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sohel\Desktop\project_1\"/>
    </mc:Choice>
  </mc:AlternateContent>
  <xr:revisionPtr revIDLastSave="0" documentId="13_ncr:1_{FFBEB498-B059-4CCA-97D3-24EFDA947302}" xr6:coauthVersionLast="47" xr6:coauthVersionMax="47" xr10:uidLastSave="{00000000-0000-0000-0000-000000000000}"/>
  <bookViews>
    <workbookView xWindow="-120" yWindow="-120" windowWidth="20730" windowHeight="11160" firstSheet="5" activeTab="7" xr2:uid="{00000000-000D-0000-FFFF-FFFF00000000}"/>
  </bookViews>
  <sheets>
    <sheet name="01_Raw_Data" sheetId="1" r:id="rId1"/>
    <sheet name="02_Clean_Data" sheetId="2" r:id="rId2"/>
    <sheet name="03_Helper_Calculations" sheetId="3" r:id="rId3"/>
    <sheet name="04_KPI_Engine" sheetId="4" r:id="rId4"/>
    <sheet name="05_Attrition_Analysis" sheetId="5" r:id="rId5"/>
    <sheet name="06_Salary_Analysis" sheetId="6" r:id="rId6"/>
    <sheet name="07_Risk_Model" sheetId="7" r:id="rId7"/>
    <sheet name="08_Dashboard" sheetId="8" r:id="rId8"/>
    <sheet name="09_Executive_Report" sheetId="9" r:id="rId9"/>
  </sheets>
  <definedNames>
    <definedName name="_xlchart.v1.0" hidden="1">'06_Salary_Analysis'!$K$4:$K$6</definedName>
    <definedName name="_xlchart.v1.1" hidden="1">'06_Salary_Analysis'!$L$4:$L$6</definedName>
    <definedName name="_xlchart.v1.2" hidden="1">'06_Salary_Analysis'!$K$4:$K$6</definedName>
    <definedName name="_xlchart.v1.3" hidden="1">'06_Salary_Analysis'!$L$4:$L$6</definedName>
    <definedName name="Slicer_Attrition">#N/A</definedName>
    <definedName name="Slicer_Department">#N/A</definedName>
    <definedName name="Slicer_Gender">#N/A</definedName>
    <definedName name="Slicer_OverTime">#N/A</definedName>
    <definedName name="Slicer_Risk_Category">#N/A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Lst>
</workbook>
</file>

<file path=xl/calcChain.xml><?xml version="1.0" encoding="utf-8"?>
<calcChain xmlns="http://schemas.openxmlformats.org/spreadsheetml/2006/main">
  <c r="N7" i="8" l="1"/>
  <c r="K7" i="8"/>
  <c r="H7" i="8"/>
  <c r="E7" i="8"/>
  <c r="B7" i="8"/>
  <c r="AP2" i="2"/>
  <c r="AP3" i="2"/>
  <c r="AP4" i="2"/>
  <c r="AP5" i="2"/>
  <c r="AP6" i="2"/>
  <c r="AP7" i="2"/>
  <c r="AP8" i="2"/>
  <c r="AP9" i="2"/>
  <c r="AP10" i="2"/>
  <c r="AP11" i="2"/>
  <c r="AP12" i="2"/>
  <c r="AP13" i="2"/>
  <c r="AP14" i="2"/>
  <c r="AP15" i="2"/>
  <c r="AP16" i="2"/>
  <c r="AP17" i="2"/>
  <c r="AP18" i="2"/>
  <c r="AP19" i="2"/>
  <c r="AP20" i="2"/>
  <c r="AP21" i="2"/>
  <c r="AP22" i="2"/>
  <c r="AP23" i="2"/>
  <c r="AP24" i="2"/>
  <c r="AP25" i="2"/>
  <c r="AP26" i="2"/>
  <c r="AP27" i="2"/>
  <c r="AP28" i="2"/>
  <c r="AP29" i="2"/>
  <c r="AP30" i="2"/>
  <c r="AP31" i="2"/>
  <c r="AP32" i="2"/>
  <c r="AP33" i="2"/>
  <c r="AP34" i="2"/>
  <c r="AP35" i="2"/>
  <c r="AP36" i="2"/>
  <c r="AP37" i="2"/>
  <c r="AP38" i="2"/>
  <c r="AP39" i="2"/>
  <c r="AP40" i="2"/>
  <c r="AP41" i="2"/>
  <c r="AP42" i="2"/>
  <c r="AP43" i="2"/>
  <c r="AP44" i="2"/>
  <c r="AP45" i="2"/>
  <c r="AP46" i="2"/>
  <c r="AP47" i="2"/>
  <c r="AP48" i="2"/>
  <c r="AP49" i="2"/>
  <c r="AP50" i="2"/>
  <c r="AP51" i="2"/>
  <c r="AP52" i="2"/>
  <c r="AP53" i="2"/>
  <c r="AP54" i="2"/>
  <c r="AP55" i="2"/>
  <c r="AP56" i="2"/>
  <c r="AP57" i="2"/>
  <c r="AP58" i="2"/>
  <c r="AP59" i="2"/>
  <c r="AP60" i="2"/>
  <c r="AP61" i="2"/>
  <c r="AP62" i="2"/>
  <c r="AP63" i="2"/>
  <c r="AP64" i="2"/>
  <c r="AP65" i="2"/>
  <c r="AP66" i="2"/>
  <c r="AP67" i="2"/>
  <c r="AP68" i="2"/>
  <c r="AP69" i="2"/>
  <c r="AP70" i="2"/>
  <c r="AP71" i="2"/>
  <c r="AP72" i="2"/>
  <c r="AP73" i="2"/>
  <c r="AP74" i="2"/>
  <c r="AP75" i="2"/>
  <c r="AP76" i="2"/>
  <c r="AP77" i="2"/>
  <c r="AP78" i="2"/>
  <c r="AP79" i="2"/>
  <c r="AP80" i="2"/>
  <c r="AP81" i="2"/>
  <c r="AP82" i="2"/>
  <c r="AP83" i="2"/>
  <c r="AP84" i="2"/>
  <c r="AP85" i="2"/>
  <c r="AP86" i="2"/>
  <c r="AP87" i="2"/>
  <c r="AP88" i="2"/>
  <c r="AP89" i="2"/>
  <c r="AP90" i="2"/>
  <c r="AP91" i="2"/>
  <c r="AP92" i="2"/>
  <c r="AP93" i="2"/>
  <c r="AP94" i="2"/>
  <c r="AP95" i="2"/>
  <c r="AP96" i="2"/>
  <c r="AP97" i="2"/>
  <c r="AP98" i="2"/>
  <c r="AP99" i="2"/>
  <c r="AP100" i="2"/>
  <c r="AP101" i="2"/>
  <c r="AP102" i="2"/>
  <c r="AP103" i="2"/>
  <c r="AP104" i="2"/>
  <c r="AP105" i="2"/>
  <c r="AP106" i="2"/>
  <c r="AP107" i="2"/>
  <c r="AP108" i="2"/>
  <c r="AP109" i="2"/>
  <c r="AP110" i="2"/>
  <c r="AP111" i="2"/>
  <c r="AP112" i="2"/>
  <c r="AP113" i="2"/>
  <c r="AP114" i="2"/>
  <c r="AP115" i="2"/>
  <c r="AP116" i="2"/>
  <c r="AP117" i="2"/>
  <c r="AP118" i="2"/>
  <c r="AP119" i="2"/>
  <c r="AP120" i="2"/>
  <c r="AP121" i="2"/>
  <c r="AP122" i="2"/>
  <c r="AP123" i="2"/>
  <c r="AP124" i="2"/>
  <c r="AP125" i="2"/>
  <c r="AP126" i="2"/>
  <c r="AP127" i="2"/>
  <c r="AP128" i="2"/>
  <c r="AP129" i="2"/>
  <c r="AP130" i="2"/>
  <c r="AP131" i="2"/>
  <c r="AP132" i="2"/>
  <c r="AP133" i="2"/>
  <c r="AP134" i="2"/>
  <c r="AP135" i="2"/>
  <c r="AP136" i="2"/>
  <c r="AP137" i="2"/>
  <c r="AP138" i="2"/>
  <c r="AP139" i="2"/>
  <c r="AP140" i="2"/>
  <c r="AP141" i="2"/>
  <c r="AP142" i="2"/>
  <c r="AP143" i="2"/>
  <c r="AP144" i="2"/>
  <c r="AP145" i="2"/>
  <c r="AP146" i="2"/>
  <c r="AP147" i="2"/>
  <c r="AP148" i="2"/>
  <c r="AP149" i="2"/>
  <c r="AP150" i="2"/>
  <c r="AP151" i="2"/>
  <c r="AP152" i="2"/>
  <c r="AP153" i="2"/>
  <c r="AP154" i="2"/>
  <c r="AP155" i="2"/>
  <c r="AP156" i="2"/>
  <c r="AP157" i="2"/>
  <c r="AP158" i="2"/>
  <c r="AP159" i="2"/>
  <c r="AP160" i="2"/>
  <c r="AP161" i="2"/>
  <c r="AP162" i="2"/>
  <c r="AP163" i="2"/>
  <c r="AP164" i="2"/>
  <c r="AP165" i="2"/>
  <c r="AP166" i="2"/>
  <c r="AP167" i="2"/>
  <c r="AP168" i="2"/>
  <c r="AP169" i="2"/>
  <c r="AP170" i="2"/>
  <c r="AP171" i="2"/>
  <c r="AP172" i="2"/>
  <c r="AP173" i="2"/>
  <c r="AP174" i="2"/>
  <c r="AP175" i="2"/>
  <c r="AP176" i="2"/>
  <c r="AP177" i="2"/>
  <c r="AP178" i="2"/>
  <c r="AP179" i="2"/>
  <c r="AP180" i="2"/>
  <c r="AP181" i="2"/>
  <c r="AP182" i="2"/>
  <c r="AP183" i="2"/>
  <c r="AP184" i="2"/>
  <c r="AP185" i="2"/>
  <c r="AP186" i="2"/>
  <c r="AP187" i="2"/>
  <c r="AP188" i="2"/>
  <c r="AP189" i="2"/>
  <c r="AP190" i="2"/>
  <c r="AP191" i="2"/>
  <c r="AP192" i="2"/>
  <c r="AP193" i="2"/>
  <c r="AP194" i="2"/>
  <c r="AP195" i="2"/>
  <c r="AP196" i="2"/>
  <c r="AP197" i="2"/>
  <c r="AP198" i="2"/>
  <c r="AP199" i="2"/>
  <c r="AP200" i="2"/>
  <c r="AP201" i="2"/>
  <c r="AP202" i="2"/>
  <c r="AP203" i="2"/>
  <c r="AP204" i="2"/>
  <c r="AP205" i="2"/>
  <c r="AP206" i="2"/>
  <c r="AP207" i="2"/>
  <c r="AP208" i="2"/>
  <c r="AP209" i="2"/>
  <c r="AP210" i="2"/>
  <c r="AP211" i="2"/>
  <c r="AP212" i="2"/>
  <c r="AP213" i="2"/>
  <c r="AP214" i="2"/>
  <c r="AP215" i="2"/>
  <c r="AP216" i="2"/>
  <c r="AP217" i="2"/>
  <c r="AP218" i="2"/>
  <c r="AP219" i="2"/>
  <c r="AP220" i="2"/>
  <c r="AP221" i="2"/>
  <c r="AP222" i="2"/>
  <c r="AP223" i="2"/>
  <c r="AP224" i="2"/>
  <c r="AP225" i="2"/>
  <c r="AP226" i="2"/>
  <c r="AP227" i="2"/>
  <c r="AP228" i="2"/>
  <c r="AP229" i="2"/>
  <c r="AP230" i="2"/>
  <c r="AP231" i="2"/>
  <c r="AP232" i="2"/>
  <c r="AP233" i="2"/>
  <c r="AP234" i="2"/>
  <c r="AP235" i="2"/>
  <c r="AP236" i="2"/>
  <c r="AP237" i="2"/>
  <c r="AP238" i="2"/>
  <c r="AP239" i="2"/>
  <c r="AP240" i="2"/>
  <c r="AP241" i="2"/>
  <c r="AP242" i="2"/>
  <c r="AP243" i="2"/>
  <c r="AP244" i="2"/>
  <c r="AP245" i="2"/>
  <c r="AP246" i="2"/>
  <c r="AP247" i="2"/>
  <c r="AP248" i="2"/>
  <c r="AP249" i="2"/>
  <c r="AP250" i="2"/>
  <c r="AP251" i="2"/>
  <c r="AP252" i="2"/>
  <c r="AP253" i="2"/>
  <c r="AP254" i="2"/>
  <c r="AP255" i="2"/>
  <c r="AP256" i="2"/>
  <c r="AP257" i="2"/>
  <c r="AP258" i="2"/>
  <c r="AP259" i="2"/>
  <c r="AP260" i="2"/>
  <c r="AP261" i="2"/>
  <c r="AP262" i="2"/>
  <c r="AP263" i="2"/>
  <c r="AP264" i="2"/>
  <c r="AP265" i="2"/>
  <c r="AP266" i="2"/>
  <c r="AP267" i="2"/>
  <c r="AP268" i="2"/>
  <c r="AP269" i="2"/>
  <c r="AP270" i="2"/>
  <c r="AP271" i="2"/>
  <c r="AP272" i="2"/>
  <c r="AP273" i="2"/>
  <c r="AP274" i="2"/>
  <c r="AP275" i="2"/>
  <c r="AP276" i="2"/>
  <c r="AP277" i="2"/>
  <c r="AP278" i="2"/>
  <c r="AP279" i="2"/>
  <c r="AP280" i="2"/>
  <c r="AP281" i="2"/>
  <c r="AP282" i="2"/>
  <c r="AP283" i="2"/>
  <c r="AP284" i="2"/>
  <c r="AP285" i="2"/>
  <c r="AP286" i="2"/>
  <c r="AP287" i="2"/>
  <c r="AP288" i="2"/>
  <c r="AP289" i="2"/>
  <c r="AP290" i="2"/>
  <c r="AP291" i="2"/>
  <c r="AP292" i="2"/>
  <c r="AP293" i="2"/>
  <c r="AP294" i="2"/>
  <c r="AP295" i="2"/>
  <c r="AP296" i="2"/>
  <c r="AP297" i="2"/>
  <c r="AP298" i="2"/>
  <c r="AP299" i="2"/>
  <c r="AP300" i="2"/>
  <c r="AP301" i="2"/>
  <c r="AP302" i="2"/>
  <c r="AP303" i="2"/>
  <c r="AP304" i="2"/>
  <c r="AP305" i="2"/>
  <c r="AP306" i="2"/>
  <c r="AP307" i="2"/>
  <c r="AP308" i="2"/>
  <c r="AP309" i="2"/>
  <c r="AP310" i="2"/>
  <c r="AP311" i="2"/>
  <c r="AP312" i="2"/>
  <c r="AP313" i="2"/>
  <c r="AP314" i="2"/>
  <c r="AP315" i="2"/>
  <c r="AP316" i="2"/>
  <c r="AP317" i="2"/>
  <c r="AP318" i="2"/>
  <c r="AP319" i="2"/>
  <c r="AP320" i="2"/>
  <c r="AP321" i="2"/>
  <c r="AP322" i="2"/>
  <c r="AP323" i="2"/>
  <c r="AP324" i="2"/>
  <c r="AP325" i="2"/>
  <c r="AP326" i="2"/>
  <c r="AP327" i="2"/>
  <c r="AP328" i="2"/>
  <c r="AP329" i="2"/>
  <c r="AP330" i="2"/>
  <c r="AP331" i="2"/>
  <c r="AP332" i="2"/>
  <c r="AP333" i="2"/>
  <c r="AP334" i="2"/>
  <c r="AP335" i="2"/>
  <c r="AP336" i="2"/>
  <c r="AP337" i="2"/>
  <c r="AP338" i="2"/>
  <c r="AP339" i="2"/>
  <c r="AP340" i="2"/>
  <c r="AP341" i="2"/>
  <c r="AP342" i="2"/>
  <c r="AP343" i="2"/>
  <c r="AP344" i="2"/>
  <c r="AP345" i="2"/>
  <c r="AP346" i="2"/>
  <c r="AP347" i="2"/>
  <c r="AP348" i="2"/>
  <c r="AP349" i="2"/>
  <c r="AP350" i="2"/>
  <c r="AP351" i="2"/>
  <c r="AP352" i="2"/>
  <c r="AP353" i="2"/>
  <c r="AP354" i="2"/>
  <c r="AP355" i="2"/>
  <c r="AP356" i="2"/>
  <c r="AP357" i="2"/>
  <c r="AP358" i="2"/>
  <c r="AP359" i="2"/>
  <c r="AP360" i="2"/>
  <c r="AP361" i="2"/>
  <c r="AP362" i="2"/>
  <c r="AP363" i="2"/>
  <c r="AP364" i="2"/>
  <c r="AP365" i="2"/>
  <c r="AP366" i="2"/>
  <c r="AP367" i="2"/>
  <c r="AP368" i="2"/>
  <c r="AP369" i="2"/>
  <c r="AP370" i="2"/>
  <c r="AP371" i="2"/>
  <c r="AP372" i="2"/>
  <c r="AP373" i="2"/>
  <c r="AP374" i="2"/>
  <c r="AP375" i="2"/>
  <c r="AP376" i="2"/>
  <c r="AP377" i="2"/>
  <c r="AP378" i="2"/>
  <c r="AP379" i="2"/>
  <c r="AP380" i="2"/>
  <c r="AP381" i="2"/>
  <c r="AP382" i="2"/>
  <c r="AP383" i="2"/>
  <c r="AP384" i="2"/>
  <c r="AP385" i="2"/>
  <c r="AP386" i="2"/>
  <c r="AP387" i="2"/>
  <c r="AP388" i="2"/>
  <c r="AP389" i="2"/>
  <c r="AP390" i="2"/>
  <c r="AP391" i="2"/>
  <c r="AP392" i="2"/>
  <c r="AP393" i="2"/>
  <c r="AP394" i="2"/>
  <c r="AP395" i="2"/>
  <c r="AP396" i="2"/>
  <c r="AP397" i="2"/>
  <c r="AP398" i="2"/>
  <c r="AP399" i="2"/>
  <c r="AP400" i="2"/>
  <c r="AP401" i="2"/>
  <c r="AP402" i="2"/>
  <c r="AP403" i="2"/>
  <c r="AP404" i="2"/>
  <c r="AP405" i="2"/>
  <c r="AP406" i="2"/>
  <c r="AP407" i="2"/>
  <c r="AP408" i="2"/>
  <c r="AP409" i="2"/>
  <c r="AP410" i="2"/>
  <c r="AP411" i="2"/>
  <c r="AP412" i="2"/>
  <c r="AP413" i="2"/>
  <c r="AP414" i="2"/>
  <c r="AP415" i="2"/>
  <c r="AP416" i="2"/>
  <c r="AP417" i="2"/>
  <c r="AP418" i="2"/>
  <c r="AP419" i="2"/>
  <c r="AP420" i="2"/>
  <c r="AP421" i="2"/>
  <c r="AP422" i="2"/>
  <c r="AP423" i="2"/>
  <c r="AP424" i="2"/>
  <c r="AP425" i="2"/>
  <c r="AP426" i="2"/>
  <c r="AP427" i="2"/>
  <c r="AP428" i="2"/>
  <c r="AP429" i="2"/>
  <c r="AP430" i="2"/>
  <c r="AP431" i="2"/>
  <c r="AP432" i="2"/>
  <c r="AP433" i="2"/>
  <c r="AP434" i="2"/>
  <c r="AP435" i="2"/>
  <c r="AP436" i="2"/>
  <c r="AP437" i="2"/>
  <c r="AP438" i="2"/>
  <c r="AP439" i="2"/>
  <c r="AP440" i="2"/>
  <c r="AP441" i="2"/>
  <c r="AP442" i="2"/>
  <c r="AP443" i="2"/>
  <c r="AP444" i="2"/>
  <c r="AP445" i="2"/>
  <c r="AP446" i="2"/>
  <c r="AP447" i="2"/>
  <c r="AP448" i="2"/>
  <c r="AP449" i="2"/>
  <c r="AP450" i="2"/>
  <c r="AP451" i="2"/>
  <c r="AP452" i="2"/>
  <c r="AP453" i="2"/>
  <c r="AP454" i="2"/>
  <c r="AP455" i="2"/>
  <c r="AP456" i="2"/>
  <c r="AP457" i="2"/>
  <c r="AP458" i="2"/>
  <c r="AP459" i="2"/>
  <c r="AP460" i="2"/>
  <c r="AP461" i="2"/>
  <c r="AP462" i="2"/>
  <c r="AP463" i="2"/>
  <c r="AP464" i="2"/>
  <c r="AP465" i="2"/>
  <c r="AP466" i="2"/>
  <c r="AP467" i="2"/>
  <c r="AP468" i="2"/>
  <c r="AP469" i="2"/>
  <c r="AP470" i="2"/>
  <c r="AP471" i="2"/>
  <c r="AP472" i="2"/>
  <c r="AP473" i="2"/>
  <c r="AP474" i="2"/>
  <c r="AP475" i="2"/>
  <c r="AP476" i="2"/>
  <c r="AP477" i="2"/>
  <c r="AP478" i="2"/>
  <c r="AP479" i="2"/>
  <c r="AP480" i="2"/>
  <c r="AP481" i="2"/>
  <c r="AP482" i="2"/>
  <c r="AP483" i="2"/>
  <c r="AP484" i="2"/>
  <c r="AP485" i="2"/>
  <c r="AP486" i="2"/>
  <c r="AP487" i="2"/>
  <c r="AP488" i="2"/>
  <c r="AP489" i="2"/>
  <c r="AP490" i="2"/>
  <c r="AP491" i="2"/>
  <c r="AP492" i="2"/>
  <c r="AP493" i="2"/>
  <c r="AP494" i="2"/>
  <c r="AP495" i="2"/>
  <c r="AP496" i="2"/>
  <c r="AP497" i="2"/>
  <c r="AP498" i="2"/>
  <c r="AP499" i="2"/>
  <c r="AP500" i="2"/>
  <c r="AP501" i="2"/>
  <c r="AP502" i="2"/>
  <c r="AP503" i="2"/>
  <c r="AP504" i="2"/>
  <c r="AP505" i="2"/>
  <c r="AP506" i="2"/>
  <c r="AP507" i="2"/>
  <c r="AP508" i="2"/>
  <c r="AP509" i="2"/>
  <c r="AP510" i="2"/>
  <c r="AP511" i="2"/>
  <c r="AP512" i="2"/>
  <c r="AP513" i="2"/>
  <c r="AP514" i="2"/>
  <c r="AP515" i="2"/>
  <c r="AP516" i="2"/>
  <c r="AP517" i="2"/>
  <c r="AP518" i="2"/>
  <c r="AP519" i="2"/>
  <c r="AP520" i="2"/>
  <c r="AP521" i="2"/>
  <c r="AP522" i="2"/>
  <c r="AP523" i="2"/>
  <c r="AP524" i="2"/>
  <c r="AP525" i="2"/>
  <c r="AP526" i="2"/>
  <c r="AP527" i="2"/>
  <c r="AP528" i="2"/>
  <c r="AP529" i="2"/>
  <c r="AP530" i="2"/>
  <c r="AP531" i="2"/>
  <c r="AP532" i="2"/>
  <c r="AP533" i="2"/>
  <c r="AP534" i="2"/>
  <c r="AP535" i="2"/>
  <c r="AP536" i="2"/>
  <c r="AP537" i="2"/>
  <c r="AP538" i="2"/>
  <c r="AP539" i="2"/>
  <c r="AP540" i="2"/>
  <c r="AP541" i="2"/>
  <c r="AP542" i="2"/>
  <c r="AP543" i="2"/>
  <c r="AP544" i="2"/>
  <c r="AP545" i="2"/>
  <c r="AP546" i="2"/>
  <c r="AP547" i="2"/>
  <c r="AP548" i="2"/>
  <c r="AP549" i="2"/>
  <c r="AP550" i="2"/>
  <c r="AP551" i="2"/>
  <c r="AP552" i="2"/>
  <c r="AP553" i="2"/>
  <c r="AP554" i="2"/>
  <c r="AP555" i="2"/>
  <c r="AP556" i="2"/>
  <c r="AP557" i="2"/>
  <c r="AP558" i="2"/>
  <c r="AP559" i="2"/>
  <c r="AP560" i="2"/>
  <c r="AP561" i="2"/>
  <c r="AP562" i="2"/>
  <c r="AP563" i="2"/>
  <c r="AP564" i="2"/>
  <c r="AP565" i="2"/>
  <c r="AP566" i="2"/>
  <c r="AP567" i="2"/>
  <c r="AP568" i="2"/>
  <c r="AP569" i="2"/>
  <c r="AP570" i="2"/>
  <c r="AP571" i="2"/>
  <c r="AP572" i="2"/>
  <c r="AP573" i="2"/>
  <c r="AP574" i="2"/>
  <c r="AP575" i="2"/>
  <c r="AP576" i="2"/>
  <c r="AP577" i="2"/>
  <c r="AP578" i="2"/>
  <c r="AP579" i="2"/>
  <c r="AP580" i="2"/>
  <c r="AP581" i="2"/>
  <c r="AP582" i="2"/>
  <c r="AP583" i="2"/>
  <c r="AP584" i="2"/>
  <c r="AP585" i="2"/>
  <c r="AP586" i="2"/>
  <c r="AP587" i="2"/>
  <c r="AP588" i="2"/>
  <c r="AP589" i="2"/>
  <c r="AP590" i="2"/>
  <c r="AP591" i="2"/>
  <c r="AP592" i="2"/>
  <c r="AP593" i="2"/>
  <c r="AP594" i="2"/>
  <c r="AP595" i="2"/>
  <c r="AP596" i="2"/>
  <c r="AP597" i="2"/>
  <c r="AP598" i="2"/>
  <c r="AP599" i="2"/>
  <c r="AP600" i="2"/>
  <c r="AP601" i="2"/>
  <c r="AP602" i="2"/>
  <c r="AP603" i="2"/>
  <c r="AP604" i="2"/>
  <c r="AP605" i="2"/>
  <c r="AP606" i="2"/>
  <c r="AP607" i="2"/>
  <c r="AP608" i="2"/>
  <c r="AP609" i="2"/>
  <c r="AP610" i="2"/>
  <c r="AP611" i="2"/>
  <c r="AP612" i="2"/>
  <c r="AP613" i="2"/>
  <c r="AP614" i="2"/>
  <c r="AP615" i="2"/>
  <c r="AP616" i="2"/>
  <c r="AP617" i="2"/>
  <c r="AP618" i="2"/>
  <c r="AP619" i="2"/>
  <c r="AP620" i="2"/>
  <c r="AP621" i="2"/>
  <c r="AP622" i="2"/>
  <c r="AP623" i="2"/>
  <c r="AP624" i="2"/>
  <c r="AP625" i="2"/>
  <c r="AP626" i="2"/>
  <c r="AP627" i="2"/>
  <c r="AP628" i="2"/>
  <c r="AP629" i="2"/>
  <c r="AP630" i="2"/>
  <c r="AP631" i="2"/>
  <c r="AP632" i="2"/>
  <c r="AP633" i="2"/>
  <c r="AP634" i="2"/>
  <c r="AP635" i="2"/>
  <c r="AP636" i="2"/>
  <c r="AP637" i="2"/>
  <c r="AP638" i="2"/>
  <c r="AP639" i="2"/>
  <c r="AP640" i="2"/>
  <c r="AP641" i="2"/>
  <c r="AP642" i="2"/>
  <c r="AP643" i="2"/>
  <c r="AP644" i="2"/>
  <c r="AP645" i="2"/>
  <c r="AP646" i="2"/>
  <c r="AP647" i="2"/>
  <c r="AP648" i="2"/>
  <c r="AP649" i="2"/>
  <c r="AP650" i="2"/>
  <c r="AP651" i="2"/>
  <c r="AP652" i="2"/>
  <c r="AP653" i="2"/>
  <c r="AP654" i="2"/>
  <c r="AP655" i="2"/>
  <c r="AP656" i="2"/>
  <c r="AP657" i="2"/>
  <c r="AP658" i="2"/>
  <c r="AP659" i="2"/>
  <c r="AP660" i="2"/>
  <c r="AP661" i="2"/>
  <c r="AP662" i="2"/>
  <c r="AP663" i="2"/>
  <c r="AP664" i="2"/>
  <c r="AP665" i="2"/>
  <c r="AP666" i="2"/>
  <c r="AP667" i="2"/>
  <c r="AP668" i="2"/>
  <c r="AP669" i="2"/>
  <c r="AP670" i="2"/>
  <c r="AP671" i="2"/>
  <c r="AP672" i="2"/>
  <c r="AP673" i="2"/>
  <c r="AP674" i="2"/>
  <c r="AP675" i="2"/>
  <c r="AP676" i="2"/>
  <c r="AP677" i="2"/>
  <c r="AP678" i="2"/>
  <c r="AP679" i="2"/>
  <c r="AP680" i="2"/>
  <c r="AP681" i="2"/>
  <c r="AP682" i="2"/>
  <c r="AP683" i="2"/>
  <c r="AP684" i="2"/>
  <c r="AP685" i="2"/>
  <c r="AP686" i="2"/>
  <c r="AP687" i="2"/>
  <c r="AP688" i="2"/>
  <c r="AP689" i="2"/>
  <c r="AP690" i="2"/>
  <c r="AP691" i="2"/>
  <c r="AP692" i="2"/>
  <c r="AP693" i="2"/>
  <c r="AP694" i="2"/>
  <c r="AP695" i="2"/>
  <c r="AP696" i="2"/>
  <c r="AP697" i="2"/>
  <c r="AP698" i="2"/>
  <c r="AP699" i="2"/>
  <c r="AP700" i="2"/>
  <c r="AP701" i="2"/>
  <c r="AP702" i="2"/>
  <c r="AP703" i="2"/>
  <c r="AP704" i="2"/>
  <c r="AP705" i="2"/>
  <c r="AP706" i="2"/>
  <c r="AP707" i="2"/>
  <c r="AP708" i="2"/>
  <c r="AP709" i="2"/>
  <c r="AP710" i="2"/>
  <c r="AP711" i="2"/>
  <c r="AP712" i="2"/>
  <c r="AP713" i="2"/>
  <c r="AP714" i="2"/>
  <c r="AP715" i="2"/>
  <c r="AP716" i="2"/>
  <c r="AP717" i="2"/>
  <c r="AP718" i="2"/>
  <c r="AP719" i="2"/>
  <c r="AP720" i="2"/>
  <c r="AP721" i="2"/>
  <c r="AP722" i="2"/>
  <c r="AP723" i="2"/>
  <c r="AP724" i="2"/>
  <c r="AP725" i="2"/>
  <c r="AP726" i="2"/>
  <c r="AP727" i="2"/>
  <c r="AP728" i="2"/>
  <c r="AP729" i="2"/>
  <c r="AP730" i="2"/>
  <c r="AP731" i="2"/>
  <c r="AP732" i="2"/>
  <c r="AP733" i="2"/>
  <c r="AP734" i="2"/>
  <c r="AP735" i="2"/>
  <c r="AP736" i="2"/>
  <c r="AP737" i="2"/>
  <c r="AP738" i="2"/>
  <c r="AP739" i="2"/>
  <c r="AP740" i="2"/>
  <c r="AP741" i="2"/>
  <c r="AP742" i="2"/>
  <c r="AP743" i="2"/>
  <c r="AP744" i="2"/>
  <c r="AP745" i="2"/>
  <c r="AP746" i="2"/>
  <c r="AP747" i="2"/>
  <c r="AP748" i="2"/>
  <c r="AP749" i="2"/>
  <c r="AP750" i="2"/>
  <c r="AP751" i="2"/>
  <c r="AP752" i="2"/>
  <c r="AP753" i="2"/>
  <c r="AP754" i="2"/>
  <c r="AP755" i="2"/>
  <c r="AP756" i="2"/>
  <c r="AP757" i="2"/>
  <c r="AP758" i="2"/>
  <c r="AP759" i="2"/>
  <c r="AP760" i="2"/>
  <c r="AP761" i="2"/>
  <c r="AP762" i="2"/>
  <c r="AP763" i="2"/>
  <c r="AP764" i="2"/>
  <c r="AP765" i="2"/>
  <c r="AP766" i="2"/>
  <c r="AP767" i="2"/>
  <c r="AP768" i="2"/>
  <c r="AP769" i="2"/>
  <c r="AP770" i="2"/>
  <c r="AP771" i="2"/>
  <c r="AP772" i="2"/>
  <c r="AP773" i="2"/>
  <c r="AP774" i="2"/>
  <c r="AP775" i="2"/>
  <c r="AP776" i="2"/>
  <c r="AP777" i="2"/>
  <c r="AP778" i="2"/>
  <c r="AP779" i="2"/>
  <c r="AP780" i="2"/>
  <c r="AP781" i="2"/>
  <c r="AP782" i="2"/>
  <c r="AP783" i="2"/>
  <c r="AP784" i="2"/>
  <c r="AP785" i="2"/>
  <c r="AP786" i="2"/>
  <c r="AP787" i="2"/>
  <c r="AP788" i="2"/>
  <c r="AP789" i="2"/>
  <c r="AP790" i="2"/>
  <c r="AP791" i="2"/>
  <c r="AP792" i="2"/>
  <c r="AP793" i="2"/>
  <c r="AP794" i="2"/>
  <c r="AP795" i="2"/>
  <c r="AP796" i="2"/>
  <c r="AP797" i="2"/>
  <c r="AP798" i="2"/>
  <c r="AP799" i="2"/>
  <c r="AP800" i="2"/>
  <c r="AP801" i="2"/>
  <c r="AP802" i="2"/>
  <c r="AP803" i="2"/>
  <c r="AP804" i="2"/>
  <c r="AP805" i="2"/>
  <c r="AP806" i="2"/>
  <c r="AP807" i="2"/>
  <c r="AP808" i="2"/>
  <c r="AP809" i="2"/>
  <c r="AP810" i="2"/>
  <c r="AP811" i="2"/>
  <c r="AP812" i="2"/>
  <c r="AP813" i="2"/>
  <c r="AP814" i="2"/>
  <c r="AP815" i="2"/>
  <c r="AP816" i="2"/>
  <c r="AP817" i="2"/>
  <c r="AP818" i="2"/>
  <c r="AP819" i="2"/>
  <c r="AP820" i="2"/>
  <c r="AP821" i="2"/>
  <c r="AP822" i="2"/>
  <c r="AP823" i="2"/>
  <c r="AP824" i="2"/>
  <c r="AP825" i="2"/>
  <c r="AP826" i="2"/>
  <c r="AP827" i="2"/>
  <c r="AP828" i="2"/>
  <c r="AP829" i="2"/>
  <c r="AP830" i="2"/>
  <c r="AP831" i="2"/>
  <c r="AP832" i="2"/>
  <c r="AP833" i="2"/>
  <c r="AP834" i="2"/>
  <c r="AP835" i="2"/>
  <c r="AP836" i="2"/>
  <c r="AP837" i="2"/>
  <c r="AP838" i="2"/>
  <c r="AP839" i="2"/>
  <c r="AP840" i="2"/>
  <c r="AP841" i="2"/>
  <c r="AP842" i="2"/>
  <c r="AP843" i="2"/>
  <c r="AP844" i="2"/>
  <c r="AP845" i="2"/>
  <c r="AP846" i="2"/>
  <c r="AP847" i="2"/>
  <c r="AP848" i="2"/>
  <c r="AP849" i="2"/>
  <c r="AP850" i="2"/>
  <c r="AP851" i="2"/>
  <c r="AP852" i="2"/>
  <c r="AP853" i="2"/>
  <c r="AP854" i="2"/>
  <c r="AP855" i="2"/>
  <c r="AP856" i="2"/>
  <c r="AP857" i="2"/>
  <c r="AP858" i="2"/>
  <c r="AP859" i="2"/>
  <c r="AP860" i="2"/>
  <c r="AP861" i="2"/>
  <c r="AP862" i="2"/>
  <c r="AP863" i="2"/>
  <c r="AP864" i="2"/>
  <c r="AP865" i="2"/>
  <c r="AP866" i="2"/>
  <c r="AP867" i="2"/>
  <c r="AP868" i="2"/>
  <c r="AP869" i="2"/>
  <c r="AP870" i="2"/>
  <c r="AP871" i="2"/>
  <c r="AP872" i="2"/>
  <c r="AP873" i="2"/>
  <c r="AP874" i="2"/>
  <c r="AP875" i="2"/>
  <c r="AP876" i="2"/>
  <c r="AP877" i="2"/>
  <c r="AP878" i="2"/>
  <c r="AP879" i="2"/>
  <c r="AP880" i="2"/>
  <c r="AP881" i="2"/>
  <c r="AP882" i="2"/>
  <c r="AP883" i="2"/>
  <c r="AP884" i="2"/>
  <c r="AP885" i="2"/>
  <c r="AP886" i="2"/>
  <c r="AP887" i="2"/>
  <c r="AP888" i="2"/>
  <c r="AP889" i="2"/>
  <c r="AP890" i="2"/>
  <c r="AP891" i="2"/>
  <c r="AP892" i="2"/>
  <c r="AP893" i="2"/>
  <c r="AP894" i="2"/>
  <c r="AP895" i="2"/>
  <c r="AP896" i="2"/>
  <c r="AP897" i="2"/>
  <c r="AP898" i="2"/>
  <c r="AP899" i="2"/>
  <c r="AP900" i="2"/>
  <c r="AP901" i="2"/>
  <c r="AP902" i="2"/>
  <c r="AP903" i="2"/>
  <c r="AP904" i="2"/>
  <c r="AP905" i="2"/>
  <c r="AP906" i="2"/>
  <c r="AP907" i="2"/>
  <c r="AP908" i="2"/>
  <c r="AP909" i="2"/>
  <c r="AP910" i="2"/>
  <c r="AP911" i="2"/>
  <c r="AP912" i="2"/>
  <c r="AP913" i="2"/>
  <c r="AP914" i="2"/>
  <c r="AP915" i="2"/>
  <c r="AP916" i="2"/>
  <c r="AP917" i="2"/>
  <c r="AP918" i="2"/>
  <c r="AP919" i="2"/>
  <c r="AP920" i="2"/>
  <c r="AP921" i="2"/>
  <c r="AP922" i="2"/>
  <c r="AP923" i="2"/>
  <c r="AP924" i="2"/>
  <c r="AP925" i="2"/>
  <c r="AP926" i="2"/>
  <c r="AP927" i="2"/>
  <c r="AP928" i="2"/>
  <c r="AP929" i="2"/>
  <c r="AP930" i="2"/>
  <c r="AP931" i="2"/>
  <c r="AP932" i="2"/>
  <c r="AP933" i="2"/>
  <c r="AP934" i="2"/>
  <c r="AP935" i="2"/>
  <c r="AP936" i="2"/>
  <c r="AP937" i="2"/>
  <c r="AP938" i="2"/>
  <c r="AP939" i="2"/>
  <c r="AP940" i="2"/>
  <c r="AP941" i="2"/>
  <c r="AP942" i="2"/>
  <c r="AP943" i="2"/>
  <c r="AP944" i="2"/>
  <c r="AP945" i="2"/>
  <c r="AP946" i="2"/>
  <c r="AP947" i="2"/>
  <c r="AP948" i="2"/>
  <c r="AP949" i="2"/>
  <c r="AP950" i="2"/>
  <c r="AP951" i="2"/>
  <c r="AP952" i="2"/>
  <c r="AP953" i="2"/>
  <c r="AP954" i="2"/>
  <c r="AP955" i="2"/>
  <c r="AP956" i="2"/>
  <c r="AP957" i="2"/>
  <c r="AP958" i="2"/>
  <c r="AP959" i="2"/>
  <c r="AP960" i="2"/>
  <c r="AP961" i="2"/>
  <c r="AP962" i="2"/>
  <c r="AP963" i="2"/>
  <c r="AP964" i="2"/>
  <c r="AP965" i="2"/>
  <c r="AP966" i="2"/>
  <c r="AP967" i="2"/>
  <c r="AP968" i="2"/>
  <c r="AP969" i="2"/>
  <c r="AP970" i="2"/>
  <c r="AP971" i="2"/>
  <c r="AP972" i="2"/>
  <c r="AP973" i="2"/>
  <c r="AP974" i="2"/>
  <c r="AP975" i="2"/>
  <c r="AP976" i="2"/>
  <c r="AP977" i="2"/>
  <c r="AP978" i="2"/>
  <c r="AP979" i="2"/>
  <c r="AP980" i="2"/>
  <c r="AP981" i="2"/>
  <c r="AP982" i="2"/>
  <c r="AP983" i="2"/>
  <c r="AP984" i="2"/>
  <c r="AP985" i="2"/>
  <c r="AP986" i="2"/>
  <c r="AP987" i="2"/>
  <c r="AP988" i="2"/>
  <c r="AP989" i="2"/>
  <c r="AP990" i="2"/>
  <c r="AP991" i="2"/>
  <c r="AP992" i="2"/>
  <c r="AP993" i="2"/>
  <c r="AP994" i="2"/>
  <c r="AP995" i="2"/>
  <c r="AP996" i="2"/>
  <c r="AP997" i="2"/>
  <c r="AP998" i="2"/>
  <c r="AP999" i="2"/>
  <c r="AP1000" i="2"/>
  <c r="AP1001" i="2"/>
  <c r="AP1002" i="2"/>
  <c r="AP1003" i="2"/>
  <c r="AP1004" i="2"/>
  <c r="AP1005" i="2"/>
  <c r="AP1006" i="2"/>
  <c r="AP1007" i="2"/>
  <c r="AP1008" i="2"/>
  <c r="AP1009" i="2"/>
  <c r="AP1010" i="2"/>
  <c r="AP1011" i="2"/>
  <c r="AP1012" i="2"/>
  <c r="AP1013" i="2"/>
  <c r="AP1014" i="2"/>
  <c r="AP1015" i="2"/>
  <c r="AP1016" i="2"/>
  <c r="AP1017" i="2"/>
  <c r="AP1018" i="2"/>
  <c r="AP1019" i="2"/>
  <c r="AP1020" i="2"/>
  <c r="AP1021" i="2"/>
  <c r="AP1022" i="2"/>
  <c r="AP1023" i="2"/>
  <c r="AP1024" i="2"/>
  <c r="AP1025" i="2"/>
  <c r="AP1026" i="2"/>
  <c r="AP1027" i="2"/>
  <c r="AP1028" i="2"/>
  <c r="AP1029" i="2"/>
  <c r="AP1030" i="2"/>
  <c r="AP1031" i="2"/>
  <c r="AP1032" i="2"/>
  <c r="AP1033" i="2"/>
  <c r="AP1034" i="2"/>
  <c r="AP1035" i="2"/>
  <c r="AP1036" i="2"/>
  <c r="AP1037" i="2"/>
  <c r="AP1038" i="2"/>
  <c r="AP1039" i="2"/>
  <c r="AP1040" i="2"/>
  <c r="AP1041" i="2"/>
  <c r="AP1042" i="2"/>
  <c r="AP1043" i="2"/>
  <c r="AP1044" i="2"/>
  <c r="AP1045" i="2"/>
  <c r="AP1046" i="2"/>
  <c r="AP1047" i="2"/>
  <c r="AP1048" i="2"/>
  <c r="AP1049" i="2"/>
  <c r="AP1050" i="2"/>
  <c r="AP1051" i="2"/>
  <c r="AP1052" i="2"/>
  <c r="AP1053" i="2"/>
  <c r="AP1054" i="2"/>
  <c r="AP1055" i="2"/>
  <c r="AP1056" i="2"/>
  <c r="AP1057" i="2"/>
  <c r="AP1058" i="2"/>
  <c r="AP1059" i="2"/>
  <c r="AP1060" i="2"/>
  <c r="AP1061" i="2"/>
  <c r="AP1062" i="2"/>
  <c r="AP1063" i="2"/>
  <c r="AP1064" i="2"/>
  <c r="AP1065" i="2"/>
  <c r="AP1066" i="2"/>
  <c r="AP1067" i="2"/>
  <c r="AP1068" i="2"/>
  <c r="AP1069" i="2"/>
  <c r="AP1070" i="2"/>
  <c r="AP1071" i="2"/>
  <c r="AP1072" i="2"/>
  <c r="AP1073" i="2"/>
  <c r="AP1074" i="2"/>
  <c r="AP1075" i="2"/>
  <c r="AP1076" i="2"/>
  <c r="AP1077" i="2"/>
  <c r="AP1078" i="2"/>
  <c r="AP1079" i="2"/>
  <c r="AP1080" i="2"/>
  <c r="AP1081" i="2"/>
  <c r="AP1082" i="2"/>
  <c r="AP1083" i="2"/>
  <c r="AP1084" i="2"/>
  <c r="AP1085" i="2"/>
  <c r="AP1086" i="2"/>
  <c r="AP1087" i="2"/>
  <c r="AP1088" i="2"/>
  <c r="AP1089" i="2"/>
  <c r="AP1090" i="2"/>
  <c r="AP1091" i="2"/>
  <c r="AP1092" i="2"/>
  <c r="AP1093" i="2"/>
  <c r="AP1094" i="2"/>
  <c r="AP1095" i="2"/>
  <c r="AP1096" i="2"/>
  <c r="AP1097" i="2"/>
  <c r="AP1098" i="2"/>
  <c r="AP1099" i="2"/>
  <c r="AP1100" i="2"/>
  <c r="AP1101" i="2"/>
  <c r="AP1102" i="2"/>
  <c r="AP1103" i="2"/>
  <c r="AP1104" i="2"/>
  <c r="AP1105" i="2"/>
  <c r="AP1106" i="2"/>
  <c r="AP1107" i="2"/>
  <c r="AP1108" i="2"/>
  <c r="AP1109" i="2"/>
  <c r="AP1110" i="2"/>
  <c r="AP1111" i="2"/>
  <c r="AP1112" i="2"/>
  <c r="AP1113" i="2"/>
  <c r="AP1114" i="2"/>
  <c r="AP1115" i="2"/>
  <c r="AP1116" i="2"/>
  <c r="AP1117" i="2"/>
  <c r="AP1118" i="2"/>
  <c r="AP1119" i="2"/>
  <c r="AP1120" i="2"/>
  <c r="AP1121" i="2"/>
  <c r="AP1122" i="2"/>
  <c r="AP1123" i="2"/>
  <c r="AP1124" i="2"/>
  <c r="AP1125" i="2"/>
  <c r="AP1126" i="2"/>
  <c r="AP1127" i="2"/>
  <c r="AP1128" i="2"/>
  <c r="AP1129" i="2"/>
  <c r="AP1130" i="2"/>
  <c r="AP1131" i="2"/>
  <c r="AP1132" i="2"/>
  <c r="AP1133" i="2"/>
  <c r="AP1134" i="2"/>
  <c r="AP1135" i="2"/>
  <c r="AP1136" i="2"/>
  <c r="AP1137" i="2"/>
  <c r="AP1138" i="2"/>
  <c r="AP1139" i="2"/>
  <c r="AP1140" i="2"/>
  <c r="AP1141" i="2"/>
  <c r="AP1142" i="2"/>
  <c r="AP1143" i="2"/>
  <c r="AP1144" i="2"/>
  <c r="AP1145" i="2"/>
  <c r="AP1146" i="2"/>
  <c r="AP1147" i="2"/>
  <c r="AP1148" i="2"/>
  <c r="AP1149" i="2"/>
  <c r="AP1150" i="2"/>
  <c r="AP1151" i="2"/>
  <c r="AP1152" i="2"/>
  <c r="AP1153" i="2"/>
  <c r="AP1154" i="2"/>
  <c r="AP1155" i="2"/>
  <c r="AP1156" i="2"/>
  <c r="AP1157" i="2"/>
  <c r="AP1158" i="2"/>
  <c r="AP1159" i="2"/>
  <c r="AP1160" i="2"/>
  <c r="AP1161" i="2"/>
  <c r="AP1162" i="2"/>
  <c r="AP1163" i="2"/>
  <c r="AP1164" i="2"/>
  <c r="AP1165" i="2"/>
  <c r="AP1166" i="2"/>
  <c r="AP1167" i="2"/>
  <c r="AP1168" i="2"/>
  <c r="AP1169" i="2"/>
  <c r="AP1170" i="2"/>
  <c r="AP1171" i="2"/>
  <c r="AP1172" i="2"/>
  <c r="AP1173" i="2"/>
  <c r="AP1174" i="2"/>
  <c r="AP1175" i="2"/>
  <c r="AP1176" i="2"/>
  <c r="AP1177" i="2"/>
  <c r="AP1178" i="2"/>
  <c r="AP1179" i="2"/>
  <c r="AP1180" i="2"/>
  <c r="AP1181" i="2"/>
  <c r="AP1182" i="2"/>
  <c r="AP1183" i="2"/>
  <c r="AP1184" i="2"/>
  <c r="AP1185" i="2"/>
  <c r="AP1186" i="2"/>
  <c r="AP1187" i="2"/>
  <c r="AP1188" i="2"/>
  <c r="AP1189" i="2"/>
  <c r="AP1190" i="2"/>
  <c r="AP1191" i="2"/>
  <c r="AP1192" i="2"/>
  <c r="AP1193" i="2"/>
  <c r="AP1194" i="2"/>
  <c r="AP1195" i="2"/>
  <c r="AP1196" i="2"/>
  <c r="AP1197" i="2"/>
  <c r="AP1198" i="2"/>
  <c r="AP1199" i="2"/>
  <c r="AP1200" i="2"/>
  <c r="AP1201" i="2"/>
  <c r="AP1202" i="2"/>
  <c r="AP1203" i="2"/>
  <c r="AP1204" i="2"/>
  <c r="AP1205" i="2"/>
  <c r="AP1206" i="2"/>
  <c r="AP1207" i="2"/>
  <c r="AP1208" i="2"/>
  <c r="AP1209" i="2"/>
  <c r="AP1210" i="2"/>
  <c r="AP1211" i="2"/>
  <c r="AP1212" i="2"/>
  <c r="AP1213" i="2"/>
  <c r="AP1214" i="2"/>
  <c r="AP1215" i="2"/>
  <c r="AP1216" i="2"/>
  <c r="AP1217" i="2"/>
  <c r="AP1218" i="2"/>
  <c r="AP1219" i="2"/>
  <c r="AP1220" i="2"/>
  <c r="AP1221" i="2"/>
  <c r="AP1222" i="2"/>
  <c r="AP1223" i="2"/>
  <c r="AP1224" i="2"/>
  <c r="AP1225" i="2"/>
  <c r="AP1226" i="2"/>
  <c r="AP1227" i="2"/>
  <c r="AP1228" i="2"/>
  <c r="AP1229" i="2"/>
  <c r="AP1230" i="2"/>
  <c r="AP1231" i="2"/>
  <c r="AP1232" i="2"/>
  <c r="AP1233" i="2"/>
  <c r="AP1234" i="2"/>
  <c r="AP1235" i="2"/>
  <c r="AP1236" i="2"/>
  <c r="AP1237" i="2"/>
  <c r="AP1238" i="2"/>
  <c r="AP1239" i="2"/>
  <c r="AP1240" i="2"/>
  <c r="AP1241" i="2"/>
  <c r="AP1242" i="2"/>
  <c r="AP1243" i="2"/>
  <c r="AP1244" i="2"/>
  <c r="AP1245" i="2"/>
  <c r="AP1246" i="2"/>
  <c r="AP1247" i="2"/>
  <c r="AP1248" i="2"/>
  <c r="AP1249" i="2"/>
  <c r="AP1250" i="2"/>
  <c r="AP1251" i="2"/>
  <c r="AP1252" i="2"/>
  <c r="AP1253" i="2"/>
  <c r="AP1254" i="2"/>
  <c r="AP1255" i="2"/>
  <c r="AP1256" i="2"/>
  <c r="AP1257" i="2"/>
  <c r="AP1258" i="2"/>
  <c r="AP1259" i="2"/>
  <c r="AP1260" i="2"/>
  <c r="AP1261" i="2"/>
  <c r="AP1262" i="2"/>
  <c r="AP1263" i="2"/>
  <c r="AP1264" i="2"/>
  <c r="AP1265" i="2"/>
  <c r="AP1266" i="2"/>
  <c r="AP1267" i="2"/>
  <c r="AP1268" i="2"/>
  <c r="AP1269" i="2"/>
  <c r="AP1270" i="2"/>
  <c r="AP1271" i="2"/>
  <c r="AP1272" i="2"/>
  <c r="AP1273" i="2"/>
  <c r="AP1274" i="2"/>
  <c r="AP1275" i="2"/>
  <c r="AP1276" i="2"/>
  <c r="AP1277" i="2"/>
  <c r="AP1278" i="2"/>
  <c r="AP1279" i="2"/>
  <c r="AP1280" i="2"/>
  <c r="AP1281" i="2"/>
  <c r="AP1282" i="2"/>
  <c r="AP1283" i="2"/>
  <c r="AP1284" i="2"/>
  <c r="AP1285" i="2"/>
  <c r="AP1286" i="2"/>
  <c r="AP1287" i="2"/>
  <c r="AP1288" i="2"/>
  <c r="AP1289" i="2"/>
  <c r="AP1290" i="2"/>
  <c r="AP1291" i="2"/>
  <c r="AP1292" i="2"/>
  <c r="AP1293" i="2"/>
  <c r="AP1294" i="2"/>
  <c r="AP1295" i="2"/>
  <c r="AP1296" i="2"/>
  <c r="AP1297" i="2"/>
  <c r="AP1298" i="2"/>
  <c r="AP1299" i="2"/>
  <c r="AP1300" i="2"/>
  <c r="AP1301" i="2"/>
  <c r="AP1302" i="2"/>
  <c r="AP1303" i="2"/>
  <c r="AP1304" i="2"/>
  <c r="AP1305" i="2"/>
  <c r="AP1306" i="2"/>
  <c r="AP1307" i="2"/>
  <c r="AP1308" i="2"/>
  <c r="AP1309" i="2"/>
  <c r="AP1310" i="2"/>
  <c r="AP1311" i="2"/>
  <c r="AP1312" i="2"/>
  <c r="AP1313" i="2"/>
  <c r="AP1314" i="2"/>
  <c r="AP1315" i="2"/>
  <c r="AP1316" i="2"/>
  <c r="AP1317" i="2"/>
  <c r="AP1318" i="2"/>
  <c r="AP1319" i="2"/>
  <c r="AP1320" i="2"/>
  <c r="AP1321" i="2"/>
  <c r="AP1322" i="2"/>
  <c r="AP1323" i="2"/>
  <c r="AP1324" i="2"/>
  <c r="AP1325" i="2"/>
  <c r="AP1326" i="2"/>
  <c r="AP1327" i="2"/>
  <c r="AP1328" i="2"/>
  <c r="AP1329" i="2"/>
  <c r="AP1330" i="2"/>
  <c r="AP1331" i="2"/>
  <c r="AP1332" i="2"/>
  <c r="AP1333" i="2"/>
  <c r="AP1334" i="2"/>
  <c r="AP1335" i="2"/>
  <c r="AP1336" i="2"/>
  <c r="AP1337" i="2"/>
  <c r="AP1338" i="2"/>
  <c r="AP1339" i="2"/>
  <c r="AP1340" i="2"/>
  <c r="AP1341" i="2"/>
  <c r="AP1342" i="2"/>
  <c r="AP1343" i="2"/>
  <c r="AP1344" i="2"/>
  <c r="AP1345" i="2"/>
  <c r="AP1346" i="2"/>
  <c r="AP1347" i="2"/>
  <c r="AP1348" i="2"/>
  <c r="AP1349" i="2"/>
  <c r="AP1350" i="2"/>
  <c r="AP1351" i="2"/>
  <c r="AP1352" i="2"/>
  <c r="AP1353" i="2"/>
  <c r="AP1354" i="2"/>
  <c r="AP1355" i="2"/>
  <c r="AP1356" i="2"/>
  <c r="AP1357" i="2"/>
  <c r="AP1358" i="2"/>
  <c r="AP1359" i="2"/>
  <c r="AP1360" i="2"/>
  <c r="AP1361" i="2"/>
  <c r="AP1362" i="2"/>
  <c r="AP1363" i="2"/>
  <c r="AP1364" i="2"/>
  <c r="AP1365" i="2"/>
  <c r="AP1366" i="2"/>
  <c r="AP1367" i="2"/>
  <c r="AP1368" i="2"/>
  <c r="AP1369" i="2"/>
  <c r="AP1370" i="2"/>
  <c r="AP1371" i="2"/>
  <c r="AP1372" i="2"/>
  <c r="AP1373" i="2"/>
  <c r="AP1374" i="2"/>
  <c r="AP1375" i="2"/>
  <c r="AP1376" i="2"/>
  <c r="AP1377" i="2"/>
  <c r="AP1378" i="2"/>
  <c r="AP1379" i="2"/>
  <c r="AP1380" i="2"/>
  <c r="AP1381" i="2"/>
  <c r="AP1382" i="2"/>
  <c r="AP1383" i="2"/>
  <c r="AP1384" i="2"/>
  <c r="AP1385" i="2"/>
  <c r="AP1386" i="2"/>
  <c r="AP1387" i="2"/>
  <c r="AP1388" i="2"/>
  <c r="AP1389" i="2"/>
  <c r="AP1390" i="2"/>
  <c r="AP1391" i="2"/>
  <c r="AP1392" i="2"/>
  <c r="AP1393" i="2"/>
  <c r="AP1394" i="2"/>
  <c r="AP1395" i="2"/>
  <c r="AP1396" i="2"/>
  <c r="AP1397" i="2"/>
  <c r="AP1398" i="2"/>
  <c r="AP1399" i="2"/>
  <c r="AP1400" i="2"/>
  <c r="AP1401" i="2"/>
  <c r="AP1402" i="2"/>
  <c r="AP1403" i="2"/>
  <c r="AP1404" i="2"/>
  <c r="AP1405" i="2"/>
  <c r="AP1406" i="2"/>
  <c r="AP1407" i="2"/>
  <c r="AP1408" i="2"/>
  <c r="AP1409" i="2"/>
  <c r="AP1410" i="2"/>
  <c r="AP1411" i="2"/>
  <c r="AP1412" i="2"/>
  <c r="AP1413" i="2"/>
  <c r="AP1414" i="2"/>
  <c r="AP1415" i="2"/>
  <c r="AP1416" i="2"/>
  <c r="AP1417" i="2"/>
  <c r="AP1418" i="2"/>
  <c r="AP1419" i="2"/>
  <c r="AP1420" i="2"/>
  <c r="AP1421" i="2"/>
  <c r="AP1422" i="2"/>
  <c r="AP1423" i="2"/>
  <c r="AP1424" i="2"/>
  <c r="AP1425" i="2"/>
  <c r="AP1426" i="2"/>
  <c r="AP1427" i="2"/>
  <c r="AP1428" i="2"/>
  <c r="AP1429" i="2"/>
  <c r="AP1430" i="2"/>
  <c r="AP1431" i="2"/>
  <c r="AP1432" i="2"/>
  <c r="AP1433" i="2"/>
  <c r="AP1434" i="2"/>
  <c r="AP1435" i="2"/>
  <c r="AP1436" i="2"/>
  <c r="AP1437" i="2"/>
  <c r="AP1438" i="2"/>
  <c r="AP1439" i="2"/>
  <c r="AP1440" i="2"/>
  <c r="AP1441" i="2"/>
  <c r="AP1442" i="2"/>
  <c r="AP1443" i="2"/>
  <c r="AP1444" i="2"/>
  <c r="AP1445" i="2"/>
  <c r="AP1446" i="2"/>
  <c r="AP1447" i="2"/>
  <c r="AP1448" i="2"/>
  <c r="AP1449" i="2"/>
  <c r="AP1450" i="2"/>
  <c r="AP1451" i="2"/>
  <c r="AP1452" i="2"/>
  <c r="AP1453" i="2"/>
  <c r="AP1454" i="2"/>
  <c r="AP1455" i="2"/>
  <c r="AP1456" i="2"/>
  <c r="AP1457" i="2"/>
  <c r="AP1458" i="2"/>
  <c r="AP1459" i="2"/>
  <c r="AP1460" i="2"/>
  <c r="AP1461" i="2"/>
  <c r="AP1462" i="2"/>
  <c r="AP1463" i="2"/>
  <c r="AP1464" i="2"/>
  <c r="AP1465" i="2"/>
  <c r="AP1466" i="2"/>
  <c r="AP1467" i="2"/>
  <c r="AP1468" i="2"/>
  <c r="AP1469" i="2"/>
  <c r="AP1470" i="2"/>
  <c r="AP1471" i="2"/>
  <c r="AN2" i="2"/>
  <c r="AN3" i="2"/>
  <c r="AN4" i="2"/>
  <c r="AN5" i="2"/>
  <c r="AN6" i="2"/>
  <c r="AN7" i="2"/>
  <c r="AN8" i="2"/>
  <c r="AN9" i="2"/>
  <c r="AN10" i="2"/>
  <c r="AN11" i="2"/>
  <c r="AN12" i="2"/>
  <c r="AN13" i="2"/>
  <c r="AN14" i="2"/>
  <c r="AN15" i="2"/>
  <c r="AN16" i="2"/>
  <c r="AN17" i="2"/>
  <c r="AN18" i="2"/>
  <c r="AN19" i="2"/>
  <c r="AN20" i="2"/>
  <c r="AN21" i="2"/>
  <c r="AN22" i="2"/>
  <c r="AN23" i="2"/>
  <c r="AN24" i="2"/>
  <c r="AN25" i="2"/>
  <c r="AN26" i="2"/>
  <c r="AN27" i="2"/>
  <c r="AN28" i="2"/>
  <c r="AN29" i="2"/>
  <c r="AN30" i="2"/>
  <c r="AN31" i="2"/>
  <c r="AN32" i="2"/>
  <c r="AN33" i="2"/>
  <c r="AN34" i="2"/>
  <c r="AN35" i="2"/>
  <c r="AN36" i="2"/>
  <c r="AN37" i="2"/>
  <c r="AN38" i="2"/>
  <c r="AN39" i="2"/>
  <c r="AN40" i="2"/>
  <c r="AN41" i="2"/>
  <c r="AN42" i="2"/>
  <c r="AN43" i="2"/>
  <c r="AN44" i="2"/>
  <c r="AN45" i="2"/>
  <c r="AN46" i="2"/>
  <c r="AN47" i="2"/>
  <c r="AN48" i="2"/>
  <c r="AN49" i="2"/>
  <c r="AN50" i="2"/>
  <c r="AN51" i="2"/>
  <c r="AN52" i="2"/>
  <c r="AN53" i="2"/>
  <c r="AN54" i="2"/>
  <c r="AN55" i="2"/>
  <c r="AN56" i="2"/>
  <c r="AN57" i="2"/>
  <c r="AN58" i="2"/>
  <c r="AN59" i="2"/>
  <c r="AN60"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0" i="2"/>
  <c r="AN241" i="2"/>
  <c r="AN242" i="2"/>
  <c r="AN243" i="2"/>
  <c r="AN244" i="2"/>
  <c r="AN245" i="2"/>
  <c r="AN246" i="2"/>
  <c r="AN247" i="2"/>
  <c r="AN248" i="2"/>
  <c r="AN249" i="2"/>
  <c r="AN250" i="2"/>
  <c r="AN251" i="2"/>
  <c r="AN252" i="2"/>
  <c r="AN253" i="2"/>
  <c r="AN254" i="2"/>
  <c r="AN255" i="2"/>
  <c r="AN256" i="2"/>
  <c r="AN257" i="2"/>
  <c r="AN258" i="2"/>
  <c r="AN259" i="2"/>
  <c r="AN260" i="2"/>
  <c r="AN261" i="2"/>
  <c r="AN262" i="2"/>
  <c r="AN263" i="2"/>
  <c r="AN264" i="2"/>
  <c r="AN265" i="2"/>
  <c r="AN266" i="2"/>
  <c r="AN267" i="2"/>
  <c r="AN268" i="2"/>
  <c r="AN269" i="2"/>
  <c r="AN270" i="2"/>
  <c r="AN271" i="2"/>
  <c r="AN272" i="2"/>
  <c r="AN273" i="2"/>
  <c r="AN274" i="2"/>
  <c r="AN275" i="2"/>
  <c r="AN276" i="2"/>
  <c r="AN277" i="2"/>
  <c r="AN278" i="2"/>
  <c r="AN279" i="2"/>
  <c r="AN280" i="2"/>
  <c r="AN281" i="2"/>
  <c r="AN282" i="2"/>
  <c r="AN283" i="2"/>
  <c r="AN284" i="2"/>
  <c r="AN285" i="2"/>
  <c r="AN286" i="2"/>
  <c r="AN287" i="2"/>
  <c r="AN288" i="2"/>
  <c r="AN289" i="2"/>
  <c r="AN290" i="2"/>
  <c r="AN291" i="2"/>
  <c r="AN292" i="2"/>
  <c r="AN293" i="2"/>
  <c r="AN294" i="2"/>
  <c r="AN295" i="2"/>
  <c r="AN296" i="2"/>
  <c r="AN297" i="2"/>
  <c r="AN298" i="2"/>
  <c r="AN299" i="2"/>
  <c r="AN300" i="2"/>
  <c r="AN301" i="2"/>
  <c r="AN302" i="2"/>
  <c r="AN303" i="2"/>
  <c r="AN304" i="2"/>
  <c r="AN305" i="2"/>
  <c r="AN306" i="2"/>
  <c r="AN307" i="2"/>
  <c r="AN308" i="2"/>
  <c r="AN309" i="2"/>
  <c r="AN310" i="2"/>
  <c r="AN311" i="2"/>
  <c r="AN312" i="2"/>
  <c r="AN313" i="2"/>
  <c r="AN314" i="2"/>
  <c r="AN315" i="2"/>
  <c r="AN316" i="2"/>
  <c r="AN317" i="2"/>
  <c r="AN318" i="2"/>
  <c r="AN319" i="2"/>
  <c r="AN320" i="2"/>
  <c r="AN321" i="2"/>
  <c r="AN322" i="2"/>
  <c r="AN323" i="2"/>
  <c r="AN324" i="2"/>
  <c r="AN325" i="2"/>
  <c r="AN326" i="2"/>
  <c r="AN327" i="2"/>
  <c r="AN328" i="2"/>
  <c r="AN329" i="2"/>
  <c r="AN330" i="2"/>
  <c r="AN331" i="2"/>
  <c r="AN332" i="2"/>
  <c r="AN333" i="2"/>
  <c r="AN334" i="2"/>
  <c r="AN335" i="2"/>
  <c r="AN336" i="2"/>
  <c r="AN337" i="2"/>
  <c r="AN338" i="2"/>
  <c r="AN339" i="2"/>
  <c r="AN340" i="2"/>
  <c r="AN341" i="2"/>
  <c r="AN342" i="2"/>
  <c r="AN343" i="2"/>
  <c r="AN344" i="2"/>
  <c r="AN345" i="2"/>
  <c r="AN346" i="2"/>
  <c r="AN347" i="2"/>
  <c r="AN348" i="2"/>
  <c r="AN349" i="2"/>
  <c r="AN350" i="2"/>
  <c r="AN351" i="2"/>
  <c r="AN352" i="2"/>
  <c r="AN353" i="2"/>
  <c r="AN354" i="2"/>
  <c r="AN355" i="2"/>
  <c r="AN356" i="2"/>
  <c r="AN357" i="2"/>
  <c r="AN358" i="2"/>
  <c r="AN359" i="2"/>
  <c r="AN360" i="2"/>
  <c r="AN361" i="2"/>
  <c r="AN362" i="2"/>
  <c r="AN363" i="2"/>
  <c r="AN364" i="2"/>
  <c r="AN365" i="2"/>
  <c r="AN366" i="2"/>
  <c r="AN367" i="2"/>
  <c r="AN368" i="2"/>
  <c r="AN369" i="2"/>
  <c r="AN370" i="2"/>
  <c r="AN371" i="2"/>
  <c r="AN372" i="2"/>
  <c r="AN373" i="2"/>
  <c r="AN374" i="2"/>
  <c r="AN375" i="2"/>
  <c r="AN376" i="2"/>
  <c r="AN377" i="2"/>
  <c r="AN378" i="2"/>
  <c r="AN379" i="2"/>
  <c r="AN380" i="2"/>
  <c r="AN381" i="2"/>
  <c r="AN382" i="2"/>
  <c r="AN383" i="2"/>
  <c r="AN384" i="2"/>
  <c r="AN385" i="2"/>
  <c r="AN386" i="2"/>
  <c r="AN387" i="2"/>
  <c r="AN388" i="2"/>
  <c r="AN389" i="2"/>
  <c r="AN390" i="2"/>
  <c r="AN391" i="2"/>
  <c r="AN392" i="2"/>
  <c r="AN393" i="2"/>
  <c r="AN394" i="2"/>
  <c r="AN395" i="2"/>
  <c r="AN396" i="2"/>
  <c r="AN397" i="2"/>
  <c r="AN398" i="2"/>
  <c r="AN399" i="2"/>
  <c r="AN400" i="2"/>
  <c r="AN401" i="2"/>
  <c r="AN402" i="2"/>
  <c r="AN403" i="2"/>
  <c r="AN404" i="2"/>
  <c r="AN405" i="2"/>
  <c r="AN406" i="2"/>
  <c r="AN407" i="2"/>
  <c r="AN408" i="2"/>
  <c r="AN409" i="2"/>
  <c r="AN410" i="2"/>
  <c r="AN411" i="2"/>
  <c r="AN412" i="2"/>
  <c r="AN413" i="2"/>
  <c r="AN414" i="2"/>
  <c r="AN415" i="2"/>
  <c r="AN416" i="2"/>
  <c r="AN417" i="2"/>
  <c r="AN418" i="2"/>
  <c r="AN419" i="2"/>
  <c r="AN420" i="2"/>
  <c r="AN421" i="2"/>
  <c r="AN422" i="2"/>
  <c r="AN423" i="2"/>
  <c r="AN424" i="2"/>
  <c r="AN425" i="2"/>
  <c r="AN426" i="2"/>
  <c r="AN427" i="2"/>
  <c r="AN428" i="2"/>
  <c r="AN429" i="2"/>
  <c r="AN430" i="2"/>
  <c r="AN431" i="2"/>
  <c r="AN432" i="2"/>
  <c r="AN433" i="2"/>
  <c r="AN434" i="2"/>
  <c r="AN435" i="2"/>
  <c r="AN436" i="2"/>
  <c r="AN437" i="2"/>
  <c r="AN438" i="2"/>
  <c r="AN439" i="2"/>
  <c r="AN440" i="2"/>
  <c r="AN441" i="2"/>
  <c r="AN442" i="2"/>
  <c r="AN443" i="2"/>
  <c r="AN444" i="2"/>
  <c r="AN445" i="2"/>
  <c r="AN446" i="2"/>
  <c r="AN447" i="2"/>
  <c r="AN448" i="2"/>
  <c r="AN449" i="2"/>
  <c r="AN450" i="2"/>
  <c r="AN451" i="2"/>
  <c r="AN452" i="2"/>
  <c r="AN453" i="2"/>
  <c r="AN454" i="2"/>
  <c r="AN455" i="2"/>
  <c r="AN456" i="2"/>
  <c r="AN457" i="2"/>
  <c r="AN458" i="2"/>
  <c r="AN459" i="2"/>
  <c r="AN460" i="2"/>
  <c r="AN461" i="2"/>
  <c r="AN462" i="2"/>
  <c r="AN463" i="2"/>
  <c r="AN464" i="2"/>
  <c r="AN465" i="2"/>
  <c r="AN466" i="2"/>
  <c r="AN467" i="2"/>
  <c r="AN468" i="2"/>
  <c r="AN469" i="2"/>
  <c r="AN470" i="2"/>
  <c r="AN471" i="2"/>
  <c r="AN472" i="2"/>
  <c r="AN473" i="2"/>
  <c r="AN474" i="2"/>
  <c r="AN475" i="2"/>
  <c r="AN476" i="2"/>
  <c r="AN477" i="2"/>
  <c r="AN478" i="2"/>
  <c r="AN479" i="2"/>
  <c r="AN480" i="2"/>
  <c r="AN481" i="2"/>
  <c r="AN482" i="2"/>
  <c r="AN483" i="2"/>
  <c r="AN484" i="2"/>
  <c r="AN485" i="2"/>
  <c r="AN486" i="2"/>
  <c r="AN487" i="2"/>
  <c r="AN488" i="2"/>
  <c r="AN489" i="2"/>
  <c r="AN490" i="2"/>
  <c r="AN491" i="2"/>
  <c r="AN492" i="2"/>
  <c r="AN493" i="2"/>
  <c r="AN494" i="2"/>
  <c r="AN495" i="2"/>
  <c r="AN496" i="2"/>
  <c r="AN497" i="2"/>
  <c r="AN498" i="2"/>
  <c r="AN499" i="2"/>
  <c r="AN500" i="2"/>
  <c r="AN501" i="2"/>
  <c r="AN502" i="2"/>
  <c r="AN503" i="2"/>
  <c r="AN504" i="2"/>
  <c r="AN505" i="2"/>
  <c r="AN506" i="2"/>
  <c r="AN507" i="2"/>
  <c r="AN508" i="2"/>
  <c r="AN509" i="2"/>
  <c r="AN510" i="2"/>
  <c r="AN511" i="2"/>
  <c r="AN512" i="2"/>
  <c r="AN513" i="2"/>
  <c r="AN514" i="2"/>
  <c r="AN515" i="2"/>
  <c r="AN516" i="2"/>
  <c r="AN517" i="2"/>
  <c r="AN518" i="2"/>
  <c r="AN519" i="2"/>
  <c r="AN520" i="2"/>
  <c r="AN521" i="2"/>
  <c r="AN522" i="2"/>
  <c r="AN523" i="2"/>
  <c r="AN524" i="2"/>
  <c r="AN525" i="2"/>
  <c r="AN526" i="2"/>
  <c r="AN527" i="2"/>
  <c r="AN528" i="2"/>
  <c r="AN529" i="2"/>
  <c r="AN530" i="2"/>
  <c r="AN531" i="2"/>
  <c r="AN532" i="2"/>
  <c r="AN533" i="2"/>
  <c r="AN534" i="2"/>
  <c r="AN535" i="2"/>
  <c r="AN536" i="2"/>
  <c r="AN537" i="2"/>
  <c r="AN538" i="2"/>
  <c r="AN539" i="2"/>
  <c r="AN540" i="2"/>
  <c r="AN541" i="2"/>
  <c r="AN542" i="2"/>
  <c r="AN543" i="2"/>
  <c r="AN544" i="2"/>
  <c r="AN545" i="2"/>
  <c r="AN546" i="2"/>
  <c r="AN547" i="2"/>
  <c r="AN548" i="2"/>
  <c r="AN549" i="2"/>
  <c r="AN550" i="2"/>
  <c r="AN551" i="2"/>
  <c r="AN552" i="2"/>
  <c r="AN553" i="2"/>
  <c r="AN554" i="2"/>
  <c r="AN555" i="2"/>
  <c r="AN556" i="2"/>
  <c r="AN557" i="2"/>
  <c r="AN558" i="2"/>
  <c r="AN559" i="2"/>
  <c r="AN560" i="2"/>
  <c r="AN561" i="2"/>
  <c r="AN562" i="2"/>
  <c r="AN563" i="2"/>
  <c r="AN564" i="2"/>
  <c r="AN565" i="2"/>
  <c r="AN566" i="2"/>
  <c r="AN567" i="2"/>
  <c r="AN568" i="2"/>
  <c r="AN569" i="2"/>
  <c r="AN570" i="2"/>
  <c r="AN571" i="2"/>
  <c r="AN572" i="2"/>
  <c r="AN573" i="2"/>
  <c r="AN574" i="2"/>
  <c r="AN575" i="2"/>
  <c r="AN576" i="2"/>
  <c r="AN577" i="2"/>
  <c r="AN578" i="2"/>
  <c r="AN579" i="2"/>
  <c r="AN580" i="2"/>
  <c r="AN581" i="2"/>
  <c r="AN582" i="2"/>
  <c r="AN583" i="2"/>
  <c r="AN584" i="2"/>
  <c r="AN585" i="2"/>
  <c r="AN586" i="2"/>
  <c r="AN587" i="2"/>
  <c r="AN588" i="2"/>
  <c r="AN589" i="2"/>
  <c r="AN590" i="2"/>
  <c r="AN591" i="2"/>
  <c r="AN592" i="2"/>
  <c r="AN593" i="2"/>
  <c r="AN594" i="2"/>
  <c r="AN595" i="2"/>
  <c r="AN596" i="2"/>
  <c r="AN597" i="2"/>
  <c r="AN598" i="2"/>
  <c r="AN599" i="2"/>
  <c r="AN600" i="2"/>
  <c r="AN601" i="2"/>
  <c r="AN602" i="2"/>
  <c r="AN603" i="2"/>
  <c r="AN604" i="2"/>
  <c r="AN605" i="2"/>
  <c r="AN606" i="2"/>
  <c r="AN607" i="2"/>
  <c r="AN608" i="2"/>
  <c r="AN609" i="2"/>
  <c r="AN610" i="2"/>
  <c r="AN611" i="2"/>
  <c r="AN612" i="2"/>
  <c r="AN613" i="2"/>
  <c r="AN614" i="2"/>
  <c r="AN615" i="2"/>
  <c r="AN616" i="2"/>
  <c r="AN617" i="2"/>
  <c r="AN618" i="2"/>
  <c r="AN619" i="2"/>
  <c r="AN620" i="2"/>
  <c r="AN621" i="2"/>
  <c r="AN622" i="2"/>
  <c r="AN623" i="2"/>
  <c r="AN624" i="2"/>
  <c r="AN625" i="2"/>
  <c r="AN626" i="2"/>
  <c r="AN627" i="2"/>
  <c r="AN628" i="2"/>
  <c r="AN629" i="2"/>
  <c r="AN630" i="2"/>
  <c r="AN631" i="2"/>
  <c r="AN632" i="2"/>
  <c r="AN633" i="2"/>
  <c r="AN634" i="2"/>
  <c r="AN635" i="2"/>
  <c r="AN636" i="2"/>
  <c r="AN637" i="2"/>
  <c r="AN638" i="2"/>
  <c r="AN639" i="2"/>
  <c r="AN640" i="2"/>
  <c r="AN641" i="2"/>
  <c r="AN642" i="2"/>
  <c r="AN643" i="2"/>
  <c r="AN644" i="2"/>
  <c r="AN645" i="2"/>
  <c r="AN646" i="2"/>
  <c r="AN647" i="2"/>
  <c r="AN648" i="2"/>
  <c r="AN649" i="2"/>
  <c r="AN650" i="2"/>
  <c r="AN651" i="2"/>
  <c r="AN652" i="2"/>
  <c r="AN653" i="2"/>
  <c r="AN654" i="2"/>
  <c r="AN655" i="2"/>
  <c r="AN656" i="2"/>
  <c r="AN657" i="2"/>
  <c r="AN658" i="2"/>
  <c r="AN659" i="2"/>
  <c r="AN660" i="2"/>
  <c r="AN661" i="2"/>
  <c r="AN662" i="2"/>
  <c r="AN663" i="2"/>
  <c r="AN664" i="2"/>
  <c r="AN665" i="2"/>
  <c r="AN666" i="2"/>
  <c r="AN667" i="2"/>
  <c r="AN668" i="2"/>
  <c r="AN669" i="2"/>
  <c r="AN670" i="2"/>
  <c r="AN671" i="2"/>
  <c r="AN672" i="2"/>
  <c r="AN673" i="2"/>
  <c r="AN674" i="2"/>
  <c r="AN675" i="2"/>
  <c r="AN676" i="2"/>
  <c r="AN677" i="2"/>
  <c r="AN678" i="2"/>
  <c r="AN679" i="2"/>
  <c r="AN680" i="2"/>
  <c r="AN681" i="2"/>
  <c r="AN682" i="2"/>
  <c r="AN683" i="2"/>
  <c r="AN684" i="2"/>
  <c r="AN685" i="2"/>
  <c r="AN686" i="2"/>
  <c r="AN687" i="2"/>
  <c r="AN688" i="2"/>
  <c r="AN689" i="2"/>
  <c r="AN690" i="2"/>
  <c r="AN691" i="2"/>
  <c r="AN692" i="2"/>
  <c r="AN693" i="2"/>
  <c r="AN694" i="2"/>
  <c r="AN695" i="2"/>
  <c r="AN696" i="2"/>
  <c r="AN697" i="2"/>
  <c r="AN698" i="2"/>
  <c r="AN699" i="2"/>
  <c r="AN700" i="2"/>
  <c r="AN701" i="2"/>
  <c r="AN702" i="2"/>
  <c r="AN703" i="2"/>
  <c r="AN704" i="2"/>
  <c r="AN705" i="2"/>
  <c r="AN706" i="2"/>
  <c r="AN707" i="2"/>
  <c r="AN708" i="2"/>
  <c r="AN709" i="2"/>
  <c r="AN710" i="2"/>
  <c r="AN711" i="2"/>
  <c r="AN712" i="2"/>
  <c r="AN713" i="2"/>
  <c r="AN714" i="2"/>
  <c r="AN715" i="2"/>
  <c r="AN716" i="2"/>
  <c r="AN717" i="2"/>
  <c r="AN718" i="2"/>
  <c r="AN719" i="2"/>
  <c r="AN720" i="2"/>
  <c r="AN721" i="2"/>
  <c r="AN722" i="2"/>
  <c r="AN723" i="2"/>
  <c r="AN724" i="2"/>
  <c r="AN725" i="2"/>
  <c r="AN726" i="2"/>
  <c r="AN727" i="2"/>
  <c r="AN728" i="2"/>
  <c r="AN729" i="2"/>
  <c r="AN730" i="2"/>
  <c r="AN731" i="2"/>
  <c r="AN732" i="2"/>
  <c r="AN733" i="2"/>
  <c r="AN734" i="2"/>
  <c r="AN735" i="2"/>
  <c r="AN736" i="2"/>
  <c r="AN737" i="2"/>
  <c r="AN738" i="2"/>
  <c r="AN739" i="2"/>
  <c r="AN740" i="2"/>
  <c r="AN741" i="2"/>
  <c r="AN742" i="2"/>
  <c r="AN743" i="2"/>
  <c r="AN744" i="2"/>
  <c r="AN745" i="2"/>
  <c r="AN746" i="2"/>
  <c r="AN747" i="2"/>
  <c r="AN748" i="2"/>
  <c r="AN749" i="2"/>
  <c r="AN750" i="2"/>
  <c r="AN751" i="2"/>
  <c r="AN752" i="2"/>
  <c r="AN753" i="2"/>
  <c r="AN754" i="2"/>
  <c r="AN755" i="2"/>
  <c r="AN756" i="2"/>
  <c r="AN757" i="2"/>
  <c r="AN758" i="2"/>
  <c r="AN759" i="2"/>
  <c r="AN760" i="2"/>
  <c r="AN761" i="2"/>
  <c r="AN762" i="2"/>
  <c r="AN763" i="2"/>
  <c r="AN764" i="2"/>
  <c r="AN765" i="2"/>
  <c r="AN766" i="2"/>
  <c r="AN767" i="2"/>
  <c r="AN768" i="2"/>
  <c r="AN769" i="2"/>
  <c r="AN770" i="2"/>
  <c r="AN771" i="2"/>
  <c r="AN772" i="2"/>
  <c r="AN773" i="2"/>
  <c r="AN774" i="2"/>
  <c r="AN775" i="2"/>
  <c r="AN776" i="2"/>
  <c r="AN777" i="2"/>
  <c r="AN778" i="2"/>
  <c r="AN779" i="2"/>
  <c r="AN780" i="2"/>
  <c r="AN781" i="2"/>
  <c r="AN782" i="2"/>
  <c r="AN783" i="2"/>
  <c r="AN784" i="2"/>
  <c r="AN785" i="2"/>
  <c r="AN786" i="2"/>
  <c r="AN787" i="2"/>
  <c r="AN788" i="2"/>
  <c r="AN789" i="2"/>
  <c r="AN790" i="2"/>
  <c r="AN791" i="2"/>
  <c r="AN792" i="2"/>
  <c r="AN793" i="2"/>
  <c r="AN794" i="2"/>
  <c r="AN795" i="2"/>
  <c r="AN796" i="2"/>
  <c r="AN797" i="2"/>
  <c r="AN798" i="2"/>
  <c r="AN799" i="2"/>
  <c r="AN800" i="2"/>
  <c r="AN801" i="2"/>
  <c r="AN802" i="2"/>
  <c r="AN803" i="2"/>
  <c r="AN804" i="2"/>
  <c r="AN805" i="2"/>
  <c r="AN806" i="2"/>
  <c r="AN807" i="2"/>
  <c r="AN808" i="2"/>
  <c r="AN809" i="2"/>
  <c r="AN810" i="2"/>
  <c r="AN811" i="2"/>
  <c r="AN812" i="2"/>
  <c r="AN813" i="2"/>
  <c r="AN814" i="2"/>
  <c r="AN815" i="2"/>
  <c r="AN816" i="2"/>
  <c r="AN817" i="2"/>
  <c r="AN818" i="2"/>
  <c r="AN819" i="2"/>
  <c r="AN820" i="2"/>
  <c r="AN821" i="2"/>
  <c r="AN822" i="2"/>
  <c r="AN823" i="2"/>
  <c r="AN824" i="2"/>
  <c r="AN825" i="2"/>
  <c r="AN826" i="2"/>
  <c r="AN827" i="2"/>
  <c r="AN828" i="2"/>
  <c r="AN829" i="2"/>
  <c r="AN830" i="2"/>
  <c r="AN831" i="2"/>
  <c r="AN832" i="2"/>
  <c r="AN833" i="2"/>
  <c r="AN834" i="2"/>
  <c r="AN835" i="2"/>
  <c r="AN836" i="2"/>
  <c r="AN837" i="2"/>
  <c r="AN838" i="2"/>
  <c r="AN839" i="2"/>
  <c r="AN840" i="2"/>
  <c r="AN841" i="2"/>
  <c r="AN842" i="2"/>
  <c r="AN843" i="2"/>
  <c r="AN844" i="2"/>
  <c r="AN845" i="2"/>
  <c r="AN846" i="2"/>
  <c r="AN847" i="2"/>
  <c r="AN848" i="2"/>
  <c r="AN849" i="2"/>
  <c r="AN850" i="2"/>
  <c r="AN851" i="2"/>
  <c r="AN852" i="2"/>
  <c r="AN853" i="2"/>
  <c r="AN854" i="2"/>
  <c r="AN855" i="2"/>
  <c r="AN856" i="2"/>
  <c r="AN857" i="2"/>
  <c r="AN858" i="2"/>
  <c r="AN859" i="2"/>
  <c r="AN860" i="2"/>
  <c r="AN861" i="2"/>
  <c r="AN862" i="2"/>
  <c r="AN863" i="2"/>
  <c r="AN864" i="2"/>
  <c r="AN865" i="2"/>
  <c r="AN866" i="2"/>
  <c r="AN867" i="2"/>
  <c r="AN868" i="2"/>
  <c r="AN869" i="2"/>
  <c r="AN870" i="2"/>
  <c r="AN871" i="2"/>
  <c r="AN872" i="2"/>
  <c r="AN873" i="2"/>
  <c r="AN874" i="2"/>
  <c r="AN875" i="2"/>
  <c r="AN876" i="2"/>
  <c r="AN877" i="2"/>
  <c r="AN878" i="2"/>
  <c r="AN879" i="2"/>
  <c r="AN880" i="2"/>
  <c r="AN881" i="2"/>
  <c r="AN882" i="2"/>
  <c r="AN883" i="2"/>
  <c r="AN884" i="2"/>
  <c r="AN885" i="2"/>
  <c r="AN886" i="2"/>
  <c r="AN887" i="2"/>
  <c r="AN888" i="2"/>
  <c r="AN889" i="2"/>
  <c r="AN890" i="2"/>
  <c r="AN891" i="2"/>
  <c r="AN892" i="2"/>
  <c r="AN893" i="2"/>
  <c r="AN894" i="2"/>
  <c r="AN895" i="2"/>
  <c r="AN896" i="2"/>
  <c r="AN897" i="2"/>
  <c r="AN898" i="2"/>
  <c r="AN899" i="2"/>
  <c r="AN900" i="2"/>
  <c r="AN901" i="2"/>
  <c r="AN902" i="2"/>
  <c r="AN903" i="2"/>
  <c r="AN904" i="2"/>
  <c r="AN905" i="2"/>
  <c r="AN906" i="2"/>
  <c r="AN907" i="2"/>
  <c r="AN908" i="2"/>
  <c r="AN909" i="2"/>
  <c r="AN910" i="2"/>
  <c r="AN911" i="2"/>
  <c r="AN912" i="2"/>
  <c r="AN913" i="2"/>
  <c r="AN914" i="2"/>
  <c r="AN915" i="2"/>
  <c r="AN916" i="2"/>
  <c r="AN917" i="2"/>
  <c r="AN918" i="2"/>
  <c r="AN919" i="2"/>
  <c r="AN920" i="2"/>
  <c r="AN921" i="2"/>
  <c r="AN922" i="2"/>
  <c r="AN923" i="2"/>
  <c r="AN924" i="2"/>
  <c r="AN925" i="2"/>
  <c r="AN926" i="2"/>
  <c r="AN927" i="2"/>
  <c r="AN928" i="2"/>
  <c r="AN929" i="2"/>
  <c r="AN930" i="2"/>
  <c r="AN931" i="2"/>
  <c r="AN932" i="2"/>
  <c r="AN933" i="2"/>
  <c r="AN934" i="2"/>
  <c r="AN935" i="2"/>
  <c r="AN936" i="2"/>
  <c r="AN937" i="2"/>
  <c r="AN938" i="2"/>
  <c r="AN939" i="2"/>
  <c r="AN940" i="2"/>
  <c r="AN941" i="2"/>
  <c r="AN942" i="2"/>
  <c r="AN943" i="2"/>
  <c r="AN944" i="2"/>
  <c r="AN945" i="2"/>
  <c r="AN946" i="2"/>
  <c r="AN947" i="2"/>
  <c r="AN948" i="2"/>
  <c r="AN949" i="2"/>
  <c r="AN950" i="2"/>
  <c r="AN951" i="2"/>
  <c r="AN952" i="2"/>
  <c r="AN953" i="2"/>
  <c r="AN954" i="2"/>
  <c r="AN955" i="2"/>
  <c r="AN956" i="2"/>
  <c r="AN957" i="2"/>
  <c r="AN958" i="2"/>
  <c r="AN959" i="2"/>
  <c r="AN960" i="2"/>
  <c r="AN961" i="2"/>
  <c r="AN962" i="2"/>
  <c r="AN963" i="2"/>
  <c r="AN964" i="2"/>
  <c r="AN965" i="2"/>
  <c r="AN966" i="2"/>
  <c r="AN967" i="2"/>
  <c r="AN968" i="2"/>
  <c r="AN969" i="2"/>
  <c r="AN970" i="2"/>
  <c r="AN971" i="2"/>
  <c r="AN972" i="2"/>
  <c r="AN973" i="2"/>
  <c r="AN974" i="2"/>
  <c r="AN975" i="2"/>
  <c r="AN976" i="2"/>
  <c r="AN977" i="2"/>
  <c r="AN978" i="2"/>
  <c r="AN979" i="2"/>
  <c r="AN980" i="2"/>
  <c r="AN981" i="2"/>
  <c r="AN982" i="2"/>
  <c r="AN983" i="2"/>
  <c r="AN984" i="2"/>
  <c r="AN985" i="2"/>
  <c r="AN986" i="2"/>
  <c r="AN987" i="2"/>
  <c r="AN988" i="2"/>
  <c r="AN989" i="2"/>
  <c r="AN990" i="2"/>
  <c r="AN991" i="2"/>
  <c r="AN992" i="2"/>
  <c r="AN993" i="2"/>
  <c r="AN994" i="2"/>
  <c r="AN995" i="2"/>
  <c r="AN996" i="2"/>
  <c r="AN997" i="2"/>
  <c r="AN998" i="2"/>
  <c r="AN999" i="2"/>
  <c r="AN1000" i="2"/>
  <c r="AN1001" i="2"/>
  <c r="AN1002" i="2"/>
  <c r="AN1003" i="2"/>
  <c r="AN1004" i="2"/>
  <c r="AN1005" i="2"/>
  <c r="AN1006" i="2"/>
  <c r="AN1007" i="2"/>
  <c r="AN1008" i="2"/>
  <c r="AN1009" i="2"/>
  <c r="AN1010" i="2"/>
  <c r="AN1011" i="2"/>
  <c r="AN1012" i="2"/>
  <c r="AN1013" i="2"/>
  <c r="AN1014" i="2"/>
  <c r="AN1015" i="2"/>
  <c r="AN1016" i="2"/>
  <c r="AN1017" i="2"/>
  <c r="AN1018" i="2"/>
  <c r="AN1019" i="2"/>
  <c r="AN1020" i="2"/>
  <c r="AN1021" i="2"/>
  <c r="AN1022" i="2"/>
  <c r="AN1023" i="2"/>
  <c r="AN1024" i="2"/>
  <c r="AN1025" i="2"/>
  <c r="AN1026" i="2"/>
  <c r="AN1027" i="2"/>
  <c r="AN1028" i="2"/>
  <c r="AN1029" i="2"/>
  <c r="AN1030" i="2"/>
  <c r="AN1031" i="2"/>
  <c r="AN1032" i="2"/>
  <c r="AN1033" i="2"/>
  <c r="AN1034" i="2"/>
  <c r="AN1035" i="2"/>
  <c r="AN1036" i="2"/>
  <c r="AN1037" i="2"/>
  <c r="AN1038" i="2"/>
  <c r="AN1039" i="2"/>
  <c r="AN1040" i="2"/>
  <c r="AN1041" i="2"/>
  <c r="AN1042" i="2"/>
  <c r="AN1043" i="2"/>
  <c r="AN1044" i="2"/>
  <c r="AN1045" i="2"/>
  <c r="AN1046" i="2"/>
  <c r="AN1047" i="2"/>
  <c r="AN1048" i="2"/>
  <c r="AN1049" i="2"/>
  <c r="AN1050" i="2"/>
  <c r="AN1051" i="2"/>
  <c r="AN1052" i="2"/>
  <c r="AN1053" i="2"/>
  <c r="AN1054" i="2"/>
  <c r="AN1055" i="2"/>
  <c r="AN1056" i="2"/>
  <c r="AN1057" i="2"/>
  <c r="AN1058" i="2"/>
  <c r="AN1059" i="2"/>
  <c r="AN1060" i="2"/>
  <c r="AN1061" i="2"/>
  <c r="AN1062" i="2"/>
  <c r="AN1063" i="2"/>
  <c r="AN1064" i="2"/>
  <c r="AN1065" i="2"/>
  <c r="AN1066" i="2"/>
  <c r="AN1067" i="2"/>
  <c r="AN1068" i="2"/>
  <c r="AN1069" i="2"/>
  <c r="AN1070" i="2"/>
  <c r="AN1071" i="2"/>
  <c r="AN1072" i="2"/>
  <c r="AN1073" i="2"/>
  <c r="AN1074" i="2"/>
  <c r="AN1075" i="2"/>
  <c r="AN1076" i="2"/>
  <c r="AN1077" i="2"/>
  <c r="AN1078" i="2"/>
  <c r="AN1079" i="2"/>
  <c r="AN1080" i="2"/>
  <c r="AN1081" i="2"/>
  <c r="AN1082" i="2"/>
  <c r="AN1083" i="2"/>
  <c r="AN1084" i="2"/>
  <c r="AN1085" i="2"/>
  <c r="AN1086" i="2"/>
  <c r="AN1087" i="2"/>
  <c r="AN1088" i="2"/>
  <c r="AN1089" i="2"/>
  <c r="AN1090" i="2"/>
  <c r="AN1091" i="2"/>
  <c r="AN1092" i="2"/>
  <c r="AN1093" i="2"/>
  <c r="AN1094" i="2"/>
  <c r="AN1095" i="2"/>
  <c r="AN1096" i="2"/>
  <c r="AN1097" i="2"/>
  <c r="AN1098" i="2"/>
  <c r="AN1099" i="2"/>
  <c r="AN1100" i="2"/>
  <c r="AN1101" i="2"/>
  <c r="AN1102" i="2"/>
  <c r="AN1103" i="2"/>
  <c r="AN1104" i="2"/>
  <c r="AN1105" i="2"/>
  <c r="AN1106" i="2"/>
  <c r="AN1107" i="2"/>
  <c r="AN1108" i="2"/>
  <c r="AN1109" i="2"/>
  <c r="AN1110" i="2"/>
  <c r="AN1111" i="2"/>
  <c r="AN1112" i="2"/>
  <c r="AN1113" i="2"/>
  <c r="AN1114" i="2"/>
  <c r="AN1115" i="2"/>
  <c r="AN1116" i="2"/>
  <c r="AN1117" i="2"/>
  <c r="AN1118" i="2"/>
  <c r="AN1119" i="2"/>
  <c r="AN1120" i="2"/>
  <c r="AN1121" i="2"/>
  <c r="AN1122" i="2"/>
  <c r="AN1123" i="2"/>
  <c r="AN1124" i="2"/>
  <c r="AN1125" i="2"/>
  <c r="AN1126" i="2"/>
  <c r="AN1127" i="2"/>
  <c r="AN1128" i="2"/>
  <c r="AN1129" i="2"/>
  <c r="AN1130" i="2"/>
  <c r="AN1131" i="2"/>
  <c r="AN1132" i="2"/>
  <c r="AN1133" i="2"/>
  <c r="AN1134" i="2"/>
  <c r="AN1135" i="2"/>
  <c r="AN1136" i="2"/>
  <c r="AN1137" i="2"/>
  <c r="AN1138" i="2"/>
  <c r="AN1139" i="2"/>
  <c r="AN1140" i="2"/>
  <c r="AN1141" i="2"/>
  <c r="AN1142" i="2"/>
  <c r="AN1143" i="2"/>
  <c r="AN1144" i="2"/>
  <c r="AN1145" i="2"/>
  <c r="AN1146" i="2"/>
  <c r="AN1147" i="2"/>
  <c r="AN1148" i="2"/>
  <c r="AN1149" i="2"/>
  <c r="AN1150" i="2"/>
  <c r="AN1151" i="2"/>
  <c r="AN1152" i="2"/>
  <c r="AN1153" i="2"/>
  <c r="AN1154" i="2"/>
  <c r="AN1155" i="2"/>
  <c r="AN1156" i="2"/>
  <c r="AN1157" i="2"/>
  <c r="AN1158" i="2"/>
  <c r="AN1159" i="2"/>
  <c r="AN1160" i="2"/>
  <c r="AN1161" i="2"/>
  <c r="AN1162" i="2"/>
  <c r="AN1163" i="2"/>
  <c r="AN1164" i="2"/>
  <c r="AN1165" i="2"/>
  <c r="AN1166" i="2"/>
  <c r="AN1167" i="2"/>
  <c r="AN1168" i="2"/>
  <c r="AN1169" i="2"/>
  <c r="AN1170" i="2"/>
  <c r="AN1171" i="2"/>
  <c r="AN1172" i="2"/>
  <c r="AN1173" i="2"/>
  <c r="AN1174" i="2"/>
  <c r="AN1175" i="2"/>
  <c r="AN1176" i="2"/>
  <c r="AN1177" i="2"/>
  <c r="AN1178" i="2"/>
  <c r="AN1179" i="2"/>
  <c r="AN1180" i="2"/>
  <c r="AN1181" i="2"/>
  <c r="AN1182" i="2"/>
  <c r="AN1183" i="2"/>
  <c r="AN1184" i="2"/>
  <c r="AN1185" i="2"/>
  <c r="AN1186" i="2"/>
  <c r="AN1187" i="2"/>
  <c r="AN1188" i="2"/>
  <c r="AN1189" i="2"/>
  <c r="AN1190" i="2"/>
  <c r="AN1191" i="2"/>
  <c r="AN1192" i="2"/>
  <c r="AN1193" i="2"/>
  <c r="AN1194" i="2"/>
  <c r="AN1195" i="2"/>
  <c r="AN1196" i="2"/>
  <c r="AN1197" i="2"/>
  <c r="AN1198" i="2"/>
  <c r="AN1199" i="2"/>
  <c r="AN1200" i="2"/>
  <c r="AN1201" i="2"/>
  <c r="AN1202" i="2"/>
  <c r="AN1203" i="2"/>
  <c r="AN1204" i="2"/>
  <c r="AN1205" i="2"/>
  <c r="AN1206" i="2"/>
  <c r="AN1207" i="2"/>
  <c r="AN1208" i="2"/>
  <c r="AN1209" i="2"/>
  <c r="AN1210" i="2"/>
  <c r="AN1211" i="2"/>
  <c r="AN1212" i="2"/>
  <c r="AN1213" i="2"/>
  <c r="AN1214" i="2"/>
  <c r="AN1215" i="2"/>
  <c r="AN1216" i="2"/>
  <c r="AN1217" i="2"/>
  <c r="AN1218" i="2"/>
  <c r="AN1219" i="2"/>
  <c r="AN1220" i="2"/>
  <c r="AN1221" i="2"/>
  <c r="AN1222" i="2"/>
  <c r="AN1223" i="2"/>
  <c r="AN1224" i="2"/>
  <c r="AN1225" i="2"/>
  <c r="AN1226" i="2"/>
  <c r="AN1227" i="2"/>
  <c r="AN1228" i="2"/>
  <c r="AN1229" i="2"/>
  <c r="AN1230" i="2"/>
  <c r="AN1231" i="2"/>
  <c r="AN1232" i="2"/>
  <c r="AN1233" i="2"/>
  <c r="AN1234" i="2"/>
  <c r="AN1235" i="2"/>
  <c r="AN1236" i="2"/>
  <c r="AN1237" i="2"/>
  <c r="AN1238" i="2"/>
  <c r="AN1239" i="2"/>
  <c r="AN1240" i="2"/>
  <c r="AN1241" i="2"/>
  <c r="AN1242" i="2"/>
  <c r="AN1243" i="2"/>
  <c r="AN1244" i="2"/>
  <c r="AN1245" i="2"/>
  <c r="AN1246" i="2"/>
  <c r="AN1247" i="2"/>
  <c r="AN1248" i="2"/>
  <c r="AN1249" i="2"/>
  <c r="AN1250" i="2"/>
  <c r="AN1251" i="2"/>
  <c r="AN1252" i="2"/>
  <c r="AN1253" i="2"/>
  <c r="AN1254" i="2"/>
  <c r="AN1255" i="2"/>
  <c r="AN1256" i="2"/>
  <c r="AN1257" i="2"/>
  <c r="AN1258" i="2"/>
  <c r="AN1259" i="2"/>
  <c r="AN1260" i="2"/>
  <c r="AN1261" i="2"/>
  <c r="AN1262" i="2"/>
  <c r="AN1263" i="2"/>
  <c r="AN1264" i="2"/>
  <c r="AN1265" i="2"/>
  <c r="AN1266" i="2"/>
  <c r="AN1267" i="2"/>
  <c r="AN1268" i="2"/>
  <c r="AN1269" i="2"/>
  <c r="AN1270" i="2"/>
  <c r="AN1271" i="2"/>
  <c r="AN1272" i="2"/>
  <c r="AN1273" i="2"/>
  <c r="AN1274" i="2"/>
  <c r="AN1275" i="2"/>
  <c r="AN1276" i="2"/>
  <c r="AN1277" i="2"/>
  <c r="AN1278" i="2"/>
  <c r="AN1279" i="2"/>
  <c r="AN1280" i="2"/>
  <c r="AN1281" i="2"/>
  <c r="AN1282" i="2"/>
  <c r="AN1283" i="2"/>
  <c r="AN1284" i="2"/>
  <c r="AN1285" i="2"/>
  <c r="AN1286" i="2"/>
  <c r="AN1287" i="2"/>
  <c r="AN1288" i="2"/>
  <c r="AN1289" i="2"/>
  <c r="AN1290" i="2"/>
  <c r="AN1291" i="2"/>
  <c r="AN1292" i="2"/>
  <c r="AN1293" i="2"/>
  <c r="AN1294" i="2"/>
  <c r="AN1295" i="2"/>
  <c r="AN1296" i="2"/>
  <c r="AN1297" i="2"/>
  <c r="AN1298" i="2"/>
  <c r="AN1299" i="2"/>
  <c r="AN1300" i="2"/>
  <c r="AN1301" i="2"/>
  <c r="AN1302" i="2"/>
  <c r="AN1303" i="2"/>
  <c r="AN1304" i="2"/>
  <c r="AN1305" i="2"/>
  <c r="AN1306" i="2"/>
  <c r="AN1307" i="2"/>
  <c r="AN1308" i="2"/>
  <c r="AN1309" i="2"/>
  <c r="AN1310" i="2"/>
  <c r="AN1311" i="2"/>
  <c r="AN1312" i="2"/>
  <c r="AN1313" i="2"/>
  <c r="AN1314" i="2"/>
  <c r="AN1315" i="2"/>
  <c r="AN1316" i="2"/>
  <c r="AN1317" i="2"/>
  <c r="AN1318" i="2"/>
  <c r="AN1319" i="2"/>
  <c r="AN1320" i="2"/>
  <c r="AN1321" i="2"/>
  <c r="AN1322" i="2"/>
  <c r="AN1323" i="2"/>
  <c r="AN1324" i="2"/>
  <c r="AN1325" i="2"/>
  <c r="AN1326" i="2"/>
  <c r="AN1327" i="2"/>
  <c r="AN1328" i="2"/>
  <c r="AN1329" i="2"/>
  <c r="AN1330" i="2"/>
  <c r="AN1331" i="2"/>
  <c r="AN1332" i="2"/>
  <c r="AN1333" i="2"/>
  <c r="AN1334" i="2"/>
  <c r="AN1335" i="2"/>
  <c r="AN1336" i="2"/>
  <c r="AN1337" i="2"/>
  <c r="AN1338" i="2"/>
  <c r="AN1339" i="2"/>
  <c r="AN1340" i="2"/>
  <c r="AN1341" i="2"/>
  <c r="AN1342" i="2"/>
  <c r="AN1343" i="2"/>
  <c r="AN1344" i="2"/>
  <c r="AN1345" i="2"/>
  <c r="AN1346" i="2"/>
  <c r="AN1347" i="2"/>
  <c r="AN1348" i="2"/>
  <c r="AN1349" i="2"/>
  <c r="AN1350" i="2"/>
  <c r="AN1351" i="2"/>
  <c r="AN1352" i="2"/>
  <c r="AN1353" i="2"/>
  <c r="AN1354" i="2"/>
  <c r="AN1355" i="2"/>
  <c r="AN1356" i="2"/>
  <c r="AN1357" i="2"/>
  <c r="AN1358" i="2"/>
  <c r="AN1359" i="2"/>
  <c r="AN1360" i="2"/>
  <c r="AN1361" i="2"/>
  <c r="AN1362" i="2"/>
  <c r="AN1363" i="2"/>
  <c r="AN1364" i="2"/>
  <c r="AN1365" i="2"/>
  <c r="AN1366" i="2"/>
  <c r="AN1367" i="2"/>
  <c r="AN1368" i="2"/>
  <c r="AN1369" i="2"/>
  <c r="AN1370" i="2"/>
  <c r="AN1371" i="2"/>
  <c r="AN1372" i="2"/>
  <c r="AN1373" i="2"/>
  <c r="AN1374" i="2"/>
  <c r="AN1375" i="2"/>
  <c r="AN1376" i="2"/>
  <c r="AN1377" i="2"/>
  <c r="AN1378" i="2"/>
  <c r="AN1379" i="2"/>
  <c r="AN1380" i="2"/>
  <c r="AN1381" i="2"/>
  <c r="AN1382" i="2"/>
  <c r="AN1383" i="2"/>
  <c r="AN1384" i="2"/>
  <c r="AN1385" i="2"/>
  <c r="AN1386" i="2"/>
  <c r="AN1387" i="2"/>
  <c r="AN1388" i="2"/>
  <c r="AN1389" i="2"/>
  <c r="AN1390" i="2"/>
  <c r="AN1391" i="2"/>
  <c r="AN1392" i="2"/>
  <c r="AN1393" i="2"/>
  <c r="AN1394" i="2"/>
  <c r="AN1395" i="2"/>
  <c r="AN1396" i="2"/>
  <c r="AN1397" i="2"/>
  <c r="AN1398" i="2"/>
  <c r="AN1399" i="2"/>
  <c r="AN1400" i="2"/>
  <c r="AN1401" i="2"/>
  <c r="AN1402" i="2"/>
  <c r="AN1403" i="2"/>
  <c r="AN1404" i="2"/>
  <c r="AN1405" i="2"/>
  <c r="AN1406" i="2"/>
  <c r="AN1407" i="2"/>
  <c r="AN1408" i="2"/>
  <c r="AN1409" i="2"/>
  <c r="AN1410" i="2"/>
  <c r="AN1411" i="2"/>
  <c r="AN1412" i="2"/>
  <c r="AN1413" i="2"/>
  <c r="AN1414" i="2"/>
  <c r="AN1415" i="2"/>
  <c r="AN1416" i="2"/>
  <c r="AN1417" i="2"/>
  <c r="AN1418" i="2"/>
  <c r="AN1419" i="2"/>
  <c r="AN1420" i="2"/>
  <c r="AN1421" i="2"/>
  <c r="AN1422" i="2"/>
  <c r="AN1423" i="2"/>
  <c r="AN1424" i="2"/>
  <c r="AN1425" i="2"/>
  <c r="AN1426" i="2"/>
  <c r="AN1427" i="2"/>
  <c r="AN1428" i="2"/>
  <c r="AN1429" i="2"/>
  <c r="AN1430" i="2"/>
  <c r="AN1431" i="2"/>
  <c r="AN1432" i="2"/>
  <c r="AN1433" i="2"/>
  <c r="AN1434" i="2"/>
  <c r="AN1435" i="2"/>
  <c r="AN1436" i="2"/>
  <c r="AN1437" i="2"/>
  <c r="AN1438" i="2"/>
  <c r="AN1439" i="2"/>
  <c r="AN1440" i="2"/>
  <c r="AN1441" i="2"/>
  <c r="AN1442" i="2"/>
  <c r="AN1443" i="2"/>
  <c r="AN1444" i="2"/>
  <c r="AN1445" i="2"/>
  <c r="AN1446" i="2"/>
  <c r="AN1447" i="2"/>
  <c r="AN1448" i="2"/>
  <c r="AN1449" i="2"/>
  <c r="AN1450" i="2"/>
  <c r="AN1451" i="2"/>
  <c r="AN1452" i="2"/>
  <c r="AN1453" i="2"/>
  <c r="AN1454" i="2"/>
  <c r="AN1455" i="2"/>
  <c r="AN1456" i="2"/>
  <c r="AN1457" i="2"/>
  <c r="AN1458" i="2"/>
  <c r="AN1459" i="2"/>
  <c r="AN1460" i="2"/>
  <c r="AN1461" i="2"/>
  <c r="AN1462" i="2"/>
  <c r="AN1463" i="2"/>
  <c r="AN1464" i="2"/>
  <c r="AN1465" i="2"/>
  <c r="AN1466" i="2"/>
  <c r="AN1467" i="2"/>
  <c r="AN1468" i="2"/>
  <c r="AN1469" i="2"/>
  <c r="AN1470" i="2"/>
  <c r="AN1471" i="2"/>
  <c r="F9" i="3"/>
  <c r="F10" i="3"/>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B7" i="4"/>
  <c r="B8" i="4"/>
  <c r="B5" i="4"/>
  <c r="B4" i="4"/>
  <c r="M1478" i="3"/>
  <c r="L1478" i="3"/>
  <c r="K1478" i="3"/>
  <c r="J1478" i="3"/>
  <c r="I1478" i="3"/>
  <c r="H1478" i="3"/>
  <c r="G1478" i="3"/>
  <c r="F1478" i="3"/>
  <c r="E1478" i="3"/>
  <c r="D1478" i="3"/>
  <c r="C1478" i="3"/>
  <c r="B1478" i="3"/>
  <c r="A1478" i="3"/>
  <c r="M1477" i="3"/>
  <c r="L1477" i="3"/>
  <c r="K1477" i="3"/>
  <c r="J1477" i="3"/>
  <c r="I1477" i="3"/>
  <c r="H1477" i="3"/>
  <c r="G1477" i="3"/>
  <c r="F1477" i="3"/>
  <c r="E1477" i="3"/>
  <c r="D1477" i="3"/>
  <c r="C1477" i="3"/>
  <c r="B1477" i="3"/>
  <c r="A1477" i="3"/>
  <c r="M1476" i="3"/>
  <c r="L1476" i="3"/>
  <c r="K1476" i="3"/>
  <c r="J1476" i="3"/>
  <c r="I1476" i="3"/>
  <c r="H1476" i="3"/>
  <c r="G1476" i="3"/>
  <c r="F1476" i="3"/>
  <c r="E1476" i="3"/>
  <c r="D1476" i="3"/>
  <c r="C1476" i="3"/>
  <c r="B1476" i="3"/>
  <c r="A1476" i="3"/>
  <c r="M1475" i="3"/>
  <c r="L1475" i="3"/>
  <c r="K1475" i="3"/>
  <c r="J1475" i="3"/>
  <c r="I1475" i="3"/>
  <c r="H1475" i="3"/>
  <c r="G1475" i="3"/>
  <c r="F1475" i="3"/>
  <c r="E1475" i="3"/>
  <c r="D1475" i="3"/>
  <c r="C1475" i="3"/>
  <c r="B1475" i="3"/>
  <c r="A1475" i="3"/>
  <c r="M1474" i="3"/>
  <c r="L1474" i="3"/>
  <c r="K1474" i="3"/>
  <c r="J1474" i="3"/>
  <c r="I1474" i="3"/>
  <c r="H1474" i="3"/>
  <c r="G1474" i="3"/>
  <c r="F1474" i="3"/>
  <c r="E1474" i="3"/>
  <c r="D1474" i="3"/>
  <c r="C1474" i="3"/>
  <c r="B1474" i="3"/>
  <c r="A1474" i="3"/>
  <c r="M1473" i="3"/>
  <c r="L1473" i="3"/>
  <c r="K1473" i="3"/>
  <c r="J1473" i="3"/>
  <c r="I1473" i="3"/>
  <c r="H1473" i="3"/>
  <c r="G1473" i="3"/>
  <c r="F1473" i="3"/>
  <c r="E1473" i="3"/>
  <c r="D1473" i="3"/>
  <c r="C1473" i="3"/>
  <c r="B1473" i="3"/>
  <c r="A1473" i="3"/>
  <c r="M1472" i="3"/>
  <c r="L1472" i="3"/>
  <c r="K1472" i="3"/>
  <c r="J1472" i="3"/>
  <c r="I1472" i="3"/>
  <c r="H1472" i="3"/>
  <c r="G1472" i="3"/>
  <c r="F1472" i="3"/>
  <c r="E1472" i="3"/>
  <c r="D1472" i="3"/>
  <c r="C1472" i="3"/>
  <c r="B1472" i="3"/>
  <c r="A1472" i="3"/>
  <c r="M1471" i="3"/>
  <c r="L1471" i="3"/>
  <c r="K1471" i="3"/>
  <c r="J1471" i="3"/>
  <c r="I1471" i="3"/>
  <c r="H1471" i="3"/>
  <c r="G1471" i="3"/>
  <c r="F1471" i="3"/>
  <c r="E1471" i="3"/>
  <c r="D1471" i="3"/>
  <c r="C1471" i="3"/>
  <c r="B1471" i="3"/>
  <c r="A1471" i="3"/>
  <c r="M1470" i="3"/>
  <c r="L1470" i="3"/>
  <c r="K1470" i="3"/>
  <c r="J1470" i="3"/>
  <c r="I1470" i="3"/>
  <c r="H1470" i="3"/>
  <c r="G1470" i="3"/>
  <c r="F1470" i="3"/>
  <c r="E1470" i="3"/>
  <c r="D1470" i="3"/>
  <c r="C1470" i="3"/>
  <c r="B1470" i="3"/>
  <c r="A1470" i="3"/>
  <c r="M1469" i="3"/>
  <c r="L1469" i="3"/>
  <c r="K1469" i="3"/>
  <c r="J1469" i="3"/>
  <c r="I1469" i="3"/>
  <c r="H1469" i="3"/>
  <c r="G1469" i="3"/>
  <c r="F1469" i="3"/>
  <c r="E1469" i="3"/>
  <c r="D1469" i="3"/>
  <c r="C1469" i="3"/>
  <c r="B1469" i="3"/>
  <c r="A1469" i="3"/>
  <c r="M1468" i="3"/>
  <c r="L1468" i="3"/>
  <c r="K1468" i="3"/>
  <c r="J1468" i="3"/>
  <c r="I1468" i="3"/>
  <c r="H1468" i="3"/>
  <c r="G1468" i="3"/>
  <c r="F1468" i="3"/>
  <c r="E1468" i="3"/>
  <c r="D1468" i="3"/>
  <c r="C1468" i="3"/>
  <c r="B1468" i="3"/>
  <c r="A1468" i="3"/>
  <c r="M1467" i="3"/>
  <c r="L1467" i="3"/>
  <c r="K1467" i="3"/>
  <c r="J1467" i="3"/>
  <c r="I1467" i="3"/>
  <c r="H1467" i="3"/>
  <c r="G1467" i="3"/>
  <c r="F1467" i="3"/>
  <c r="E1467" i="3"/>
  <c r="D1467" i="3"/>
  <c r="C1467" i="3"/>
  <c r="B1467" i="3"/>
  <c r="A1467" i="3"/>
  <c r="M1466" i="3"/>
  <c r="L1466" i="3"/>
  <c r="K1466" i="3"/>
  <c r="J1466" i="3"/>
  <c r="I1466" i="3"/>
  <c r="H1466" i="3"/>
  <c r="G1466" i="3"/>
  <c r="F1466" i="3"/>
  <c r="E1466" i="3"/>
  <c r="D1466" i="3"/>
  <c r="C1466" i="3"/>
  <c r="B1466" i="3"/>
  <c r="A1466" i="3"/>
  <c r="M1465" i="3"/>
  <c r="L1465" i="3"/>
  <c r="K1465" i="3"/>
  <c r="J1465" i="3"/>
  <c r="I1465" i="3"/>
  <c r="H1465" i="3"/>
  <c r="G1465" i="3"/>
  <c r="F1465" i="3"/>
  <c r="E1465" i="3"/>
  <c r="D1465" i="3"/>
  <c r="C1465" i="3"/>
  <c r="B1465" i="3"/>
  <c r="A1465" i="3"/>
  <c r="M1464" i="3"/>
  <c r="L1464" i="3"/>
  <c r="K1464" i="3"/>
  <c r="J1464" i="3"/>
  <c r="I1464" i="3"/>
  <c r="H1464" i="3"/>
  <c r="G1464" i="3"/>
  <c r="F1464" i="3"/>
  <c r="E1464" i="3"/>
  <c r="D1464" i="3"/>
  <c r="C1464" i="3"/>
  <c r="B1464" i="3"/>
  <c r="A1464" i="3"/>
  <c r="M1463" i="3"/>
  <c r="L1463" i="3"/>
  <c r="K1463" i="3"/>
  <c r="J1463" i="3"/>
  <c r="I1463" i="3"/>
  <c r="H1463" i="3"/>
  <c r="G1463" i="3"/>
  <c r="F1463" i="3"/>
  <c r="E1463" i="3"/>
  <c r="D1463" i="3"/>
  <c r="C1463" i="3"/>
  <c r="B1463" i="3"/>
  <c r="A1463" i="3"/>
  <c r="M1462" i="3"/>
  <c r="L1462" i="3"/>
  <c r="K1462" i="3"/>
  <c r="J1462" i="3"/>
  <c r="I1462" i="3"/>
  <c r="H1462" i="3"/>
  <c r="G1462" i="3"/>
  <c r="F1462" i="3"/>
  <c r="E1462" i="3"/>
  <c r="D1462" i="3"/>
  <c r="C1462" i="3"/>
  <c r="B1462" i="3"/>
  <c r="A1462" i="3"/>
  <c r="M1461" i="3"/>
  <c r="L1461" i="3"/>
  <c r="K1461" i="3"/>
  <c r="J1461" i="3"/>
  <c r="I1461" i="3"/>
  <c r="H1461" i="3"/>
  <c r="G1461" i="3"/>
  <c r="F1461" i="3"/>
  <c r="E1461" i="3"/>
  <c r="D1461" i="3"/>
  <c r="C1461" i="3"/>
  <c r="B1461" i="3"/>
  <c r="A1461" i="3"/>
  <c r="M1460" i="3"/>
  <c r="L1460" i="3"/>
  <c r="K1460" i="3"/>
  <c r="J1460" i="3"/>
  <c r="I1460" i="3"/>
  <c r="H1460" i="3"/>
  <c r="G1460" i="3"/>
  <c r="F1460" i="3"/>
  <c r="E1460" i="3"/>
  <c r="D1460" i="3"/>
  <c r="C1460" i="3"/>
  <c r="B1460" i="3"/>
  <c r="A1460" i="3"/>
  <c r="M1459" i="3"/>
  <c r="L1459" i="3"/>
  <c r="K1459" i="3"/>
  <c r="J1459" i="3"/>
  <c r="I1459" i="3"/>
  <c r="H1459" i="3"/>
  <c r="G1459" i="3"/>
  <c r="F1459" i="3"/>
  <c r="E1459" i="3"/>
  <c r="D1459" i="3"/>
  <c r="C1459" i="3"/>
  <c r="B1459" i="3"/>
  <c r="A1459" i="3"/>
  <c r="M1458" i="3"/>
  <c r="L1458" i="3"/>
  <c r="K1458" i="3"/>
  <c r="J1458" i="3"/>
  <c r="I1458" i="3"/>
  <c r="H1458" i="3"/>
  <c r="G1458" i="3"/>
  <c r="F1458" i="3"/>
  <c r="E1458" i="3"/>
  <c r="D1458" i="3"/>
  <c r="C1458" i="3"/>
  <c r="B1458" i="3"/>
  <c r="A1458" i="3"/>
  <c r="M1457" i="3"/>
  <c r="L1457" i="3"/>
  <c r="K1457" i="3"/>
  <c r="J1457" i="3"/>
  <c r="I1457" i="3"/>
  <c r="H1457" i="3"/>
  <c r="G1457" i="3"/>
  <c r="F1457" i="3"/>
  <c r="E1457" i="3"/>
  <c r="D1457" i="3"/>
  <c r="C1457" i="3"/>
  <c r="B1457" i="3"/>
  <c r="A1457" i="3"/>
  <c r="M1456" i="3"/>
  <c r="L1456" i="3"/>
  <c r="K1456" i="3"/>
  <c r="J1456" i="3"/>
  <c r="I1456" i="3"/>
  <c r="H1456" i="3"/>
  <c r="G1456" i="3"/>
  <c r="F1456" i="3"/>
  <c r="E1456" i="3"/>
  <c r="D1456" i="3"/>
  <c r="C1456" i="3"/>
  <c r="B1456" i="3"/>
  <c r="A1456" i="3"/>
  <c r="M1455" i="3"/>
  <c r="L1455" i="3"/>
  <c r="K1455" i="3"/>
  <c r="J1455" i="3"/>
  <c r="I1455" i="3"/>
  <c r="H1455" i="3"/>
  <c r="G1455" i="3"/>
  <c r="F1455" i="3"/>
  <c r="E1455" i="3"/>
  <c r="D1455" i="3"/>
  <c r="C1455" i="3"/>
  <c r="B1455" i="3"/>
  <c r="A1455" i="3"/>
  <c r="M1454" i="3"/>
  <c r="L1454" i="3"/>
  <c r="K1454" i="3"/>
  <c r="J1454" i="3"/>
  <c r="I1454" i="3"/>
  <c r="H1454" i="3"/>
  <c r="G1454" i="3"/>
  <c r="F1454" i="3"/>
  <c r="E1454" i="3"/>
  <c r="D1454" i="3"/>
  <c r="C1454" i="3"/>
  <c r="B1454" i="3"/>
  <c r="A1454" i="3"/>
  <c r="M1453" i="3"/>
  <c r="L1453" i="3"/>
  <c r="K1453" i="3"/>
  <c r="J1453" i="3"/>
  <c r="I1453" i="3"/>
  <c r="H1453" i="3"/>
  <c r="G1453" i="3"/>
  <c r="F1453" i="3"/>
  <c r="E1453" i="3"/>
  <c r="D1453" i="3"/>
  <c r="C1453" i="3"/>
  <c r="B1453" i="3"/>
  <c r="A1453" i="3"/>
  <c r="M1452" i="3"/>
  <c r="L1452" i="3"/>
  <c r="K1452" i="3"/>
  <c r="J1452" i="3"/>
  <c r="I1452" i="3"/>
  <c r="H1452" i="3"/>
  <c r="G1452" i="3"/>
  <c r="F1452" i="3"/>
  <c r="E1452" i="3"/>
  <c r="D1452" i="3"/>
  <c r="C1452" i="3"/>
  <c r="B1452" i="3"/>
  <c r="A1452" i="3"/>
  <c r="M1451" i="3"/>
  <c r="L1451" i="3"/>
  <c r="K1451" i="3"/>
  <c r="J1451" i="3"/>
  <c r="I1451" i="3"/>
  <c r="H1451" i="3"/>
  <c r="G1451" i="3"/>
  <c r="F1451" i="3"/>
  <c r="E1451" i="3"/>
  <c r="D1451" i="3"/>
  <c r="C1451" i="3"/>
  <c r="B1451" i="3"/>
  <c r="A1451" i="3"/>
  <c r="M1450" i="3"/>
  <c r="L1450" i="3"/>
  <c r="K1450" i="3"/>
  <c r="J1450" i="3"/>
  <c r="I1450" i="3"/>
  <c r="H1450" i="3"/>
  <c r="G1450" i="3"/>
  <c r="F1450" i="3"/>
  <c r="E1450" i="3"/>
  <c r="D1450" i="3"/>
  <c r="C1450" i="3"/>
  <c r="B1450" i="3"/>
  <c r="A1450" i="3"/>
  <c r="M1449" i="3"/>
  <c r="L1449" i="3"/>
  <c r="K1449" i="3"/>
  <c r="J1449" i="3"/>
  <c r="I1449" i="3"/>
  <c r="H1449" i="3"/>
  <c r="G1449" i="3"/>
  <c r="F1449" i="3"/>
  <c r="E1449" i="3"/>
  <c r="D1449" i="3"/>
  <c r="C1449" i="3"/>
  <c r="B1449" i="3"/>
  <c r="A1449" i="3"/>
  <c r="M1448" i="3"/>
  <c r="L1448" i="3"/>
  <c r="K1448" i="3"/>
  <c r="J1448" i="3"/>
  <c r="I1448" i="3"/>
  <c r="H1448" i="3"/>
  <c r="G1448" i="3"/>
  <c r="F1448" i="3"/>
  <c r="E1448" i="3"/>
  <c r="D1448" i="3"/>
  <c r="C1448" i="3"/>
  <c r="B1448" i="3"/>
  <c r="A1448" i="3"/>
  <c r="M1447" i="3"/>
  <c r="L1447" i="3"/>
  <c r="K1447" i="3"/>
  <c r="J1447" i="3"/>
  <c r="I1447" i="3"/>
  <c r="H1447" i="3"/>
  <c r="G1447" i="3"/>
  <c r="F1447" i="3"/>
  <c r="E1447" i="3"/>
  <c r="D1447" i="3"/>
  <c r="C1447" i="3"/>
  <c r="B1447" i="3"/>
  <c r="A1447" i="3"/>
  <c r="M1446" i="3"/>
  <c r="L1446" i="3"/>
  <c r="K1446" i="3"/>
  <c r="J1446" i="3"/>
  <c r="I1446" i="3"/>
  <c r="H1446" i="3"/>
  <c r="G1446" i="3"/>
  <c r="F1446" i="3"/>
  <c r="E1446" i="3"/>
  <c r="D1446" i="3"/>
  <c r="C1446" i="3"/>
  <c r="B1446" i="3"/>
  <c r="A1446" i="3"/>
  <c r="M1445" i="3"/>
  <c r="L1445" i="3"/>
  <c r="K1445" i="3"/>
  <c r="J1445" i="3"/>
  <c r="I1445" i="3"/>
  <c r="H1445" i="3"/>
  <c r="G1445" i="3"/>
  <c r="F1445" i="3"/>
  <c r="E1445" i="3"/>
  <c r="D1445" i="3"/>
  <c r="C1445" i="3"/>
  <c r="B1445" i="3"/>
  <c r="A1445" i="3"/>
  <c r="M1444" i="3"/>
  <c r="L1444" i="3"/>
  <c r="K1444" i="3"/>
  <c r="J1444" i="3"/>
  <c r="I1444" i="3"/>
  <c r="H1444" i="3"/>
  <c r="G1444" i="3"/>
  <c r="F1444" i="3"/>
  <c r="E1444" i="3"/>
  <c r="D1444" i="3"/>
  <c r="C1444" i="3"/>
  <c r="B1444" i="3"/>
  <c r="A1444" i="3"/>
  <c r="M1443" i="3"/>
  <c r="L1443" i="3"/>
  <c r="K1443" i="3"/>
  <c r="J1443" i="3"/>
  <c r="I1443" i="3"/>
  <c r="H1443" i="3"/>
  <c r="G1443" i="3"/>
  <c r="F1443" i="3"/>
  <c r="E1443" i="3"/>
  <c r="D1443" i="3"/>
  <c r="C1443" i="3"/>
  <c r="B1443" i="3"/>
  <c r="A1443" i="3"/>
  <c r="M1442" i="3"/>
  <c r="L1442" i="3"/>
  <c r="K1442" i="3"/>
  <c r="J1442" i="3"/>
  <c r="I1442" i="3"/>
  <c r="H1442" i="3"/>
  <c r="G1442" i="3"/>
  <c r="F1442" i="3"/>
  <c r="E1442" i="3"/>
  <c r="D1442" i="3"/>
  <c r="C1442" i="3"/>
  <c r="B1442" i="3"/>
  <c r="A1442" i="3"/>
  <c r="M1441" i="3"/>
  <c r="L1441" i="3"/>
  <c r="K1441" i="3"/>
  <c r="J1441" i="3"/>
  <c r="I1441" i="3"/>
  <c r="H1441" i="3"/>
  <c r="G1441" i="3"/>
  <c r="F1441" i="3"/>
  <c r="E1441" i="3"/>
  <c r="D1441" i="3"/>
  <c r="C1441" i="3"/>
  <c r="B1441" i="3"/>
  <c r="A1441" i="3"/>
  <c r="M1440" i="3"/>
  <c r="L1440" i="3"/>
  <c r="K1440" i="3"/>
  <c r="J1440" i="3"/>
  <c r="I1440" i="3"/>
  <c r="H1440" i="3"/>
  <c r="G1440" i="3"/>
  <c r="F1440" i="3"/>
  <c r="E1440" i="3"/>
  <c r="D1440" i="3"/>
  <c r="C1440" i="3"/>
  <c r="B1440" i="3"/>
  <c r="A1440" i="3"/>
  <c r="M1439" i="3"/>
  <c r="L1439" i="3"/>
  <c r="K1439" i="3"/>
  <c r="J1439" i="3"/>
  <c r="I1439" i="3"/>
  <c r="H1439" i="3"/>
  <c r="G1439" i="3"/>
  <c r="F1439" i="3"/>
  <c r="E1439" i="3"/>
  <c r="D1439" i="3"/>
  <c r="C1439" i="3"/>
  <c r="B1439" i="3"/>
  <c r="A1439" i="3"/>
  <c r="M1438" i="3"/>
  <c r="L1438" i="3"/>
  <c r="K1438" i="3"/>
  <c r="J1438" i="3"/>
  <c r="I1438" i="3"/>
  <c r="H1438" i="3"/>
  <c r="G1438" i="3"/>
  <c r="F1438" i="3"/>
  <c r="E1438" i="3"/>
  <c r="D1438" i="3"/>
  <c r="C1438" i="3"/>
  <c r="B1438" i="3"/>
  <c r="A1438" i="3"/>
  <c r="M1437" i="3"/>
  <c r="L1437" i="3"/>
  <c r="K1437" i="3"/>
  <c r="J1437" i="3"/>
  <c r="I1437" i="3"/>
  <c r="H1437" i="3"/>
  <c r="G1437" i="3"/>
  <c r="F1437" i="3"/>
  <c r="E1437" i="3"/>
  <c r="D1437" i="3"/>
  <c r="C1437" i="3"/>
  <c r="B1437" i="3"/>
  <c r="A1437" i="3"/>
  <c r="M1436" i="3"/>
  <c r="L1436" i="3"/>
  <c r="K1436" i="3"/>
  <c r="J1436" i="3"/>
  <c r="I1436" i="3"/>
  <c r="H1436" i="3"/>
  <c r="G1436" i="3"/>
  <c r="F1436" i="3"/>
  <c r="E1436" i="3"/>
  <c r="D1436" i="3"/>
  <c r="C1436" i="3"/>
  <c r="B1436" i="3"/>
  <c r="A1436" i="3"/>
  <c r="M1435" i="3"/>
  <c r="L1435" i="3"/>
  <c r="K1435" i="3"/>
  <c r="J1435" i="3"/>
  <c r="I1435" i="3"/>
  <c r="H1435" i="3"/>
  <c r="G1435" i="3"/>
  <c r="F1435" i="3"/>
  <c r="E1435" i="3"/>
  <c r="D1435" i="3"/>
  <c r="C1435" i="3"/>
  <c r="B1435" i="3"/>
  <c r="A1435" i="3"/>
  <c r="M1434" i="3"/>
  <c r="L1434" i="3"/>
  <c r="K1434" i="3"/>
  <c r="J1434" i="3"/>
  <c r="I1434" i="3"/>
  <c r="H1434" i="3"/>
  <c r="G1434" i="3"/>
  <c r="F1434" i="3"/>
  <c r="E1434" i="3"/>
  <c r="D1434" i="3"/>
  <c r="C1434" i="3"/>
  <c r="B1434" i="3"/>
  <c r="A1434" i="3"/>
  <c r="M1433" i="3"/>
  <c r="L1433" i="3"/>
  <c r="K1433" i="3"/>
  <c r="J1433" i="3"/>
  <c r="I1433" i="3"/>
  <c r="H1433" i="3"/>
  <c r="G1433" i="3"/>
  <c r="F1433" i="3"/>
  <c r="E1433" i="3"/>
  <c r="D1433" i="3"/>
  <c r="C1433" i="3"/>
  <c r="B1433" i="3"/>
  <c r="A1433" i="3"/>
  <c r="M1432" i="3"/>
  <c r="L1432" i="3"/>
  <c r="K1432" i="3"/>
  <c r="J1432" i="3"/>
  <c r="I1432" i="3"/>
  <c r="H1432" i="3"/>
  <c r="G1432" i="3"/>
  <c r="F1432" i="3"/>
  <c r="E1432" i="3"/>
  <c r="D1432" i="3"/>
  <c r="C1432" i="3"/>
  <c r="B1432" i="3"/>
  <c r="A1432" i="3"/>
  <c r="M1431" i="3"/>
  <c r="L1431" i="3"/>
  <c r="K1431" i="3"/>
  <c r="J1431" i="3"/>
  <c r="I1431" i="3"/>
  <c r="H1431" i="3"/>
  <c r="G1431" i="3"/>
  <c r="F1431" i="3"/>
  <c r="E1431" i="3"/>
  <c r="D1431" i="3"/>
  <c r="C1431" i="3"/>
  <c r="B1431" i="3"/>
  <c r="A1431" i="3"/>
  <c r="M1430" i="3"/>
  <c r="L1430" i="3"/>
  <c r="K1430" i="3"/>
  <c r="J1430" i="3"/>
  <c r="I1430" i="3"/>
  <c r="H1430" i="3"/>
  <c r="G1430" i="3"/>
  <c r="F1430" i="3"/>
  <c r="E1430" i="3"/>
  <c r="D1430" i="3"/>
  <c r="C1430" i="3"/>
  <c r="B1430" i="3"/>
  <c r="A1430" i="3"/>
  <c r="M1429" i="3"/>
  <c r="L1429" i="3"/>
  <c r="K1429" i="3"/>
  <c r="J1429" i="3"/>
  <c r="I1429" i="3"/>
  <c r="H1429" i="3"/>
  <c r="G1429" i="3"/>
  <c r="F1429" i="3"/>
  <c r="E1429" i="3"/>
  <c r="D1429" i="3"/>
  <c r="C1429" i="3"/>
  <c r="B1429" i="3"/>
  <c r="A1429" i="3"/>
  <c r="M1428" i="3"/>
  <c r="L1428" i="3"/>
  <c r="K1428" i="3"/>
  <c r="J1428" i="3"/>
  <c r="I1428" i="3"/>
  <c r="H1428" i="3"/>
  <c r="G1428" i="3"/>
  <c r="F1428" i="3"/>
  <c r="E1428" i="3"/>
  <c r="D1428" i="3"/>
  <c r="C1428" i="3"/>
  <c r="B1428" i="3"/>
  <c r="A1428" i="3"/>
  <c r="M1427" i="3"/>
  <c r="L1427" i="3"/>
  <c r="K1427" i="3"/>
  <c r="J1427" i="3"/>
  <c r="I1427" i="3"/>
  <c r="H1427" i="3"/>
  <c r="G1427" i="3"/>
  <c r="F1427" i="3"/>
  <c r="E1427" i="3"/>
  <c r="D1427" i="3"/>
  <c r="C1427" i="3"/>
  <c r="B1427" i="3"/>
  <c r="A1427" i="3"/>
  <c r="M1426" i="3"/>
  <c r="L1426" i="3"/>
  <c r="K1426" i="3"/>
  <c r="J1426" i="3"/>
  <c r="I1426" i="3"/>
  <c r="H1426" i="3"/>
  <c r="G1426" i="3"/>
  <c r="F1426" i="3"/>
  <c r="E1426" i="3"/>
  <c r="D1426" i="3"/>
  <c r="C1426" i="3"/>
  <c r="B1426" i="3"/>
  <c r="A1426" i="3"/>
  <c r="M1425" i="3"/>
  <c r="L1425" i="3"/>
  <c r="K1425" i="3"/>
  <c r="J1425" i="3"/>
  <c r="I1425" i="3"/>
  <c r="H1425" i="3"/>
  <c r="G1425" i="3"/>
  <c r="F1425" i="3"/>
  <c r="E1425" i="3"/>
  <c r="D1425" i="3"/>
  <c r="C1425" i="3"/>
  <c r="B1425" i="3"/>
  <c r="A1425" i="3"/>
  <c r="M1424" i="3"/>
  <c r="L1424" i="3"/>
  <c r="K1424" i="3"/>
  <c r="J1424" i="3"/>
  <c r="I1424" i="3"/>
  <c r="H1424" i="3"/>
  <c r="G1424" i="3"/>
  <c r="F1424" i="3"/>
  <c r="E1424" i="3"/>
  <c r="D1424" i="3"/>
  <c r="C1424" i="3"/>
  <c r="B1424" i="3"/>
  <c r="A1424" i="3"/>
  <c r="M1423" i="3"/>
  <c r="L1423" i="3"/>
  <c r="K1423" i="3"/>
  <c r="J1423" i="3"/>
  <c r="I1423" i="3"/>
  <c r="H1423" i="3"/>
  <c r="G1423" i="3"/>
  <c r="F1423" i="3"/>
  <c r="E1423" i="3"/>
  <c r="D1423" i="3"/>
  <c r="C1423" i="3"/>
  <c r="B1423" i="3"/>
  <c r="A1423" i="3"/>
  <c r="M1422" i="3"/>
  <c r="L1422" i="3"/>
  <c r="K1422" i="3"/>
  <c r="J1422" i="3"/>
  <c r="I1422" i="3"/>
  <c r="H1422" i="3"/>
  <c r="G1422" i="3"/>
  <c r="F1422" i="3"/>
  <c r="E1422" i="3"/>
  <c r="D1422" i="3"/>
  <c r="C1422" i="3"/>
  <c r="B1422" i="3"/>
  <c r="A1422" i="3"/>
  <c r="M1421" i="3"/>
  <c r="L1421" i="3"/>
  <c r="K1421" i="3"/>
  <c r="J1421" i="3"/>
  <c r="I1421" i="3"/>
  <c r="H1421" i="3"/>
  <c r="G1421" i="3"/>
  <c r="F1421" i="3"/>
  <c r="E1421" i="3"/>
  <c r="D1421" i="3"/>
  <c r="C1421" i="3"/>
  <c r="B1421" i="3"/>
  <c r="A1421" i="3"/>
  <c r="M1420" i="3"/>
  <c r="L1420" i="3"/>
  <c r="K1420" i="3"/>
  <c r="J1420" i="3"/>
  <c r="I1420" i="3"/>
  <c r="H1420" i="3"/>
  <c r="G1420" i="3"/>
  <c r="F1420" i="3"/>
  <c r="E1420" i="3"/>
  <c r="D1420" i="3"/>
  <c r="C1420" i="3"/>
  <c r="B1420" i="3"/>
  <c r="A1420" i="3"/>
  <c r="M1419" i="3"/>
  <c r="L1419" i="3"/>
  <c r="K1419" i="3"/>
  <c r="J1419" i="3"/>
  <c r="I1419" i="3"/>
  <c r="H1419" i="3"/>
  <c r="G1419" i="3"/>
  <c r="F1419" i="3"/>
  <c r="E1419" i="3"/>
  <c r="D1419" i="3"/>
  <c r="C1419" i="3"/>
  <c r="B1419" i="3"/>
  <c r="A1419" i="3"/>
  <c r="M1418" i="3"/>
  <c r="L1418" i="3"/>
  <c r="K1418" i="3"/>
  <c r="J1418" i="3"/>
  <c r="I1418" i="3"/>
  <c r="H1418" i="3"/>
  <c r="G1418" i="3"/>
  <c r="F1418" i="3"/>
  <c r="E1418" i="3"/>
  <c r="D1418" i="3"/>
  <c r="C1418" i="3"/>
  <c r="B1418" i="3"/>
  <c r="A1418" i="3"/>
  <c r="M1417" i="3"/>
  <c r="L1417" i="3"/>
  <c r="K1417" i="3"/>
  <c r="J1417" i="3"/>
  <c r="I1417" i="3"/>
  <c r="H1417" i="3"/>
  <c r="G1417" i="3"/>
  <c r="F1417" i="3"/>
  <c r="E1417" i="3"/>
  <c r="D1417" i="3"/>
  <c r="C1417" i="3"/>
  <c r="B1417" i="3"/>
  <c r="A1417" i="3"/>
  <c r="M1416" i="3"/>
  <c r="L1416" i="3"/>
  <c r="K1416" i="3"/>
  <c r="J1416" i="3"/>
  <c r="I1416" i="3"/>
  <c r="H1416" i="3"/>
  <c r="G1416" i="3"/>
  <c r="F1416" i="3"/>
  <c r="E1416" i="3"/>
  <c r="D1416" i="3"/>
  <c r="C1416" i="3"/>
  <c r="B1416" i="3"/>
  <c r="A1416" i="3"/>
  <c r="M1415" i="3"/>
  <c r="L1415" i="3"/>
  <c r="K1415" i="3"/>
  <c r="J1415" i="3"/>
  <c r="I1415" i="3"/>
  <c r="H1415" i="3"/>
  <c r="G1415" i="3"/>
  <c r="F1415" i="3"/>
  <c r="E1415" i="3"/>
  <c r="D1415" i="3"/>
  <c r="C1415" i="3"/>
  <c r="B1415" i="3"/>
  <c r="A1415" i="3"/>
  <c r="M1414" i="3"/>
  <c r="L1414" i="3"/>
  <c r="K1414" i="3"/>
  <c r="J1414" i="3"/>
  <c r="I1414" i="3"/>
  <c r="H1414" i="3"/>
  <c r="G1414" i="3"/>
  <c r="F1414" i="3"/>
  <c r="E1414" i="3"/>
  <c r="D1414" i="3"/>
  <c r="C1414" i="3"/>
  <c r="B1414" i="3"/>
  <c r="A1414" i="3"/>
  <c r="M1413" i="3"/>
  <c r="L1413" i="3"/>
  <c r="K1413" i="3"/>
  <c r="J1413" i="3"/>
  <c r="I1413" i="3"/>
  <c r="H1413" i="3"/>
  <c r="G1413" i="3"/>
  <c r="F1413" i="3"/>
  <c r="E1413" i="3"/>
  <c r="D1413" i="3"/>
  <c r="C1413" i="3"/>
  <c r="B1413" i="3"/>
  <c r="A1413" i="3"/>
  <c r="M1412" i="3"/>
  <c r="L1412" i="3"/>
  <c r="K1412" i="3"/>
  <c r="J1412" i="3"/>
  <c r="I1412" i="3"/>
  <c r="H1412" i="3"/>
  <c r="G1412" i="3"/>
  <c r="F1412" i="3"/>
  <c r="E1412" i="3"/>
  <c r="D1412" i="3"/>
  <c r="C1412" i="3"/>
  <c r="B1412" i="3"/>
  <c r="A1412" i="3"/>
  <c r="M1411" i="3"/>
  <c r="L1411" i="3"/>
  <c r="K1411" i="3"/>
  <c r="J1411" i="3"/>
  <c r="I1411" i="3"/>
  <c r="H1411" i="3"/>
  <c r="G1411" i="3"/>
  <c r="F1411" i="3"/>
  <c r="E1411" i="3"/>
  <c r="D1411" i="3"/>
  <c r="C1411" i="3"/>
  <c r="B1411" i="3"/>
  <c r="A1411" i="3"/>
  <c r="M1410" i="3"/>
  <c r="L1410" i="3"/>
  <c r="K1410" i="3"/>
  <c r="J1410" i="3"/>
  <c r="I1410" i="3"/>
  <c r="H1410" i="3"/>
  <c r="G1410" i="3"/>
  <c r="F1410" i="3"/>
  <c r="E1410" i="3"/>
  <c r="D1410" i="3"/>
  <c r="C1410" i="3"/>
  <c r="B1410" i="3"/>
  <c r="A1410" i="3"/>
  <c r="M1409" i="3"/>
  <c r="L1409" i="3"/>
  <c r="K1409" i="3"/>
  <c r="J1409" i="3"/>
  <c r="I1409" i="3"/>
  <c r="H1409" i="3"/>
  <c r="G1409" i="3"/>
  <c r="F1409" i="3"/>
  <c r="E1409" i="3"/>
  <c r="D1409" i="3"/>
  <c r="C1409" i="3"/>
  <c r="B1409" i="3"/>
  <c r="A1409" i="3"/>
  <c r="M1408" i="3"/>
  <c r="L1408" i="3"/>
  <c r="K1408" i="3"/>
  <c r="J1408" i="3"/>
  <c r="I1408" i="3"/>
  <c r="H1408" i="3"/>
  <c r="G1408" i="3"/>
  <c r="F1408" i="3"/>
  <c r="E1408" i="3"/>
  <c r="D1408" i="3"/>
  <c r="C1408" i="3"/>
  <c r="B1408" i="3"/>
  <c r="A1408" i="3"/>
  <c r="M1407" i="3"/>
  <c r="L1407" i="3"/>
  <c r="K1407" i="3"/>
  <c r="J1407" i="3"/>
  <c r="I1407" i="3"/>
  <c r="H1407" i="3"/>
  <c r="G1407" i="3"/>
  <c r="F1407" i="3"/>
  <c r="E1407" i="3"/>
  <c r="D1407" i="3"/>
  <c r="C1407" i="3"/>
  <c r="B1407" i="3"/>
  <c r="A1407" i="3"/>
  <c r="M1406" i="3"/>
  <c r="L1406" i="3"/>
  <c r="K1406" i="3"/>
  <c r="J1406" i="3"/>
  <c r="I1406" i="3"/>
  <c r="H1406" i="3"/>
  <c r="G1406" i="3"/>
  <c r="F1406" i="3"/>
  <c r="E1406" i="3"/>
  <c r="D1406" i="3"/>
  <c r="C1406" i="3"/>
  <c r="B1406" i="3"/>
  <c r="A1406" i="3"/>
  <c r="M1405" i="3"/>
  <c r="L1405" i="3"/>
  <c r="K1405" i="3"/>
  <c r="J1405" i="3"/>
  <c r="I1405" i="3"/>
  <c r="H1405" i="3"/>
  <c r="G1405" i="3"/>
  <c r="F1405" i="3"/>
  <c r="E1405" i="3"/>
  <c r="D1405" i="3"/>
  <c r="C1405" i="3"/>
  <c r="B1405" i="3"/>
  <c r="A1405" i="3"/>
  <c r="M1404" i="3"/>
  <c r="L1404" i="3"/>
  <c r="K1404" i="3"/>
  <c r="J1404" i="3"/>
  <c r="I1404" i="3"/>
  <c r="H1404" i="3"/>
  <c r="G1404" i="3"/>
  <c r="F1404" i="3"/>
  <c r="E1404" i="3"/>
  <c r="D1404" i="3"/>
  <c r="C1404" i="3"/>
  <c r="B1404" i="3"/>
  <c r="A1404" i="3"/>
  <c r="M1403" i="3"/>
  <c r="L1403" i="3"/>
  <c r="K1403" i="3"/>
  <c r="J1403" i="3"/>
  <c r="I1403" i="3"/>
  <c r="H1403" i="3"/>
  <c r="G1403" i="3"/>
  <c r="F1403" i="3"/>
  <c r="E1403" i="3"/>
  <c r="D1403" i="3"/>
  <c r="C1403" i="3"/>
  <c r="B1403" i="3"/>
  <c r="A1403" i="3"/>
  <c r="M1402" i="3"/>
  <c r="L1402" i="3"/>
  <c r="K1402" i="3"/>
  <c r="J1402" i="3"/>
  <c r="I1402" i="3"/>
  <c r="H1402" i="3"/>
  <c r="G1402" i="3"/>
  <c r="F1402" i="3"/>
  <c r="E1402" i="3"/>
  <c r="D1402" i="3"/>
  <c r="C1402" i="3"/>
  <c r="B1402" i="3"/>
  <c r="A1402" i="3"/>
  <c r="M1401" i="3"/>
  <c r="L1401" i="3"/>
  <c r="K1401" i="3"/>
  <c r="J1401" i="3"/>
  <c r="I1401" i="3"/>
  <c r="H1401" i="3"/>
  <c r="G1401" i="3"/>
  <c r="F1401" i="3"/>
  <c r="E1401" i="3"/>
  <c r="D1401" i="3"/>
  <c r="C1401" i="3"/>
  <c r="B1401" i="3"/>
  <c r="A1401" i="3"/>
  <c r="M1400" i="3"/>
  <c r="L1400" i="3"/>
  <c r="K1400" i="3"/>
  <c r="J1400" i="3"/>
  <c r="I1400" i="3"/>
  <c r="H1400" i="3"/>
  <c r="G1400" i="3"/>
  <c r="F1400" i="3"/>
  <c r="E1400" i="3"/>
  <c r="D1400" i="3"/>
  <c r="C1400" i="3"/>
  <c r="B1400" i="3"/>
  <c r="A1400" i="3"/>
  <c r="M1399" i="3"/>
  <c r="L1399" i="3"/>
  <c r="K1399" i="3"/>
  <c r="J1399" i="3"/>
  <c r="I1399" i="3"/>
  <c r="H1399" i="3"/>
  <c r="G1399" i="3"/>
  <c r="F1399" i="3"/>
  <c r="E1399" i="3"/>
  <c r="D1399" i="3"/>
  <c r="C1399" i="3"/>
  <c r="B1399" i="3"/>
  <c r="A1399" i="3"/>
  <c r="M1398" i="3"/>
  <c r="L1398" i="3"/>
  <c r="K1398" i="3"/>
  <c r="J1398" i="3"/>
  <c r="I1398" i="3"/>
  <c r="H1398" i="3"/>
  <c r="G1398" i="3"/>
  <c r="F1398" i="3"/>
  <c r="E1398" i="3"/>
  <c r="D1398" i="3"/>
  <c r="C1398" i="3"/>
  <c r="B1398" i="3"/>
  <c r="A1398" i="3"/>
  <c r="M1397" i="3"/>
  <c r="L1397" i="3"/>
  <c r="K1397" i="3"/>
  <c r="J1397" i="3"/>
  <c r="I1397" i="3"/>
  <c r="H1397" i="3"/>
  <c r="G1397" i="3"/>
  <c r="F1397" i="3"/>
  <c r="E1397" i="3"/>
  <c r="D1397" i="3"/>
  <c r="C1397" i="3"/>
  <c r="B1397" i="3"/>
  <c r="A1397" i="3"/>
  <c r="M1396" i="3"/>
  <c r="L1396" i="3"/>
  <c r="K1396" i="3"/>
  <c r="J1396" i="3"/>
  <c r="I1396" i="3"/>
  <c r="H1396" i="3"/>
  <c r="G1396" i="3"/>
  <c r="F1396" i="3"/>
  <c r="E1396" i="3"/>
  <c r="D1396" i="3"/>
  <c r="C1396" i="3"/>
  <c r="B1396" i="3"/>
  <c r="A1396" i="3"/>
  <c r="M1395" i="3"/>
  <c r="L1395" i="3"/>
  <c r="K1395" i="3"/>
  <c r="J1395" i="3"/>
  <c r="I1395" i="3"/>
  <c r="H1395" i="3"/>
  <c r="G1395" i="3"/>
  <c r="F1395" i="3"/>
  <c r="E1395" i="3"/>
  <c r="D1395" i="3"/>
  <c r="C1395" i="3"/>
  <c r="B1395" i="3"/>
  <c r="A1395" i="3"/>
  <c r="M1394" i="3"/>
  <c r="L1394" i="3"/>
  <c r="K1394" i="3"/>
  <c r="J1394" i="3"/>
  <c r="I1394" i="3"/>
  <c r="H1394" i="3"/>
  <c r="G1394" i="3"/>
  <c r="F1394" i="3"/>
  <c r="E1394" i="3"/>
  <c r="D1394" i="3"/>
  <c r="C1394" i="3"/>
  <c r="B1394" i="3"/>
  <c r="A1394" i="3"/>
  <c r="M1393" i="3"/>
  <c r="L1393" i="3"/>
  <c r="K1393" i="3"/>
  <c r="J1393" i="3"/>
  <c r="I1393" i="3"/>
  <c r="H1393" i="3"/>
  <c r="G1393" i="3"/>
  <c r="F1393" i="3"/>
  <c r="E1393" i="3"/>
  <c r="D1393" i="3"/>
  <c r="C1393" i="3"/>
  <c r="B1393" i="3"/>
  <c r="A1393" i="3"/>
  <c r="M1392" i="3"/>
  <c r="L1392" i="3"/>
  <c r="K1392" i="3"/>
  <c r="J1392" i="3"/>
  <c r="I1392" i="3"/>
  <c r="H1392" i="3"/>
  <c r="G1392" i="3"/>
  <c r="F1392" i="3"/>
  <c r="E1392" i="3"/>
  <c r="D1392" i="3"/>
  <c r="C1392" i="3"/>
  <c r="B1392" i="3"/>
  <c r="A1392" i="3"/>
  <c r="M1391" i="3"/>
  <c r="L1391" i="3"/>
  <c r="K1391" i="3"/>
  <c r="J1391" i="3"/>
  <c r="I1391" i="3"/>
  <c r="H1391" i="3"/>
  <c r="G1391" i="3"/>
  <c r="F1391" i="3"/>
  <c r="E1391" i="3"/>
  <c r="D1391" i="3"/>
  <c r="C1391" i="3"/>
  <c r="B1391" i="3"/>
  <c r="A1391" i="3"/>
  <c r="M1390" i="3"/>
  <c r="L1390" i="3"/>
  <c r="K1390" i="3"/>
  <c r="J1390" i="3"/>
  <c r="I1390" i="3"/>
  <c r="H1390" i="3"/>
  <c r="G1390" i="3"/>
  <c r="F1390" i="3"/>
  <c r="E1390" i="3"/>
  <c r="D1390" i="3"/>
  <c r="C1390" i="3"/>
  <c r="B1390" i="3"/>
  <c r="A1390" i="3"/>
  <c r="M1389" i="3"/>
  <c r="L1389" i="3"/>
  <c r="K1389" i="3"/>
  <c r="J1389" i="3"/>
  <c r="I1389" i="3"/>
  <c r="H1389" i="3"/>
  <c r="G1389" i="3"/>
  <c r="F1389" i="3"/>
  <c r="E1389" i="3"/>
  <c r="D1389" i="3"/>
  <c r="C1389" i="3"/>
  <c r="B1389" i="3"/>
  <c r="A1389" i="3"/>
  <c r="M1388" i="3"/>
  <c r="L1388" i="3"/>
  <c r="K1388" i="3"/>
  <c r="J1388" i="3"/>
  <c r="I1388" i="3"/>
  <c r="H1388" i="3"/>
  <c r="G1388" i="3"/>
  <c r="F1388" i="3"/>
  <c r="E1388" i="3"/>
  <c r="D1388" i="3"/>
  <c r="C1388" i="3"/>
  <c r="B1388" i="3"/>
  <c r="A1388" i="3"/>
  <c r="M1387" i="3"/>
  <c r="L1387" i="3"/>
  <c r="K1387" i="3"/>
  <c r="J1387" i="3"/>
  <c r="I1387" i="3"/>
  <c r="H1387" i="3"/>
  <c r="G1387" i="3"/>
  <c r="F1387" i="3"/>
  <c r="E1387" i="3"/>
  <c r="D1387" i="3"/>
  <c r="C1387" i="3"/>
  <c r="B1387" i="3"/>
  <c r="A1387" i="3"/>
  <c r="M1386" i="3"/>
  <c r="L1386" i="3"/>
  <c r="K1386" i="3"/>
  <c r="J1386" i="3"/>
  <c r="I1386" i="3"/>
  <c r="H1386" i="3"/>
  <c r="G1386" i="3"/>
  <c r="F1386" i="3"/>
  <c r="E1386" i="3"/>
  <c r="D1386" i="3"/>
  <c r="C1386" i="3"/>
  <c r="B1386" i="3"/>
  <c r="A1386" i="3"/>
  <c r="M1385" i="3"/>
  <c r="L1385" i="3"/>
  <c r="K1385" i="3"/>
  <c r="J1385" i="3"/>
  <c r="I1385" i="3"/>
  <c r="H1385" i="3"/>
  <c r="G1385" i="3"/>
  <c r="F1385" i="3"/>
  <c r="E1385" i="3"/>
  <c r="D1385" i="3"/>
  <c r="C1385" i="3"/>
  <c r="B1385" i="3"/>
  <c r="A1385" i="3"/>
  <c r="M1384" i="3"/>
  <c r="L1384" i="3"/>
  <c r="K1384" i="3"/>
  <c r="J1384" i="3"/>
  <c r="I1384" i="3"/>
  <c r="H1384" i="3"/>
  <c r="G1384" i="3"/>
  <c r="F1384" i="3"/>
  <c r="E1384" i="3"/>
  <c r="D1384" i="3"/>
  <c r="C1384" i="3"/>
  <c r="B1384" i="3"/>
  <c r="A1384" i="3"/>
  <c r="M1383" i="3"/>
  <c r="L1383" i="3"/>
  <c r="K1383" i="3"/>
  <c r="J1383" i="3"/>
  <c r="I1383" i="3"/>
  <c r="H1383" i="3"/>
  <c r="G1383" i="3"/>
  <c r="F1383" i="3"/>
  <c r="E1383" i="3"/>
  <c r="D1383" i="3"/>
  <c r="C1383" i="3"/>
  <c r="B1383" i="3"/>
  <c r="A1383" i="3"/>
  <c r="M1382" i="3"/>
  <c r="L1382" i="3"/>
  <c r="K1382" i="3"/>
  <c r="J1382" i="3"/>
  <c r="I1382" i="3"/>
  <c r="H1382" i="3"/>
  <c r="G1382" i="3"/>
  <c r="F1382" i="3"/>
  <c r="E1382" i="3"/>
  <c r="D1382" i="3"/>
  <c r="C1382" i="3"/>
  <c r="B1382" i="3"/>
  <c r="A1382" i="3"/>
  <c r="M1381" i="3"/>
  <c r="L1381" i="3"/>
  <c r="K1381" i="3"/>
  <c r="J1381" i="3"/>
  <c r="I1381" i="3"/>
  <c r="H1381" i="3"/>
  <c r="G1381" i="3"/>
  <c r="F1381" i="3"/>
  <c r="E1381" i="3"/>
  <c r="D1381" i="3"/>
  <c r="C1381" i="3"/>
  <c r="B1381" i="3"/>
  <c r="A1381" i="3"/>
  <c r="M1380" i="3"/>
  <c r="L1380" i="3"/>
  <c r="K1380" i="3"/>
  <c r="J1380" i="3"/>
  <c r="I1380" i="3"/>
  <c r="H1380" i="3"/>
  <c r="G1380" i="3"/>
  <c r="F1380" i="3"/>
  <c r="E1380" i="3"/>
  <c r="D1380" i="3"/>
  <c r="C1380" i="3"/>
  <c r="B1380" i="3"/>
  <c r="A1380" i="3"/>
  <c r="M1379" i="3"/>
  <c r="L1379" i="3"/>
  <c r="K1379" i="3"/>
  <c r="J1379" i="3"/>
  <c r="I1379" i="3"/>
  <c r="H1379" i="3"/>
  <c r="G1379" i="3"/>
  <c r="F1379" i="3"/>
  <c r="E1379" i="3"/>
  <c r="D1379" i="3"/>
  <c r="C1379" i="3"/>
  <c r="B1379" i="3"/>
  <c r="A1379" i="3"/>
  <c r="M1378" i="3"/>
  <c r="L1378" i="3"/>
  <c r="K1378" i="3"/>
  <c r="J1378" i="3"/>
  <c r="I1378" i="3"/>
  <c r="H1378" i="3"/>
  <c r="G1378" i="3"/>
  <c r="F1378" i="3"/>
  <c r="E1378" i="3"/>
  <c r="D1378" i="3"/>
  <c r="C1378" i="3"/>
  <c r="B1378" i="3"/>
  <c r="A1378" i="3"/>
  <c r="M1377" i="3"/>
  <c r="L1377" i="3"/>
  <c r="K1377" i="3"/>
  <c r="J1377" i="3"/>
  <c r="I1377" i="3"/>
  <c r="H1377" i="3"/>
  <c r="G1377" i="3"/>
  <c r="F1377" i="3"/>
  <c r="E1377" i="3"/>
  <c r="D1377" i="3"/>
  <c r="C1377" i="3"/>
  <c r="B1377" i="3"/>
  <c r="A1377" i="3"/>
  <c r="M1376" i="3"/>
  <c r="L1376" i="3"/>
  <c r="K1376" i="3"/>
  <c r="J1376" i="3"/>
  <c r="I1376" i="3"/>
  <c r="H1376" i="3"/>
  <c r="G1376" i="3"/>
  <c r="F1376" i="3"/>
  <c r="E1376" i="3"/>
  <c r="D1376" i="3"/>
  <c r="C1376" i="3"/>
  <c r="B1376" i="3"/>
  <c r="A1376" i="3"/>
  <c r="M1375" i="3"/>
  <c r="L1375" i="3"/>
  <c r="K1375" i="3"/>
  <c r="J1375" i="3"/>
  <c r="I1375" i="3"/>
  <c r="H1375" i="3"/>
  <c r="G1375" i="3"/>
  <c r="F1375" i="3"/>
  <c r="E1375" i="3"/>
  <c r="D1375" i="3"/>
  <c r="C1375" i="3"/>
  <c r="B1375" i="3"/>
  <c r="A1375" i="3"/>
  <c r="M1374" i="3"/>
  <c r="L1374" i="3"/>
  <c r="K1374" i="3"/>
  <c r="J1374" i="3"/>
  <c r="I1374" i="3"/>
  <c r="H1374" i="3"/>
  <c r="G1374" i="3"/>
  <c r="F1374" i="3"/>
  <c r="E1374" i="3"/>
  <c r="D1374" i="3"/>
  <c r="C1374" i="3"/>
  <c r="B1374" i="3"/>
  <c r="A1374" i="3"/>
  <c r="M1373" i="3"/>
  <c r="L1373" i="3"/>
  <c r="K1373" i="3"/>
  <c r="J1373" i="3"/>
  <c r="I1373" i="3"/>
  <c r="H1373" i="3"/>
  <c r="G1373" i="3"/>
  <c r="F1373" i="3"/>
  <c r="E1373" i="3"/>
  <c r="D1373" i="3"/>
  <c r="C1373" i="3"/>
  <c r="B1373" i="3"/>
  <c r="A1373" i="3"/>
  <c r="M1372" i="3"/>
  <c r="L1372" i="3"/>
  <c r="K1372" i="3"/>
  <c r="J1372" i="3"/>
  <c r="I1372" i="3"/>
  <c r="H1372" i="3"/>
  <c r="G1372" i="3"/>
  <c r="F1372" i="3"/>
  <c r="E1372" i="3"/>
  <c r="D1372" i="3"/>
  <c r="C1372" i="3"/>
  <c r="B1372" i="3"/>
  <c r="A1372" i="3"/>
  <c r="M1371" i="3"/>
  <c r="L1371" i="3"/>
  <c r="K1371" i="3"/>
  <c r="J1371" i="3"/>
  <c r="I1371" i="3"/>
  <c r="H1371" i="3"/>
  <c r="G1371" i="3"/>
  <c r="F1371" i="3"/>
  <c r="E1371" i="3"/>
  <c r="D1371" i="3"/>
  <c r="C1371" i="3"/>
  <c r="B1371" i="3"/>
  <c r="A1371" i="3"/>
  <c r="M1370" i="3"/>
  <c r="L1370" i="3"/>
  <c r="K1370" i="3"/>
  <c r="J1370" i="3"/>
  <c r="I1370" i="3"/>
  <c r="H1370" i="3"/>
  <c r="G1370" i="3"/>
  <c r="F1370" i="3"/>
  <c r="E1370" i="3"/>
  <c r="D1370" i="3"/>
  <c r="C1370" i="3"/>
  <c r="B1370" i="3"/>
  <c r="A1370" i="3"/>
  <c r="M1369" i="3"/>
  <c r="L1369" i="3"/>
  <c r="K1369" i="3"/>
  <c r="J1369" i="3"/>
  <c r="I1369" i="3"/>
  <c r="H1369" i="3"/>
  <c r="G1369" i="3"/>
  <c r="F1369" i="3"/>
  <c r="E1369" i="3"/>
  <c r="D1369" i="3"/>
  <c r="C1369" i="3"/>
  <c r="B1369" i="3"/>
  <c r="A1369" i="3"/>
  <c r="M1368" i="3"/>
  <c r="L1368" i="3"/>
  <c r="K1368" i="3"/>
  <c r="J1368" i="3"/>
  <c r="I1368" i="3"/>
  <c r="H1368" i="3"/>
  <c r="G1368" i="3"/>
  <c r="F1368" i="3"/>
  <c r="E1368" i="3"/>
  <c r="D1368" i="3"/>
  <c r="C1368" i="3"/>
  <c r="B1368" i="3"/>
  <c r="A1368" i="3"/>
  <c r="M1367" i="3"/>
  <c r="L1367" i="3"/>
  <c r="K1367" i="3"/>
  <c r="J1367" i="3"/>
  <c r="I1367" i="3"/>
  <c r="H1367" i="3"/>
  <c r="G1367" i="3"/>
  <c r="F1367" i="3"/>
  <c r="E1367" i="3"/>
  <c r="D1367" i="3"/>
  <c r="C1367" i="3"/>
  <c r="B1367" i="3"/>
  <c r="A1367" i="3"/>
  <c r="M1366" i="3"/>
  <c r="L1366" i="3"/>
  <c r="K1366" i="3"/>
  <c r="J1366" i="3"/>
  <c r="I1366" i="3"/>
  <c r="H1366" i="3"/>
  <c r="G1366" i="3"/>
  <c r="F1366" i="3"/>
  <c r="E1366" i="3"/>
  <c r="D1366" i="3"/>
  <c r="C1366" i="3"/>
  <c r="B1366" i="3"/>
  <c r="A1366" i="3"/>
  <c r="M1365" i="3"/>
  <c r="L1365" i="3"/>
  <c r="K1365" i="3"/>
  <c r="J1365" i="3"/>
  <c r="I1365" i="3"/>
  <c r="H1365" i="3"/>
  <c r="G1365" i="3"/>
  <c r="F1365" i="3"/>
  <c r="E1365" i="3"/>
  <c r="D1365" i="3"/>
  <c r="C1365" i="3"/>
  <c r="B1365" i="3"/>
  <c r="A1365" i="3"/>
  <c r="M1364" i="3"/>
  <c r="L1364" i="3"/>
  <c r="K1364" i="3"/>
  <c r="J1364" i="3"/>
  <c r="I1364" i="3"/>
  <c r="H1364" i="3"/>
  <c r="G1364" i="3"/>
  <c r="F1364" i="3"/>
  <c r="E1364" i="3"/>
  <c r="D1364" i="3"/>
  <c r="C1364" i="3"/>
  <c r="B1364" i="3"/>
  <c r="A1364" i="3"/>
  <c r="M1363" i="3"/>
  <c r="L1363" i="3"/>
  <c r="K1363" i="3"/>
  <c r="J1363" i="3"/>
  <c r="I1363" i="3"/>
  <c r="H1363" i="3"/>
  <c r="G1363" i="3"/>
  <c r="F1363" i="3"/>
  <c r="E1363" i="3"/>
  <c r="D1363" i="3"/>
  <c r="C1363" i="3"/>
  <c r="B1363" i="3"/>
  <c r="A1363" i="3"/>
  <c r="M1362" i="3"/>
  <c r="L1362" i="3"/>
  <c r="K1362" i="3"/>
  <c r="J1362" i="3"/>
  <c r="I1362" i="3"/>
  <c r="H1362" i="3"/>
  <c r="G1362" i="3"/>
  <c r="F1362" i="3"/>
  <c r="E1362" i="3"/>
  <c r="D1362" i="3"/>
  <c r="C1362" i="3"/>
  <c r="B1362" i="3"/>
  <c r="A1362" i="3"/>
  <c r="M1361" i="3"/>
  <c r="L1361" i="3"/>
  <c r="K1361" i="3"/>
  <c r="J1361" i="3"/>
  <c r="I1361" i="3"/>
  <c r="H1361" i="3"/>
  <c r="G1361" i="3"/>
  <c r="F1361" i="3"/>
  <c r="E1361" i="3"/>
  <c r="D1361" i="3"/>
  <c r="C1361" i="3"/>
  <c r="B1361" i="3"/>
  <c r="A1361" i="3"/>
  <c r="M1360" i="3"/>
  <c r="L1360" i="3"/>
  <c r="K1360" i="3"/>
  <c r="J1360" i="3"/>
  <c r="I1360" i="3"/>
  <c r="H1360" i="3"/>
  <c r="G1360" i="3"/>
  <c r="F1360" i="3"/>
  <c r="E1360" i="3"/>
  <c r="D1360" i="3"/>
  <c r="C1360" i="3"/>
  <c r="B1360" i="3"/>
  <c r="A1360" i="3"/>
  <c r="M1359" i="3"/>
  <c r="L1359" i="3"/>
  <c r="K1359" i="3"/>
  <c r="J1359" i="3"/>
  <c r="I1359" i="3"/>
  <c r="H1359" i="3"/>
  <c r="G1359" i="3"/>
  <c r="F1359" i="3"/>
  <c r="E1359" i="3"/>
  <c r="D1359" i="3"/>
  <c r="C1359" i="3"/>
  <c r="B1359" i="3"/>
  <c r="A1359" i="3"/>
  <c r="M1358" i="3"/>
  <c r="L1358" i="3"/>
  <c r="K1358" i="3"/>
  <c r="J1358" i="3"/>
  <c r="I1358" i="3"/>
  <c r="H1358" i="3"/>
  <c r="G1358" i="3"/>
  <c r="F1358" i="3"/>
  <c r="E1358" i="3"/>
  <c r="D1358" i="3"/>
  <c r="C1358" i="3"/>
  <c r="B1358" i="3"/>
  <c r="A1358" i="3"/>
  <c r="M1357" i="3"/>
  <c r="L1357" i="3"/>
  <c r="K1357" i="3"/>
  <c r="J1357" i="3"/>
  <c r="I1357" i="3"/>
  <c r="H1357" i="3"/>
  <c r="G1357" i="3"/>
  <c r="F1357" i="3"/>
  <c r="E1357" i="3"/>
  <c r="D1357" i="3"/>
  <c r="C1357" i="3"/>
  <c r="B1357" i="3"/>
  <c r="A1357" i="3"/>
  <c r="M1356" i="3"/>
  <c r="L1356" i="3"/>
  <c r="K1356" i="3"/>
  <c r="J1356" i="3"/>
  <c r="I1356" i="3"/>
  <c r="H1356" i="3"/>
  <c r="G1356" i="3"/>
  <c r="F1356" i="3"/>
  <c r="E1356" i="3"/>
  <c r="D1356" i="3"/>
  <c r="C1356" i="3"/>
  <c r="B1356" i="3"/>
  <c r="A1356" i="3"/>
  <c r="M1355" i="3"/>
  <c r="L1355" i="3"/>
  <c r="K1355" i="3"/>
  <c r="J1355" i="3"/>
  <c r="I1355" i="3"/>
  <c r="H1355" i="3"/>
  <c r="G1355" i="3"/>
  <c r="F1355" i="3"/>
  <c r="E1355" i="3"/>
  <c r="D1355" i="3"/>
  <c r="C1355" i="3"/>
  <c r="B1355" i="3"/>
  <c r="A1355" i="3"/>
  <c r="M1354" i="3"/>
  <c r="L1354" i="3"/>
  <c r="K1354" i="3"/>
  <c r="J1354" i="3"/>
  <c r="I1354" i="3"/>
  <c r="H1354" i="3"/>
  <c r="G1354" i="3"/>
  <c r="F1354" i="3"/>
  <c r="E1354" i="3"/>
  <c r="D1354" i="3"/>
  <c r="C1354" i="3"/>
  <c r="B1354" i="3"/>
  <c r="A1354" i="3"/>
  <c r="M1353" i="3"/>
  <c r="L1353" i="3"/>
  <c r="K1353" i="3"/>
  <c r="J1353" i="3"/>
  <c r="I1353" i="3"/>
  <c r="H1353" i="3"/>
  <c r="G1353" i="3"/>
  <c r="F1353" i="3"/>
  <c r="E1353" i="3"/>
  <c r="D1353" i="3"/>
  <c r="C1353" i="3"/>
  <c r="B1353" i="3"/>
  <c r="A1353" i="3"/>
  <c r="M1352" i="3"/>
  <c r="L1352" i="3"/>
  <c r="K1352" i="3"/>
  <c r="J1352" i="3"/>
  <c r="I1352" i="3"/>
  <c r="H1352" i="3"/>
  <c r="G1352" i="3"/>
  <c r="F1352" i="3"/>
  <c r="E1352" i="3"/>
  <c r="D1352" i="3"/>
  <c r="C1352" i="3"/>
  <c r="B1352" i="3"/>
  <c r="A1352" i="3"/>
  <c r="M1351" i="3"/>
  <c r="L1351" i="3"/>
  <c r="K1351" i="3"/>
  <c r="J1351" i="3"/>
  <c r="I1351" i="3"/>
  <c r="H1351" i="3"/>
  <c r="G1351" i="3"/>
  <c r="F1351" i="3"/>
  <c r="E1351" i="3"/>
  <c r="D1351" i="3"/>
  <c r="C1351" i="3"/>
  <c r="B1351" i="3"/>
  <c r="A1351" i="3"/>
  <c r="M1350" i="3"/>
  <c r="L1350" i="3"/>
  <c r="K1350" i="3"/>
  <c r="J1350" i="3"/>
  <c r="I1350" i="3"/>
  <c r="H1350" i="3"/>
  <c r="G1350" i="3"/>
  <c r="F1350" i="3"/>
  <c r="E1350" i="3"/>
  <c r="D1350" i="3"/>
  <c r="C1350" i="3"/>
  <c r="B1350" i="3"/>
  <c r="A1350" i="3"/>
  <c r="M1349" i="3"/>
  <c r="L1349" i="3"/>
  <c r="K1349" i="3"/>
  <c r="J1349" i="3"/>
  <c r="I1349" i="3"/>
  <c r="H1349" i="3"/>
  <c r="G1349" i="3"/>
  <c r="F1349" i="3"/>
  <c r="E1349" i="3"/>
  <c r="D1349" i="3"/>
  <c r="C1349" i="3"/>
  <c r="B1349" i="3"/>
  <c r="A1349" i="3"/>
  <c r="M1348" i="3"/>
  <c r="L1348" i="3"/>
  <c r="K1348" i="3"/>
  <c r="J1348" i="3"/>
  <c r="I1348" i="3"/>
  <c r="H1348" i="3"/>
  <c r="G1348" i="3"/>
  <c r="F1348" i="3"/>
  <c r="E1348" i="3"/>
  <c r="D1348" i="3"/>
  <c r="C1348" i="3"/>
  <c r="B1348" i="3"/>
  <c r="A1348" i="3"/>
  <c r="M1347" i="3"/>
  <c r="L1347" i="3"/>
  <c r="K1347" i="3"/>
  <c r="J1347" i="3"/>
  <c r="I1347" i="3"/>
  <c r="H1347" i="3"/>
  <c r="G1347" i="3"/>
  <c r="F1347" i="3"/>
  <c r="E1347" i="3"/>
  <c r="D1347" i="3"/>
  <c r="C1347" i="3"/>
  <c r="B1347" i="3"/>
  <c r="A1347" i="3"/>
  <c r="M1346" i="3"/>
  <c r="L1346" i="3"/>
  <c r="K1346" i="3"/>
  <c r="J1346" i="3"/>
  <c r="I1346" i="3"/>
  <c r="H1346" i="3"/>
  <c r="G1346" i="3"/>
  <c r="F1346" i="3"/>
  <c r="E1346" i="3"/>
  <c r="D1346" i="3"/>
  <c r="C1346" i="3"/>
  <c r="B1346" i="3"/>
  <c r="A1346" i="3"/>
  <c r="M1345" i="3"/>
  <c r="L1345" i="3"/>
  <c r="K1345" i="3"/>
  <c r="J1345" i="3"/>
  <c r="I1345" i="3"/>
  <c r="H1345" i="3"/>
  <c r="G1345" i="3"/>
  <c r="F1345" i="3"/>
  <c r="E1345" i="3"/>
  <c r="D1345" i="3"/>
  <c r="C1345" i="3"/>
  <c r="B1345" i="3"/>
  <c r="A1345" i="3"/>
  <c r="M1344" i="3"/>
  <c r="L1344" i="3"/>
  <c r="K1344" i="3"/>
  <c r="J1344" i="3"/>
  <c r="I1344" i="3"/>
  <c r="H1344" i="3"/>
  <c r="G1344" i="3"/>
  <c r="F1344" i="3"/>
  <c r="E1344" i="3"/>
  <c r="D1344" i="3"/>
  <c r="C1344" i="3"/>
  <c r="B1344" i="3"/>
  <c r="A1344" i="3"/>
  <c r="M1343" i="3"/>
  <c r="L1343" i="3"/>
  <c r="K1343" i="3"/>
  <c r="J1343" i="3"/>
  <c r="I1343" i="3"/>
  <c r="H1343" i="3"/>
  <c r="G1343" i="3"/>
  <c r="F1343" i="3"/>
  <c r="E1343" i="3"/>
  <c r="D1343" i="3"/>
  <c r="C1343" i="3"/>
  <c r="B1343" i="3"/>
  <c r="A1343" i="3"/>
  <c r="M1342" i="3"/>
  <c r="L1342" i="3"/>
  <c r="K1342" i="3"/>
  <c r="J1342" i="3"/>
  <c r="I1342" i="3"/>
  <c r="H1342" i="3"/>
  <c r="G1342" i="3"/>
  <c r="F1342" i="3"/>
  <c r="E1342" i="3"/>
  <c r="D1342" i="3"/>
  <c r="C1342" i="3"/>
  <c r="B1342" i="3"/>
  <c r="A1342" i="3"/>
  <c r="M1341" i="3"/>
  <c r="L1341" i="3"/>
  <c r="K1341" i="3"/>
  <c r="J1341" i="3"/>
  <c r="I1341" i="3"/>
  <c r="H1341" i="3"/>
  <c r="G1341" i="3"/>
  <c r="F1341" i="3"/>
  <c r="E1341" i="3"/>
  <c r="D1341" i="3"/>
  <c r="C1341" i="3"/>
  <c r="B1341" i="3"/>
  <c r="A1341" i="3"/>
  <c r="M1340" i="3"/>
  <c r="L1340" i="3"/>
  <c r="K1340" i="3"/>
  <c r="J1340" i="3"/>
  <c r="I1340" i="3"/>
  <c r="H1340" i="3"/>
  <c r="G1340" i="3"/>
  <c r="F1340" i="3"/>
  <c r="E1340" i="3"/>
  <c r="D1340" i="3"/>
  <c r="C1340" i="3"/>
  <c r="B1340" i="3"/>
  <c r="A1340" i="3"/>
  <c r="M1339" i="3"/>
  <c r="L1339" i="3"/>
  <c r="K1339" i="3"/>
  <c r="J1339" i="3"/>
  <c r="I1339" i="3"/>
  <c r="H1339" i="3"/>
  <c r="G1339" i="3"/>
  <c r="F1339" i="3"/>
  <c r="E1339" i="3"/>
  <c r="D1339" i="3"/>
  <c r="C1339" i="3"/>
  <c r="B1339" i="3"/>
  <c r="A1339" i="3"/>
  <c r="M1338" i="3"/>
  <c r="L1338" i="3"/>
  <c r="K1338" i="3"/>
  <c r="J1338" i="3"/>
  <c r="I1338" i="3"/>
  <c r="H1338" i="3"/>
  <c r="G1338" i="3"/>
  <c r="F1338" i="3"/>
  <c r="E1338" i="3"/>
  <c r="D1338" i="3"/>
  <c r="C1338" i="3"/>
  <c r="B1338" i="3"/>
  <c r="A1338" i="3"/>
  <c r="M1337" i="3"/>
  <c r="L1337" i="3"/>
  <c r="K1337" i="3"/>
  <c r="J1337" i="3"/>
  <c r="I1337" i="3"/>
  <c r="H1337" i="3"/>
  <c r="G1337" i="3"/>
  <c r="F1337" i="3"/>
  <c r="E1337" i="3"/>
  <c r="D1337" i="3"/>
  <c r="C1337" i="3"/>
  <c r="B1337" i="3"/>
  <c r="A1337" i="3"/>
  <c r="M1336" i="3"/>
  <c r="L1336" i="3"/>
  <c r="K1336" i="3"/>
  <c r="J1336" i="3"/>
  <c r="I1336" i="3"/>
  <c r="H1336" i="3"/>
  <c r="G1336" i="3"/>
  <c r="F1336" i="3"/>
  <c r="E1336" i="3"/>
  <c r="D1336" i="3"/>
  <c r="C1336" i="3"/>
  <c r="B1336" i="3"/>
  <c r="A1336" i="3"/>
  <c r="M1335" i="3"/>
  <c r="L1335" i="3"/>
  <c r="K1335" i="3"/>
  <c r="J1335" i="3"/>
  <c r="I1335" i="3"/>
  <c r="H1335" i="3"/>
  <c r="G1335" i="3"/>
  <c r="F1335" i="3"/>
  <c r="E1335" i="3"/>
  <c r="D1335" i="3"/>
  <c r="C1335" i="3"/>
  <c r="B1335" i="3"/>
  <c r="A1335" i="3"/>
  <c r="M1334" i="3"/>
  <c r="L1334" i="3"/>
  <c r="K1334" i="3"/>
  <c r="J1334" i="3"/>
  <c r="I1334" i="3"/>
  <c r="H1334" i="3"/>
  <c r="G1334" i="3"/>
  <c r="F1334" i="3"/>
  <c r="E1334" i="3"/>
  <c r="D1334" i="3"/>
  <c r="C1334" i="3"/>
  <c r="B1334" i="3"/>
  <c r="A1334" i="3"/>
  <c r="M1333" i="3"/>
  <c r="L1333" i="3"/>
  <c r="K1333" i="3"/>
  <c r="J1333" i="3"/>
  <c r="I1333" i="3"/>
  <c r="H1333" i="3"/>
  <c r="G1333" i="3"/>
  <c r="F1333" i="3"/>
  <c r="E1333" i="3"/>
  <c r="D1333" i="3"/>
  <c r="C1333" i="3"/>
  <c r="B1333" i="3"/>
  <c r="A1333" i="3"/>
  <c r="M1332" i="3"/>
  <c r="L1332" i="3"/>
  <c r="K1332" i="3"/>
  <c r="J1332" i="3"/>
  <c r="I1332" i="3"/>
  <c r="H1332" i="3"/>
  <c r="G1332" i="3"/>
  <c r="F1332" i="3"/>
  <c r="E1332" i="3"/>
  <c r="D1332" i="3"/>
  <c r="C1332" i="3"/>
  <c r="B1332" i="3"/>
  <c r="A1332" i="3"/>
  <c r="M1331" i="3"/>
  <c r="L1331" i="3"/>
  <c r="K1331" i="3"/>
  <c r="J1331" i="3"/>
  <c r="I1331" i="3"/>
  <c r="H1331" i="3"/>
  <c r="G1331" i="3"/>
  <c r="F1331" i="3"/>
  <c r="E1331" i="3"/>
  <c r="D1331" i="3"/>
  <c r="C1331" i="3"/>
  <c r="B1331" i="3"/>
  <c r="A1331" i="3"/>
  <c r="M1330" i="3"/>
  <c r="L1330" i="3"/>
  <c r="K1330" i="3"/>
  <c r="J1330" i="3"/>
  <c r="I1330" i="3"/>
  <c r="H1330" i="3"/>
  <c r="G1330" i="3"/>
  <c r="F1330" i="3"/>
  <c r="E1330" i="3"/>
  <c r="D1330" i="3"/>
  <c r="C1330" i="3"/>
  <c r="B1330" i="3"/>
  <c r="A1330" i="3"/>
  <c r="M1329" i="3"/>
  <c r="L1329" i="3"/>
  <c r="K1329" i="3"/>
  <c r="J1329" i="3"/>
  <c r="I1329" i="3"/>
  <c r="H1329" i="3"/>
  <c r="G1329" i="3"/>
  <c r="F1329" i="3"/>
  <c r="E1329" i="3"/>
  <c r="D1329" i="3"/>
  <c r="C1329" i="3"/>
  <c r="B1329" i="3"/>
  <c r="A1329" i="3"/>
  <c r="M1328" i="3"/>
  <c r="L1328" i="3"/>
  <c r="K1328" i="3"/>
  <c r="J1328" i="3"/>
  <c r="I1328" i="3"/>
  <c r="H1328" i="3"/>
  <c r="G1328" i="3"/>
  <c r="F1328" i="3"/>
  <c r="E1328" i="3"/>
  <c r="D1328" i="3"/>
  <c r="C1328" i="3"/>
  <c r="B1328" i="3"/>
  <c r="A1328" i="3"/>
  <c r="M1327" i="3"/>
  <c r="L1327" i="3"/>
  <c r="K1327" i="3"/>
  <c r="J1327" i="3"/>
  <c r="I1327" i="3"/>
  <c r="H1327" i="3"/>
  <c r="G1327" i="3"/>
  <c r="F1327" i="3"/>
  <c r="E1327" i="3"/>
  <c r="D1327" i="3"/>
  <c r="C1327" i="3"/>
  <c r="B1327" i="3"/>
  <c r="A1327" i="3"/>
  <c r="M1326" i="3"/>
  <c r="L1326" i="3"/>
  <c r="K1326" i="3"/>
  <c r="J1326" i="3"/>
  <c r="I1326" i="3"/>
  <c r="H1326" i="3"/>
  <c r="G1326" i="3"/>
  <c r="F1326" i="3"/>
  <c r="E1326" i="3"/>
  <c r="D1326" i="3"/>
  <c r="C1326" i="3"/>
  <c r="B1326" i="3"/>
  <c r="A1326" i="3"/>
  <c r="M1325" i="3"/>
  <c r="L1325" i="3"/>
  <c r="K1325" i="3"/>
  <c r="J1325" i="3"/>
  <c r="I1325" i="3"/>
  <c r="H1325" i="3"/>
  <c r="G1325" i="3"/>
  <c r="F1325" i="3"/>
  <c r="E1325" i="3"/>
  <c r="D1325" i="3"/>
  <c r="C1325" i="3"/>
  <c r="B1325" i="3"/>
  <c r="A1325" i="3"/>
  <c r="M1324" i="3"/>
  <c r="L1324" i="3"/>
  <c r="K1324" i="3"/>
  <c r="J1324" i="3"/>
  <c r="I1324" i="3"/>
  <c r="H1324" i="3"/>
  <c r="G1324" i="3"/>
  <c r="F1324" i="3"/>
  <c r="E1324" i="3"/>
  <c r="D1324" i="3"/>
  <c r="C1324" i="3"/>
  <c r="B1324" i="3"/>
  <c r="A1324" i="3"/>
  <c r="M1323" i="3"/>
  <c r="L1323" i="3"/>
  <c r="K1323" i="3"/>
  <c r="J1323" i="3"/>
  <c r="I1323" i="3"/>
  <c r="H1323" i="3"/>
  <c r="G1323" i="3"/>
  <c r="F1323" i="3"/>
  <c r="E1323" i="3"/>
  <c r="D1323" i="3"/>
  <c r="C1323" i="3"/>
  <c r="B1323" i="3"/>
  <c r="A1323" i="3"/>
  <c r="M1322" i="3"/>
  <c r="L1322" i="3"/>
  <c r="K1322" i="3"/>
  <c r="J1322" i="3"/>
  <c r="I1322" i="3"/>
  <c r="H1322" i="3"/>
  <c r="G1322" i="3"/>
  <c r="F1322" i="3"/>
  <c r="E1322" i="3"/>
  <c r="D1322" i="3"/>
  <c r="C1322" i="3"/>
  <c r="B1322" i="3"/>
  <c r="A1322" i="3"/>
  <c r="M1321" i="3"/>
  <c r="L1321" i="3"/>
  <c r="K1321" i="3"/>
  <c r="J1321" i="3"/>
  <c r="I1321" i="3"/>
  <c r="H1321" i="3"/>
  <c r="G1321" i="3"/>
  <c r="F1321" i="3"/>
  <c r="E1321" i="3"/>
  <c r="D1321" i="3"/>
  <c r="C1321" i="3"/>
  <c r="B1321" i="3"/>
  <c r="A1321" i="3"/>
  <c r="M1320" i="3"/>
  <c r="L1320" i="3"/>
  <c r="K1320" i="3"/>
  <c r="J1320" i="3"/>
  <c r="I1320" i="3"/>
  <c r="H1320" i="3"/>
  <c r="G1320" i="3"/>
  <c r="F1320" i="3"/>
  <c r="E1320" i="3"/>
  <c r="D1320" i="3"/>
  <c r="C1320" i="3"/>
  <c r="B1320" i="3"/>
  <c r="A1320" i="3"/>
  <c r="M1319" i="3"/>
  <c r="L1319" i="3"/>
  <c r="K1319" i="3"/>
  <c r="J1319" i="3"/>
  <c r="I1319" i="3"/>
  <c r="H1319" i="3"/>
  <c r="G1319" i="3"/>
  <c r="F1319" i="3"/>
  <c r="E1319" i="3"/>
  <c r="D1319" i="3"/>
  <c r="C1319" i="3"/>
  <c r="B1319" i="3"/>
  <c r="A1319" i="3"/>
  <c r="M1318" i="3"/>
  <c r="L1318" i="3"/>
  <c r="K1318" i="3"/>
  <c r="J1318" i="3"/>
  <c r="I1318" i="3"/>
  <c r="H1318" i="3"/>
  <c r="G1318" i="3"/>
  <c r="F1318" i="3"/>
  <c r="E1318" i="3"/>
  <c r="D1318" i="3"/>
  <c r="C1318" i="3"/>
  <c r="B1318" i="3"/>
  <c r="A1318" i="3"/>
  <c r="M1317" i="3"/>
  <c r="L1317" i="3"/>
  <c r="K1317" i="3"/>
  <c r="J1317" i="3"/>
  <c r="I1317" i="3"/>
  <c r="H1317" i="3"/>
  <c r="G1317" i="3"/>
  <c r="F1317" i="3"/>
  <c r="E1317" i="3"/>
  <c r="D1317" i="3"/>
  <c r="C1317" i="3"/>
  <c r="B1317" i="3"/>
  <c r="A1317" i="3"/>
  <c r="M1316" i="3"/>
  <c r="L1316" i="3"/>
  <c r="K1316" i="3"/>
  <c r="J1316" i="3"/>
  <c r="I1316" i="3"/>
  <c r="H1316" i="3"/>
  <c r="G1316" i="3"/>
  <c r="F1316" i="3"/>
  <c r="E1316" i="3"/>
  <c r="D1316" i="3"/>
  <c r="C1316" i="3"/>
  <c r="B1316" i="3"/>
  <c r="A1316" i="3"/>
  <c r="M1315" i="3"/>
  <c r="L1315" i="3"/>
  <c r="K1315" i="3"/>
  <c r="J1315" i="3"/>
  <c r="I1315" i="3"/>
  <c r="H1315" i="3"/>
  <c r="G1315" i="3"/>
  <c r="F1315" i="3"/>
  <c r="E1315" i="3"/>
  <c r="D1315" i="3"/>
  <c r="C1315" i="3"/>
  <c r="B1315" i="3"/>
  <c r="A1315" i="3"/>
  <c r="M1314" i="3"/>
  <c r="L1314" i="3"/>
  <c r="K1314" i="3"/>
  <c r="J1314" i="3"/>
  <c r="I1314" i="3"/>
  <c r="H1314" i="3"/>
  <c r="G1314" i="3"/>
  <c r="F1314" i="3"/>
  <c r="E1314" i="3"/>
  <c r="D1314" i="3"/>
  <c r="C1314" i="3"/>
  <c r="B1314" i="3"/>
  <c r="A1314" i="3"/>
  <c r="M1313" i="3"/>
  <c r="L1313" i="3"/>
  <c r="K1313" i="3"/>
  <c r="J1313" i="3"/>
  <c r="I1313" i="3"/>
  <c r="H1313" i="3"/>
  <c r="G1313" i="3"/>
  <c r="F1313" i="3"/>
  <c r="E1313" i="3"/>
  <c r="D1313" i="3"/>
  <c r="C1313" i="3"/>
  <c r="B1313" i="3"/>
  <c r="A1313" i="3"/>
  <c r="M1312" i="3"/>
  <c r="L1312" i="3"/>
  <c r="K1312" i="3"/>
  <c r="J1312" i="3"/>
  <c r="I1312" i="3"/>
  <c r="H1312" i="3"/>
  <c r="G1312" i="3"/>
  <c r="F1312" i="3"/>
  <c r="E1312" i="3"/>
  <c r="D1312" i="3"/>
  <c r="C1312" i="3"/>
  <c r="B1312" i="3"/>
  <c r="A1312" i="3"/>
  <c r="M1311" i="3"/>
  <c r="L1311" i="3"/>
  <c r="K1311" i="3"/>
  <c r="J1311" i="3"/>
  <c r="I1311" i="3"/>
  <c r="H1311" i="3"/>
  <c r="G1311" i="3"/>
  <c r="F1311" i="3"/>
  <c r="E1311" i="3"/>
  <c r="D1311" i="3"/>
  <c r="C1311" i="3"/>
  <c r="B1311" i="3"/>
  <c r="A1311" i="3"/>
  <c r="M1310" i="3"/>
  <c r="L1310" i="3"/>
  <c r="K1310" i="3"/>
  <c r="J1310" i="3"/>
  <c r="I1310" i="3"/>
  <c r="H1310" i="3"/>
  <c r="G1310" i="3"/>
  <c r="F1310" i="3"/>
  <c r="E1310" i="3"/>
  <c r="D1310" i="3"/>
  <c r="C1310" i="3"/>
  <c r="B1310" i="3"/>
  <c r="A1310" i="3"/>
  <c r="M1309" i="3"/>
  <c r="L1309" i="3"/>
  <c r="K1309" i="3"/>
  <c r="J1309" i="3"/>
  <c r="I1309" i="3"/>
  <c r="H1309" i="3"/>
  <c r="G1309" i="3"/>
  <c r="F1309" i="3"/>
  <c r="E1309" i="3"/>
  <c r="D1309" i="3"/>
  <c r="C1309" i="3"/>
  <c r="B1309" i="3"/>
  <c r="A1309" i="3"/>
  <c r="M1308" i="3"/>
  <c r="L1308" i="3"/>
  <c r="K1308" i="3"/>
  <c r="J1308" i="3"/>
  <c r="I1308" i="3"/>
  <c r="H1308" i="3"/>
  <c r="G1308" i="3"/>
  <c r="F1308" i="3"/>
  <c r="E1308" i="3"/>
  <c r="D1308" i="3"/>
  <c r="C1308" i="3"/>
  <c r="B1308" i="3"/>
  <c r="A1308" i="3"/>
  <c r="M1307" i="3"/>
  <c r="L1307" i="3"/>
  <c r="K1307" i="3"/>
  <c r="J1307" i="3"/>
  <c r="I1307" i="3"/>
  <c r="H1307" i="3"/>
  <c r="G1307" i="3"/>
  <c r="F1307" i="3"/>
  <c r="E1307" i="3"/>
  <c r="D1307" i="3"/>
  <c r="C1307" i="3"/>
  <c r="B1307" i="3"/>
  <c r="A1307" i="3"/>
  <c r="M1306" i="3"/>
  <c r="L1306" i="3"/>
  <c r="K1306" i="3"/>
  <c r="J1306" i="3"/>
  <c r="I1306" i="3"/>
  <c r="H1306" i="3"/>
  <c r="G1306" i="3"/>
  <c r="F1306" i="3"/>
  <c r="E1306" i="3"/>
  <c r="D1306" i="3"/>
  <c r="C1306" i="3"/>
  <c r="B1306" i="3"/>
  <c r="A1306" i="3"/>
  <c r="M1305" i="3"/>
  <c r="L1305" i="3"/>
  <c r="K1305" i="3"/>
  <c r="J1305" i="3"/>
  <c r="I1305" i="3"/>
  <c r="H1305" i="3"/>
  <c r="G1305" i="3"/>
  <c r="F1305" i="3"/>
  <c r="E1305" i="3"/>
  <c r="D1305" i="3"/>
  <c r="C1305" i="3"/>
  <c r="B1305" i="3"/>
  <c r="A1305" i="3"/>
  <c r="M1304" i="3"/>
  <c r="L1304" i="3"/>
  <c r="K1304" i="3"/>
  <c r="J1304" i="3"/>
  <c r="I1304" i="3"/>
  <c r="H1304" i="3"/>
  <c r="G1304" i="3"/>
  <c r="F1304" i="3"/>
  <c r="E1304" i="3"/>
  <c r="D1304" i="3"/>
  <c r="C1304" i="3"/>
  <c r="B1304" i="3"/>
  <c r="A1304" i="3"/>
  <c r="M1303" i="3"/>
  <c r="L1303" i="3"/>
  <c r="K1303" i="3"/>
  <c r="J1303" i="3"/>
  <c r="I1303" i="3"/>
  <c r="H1303" i="3"/>
  <c r="G1303" i="3"/>
  <c r="F1303" i="3"/>
  <c r="E1303" i="3"/>
  <c r="D1303" i="3"/>
  <c r="C1303" i="3"/>
  <c r="B1303" i="3"/>
  <c r="A1303" i="3"/>
  <c r="M1302" i="3"/>
  <c r="L1302" i="3"/>
  <c r="K1302" i="3"/>
  <c r="J1302" i="3"/>
  <c r="I1302" i="3"/>
  <c r="H1302" i="3"/>
  <c r="G1302" i="3"/>
  <c r="F1302" i="3"/>
  <c r="E1302" i="3"/>
  <c r="D1302" i="3"/>
  <c r="C1302" i="3"/>
  <c r="B1302" i="3"/>
  <c r="A1302" i="3"/>
  <c r="M1301" i="3"/>
  <c r="L1301" i="3"/>
  <c r="K1301" i="3"/>
  <c r="J1301" i="3"/>
  <c r="I1301" i="3"/>
  <c r="H1301" i="3"/>
  <c r="G1301" i="3"/>
  <c r="F1301" i="3"/>
  <c r="E1301" i="3"/>
  <c r="D1301" i="3"/>
  <c r="C1301" i="3"/>
  <c r="B1301" i="3"/>
  <c r="A1301" i="3"/>
  <c r="M1300" i="3"/>
  <c r="L1300" i="3"/>
  <c r="K1300" i="3"/>
  <c r="J1300" i="3"/>
  <c r="I1300" i="3"/>
  <c r="H1300" i="3"/>
  <c r="G1300" i="3"/>
  <c r="F1300" i="3"/>
  <c r="E1300" i="3"/>
  <c r="D1300" i="3"/>
  <c r="C1300" i="3"/>
  <c r="B1300" i="3"/>
  <c r="A1300" i="3"/>
  <c r="M1299" i="3"/>
  <c r="L1299" i="3"/>
  <c r="K1299" i="3"/>
  <c r="J1299" i="3"/>
  <c r="I1299" i="3"/>
  <c r="H1299" i="3"/>
  <c r="G1299" i="3"/>
  <c r="F1299" i="3"/>
  <c r="E1299" i="3"/>
  <c r="D1299" i="3"/>
  <c r="C1299" i="3"/>
  <c r="B1299" i="3"/>
  <c r="A1299" i="3"/>
  <c r="M1298" i="3"/>
  <c r="L1298" i="3"/>
  <c r="K1298" i="3"/>
  <c r="J1298" i="3"/>
  <c r="I1298" i="3"/>
  <c r="H1298" i="3"/>
  <c r="G1298" i="3"/>
  <c r="F1298" i="3"/>
  <c r="E1298" i="3"/>
  <c r="D1298" i="3"/>
  <c r="C1298" i="3"/>
  <c r="B1298" i="3"/>
  <c r="A1298" i="3"/>
  <c r="M1297" i="3"/>
  <c r="L1297" i="3"/>
  <c r="K1297" i="3"/>
  <c r="J1297" i="3"/>
  <c r="I1297" i="3"/>
  <c r="H1297" i="3"/>
  <c r="G1297" i="3"/>
  <c r="F1297" i="3"/>
  <c r="E1297" i="3"/>
  <c r="D1297" i="3"/>
  <c r="C1297" i="3"/>
  <c r="B1297" i="3"/>
  <c r="A1297" i="3"/>
  <c r="M1296" i="3"/>
  <c r="L1296" i="3"/>
  <c r="K1296" i="3"/>
  <c r="J1296" i="3"/>
  <c r="I1296" i="3"/>
  <c r="H1296" i="3"/>
  <c r="G1296" i="3"/>
  <c r="F1296" i="3"/>
  <c r="E1296" i="3"/>
  <c r="D1296" i="3"/>
  <c r="C1296" i="3"/>
  <c r="B1296" i="3"/>
  <c r="A1296" i="3"/>
  <c r="M1295" i="3"/>
  <c r="L1295" i="3"/>
  <c r="K1295" i="3"/>
  <c r="J1295" i="3"/>
  <c r="I1295" i="3"/>
  <c r="H1295" i="3"/>
  <c r="G1295" i="3"/>
  <c r="F1295" i="3"/>
  <c r="E1295" i="3"/>
  <c r="D1295" i="3"/>
  <c r="C1295" i="3"/>
  <c r="B1295" i="3"/>
  <c r="A1295" i="3"/>
  <c r="M1294" i="3"/>
  <c r="L1294" i="3"/>
  <c r="K1294" i="3"/>
  <c r="J1294" i="3"/>
  <c r="I1294" i="3"/>
  <c r="H1294" i="3"/>
  <c r="G1294" i="3"/>
  <c r="F1294" i="3"/>
  <c r="E1294" i="3"/>
  <c r="D1294" i="3"/>
  <c r="C1294" i="3"/>
  <c r="B1294" i="3"/>
  <c r="A1294" i="3"/>
  <c r="M1293" i="3"/>
  <c r="L1293" i="3"/>
  <c r="K1293" i="3"/>
  <c r="J1293" i="3"/>
  <c r="I1293" i="3"/>
  <c r="H1293" i="3"/>
  <c r="G1293" i="3"/>
  <c r="F1293" i="3"/>
  <c r="E1293" i="3"/>
  <c r="D1293" i="3"/>
  <c r="C1293" i="3"/>
  <c r="B1293" i="3"/>
  <c r="A1293" i="3"/>
  <c r="M1292" i="3"/>
  <c r="L1292" i="3"/>
  <c r="K1292" i="3"/>
  <c r="J1292" i="3"/>
  <c r="I1292" i="3"/>
  <c r="H1292" i="3"/>
  <c r="G1292" i="3"/>
  <c r="F1292" i="3"/>
  <c r="E1292" i="3"/>
  <c r="D1292" i="3"/>
  <c r="C1292" i="3"/>
  <c r="B1292" i="3"/>
  <c r="A1292" i="3"/>
  <c r="M1291" i="3"/>
  <c r="L1291" i="3"/>
  <c r="K1291" i="3"/>
  <c r="J1291" i="3"/>
  <c r="I1291" i="3"/>
  <c r="H1291" i="3"/>
  <c r="G1291" i="3"/>
  <c r="F1291" i="3"/>
  <c r="E1291" i="3"/>
  <c r="D1291" i="3"/>
  <c r="C1291" i="3"/>
  <c r="B1291" i="3"/>
  <c r="A1291" i="3"/>
  <c r="M1290" i="3"/>
  <c r="L1290" i="3"/>
  <c r="K1290" i="3"/>
  <c r="J1290" i="3"/>
  <c r="I1290" i="3"/>
  <c r="H1290" i="3"/>
  <c r="G1290" i="3"/>
  <c r="F1290" i="3"/>
  <c r="E1290" i="3"/>
  <c r="D1290" i="3"/>
  <c r="C1290" i="3"/>
  <c r="B1290" i="3"/>
  <c r="A1290" i="3"/>
  <c r="M1289" i="3"/>
  <c r="L1289" i="3"/>
  <c r="K1289" i="3"/>
  <c r="J1289" i="3"/>
  <c r="I1289" i="3"/>
  <c r="H1289" i="3"/>
  <c r="G1289" i="3"/>
  <c r="F1289" i="3"/>
  <c r="E1289" i="3"/>
  <c r="D1289" i="3"/>
  <c r="C1289" i="3"/>
  <c r="B1289" i="3"/>
  <c r="A1289" i="3"/>
  <c r="M1288" i="3"/>
  <c r="L1288" i="3"/>
  <c r="K1288" i="3"/>
  <c r="J1288" i="3"/>
  <c r="I1288" i="3"/>
  <c r="H1288" i="3"/>
  <c r="G1288" i="3"/>
  <c r="F1288" i="3"/>
  <c r="E1288" i="3"/>
  <c r="D1288" i="3"/>
  <c r="C1288" i="3"/>
  <c r="B1288" i="3"/>
  <c r="A1288" i="3"/>
  <c r="M1287" i="3"/>
  <c r="L1287" i="3"/>
  <c r="K1287" i="3"/>
  <c r="J1287" i="3"/>
  <c r="I1287" i="3"/>
  <c r="H1287" i="3"/>
  <c r="G1287" i="3"/>
  <c r="F1287" i="3"/>
  <c r="E1287" i="3"/>
  <c r="D1287" i="3"/>
  <c r="C1287" i="3"/>
  <c r="B1287" i="3"/>
  <c r="A1287" i="3"/>
  <c r="M1286" i="3"/>
  <c r="L1286" i="3"/>
  <c r="K1286" i="3"/>
  <c r="J1286" i="3"/>
  <c r="I1286" i="3"/>
  <c r="H1286" i="3"/>
  <c r="G1286" i="3"/>
  <c r="F1286" i="3"/>
  <c r="E1286" i="3"/>
  <c r="D1286" i="3"/>
  <c r="C1286" i="3"/>
  <c r="B1286" i="3"/>
  <c r="A1286" i="3"/>
  <c r="M1285" i="3"/>
  <c r="L1285" i="3"/>
  <c r="K1285" i="3"/>
  <c r="J1285" i="3"/>
  <c r="I1285" i="3"/>
  <c r="H1285" i="3"/>
  <c r="G1285" i="3"/>
  <c r="F1285" i="3"/>
  <c r="E1285" i="3"/>
  <c r="D1285" i="3"/>
  <c r="C1285" i="3"/>
  <c r="B1285" i="3"/>
  <c r="A1285" i="3"/>
  <c r="M1284" i="3"/>
  <c r="L1284" i="3"/>
  <c r="K1284" i="3"/>
  <c r="J1284" i="3"/>
  <c r="I1284" i="3"/>
  <c r="H1284" i="3"/>
  <c r="G1284" i="3"/>
  <c r="F1284" i="3"/>
  <c r="E1284" i="3"/>
  <c r="D1284" i="3"/>
  <c r="C1284" i="3"/>
  <c r="B1284" i="3"/>
  <c r="A1284" i="3"/>
  <c r="M1283" i="3"/>
  <c r="L1283" i="3"/>
  <c r="K1283" i="3"/>
  <c r="J1283" i="3"/>
  <c r="I1283" i="3"/>
  <c r="H1283" i="3"/>
  <c r="G1283" i="3"/>
  <c r="F1283" i="3"/>
  <c r="E1283" i="3"/>
  <c r="D1283" i="3"/>
  <c r="C1283" i="3"/>
  <c r="B1283" i="3"/>
  <c r="A1283" i="3"/>
  <c r="M1282" i="3"/>
  <c r="L1282" i="3"/>
  <c r="K1282" i="3"/>
  <c r="J1282" i="3"/>
  <c r="I1282" i="3"/>
  <c r="H1282" i="3"/>
  <c r="G1282" i="3"/>
  <c r="F1282" i="3"/>
  <c r="E1282" i="3"/>
  <c r="D1282" i="3"/>
  <c r="C1282" i="3"/>
  <c r="B1282" i="3"/>
  <c r="A1282" i="3"/>
  <c r="M1281" i="3"/>
  <c r="L1281" i="3"/>
  <c r="K1281" i="3"/>
  <c r="J1281" i="3"/>
  <c r="I1281" i="3"/>
  <c r="H1281" i="3"/>
  <c r="G1281" i="3"/>
  <c r="F1281" i="3"/>
  <c r="E1281" i="3"/>
  <c r="D1281" i="3"/>
  <c r="C1281" i="3"/>
  <c r="B1281" i="3"/>
  <c r="A1281" i="3"/>
  <c r="M1280" i="3"/>
  <c r="L1280" i="3"/>
  <c r="K1280" i="3"/>
  <c r="J1280" i="3"/>
  <c r="I1280" i="3"/>
  <c r="H1280" i="3"/>
  <c r="G1280" i="3"/>
  <c r="F1280" i="3"/>
  <c r="E1280" i="3"/>
  <c r="D1280" i="3"/>
  <c r="C1280" i="3"/>
  <c r="B1280" i="3"/>
  <c r="A1280" i="3"/>
  <c r="M1279" i="3"/>
  <c r="L1279" i="3"/>
  <c r="K1279" i="3"/>
  <c r="J1279" i="3"/>
  <c r="I1279" i="3"/>
  <c r="H1279" i="3"/>
  <c r="G1279" i="3"/>
  <c r="F1279" i="3"/>
  <c r="E1279" i="3"/>
  <c r="D1279" i="3"/>
  <c r="C1279" i="3"/>
  <c r="B1279" i="3"/>
  <c r="A1279" i="3"/>
  <c r="M1278" i="3"/>
  <c r="L1278" i="3"/>
  <c r="K1278" i="3"/>
  <c r="J1278" i="3"/>
  <c r="I1278" i="3"/>
  <c r="H1278" i="3"/>
  <c r="G1278" i="3"/>
  <c r="F1278" i="3"/>
  <c r="E1278" i="3"/>
  <c r="D1278" i="3"/>
  <c r="C1278" i="3"/>
  <c r="B1278" i="3"/>
  <c r="A1278" i="3"/>
  <c r="M1277" i="3"/>
  <c r="L1277" i="3"/>
  <c r="K1277" i="3"/>
  <c r="J1277" i="3"/>
  <c r="I1277" i="3"/>
  <c r="H1277" i="3"/>
  <c r="G1277" i="3"/>
  <c r="F1277" i="3"/>
  <c r="E1277" i="3"/>
  <c r="D1277" i="3"/>
  <c r="C1277" i="3"/>
  <c r="B1277" i="3"/>
  <c r="A1277" i="3"/>
  <c r="M1276" i="3"/>
  <c r="L1276" i="3"/>
  <c r="K1276" i="3"/>
  <c r="J1276" i="3"/>
  <c r="I1276" i="3"/>
  <c r="H1276" i="3"/>
  <c r="G1276" i="3"/>
  <c r="F1276" i="3"/>
  <c r="E1276" i="3"/>
  <c r="D1276" i="3"/>
  <c r="C1276" i="3"/>
  <c r="B1276" i="3"/>
  <c r="A1276" i="3"/>
  <c r="M1275" i="3"/>
  <c r="L1275" i="3"/>
  <c r="K1275" i="3"/>
  <c r="J1275" i="3"/>
  <c r="I1275" i="3"/>
  <c r="H1275" i="3"/>
  <c r="G1275" i="3"/>
  <c r="F1275" i="3"/>
  <c r="E1275" i="3"/>
  <c r="D1275" i="3"/>
  <c r="C1275" i="3"/>
  <c r="B1275" i="3"/>
  <c r="A1275" i="3"/>
  <c r="M1274" i="3"/>
  <c r="L1274" i="3"/>
  <c r="K1274" i="3"/>
  <c r="J1274" i="3"/>
  <c r="I1274" i="3"/>
  <c r="H1274" i="3"/>
  <c r="G1274" i="3"/>
  <c r="F1274" i="3"/>
  <c r="E1274" i="3"/>
  <c r="D1274" i="3"/>
  <c r="C1274" i="3"/>
  <c r="B1274" i="3"/>
  <c r="A1274" i="3"/>
  <c r="M1273" i="3"/>
  <c r="L1273" i="3"/>
  <c r="K1273" i="3"/>
  <c r="J1273" i="3"/>
  <c r="I1273" i="3"/>
  <c r="H1273" i="3"/>
  <c r="G1273" i="3"/>
  <c r="F1273" i="3"/>
  <c r="E1273" i="3"/>
  <c r="D1273" i="3"/>
  <c r="C1273" i="3"/>
  <c r="B1273" i="3"/>
  <c r="A1273" i="3"/>
  <c r="M1272" i="3"/>
  <c r="L1272" i="3"/>
  <c r="K1272" i="3"/>
  <c r="J1272" i="3"/>
  <c r="I1272" i="3"/>
  <c r="H1272" i="3"/>
  <c r="G1272" i="3"/>
  <c r="F1272" i="3"/>
  <c r="E1272" i="3"/>
  <c r="D1272" i="3"/>
  <c r="C1272" i="3"/>
  <c r="B1272" i="3"/>
  <c r="A1272" i="3"/>
  <c r="M1271" i="3"/>
  <c r="L1271" i="3"/>
  <c r="K1271" i="3"/>
  <c r="J1271" i="3"/>
  <c r="I1271" i="3"/>
  <c r="H1271" i="3"/>
  <c r="G1271" i="3"/>
  <c r="F1271" i="3"/>
  <c r="E1271" i="3"/>
  <c r="D1271" i="3"/>
  <c r="C1271" i="3"/>
  <c r="B1271" i="3"/>
  <c r="A1271" i="3"/>
  <c r="M1270" i="3"/>
  <c r="L1270" i="3"/>
  <c r="K1270" i="3"/>
  <c r="J1270" i="3"/>
  <c r="I1270" i="3"/>
  <c r="H1270" i="3"/>
  <c r="G1270" i="3"/>
  <c r="F1270" i="3"/>
  <c r="E1270" i="3"/>
  <c r="D1270" i="3"/>
  <c r="C1270" i="3"/>
  <c r="B1270" i="3"/>
  <c r="A1270" i="3"/>
  <c r="M1269" i="3"/>
  <c r="L1269" i="3"/>
  <c r="K1269" i="3"/>
  <c r="J1269" i="3"/>
  <c r="I1269" i="3"/>
  <c r="H1269" i="3"/>
  <c r="G1269" i="3"/>
  <c r="F1269" i="3"/>
  <c r="E1269" i="3"/>
  <c r="D1269" i="3"/>
  <c r="C1269" i="3"/>
  <c r="B1269" i="3"/>
  <c r="A1269" i="3"/>
  <c r="M1268" i="3"/>
  <c r="L1268" i="3"/>
  <c r="K1268" i="3"/>
  <c r="J1268" i="3"/>
  <c r="I1268" i="3"/>
  <c r="H1268" i="3"/>
  <c r="G1268" i="3"/>
  <c r="F1268" i="3"/>
  <c r="E1268" i="3"/>
  <c r="D1268" i="3"/>
  <c r="C1268" i="3"/>
  <c r="B1268" i="3"/>
  <c r="A1268" i="3"/>
  <c r="M1267" i="3"/>
  <c r="L1267" i="3"/>
  <c r="K1267" i="3"/>
  <c r="J1267" i="3"/>
  <c r="I1267" i="3"/>
  <c r="H1267" i="3"/>
  <c r="G1267" i="3"/>
  <c r="F1267" i="3"/>
  <c r="E1267" i="3"/>
  <c r="D1267" i="3"/>
  <c r="C1267" i="3"/>
  <c r="B1267" i="3"/>
  <c r="A1267" i="3"/>
  <c r="M1266" i="3"/>
  <c r="L1266" i="3"/>
  <c r="K1266" i="3"/>
  <c r="J1266" i="3"/>
  <c r="I1266" i="3"/>
  <c r="H1266" i="3"/>
  <c r="G1266" i="3"/>
  <c r="F1266" i="3"/>
  <c r="E1266" i="3"/>
  <c r="D1266" i="3"/>
  <c r="C1266" i="3"/>
  <c r="B1266" i="3"/>
  <c r="A1266" i="3"/>
  <c r="M1265" i="3"/>
  <c r="L1265" i="3"/>
  <c r="K1265" i="3"/>
  <c r="J1265" i="3"/>
  <c r="I1265" i="3"/>
  <c r="H1265" i="3"/>
  <c r="G1265" i="3"/>
  <c r="F1265" i="3"/>
  <c r="E1265" i="3"/>
  <c r="D1265" i="3"/>
  <c r="C1265" i="3"/>
  <c r="B1265" i="3"/>
  <c r="A1265" i="3"/>
  <c r="M1264" i="3"/>
  <c r="L1264" i="3"/>
  <c r="K1264" i="3"/>
  <c r="J1264" i="3"/>
  <c r="I1264" i="3"/>
  <c r="H1264" i="3"/>
  <c r="G1264" i="3"/>
  <c r="F1264" i="3"/>
  <c r="E1264" i="3"/>
  <c r="D1264" i="3"/>
  <c r="C1264" i="3"/>
  <c r="B1264" i="3"/>
  <c r="A1264" i="3"/>
  <c r="M1263" i="3"/>
  <c r="L1263" i="3"/>
  <c r="K1263" i="3"/>
  <c r="J1263" i="3"/>
  <c r="I1263" i="3"/>
  <c r="H1263" i="3"/>
  <c r="G1263" i="3"/>
  <c r="F1263" i="3"/>
  <c r="E1263" i="3"/>
  <c r="D1263" i="3"/>
  <c r="C1263" i="3"/>
  <c r="B1263" i="3"/>
  <c r="A1263" i="3"/>
  <c r="M1262" i="3"/>
  <c r="L1262" i="3"/>
  <c r="K1262" i="3"/>
  <c r="J1262" i="3"/>
  <c r="I1262" i="3"/>
  <c r="H1262" i="3"/>
  <c r="G1262" i="3"/>
  <c r="F1262" i="3"/>
  <c r="E1262" i="3"/>
  <c r="D1262" i="3"/>
  <c r="C1262" i="3"/>
  <c r="B1262" i="3"/>
  <c r="A1262" i="3"/>
  <c r="M1261" i="3"/>
  <c r="L1261" i="3"/>
  <c r="K1261" i="3"/>
  <c r="J1261" i="3"/>
  <c r="I1261" i="3"/>
  <c r="H1261" i="3"/>
  <c r="G1261" i="3"/>
  <c r="F1261" i="3"/>
  <c r="E1261" i="3"/>
  <c r="D1261" i="3"/>
  <c r="C1261" i="3"/>
  <c r="B1261" i="3"/>
  <c r="A1261" i="3"/>
  <c r="M1260" i="3"/>
  <c r="L1260" i="3"/>
  <c r="K1260" i="3"/>
  <c r="J1260" i="3"/>
  <c r="I1260" i="3"/>
  <c r="H1260" i="3"/>
  <c r="G1260" i="3"/>
  <c r="F1260" i="3"/>
  <c r="E1260" i="3"/>
  <c r="D1260" i="3"/>
  <c r="C1260" i="3"/>
  <c r="B1260" i="3"/>
  <c r="A1260" i="3"/>
  <c r="M1259" i="3"/>
  <c r="L1259" i="3"/>
  <c r="K1259" i="3"/>
  <c r="J1259" i="3"/>
  <c r="I1259" i="3"/>
  <c r="H1259" i="3"/>
  <c r="G1259" i="3"/>
  <c r="F1259" i="3"/>
  <c r="E1259" i="3"/>
  <c r="D1259" i="3"/>
  <c r="C1259" i="3"/>
  <c r="B1259" i="3"/>
  <c r="A1259" i="3"/>
  <c r="M1258" i="3"/>
  <c r="L1258" i="3"/>
  <c r="K1258" i="3"/>
  <c r="J1258" i="3"/>
  <c r="I1258" i="3"/>
  <c r="H1258" i="3"/>
  <c r="G1258" i="3"/>
  <c r="F1258" i="3"/>
  <c r="E1258" i="3"/>
  <c r="D1258" i="3"/>
  <c r="C1258" i="3"/>
  <c r="B1258" i="3"/>
  <c r="A1258" i="3"/>
  <c r="M1257" i="3"/>
  <c r="L1257" i="3"/>
  <c r="K1257" i="3"/>
  <c r="J1257" i="3"/>
  <c r="I1257" i="3"/>
  <c r="H1257" i="3"/>
  <c r="G1257" i="3"/>
  <c r="F1257" i="3"/>
  <c r="E1257" i="3"/>
  <c r="D1257" i="3"/>
  <c r="C1257" i="3"/>
  <c r="B1257" i="3"/>
  <c r="A1257" i="3"/>
  <c r="M1256" i="3"/>
  <c r="L1256" i="3"/>
  <c r="K1256" i="3"/>
  <c r="J1256" i="3"/>
  <c r="I1256" i="3"/>
  <c r="H1256" i="3"/>
  <c r="G1256" i="3"/>
  <c r="F1256" i="3"/>
  <c r="E1256" i="3"/>
  <c r="D1256" i="3"/>
  <c r="C1256" i="3"/>
  <c r="B1256" i="3"/>
  <c r="A1256" i="3"/>
  <c r="M1255" i="3"/>
  <c r="L1255" i="3"/>
  <c r="K1255" i="3"/>
  <c r="J1255" i="3"/>
  <c r="I1255" i="3"/>
  <c r="H1255" i="3"/>
  <c r="G1255" i="3"/>
  <c r="F1255" i="3"/>
  <c r="E1255" i="3"/>
  <c r="D1255" i="3"/>
  <c r="C1255" i="3"/>
  <c r="B1255" i="3"/>
  <c r="A1255" i="3"/>
  <c r="M1254" i="3"/>
  <c r="L1254" i="3"/>
  <c r="K1254" i="3"/>
  <c r="J1254" i="3"/>
  <c r="I1254" i="3"/>
  <c r="H1254" i="3"/>
  <c r="G1254" i="3"/>
  <c r="F1254" i="3"/>
  <c r="E1254" i="3"/>
  <c r="D1254" i="3"/>
  <c r="C1254" i="3"/>
  <c r="B1254" i="3"/>
  <c r="A1254" i="3"/>
  <c r="M1253" i="3"/>
  <c r="L1253" i="3"/>
  <c r="K1253" i="3"/>
  <c r="J1253" i="3"/>
  <c r="I1253" i="3"/>
  <c r="H1253" i="3"/>
  <c r="G1253" i="3"/>
  <c r="F1253" i="3"/>
  <c r="E1253" i="3"/>
  <c r="D1253" i="3"/>
  <c r="C1253" i="3"/>
  <c r="B1253" i="3"/>
  <c r="A1253" i="3"/>
  <c r="M1252" i="3"/>
  <c r="L1252" i="3"/>
  <c r="K1252" i="3"/>
  <c r="J1252" i="3"/>
  <c r="I1252" i="3"/>
  <c r="H1252" i="3"/>
  <c r="G1252" i="3"/>
  <c r="F1252" i="3"/>
  <c r="E1252" i="3"/>
  <c r="D1252" i="3"/>
  <c r="C1252" i="3"/>
  <c r="B1252" i="3"/>
  <c r="A1252" i="3"/>
  <c r="M1251" i="3"/>
  <c r="L1251" i="3"/>
  <c r="K1251" i="3"/>
  <c r="J1251" i="3"/>
  <c r="I1251" i="3"/>
  <c r="H1251" i="3"/>
  <c r="G1251" i="3"/>
  <c r="F1251" i="3"/>
  <c r="E1251" i="3"/>
  <c r="D1251" i="3"/>
  <c r="C1251" i="3"/>
  <c r="B1251" i="3"/>
  <c r="A1251" i="3"/>
  <c r="M1250" i="3"/>
  <c r="L1250" i="3"/>
  <c r="K1250" i="3"/>
  <c r="J1250" i="3"/>
  <c r="I1250" i="3"/>
  <c r="H1250" i="3"/>
  <c r="G1250" i="3"/>
  <c r="F1250" i="3"/>
  <c r="E1250" i="3"/>
  <c r="D1250" i="3"/>
  <c r="C1250" i="3"/>
  <c r="B1250" i="3"/>
  <c r="A1250" i="3"/>
  <c r="M1249" i="3"/>
  <c r="L1249" i="3"/>
  <c r="K1249" i="3"/>
  <c r="J1249" i="3"/>
  <c r="I1249" i="3"/>
  <c r="H1249" i="3"/>
  <c r="G1249" i="3"/>
  <c r="F1249" i="3"/>
  <c r="E1249" i="3"/>
  <c r="D1249" i="3"/>
  <c r="C1249" i="3"/>
  <c r="B1249" i="3"/>
  <c r="A1249" i="3"/>
  <c r="M1248" i="3"/>
  <c r="L1248" i="3"/>
  <c r="K1248" i="3"/>
  <c r="J1248" i="3"/>
  <c r="I1248" i="3"/>
  <c r="H1248" i="3"/>
  <c r="G1248" i="3"/>
  <c r="F1248" i="3"/>
  <c r="E1248" i="3"/>
  <c r="D1248" i="3"/>
  <c r="C1248" i="3"/>
  <c r="B1248" i="3"/>
  <c r="A1248" i="3"/>
  <c r="M1247" i="3"/>
  <c r="L1247" i="3"/>
  <c r="K1247" i="3"/>
  <c r="J1247" i="3"/>
  <c r="I1247" i="3"/>
  <c r="H1247" i="3"/>
  <c r="G1247" i="3"/>
  <c r="F1247" i="3"/>
  <c r="E1247" i="3"/>
  <c r="D1247" i="3"/>
  <c r="C1247" i="3"/>
  <c r="B1247" i="3"/>
  <c r="A1247" i="3"/>
  <c r="M1246" i="3"/>
  <c r="L1246" i="3"/>
  <c r="K1246" i="3"/>
  <c r="J1246" i="3"/>
  <c r="I1246" i="3"/>
  <c r="H1246" i="3"/>
  <c r="G1246" i="3"/>
  <c r="F1246" i="3"/>
  <c r="E1246" i="3"/>
  <c r="D1246" i="3"/>
  <c r="C1246" i="3"/>
  <c r="B1246" i="3"/>
  <c r="A1246" i="3"/>
  <c r="M1245" i="3"/>
  <c r="L1245" i="3"/>
  <c r="K1245" i="3"/>
  <c r="J1245" i="3"/>
  <c r="I1245" i="3"/>
  <c r="H1245" i="3"/>
  <c r="G1245" i="3"/>
  <c r="F1245" i="3"/>
  <c r="E1245" i="3"/>
  <c r="D1245" i="3"/>
  <c r="C1245" i="3"/>
  <c r="B1245" i="3"/>
  <c r="A1245" i="3"/>
  <c r="M1244" i="3"/>
  <c r="L1244" i="3"/>
  <c r="K1244" i="3"/>
  <c r="J1244" i="3"/>
  <c r="I1244" i="3"/>
  <c r="H1244" i="3"/>
  <c r="G1244" i="3"/>
  <c r="F1244" i="3"/>
  <c r="E1244" i="3"/>
  <c r="D1244" i="3"/>
  <c r="C1244" i="3"/>
  <c r="B1244" i="3"/>
  <c r="A1244" i="3"/>
  <c r="M1243" i="3"/>
  <c r="L1243" i="3"/>
  <c r="K1243" i="3"/>
  <c r="J1243" i="3"/>
  <c r="I1243" i="3"/>
  <c r="H1243" i="3"/>
  <c r="G1243" i="3"/>
  <c r="F1243" i="3"/>
  <c r="E1243" i="3"/>
  <c r="D1243" i="3"/>
  <c r="C1243" i="3"/>
  <c r="B1243" i="3"/>
  <c r="A1243" i="3"/>
  <c r="M1242" i="3"/>
  <c r="L1242" i="3"/>
  <c r="K1242" i="3"/>
  <c r="J1242" i="3"/>
  <c r="I1242" i="3"/>
  <c r="H1242" i="3"/>
  <c r="G1242" i="3"/>
  <c r="F1242" i="3"/>
  <c r="E1242" i="3"/>
  <c r="D1242" i="3"/>
  <c r="C1242" i="3"/>
  <c r="B1242" i="3"/>
  <c r="A1242" i="3"/>
  <c r="M1241" i="3"/>
  <c r="L1241" i="3"/>
  <c r="K1241" i="3"/>
  <c r="J1241" i="3"/>
  <c r="I1241" i="3"/>
  <c r="H1241" i="3"/>
  <c r="G1241" i="3"/>
  <c r="F1241" i="3"/>
  <c r="E1241" i="3"/>
  <c r="D1241" i="3"/>
  <c r="C1241" i="3"/>
  <c r="B1241" i="3"/>
  <c r="A1241" i="3"/>
  <c r="M1240" i="3"/>
  <c r="L1240" i="3"/>
  <c r="K1240" i="3"/>
  <c r="J1240" i="3"/>
  <c r="I1240" i="3"/>
  <c r="H1240" i="3"/>
  <c r="G1240" i="3"/>
  <c r="F1240" i="3"/>
  <c r="E1240" i="3"/>
  <c r="D1240" i="3"/>
  <c r="C1240" i="3"/>
  <c r="B1240" i="3"/>
  <c r="A1240" i="3"/>
  <c r="M1239" i="3"/>
  <c r="L1239" i="3"/>
  <c r="K1239" i="3"/>
  <c r="J1239" i="3"/>
  <c r="I1239" i="3"/>
  <c r="H1239" i="3"/>
  <c r="G1239" i="3"/>
  <c r="F1239" i="3"/>
  <c r="E1239" i="3"/>
  <c r="D1239" i="3"/>
  <c r="C1239" i="3"/>
  <c r="B1239" i="3"/>
  <c r="A1239" i="3"/>
  <c r="M1238" i="3"/>
  <c r="L1238" i="3"/>
  <c r="K1238" i="3"/>
  <c r="J1238" i="3"/>
  <c r="I1238" i="3"/>
  <c r="H1238" i="3"/>
  <c r="G1238" i="3"/>
  <c r="F1238" i="3"/>
  <c r="E1238" i="3"/>
  <c r="D1238" i="3"/>
  <c r="C1238" i="3"/>
  <c r="B1238" i="3"/>
  <c r="A1238" i="3"/>
  <c r="M1237" i="3"/>
  <c r="L1237" i="3"/>
  <c r="K1237" i="3"/>
  <c r="J1237" i="3"/>
  <c r="I1237" i="3"/>
  <c r="H1237" i="3"/>
  <c r="G1237" i="3"/>
  <c r="F1237" i="3"/>
  <c r="E1237" i="3"/>
  <c r="D1237" i="3"/>
  <c r="C1237" i="3"/>
  <c r="B1237" i="3"/>
  <c r="A1237" i="3"/>
  <c r="M1236" i="3"/>
  <c r="L1236" i="3"/>
  <c r="K1236" i="3"/>
  <c r="J1236" i="3"/>
  <c r="I1236" i="3"/>
  <c r="H1236" i="3"/>
  <c r="G1236" i="3"/>
  <c r="F1236" i="3"/>
  <c r="E1236" i="3"/>
  <c r="D1236" i="3"/>
  <c r="C1236" i="3"/>
  <c r="B1236" i="3"/>
  <c r="A1236" i="3"/>
  <c r="M1235" i="3"/>
  <c r="L1235" i="3"/>
  <c r="K1235" i="3"/>
  <c r="J1235" i="3"/>
  <c r="I1235" i="3"/>
  <c r="H1235" i="3"/>
  <c r="G1235" i="3"/>
  <c r="F1235" i="3"/>
  <c r="E1235" i="3"/>
  <c r="D1235" i="3"/>
  <c r="C1235" i="3"/>
  <c r="B1235" i="3"/>
  <c r="A1235" i="3"/>
  <c r="M1234" i="3"/>
  <c r="L1234" i="3"/>
  <c r="K1234" i="3"/>
  <c r="J1234" i="3"/>
  <c r="I1234" i="3"/>
  <c r="H1234" i="3"/>
  <c r="G1234" i="3"/>
  <c r="F1234" i="3"/>
  <c r="E1234" i="3"/>
  <c r="D1234" i="3"/>
  <c r="C1234" i="3"/>
  <c r="B1234" i="3"/>
  <c r="A1234" i="3"/>
  <c r="M1233" i="3"/>
  <c r="L1233" i="3"/>
  <c r="K1233" i="3"/>
  <c r="J1233" i="3"/>
  <c r="I1233" i="3"/>
  <c r="H1233" i="3"/>
  <c r="G1233" i="3"/>
  <c r="F1233" i="3"/>
  <c r="E1233" i="3"/>
  <c r="D1233" i="3"/>
  <c r="C1233" i="3"/>
  <c r="B1233" i="3"/>
  <c r="A1233" i="3"/>
  <c r="M1232" i="3"/>
  <c r="L1232" i="3"/>
  <c r="K1232" i="3"/>
  <c r="J1232" i="3"/>
  <c r="I1232" i="3"/>
  <c r="H1232" i="3"/>
  <c r="G1232" i="3"/>
  <c r="F1232" i="3"/>
  <c r="E1232" i="3"/>
  <c r="D1232" i="3"/>
  <c r="C1232" i="3"/>
  <c r="B1232" i="3"/>
  <c r="A1232" i="3"/>
  <c r="M1231" i="3"/>
  <c r="L1231" i="3"/>
  <c r="K1231" i="3"/>
  <c r="J1231" i="3"/>
  <c r="I1231" i="3"/>
  <c r="H1231" i="3"/>
  <c r="G1231" i="3"/>
  <c r="F1231" i="3"/>
  <c r="E1231" i="3"/>
  <c r="D1231" i="3"/>
  <c r="C1231" i="3"/>
  <c r="B1231" i="3"/>
  <c r="A1231" i="3"/>
  <c r="M1230" i="3"/>
  <c r="L1230" i="3"/>
  <c r="K1230" i="3"/>
  <c r="J1230" i="3"/>
  <c r="I1230" i="3"/>
  <c r="H1230" i="3"/>
  <c r="G1230" i="3"/>
  <c r="F1230" i="3"/>
  <c r="E1230" i="3"/>
  <c r="D1230" i="3"/>
  <c r="C1230" i="3"/>
  <c r="B1230" i="3"/>
  <c r="A1230" i="3"/>
  <c r="M1229" i="3"/>
  <c r="L1229" i="3"/>
  <c r="K1229" i="3"/>
  <c r="J1229" i="3"/>
  <c r="I1229" i="3"/>
  <c r="H1229" i="3"/>
  <c r="G1229" i="3"/>
  <c r="F1229" i="3"/>
  <c r="E1229" i="3"/>
  <c r="D1229" i="3"/>
  <c r="C1229" i="3"/>
  <c r="B1229" i="3"/>
  <c r="A1229" i="3"/>
  <c r="M1228" i="3"/>
  <c r="L1228" i="3"/>
  <c r="K1228" i="3"/>
  <c r="J1228" i="3"/>
  <c r="I1228" i="3"/>
  <c r="H1228" i="3"/>
  <c r="G1228" i="3"/>
  <c r="F1228" i="3"/>
  <c r="E1228" i="3"/>
  <c r="D1228" i="3"/>
  <c r="C1228" i="3"/>
  <c r="B1228" i="3"/>
  <c r="A1228" i="3"/>
  <c r="M1227" i="3"/>
  <c r="L1227" i="3"/>
  <c r="K1227" i="3"/>
  <c r="J1227" i="3"/>
  <c r="I1227" i="3"/>
  <c r="H1227" i="3"/>
  <c r="G1227" i="3"/>
  <c r="F1227" i="3"/>
  <c r="E1227" i="3"/>
  <c r="D1227" i="3"/>
  <c r="C1227" i="3"/>
  <c r="B1227" i="3"/>
  <c r="A1227" i="3"/>
  <c r="M1226" i="3"/>
  <c r="L1226" i="3"/>
  <c r="K1226" i="3"/>
  <c r="J1226" i="3"/>
  <c r="I1226" i="3"/>
  <c r="H1226" i="3"/>
  <c r="G1226" i="3"/>
  <c r="F1226" i="3"/>
  <c r="E1226" i="3"/>
  <c r="D1226" i="3"/>
  <c r="C1226" i="3"/>
  <c r="B1226" i="3"/>
  <c r="A1226" i="3"/>
  <c r="M1225" i="3"/>
  <c r="L1225" i="3"/>
  <c r="K1225" i="3"/>
  <c r="J1225" i="3"/>
  <c r="I1225" i="3"/>
  <c r="H1225" i="3"/>
  <c r="G1225" i="3"/>
  <c r="F1225" i="3"/>
  <c r="E1225" i="3"/>
  <c r="D1225" i="3"/>
  <c r="C1225" i="3"/>
  <c r="B1225" i="3"/>
  <c r="A1225" i="3"/>
  <c r="M1224" i="3"/>
  <c r="L1224" i="3"/>
  <c r="K1224" i="3"/>
  <c r="J1224" i="3"/>
  <c r="I1224" i="3"/>
  <c r="H1224" i="3"/>
  <c r="G1224" i="3"/>
  <c r="F1224" i="3"/>
  <c r="E1224" i="3"/>
  <c r="D1224" i="3"/>
  <c r="C1224" i="3"/>
  <c r="B1224" i="3"/>
  <c r="A1224" i="3"/>
  <c r="M1223" i="3"/>
  <c r="L1223" i="3"/>
  <c r="K1223" i="3"/>
  <c r="J1223" i="3"/>
  <c r="I1223" i="3"/>
  <c r="H1223" i="3"/>
  <c r="G1223" i="3"/>
  <c r="F1223" i="3"/>
  <c r="E1223" i="3"/>
  <c r="D1223" i="3"/>
  <c r="C1223" i="3"/>
  <c r="B1223" i="3"/>
  <c r="A1223" i="3"/>
  <c r="M1222" i="3"/>
  <c r="L1222" i="3"/>
  <c r="K1222" i="3"/>
  <c r="J1222" i="3"/>
  <c r="I1222" i="3"/>
  <c r="H1222" i="3"/>
  <c r="G1222" i="3"/>
  <c r="F1222" i="3"/>
  <c r="E1222" i="3"/>
  <c r="D1222" i="3"/>
  <c r="C1222" i="3"/>
  <c r="B1222" i="3"/>
  <c r="A1222" i="3"/>
  <c r="M1221" i="3"/>
  <c r="L1221" i="3"/>
  <c r="K1221" i="3"/>
  <c r="J1221" i="3"/>
  <c r="I1221" i="3"/>
  <c r="H1221" i="3"/>
  <c r="G1221" i="3"/>
  <c r="F1221" i="3"/>
  <c r="E1221" i="3"/>
  <c r="D1221" i="3"/>
  <c r="C1221" i="3"/>
  <c r="B1221" i="3"/>
  <c r="A1221" i="3"/>
  <c r="M1220" i="3"/>
  <c r="L1220" i="3"/>
  <c r="K1220" i="3"/>
  <c r="J1220" i="3"/>
  <c r="I1220" i="3"/>
  <c r="H1220" i="3"/>
  <c r="G1220" i="3"/>
  <c r="F1220" i="3"/>
  <c r="E1220" i="3"/>
  <c r="D1220" i="3"/>
  <c r="C1220" i="3"/>
  <c r="B1220" i="3"/>
  <c r="A1220" i="3"/>
  <c r="M1219" i="3"/>
  <c r="L1219" i="3"/>
  <c r="K1219" i="3"/>
  <c r="J1219" i="3"/>
  <c r="I1219" i="3"/>
  <c r="H1219" i="3"/>
  <c r="G1219" i="3"/>
  <c r="F1219" i="3"/>
  <c r="E1219" i="3"/>
  <c r="D1219" i="3"/>
  <c r="C1219" i="3"/>
  <c r="B1219" i="3"/>
  <c r="A1219" i="3"/>
  <c r="M1218" i="3"/>
  <c r="L1218" i="3"/>
  <c r="K1218" i="3"/>
  <c r="J1218" i="3"/>
  <c r="I1218" i="3"/>
  <c r="H1218" i="3"/>
  <c r="G1218" i="3"/>
  <c r="F1218" i="3"/>
  <c r="E1218" i="3"/>
  <c r="D1218" i="3"/>
  <c r="C1218" i="3"/>
  <c r="B1218" i="3"/>
  <c r="A1218" i="3"/>
  <c r="M1217" i="3"/>
  <c r="L1217" i="3"/>
  <c r="K1217" i="3"/>
  <c r="J1217" i="3"/>
  <c r="I1217" i="3"/>
  <c r="H1217" i="3"/>
  <c r="G1217" i="3"/>
  <c r="F1217" i="3"/>
  <c r="E1217" i="3"/>
  <c r="D1217" i="3"/>
  <c r="C1217" i="3"/>
  <c r="B1217" i="3"/>
  <c r="A1217" i="3"/>
  <c r="M1216" i="3"/>
  <c r="L1216" i="3"/>
  <c r="K1216" i="3"/>
  <c r="J1216" i="3"/>
  <c r="I1216" i="3"/>
  <c r="H1216" i="3"/>
  <c r="G1216" i="3"/>
  <c r="F1216" i="3"/>
  <c r="E1216" i="3"/>
  <c r="D1216" i="3"/>
  <c r="C1216" i="3"/>
  <c r="B1216" i="3"/>
  <c r="A1216" i="3"/>
  <c r="M1215" i="3"/>
  <c r="L1215" i="3"/>
  <c r="K1215" i="3"/>
  <c r="J1215" i="3"/>
  <c r="I1215" i="3"/>
  <c r="H1215" i="3"/>
  <c r="G1215" i="3"/>
  <c r="F1215" i="3"/>
  <c r="E1215" i="3"/>
  <c r="D1215" i="3"/>
  <c r="C1215" i="3"/>
  <c r="B1215" i="3"/>
  <c r="A1215" i="3"/>
  <c r="M1214" i="3"/>
  <c r="L1214" i="3"/>
  <c r="K1214" i="3"/>
  <c r="J1214" i="3"/>
  <c r="I1214" i="3"/>
  <c r="H1214" i="3"/>
  <c r="G1214" i="3"/>
  <c r="F1214" i="3"/>
  <c r="E1214" i="3"/>
  <c r="D1214" i="3"/>
  <c r="C1214" i="3"/>
  <c r="B1214" i="3"/>
  <c r="A1214" i="3"/>
  <c r="M1213" i="3"/>
  <c r="L1213" i="3"/>
  <c r="K1213" i="3"/>
  <c r="J1213" i="3"/>
  <c r="I1213" i="3"/>
  <c r="H1213" i="3"/>
  <c r="G1213" i="3"/>
  <c r="F1213" i="3"/>
  <c r="E1213" i="3"/>
  <c r="D1213" i="3"/>
  <c r="C1213" i="3"/>
  <c r="B1213" i="3"/>
  <c r="A1213" i="3"/>
  <c r="M1212" i="3"/>
  <c r="L1212" i="3"/>
  <c r="K1212" i="3"/>
  <c r="J1212" i="3"/>
  <c r="I1212" i="3"/>
  <c r="H1212" i="3"/>
  <c r="G1212" i="3"/>
  <c r="F1212" i="3"/>
  <c r="E1212" i="3"/>
  <c r="D1212" i="3"/>
  <c r="C1212" i="3"/>
  <c r="B1212" i="3"/>
  <c r="A1212" i="3"/>
  <c r="M1211" i="3"/>
  <c r="L1211" i="3"/>
  <c r="K1211" i="3"/>
  <c r="J1211" i="3"/>
  <c r="I1211" i="3"/>
  <c r="H1211" i="3"/>
  <c r="G1211" i="3"/>
  <c r="F1211" i="3"/>
  <c r="E1211" i="3"/>
  <c r="D1211" i="3"/>
  <c r="C1211" i="3"/>
  <c r="B1211" i="3"/>
  <c r="A1211" i="3"/>
  <c r="M1210" i="3"/>
  <c r="L1210" i="3"/>
  <c r="K1210" i="3"/>
  <c r="J1210" i="3"/>
  <c r="I1210" i="3"/>
  <c r="H1210" i="3"/>
  <c r="G1210" i="3"/>
  <c r="F1210" i="3"/>
  <c r="E1210" i="3"/>
  <c r="D1210" i="3"/>
  <c r="C1210" i="3"/>
  <c r="B1210" i="3"/>
  <c r="A1210" i="3"/>
  <c r="M1209" i="3"/>
  <c r="L1209" i="3"/>
  <c r="K1209" i="3"/>
  <c r="J1209" i="3"/>
  <c r="I1209" i="3"/>
  <c r="H1209" i="3"/>
  <c r="G1209" i="3"/>
  <c r="F1209" i="3"/>
  <c r="E1209" i="3"/>
  <c r="D1209" i="3"/>
  <c r="C1209" i="3"/>
  <c r="B1209" i="3"/>
  <c r="A1209" i="3"/>
  <c r="M1208" i="3"/>
  <c r="L1208" i="3"/>
  <c r="K1208" i="3"/>
  <c r="J1208" i="3"/>
  <c r="I1208" i="3"/>
  <c r="H1208" i="3"/>
  <c r="G1208" i="3"/>
  <c r="F1208" i="3"/>
  <c r="E1208" i="3"/>
  <c r="D1208" i="3"/>
  <c r="C1208" i="3"/>
  <c r="B1208" i="3"/>
  <c r="A1208" i="3"/>
  <c r="M1207" i="3"/>
  <c r="L1207" i="3"/>
  <c r="K1207" i="3"/>
  <c r="J1207" i="3"/>
  <c r="I1207" i="3"/>
  <c r="H1207" i="3"/>
  <c r="G1207" i="3"/>
  <c r="F1207" i="3"/>
  <c r="E1207" i="3"/>
  <c r="D1207" i="3"/>
  <c r="C1207" i="3"/>
  <c r="B1207" i="3"/>
  <c r="A1207" i="3"/>
  <c r="M1206" i="3"/>
  <c r="L1206" i="3"/>
  <c r="K1206" i="3"/>
  <c r="J1206" i="3"/>
  <c r="I1206" i="3"/>
  <c r="H1206" i="3"/>
  <c r="G1206" i="3"/>
  <c r="F1206" i="3"/>
  <c r="E1206" i="3"/>
  <c r="D1206" i="3"/>
  <c r="C1206" i="3"/>
  <c r="B1206" i="3"/>
  <c r="A1206" i="3"/>
  <c r="M1205" i="3"/>
  <c r="L1205" i="3"/>
  <c r="K1205" i="3"/>
  <c r="J1205" i="3"/>
  <c r="I1205" i="3"/>
  <c r="H1205" i="3"/>
  <c r="G1205" i="3"/>
  <c r="F1205" i="3"/>
  <c r="E1205" i="3"/>
  <c r="D1205" i="3"/>
  <c r="C1205" i="3"/>
  <c r="B1205" i="3"/>
  <c r="A1205" i="3"/>
  <c r="M1204" i="3"/>
  <c r="L1204" i="3"/>
  <c r="K1204" i="3"/>
  <c r="J1204" i="3"/>
  <c r="I1204" i="3"/>
  <c r="H1204" i="3"/>
  <c r="G1204" i="3"/>
  <c r="F1204" i="3"/>
  <c r="E1204" i="3"/>
  <c r="D1204" i="3"/>
  <c r="C1204" i="3"/>
  <c r="B1204" i="3"/>
  <c r="A1204" i="3"/>
  <c r="M1203" i="3"/>
  <c r="L1203" i="3"/>
  <c r="K1203" i="3"/>
  <c r="J1203" i="3"/>
  <c r="I1203" i="3"/>
  <c r="H1203" i="3"/>
  <c r="G1203" i="3"/>
  <c r="F1203" i="3"/>
  <c r="E1203" i="3"/>
  <c r="D1203" i="3"/>
  <c r="C1203" i="3"/>
  <c r="B1203" i="3"/>
  <c r="A1203" i="3"/>
  <c r="M1202" i="3"/>
  <c r="L1202" i="3"/>
  <c r="K1202" i="3"/>
  <c r="J1202" i="3"/>
  <c r="I1202" i="3"/>
  <c r="H1202" i="3"/>
  <c r="G1202" i="3"/>
  <c r="F1202" i="3"/>
  <c r="E1202" i="3"/>
  <c r="D1202" i="3"/>
  <c r="C1202" i="3"/>
  <c r="B1202" i="3"/>
  <c r="A1202" i="3"/>
  <c r="M1201" i="3"/>
  <c r="L1201" i="3"/>
  <c r="K1201" i="3"/>
  <c r="J1201" i="3"/>
  <c r="I1201" i="3"/>
  <c r="H1201" i="3"/>
  <c r="G1201" i="3"/>
  <c r="F1201" i="3"/>
  <c r="E1201" i="3"/>
  <c r="D1201" i="3"/>
  <c r="C1201" i="3"/>
  <c r="B1201" i="3"/>
  <c r="A1201" i="3"/>
  <c r="M1200" i="3"/>
  <c r="L1200" i="3"/>
  <c r="K1200" i="3"/>
  <c r="J1200" i="3"/>
  <c r="I1200" i="3"/>
  <c r="H1200" i="3"/>
  <c r="G1200" i="3"/>
  <c r="F1200" i="3"/>
  <c r="E1200" i="3"/>
  <c r="D1200" i="3"/>
  <c r="C1200" i="3"/>
  <c r="B1200" i="3"/>
  <c r="A1200" i="3"/>
  <c r="M1199" i="3"/>
  <c r="L1199" i="3"/>
  <c r="K1199" i="3"/>
  <c r="J1199" i="3"/>
  <c r="I1199" i="3"/>
  <c r="H1199" i="3"/>
  <c r="G1199" i="3"/>
  <c r="F1199" i="3"/>
  <c r="E1199" i="3"/>
  <c r="D1199" i="3"/>
  <c r="C1199" i="3"/>
  <c r="B1199" i="3"/>
  <c r="A1199" i="3"/>
  <c r="M1198" i="3"/>
  <c r="L1198" i="3"/>
  <c r="K1198" i="3"/>
  <c r="J1198" i="3"/>
  <c r="I1198" i="3"/>
  <c r="H1198" i="3"/>
  <c r="G1198" i="3"/>
  <c r="F1198" i="3"/>
  <c r="E1198" i="3"/>
  <c r="D1198" i="3"/>
  <c r="C1198" i="3"/>
  <c r="B1198" i="3"/>
  <c r="A1198" i="3"/>
  <c r="M1197" i="3"/>
  <c r="L1197" i="3"/>
  <c r="K1197" i="3"/>
  <c r="J1197" i="3"/>
  <c r="I1197" i="3"/>
  <c r="H1197" i="3"/>
  <c r="G1197" i="3"/>
  <c r="F1197" i="3"/>
  <c r="E1197" i="3"/>
  <c r="D1197" i="3"/>
  <c r="C1197" i="3"/>
  <c r="B1197" i="3"/>
  <c r="A1197" i="3"/>
  <c r="M1196" i="3"/>
  <c r="L1196" i="3"/>
  <c r="K1196" i="3"/>
  <c r="J1196" i="3"/>
  <c r="I1196" i="3"/>
  <c r="H1196" i="3"/>
  <c r="G1196" i="3"/>
  <c r="F1196" i="3"/>
  <c r="E1196" i="3"/>
  <c r="D1196" i="3"/>
  <c r="C1196" i="3"/>
  <c r="B1196" i="3"/>
  <c r="A1196" i="3"/>
  <c r="M1195" i="3"/>
  <c r="L1195" i="3"/>
  <c r="K1195" i="3"/>
  <c r="J1195" i="3"/>
  <c r="I1195" i="3"/>
  <c r="H1195" i="3"/>
  <c r="G1195" i="3"/>
  <c r="F1195" i="3"/>
  <c r="E1195" i="3"/>
  <c r="D1195" i="3"/>
  <c r="C1195" i="3"/>
  <c r="B1195" i="3"/>
  <c r="A1195" i="3"/>
  <c r="M1194" i="3"/>
  <c r="L1194" i="3"/>
  <c r="K1194" i="3"/>
  <c r="J1194" i="3"/>
  <c r="I1194" i="3"/>
  <c r="H1194" i="3"/>
  <c r="G1194" i="3"/>
  <c r="F1194" i="3"/>
  <c r="E1194" i="3"/>
  <c r="D1194" i="3"/>
  <c r="C1194" i="3"/>
  <c r="B1194" i="3"/>
  <c r="A1194" i="3"/>
  <c r="M1193" i="3"/>
  <c r="L1193" i="3"/>
  <c r="K1193" i="3"/>
  <c r="J1193" i="3"/>
  <c r="I1193" i="3"/>
  <c r="H1193" i="3"/>
  <c r="G1193" i="3"/>
  <c r="F1193" i="3"/>
  <c r="E1193" i="3"/>
  <c r="D1193" i="3"/>
  <c r="C1193" i="3"/>
  <c r="B1193" i="3"/>
  <c r="A1193" i="3"/>
  <c r="M1192" i="3"/>
  <c r="L1192" i="3"/>
  <c r="K1192" i="3"/>
  <c r="J1192" i="3"/>
  <c r="I1192" i="3"/>
  <c r="H1192" i="3"/>
  <c r="G1192" i="3"/>
  <c r="F1192" i="3"/>
  <c r="E1192" i="3"/>
  <c r="D1192" i="3"/>
  <c r="C1192" i="3"/>
  <c r="B1192" i="3"/>
  <c r="A1192" i="3"/>
  <c r="M1191" i="3"/>
  <c r="L1191" i="3"/>
  <c r="K1191" i="3"/>
  <c r="J1191" i="3"/>
  <c r="I1191" i="3"/>
  <c r="H1191" i="3"/>
  <c r="G1191" i="3"/>
  <c r="F1191" i="3"/>
  <c r="E1191" i="3"/>
  <c r="D1191" i="3"/>
  <c r="C1191" i="3"/>
  <c r="B1191" i="3"/>
  <c r="A1191" i="3"/>
  <c r="M1190" i="3"/>
  <c r="L1190" i="3"/>
  <c r="K1190" i="3"/>
  <c r="J1190" i="3"/>
  <c r="I1190" i="3"/>
  <c r="H1190" i="3"/>
  <c r="G1190" i="3"/>
  <c r="F1190" i="3"/>
  <c r="E1190" i="3"/>
  <c r="D1190" i="3"/>
  <c r="C1190" i="3"/>
  <c r="B1190" i="3"/>
  <c r="A1190" i="3"/>
  <c r="M1189" i="3"/>
  <c r="L1189" i="3"/>
  <c r="K1189" i="3"/>
  <c r="J1189" i="3"/>
  <c r="I1189" i="3"/>
  <c r="H1189" i="3"/>
  <c r="G1189" i="3"/>
  <c r="F1189" i="3"/>
  <c r="E1189" i="3"/>
  <c r="D1189" i="3"/>
  <c r="C1189" i="3"/>
  <c r="B1189" i="3"/>
  <c r="A1189" i="3"/>
  <c r="M1188" i="3"/>
  <c r="L1188" i="3"/>
  <c r="K1188" i="3"/>
  <c r="J1188" i="3"/>
  <c r="I1188" i="3"/>
  <c r="H1188" i="3"/>
  <c r="G1188" i="3"/>
  <c r="F1188" i="3"/>
  <c r="E1188" i="3"/>
  <c r="D1188" i="3"/>
  <c r="C1188" i="3"/>
  <c r="B1188" i="3"/>
  <c r="A1188" i="3"/>
  <c r="M1187" i="3"/>
  <c r="L1187" i="3"/>
  <c r="K1187" i="3"/>
  <c r="J1187" i="3"/>
  <c r="I1187" i="3"/>
  <c r="H1187" i="3"/>
  <c r="G1187" i="3"/>
  <c r="F1187" i="3"/>
  <c r="E1187" i="3"/>
  <c r="D1187" i="3"/>
  <c r="C1187" i="3"/>
  <c r="B1187" i="3"/>
  <c r="A1187" i="3"/>
  <c r="M1186" i="3"/>
  <c r="L1186" i="3"/>
  <c r="K1186" i="3"/>
  <c r="J1186" i="3"/>
  <c r="I1186" i="3"/>
  <c r="H1186" i="3"/>
  <c r="G1186" i="3"/>
  <c r="F1186" i="3"/>
  <c r="E1186" i="3"/>
  <c r="D1186" i="3"/>
  <c r="C1186" i="3"/>
  <c r="B1186" i="3"/>
  <c r="A1186" i="3"/>
  <c r="M1185" i="3"/>
  <c r="L1185" i="3"/>
  <c r="K1185" i="3"/>
  <c r="J1185" i="3"/>
  <c r="I1185" i="3"/>
  <c r="H1185" i="3"/>
  <c r="G1185" i="3"/>
  <c r="F1185" i="3"/>
  <c r="E1185" i="3"/>
  <c r="D1185" i="3"/>
  <c r="C1185" i="3"/>
  <c r="B1185" i="3"/>
  <c r="A1185" i="3"/>
  <c r="M1184" i="3"/>
  <c r="L1184" i="3"/>
  <c r="K1184" i="3"/>
  <c r="J1184" i="3"/>
  <c r="I1184" i="3"/>
  <c r="H1184" i="3"/>
  <c r="G1184" i="3"/>
  <c r="F1184" i="3"/>
  <c r="E1184" i="3"/>
  <c r="D1184" i="3"/>
  <c r="C1184" i="3"/>
  <c r="B1184" i="3"/>
  <c r="A1184" i="3"/>
  <c r="M1183" i="3"/>
  <c r="L1183" i="3"/>
  <c r="K1183" i="3"/>
  <c r="J1183" i="3"/>
  <c r="I1183" i="3"/>
  <c r="H1183" i="3"/>
  <c r="G1183" i="3"/>
  <c r="F1183" i="3"/>
  <c r="E1183" i="3"/>
  <c r="D1183" i="3"/>
  <c r="C1183" i="3"/>
  <c r="B1183" i="3"/>
  <c r="A1183" i="3"/>
  <c r="M1182" i="3"/>
  <c r="L1182" i="3"/>
  <c r="K1182" i="3"/>
  <c r="J1182" i="3"/>
  <c r="I1182" i="3"/>
  <c r="H1182" i="3"/>
  <c r="G1182" i="3"/>
  <c r="F1182" i="3"/>
  <c r="E1182" i="3"/>
  <c r="D1182" i="3"/>
  <c r="C1182" i="3"/>
  <c r="B1182" i="3"/>
  <c r="A1182" i="3"/>
  <c r="M1181" i="3"/>
  <c r="L1181" i="3"/>
  <c r="K1181" i="3"/>
  <c r="J1181" i="3"/>
  <c r="I1181" i="3"/>
  <c r="H1181" i="3"/>
  <c r="G1181" i="3"/>
  <c r="F1181" i="3"/>
  <c r="E1181" i="3"/>
  <c r="D1181" i="3"/>
  <c r="C1181" i="3"/>
  <c r="B1181" i="3"/>
  <c r="A1181" i="3"/>
  <c r="M1180" i="3"/>
  <c r="L1180" i="3"/>
  <c r="K1180" i="3"/>
  <c r="J1180" i="3"/>
  <c r="I1180" i="3"/>
  <c r="H1180" i="3"/>
  <c r="G1180" i="3"/>
  <c r="F1180" i="3"/>
  <c r="E1180" i="3"/>
  <c r="D1180" i="3"/>
  <c r="C1180" i="3"/>
  <c r="B1180" i="3"/>
  <c r="A1180" i="3"/>
  <c r="M1179" i="3"/>
  <c r="L1179" i="3"/>
  <c r="K1179" i="3"/>
  <c r="J1179" i="3"/>
  <c r="I1179" i="3"/>
  <c r="H1179" i="3"/>
  <c r="G1179" i="3"/>
  <c r="F1179" i="3"/>
  <c r="E1179" i="3"/>
  <c r="D1179" i="3"/>
  <c r="C1179" i="3"/>
  <c r="B1179" i="3"/>
  <c r="A1179" i="3"/>
  <c r="M1178" i="3"/>
  <c r="L1178" i="3"/>
  <c r="K1178" i="3"/>
  <c r="J1178" i="3"/>
  <c r="I1178" i="3"/>
  <c r="H1178" i="3"/>
  <c r="G1178" i="3"/>
  <c r="F1178" i="3"/>
  <c r="E1178" i="3"/>
  <c r="D1178" i="3"/>
  <c r="C1178" i="3"/>
  <c r="B1178" i="3"/>
  <c r="A1178" i="3"/>
  <c r="M1177" i="3"/>
  <c r="L1177" i="3"/>
  <c r="K1177" i="3"/>
  <c r="J1177" i="3"/>
  <c r="I1177" i="3"/>
  <c r="H1177" i="3"/>
  <c r="G1177" i="3"/>
  <c r="F1177" i="3"/>
  <c r="E1177" i="3"/>
  <c r="D1177" i="3"/>
  <c r="C1177" i="3"/>
  <c r="B1177" i="3"/>
  <c r="A1177" i="3"/>
  <c r="M1176" i="3"/>
  <c r="L1176" i="3"/>
  <c r="K1176" i="3"/>
  <c r="J1176" i="3"/>
  <c r="I1176" i="3"/>
  <c r="H1176" i="3"/>
  <c r="G1176" i="3"/>
  <c r="F1176" i="3"/>
  <c r="E1176" i="3"/>
  <c r="D1176" i="3"/>
  <c r="C1176" i="3"/>
  <c r="B1176" i="3"/>
  <c r="A1176" i="3"/>
  <c r="M1175" i="3"/>
  <c r="L1175" i="3"/>
  <c r="K1175" i="3"/>
  <c r="J1175" i="3"/>
  <c r="I1175" i="3"/>
  <c r="H1175" i="3"/>
  <c r="G1175" i="3"/>
  <c r="F1175" i="3"/>
  <c r="E1175" i="3"/>
  <c r="D1175" i="3"/>
  <c r="C1175" i="3"/>
  <c r="B1175" i="3"/>
  <c r="A1175" i="3"/>
  <c r="M1174" i="3"/>
  <c r="L1174" i="3"/>
  <c r="K1174" i="3"/>
  <c r="J1174" i="3"/>
  <c r="I1174" i="3"/>
  <c r="H1174" i="3"/>
  <c r="G1174" i="3"/>
  <c r="F1174" i="3"/>
  <c r="E1174" i="3"/>
  <c r="D1174" i="3"/>
  <c r="C1174" i="3"/>
  <c r="B1174" i="3"/>
  <c r="A1174" i="3"/>
  <c r="M1173" i="3"/>
  <c r="L1173" i="3"/>
  <c r="K1173" i="3"/>
  <c r="J1173" i="3"/>
  <c r="I1173" i="3"/>
  <c r="H1173" i="3"/>
  <c r="G1173" i="3"/>
  <c r="F1173" i="3"/>
  <c r="E1173" i="3"/>
  <c r="D1173" i="3"/>
  <c r="C1173" i="3"/>
  <c r="B1173" i="3"/>
  <c r="A1173" i="3"/>
  <c r="M1172" i="3"/>
  <c r="L1172" i="3"/>
  <c r="K1172" i="3"/>
  <c r="J1172" i="3"/>
  <c r="I1172" i="3"/>
  <c r="H1172" i="3"/>
  <c r="G1172" i="3"/>
  <c r="F1172" i="3"/>
  <c r="E1172" i="3"/>
  <c r="D1172" i="3"/>
  <c r="C1172" i="3"/>
  <c r="B1172" i="3"/>
  <c r="A1172" i="3"/>
  <c r="M1171" i="3"/>
  <c r="L1171" i="3"/>
  <c r="K1171" i="3"/>
  <c r="J1171" i="3"/>
  <c r="I1171" i="3"/>
  <c r="H1171" i="3"/>
  <c r="G1171" i="3"/>
  <c r="F1171" i="3"/>
  <c r="E1171" i="3"/>
  <c r="D1171" i="3"/>
  <c r="C1171" i="3"/>
  <c r="B1171" i="3"/>
  <c r="A1171" i="3"/>
  <c r="M1170" i="3"/>
  <c r="L1170" i="3"/>
  <c r="K1170" i="3"/>
  <c r="J1170" i="3"/>
  <c r="I1170" i="3"/>
  <c r="H1170" i="3"/>
  <c r="G1170" i="3"/>
  <c r="F1170" i="3"/>
  <c r="E1170" i="3"/>
  <c r="D1170" i="3"/>
  <c r="C1170" i="3"/>
  <c r="B1170" i="3"/>
  <c r="A1170" i="3"/>
  <c r="M1169" i="3"/>
  <c r="L1169" i="3"/>
  <c r="K1169" i="3"/>
  <c r="J1169" i="3"/>
  <c r="I1169" i="3"/>
  <c r="H1169" i="3"/>
  <c r="G1169" i="3"/>
  <c r="F1169" i="3"/>
  <c r="E1169" i="3"/>
  <c r="D1169" i="3"/>
  <c r="C1169" i="3"/>
  <c r="B1169" i="3"/>
  <c r="A1169" i="3"/>
  <c r="M1168" i="3"/>
  <c r="L1168" i="3"/>
  <c r="K1168" i="3"/>
  <c r="J1168" i="3"/>
  <c r="I1168" i="3"/>
  <c r="H1168" i="3"/>
  <c r="G1168" i="3"/>
  <c r="F1168" i="3"/>
  <c r="E1168" i="3"/>
  <c r="D1168" i="3"/>
  <c r="C1168" i="3"/>
  <c r="B1168" i="3"/>
  <c r="A1168" i="3"/>
  <c r="M1167" i="3"/>
  <c r="L1167" i="3"/>
  <c r="K1167" i="3"/>
  <c r="J1167" i="3"/>
  <c r="I1167" i="3"/>
  <c r="H1167" i="3"/>
  <c r="G1167" i="3"/>
  <c r="F1167" i="3"/>
  <c r="E1167" i="3"/>
  <c r="D1167" i="3"/>
  <c r="C1167" i="3"/>
  <c r="B1167" i="3"/>
  <c r="A1167" i="3"/>
  <c r="M1166" i="3"/>
  <c r="L1166" i="3"/>
  <c r="K1166" i="3"/>
  <c r="J1166" i="3"/>
  <c r="I1166" i="3"/>
  <c r="H1166" i="3"/>
  <c r="G1166" i="3"/>
  <c r="F1166" i="3"/>
  <c r="E1166" i="3"/>
  <c r="D1166" i="3"/>
  <c r="C1166" i="3"/>
  <c r="B1166" i="3"/>
  <c r="A1166" i="3"/>
  <c r="M1165" i="3"/>
  <c r="L1165" i="3"/>
  <c r="K1165" i="3"/>
  <c r="J1165" i="3"/>
  <c r="I1165" i="3"/>
  <c r="H1165" i="3"/>
  <c r="G1165" i="3"/>
  <c r="F1165" i="3"/>
  <c r="E1165" i="3"/>
  <c r="D1165" i="3"/>
  <c r="C1165" i="3"/>
  <c r="B1165" i="3"/>
  <c r="A1165" i="3"/>
  <c r="M1164" i="3"/>
  <c r="L1164" i="3"/>
  <c r="K1164" i="3"/>
  <c r="J1164" i="3"/>
  <c r="I1164" i="3"/>
  <c r="H1164" i="3"/>
  <c r="G1164" i="3"/>
  <c r="F1164" i="3"/>
  <c r="E1164" i="3"/>
  <c r="D1164" i="3"/>
  <c r="C1164" i="3"/>
  <c r="B1164" i="3"/>
  <c r="A1164" i="3"/>
  <c r="M1163" i="3"/>
  <c r="L1163" i="3"/>
  <c r="K1163" i="3"/>
  <c r="J1163" i="3"/>
  <c r="I1163" i="3"/>
  <c r="H1163" i="3"/>
  <c r="G1163" i="3"/>
  <c r="F1163" i="3"/>
  <c r="E1163" i="3"/>
  <c r="D1163" i="3"/>
  <c r="C1163" i="3"/>
  <c r="B1163" i="3"/>
  <c r="A1163" i="3"/>
  <c r="M1162" i="3"/>
  <c r="L1162" i="3"/>
  <c r="K1162" i="3"/>
  <c r="J1162" i="3"/>
  <c r="I1162" i="3"/>
  <c r="H1162" i="3"/>
  <c r="G1162" i="3"/>
  <c r="F1162" i="3"/>
  <c r="E1162" i="3"/>
  <c r="D1162" i="3"/>
  <c r="C1162" i="3"/>
  <c r="B1162" i="3"/>
  <c r="A1162" i="3"/>
  <c r="M1161" i="3"/>
  <c r="L1161" i="3"/>
  <c r="K1161" i="3"/>
  <c r="J1161" i="3"/>
  <c r="I1161" i="3"/>
  <c r="H1161" i="3"/>
  <c r="G1161" i="3"/>
  <c r="F1161" i="3"/>
  <c r="E1161" i="3"/>
  <c r="D1161" i="3"/>
  <c r="C1161" i="3"/>
  <c r="B1161" i="3"/>
  <c r="A1161" i="3"/>
  <c r="M1160" i="3"/>
  <c r="L1160" i="3"/>
  <c r="K1160" i="3"/>
  <c r="J1160" i="3"/>
  <c r="I1160" i="3"/>
  <c r="H1160" i="3"/>
  <c r="G1160" i="3"/>
  <c r="F1160" i="3"/>
  <c r="E1160" i="3"/>
  <c r="D1160" i="3"/>
  <c r="C1160" i="3"/>
  <c r="B1160" i="3"/>
  <c r="A1160" i="3"/>
  <c r="M1159" i="3"/>
  <c r="L1159" i="3"/>
  <c r="K1159" i="3"/>
  <c r="J1159" i="3"/>
  <c r="I1159" i="3"/>
  <c r="H1159" i="3"/>
  <c r="G1159" i="3"/>
  <c r="F1159" i="3"/>
  <c r="E1159" i="3"/>
  <c r="D1159" i="3"/>
  <c r="C1159" i="3"/>
  <c r="B1159" i="3"/>
  <c r="A1159" i="3"/>
  <c r="M1158" i="3"/>
  <c r="L1158" i="3"/>
  <c r="K1158" i="3"/>
  <c r="J1158" i="3"/>
  <c r="I1158" i="3"/>
  <c r="H1158" i="3"/>
  <c r="G1158" i="3"/>
  <c r="F1158" i="3"/>
  <c r="E1158" i="3"/>
  <c r="D1158" i="3"/>
  <c r="C1158" i="3"/>
  <c r="B1158" i="3"/>
  <c r="A1158" i="3"/>
  <c r="M1157" i="3"/>
  <c r="L1157" i="3"/>
  <c r="K1157" i="3"/>
  <c r="J1157" i="3"/>
  <c r="I1157" i="3"/>
  <c r="H1157" i="3"/>
  <c r="G1157" i="3"/>
  <c r="F1157" i="3"/>
  <c r="E1157" i="3"/>
  <c r="D1157" i="3"/>
  <c r="C1157" i="3"/>
  <c r="B1157" i="3"/>
  <c r="A1157" i="3"/>
  <c r="M1156" i="3"/>
  <c r="L1156" i="3"/>
  <c r="K1156" i="3"/>
  <c r="J1156" i="3"/>
  <c r="I1156" i="3"/>
  <c r="H1156" i="3"/>
  <c r="G1156" i="3"/>
  <c r="F1156" i="3"/>
  <c r="E1156" i="3"/>
  <c r="D1156" i="3"/>
  <c r="C1156" i="3"/>
  <c r="B1156" i="3"/>
  <c r="A1156" i="3"/>
  <c r="M1155" i="3"/>
  <c r="L1155" i="3"/>
  <c r="K1155" i="3"/>
  <c r="J1155" i="3"/>
  <c r="I1155" i="3"/>
  <c r="H1155" i="3"/>
  <c r="G1155" i="3"/>
  <c r="F1155" i="3"/>
  <c r="E1155" i="3"/>
  <c r="D1155" i="3"/>
  <c r="C1155" i="3"/>
  <c r="B1155" i="3"/>
  <c r="A1155" i="3"/>
  <c r="M1154" i="3"/>
  <c r="L1154" i="3"/>
  <c r="K1154" i="3"/>
  <c r="J1154" i="3"/>
  <c r="I1154" i="3"/>
  <c r="H1154" i="3"/>
  <c r="G1154" i="3"/>
  <c r="F1154" i="3"/>
  <c r="E1154" i="3"/>
  <c r="D1154" i="3"/>
  <c r="C1154" i="3"/>
  <c r="B1154" i="3"/>
  <c r="A1154" i="3"/>
  <c r="M1153" i="3"/>
  <c r="L1153" i="3"/>
  <c r="K1153" i="3"/>
  <c r="J1153" i="3"/>
  <c r="I1153" i="3"/>
  <c r="H1153" i="3"/>
  <c r="G1153" i="3"/>
  <c r="F1153" i="3"/>
  <c r="E1153" i="3"/>
  <c r="D1153" i="3"/>
  <c r="C1153" i="3"/>
  <c r="B1153" i="3"/>
  <c r="A1153" i="3"/>
  <c r="M1152" i="3"/>
  <c r="L1152" i="3"/>
  <c r="K1152" i="3"/>
  <c r="J1152" i="3"/>
  <c r="I1152" i="3"/>
  <c r="H1152" i="3"/>
  <c r="G1152" i="3"/>
  <c r="F1152" i="3"/>
  <c r="E1152" i="3"/>
  <c r="D1152" i="3"/>
  <c r="C1152" i="3"/>
  <c r="B1152" i="3"/>
  <c r="A1152" i="3"/>
  <c r="M1151" i="3"/>
  <c r="L1151" i="3"/>
  <c r="K1151" i="3"/>
  <c r="J1151" i="3"/>
  <c r="I1151" i="3"/>
  <c r="H1151" i="3"/>
  <c r="G1151" i="3"/>
  <c r="F1151" i="3"/>
  <c r="E1151" i="3"/>
  <c r="D1151" i="3"/>
  <c r="C1151" i="3"/>
  <c r="B1151" i="3"/>
  <c r="A1151" i="3"/>
  <c r="M1150" i="3"/>
  <c r="L1150" i="3"/>
  <c r="K1150" i="3"/>
  <c r="J1150" i="3"/>
  <c r="I1150" i="3"/>
  <c r="H1150" i="3"/>
  <c r="G1150" i="3"/>
  <c r="F1150" i="3"/>
  <c r="E1150" i="3"/>
  <c r="D1150" i="3"/>
  <c r="C1150" i="3"/>
  <c r="B1150" i="3"/>
  <c r="A1150" i="3"/>
  <c r="M1149" i="3"/>
  <c r="L1149" i="3"/>
  <c r="K1149" i="3"/>
  <c r="J1149" i="3"/>
  <c r="I1149" i="3"/>
  <c r="H1149" i="3"/>
  <c r="G1149" i="3"/>
  <c r="F1149" i="3"/>
  <c r="E1149" i="3"/>
  <c r="D1149" i="3"/>
  <c r="C1149" i="3"/>
  <c r="B1149" i="3"/>
  <c r="A1149" i="3"/>
  <c r="M1148" i="3"/>
  <c r="L1148" i="3"/>
  <c r="K1148" i="3"/>
  <c r="J1148" i="3"/>
  <c r="I1148" i="3"/>
  <c r="H1148" i="3"/>
  <c r="G1148" i="3"/>
  <c r="F1148" i="3"/>
  <c r="E1148" i="3"/>
  <c r="D1148" i="3"/>
  <c r="C1148" i="3"/>
  <c r="B1148" i="3"/>
  <c r="A1148" i="3"/>
  <c r="M1147" i="3"/>
  <c r="L1147" i="3"/>
  <c r="K1147" i="3"/>
  <c r="J1147" i="3"/>
  <c r="I1147" i="3"/>
  <c r="H1147" i="3"/>
  <c r="G1147" i="3"/>
  <c r="F1147" i="3"/>
  <c r="E1147" i="3"/>
  <c r="D1147" i="3"/>
  <c r="C1147" i="3"/>
  <c r="B1147" i="3"/>
  <c r="A1147" i="3"/>
  <c r="M1146" i="3"/>
  <c r="L1146" i="3"/>
  <c r="K1146" i="3"/>
  <c r="J1146" i="3"/>
  <c r="I1146" i="3"/>
  <c r="H1146" i="3"/>
  <c r="G1146" i="3"/>
  <c r="F1146" i="3"/>
  <c r="E1146" i="3"/>
  <c r="D1146" i="3"/>
  <c r="C1146" i="3"/>
  <c r="B1146" i="3"/>
  <c r="A1146" i="3"/>
  <c r="M1145" i="3"/>
  <c r="L1145" i="3"/>
  <c r="K1145" i="3"/>
  <c r="J1145" i="3"/>
  <c r="I1145" i="3"/>
  <c r="H1145" i="3"/>
  <c r="G1145" i="3"/>
  <c r="F1145" i="3"/>
  <c r="E1145" i="3"/>
  <c r="D1145" i="3"/>
  <c r="C1145" i="3"/>
  <c r="B1145" i="3"/>
  <c r="A1145" i="3"/>
  <c r="M1144" i="3"/>
  <c r="L1144" i="3"/>
  <c r="K1144" i="3"/>
  <c r="J1144" i="3"/>
  <c r="I1144" i="3"/>
  <c r="H1144" i="3"/>
  <c r="G1144" i="3"/>
  <c r="F1144" i="3"/>
  <c r="E1144" i="3"/>
  <c r="D1144" i="3"/>
  <c r="C1144" i="3"/>
  <c r="B1144" i="3"/>
  <c r="A1144" i="3"/>
  <c r="M1143" i="3"/>
  <c r="L1143" i="3"/>
  <c r="K1143" i="3"/>
  <c r="J1143" i="3"/>
  <c r="I1143" i="3"/>
  <c r="H1143" i="3"/>
  <c r="G1143" i="3"/>
  <c r="F1143" i="3"/>
  <c r="E1143" i="3"/>
  <c r="D1143" i="3"/>
  <c r="C1143" i="3"/>
  <c r="B1143" i="3"/>
  <c r="A1143" i="3"/>
  <c r="M1142" i="3"/>
  <c r="L1142" i="3"/>
  <c r="K1142" i="3"/>
  <c r="J1142" i="3"/>
  <c r="I1142" i="3"/>
  <c r="H1142" i="3"/>
  <c r="G1142" i="3"/>
  <c r="F1142" i="3"/>
  <c r="E1142" i="3"/>
  <c r="D1142" i="3"/>
  <c r="C1142" i="3"/>
  <c r="B1142" i="3"/>
  <c r="A1142" i="3"/>
  <c r="M1141" i="3"/>
  <c r="L1141" i="3"/>
  <c r="K1141" i="3"/>
  <c r="J1141" i="3"/>
  <c r="I1141" i="3"/>
  <c r="H1141" i="3"/>
  <c r="G1141" i="3"/>
  <c r="F1141" i="3"/>
  <c r="E1141" i="3"/>
  <c r="D1141" i="3"/>
  <c r="C1141" i="3"/>
  <c r="B1141" i="3"/>
  <c r="A1141" i="3"/>
  <c r="M1140" i="3"/>
  <c r="L1140" i="3"/>
  <c r="K1140" i="3"/>
  <c r="J1140" i="3"/>
  <c r="I1140" i="3"/>
  <c r="H1140" i="3"/>
  <c r="G1140" i="3"/>
  <c r="F1140" i="3"/>
  <c r="E1140" i="3"/>
  <c r="D1140" i="3"/>
  <c r="C1140" i="3"/>
  <c r="B1140" i="3"/>
  <c r="A1140" i="3"/>
  <c r="M1139" i="3"/>
  <c r="L1139" i="3"/>
  <c r="K1139" i="3"/>
  <c r="J1139" i="3"/>
  <c r="I1139" i="3"/>
  <c r="H1139" i="3"/>
  <c r="G1139" i="3"/>
  <c r="F1139" i="3"/>
  <c r="E1139" i="3"/>
  <c r="D1139" i="3"/>
  <c r="C1139" i="3"/>
  <c r="B1139" i="3"/>
  <c r="A1139" i="3"/>
  <c r="M1138" i="3"/>
  <c r="L1138" i="3"/>
  <c r="K1138" i="3"/>
  <c r="J1138" i="3"/>
  <c r="I1138" i="3"/>
  <c r="H1138" i="3"/>
  <c r="G1138" i="3"/>
  <c r="F1138" i="3"/>
  <c r="E1138" i="3"/>
  <c r="D1138" i="3"/>
  <c r="C1138" i="3"/>
  <c r="B1138" i="3"/>
  <c r="A1138" i="3"/>
  <c r="M1137" i="3"/>
  <c r="L1137" i="3"/>
  <c r="K1137" i="3"/>
  <c r="J1137" i="3"/>
  <c r="I1137" i="3"/>
  <c r="H1137" i="3"/>
  <c r="G1137" i="3"/>
  <c r="F1137" i="3"/>
  <c r="E1137" i="3"/>
  <c r="D1137" i="3"/>
  <c r="C1137" i="3"/>
  <c r="B1137" i="3"/>
  <c r="A1137" i="3"/>
  <c r="M1136" i="3"/>
  <c r="L1136" i="3"/>
  <c r="K1136" i="3"/>
  <c r="J1136" i="3"/>
  <c r="I1136" i="3"/>
  <c r="H1136" i="3"/>
  <c r="G1136" i="3"/>
  <c r="F1136" i="3"/>
  <c r="E1136" i="3"/>
  <c r="D1136" i="3"/>
  <c r="C1136" i="3"/>
  <c r="B1136" i="3"/>
  <c r="A1136" i="3"/>
  <c r="M1135" i="3"/>
  <c r="L1135" i="3"/>
  <c r="K1135" i="3"/>
  <c r="J1135" i="3"/>
  <c r="I1135" i="3"/>
  <c r="H1135" i="3"/>
  <c r="G1135" i="3"/>
  <c r="F1135" i="3"/>
  <c r="E1135" i="3"/>
  <c r="D1135" i="3"/>
  <c r="C1135" i="3"/>
  <c r="B1135" i="3"/>
  <c r="A1135" i="3"/>
  <c r="M1134" i="3"/>
  <c r="L1134" i="3"/>
  <c r="K1134" i="3"/>
  <c r="J1134" i="3"/>
  <c r="I1134" i="3"/>
  <c r="H1134" i="3"/>
  <c r="G1134" i="3"/>
  <c r="F1134" i="3"/>
  <c r="E1134" i="3"/>
  <c r="D1134" i="3"/>
  <c r="C1134" i="3"/>
  <c r="B1134" i="3"/>
  <c r="A1134" i="3"/>
  <c r="M1133" i="3"/>
  <c r="L1133" i="3"/>
  <c r="K1133" i="3"/>
  <c r="J1133" i="3"/>
  <c r="I1133" i="3"/>
  <c r="H1133" i="3"/>
  <c r="G1133" i="3"/>
  <c r="F1133" i="3"/>
  <c r="E1133" i="3"/>
  <c r="D1133" i="3"/>
  <c r="C1133" i="3"/>
  <c r="B1133" i="3"/>
  <c r="A1133" i="3"/>
  <c r="M1132" i="3"/>
  <c r="L1132" i="3"/>
  <c r="K1132" i="3"/>
  <c r="J1132" i="3"/>
  <c r="I1132" i="3"/>
  <c r="H1132" i="3"/>
  <c r="G1132" i="3"/>
  <c r="F1132" i="3"/>
  <c r="E1132" i="3"/>
  <c r="D1132" i="3"/>
  <c r="C1132" i="3"/>
  <c r="B1132" i="3"/>
  <c r="A1132" i="3"/>
  <c r="M1131" i="3"/>
  <c r="L1131" i="3"/>
  <c r="K1131" i="3"/>
  <c r="J1131" i="3"/>
  <c r="I1131" i="3"/>
  <c r="H1131" i="3"/>
  <c r="G1131" i="3"/>
  <c r="F1131" i="3"/>
  <c r="E1131" i="3"/>
  <c r="D1131" i="3"/>
  <c r="C1131" i="3"/>
  <c r="B1131" i="3"/>
  <c r="A1131" i="3"/>
  <c r="M1130" i="3"/>
  <c r="L1130" i="3"/>
  <c r="K1130" i="3"/>
  <c r="J1130" i="3"/>
  <c r="I1130" i="3"/>
  <c r="H1130" i="3"/>
  <c r="G1130" i="3"/>
  <c r="F1130" i="3"/>
  <c r="E1130" i="3"/>
  <c r="D1130" i="3"/>
  <c r="C1130" i="3"/>
  <c r="B1130" i="3"/>
  <c r="A1130" i="3"/>
  <c r="M1129" i="3"/>
  <c r="L1129" i="3"/>
  <c r="K1129" i="3"/>
  <c r="J1129" i="3"/>
  <c r="I1129" i="3"/>
  <c r="H1129" i="3"/>
  <c r="G1129" i="3"/>
  <c r="F1129" i="3"/>
  <c r="E1129" i="3"/>
  <c r="D1129" i="3"/>
  <c r="C1129" i="3"/>
  <c r="B1129" i="3"/>
  <c r="A1129" i="3"/>
  <c r="M1128" i="3"/>
  <c r="L1128" i="3"/>
  <c r="K1128" i="3"/>
  <c r="J1128" i="3"/>
  <c r="I1128" i="3"/>
  <c r="H1128" i="3"/>
  <c r="G1128" i="3"/>
  <c r="F1128" i="3"/>
  <c r="E1128" i="3"/>
  <c r="D1128" i="3"/>
  <c r="C1128" i="3"/>
  <c r="B1128" i="3"/>
  <c r="A1128" i="3"/>
  <c r="M1127" i="3"/>
  <c r="L1127" i="3"/>
  <c r="K1127" i="3"/>
  <c r="J1127" i="3"/>
  <c r="I1127" i="3"/>
  <c r="H1127" i="3"/>
  <c r="G1127" i="3"/>
  <c r="F1127" i="3"/>
  <c r="E1127" i="3"/>
  <c r="D1127" i="3"/>
  <c r="C1127" i="3"/>
  <c r="B1127" i="3"/>
  <c r="A1127" i="3"/>
  <c r="M1126" i="3"/>
  <c r="L1126" i="3"/>
  <c r="K1126" i="3"/>
  <c r="J1126" i="3"/>
  <c r="I1126" i="3"/>
  <c r="H1126" i="3"/>
  <c r="G1126" i="3"/>
  <c r="F1126" i="3"/>
  <c r="E1126" i="3"/>
  <c r="D1126" i="3"/>
  <c r="C1126" i="3"/>
  <c r="B1126" i="3"/>
  <c r="A1126" i="3"/>
  <c r="M1125" i="3"/>
  <c r="L1125" i="3"/>
  <c r="K1125" i="3"/>
  <c r="J1125" i="3"/>
  <c r="I1125" i="3"/>
  <c r="H1125" i="3"/>
  <c r="G1125" i="3"/>
  <c r="F1125" i="3"/>
  <c r="E1125" i="3"/>
  <c r="D1125" i="3"/>
  <c r="C1125" i="3"/>
  <c r="B1125" i="3"/>
  <c r="A1125" i="3"/>
  <c r="M1124" i="3"/>
  <c r="L1124" i="3"/>
  <c r="K1124" i="3"/>
  <c r="J1124" i="3"/>
  <c r="I1124" i="3"/>
  <c r="H1124" i="3"/>
  <c r="G1124" i="3"/>
  <c r="F1124" i="3"/>
  <c r="E1124" i="3"/>
  <c r="D1124" i="3"/>
  <c r="C1124" i="3"/>
  <c r="B1124" i="3"/>
  <c r="A1124" i="3"/>
  <c r="M1123" i="3"/>
  <c r="L1123" i="3"/>
  <c r="K1123" i="3"/>
  <c r="J1123" i="3"/>
  <c r="I1123" i="3"/>
  <c r="H1123" i="3"/>
  <c r="G1123" i="3"/>
  <c r="F1123" i="3"/>
  <c r="E1123" i="3"/>
  <c r="D1123" i="3"/>
  <c r="C1123" i="3"/>
  <c r="B1123" i="3"/>
  <c r="A1123" i="3"/>
  <c r="M1122" i="3"/>
  <c r="L1122" i="3"/>
  <c r="K1122" i="3"/>
  <c r="J1122" i="3"/>
  <c r="I1122" i="3"/>
  <c r="H1122" i="3"/>
  <c r="G1122" i="3"/>
  <c r="F1122" i="3"/>
  <c r="E1122" i="3"/>
  <c r="D1122" i="3"/>
  <c r="C1122" i="3"/>
  <c r="B1122" i="3"/>
  <c r="A1122" i="3"/>
  <c r="M1121" i="3"/>
  <c r="L1121" i="3"/>
  <c r="K1121" i="3"/>
  <c r="J1121" i="3"/>
  <c r="I1121" i="3"/>
  <c r="H1121" i="3"/>
  <c r="G1121" i="3"/>
  <c r="F1121" i="3"/>
  <c r="E1121" i="3"/>
  <c r="D1121" i="3"/>
  <c r="C1121" i="3"/>
  <c r="B1121" i="3"/>
  <c r="A1121" i="3"/>
  <c r="M1120" i="3"/>
  <c r="L1120" i="3"/>
  <c r="K1120" i="3"/>
  <c r="J1120" i="3"/>
  <c r="I1120" i="3"/>
  <c r="H1120" i="3"/>
  <c r="G1120" i="3"/>
  <c r="F1120" i="3"/>
  <c r="E1120" i="3"/>
  <c r="D1120" i="3"/>
  <c r="C1120" i="3"/>
  <c r="B1120" i="3"/>
  <c r="A1120" i="3"/>
  <c r="M1119" i="3"/>
  <c r="L1119" i="3"/>
  <c r="K1119" i="3"/>
  <c r="J1119" i="3"/>
  <c r="I1119" i="3"/>
  <c r="H1119" i="3"/>
  <c r="G1119" i="3"/>
  <c r="F1119" i="3"/>
  <c r="E1119" i="3"/>
  <c r="D1119" i="3"/>
  <c r="C1119" i="3"/>
  <c r="B1119" i="3"/>
  <c r="A1119" i="3"/>
  <c r="M1118" i="3"/>
  <c r="L1118" i="3"/>
  <c r="K1118" i="3"/>
  <c r="J1118" i="3"/>
  <c r="I1118" i="3"/>
  <c r="H1118" i="3"/>
  <c r="G1118" i="3"/>
  <c r="F1118" i="3"/>
  <c r="E1118" i="3"/>
  <c r="D1118" i="3"/>
  <c r="C1118" i="3"/>
  <c r="B1118" i="3"/>
  <c r="A1118" i="3"/>
  <c r="M1117" i="3"/>
  <c r="L1117" i="3"/>
  <c r="K1117" i="3"/>
  <c r="J1117" i="3"/>
  <c r="I1117" i="3"/>
  <c r="H1117" i="3"/>
  <c r="G1117" i="3"/>
  <c r="F1117" i="3"/>
  <c r="E1117" i="3"/>
  <c r="D1117" i="3"/>
  <c r="C1117" i="3"/>
  <c r="B1117" i="3"/>
  <c r="A1117" i="3"/>
  <c r="M1116" i="3"/>
  <c r="L1116" i="3"/>
  <c r="K1116" i="3"/>
  <c r="J1116" i="3"/>
  <c r="I1116" i="3"/>
  <c r="H1116" i="3"/>
  <c r="G1116" i="3"/>
  <c r="F1116" i="3"/>
  <c r="E1116" i="3"/>
  <c r="D1116" i="3"/>
  <c r="C1116" i="3"/>
  <c r="B1116" i="3"/>
  <c r="A1116" i="3"/>
  <c r="M1115" i="3"/>
  <c r="L1115" i="3"/>
  <c r="K1115" i="3"/>
  <c r="J1115" i="3"/>
  <c r="I1115" i="3"/>
  <c r="H1115" i="3"/>
  <c r="G1115" i="3"/>
  <c r="F1115" i="3"/>
  <c r="E1115" i="3"/>
  <c r="D1115" i="3"/>
  <c r="C1115" i="3"/>
  <c r="B1115" i="3"/>
  <c r="A1115" i="3"/>
  <c r="M1114" i="3"/>
  <c r="L1114" i="3"/>
  <c r="K1114" i="3"/>
  <c r="J1114" i="3"/>
  <c r="I1114" i="3"/>
  <c r="H1114" i="3"/>
  <c r="G1114" i="3"/>
  <c r="F1114" i="3"/>
  <c r="E1114" i="3"/>
  <c r="D1114" i="3"/>
  <c r="C1114" i="3"/>
  <c r="B1114" i="3"/>
  <c r="A1114" i="3"/>
  <c r="M1113" i="3"/>
  <c r="L1113" i="3"/>
  <c r="K1113" i="3"/>
  <c r="J1113" i="3"/>
  <c r="I1113" i="3"/>
  <c r="H1113" i="3"/>
  <c r="G1113" i="3"/>
  <c r="F1113" i="3"/>
  <c r="E1113" i="3"/>
  <c r="D1113" i="3"/>
  <c r="C1113" i="3"/>
  <c r="B1113" i="3"/>
  <c r="A1113" i="3"/>
  <c r="M1112" i="3"/>
  <c r="L1112" i="3"/>
  <c r="K1112" i="3"/>
  <c r="J1112" i="3"/>
  <c r="I1112" i="3"/>
  <c r="H1112" i="3"/>
  <c r="G1112" i="3"/>
  <c r="F1112" i="3"/>
  <c r="E1112" i="3"/>
  <c r="D1112" i="3"/>
  <c r="C1112" i="3"/>
  <c r="B1112" i="3"/>
  <c r="A1112" i="3"/>
  <c r="M1111" i="3"/>
  <c r="L1111" i="3"/>
  <c r="K1111" i="3"/>
  <c r="J1111" i="3"/>
  <c r="I1111" i="3"/>
  <c r="H1111" i="3"/>
  <c r="G1111" i="3"/>
  <c r="F1111" i="3"/>
  <c r="E1111" i="3"/>
  <c r="D1111" i="3"/>
  <c r="C1111" i="3"/>
  <c r="B1111" i="3"/>
  <c r="A1111" i="3"/>
  <c r="M1110" i="3"/>
  <c r="L1110" i="3"/>
  <c r="K1110" i="3"/>
  <c r="J1110" i="3"/>
  <c r="I1110" i="3"/>
  <c r="H1110" i="3"/>
  <c r="G1110" i="3"/>
  <c r="F1110" i="3"/>
  <c r="E1110" i="3"/>
  <c r="D1110" i="3"/>
  <c r="C1110" i="3"/>
  <c r="B1110" i="3"/>
  <c r="A1110" i="3"/>
  <c r="M1109" i="3"/>
  <c r="L1109" i="3"/>
  <c r="K1109" i="3"/>
  <c r="J1109" i="3"/>
  <c r="I1109" i="3"/>
  <c r="H1109" i="3"/>
  <c r="G1109" i="3"/>
  <c r="F1109" i="3"/>
  <c r="E1109" i="3"/>
  <c r="D1109" i="3"/>
  <c r="C1109" i="3"/>
  <c r="B1109" i="3"/>
  <c r="A1109" i="3"/>
  <c r="M1108" i="3"/>
  <c r="L1108" i="3"/>
  <c r="K1108" i="3"/>
  <c r="J1108" i="3"/>
  <c r="I1108" i="3"/>
  <c r="H1108" i="3"/>
  <c r="G1108" i="3"/>
  <c r="F1108" i="3"/>
  <c r="E1108" i="3"/>
  <c r="D1108" i="3"/>
  <c r="C1108" i="3"/>
  <c r="B1108" i="3"/>
  <c r="A1108" i="3"/>
  <c r="M1107" i="3"/>
  <c r="L1107" i="3"/>
  <c r="K1107" i="3"/>
  <c r="J1107" i="3"/>
  <c r="I1107" i="3"/>
  <c r="H1107" i="3"/>
  <c r="G1107" i="3"/>
  <c r="F1107" i="3"/>
  <c r="E1107" i="3"/>
  <c r="D1107" i="3"/>
  <c r="C1107" i="3"/>
  <c r="B1107" i="3"/>
  <c r="A1107" i="3"/>
  <c r="M1106" i="3"/>
  <c r="L1106" i="3"/>
  <c r="K1106" i="3"/>
  <c r="J1106" i="3"/>
  <c r="I1106" i="3"/>
  <c r="H1106" i="3"/>
  <c r="G1106" i="3"/>
  <c r="F1106" i="3"/>
  <c r="E1106" i="3"/>
  <c r="D1106" i="3"/>
  <c r="C1106" i="3"/>
  <c r="B1106" i="3"/>
  <c r="A1106" i="3"/>
  <c r="M1105" i="3"/>
  <c r="L1105" i="3"/>
  <c r="K1105" i="3"/>
  <c r="J1105" i="3"/>
  <c r="I1105" i="3"/>
  <c r="H1105" i="3"/>
  <c r="G1105" i="3"/>
  <c r="F1105" i="3"/>
  <c r="E1105" i="3"/>
  <c r="D1105" i="3"/>
  <c r="C1105" i="3"/>
  <c r="B1105" i="3"/>
  <c r="A1105" i="3"/>
  <c r="M1104" i="3"/>
  <c r="L1104" i="3"/>
  <c r="K1104" i="3"/>
  <c r="J1104" i="3"/>
  <c r="I1104" i="3"/>
  <c r="H1104" i="3"/>
  <c r="G1104" i="3"/>
  <c r="F1104" i="3"/>
  <c r="E1104" i="3"/>
  <c r="D1104" i="3"/>
  <c r="C1104" i="3"/>
  <c r="B1104" i="3"/>
  <c r="A1104" i="3"/>
  <c r="M1103" i="3"/>
  <c r="L1103" i="3"/>
  <c r="K1103" i="3"/>
  <c r="J1103" i="3"/>
  <c r="I1103" i="3"/>
  <c r="H1103" i="3"/>
  <c r="G1103" i="3"/>
  <c r="F1103" i="3"/>
  <c r="E1103" i="3"/>
  <c r="D1103" i="3"/>
  <c r="C1103" i="3"/>
  <c r="B1103" i="3"/>
  <c r="A1103" i="3"/>
  <c r="M1102" i="3"/>
  <c r="L1102" i="3"/>
  <c r="K1102" i="3"/>
  <c r="J1102" i="3"/>
  <c r="I1102" i="3"/>
  <c r="H1102" i="3"/>
  <c r="G1102" i="3"/>
  <c r="F1102" i="3"/>
  <c r="E1102" i="3"/>
  <c r="D1102" i="3"/>
  <c r="C1102" i="3"/>
  <c r="B1102" i="3"/>
  <c r="A1102" i="3"/>
  <c r="M1101" i="3"/>
  <c r="L1101" i="3"/>
  <c r="K1101" i="3"/>
  <c r="J1101" i="3"/>
  <c r="I1101" i="3"/>
  <c r="H1101" i="3"/>
  <c r="G1101" i="3"/>
  <c r="F1101" i="3"/>
  <c r="E1101" i="3"/>
  <c r="D1101" i="3"/>
  <c r="C1101" i="3"/>
  <c r="B1101" i="3"/>
  <c r="A1101" i="3"/>
  <c r="M1100" i="3"/>
  <c r="L1100" i="3"/>
  <c r="K1100" i="3"/>
  <c r="J1100" i="3"/>
  <c r="I1100" i="3"/>
  <c r="H1100" i="3"/>
  <c r="G1100" i="3"/>
  <c r="F1100" i="3"/>
  <c r="E1100" i="3"/>
  <c r="D1100" i="3"/>
  <c r="C1100" i="3"/>
  <c r="B1100" i="3"/>
  <c r="A1100" i="3"/>
  <c r="M1099" i="3"/>
  <c r="L1099" i="3"/>
  <c r="K1099" i="3"/>
  <c r="J1099" i="3"/>
  <c r="I1099" i="3"/>
  <c r="H1099" i="3"/>
  <c r="G1099" i="3"/>
  <c r="F1099" i="3"/>
  <c r="E1099" i="3"/>
  <c r="D1099" i="3"/>
  <c r="C1099" i="3"/>
  <c r="B1099" i="3"/>
  <c r="A1099" i="3"/>
  <c r="M1098" i="3"/>
  <c r="L1098" i="3"/>
  <c r="K1098" i="3"/>
  <c r="J1098" i="3"/>
  <c r="I1098" i="3"/>
  <c r="H1098" i="3"/>
  <c r="G1098" i="3"/>
  <c r="F1098" i="3"/>
  <c r="E1098" i="3"/>
  <c r="D1098" i="3"/>
  <c r="C1098" i="3"/>
  <c r="B1098" i="3"/>
  <c r="A1098" i="3"/>
  <c r="M1097" i="3"/>
  <c r="L1097" i="3"/>
  <c r="K1097" i="3"/>
  <c r="J1097" i="3"/>
  <c r="I1097" i="3"/>
  <c r="H1097" i="3"/>
  <c r="G1097" i="3"/>
  <c r="F1097" i="3"/>
  <c r="E1097" i="3"/>
  <c r="D1097" i="3"/>
  <c r="C1097" i="3"/>
  <c r="B1097" i="3"/>
  <c r="A1097" i="3"/>
  <c r="M1096" i="3"/>
  <c r="L1096" i="3"/>
  <c r="K1096" i="3"/>
  <c r="J1096" i="3"/>
  <c r="I1096" i="3"/>
  <c r="H1096" i="3"/>
  <c r="G1096" i="3"/>
  <c r="F1096" i="3"/>
  <c r="E1096" i="3"/>
  <c r="D1096" i="3"/>
  <c r="C1096" i="3"/>
  <c r="B1096" i="3"/>
  <c r="A1096" i="3"/>
  <c r="M1095" i="3"/>
  <c r="L1095" i="3"/>
  <c r="K1095" i="3"/>
  <c r="J1095" i="3"/>
  <c r="I1095" i="3"/>
  <c r="H1095" i="3"/>
  <c r="G1095" i="3"/>
  <c r="F1095" i="3"/>
  <c r="E1095" i="3"/>
  <c r="D1095" i="3"/>
  <c r="C1095" i="3"/>
  <c r="B1095" i="3"/>
  <c r="A1095" i="3"/>
  <c r="M1094" i="3"/>
  <c r="L1094" i="3"/>
  <c r="K1094" i="3"/>
  <c r="J1094" i="3"/>
  <c r="I1094" i="3"/>
  <c r="H1094" i="3"/>
  <c r="G1094" i="3"/>
  <c r="F1094" i="3"/>
  <c r="E1094" i="3"/>
  <c r="D1094" i="3"/>
  <c r="C1094" i="3"/>
  <c r="B1094" i="3"/>
  <c r="A1094" i="3"/>
  <c r="M1093" i="3"/>
  <c r="L1093" i="3"/>
  <c r="K1093" i="3"/>
  <c r="J1093" i="3"/>
  <c r="I1093" i="3"/>
  <c r="H1093" i="3"/>
  <c r="G1093" i="3"/>
  <c r="F1093" i="3"/>
  <c r="E1093" i="3"/>
  <c r="D1093" i="3"/>
  <c r="C1093" i="3"/>
  <c r="B1093" i="3"/>
  <c r="A1093" i="3"/>
  <c r="M1092" i="3"/>
  <c r="L1092" i="3"/>
  <c r="K1092" i="3"/>
  <c r="J1092" i="3"/>
  <c r="I1092" i="3"/>
  <c r="H1092" i="3"/>
  <c r="G1092" i="3"/>
  <c r="F1092" i="3"/>
  <c r="E1092" i="3"/>
  <c r="D1092" i="3"/>
  <c r="C1092" i="3"/>
  <c r="B1092" i="3"/>
  <c r="A1092" i="3"/>
  <c r="M1091" i="3"/>
  <c r="L1091" i="3"/>
  <c r="K1091" i="3"/>
  <c r="J1091" i="3"/>
  <c r="I1091" i="3"/>
  <c r="H1091" i="3"/>
  <c r="G1091" i="3"/>
  <c r="F1091" i="3"/>
  <c r="E1091" i="3"/>
  <c r="D1091" i="3"/>
  <c r="C1091" i="3"/>
  <c r="B1091" i="3"/>
  <c r="A1091" i="3"/>
  <c r="M1090" i="3"/>
  <c r="L1090" i="3"/>
  <c r="K1090" i="3"/>
  <c r="J1090" i="3"/>
  <c r="I1090" i="3"/>
  <c r="H1090" i="3"/>
  <c r="G1090" i="3"/>
  <c r="F1090" i="3"/>
  <c r="E1090" i="3"/>
  <c r="D1090" i="3"/>
  <c r="C1090" i="3"/>
  <c r="B1090" i="3"/>
  <c r="A1090" i="3"/>
  <c r="M1089" i="3"/>
  <c r="L1089" i="3"/>
  <c r="K1089" i="3"/>
  <c r="J1089" i="3"/>
  <c r="I1089" i="3"/>
  <c r="H1089" i="3"/>
  <c r="G1089" i="3"/>
  <c r="F1089" i="3"/>
  <c r="E1089" i="3"/>
  <c r="D1089" i="3"/>
  <c r="C1089" i="3"/>
  <c r="B1089" i="3"/>
  <c r="A1089" i="3"/>
  <c r="M1088" i="3"/>
  <c r="L1088" i="3"/>
  <c r="K1088" i="3"/>
  <c r="J1088" i="3"/>
  <c r="I1088" i="3"/>
  <c r="H1088" i="3"/>
  <c r="G1088" i="3"/>
  <c r="F1088" i="3"/>
  <c r="E1088" i="3"/>
  <c r="D1088" i="3"/>
  <c r="C1088" i="3"/>
  <c r="B1088" i="3"/>
  <c r="A1088" i="3"/>
  <c r="M1087" i="3"/>
  <c r="L1087" i="3"/>
  <c r="K1087" i="3"/>
  <c r="J1087" i="3"/>
  <c r="I1087" i="3"/>
  <c r="H1087" i="3"/>
  <c r="G1087" i="3"/>
  <c r="F1087" i="3"/>
  <c r="E1087" i="3"/>
  <c r="D1087" i="3"/>
  <c r="C1087" i="3"/>
  <c r="B1087" i="3"/>
  <c r="A1087" i="3"/>
  <c r="M1086" i="3"/>
  <c r="L1086" i="3"/>
  <c r="K1086" i="3"/>
  <c r="J1086" i="3"/>
  <c r="I1086" i="3"/>
  <c r="H1086" i="3"/>
  <c r="G1086" i="3"/>
  <c r="F1086" i="3"/>
  <c r="E1086" i="3"/>
  <c r="D1086" i="3"/>
  <c r="C1086" i="3"/>
  <c r="B1086" i="3"/>
  <c r="A1086" i="3"/>
  <c r="M1085" i="3"/>
  <c r="L1085" i="3"/>
  <c r="K1085" i="3"/>
  <c r="J1085" i="3"/>
  <c r="I1085" i="3"/>
  <c r="H1085" i="3"/>
  <c r="G1085" i="3"/>
  <c r="F1085" i="3"/>
  <c r="E1085" i="3"/>
  <c r="D1085" i="3"/>
  <c r="C1085" i="3"/>
  <c r="B1085" i="3"/>
  <c r="A1085" i="3"/>
  <c r="M1084" i="3"/>
  <c r="L1084" i="3"/>
  <c r="K1084" i="3"/>
  <c r="J1084" i="3"/>
  <c r="I1084" i="3"/>
  <c r="H1084" i="3"/>
  <c r="G1084" i="3"/>
  <c r="F1084" i="3"/>
  <c r="E1084" i="3"/>
  <c r="D1084" i="3"/>
  <c r="C1084" i="3"/>
  <c r="B1084" i="3"/>
  <c r="A1084" i="3"/>
  <c r="M1083" i="3"/>
  <c r="L1083" i="3"/>
  <c r="K1083" i="3"/>
  <c r="J1083" i="3"/>
  <c r="I1083" i="3"/>
  <c r="H1083" i="3"/>
  <c r="G1083" i="3"/>
  <c r="F1083" i="3"/>
  <c r="E1083" i="3"/>
  <c r="D1083" i="3"/>
  <c r="C1083" i="3"/>
  <c r="B1083" i="3"/>
  <c r="A1083" i="3"/>
  <c r="M1082" i="3"/>
  <c r="L1082" i="3"/>
  <c r="K1082" i="3"/>
  <c r="J1082" i="3"/>
  <c r="I1082" i="3"/>
  <c r="H1082" i="3"/>
  <c r="G1082" i="3"/>
  <c r="F1082" i="3"/>
  <c r="E1082" i="3"/>
  <c r="D1082" i="3"/>
  <c r="C1082" i="3"/>
  <c r="B1082" i="3"/>
  <c r="A1082" i="3"/>
  <c r="M1081" i="3"/>
  <c r="L1081" i="3"/>
  <c r="K1081" i="3"/>
  <c r="J1081" i="3"/>
  <c r="I1081" i="3"/>
  <c r="H1081" i="3"/>
  <c r="G1081" i="3"/>
  <c r="F1081" i="3"/>
  <c r="E1081" i="3"/>
  <c r="D1081" i="3"/>
  <c r="C1081" i="3"/>
  <c r="B1081" i="3"/>
  <c r="A1081" i="3"/>
  <c r="M1080" i="3"/>
  <c r="L1080" i="3"/>
  <c r="K1080" i="3"/>
  <c r="J1080" i="3"/>
  <c r="I1080" i="3"/>
  <c r="H1080" i="3"/>
  <c r="G1080" i="3"/>
  <c r="F1080" i="3"/>
  <c r="E1080" i="3"/>
  <c r="D1080" i="3"/>
  <c r="C1080" i="3"/>
  <c r="B1080" i="3"/>
  <c r="A1080" i="3"/>
  <c r="M1079" i="3"/>
  <c r="L1079" i="3"/>
  <c r="K1079" i="3"/>
  <c r="J1079" i="3"/>
  <c r="I1079" i="3"/>
  <c r="H1079" i="3"/>
  <c r="G1079" i="3"/>
  <c r="F1079" i="3"/>
  <c r="E1079" i="3"/>
  <c r="D1079" i="3"/>
  <c r="C1079" i="3"/>
  <c r="B1079" i="3"/>
  <c r="A1079" i="3"/>
  <c r="M1078" i="3"/>
  <c r="L1078" i="3"/>
  <c r="K1078" i="3"/>
  <c r="J1078" i="3"/>
  <c r="I1078" i="3"/>
  <c r="H1078" i="3"/>
  <c r="G1078" i="3"/>
  <c r="F1078" i="3"/>
  <c r="E1078" i="3"/>
  <c r="D1078" i="3"/>
  <c r="C1078" i="3"/>
  <c r="B1078" i="3"/>
  <c r="A1078" i="3"/>
  <c r="M1077" i="3"/>
  <c r="L1077" i="3"/>
  <c r="K1077" i="3"/>
  <c r="J1077" i="3"/>
  <c r="I1077" i="3"/>
  <c r="H1077" i="3"/>
  <c r="G1077" i="3"/>
  <c r="F1077" i="3"/>
  <c r="E1077" i="3"/>
  <c r="D1077" i="3"/>
  <c r="C1077" i="3"/>
  <c r="B1077" i="3"/>
  <c r="A1077" i="3"/>
  <c r="M1076" i="3"/>
  <c r="L1076" i="3"/>
  <c r="K1076" i="3"/>
  <c r="J1076" i="3"/>
  <c r="I1076" i="3"/>
  <c r="H1076" i="3"/>
  <c r="G1076" i="3"/>
  <c r="F1076" i="3"/>
  <c r="E1076" i="3"/>
  <c r="D1076" i="3"/>
  <c r="C1076" i="3"/>
  <c r="B1076" i="3"/>
  <c r="A1076" i="3"/>
  <c r="M1075" i="3"/>
  <c r="L1075" i="3"/>
  <c r="K1075" i="3"/>
  <c r="J1075" i="3"/>
  <c r="I1075" i="3"/>
  <c r="H1075" i="3"/>
  <c r="G1075" i="3"/>
  <c r="F1075" i="3"/>
  <c r="E1075" i="3"/>
  <c r="D1075" i="3"/>
  <c r="C1075" i="3"/>
  <c r="B1075" i="3"/>
  <c r="A1075" i="3"/>
  <c r="M1074" i="3"/>
  <c r="L1074" i="3"/>
  <c r="K1074" i="3"/>
  <c r="J1074" i="3"/>
  <c r="I1074" i="3"/>
  <c r="H1074" i="3"/>
  <c r="G1074" i="3"/>
  <c r="F1074" i="3"/>
  <c r="E1074" i="3"/>
  <c r="D1074" i="3"/>
  <c r="C1074" i="3"/>
  <c r="B1074" i="3"/>
  <c r="A1074" i="3"/>
  <c r="M1073" i="3"/>
  <c r="L1073" i="3"/>
  <c r="K1073" i="3"/>
  <c r="J1073" i="3"/>
  <c r="I1073" i="3"/>
  <c r="H1073" i="3"/>
  <c r="G1073" i="3"/>
  <c r="F1073" i="3"/>
  <c r="E1073" i="3"/>
  <c r="D1073" i="3"/>
  <c r="C1073" i="3"/>
  <c r="B1073" i="3"/>
  <c r="A1073" i="3"/>
  <c r="M1072" i="3"/>
  <c r="L1072" i="3"/>
  <c r="K1072" i="3"/>
  <c r="J1072" i="3"/>
  <c r="I1072" i="3"/>
  <c r="H1072" i="3"/>
  <c r="G1072" i="3"/>
  <c r="F1072" i="3"/>
  <c r="E1072" i="3"/>
  <c r="D1072" i="3"/>
  <c r="C1072" i="3"/>
  <c r="B1072" i="3"/>
  <c r="A1072" i="3"/>
  <c r="M1071" i="3"/>
  <c r="L1071" i="3"/>
  <c r="K1071" i="3"/>
  <c r="J1071" i="3"/>
  <c r="I1071" i="3"/>
  <c r="H1071" i="3"/>
  <c r="G1071" i="3"/>
  <c r="F1071" i="3"/>
  <c r="E1071" i="3"/>
  <c r="D1071" i="3"/>
  <c r="C1071" i="3"/>
  <c r="B1071" i="3"/>
  <c r="A1071" i="3"/>
  <c r="M1070" i="3"/>
  <c r="L1070" i="3"/>
  <c r="K1070" i="3"/>
  <c r="J1070" i="3"/>
  <c r="I1070" i="3"/>
  <c r="H1070" i="3"/>
  <c r="G1070" i="3"/>
  <c r="F1070" i="3"/>
  <c r="E1070" i="3"/>
  <c r="D1070" i="3"/>
  <c r="C1070" i="3"/>
  <c r="B1070" i="3"/>
  <c r="A1070" i="3"/>
  <c r="M1069" i="3"/>
  <c r="L1069" i="3"/>
  <c r="K1069" i="3"/>
  <c r="J1069" i="3"/>
  <c r="I1069" i="3"/>
  <c r="H1069" i="3"/>
  <c r="G1069" i="3"/>
  <c r="F1069" i="3"/>
  <c r="E1069" i="3"/>
  <c r="D1069" i="3"/>
  <c r="C1069" i="3"/>
  <c r="B1069" i="3"/>
  <c r="A1069" i="3"/>
  <c r="M1068" i="3"/>
  <c r="L1068" i="3"/>
  <c r="K1068" i="3"/>
  <c r="J1068" i="3"/>
  <c r="I1068" i="3"/>
  <c r="H1068" i="3"/>
  <c r="G1068" i="3"/>
  <c r="F1068" i="3"/>
  <c r="E1068" i="3"/>
  <c r="D1068" i="3"/>
  <c r="C1068" i="3"/>
  <c r="B1068" i="3"/>
  <c r="A1068" i="3"/>
  <c r="M1067" i="3"/>
  <c r="L1067" i="3"/>
  <c r="K1067" i="3"/>
  <c r="J1067" i="3"/>
  <c r="I1067" i="3"/>
  <c r="H1067" i="3"/>
  <c r="G1067" i="3"/>
  <c r="F1067" i="3"/>
  <c r="E1067" i="3"/>
  <c r="D1067" i="3"/>
  <c r="C1067" i="3"/>
  <c r="B1067" i="3"/>
  <c r="A1067" i="3"/>
  <c r="M1066" i="3"/>
  <c r="L1066" i="3"/>
  <c r="K1066" i="3"/>
  <c r="J1066" i="3"/>
  <c r="I1066" i="3"/>
  <c r="H1066" i="3"/>
  <c r="G1066" i="3"/>
  <c r="F1066" i="3"/>
  <c r="E1066" i="3"/>
  <c r="D1066" i="3"/>
  <c r="C1066" i="3"/>
  <c r="B1066" i="3"/>
  <c r="A1066" i="3"/>
  <c r="M1065" i="3"/>
  <c r="L1065" i="3"/>
  <c r="K1065" i="3"/>
  <c r="J1065" i="3"/>
  <c r="I1065" i="3"/>
  <c r="H1065" i="3"/>
  <c r="G1065" i="3"/>
  <c r="F1065" i="3"/>
  <c r="E1065" i="3"/>
  <c r="D1065" i="3"/>
  <c r="C1065" i="3"/>
  <c r="B1065" i="3"/>
  <c r="A1065" i="3"/>
  <c r="M1064" i="3"/>
  <c r="L1064" i="3"/>
  <c r="K1064" i="3"/>
  <c r="J1064" i="3"/>
  <c r="I1064" i="3"/>
  <c r="H1064" i="3"/>
  <c r="G1064" i="3"/>
  <c r="F1064" i="3"/>
  <c r="E1064" i="3"/>
  <c r="D1064" i="3"/>
  <c r="C1064" i="3"/>
  <c r="B1064" i="3"/>
  <c r="A1064" i="3"/>
  <c r="M1063" i="3"/>
  <c r="L1063" i="3"/>
  <c r="K1063" i="3"/>
  <c r="J1063" i="3"/>
  <c r="I1063" i="3"/>
  <c r="H1063" i="3"/>
  <c r="G1063" i="3"/>
  <c r="F1063" i="3"/>
  <c r="E1063" i="3"/>
  <c r="D1063" i="3"/>
  <c r="C1063" i="3"/>
  <c r="B1063" i="3"/>
  <c r="A1063" i="3"/>
  <c r="M1062" i="3"/>
  <c r="L1062" i="3"/>
  <c r="K1062" i="3"/>
  <c r="J1062" i="3"/>
  <c r="I1062" i="3"/>
  <c r="H1062" i="3"/>
  <c r="G1062" i="3"/>
  <c r="F1062" i="3"/>
  <c r="E1062" i="3"/>
  <c r="D1062" i="3"/>
  <c r="C1062" i="3"/>
  <c r="B1062" i="3"/>
  <c r="A1062" i="3"/>
  <c r="M1061" i="3"/>
  <c r="L1061" i="3"/>
  <c r="K1061" i="3"/>
  <c r="J1061" i="3"/>
  <c r="I1061" i="3"/>
  <c r="H1061" i="3"/>
  <c r="G1061" i="3"/>
  <c r="F1061" i="3"/>
  <c r="E1061" i="3"/>
  <c r="D1061" i="3"/>
  <c r="C1061" i="3"/>
  <c r="B1061" i="3"/>
  <c r="A1061" i="3"/>
  <c r="M1060" i="3"/>
  <c r="L1060" i="3"/>
  <c r="K1060" i="3"/>
  <c r="J1060" i="3"/>
  <c r="I1060" i="3"/>
  <c r="H1060" i="3"/>
  <c r="G1060" i="3"/>
  <c r="F1060" i="3"/>
  <c r="E1060" i="3"/>
  <c r="D1060" i="3"/>
  <c r="C1060" i="3"/>
  <c r="B1060" i="3"/>
  <c r="A1060" i="3"/>
  <c r="M1059" i="3"/>
  <c r="L1059" i="3"/>
  <c r="K1059" i="3"/>
  <c r="J1059" i="3"/>
  <c r="I1059" i="3"/>
  <c r="H1059" i="3"/>
  <c r="G1059" i="3"/>
  <c r="F1059" i="3"/>
  <c r="E1059" i="3"/>
  <c r="D1059" i="3"/>
  <c r="C1059" i="3"/>
  <c r="B1059" i="3"/>
  <c r="A1059" i="3"/>
  <c r="M1058" i="3"/>
  <c r="L1058" i="3"/>
  <c r="K1058" i="3"/>
  <c r="J1058" i="3"/>
  <c r="I1058" i="3"/>
  <c r="H1058" i="3"/>
  <c r="G1058" i="3"/>
  <c r="F1058" i="3"/>
  <c r="E1058" i="3"/>
  <c r="D1058" i="3"/>
  <c r="C1058" i="3"/>
  <c r="B1058" i="3"/>
  <c r="A1058" i="3"/>
  <c r="M1057" i="3"/>
  <c r="L1057" i="3"/>
  <c r="K1057" i="3"/>
  <c r="J1057" i="3"/>
  <c r="I1057" i="3"/>
  <c r="H1057" i="3"/>
  <c r="G1057" i="3"/>
  <c r="F1057" i="3"/>
  <c r="E1057" i="3"/>
  <c r="D1057" i="3"/>
  <c r="C1057" i="3"/>
  <c r="B1057" i="3"/>
  <c r="A1057" i="3"/>
  <c r="M1056" i="3"/>
  <c r="L1056" i="3"/>
  <c r="K1056" i="3"/>
  <c r="J1056" i="3"/>
  <c r="I1056" i="3"/>
  <c r="H1056" i="3"/>
  <c r="G1056" i="3"/>
  <c r="F1056" i="3"/>
  <c r="E1056" i="3"/>
  <c r="D1056" i="3"/>
  <c r="C1056" i="3"/>
  <c r="B1056" i="3"/>
  <c r="A1056" i="3"/>
  <c r="M1055" i="3"/>
  <c r="L1055" i="3"/>
  <c r="K1055" i="3"/>
  <c r="J1055" i="3"/>
  <c r="I1055" i="3"/>
  <c r="H1055" i="3"/>
  <c r="G1055" i="3"/>
  <c r="F1055" i="3"/>
  <c r="E1055" i="3"/>
  <c r="D1055" i="3"/>
  <c r="C1055" i="3"/>
  <c r="B1055" i="3"/>
  <c r="A1055" i="3"/>
  <c r="M1054" i="3"/>
  <c r="L1054" i="3"/>
  <c r="K1054" i="3"/>
  <c r="J1054" i="3"/>
  <c r="I1054" i="3"/>
  <c r="H1054" i="3"/>
  <c r="G1054" i="3"/>
  <c r="F1054" i="3"/>
  <c r="E1054" i="3"/>
  <c r="D1054" i="3"/>
  <c r="C1054" i="3"/>
  <c r="B1054" i="3"/>
  <c r="A1054" i="3"/>
  <c r="M1053" i="3"/>
  <c r="L1053" i="3"/>
  <c r="K1053" i="3"/>
  <c r="J1053" i="3"/>
  <c r="I1053" i="3"/>
  <c r="H1053" i="3"/>
  <c r="G1053" i="3"/>
  <c r="F1053" i="3"/>
  <c r="E1053" i="3"/>
  <c r="D1053" i="3"/>
  <c r="C1053" i="3"/>
  <c r="B1053" i="3"/>
  <c r="A1053" i="3"/>
  <c r="M1052" i="3"/>
  <c r="L1052" i="3"/>
  <c r="K1052" i="3"/>
  <c r="J1052" i="3"/>
  <c r="I1052" i="3"/>
  <c r="H1052" i="3"/>
  <c r="G1052" i="3"/>
  <c r="F1052" i="3"/>
  <c r="E1052" i="3"/>
  <c r="D1052" i="3"/>
  <c r="C1052" i="3"/>
  <c r="B1052" i="3"/>
  <c r="A1052" i="3"/>
  <c r="M1051" i="3"/>
  <c r="L1051" i="3"/>
  <c r="K1051" i="3"/>
  <c r="J1051" i="3"/>
  <c r="I1051" i="3"/>
  <c r="H1051" i="3"/>
  <c r="G1051" i="3"/>
  <c r="F1051" i="3"/>
  <c r="E1051" i="3"/>
  <c r="D1051" i="3"/>
  <c r="C1051" i="3"/>
  <c r="B1051" i="3"/>
  <c r="A1051" i="3"/>
  <c r="M1050" i="3"/>
  <c r="L1050" i="3"/>
  <c r="K1050" i="3"/>
  <c r="J1050" i="3"/>
  <c r="I1050" i="3"/>
  <c r="H1050" i="3"/>
  <c r="G1050" i="3"/>
  <c r="F1050" i="3"/>
  <c r="E1050" i="3"/>
  <c r="D1050" i="3"/>
  <c r="C1050" i="3"/>
  <c r="B1050" i="3"/>
  <c r="A1050" i="3"/>
  <c r="M1049" i="3"/>
  <c r="L1049" i="3"/>
  <c r="K1049" i="3"/>
  <c r="J1049" i="3"/>
  <c r="I1049" i="3"/>
  <c r="H1049" i="3"/>
  <c r="G1049" i="3"/>
  <c r="F1049" i="3"/>
  <c r="E1049" i="3"/>
  <c r="D1049" i="3"/>
  <c r="C1049" i="3"/>
  <c r="B1049" i="3"/>
  <c r="A1049" i="3"/>
  <c r="M1048" i="3"/>
  <c r="L1048" i="3"/>
  <c r="K1048" i="3"/>
  <c r="J1048" i="3"/>
  <c r="I1048" i="3"/>
  <c r="H1048" i="3"/>
  <c r="G1048" i="3"/>
  <c r="F1048" i="3"/>
  <c r="E1048" i="3"/>
  <c r="D1048" i="3"/>
  <c r="C1048" i="3"/>
  <c r="B1048" i="3"/>
  <c r="A1048" i="3"/>
  <c r="M1047" i="3"/>
  <c r="L1047" i="3"/>
  <c r="K1047" i="3"/>
  <c r="J1047" i="3"/>
  <c r="I1047" i="3"/>
  <c r="H1047" i="3"/>
  <c r="G1047" i="3"/>
  <c r="F1047" i="3"/>
  <c r="E1047" i="3"/>
  <c r="D1047" i="3"/>
  <c r="C1047" i="3"/>
  <c r="B1047" i="3"/>
  <c r="A1047" i="3"/>
  <c r="M1046" i="3"/>
  <c r="L1046" i="3"/>
  <c r="K1046" i="3"/>
  <c r="J1046" i="3"/>
  <c r="I1046" i="3"/>
  <c r="H1046" i="3"/>
  <c r="G1046" i="3"/>
  <c r="F1046" i="3"/>
  <c r="E1046" i="3"/>
  <c r="D1046" i="3"/>
  <c r="C1046" i="3"/>
  <c r="B1046" i="3"/>
  <c r="A1046" i="3"/>
  <c r="M1045" i="3"/>
  <c r="L1045" i="3"/>
  <c r="K1045" i="3"/>
  <c r="J1045" i="3"/>
  <c r="I1045" i="3"/>
  <c r="H1045" i="3"/>
  <c r="G1045" i="3"/>
  <c r="F1045" i="3"/>
  <c r="E1045" i="3"/>
  <c r="D1045" i="3"/>
  <c r="C1045" i="3"/>
  <c r="B1045" i="3"/>
  <c r="A1045" i="3"/>
  <c r="M1044" i="3"/>
  <c r="L1044" i="3"/>
  <c r="K1044" i="3"/>
  <c r="J1044" i="3"/>
  <c r="I1044" i="3"/>
  <c r="H1044" i="3"/>
  <c r="G1044" i="3"/>
  <c r="F1044" i="3"/>
  <c r="E1044" i="3"/>
  <c r="D1044" i="3"/>
  <c r="C1044" i="3"/>
  <c r="B1044" i="3"/>
  <c r="A1044" i="3"/>
  <c r="M1043" i="3"/>
  <c r="L1043" i="3"/>
  <c r="K1043" i="3"/>
  <c r="J1043" i="3"/>
  <c r="I1043" i="3"/>
  <c r="H1043" i="3"/>
  <c r="G1043" i="3"/>
  <c r="F1043" i="3"/>
  <c r="E1043" i="3"/>
  <c r="D1043" i="3"/>
  <c r="C1043" i="3"/>
  <c r="B1043" i="3"/>
  <c r="A1043" i="3"/>
  <c r="M1042" i="3"/>
  <c r="L1042" i="3"/>
  <c r="K1042" i="3"/>
  <c r="J1042" i="3"/>
  <c r="I1042" i="3"/>
  <c r="H1042" i="3"/>
  <c r="G1042" i="3"/>
  <c r="F1042" i="3"/>
  <c r="E1042" i="3"/>
  <c r="D1042" i="3"/>
  <c r="C1042" i="3"/>
  <c r="B1042" i="3"/>
  <c r="A1042" i="3"/>
  <c r="M1041" i="3"/>
  <c r="L1041" i="3"/>
  <c r="K1041" i="3"/>
  <c r="J1041" i="3"/>
  <c r="I1041" i="3"/>
  <c r="H1041" i="3"/>
  <c r="G1041" i="3"/>
  <c r="F1041" i="3"/>
  <c r="E1041" i="3"/>
  <c r="D1041" i="3"/>
  <c r="C1041" i="3"/>
  <c r="B1041" i="3"/>
  <c r="A1041" i="3"/>
  <c r="M1040" i="3"/>
  <c r="L1040" i="3"/>
  <c r="K1040" i="3"/>
  <c r="J1040" i="3"/>
  <c r="I1040" i="3"/>
  <c r="H1040" i="3"/>
  <c r="G1040" i="3"/>
  <c r="F1040" i="3"/>
  <c r="E1040" i="3"/>
  <c r="D1040" i="3"/>
  <c r="C1040" i="3"/>
  <c r="B1040" i="3"/>
  <c r="A1040" i="3"/>
  <c r="M1039" i="3"/>
  <c r="L1039" i="3"/>
  <c r="K1039" i="3"/>
  <c r="J1039" i="3"/>
  <c r="I1039" i="3"/>
  <c r="H1039" i="3"/>
  <c r="G1039" i="3"/>
  <c r="F1039" i="3"/>
  <c r="E1039" i="3"/>
  <c r="D1039" i="3"/>
  <c r="C1039" i="3"/>
  <c r="B1039" i="3"/>
  <c r="A1039" i="3"/>
  <c r="M1038" i="3"/>
  <c r="L1038" i="3"/>
  <c r="K1038" i="3"/>
  <c r="J1038" i="3"/>
  <c r="I1038" i="3"/>
  <c r="H1038" i="3"/>
  <c r="G1038" i="3"/>
  <c r="F1038" i="3"/>
  <c r="E1038" i="3"/>
  <c r="D1038" i="3"/>
  <c r="C1038" i="3"/>
  <c r="B1038" i="3"/>
  <c r="A1038" i="3"/>
  <c r="M1037" i="3"/>
  <c r="L1037" i="3"/>
  <c r="K1037" i="3"/>
  <c r="J1037" i="3"/>
  <c r="I1037" i="3"/>
  <c r="H1037" i="3"/>
  <c r="G1037" i="3"/>
  <c r="F1037" i="3"/>
  <c r="E1037" i="3"/>
  <c r="D1037" i="3"/>
  <c r="C1037" i="3"/>
  <c r="B1037" i="3"/>
  <c r="A1037" i="3"/>
  <c r="M1036" i="3"/>
  <c r="L1036" i="3"/>
  <c r="K1036" i="3"/>
  <c r="J1036" i="3"/>
  <c r="I1036" i="3"/>
  <c r="H1036" i="3"/>
  <c r="G1036" i="3"/>
  <c r="F1036" i="3"/>
  <c r="E1036" i="3"/>
  <c r="D1036" i="3"/>
  <c r="C1036" i="3"/>
  <c r="B1036" i="3"/>
  <c r="A1036" i="3"/>
  <c r="M1035" i="3"/>
  <c r="L1035" i="3"/>
  <c r="K1035" i="3"/>
  <c r="J1035" i="3"/>
  <c r="I1035" i="3"/>
  <c r="H1035" i="3"/>
  <c r="G1035" i="3"/>
  <c r="F1035" i="3"/>
  <c r="E1035" i="3"/>
  <c r="D1035" i="3"/>
  <c r="C1035" i="3"/>
  <c r="B1035" i="3"/>
  <c r="A1035" i="3"/>
  <c r="M1034" i="3"/>
  <c r="L1034" i="3"/>
  <c r="K1034" i="3"/>
  <c r="J1034" i="3"/>
  <c r="I1034" i="3"/>
  <c r="H1034" i="3"/>
  <c r="G1034" i="3"/>
  <c r="F1034" i="3"/>
  <c r="E1034" i="3"/>
  <c r="D1034" i="3"/>
  <c r="C1034" i="3"/>
  <c r="B1034" i="3"/>
  <c r="A1034" i="3"/>
  <c r="M1033" i="3"/>
  <c r="L1033" i="3"/>
  <c r="K1033" i="3"/>
  <c r="J1033" i="3"/>
  <c r="I1033" i="3"/>
  <c r="H1033" i="3"/>
  <c r="G1033" i="3"/>
  <c r="F1033" i="3"/>
  <c r="E1033" i="3"/>
  <c r="D1033" i="3"/>
  <c r="C1033" i="3"/>
  <c r="B1033" i="3"/>
  <c r="A1033" i="3"/>
  <c r="M1032" i="3"/>
  <c r="L1032" i="3"/>
  <c r="K1032" i="3"/>
  <c r="J1032" i="3"/>
  <c r="I1032" i="3"/>
  <c r="H1032" i="3"/>
  <c r="G1032" i="3"/>
  <c r="F1032" i="3"/>
  <c r="E1032" i="3"/>
  <c r="D1032" i="3"/>
  <c r="C1032" i="3"/>
  <c r="B1032" i="3"/>
  <c r="A1032" i="3"/>
  <c r="M1031" i="3"/>
  <c r="L1031" i="3"/>
  <c r="K1031" i="3"/>
  <c r="J1031" i="3"/>
  <c r="I1031" i="3"/>
  <c r="H1031" i="3"/>
  <c r="G1031" i="3"/>
  <c r="F1031" i="3"/>
  <c r="E1031" i="3"/>
  <c r="D1031" i="3"/>
  <c r="C1031" i="3"/>
  <c r="B1031" i="3"/>
  <c r="A1031" i="3"/>
  <c r="M1030" i="3"/>
  <c r="L1030" i="3"/>
  <c r="K1030" i="3"/>
  <c r="J1030" i="3"/>
  <c r="I1030" i="3"/>
  <c r="H1030" i="3"/>
  <c r="G1030" i="3"/>
  <c r="F1030" i="3"/>
  <c r="E1030" i="3"/>
  <c r="D1030" i="3"/>
  <c r="C1030" i="3"/>
  <c r="B1030" i="3"/>
  <c r="A1030" i="3"/>
  <c r="M1029" i="3"/>
  <c r="L1029" i="3"/>
  <c r="K1029" i="3"/>
  <c r="J1029" i="3"/>
  <c r="I1029" i="3"/>
  <c r="H1029" i="3"/>
  <c r="G1029" i="3"/>
  <c r="F1029" i="3"/>
  <c r="E1029" i="3"/>
  <c r="D1029" i="3"/>
  <c r="C1029" i="3"/>
  <c r="B1029" i="3"/>
  <c r="A1029" i="3"/>
  <c r="M1028" i="3"/>
  <c r="L1028" i="3"/>
  <c r="K1028" i="3"/>
  <c r="J1028" i="3"/>
  <c r="I1028" i="3"/>
  <c r="H1028" i="3"/>
  <c r="G1028" i="3"/>
  <c r="F1028" i="3"/>
  <c r="E1028" i="3"/>
  <c r="D1028" i="3"/>
  <c r="C1028" i="3"/>
  <c r="B1028" i="3"/>
  <c r="A1028" i="3"/>
  <c r="M1027" i="3"/>
  <c r="L1027" i="3"/>
  <c r="K1027" i="3"/>
  <c r="J1027" i="3"/>
  <c r="I1027" i="3"/>
  <c r="H1027" i="3"/>
  <c r="G1027" i="3"/>
  <c r="F1027" i="3"/>
  <c r="E1027" i="3"/>
  <c r="D1027" i="3"/>
  <c r="C1027" i="3"/>
  <c r="B1027" i="3"/>
  <c r="A1027" i="3"/>
  <c r="M1026" i="3"/>
  <c r="L1026" i="3"/>
  <c r="K1026" i="3"/>
  <c r="J1026" i="3"/>
  <c r="I1026" i="3"/>
  <c r="H1026" i="3"/>
  <c r="G1026" i="3"/>
  <c r="F1026" i="3"/>
  <c r="E1026" i="3"/>
  <c r="D1026" i="3"/>
  <c r="C1026" i="3"/>
  <c r="B1026" i="3"/>
  <c r="A1026" i="3"/>
  <c r="M1025" i="3"/>
  <c r="L1025" i="3"/>
  <c r="K1025" i="3"/>
  <c r="J1025" i="3"/>
  <c r="I1025" i="3"/>
  <c r="H1025" i="3"/>
  <c r="G1025" i="3"/>
  <c r="F1025" i="3"/>
  <c r="E1025" i="3"/>
  <c r="D1025" i="3"/>
  <c r="C1025" i="3"/>
  <c r="B1025" i="3"/>
  <c r="A1025" i="3"/>
  <c r="M1024" i="3"/>
  <c r="L1024" i="3"/>
  <c r="K1024" i="3"/>
  <c r="J1024" i="3"/>
  <c r="I1024" i="3"/>
  <c r="H1024" i="3"/>
  <c r="G1024" i="3"/>
  <c r="F1024" i="3"/>
  <c r="E1024" i="3"/>
  <c r="D1024" i="3"/>
  <c r="C1024" i="3"/>
  <c r="B1024" i="3"/>
  <c r="A1024" i="3"/>
  <c r="M1023" i="3"/>
  <c r="L1023" i="3"/>
  <c r="K1023" i="3"/>
  <c r="J1023" i="3"/>
  <c r="I1023" i="3"/>
  <c r="H1023" i="3"/>
  <c r="G1023" i="3"/>
  <c r="F1023" i="3"/>
  <c r="E1023" i="3"/>
  <c r="D1023" i="3"/>
  <c r="C1023" i="3"/>
  <c r="B1023" i="3"/>
  <c r="A1023" i="3"/>
  <c r="M1022" i="3"/>
  <c r="L1022" i="3"/>
  <c r="K1022" i="3"/>
  <c r="J1022" i="3"/>
  <c r="I1022" i="3"/>
  <c r="H1022" i="3"/>
  <c r="G1022" i="3"/>
  <c r="F1022" i="3"/>
  <c r="E1022" i="3"/>
  <c r="D1022" i="3"/>
  <c r="C1022" i="3"/>
  <c r="B1022" i="3"/>
  <c r="A1022" i="3"/>
  <c r="M1021" i="3"/>
  <c r="L1021" i="3"/>
  <c r="K1021" i="3"/>
  <c r="J1021" i="3"/>
  <c r="I1021" i="3"/>
  <c r="H1021" i="3"/>
  <c r="G1021" i="3"/>
  <c r="F1021" i="3"/>
  <c r="E1021" i="3"/>
  <c r="D1021" i="3"/>
  <c r="C1021" i="3"/>
  <c r="B1021" i="3"/>
  <c r="A1021" i="3"/>
  <c r="M1020" i="3"/>
  <c r="L1020" i="3"/>
  <c r="K1020" i="3"/>
  <c r="J1020" i="3"/>
  <c r="I1020" i="3"/>
  <c r="H1020" i="3"/>
  <c r="G1020" i="3"/>
  <c r="F1020" i="3"/>
  <c r="E1020" i="3"/>
  <c r="D1020" i="3"/>
  <c r="C1020" i="3"/>
  <c r="B1020" i="3"/>
  <c r="A1020" i="3"/>
  <c r="M1019" i="3"/>
  <c r="L1019" i="3"/>
  <c r="K1019" i="3"/>
  <c r="J1019" i="3"/>
  <c r="I1019" i="3"/>
  <c r="H1019" i="3"/>
  <c r="G1019" i="3"/>
  <c r="F1019" i="3"/>
  <c r="E1019" i="3"/>
  <c r="D1019" i="3"/>
  <c r="C1019" i="3"/>
  <c r="B1019" i="3"/>
  <c r="A1019" i="3"/>
  <c r="M1018" i="3"/>
  <c r="L1018" i="3"/>
  <c r="K1018" i="3"/>
  <c r="J1018" i="3"/>
  <c r="I1018" i="3"/>
  <c r="H1018" i="3"/>
  <c r="G1018" i="3"/>
  <c r="F1018" i="3"/>
  <c r="E1018" i="3"/>
  <c r="D1018" i="3"/>
  <c r="C1018" i="3"/>
  <c r="B1018" i="3"/>
  <c r="A1018" i="3"/>
  <c r="M1017" i="3"/>
  <c r="L1017" i="3"/>
  <c r="K1017" i="3"/>
  <c r="J1017" i="3"/>
  <c r="I1017" i="3"/>
  <c r="H1017" i="3"/>
  <c r="G1017" i="3"/>
  <c r="F1017" i="3"/>
  <c r="E1017" i="3"/>
  <c r="D1017" i="3"/>
  <c r="C1017" i="3"/>
  <c r="B1017" i="3"/>
  <c r="A1017" i="3"/>
  <c r="M1016" i="3"/>
  <c r="L1016" i="3"/>
  <c r="K1016" i="3"/>
  <c r="J1016" i="3"/>
  <c r="I1016" i="3"/>
  <c r="H1016" i="3"/>
  <c r="G1016" i="3"/>
  <c r="F1016" i="3"/>
  <c r="E1016" i="3"/>
  <c r="D1016" i="3"/>
  <c r="C1016" i="3"/>
  <c r="B1016" i="3"/>
  <c r="A1016" i="3"/>
  <c r="M1015" i="3"/>
  <c r="L1015" i="3"/>
  <c r="K1015" i="3"/>
  <c r="J1015" i="3"/>
  <c r="I1015" i="3"/>
  <c r="H1015" i="3"/>
  <c r="G1015" i="3"/>
  <c r="F1015" i="3"/>
  <c r="E1015" i="3"/>
  <c r="D1015" i="3"/>
  <c r="C1015" i="3"/>
  <c r="B1015" i="3"/>
  <c r="A1015" i="3"/>
  <c r="M1014" i="3"/>
  <c r="L1014" i="3"/>
  <c r="K1014" i="3"/>
  <c r="J1014" i="3"/>
  <c r="I1014" i="3"/>
  <c r="H1014" i="3"/>
  <c r="G1014" i="3"/>
  <c r="F1014" i="3"/>
  <c r="E1014" i="3"/>
  <c r="D1014" i="3"/>
  <c r="C1014" i="3"/>
  <c r="B1014" i="3"/>
  <c r="A1014" i="3"/>
  <c r="M1013" i="3"/>
  <c r="L1013" i="3"/>
  <c r="K1013" i="3"/>
  <c r="J1013" i="3"/>
  <c r="I1013" i="3"/>
  <c r="H1013" i="3"/>
  <c r="G1013" i="3"/>
  <c r="F1013" i="3"/>
  <c r="E1013" i="3"/>
  <c r="D1013" i="3"/>
  <c r="C1013" i="3"/>
  <c r="B1013" i="3"/>
  <c r="A1013" i="3"/>
  <c r="M1012" i="3"/>
  <c r="L1012" i="3"/>
  <c r="K1012" i="3"/>
  <c r="J1012" i="3"/>
  <c r="I1012" i="3"/>
  <c r="H1012" i="3"/>
  <c r="G1012" i="3"/>
  <c r="F1012" i="3"/>
  <c r="E1012" i="3"/>
  <c r="D1012" i="3"/>
  <c r="C1012" i="3"/>
  <c r="B1012" i="3"/>
  <c r="A1012" i="3"/>
  <c r="M1011" i="3"/>
  <c r="L1011" i="3"/>
  <c r="K1011" i="3"/>
  <c r="J1011" i="3"/>
  <c r="I1011" i="3"/>
  <c r="H1011" i="3"/>
  <c r="G1011" i="3"/>
  <c r="F1011" i="3"/>
  <c r="E1011" i="3"/>
  <c r="D1011" i="3"/>
  <c r="C1011" i="3"/>
  <c r="B1011" i="3"/>
  <c r="A1011" i="3"/>
  <c r="M1010" i="3"/>
  <c r="L1010" i="3"/>
  <c r="K1010" i="3"/>
  <c r="J1010" i="3"/>
  <c r="I1010" i="3"/>
  <c r="H1010" i="3"/>
  <c r="G1010" i="3"/>
  <c r="F1010" i="3"/>
  <c r="E1010" i="3"/>
  <c r="D1010" i="3"/>
  <c r="C1010" i="3"/>
  <c r="B1010" i="3"/>
  <c r="A1010" i="3"/>
  <c r="M1009" i="3"/>
  <c r="L1009" i="3"/>
  <c r="K1009" i="3"/>
  <c r="J1009" i="3"/>
  <c r="I1009" i="3"/>
  <c r="H1009" i="3"/>
  <c r="G1009" i="3"/>
  <c r="F1009" i="3"/>
  <c r="E1009" i="3"/>
  <c r="D1009" i="3"/>
  <c r="C1009" i="3"/>
  <c r="B1009" i="3"/>
  <c r="A1009" i="3"/>
  <c r="M1008" i="3"/>
  <c r="L1008" i="3"/>
  <c r="K1008" i="3"/>
  <c r="J1008" i="3"/>
  <c r="I1008" i="3"/>
  <c r="H1008" i="3"/>
  <c r="G1008" i="3"/>
  <c r="F1008" i="3"/>
  <c r="E1008" i="3"/>
  <c r="D1008" i="3"/>
  <c r="C1008" i="3"/>
  <c r="B1008" i="3"/>
  <c r="A1008" i="3"/>
  <c r="M1007" i="3"/>
  <c r="L1007" i="3"/>
  <c r="K1007" i="3"/>
  <c r="J1007" i="3"/>
  <c r="I1007" i="3"/>
  <c r="H1007" i="3"/>
  <c r="G1007" i="3"/>
  <c r="F1007" i="3"/>
  <c r="E1007" i="3"/>
  <c r="D1007" i="3"/>
  <c r="C1007" i="3"/>
  <c r="B1007" i="3"/>
  <c r="A1007" i="3"/>
  <c r="M1006" i="3"/>
  <c r="L1006" i="3"/>
  <c r="K1006" i="3"/>
  <c r="J1006" i="3"/>
  <c r="I1006" i="3"/>
  <c r="H1006" i="3"/>
  <c r="G1006" i="3"/>
  <c r="F1006" i="3"/>
  <c r="E1006" i="3"/>
  <c r="D1006" i="3"/>
  <c r="C1006" i="3"/>
  <c r="B1006" i="3"/>
  <c r="A1006" i="3"/>
  <c r="M1005" i="3"/>
  <c r="L1005" i="3"/>
  <c r="K1005" i="3"/>
  <c r="J1005" i="3"/>
  <c r="I1005" i="3"/>
  <c r="H1005" i="3"/>
  <c r="G1005" i="3"/>
  <c r="F1005" i="3"/>
  <c r="E1005" i="3"/>
  <c r="D1005" i="3"/>
  <c r="C1005" i="3"/>
  <c r="B1005" i="3"/>
  <c r="A1005" i="3"/>
  <c r="M1004" i="3"/>
  <c r="L1004" i="3"/>
  <c r="K1004" i="3"/>
  <c r="J1004" i="3"/>
  <c r="I1004" i="3"/>
  <c r="H1004" i="3"/>
  <c r="G1004" i="3"/>
  <c r="F1004" i="3"/>
  <c r="E1004" i="3"/>
  <c r="D1004" i="3"/>
  <c r="C1004" i="3"/>
  <c r="B1004" i="3"/>
  <c r="A1004" i="3"/>
  <c r="M1003" i="3"/>
  <c r="L1003" i="3"/>
  <c r="K1003" i="3"/>
  <c r="J1003" i="3"/>
  <c r="I1003" i="3"/>
  <c r="H1003" i="3"/>
  <c r="G1003" i="3"/>
  <c r="F1003" i="3"/>
  <c r="E1003" i="3"/>
  <c r="D1003" i="3"/>
  <c r="C1003" i="3"/>
  <c r="B1003" i="3"/>
  <c r="A1003" i="3"/>
  <c r="M1002" i="3"/>
  <c r="L1002" i="3"/>
  <c r="K1002" i="3"/>
  <c r="J1002" i="3"/>
  <c r="I1002" i="3"/>
  <c r="H1002" i="3"/>
  <c r="G1002" i="3"/>
  <c r="F1002" i="3"/>
  <c r="E1002" i="3"/>
  <c r="D1002" i="3"/>
  <c r="C1002" i="3"/>
  <c r="B1002" i="3"/>
  <c r="A1002" i="3"/>
  <c r="M1001" i="3"/>
  <c r="L1001" i="3"/>
  <c r="K1001" i="3"/>
  <c r="J1001" i="3"/>
  <c r="I1001" i="3"/>
  <c r="H1001" i="3"/>
  <c r="G1001" i="3"/>
  <c r="F1001" i="3"/>
  <c r="E1001" i="3"/>
  <c r="D1001" i="3"/>
  <c r="C1001" i="3"/>
  <c r="B1001" i="3"/>
  <c r="A1001" i="3"/>
  <c r="M1000" i="3"/>
  <c r="L1000" i="3"/>
  <c r="K1000" i="3"/>
  <c r="J1000" i="3"/>
  <c r="I1000" i="3"/>
  <c r="H1000" i="3"/>
  <c r="G1000" i="3"/>
  <c r="F1000" i="3"/>
  <c r="E1000" i="3"/>
  <c r="D1000" i="3"/>
  <c r="C1000" i="3"/>
  <c r="B1000" i="3"/>
  <c r="A1000" i="3"/>
  <c r="M999" i="3"/>
  <c r="L999" i="3"/>
  <c r="K999" i="3"/>
  <c r="J999" i="3"/>
  <c r="I999" i="3"/>
  <c r="H999" i="3"/>
  <c r="G999" i="3"/>
  <c r="F999" i="3"/>
  <c r="E999" i="3"/>
  <c r="D999" i="3"/>
  <c r="C999" i="3"/>
  <c r="B999" i="3"/>
  <c r="A999" i="3"/>
  <c r="M998" i="3"/>
  <c r="L998" i="3"/>
  <c r="K998" i="3"/>
  <c r="J998" i="3"/>
  <c r="I998" i="3"/>
  <c r="H998" i="3"/>
  <c r="G998" i="3"/>
  <c r="F998" i="3"/>
  <c r="E998" i="3"/>
  <c r="D998" i="3"/>
  <c r="C998" i="3"/>
  <c r="B998" i="3"/>
  <c r="A998" i="3"/>
  <c r="M997" i="3"/>
  <c r="L997" i="3"/>
  <c r="K997" i="3"/>
  <c r="J997" i="3"/>
  <c r="I997" i="3"/>
  <c r="H997" i="3"/>
  <c r="G997" i="3"/>
  <c r="F997" i="3"/>
  <c r="E997" i="3"/>
  <c r="D997" i="3"/>
  <c r="C997" i="3"/>
  <c r="B997" i="3"/>
  <c r="A997" i="3"/>
  <c r="M996" i="3"/>
  <c r="L996" i="3"/>
  <c r="K996" i="3"/>
  <c r="J996" i="3"/>
  <c r="I996" i="3"/>
  <c r="H996" i="3"/>
  <c r="G996" i="3"/>
  <c r="F996" i="3"/>
  <c r="E996" i="3"/>
  <c r="D996" i="3"/>
  <c r="C996" i="3"/>
  <c r="B996" i="3"/>
  <c r="A996" i="3"/>
  <c r="M995" i="3"/>
  <c r="L995" i="3"/>
  <c r="K995" i="3"/>
  <c r="J995" i="3"/>
  <c r="I995" i="3"/>
  <c r="H995" i="3"/>
  <c r="G995" i="3"/>
  <c r="F995" i="3"/>
  <c r="E995" i="3"/>
  <c r="D995" i="3"/>
  <c r="C995" i="3"/>
  <c r="B995" i="3"/>
  <c r="A995" i="3"/>
  <c r="M994" i="3"/>
  <c r="L994" i="3"/>
  <c r="K994" i="3"/>
  <c r="J994" i="3"/>
  <c r="I994" i="3"/>
  <c r="H994" i="3"/>
  <c r="G994" i="3"/>
  <c r="F994" i="3"/>
  <c r="E994" i="3"/>
  <c r="D994" i="3"/>
  <c r="C994" i="3"/>
  <c r="B994" i="3"/>
  <c r="A994" i="3"/>
  <c r="M993" i="3"/>
  <c r="L993" i="3"/>
  <c r="K993" i="3"/>
  <c r="J993" i="3"/>
  <c r="I993" i="3"/>
  <c r="H993" i="3"/>
  <c r="G993" i="3"/>
  <c r="F993" i="3"/>
  <c r="E993" i="3"/>
  <c r="D993" i="3"/>
  <c r="C993" i="3"/>
  <c r="B993" i="3"/>
  <c r="A993" i="3"/>
  <c r="M992" i="3"/>
  <c r="L992" i="3"/>
  <c r="K992" i="3"/>
  <c r="J992" i="3"/>
  <c r="I992" i="3"/>
  <c r="H992" i="3"/>
  <c r="G992" i="3"/>
  <c r="F992" i="3"/>
  <c r="E992" i="3"/>
  <c r="D992" i="3"/>
  <c r="C992" i="3"/>
  <c r="B992" i="3"/>
  <c r="A992" i="3"/>
  <c r="M991" i="3"/>
  <c r="L991" i="3"/>
  <c r="K991" i="3"/>
  <c r="J991" i="3"/>
  <c r="I991" i="3"/>
  <c r="H991" i="3"/>
  <c r="G991" i="3"/>
  <c r="F991" i="3"/>
  <c r="E991" i="3"/>
  <c r="D991" i="3"/>
  <c r="C991" i="3"/>
  <c r="B991" i="3"/>
  <c r="A991" i="3"/>
  <c r="M990" i="3"/>
  <c r="L990" i="3"/>
  <c r="K990" i="3"/>
  <c r="J990" i="3"/>
  <c r="I990" i="3"/>
  <c r="H990" i="3"/>
  <c r="G990" i="3"/>
  <c r="F990" i="3"/>
  <c r="E990" i="3"/>
  <c r="D990" i="3"/>
  <c r="C990" i="3"/>
  <c r="B990" i="3"/>
  <c r="A990" i="3"/>
  <c r="M989" i="3"/>
  <c r="L989" i="3"/>
  <c r="K989" i="3"/>
  <c r="J989" i="3"/>
  <c r="I989" i="3"/>
  <c r="H989" i="3"/>
  <c r="G989" i="3"/>
  <c r="F989" i="3"/>
  <c r="E989" i="3"/>
  <c r="D989" i="3"/>
  <c r="C989" i="3"/>
  <c r="B989" i="3"/>
  <c r="A989" i="3"/>
  <c r="M988" i="3"/>
  <c r="L988" i="3"/>
  <c r="K988" i="3"/>
  <c r="J988" i="3"/>
  <c r="I988" i="3"/>
  <c r="H988" i="3"/>
  <c r="G988" i="3"/>
  <c r="F988" i="3"/>
  <c r="E988" i="3"/>
  <c r="D988" i="3"/>
  <c r="C988" i="3"/>
  <c r="B988" i="3"/>
  <c r="A988" i="3"/>
  <c r="M987" i="3"/>
  <c r="L987" i="3"/>
  <c r="K987" i="3"/>
  <c r="J987" i="3"/>
  <c r="I987" i="3"/>
  <c r="H987" i="3"/>
  <c r="G987" i="3"/>
  <c r="F987" i="3"/>
  <c r="E987" i="3"/>
  <c r="D987" i="3"/>
  <c r="C987" i="3"/>
  <c r="B987" i="3"/>
  <c r="A987" i="3"/>
  <c r="M986" i="3"/>
  <c r="L986" i="3"/>
  <c r="K986" i="3"/>
  <c r="J986" i="3"/>
  <c r="I986" i="3"/>
  <c r="H986" i="3"/>
  <c r="G986" i="3"/>
  <c r="F986" i="3"/>
  <c r="E986" i="3"/>
  <c r="D986" i="3"/>
  <c r="C986" i="3"/>
  <c r="B986" i="3"/>
  <c r="A986" i="3"/>
  <c r="M985" i="3"/>
  <c r="L985" i="3"/>
  <c r="K985" i="3"/>
  <c r="J985" i="3"/>
  <c r="I985" i="3"/>
  <c r="H985" i="3"/>
  <c r="G985" i="3"/>
  <c r="F985" i="3"/>
  <c r="E985" i="3"/>
  <c r="D985" i="3"/>
  <c r="C985" i="3"/>
  <c r="B985" i="3"/>
  <c r="A985" i="3"/>
  <c r="M984" i="3"/>
  <c r="L984" i="3"/>
  <c r="K984" i="3"/>
  <c r="J984" i="3"/>
  <c r="I984" i="3"/>
  <c r="H984" i="3"/>
  <c r="G984" i="3"/>
  <c r="F984" i="3"/>
  <c r="E984" i="3"/>
  <c r="D984" i="3"/>
  <c r="C984" i="3"/>
  <c r="B984" i="3"/>
  <c r="A984" i="3"/>
  <c r="M983" i="3"/>
  <c r="L983" i="3"/>
  <c r="K983" i="3"/>
  <c r="J983" i="3"/>
  <c r="I983" i="3"/>
  <c r="H983" i="3"/>
  <c r="G983" i="3"/>
  <c r="F983" i="3"/>
  <c r="E983" i="3"/>
  <c r="D983" i="3"/>
  <c r="C983" i="3"/>
  <c r="B983" i="3"/>
  <c r="A983" i="3"/>
  <c r="M982" i="3"/>
  <c r="L982" i="3"/>
  <c r="K982" i="3"/>
  <c r="J982" i="3"/>
  <c r="I982" i="3"/>
  <c r="H982" i="3"/>
  <c r="G982" i="3"/>
  <c r="F982" i="3"/>
  <c r="E982" i="3"/>
  <c r="D982" i="3"/>
  <c r="C982" i="3"/>
  <c r="B982" i="3"/>
  <c r="A982" i="3"/>
  <c r="M981" i="3"/>
  <c r="L981" i="3"/>
  <c r="K981" i="3"/>
  <c r="J981" i="3"/>
  <c r="I981" i="3"/>
  <c r="H981" i="3"/>
  <c r="G981" i="3"/>
  <c r="F981" i="3"/>
  <c r="E981" i="3"/>
  <c r="D981" i="3"/>
  <c r="C981" i="3"/>
  <c r="B981" i="3"/>
  <c r="A981" i="3"/>
  <c r="M980" i="3"/>
  <c r="L980" i="3"/>
  <c r="K980" i="3"/>
  <c r="J980" i="3"/>
  <c r="I980" i="3"/>
  <c r="H980" i="3"/>
  <c r="G980" i="3"/>
  <c r="F980" i="3"/>
  <c r="E980" i="3"/>
  <c r="D980" i="3"/>
  <c r="C980" i="3"/>
  <c r="B980" i="3"/>
  <c r="A980" i="3"/>
  <c r="M979" i="3"/>
  <c r="L979" i="3"/>
  <c r="K979" i="3"/>
  <c r="J979" i="3"/>
  <c r="I979" i="3"/>
  <c r="H979" i="3"/>
  <c r="G979" i="3"/>
  <c r="F979" i="3"/>
  <c r="E979" i="3"/>
  <c r="D979" i="3"/>
  <c r="C979" i="3"/>
  <c r="B979" i="3"/>
  <c r="A979" i="3"/>
  <c r="M978" i="3"/>
  <c r="L978" i="3"/>
  <c r="K978" i="3"/>
  <c r="J978" i="3"/>
  <c r="I978" i="3"/>
  <c r="H978" i="3"/>
  <c r="G978" i="3"/>
  <c r="F978" i="3"/>
  <c r="E978" i="3"/>
  <c r="D978" i="3"/>
  <c r="C978" i="3"/>
  <c r="B978" i="3"/>
  <c r="A978" i="3"/>
  <c r="M977" i="3"/>
  <c r="L977" i="3"/>
  <c r="K977" i="3"/>
  <c r="J977" i="3"/>
  <c r="I977" i="3"/>
  <c r="H977" i="3"/>
  <c r="G977" i="3"/>
  <c r="F977" i="3"/>
  <c r="E977" i="3"/>
  <c r="D977" i="3"/>
  <c r="C977" i="3"/>
  <c r="B977" i="3"/>
  <c r="A977" i="3"/>
  <c r="M976" i="3"/>
  <c r="L976" i="3"/>
  <c r="K976" i="3"/>
  <c r="J976" i="3"/>
  <c r="I976" i="3"/>
  <c r="H976" i="3"/>
  <c r="G976" i="3"/>
  <c r="F976" i="3"/>
  <c r="E976" i="3"/>
  <c r="D976" i="3"/>
  <c r="C976" i="3"/>
  <c r="B976" i="3"/>
  <c r="A976" i="3"/>
  <c r="M975" i="3"/>
  <c r="L975" i="3"/>
  <c r="K975" i="3"/>
  <c r="J975" i="3"/>
  <c r="I975" i="3"/>
  <c r="H975" i="3"/>
  <c r="G975" i="3"/>
  <c r="F975" i="3"/>
  <c r="E975" i="3"/>
  <c r="D975" i="3"/>
  <c r="C975" i="3"/>
  <c r="B975" i="3"/>
  <c r="A975" i="3"/>
  <c r="M974" i="3"/>
  <c r="L974" i="3"/>
  <c r="K974" i="3"/>
  <c r="J974" i="3"/>
  <c r="I974" i="3"/>
  <c r="H974" i="3"/>
  <c r="G974" i="3"/>
  <c r="F974" i="3"/>
  <c r="E974" i="3"/>
  <c r="D974" i="3"/>
  <c r="C974" i="3"/>
  <c r="B974" i="3"/>
  <c r="A974" i="3"/>
  <c r="M973" i="3"/>
  <c r="L973" i="3"/>
  <c r="K973" i="3"/>
  <c r="J973" i="3"/>
  <c r="I973" i="3"/>
  <c r="H973" i="3"/>
  <c r="G973" i="3"/>
  <c r="F973" i="3"/>
  <c r="E973" i="3"/>
  <c r="D973" i="3"/>
  <c r="C973" i="3"/>
  <c r="B973" i="3"/>
  <c r="A973" i="3"/>
  <c r="M972" i="3"/>
  <c r="L972" i="3"/>
  <c r="K972" i="3"/>
  <c r="J972" i="3"/>
  <c r="I972" i="3"/>
  <c r="H972" i="3"/>
  <c r="G972" i="3"/>
  <c r="F972" i="3"/>
  <c r="E972" i="3"/>
  <c r="D972" i="3"/>
  <c r="C972" i="3"/>
  <c r="B972" i="3"/>
  <c r="A972" i="3"/>
  <c r="M971" i="3"/>
  <c r="L971" i="3"/>
  <c r="K971" i="3"/>
  <c r="J971" i="3"/>
  <c r="I971" i="3"/>
  <c r="H971" i="3"/>
  <c r="G971" i="3"/>
  <c r="F971" i="3"/>
  <c r="E971" i="3"/>
  <c r="D971" i="3"/>
  <c r="C971" i="3"/>
  <c r="B971" i="3"/>
  <c r="A971" i="3"/>
  <c r="M970" i="3"/>
  <c r="L970" i="3"/>
  <c r="K970" i="3"/>
  <c r="J970" i="3"/>
  <c r="I970" i="3"/>
  <c r="H970" i="3"/>
  <c r="G970" i="3"/>
  <c r="F970" i="3"/>
  <c r="E970" i="3"/>
  <c r="D970" i="3"/>
  <c r="C970" i="3"/>
  <c r="B970" i="3"/>
  <c r="A970" i="3"/>
  <c r="M969" i="3"/>
  <c r="L969" i="3"/>
  <c r="K969" i="3"/>
  <c r="J969" i="3"/>
  <c r="I969" i="3"/>
  <c r="H969" i="3"/>
  <c r="G969" i="3"/>
  <c r="F969" i="3"/>
  <c r="E969" i="3"/>
  <c r="D969" i="3"/>
  <c r="C969" i="3"/>
  <c r="B969" i="3"/>
  <c r="A969" i="3"/>
  <c r="M968" i="3"/>
  <c r="L968" i="3"/>
  <c r="K968" i="3"/>
  <c r="J968" i="3"/>
  <c r="I968" i="3"/>
  <c r="H968" i="3"/>
  <c r="G968" i="3"/>
  <c r="F968" i="3"/>
  <c r="E968" i="3"/>
  <c r="D968" i="3"/>
  <c r="C968" i="3"/>
  <c r="B968" i="3"/>
  <c r="A968" i="3"/>
  <c r="M967" i="3"/>
  <c r="L967" i="3"/>
  <c r="K967" i="3"/>
  <c r="J967" i="3"/>
  <c r="I967" i="3"/>
  <c r="H967" i="3"/>
  <c r="G967" i="3"/>
  <c r="F967" i="3"/>
  <c r="E967" i="3"/>
  <c r="D967" i="3"/>
  <c r="C967" i="3"/>
  <c r="B967" i="3"/>
  <c r="A967" i="3"/>
  <c r="M966" i="3"/>
  <c r="L966" i="3"/>
  <c r="K966" i="3"/>
  <c r="J966" i="3"/>
  <c r="I966" i="3"/>
  <c r="H966" i="3"/>
  <c r="G966" i="3"/>
  <c r="F966" i="3"/>
  <c r="E966" i="3"/>
  <c r="D966" i="3"/>
  <c r="C966" i="3"/>
  <c r="B966" i="3"/>
  <c r="A966" i="3"/>
  <c r="M965" i="3"/>
  <c r="L965" i="3"/>
  <c r="K965" i="3"/>
  <c r="J965" i="3"/>
  <c r="I965" i="3"/>
  <c r="H965" i="3"/>
  <c r="G965" i="3"/>
  <c r="F965" i="3"/>
  <c r="E965" i="3"/>
  <c r="D965" i="3"/>
  <c r="C965" i="3"/>
  <c r="B965" i="3"/>
  <c r="A965" i="3"/>
  <c r="M964" i="3"/>
  <c r="L964" i="3"/>
  <c r="K964" i="3"/>
  <c r="J964" i="3"/>
  <c r="I964" i="3"/>
  <c r="H964" i="3"/>
  <c r="G964" i="3"/>
  <c r="F964" i="3"/>
  <c r="E964" i="3"/>
  <c r="D964" i="3"/>
  <c r="C964" i="3"/>
  <c r="B964" i="3"/>
  <c r="A964" i="3"/>
  <c r="M963" i="3"/>
  <c r="L963" i="3"/>
  <c r="K963" i="3"/>
  <c r="J963" i="3"/>
  <c r="I963" i="3"/>
  <c r="H963" i="3"/>
  <c r="G963" i="3"/>
  <c r="F963" i="3"/>
  <c r="E963" i="3"/>
  <c r="D963" i="3"/>
  <c r="C963" i="3"/>
  <c r="B963" i="3"/>
  <c r="A963" i="3"/>
  <c r="M962" i="3"/>
  <c r="L962" i="3"/>
  <c r="K962" i="3"/>
  <c r="J962" i="3"/>
  <c r="I962" i="3"/>
  <c r="H962" i="3"/>
  <c r="G962" i="3"/>
  <c r="F962" i="3"/>
  <c r="E962" i="3"/>
  <c r="D962" i="3"/>
  <c r="C962" i="3"/>
  <c r="B962" i="3"/>
  <c r="A962" i="3"/>
  <c r="M961" i="3"/>
  <c r="L961" i="3"/>
  <c r="K961" i="3"/>
  <c r="J961" i="3"/>
  <c r="I961" i="3"/>
  <c r="H961" i="3"/>
  <c r="G961" i="3"/>
  <c r="F961" i="3"/>
  <c r="E961" i="3"/>
  <c r="D961" i="3"/>
  <c r="C961" i="3"/>
  <c r="B961" i="3"/>
  <c r="A961" i="3"/>
  <c r="M960" i="3"/>
  <c r="L960" i="3"/>
  <c r="K960" i="3"/>
  <c r="J960" i="3"/>
  <c r="I960" i="3"/>
  <c r="H960" i="3"/>
  <c r="G960" i="3"/>
  <c r="F960" i="3"/>
  <c r="E960" i="3"/>
  <c r="D960" i="3"/>
  <c r="C960" i="3"/>
  <c r="B960" i="3"/>
  <c r="A960" i="3"/>
  <c r="M959" i="3"/>
  <c r="L959" i="3"/>
  <c r="K959" i="3"/>
  <c r="J959" i="3"/>
  <c r="I959" i="3"/>
  <c r="H959" i="3"/>
  <c r="G959" i="3"/>
  <c r="F959" i="3"/>
  <c r="E959" i="3"/>
  <c r="D959" i="3"/>
  <c r="C959" i="3"/>
  <c r="B959" i="3"/>
  <c r="A959" i="3"/>
  <c r="M958" i="3"/>
  <c r="L958" i="3"/>
  <c r="K958" i="3"/>
  <c r="J958" i="3"/>
  <c r="I958" i="3"/>
  <c r="H958" i="3"/>
  <c r="G958" i="3"/>
  <c r="F958" i="3"/>
  <c r="E958" i="3"/>
  <c r="D958" i="3"/>
  <c r="C958" i="3"/>
  <c r="B958" i="3"/>
  <c r="A958" i="3"/>
  <c r="M957" i="3"/>
  <c r="L957" i="3"/>
  <c r="K957" i="3"/>
  <c r="J957" i="3"/>
  <c r="I957" i="3"/>
  <c r="H957" i="3"/>
  <c r="G957" i="3"/>
  <c r="F957" i="3"/>
  <c r="E957" i="3"/>
  <c r="D957" i="3"/>
  <c r="C957" i="3"/>
  <c r="B957" i="3"/>
  <c r="A957" i="3"/>
  <c r="M956" i="3"/>
  <c r="L956" i="3"/>
  <c r="K956" i="3"/>
  <c r="J956" i="3"/>
  <c r="I956" i="3"/>
  <c r="H956" i="3"/>
  <c r="G956" i="3"/>
  <c r="F956" i="3"/>
  <c r="E956" i="3"/>
  <c r="D956" i="3"/>
  <c r="C956" i="3"/>
  <c r="B956" i="3"/>
  <c r="A956" i="3"/>
  <c r="M955" i="3"/>
  <c r="L955" i="3"/>
  <c r="K955" i="3"/>
  <c r="J955" i="3"/>
  <c r="I955" i="3"/>
  <c r="H955" i="3"/>
  <c r="G955" i="3"/>
  <c r="F955" i="3"/>
  <c r="E955" i="3"/>
  <c r="D955" i="3"/>
  <c r="C955" i="3"/>
  <c r="B955" i="3"/>
  <c r="A955" i="3"/>
  <c r="M954" i="3"/>
  <c r="L954" i="3"/>
  <c r="K954" i="3"/>
  <c r="J954" i="3"/>
  <c r="I954" i="3"/>
  <c r="H954" i="3"/>
  <c r="G954" i="3"/>
  <c r="F954" i="3"/>
  <c r="E954" i="3"/>
  <c r="D954" i="3"/>
  <c r="C954" i="3"/>
  <c r="B954" i="3"/>
  <c r="A954" i="3"/>
  <c r="M953" i="3"/>
  <c r="L953" i="3"/>
  <c r="K953" i="3"/>
  <c r="J953" i="3"/>
  <c r="I953" i="3"/>
  <c r="H953" i="3"/>
  <c r="G953" i="3"/>
  <c r="F953" i="3"/>
  <c r="E953" i="3"/>
  <c r="D953" i="3"/>
  <c r="C953" i="3"/>
  <c r="B953" i="3"/>
  <c r="A953" i="3"/>
  <c r="M952" i="3"/>
  <c r="L952" i="3"/>
  <c r="K952" i="3"/>
  <c r="J952" i="3"/>
  <c r="I952" i="3"/>
  <c r="H952" i="3"/>
  <c r="G952" i="3"/>
  <c r="F952" i="3"/>
  <c r="E952" i="3"/>
  <c r="D952" i="3"/>
  <c r="C952" i="3"/>
  <c r="B952" i="3"/>
  <c r="A952" i="3"/>
  <c r="M951" i="3"/>
  <c r="L951" i="3"/>
  <c r="K951" i="3"/>
  <c r="J951" i="3"/>
  <c r="I951" i="3"/>
  <c r="H951" i="3"/>
  <c r="G951" i="3"/>
  <c r="F951" i="3"/>
  <c r="E951" i="3"/>
  <c r="D951" i="3"/>
  <c r="C951" i="3"/>
  <c r="B951" i="3"/>
  <c r="A951" i="3"/>
  <c r="M950" i="3"/>
  <c r="L950" i="3"/>
  <c r="K950" i="3"/>
  <c r="J950" i="3"/>
  <c r="I950" i="3"/>
  <c r="H950" i="3"/>
  <c r="G950" i="3"/>
  <c r="F950" i="3"/>
  <c r="E950" i="3"/>
  <c r="D950" i="3"/>
  <c r="C950" i="3"/>
  <c r="B950" i="3"/>
  <c r="A950" i="3"/>
  <c r="M949" i="3"/>
  <c r="L949" i="3"/>
  <c r="K949" i="3"/>
  <c r="J949" i="3"/>
  <c r="I949" i="3"/>
  <c r="H949" i="3"/>
  <c r="G949" i="3"/>
  <c r="F949" i="3"/>
  <c r="E949" i="3"/>
  <c r="D949" i="3"/>
  <c r="C949" i="3"/>
  <c r="B949" i="3"/>
  <c r="A949" i="3"/>
  <c r="M948" i="3"/>
  <c r="L948" i="3"/>
  <c r="K948" i="3"/>
  <c r="J948" i="3"/>
  <c r="I948" i="3"/>
  <c r="H948" i="3"/>
  <c r="G948" i="3"/>
  <c r="F948" i="3"/>
  <c r="E948" i="3"/>
  <c r="D948" i="3"/>
  <c r="C948" i="3"/>
  <c r="B948" i="3"/>
  <c r="A948" i="3"/>
  <c r="M947" i="3"/>
  <c r="L947" i="3"/>
  <c r="K947" i="3"/>
  <c r="J947" i="3"/>
  <c r="I947" i="3"/>
  <c r="H947" i="3"/>
  <c r="G947" i="3"/>
  <c r="F947" i="3"/>
  <c r="E947" i="3"/>
  <c r="D947" i="3"/>
  <c r="C947" i="3"/>
  <c r="B947" i="3"/>
  <c r="A947" i="3"/>
  <c r="M946" i="3"/>
  <c r="L946" i="3"/>
  <c r="K946" i="3"/>
  <c r="J946" i="3"/>
  <c r="I946" i="3"/>
  <c r="H946" i="3"/>
  <c r="G946" i="3"/>
  <c r="F946" i="3"/>
  <c r="E946" i="3"/>
  <c r="D946" i="3"/>
  <c r="C946" i="3"/>
  <c r="B946" i="3"/>
  <c r="A946" i="3"/>
  <c r="M945" i="3"/>
  <c r="L945" i="3"/>
  <c r="K945" i="3"/>
  <c r="J945" i="3"/>
  <c r="I945" i="3"/>
  <c r="H945" i="3"/>
  <c r="G945" i="3"/>
  <c r="F945" i="3"/>
  <c r="E945" i="3"/>
  <c r="D945" i="3"/>
  <c r="C945" i="3"/>
  <c r="B945" i="3"/>
  <c r="A945" i="3"/>
  <c r="M944" i="3"/>
  <c r="L944" i="3"/>
  <c r="K944" i="3"/>
  <c r="J944" i="3"/>
  <c r="I944" i="3"/>
  <c r="H944" i="3"/>
  <c r="G944" i="3"/>
  <c r="F944" i="3"/>
  <c r="E944" i="3"/>
  <c r="D944" i="3"/>
  <c r="C944" i="3"/>
  <c r="B944" i="3"/>
  <c r="A944" i="3"/>
  <c r="M943" i="3"/>
  <c r="L943" i="3"/>
  <c r="K943" i="3"/>
  <c r="J943" i="3"/>
  <c r="I943" i="3"/>
  <c r="H943" i="3"/>
  <c r="G943" i="3"/>
  <c r="F943" i="3"/>
  <c r="E943" i="3"/>
  <c r="D943" i="3"/>
  <c r="C943" i="3"/>
  <c r="B943" i="3"/>
  <c r="A943" i="3"/>
  <c r="M942" i="3"/>
  <c r="L942" i="3"/>
  <c r="K942" i="3"/>
  <c r="J942" i="3"/>
  <c r="I942" i="3"/>
  <c r="H942" i="3"/>
  <c r="G942" i="3"/>
  <c r="F942" i="3"/>
  <c r="E942" i="3"/>
  <c r="D942" i="3"/>
  <c r="C942" i="3"/>
  <c r="B942" i="3"/>
  <c r="A942" i="3"/>
  <c r="M941" i="3"/>
  <c r="L941" i="3"/>
  <c r="K941" i="3"/>
  <c r="J941" i="3"/>
  <c r="I941" i="3"/>
  <c r="H941" i="3"/>
  <c r="G941" i="3"/>
  <c r="F941" i="3"/>
  <c r="E941" i="3"/>
  <c r="D941" i="3"/>
  <c r="C941" i="3"/>
  <c r="B941" i="3"/>
  <c r="A941" i="3"/>
  <c r="M940" i="3"/>
  <c r="L940" i="3"/>
  <c r="K940" i="3"/>
  <c r="J940" i="3"/>
  <c r="I940" i="3"/>
  <c r="H940" i="3"/>
  <c r="G940" i="3"/>
  <c r="F940" i="3"/>
  <c r="E940" i="3"/>
  <c r="D940" i="3"/>
  <c r="C940" i="3"/>
  <c r="B940" i="3"/>
  <c r="A940" i="3"/>
  <c r="M939" i="3"/>
  <c r="L939" i="3"/>
  <c r="K939" i="3"/>
  <c r="J939" i="3"/>
  <c r="I939" i="3"/>
  <c r="H939" i="3"/>
  <c r="G939" i="3"/>
  <c r="F939" i="3"/>
  <c r="E939" i="3"/>
  <c r="D939" i="3"/>
  <c r="C939" i="3"/>
  <c r="B939" i="3"/>
  <c r="A939" i="3"/>
  <c r="M938" i="3"/>
  <c r="L938" i="3"/>
  <c r="K938" i="3"/>
  <c r="J938" i="3"/>
  <c r="I938" i="3"/>
  <c r="H938" i="3"/>
  <c r="G938" i="3"/>
  <c r="F938" i="3"/>
  <c r="E938" i="3"/>
  <c r="D938" i="3"/>
  <c r="C938" i="3"/>
  <c r="B938" i="3"/>
  <c r="A938" i="3"/>
  <c r="M937" i="3"/>
  <c r="L937" i="3"/>
  <c r="K937" i="3"/>
  <c r="J937" i="3"/>
  <c r="I937" i="3"/>
  <c r="H937" i="3"/>
  <c r="G937" i="3"/>
  <c r="F937" i="3"/>
  <c r="E937" i="3"/>
  <c r="D937" i="3"/>
  <c r="C937" i="3"/>
  <c r="B937" i="3"/>
  <c r="A937" i="3"/>
  <c r="M936" i="3"/>
  <c r="L936" i="3"/>
  <c r="K936" i="3"/>
  <c r="J936" i="3"/>
  <c r="I936" i="3"/>
  <c r="H936" i="3"/>
  <c r="G936" i="3"/>
  <c r="F936" i="3"/>
  <c r="E936" i="3"/>
  <c r="D936" i="3"/>
  <c r="C936" i="3"/>
  <c r="B936" i="3"/>
  <c r="A936" i="3"/>
  <c r="M935" i="3"/>
  <c r="L935" i="3"/>
  <c r="K935" i="3"/>
  <c r="J935" i="3"/>
  <c r="I935" i="3"/>
  <c r="H935" i="3"/>
  <c r="G935" i="3"/>
  <c r="F935" i="3"/>
  <c r="E935" i="3"/>
  <c r="D935" i="3"/>
  <c r="C935" i="3"/>
  <c r="B935" i="3"/>
  <c r="A935" i="3"/>
  <c r="M934" i="3"/>
  <c r="L934" i="3"/>
  <c r="K934" i="3"/>
  <c r="J934" i="3"/>
  <c r="I934" i="3"/>
  <c r="H934" i="3"/>
  <c r="G934" i="3"/>
  <c r="F934" i="3"/>
  <c r="E934" i="3"/>
  <c r="D934" i="3"/>
  <c r="C934" i="3"/>
  <c r="B934" i="3"/>
  <c r="A934" i="3"/>
  <c r="M933" i="3"/>
  <c r="L933" i="3"/>
  <c r="K933" i="3"/>
  <c r="J933" i="3"/>
  <c r="I933" i="3"/>
  <c r="H933" i="3"/>
  <c r="G933" i="3"/>
  <c r="F933" i="3"/>
  <c r="E933" i="3"/>
  <c r="D933" i="3"/>
  <c r="C933" i="3"/>
  <c r="B933" i="3"/>
  <c r="A933" i="3"/>
  <c r="M932" i="3"/>
  <c r="L932" i="3"/>
  <c r="K932" i="3"/>
  <c r="J932" i="3"/>
  <c r="I932" i="3"/>
  <c r="H932" i="3"/>
  <c r="G932" i="3"/>
  <c r="F932" i="3"/>
  <c r="E932" i="3"/>
  <c r="D932" i="3"/>
  <c r="C932" i="3"/>
  <c r="B932" i="3"/>
  <c r="A932" i="3"/>
  <c r="M931" i="3"/>
  <c r="L931" i="3"/>
  <c r="K931" i="3"/>
  <c r="J931" i="3"/>
  <c r="I931" i="3"/>
  <c r="H931" i="3"/>
  <c r="G931" i="3"/>
  <c r="F931" i="3"/>
  <c r="E931" i="3"/>
  <c r="D931" i="3"/>
  <c r="C931" i="3"/>
  <c r="B931" i="3"/>
  <c r="A931" i="3"/>
  <c r="M930" i="3"/>
  <c r="L930" i="3"/>
  <c r="K930" i="3"/>
  <c r="J930" i="3"/>
  <c r="I930" i="3"/>
  <c r="H930" i="3"/>
  <c r="G930" i="3"/>
  <c r="F930" i="3"/>
  <c r="E930" i="3"/>
  <c r="D930" i="3"/>
  <c r="C930" i="3"/>
  <c r="B930" i="3"/>
  <c r="A930" i="3"/>
  <c r="M929" i="3"/>
  <c r="L929" i="3"/>
  <c r="K929" i="3"/>
  <c r="J929" i="3"/>
  <c r="I929" i="3"/>
  <c r="H929" i="3"/>
  <c r="G929" i="3"/>
  <c r="F929" i="3"/>
  <c r="E929" i="3"/>
  <c r="D929" i="3"/>
  <c r="C929" i="3"/>
  <c r="B929" i="3"/>
  <c r="A929" i="3"/>
  <c r="M928" i="3"/>
  <c r="L928" i="3"/>
  <c r="K928" i="3"/>
  <c r="J928" i="3"/>
  <c r="I928" i="3"/>
  <c r="H928" i="3"/>
  <c r="G928" i="3"/>
  <c r="F928" i="3"/>
  <c r="E928" i="3"/>
  <c r="D928" i="3"/>
  <c r="C928" i="3"/>
  <c r="B928" i="3"/>
  <c r="A928" i="3"/>
  <c r="M927" i="3"/>
  <c r="L927" i="3"/>
  <c r="K927" i="3"/>
  <c r="J927" i="3"/>
  <c r="I927" i="3"/>
  <c r="H927" i="3"/>
  <c r="G927" i="3"/>
  <c r="F927" i="3"/>
  <c r="E927" i="3"/>
  <c r="D927" i="3"/>
  <c r="C927" i="3"/>
  <c r="B927" i="3"/>
  <c r="A927" i="3"/>
  <c r="M926" i="3"/>
  <c r="L926" i="3"/>
  <c r="K926" i="3"/>
  <c r="J926" i="3"/>
  <c r="I926" i="3"/>
  <c r="H926" i="3"/>
  <c r="G926" i="3"/>
  <c r="F926" i="3"/>
  <c r="E926" i="3"/>
  <c r="D926" i="3"/>
  <c r="C926" i="3"/>
  <c r="B926" i="3"/>
  <c r="A926" i="3"/>
  <c r="M925" i="3"/>
  <c r="L925" i="3"/>
  <c r="K925" i="3"/>
  <c r="J925" i="3"/>
  <c r="I925" i="3"/>
  <c r="H925" i="3"/>
  <c r="G925" i="3"/>
  <c r="F925" i="3"/>
  <c r="E925" i="3"/>
  <c r="D925" i="3"/>
  <c r="C925" i="3"/>
  <c r="B925" i="3"/>
  <c r="A925" i="3"/>
  <c r="M924" i="3"/>
  <c r="L924" i="3"/>
  <c r="K924" i="3"/>
  <c r="J924" i="3"/>
  <c r="I924" i="3"/>
  <c r="H924" i="3"/>
  <c r="G924" i="3"/>
  <c r="F924" i="3"/>
  <c r="E924" i="3"/>
  <c r="D924" i="3"/>
  <c r="C924" i="3"/>
  <c r="B924" i="3"/>
  <c r="A924" i="3"/>
  <c r="M923" i="3"/>
  <c r="L923" i="3"/>
  <c r="K923" i="3"/>
  <c r="J923" i="3"/>
  <c r="I923" i="3"/>
  <c r="H923" i="3"/>
  <c r="G923" i="3"/>
  <c r="F923" i="3"/>
  <c r="E923" i="3"/>
  <c r="D923" i="3"/>
  <c r="C923" i="3"/>
  <c r="B923" i="3"/>
  <c r="A923" i="3"/>
  <c r="M922" i="3"/>
  <c r="L922" i="3"/>
  <c r="K922" i="3"/>
  <c r="J922" i="3"/>
  <c r="I922" i="3"/>
  <c r="H922" i="3"/>
  <c r="G922" i="3"/>
  <c r="F922" i="3"/>
  <c r="E922" i="3"/>
  <c r="D922" i="3"/>
  <c r="C922" i="3"/>
  <c r="B922" i="3"/>
  <c r="A922" i="3"/>
  <c r="M921" i="3"/>
  <c r="L921" i="3"/>
  <c r="K921" i="3"/>
  <c r="J921" i="3"/>
  <c r="I921" i="3"/>
  <c r="H921" i="3"/>
  <c r="G921" i="3"/>
  <c r="F921" i="3"/>
  <c r="E921" i="3"/>
  <c r="D921" i="3"/>
  <c r="C921" i="3"/>
  <c r="B921" i="3"/>
  <c r="A921" i="3"/>
  <c r="M920" i="3"/>
  <c r="L920" i="3"/>
  <c r="K920" i="3"/>
  <c r="J920" i="3"/>
  <c r="I920" i="3"/>
  <c r="H920" i="3"/>
  <c r="G920" i="3"/>
  <c r="F920" i="3"/>
  <c r="E920" i="3"/>
  <c r="D920" i="3"/>
  <c r="C920" i="3"/>
  <c r="B920" i="3"/>
  <c r="A920" i="3"/>
  <c r="M919" i="3"/>
  <c r="L919" i="3"/>
  <c r="K919" i="3"/>
  <c r="J919" i="3"/>
  <c r="I919" i="3"/>
  <c r="H919" i="3"/>
  <c r="G919" i="3"/>
  <c r="F919" i="3"/>
  <c r="E919" i="3"/>
  <c r="D919" i="3"/>
  <c r="C919" i="3"/>
  <c r="B919" i="3"/>
  <c r="A919" i="3"/>
  <c r="M918" i="3"/>
  <c r="L918" i="3"/>
  <c r="K918" i="3"/>
  <c r="J918" i="3"/>
  <c r="I918" i="3"/>
  <c r="H918" i="3"/>
  <c r="G918" i="3"/>
  <c r="F918" i="3"/>
  <c r="E918" i="3"/>
  <c r="D918" i="3"/>
  <c r="C918" i="3"/>
  <c r="B918" i="3"/>
  <c r="A918" i="3"/>
  <c r="M917" i="3"/>
  <c r="L917" i="3"/>
  <c r="K917" i="3"/>
  <c r="J917" i="3"/>
  <c r="I917" i="3"/>
  <c r="H917" i="3"/>
  <c r="G917" i="3"/>
  <c r="F917" i="3"/>
  <c r="E917" i="3"/>
  <c r="D917" i="3"/>
  <c r="C917" i="3"/>
  <c r="B917" i="3"/>
  <c r="A917" i="3"/>
  <c r="M916" i="3"/>
  <c r="L916" i="3"/>
  <c r="K916" i="3"/>
  <c r="J916" i="3"/>
  <c r="I916" i="3"/>
  <c r="H916" i="3"/>
  <c r="G916" i="3"/>
  <c r="F916" i="3"/>
  <c r="E916" i="3"/>
  <c r="D916" i="3"/>
  <c r="C916" i="3"/>
  <c r="B916" i="3"/>
  <c r="A916" i="3"/>
  <c r="M915" i="3"/>
  <c r="L915" i="3"/>
  <c r="K915" i="3"/>
  <c r="J915" i="3"/>
  <c r="I915" i="3"/>
  <c r="H915" i="3"/>
  <c r="G915" i="3"/>
  <c r="F915" i="3"/>
  <c r="E915" i="3"/>
  <c r="D915" i="3"/>
  <c r="C915" i="3"/>
  <c r="B915" i="3"/>
  <c r="A915" i="3"/>
  <c r="M914" i="3"/>
  <c r="L914" i="3"/>
  <c r="K914" i="3"/>
  <c r="J914" i="3"/>
  <c r="I914" i="3"/>
  <c r="H914" i="3"/>
  <c r="G914" i="3"/>
  <c r="F914" i="3"/>
  <c r="E914" i="3"/>
  <c r="D914" i="3"/>
  <c r="C914" i="3"/>
  <c r="B914" i="3"/>
  <c r="A914" i="3"/>
  <c r="M913" i="3"/>
  <c r="L913" i="3"/>
  <c r="K913" i="3"/>
  <c r="J913" i="3"/>
  <c r="I913" i="3"/>
  <c r="H913" i="3"/>
  <c r="G913" i="3"/>
  <c r="F913" i="3"/>
  <c r="E913" i="3"/>
  <c r="D913" i="3"/>
  <c r="C913" i="3"/>
  <c r="B913" i="3"/>
  <c r="A913" i="3"/>
  <c r="M912" i="3"/>
  <c r="L912" i="3"/>
  <c r="K912" i="3"/>
  <c r="J912" i="3"/>
  <c r="I912" i="3"/>
  <c r="H912" i="3"/>
  <c r="G912" i="3"/>
  <c r="F912" i="3"/>
  <c r="E912" i="3"/>
  <c r="D912" i="3"/>
  <c r="C912" i="3"/>
  <c r="B912" i="3"/>
  <c r="A912" i="3"/>
  <c r="M911" i="3"/>
  <c r="L911" i="3"/>
  <c r="K911" i="3"/>
  <c r="J911" i="3"/>
  <c r="I911" i="3"/>
  <c r="H911" i="3"/>
  <c r="G911" i="3"/>
  <c r="F911" i="3"/>
  <c r="E911" i="3"/>
  <c r="D911" i="3"/>
  <c r="C911" i="3"/>
  <c r="B911" i="3"/>
  <c r="A911" i="3"/>
  <c r="M910" i="3"/>
  <c r="L910" i="3"/>
  <c r="K910" i="3"/>
  <c r="J910" i="3"/>
  <c r="I910" i="3"/>
  <c r="H910" i="3"/>
  <c r="G910" i="3"/>
  <c r="F910" i="3"/>
  <c r="E910" i="3"/>
  <c r="D910" i="3"/>
  <c r="C910" i="3"/>
  <c r="B910" i="3"/>
  <c r="A910" i="3"/>
  <c r="M909" i="3"/>
  <c r="L909" i="3"/>
  <c r="K909" i="3"/>
  <c r="J909" i="3"/>
  <c r="I909" i="3"/>
  <c r="H909" i="3"/>
  <c r="G909" i="3"/>
  <c r="F909" i="3"/>
  <c r="E909" i="3"/>
  <c r="D909" i="3"/>
  <c r="C909" i="3"/>
  <c r="B909" i="3"/>
  <c r="A909" i="3"/>
  <c r="M908" i="3"/>
  <c r="L908" i="3"/>
  <c r="K908" i="3"/>
  <c r="J908" i="3"/>
  <c r="I908" i="3"/>
  <c r="H908" i="3"/>
  <c r="G908" i="3"/>
  <c r="F908" i="3"/>
  <c r="E908" i="3"/>
  <c r="D908" i="3"/>
  <c r="C908" i="3"/>
  <c r="B908" i="3"/>
  <c r="A908" i="3"/>
  <c r="M907" i="3"/>
  <c r="L907" i="3"/>
  <c r="K907" i="3"/>
  <c r="J907" i="3"/>
  <c r="I907" i="3"/>
  <c r="H907" i="3"/>
  <c r="G907" i="3"/>
  <c r="F907" i="3"/>
  <c r="E907" i="3"/>
  <c r="D907" i="3"/>
  <c r="C907" i="3"/>
  <c r="B907" i="3"/>
  <c r="A907" i="3"/>
  <c r="M906" i="3"/>
  <c r="L906" i="3"/>
  <c r="K906" i="3"/>
  <c r="J906" i="3"/>
  <c r="I906" i="3"/>
  <c r="H906" i="3"/>
  <c r="G906" i="3"/>
  <c r="F906" i="3"/>
  <c r="E906" i="3"/>
  <c r="D906" i="3"/>
  <c r="C906" i="3"/>
  <c r="B906" i="3"/>
  <c r="A906" i="3"/>
  <c r="M905" i="3"/>
  <c r="L905" i="3"/>
  <c r="K905" i="3"/>
  <c r="J905" i="3"/>
  <c r="I905" i="3"/>
  <c r="H905" i="3"/>
  <c r="G905" i="3"/>
  <c r="F905" i="3"/>
  <c r="E905" i="3"/>
  <c r="D905" i="3"/>
  <c r="C905" i="3"/>
  <c r="B905" i="3"/>
  <c r="A905" i="3"/>
  <c r="M904" i="3"/>
  <c r="L904" i="3"/>
  <c r="K904" i="3"/>
  <c r="J904" i="3"/>
  <c r="I904" i="3"/>
  <c r="H904" i="3"/>
  <c r="G904" i="3"/>
  <c r="F904" i="3"/>
  <c r="E904" i="3"/>
  <c r="D904" i="3"/>
  <c r="C904" i="3"/>
  <c r="B904" i="3"/>
  <c r="A904" i="3"/>
  <c r="M903" i="3"/>
  <c r="L903" i="3"/>
  <c r="K903" i="3"/>
  <c r="J903" i="3"/>
  <c r="I903" i="3"/>
  <c r="H903" i="3"/>
  <c r="G903" i="3"/>
  <c r="F903" i="3"/>
  <c r="E903" i="3"/>
  <c r="D903" i="3"/>
  <c r="C903" i="3"/>
  <c r="B903" i="3"/>
  <c r="A903" i="3"/>
  <c r="M902" i="3"/>
  <c r="L902" i="3"/>
  <c r="K902" i="3"/>
  <c r="J902" i="3"/>
  <c r="I902" i="3"/>
  <c r="H902" i="3"/>
  <c r="G902" i="3"/>
  <c r="F902" i="3"/>
  <c r="E902" i="3"/>
  <c r="D902" i="3"/>
  <c r="C902" i="3"/>
  <c r="B902" i="3"/>
  <c r="A902" i="3"/>
  <c r="M901" i="3"/>
  <c r="L901" i="3"/>
  <c r="K901" i="3"/>
  <c r="J901" i="3"/>
  <c r="I901" i="3"/>
  <c r="H901" i="3"/>
  <c r="G901" i="3"/>
  <c r="F901" i="3"/>
  <c r="E901" i="3"/>
  <c r="D901" i="3"/>
  <c r="C901" i="3"/>
  <c r="B901" i="3"/>
  <c r="A901" i="3"/>
  <c r="M900" i="3"/>
  <c r="L900" i="3"/>
  <c r="K900" i="3"/>
  <c r="J900" i="3"/>
  <c r="I900" i="3"/>
  <c r="H900" i="3"/>
  <c r="G900" i="3"/>
  <c r="F900" i="3"/>
  <c r="E900" i="3"/>
  <c r="D900" i="3"/>
  <c r="C900" i="3"/>
  <c r="B900" i="3"/>
  <c r="A900" i="3"/>
  <c r="M899" i="3"/>
  <c r="L899" i="3"/>
  <c r="K899" i="3"/>
  <c r="J899" i="3"/>
  <c r="I899" i="3"/>
  <c r="H899" i="3"/>
  <c r="G899" i="3"/>
  <c r="F899" i="3"/>
  <c r="E899" i="3"/>
  <c r="D899" i="3"/>
  <c r="C899" i="3"/>
  <c r="B899" i="3"/>
  <c r="A899" i="3"/>
  <c r="M898" i="3"/>
  <c r="L898" i="3"/>
  <c r="K898" i="3"/>
  <c r="J898" i="3"/>
  <c r="I898" i="3"/>
  <c r="H898" i="3"/>
  <c r="G898" i="3"/>
  <c r="F898" i="3"/>
  <c r="E898" i="3"/>
  <c r="D898" i="3"/>
  <c r="C898" i="3"/>
  <c r="B898" i="3"/>
  <c r="A898" i="3"/>
  <c r="M897" i="3"/>
  <c r="L897" i="3"/>
  <c r="K897" i="3"/>
  <c r="J897" i="3"/>
  <c r="I897" i="3"/>
  <c r="H897" i="3"/>
  <c r="G897" i="3"/>
  <c r="F897" i="3"/>
  <c r="E897" i="3"/>
  <c r="D897" i="3"/>
  <c r="C897" i="3"/>
  <c r="B897" i="3"/>
  <c r="A897" i="3"/>
  <c r="M896" i="3"/>
  <c r="L896" i="3"/>
  <c r="K896" i="3"/>
  <c r="J896" i="3"/>
  <c r="I896" i="3"/>
  <c r="H896" i="3"/>
  <c r="G896" i="3"/>
  <c r="F896" i="3"/>
  <c r="E896" i="3"/>
  <c r="D896" i="3"/>
  <c r="C896" i="3"/>
  <c r="B896" i="3"/>
  <c r="A896" i="3"/>
  <c r="M895" i="3"/>
  <c r="L895" i="3"/>
  <c r="K895" i="3"/>
  <c r="J895" i="3"/>
  <c r="I895" i="3"/>
  <c r="H895" i="3"/>
  <c r="G895" i="3"/>
  <c r="F895" i="3"/>
  <c r="E895" i="3"/>
  <c r="D895" i="3"/>
  <c r="C895" i="3"/>
  <c r="B895" i="3"/>
  <c r="A895" i="3"/>
  <c r="M894" i="3"/>
  <c r="L894" i="3"/>
  <c r="K894" i="3"/>
  <c r="J894" i="3"/>
  <c r="I894" i="3"/>
  <c r="H894" i="3"/>
  <c r="G894" i="3"/>
  <c r="F894" i="3"/>
  <c r="E894" i="3"/>
  <c r="D894" i="3"/>
  <c r="C894" i="3"/>
  <c r="B894" i="3"/>
  <c r="A894" i="3"/>
  <c r="M893" i="3"/>
  <c r="L893" i="3"/>
  <c r="K893" i="3"/>
  <c r="J893" i="3"/>
  <c r="I893" i="3"/>
  <c r="H893" i="3"/>
  <c r="G893" i="3"/>
  <c r="F893" i="3"/>
  <c r="E893" i="3"/>
  <c r="D893" i="3"/>
  <c r="C893" i="3"/>
  <c r="B893" i="3"/>
  <c r="A893" i="3"/>
  <c r="M892" i="3"/>
  <c r="L892" i="3"/>
  <c r="K892" i="3"/>
  <c r="J892" i="3"/>
  <c r="I892" i="3"/>
  <c r="H892" i="3"/>
  <c r="G892" i="3"/>
  <c r="F892" i="3"/>
  <c r="E892" i="3"/>
  <c r="D892" i="3"/>
  <c r="C892" i="3"/>
  <c r="B892" i="3"/>
  <c r="A892" i="3"/>
  <c r="M891" i="3"/>
  <c r="L891" i="3"/>
  <c r="K891" i="3"/>
  <c r="J891" i="3"/>
  <c r="I891" i="3"/>
  <c r="H891" i="3"/>
  <c r="G891" i="3"/>
  <c r="F891" i="3"/>
  <c r="E891" i="3"/>
  <c r="D891" i="3"/>
  <c r="C891" i="3"/>
  <c r="B891" i="3"/>
  <c r="A891" i="3"/>
  <c r="M890" i="3"/>
  <c r="L890" i="3"/>
  <c r="K890" i="3"/>
  <c r="J890" i="3"/>
  <c r="I890" i="3"/>
  <c r="H890" i="3"/>
  <c r="G890" i="3"/>
  <c r="F890" i="3"/>
  <c r="E890" i="3"/>
  <c r="D890" i="3"/>
  <c r="C890" i="3"/>
  <c r="B890" i="3"/>
  <c r="A890" i="3"/>
  <c r="M889" i="3"/>
  <c r="L889" i="3"/>
  <c r="K889" i="3"/>
  <c r="J889" i="3"/>
  <c r="I889" i="3"/>
  <c r="H889" i="3"/>
  <c r="G889" i="3"/>
  <c r="F889" i="3"/>
  <c r="E889" i="3"/>
  <c r="D889" i="3"/>
  <c r="C889" i="3"/>
  <c r="B889" i="3"/>
  <c r="A889" i="3"/>
  <c r="M888" i="3"/>
  <c r="L888" i="3"/>
  <c r="K888" i="3"/>
  <c r="J888" i="3"/>
  <c r="I888" i="3"/>
  <c r="H888" i="3"/>
  <c r="G888" i="3"/>
  <c r="F888" i="3"/>
  <c r="E888" i="3"/>
  <c r="D888" i="3"/>
  <c r="C888" i="3"/>
  <c r="B888" i="3"/>
  <c r="A888" i="3"/>
  <c r="M887" i="3"/>
  <c r="L887" i="3"/>
  <c r="K887" i="3"/>
  <c r="J887" i="3"/>
  <c r="I887" i="3"/>
  <c r="H887" i="3"/>
  <c r="G887" i="3"/>
  <c r="F887" i="3"/>
  <c r="E887" i="3"/>
  <c r="D887" i="3"/>
  <c r="C887" i="3"/>
  <c r="B887" i="3"/>
  <c r="A887" i="3"/>
  <c r="M886" i="3"/>
  <c r="L886" i="3"/>
  <c r="K886" i="3"/>
  <c r="J886" i="3"/>
  <c r="I886" i="3"/>
  <c r="H886" i="3"/>
  <c r="G886" i="3"/>
  <c r="F886" i="3"/>
  <c r="E886" i="3"/>
  <c r="D886" i="3"/>
  <c r="C886" i="3"/>
  <c r="B886" i="3"/>
  <c r="A886" i="3"/>
  <c r="M885" i="3"/>
  <c r="L885" i="3"/>
  <c r="K885" i="3"/>
  <c r="J885" i="3"/>
  <c r="I885" i="3"/>
  <c r="H885" i="3"/>
  <c r="G885" i="3"/>
  <c r="F885" i="3"/>
  <c r="E885" i="3"/>
  <c r="D885" i="3"/>
  <c r="C885" i="3"/>
  <c r="B885" i="3"/>
  <c r="A885" i="3"/>
  <c r="M884" i="3"/>
  <c r="L884" i="3"/>
  <c r="K884" i="3"/>
  <c r="J884" i="3"/>
  <c r="I884" i="3"/>
  <c r="H884" i="3"/>
  <c r="G884" i="3"/>
  <c r="F884" i="3"/>
  <c r="E884" i="3"/>
  <c r="D884" i="3"/>
  <c r="C884" i="3"/>
  <c r="B884" i="3"/>
  <c r="A884" i="3"/>
  <c r="M883" i="3"/>
  <c r="L883" i="3"/>
  <c r="K883" i="3"/>
  <c r="J883" i="3"/>
  <c r="I883" i="3"/>
  <c r="H883" i="3"/>
  <c r="G883" i="3"/>
  <c r="F883" i="3"/>
  <c r="E883" i="3"/>
  <c r="D883" i="3"/>
  <c r="C883" i="3"/>
  <c r="B883" i="3"/>
  <c r="A883" i="3"/>
  <c r="M882" i="3"/>
  <c r="L882" i="3"/>
  <c r="K882" i="3"/>
  <c r="J882" i="3"/>
  <c r="I882" i="3"/>
  <c r="H882" i="3"/>
  <c r="G882" i="3"/>
  <c r="F882" i="3"/>
  <c r="E882" i="3"/>
  <c r="D882" i="3"/>
  <c r="C882" i="3"/>
  <c r="B882" i="3"/>
  <c r="A882" i="3"/>
  <c r="M881" i="3"/>
  <c r="L881" i="3"/>
  <c r="K881" i="3"/>
  <c r="J881" i="3"/>
  <c r="I881" i="3"/>
  <c r="H881" i="3"/>
  <c r="G881" i="3"/>
  <c r="F881" i="3"/>
  <c r="E881" i="3"/>
  <c r="D881" i="3"/>
  <c r="C881" i="3"/>
  <c r="B881" i="3"/>
  <c r="A881" i="3"/>
  <c r="M880" i="3"/>
  <c r="L880" i="3"/>
  <c r="K880" i="3"/>
  <c r="J880" i="3"/>
  <c r="I880" i="3"/>
  <c r="H880" i="3"/>
  <c r="G880" i="3"/>
  <c r="F880" i="3"/>
  <c r="E880" i="3"/>
  <c r="D880" i="3"/>
  <c r="C880" i="3"/>
  <c r="B880" i="3"/>
  <c r="A880" i="3"/>
  <c r="M879" i="3"/>
  <c r="L879" i="3"/>
  <c r="K879" i="3"/>
  <c r="J879" i="3"/>
  <c r="I879" i="3"/>
  <c r="H879" i="3"/>
  <c r="G879" i="3"/>
  <c r="F879" i="3"/>
  <c r="E879" i="3"/>
  <c r="D879" i="3"/>
  <c r="C879" i="3"/>
  <c r="B879" i="3"/>
  <c r="A879" i="3"/>
  <c r="M878" i="3"/>
  <c r="L878" i="3"/>
  <c r="K878" i="3"/>
  <c r="J878" i="3"/>
  <c r="I878" i="3"/>
  <c r="H878" i="3"/>
  <c r="G878" i="3"/>
  <c r="F878" i="3"/>
  <c r="E878" i="3"/>
  <c r="D878" i="3"/>
  <c r="C878" i="3"/>
  <c r="B878" i="3"/>
  <c r="A878" i="3"/>
  <c r="M877" i="3"/>
  <c r="L877" i="3"/>
  <c r="K877" i="3"/>
  <c r="J877" i="3"/>
  <c r="I877" i="3"/>
  <c r="H877" i="3"/>
  <c r="G877" i="3"/>
  <c r="F877" i="3"/>
  <c r="E877" i="3"/>
  <c r="D877" i="3"/>
  <c r="C877" i="3"/>
  <c r="B877" i="3"/>
  <c r="A877" i="3"/>
  <c r="M876" i="3"/>
  <c r="L876" i="3"/>
  <c r="K876" i="3"/>
  <c r="J876" i="3"/>
  <c r="I876" i="3"/>
  <c r="H876" i="3"/>
  <c r="G876" i="3"/>
  <c r="F876" i="3"/>
  <c r="E876" i="3"/>
  <c r="D876" i="3"/>
  <c r="C876" i="3"/>
  <c r="B876" i="3"/>
  <c r="A876" i="3"/>
  <c r="M875" i="3"/>
  <c r="L875" i="3"/>
  <c r="K875" i="3"/>
  <c r="J875" i="3"/>
  <c r="I875" i="3"/>
  <c r="H875" i="3"/>
  <c r="G875" i="3"/>
  <c r="F875" i="3"/>
  <c r="E875" i="3"/>
  <c r="D875" i="3"/>
  <c r="C875" i="3"/>
  <c r="B875" i="3"/>
  <c r="A875" i="3"/>
  <c r="M874" i="3"/>
  <c r="L874" i="3"/>
  <c r="K874" i="3"/>
  <c r="J874" i="3"/>
  <c r="I874" i="3"/>
  <c r="H874" i="3"/>
  <c r="G874" i="3"/>
  <c r="F874" i="3"/>
  <c r="E874" i="3"/>
  <c r="D874" i="3"/>
  <c r="C874" i="3"/>
  <c r="B874" i="3"/>
  <c r="A874" i="3"/>
  <c r="M873" i="3"/>
  <c r="L873" i="3"/>
  <c r="K873" i="3"/>
  <c r="J873" i="3"/>
  <c r="I873" i="3"/>
  <c r="H873" i="3"/>
  <c r="G873" i="3"/>
  <c r="F873" i="3"/>
  <c r="E873" i="3"/>
  <c r="D873" i="3"/>
  <c r="C873" i="3"/>
  <c r="B873" i="3"/>
  <c r="A873" i="3"/>
  <c r="M872" i="3"/>
  <c r="L872" i="3"/>
  <c r="K872" i="3"/>
  <c r="J872" i="3"/>
  <c r="I872" i="3"/>
  <c r="H872" i="3"/>
  <c r="G872" i="3"/>
  <c r="F872" i="3"/>
  <c r="E872" i="3"/>
  <c r="D872" i="3"/>
  <c r="C872" i="3"/>
  <c r="B872" i="3"/>
  <c r="A872" i="3"/>
  <c r="M871" i="3"/>
  <c r="L871" i="3"/>
  <c r="K871" i="3"/>
  <c r="J871" i="3"/>
  <c r="I871" i="3"/>
  <c r="H871" i="3"/>
  <c r="G871" i="3"/>
  <c r="F871" i="3"/>
  <c r="E871" i="3"/>
  <c r="D871" i="3"/>
  <c r="C871" i="3"/>
  <c r="B871" i="3"/>
  <c r="A871" i="3"/>
  <c r="M870" i="3"/>
  <c r="L870" i="3"/>
  <c r="K870" i="3"/>
  <c r="J870" i="3"/>
  <c r="I870" i="3"/>
  <c r="H870" i="3"/>
  <c r="G870" i="3"/>
  <c r="F870" i="3"/>
  <c r="E870" i="3"/>
  <c r="D870" i="3"/>
  <c r="C870" i="3"/>
  <c r="B870" i="3"/>
  <c r="A870" i="3"/>
  <c r="M869" i="3"/>
  <c r="L869" i="3"/>
  <c r="K869" i="3"/>
  <c r="J869" i="3"/>
  <c r="I869" i="3"/>
  <c r="H869" i="3"/>
  <c r="G869" i="3"/>
  <c r="F869" i="3"/>
  <c r="E869" i="3"/>
  <c r="D869" i="3"/>
  <c r="C869" i="3"/>
  <c r="B869" i="3"/>
  <c r="A869" i="3"/>
  <c r="M868" i="3"/>
  <c r="L868" i="3"/>
  <c r="K868" i="3"/>
  <c r="J868" i="3"/>
  <c r="I868" i="3"/>
  <c r="H868" i="3"/>
  <c r="G868" i="3"/>
  <c r="F868" i="3"/>
  <c r="E868" i="3"/>
  <c r="D868" i="3"/>
  <c r="C868" i="3"/>
  <c r="B868" i="3"/>
  <c r="A868" i="3"/>
  <c r="M867" i="3"/>
  <c r="L867" i="3"/>
  <c r="K867" i="3"/>
  <c r="J867" i="3"/>
  <c r="I867" i="3"/>
  <c r="H867" i="3"/>
  <c r="G867" i="3"/>
  <c r="F867" i="3"/>
  <c r="E867" i="3"/>
  <c r="D867" i="3"/>
  <c r="C867" i="3"/>
  <c r="B867" i="3"/>
  <c r="A867" i="3"/>
  <c r="M866" i="3"/>
  <c r="L866" i="3"/>
  <c r="K866" i="3"/>
  <c r="J866" i="3"/>
  <c r="I866" i="3"/>
  <c r="H866" i="3"/>
  <c r="G866" i="3"/>
  <c r="F866" i="3"/>
  <c r="E866" i="3"/>
  <c r="D866" i="3"/>
  <c r="C866" i="3"/>
  <c r="B866" i="3"/>
  <c r="A866" i="3"/>
  <c r="M865" i="3"/>
  <c r="L865" i="3"/>
  <c r="K865" i="3"/>
  <c r="J865" i="3"/>
  <c r="I865" i="3"/>
  <c r="H865" i="3"/>
  <c r="G865" i="3"/>
  <c r="F865" i="3"/>
  <c r="E865" i="3"/>
  <c r="D865" i="3"/>
  <c r="C865" i="3"/>
  <c r="B865" i="3"/>
  <c r="A865" i="3"/>
  <c r="M864" i="3"/>
  <c r="L864" i="3"/>
  <c r="K864" i="3"/>
  <c r="J864" i="3"/>
  <c r="I864" i="3"/>
  <c r="H864" i="3"/>
  <c r="G864" i="3"/>
  <c r="F864" i="3"/>
  <c r="E864" i="3"/>
  <c r="D864" i="3"/>
  <c r="C864" i="3"/>
  <c r="B864" i="3"/>
  <c r="A864" i="3"/>
  <c r="M863" i="3"/>
  <c r="L863" i="3"/>
  <c r="K863" i="3"/>
  <c r="J863" i="3"/>
  <c r="I863" i="3"/>
  <c r="H863" i="3"/>
  <c r="G863" i="3"/>
  <c r="F863" i="3"/>
  <c r="E863" i="3"/>
  <c r="D863" i="3"/>
  <c r="C863" i="3"/>
  <c r="B863" i="3"/>
  <c r="A863" i="3"/>
  <c r="M862" i="3"/>
  <c r="L862" i="3"/>
  <c r="K862" i="3"/>
  <c r="J862" i="3"/>
  <c r="I862" i="3"/>
  <c r="H862" i="3"/>
  <c r="G862" i="3"/>
  <c r="F862" i="3"/>
  <c r="E862" i="3"/>
  <c r="D862" i="3"/>
  <c r="C862" i="3"/>
  <c r="B862" i="3"/>
  <c r="A862" i="3"/>
  <c r="M861" i="3"/>
  <c r="L861" i="3"/>
  <c r="K861" i="3"/>
  <c r="J861" i="3"/>
  <c r="I861" i="3"/>
  <c r="H861" i="3"/>
  <c r="G861" i="3"/>
  <c r="F861" i="3"/>
  <c r="E861" i="3"/>
  <c r="D861" i="3"/>
  <c r="C861" i="3"/>
  <c r="B861" i="3"/>
  <c r="A861" i="3"/>
  <c r="M860" i="3"/>
  <c r="L860" i="3"/>
  <c r="K860" i="3"/>
  <c r="J860" i="3"/>
  <c r="I860" i="3"/>
  <c r="H860" i="3"/>
  <c r="G860" i="3"/>
  <c r="F860" i="3"/>
  <c r="E860" i="3"/>
  <c r="D860" i="3"/>
  <c r="C860" i="3"/>
  <c r="B860" i="3"/>
  <c r="A860" i="3"/>
  <c r="M859" i="3"/>
  <c r="L859" i="3"/>
  <c r="K859" i="3"/>
  <c r="J859" i="3"/>
  <c r="I859" i="3"/>
  <c r="H859" i="3"/>
  <c r="G859" i="3"/>
  <c r="F859" i="3"/>
  <c r="E859" i="3"/>
  <c r="D859" i="3"/>
  <c r="C859" i="3"/>
  <c r="B859" i="3"/>
  <c r="A859" i="3"/>
  <c r="M858" i="3"/>
  <c r="L858" i="3"/>
  <c r="K858" i="3"/>
  <c r="J858" i="3"/>
  <c r="I858" i="3"/>
  <c r="H858" i="3"/>
  <c r="G858" i="3"/>
  <c r="F858" i="3"/>
  <c r="E858" i="3"/>
  <c r="D858" i="3"/>
  <c r="C858" i="3"/>
  <c r="B858" i="3"/>
  <c r="A858" i="3"/>
  <c r="M857" i="3"/>
  <c r="L857" i="3"/>
  <c r="K857" i="3"/>
  <c r="J857" i="3"/>
  <c r="I857" i="3"/>
  <c r="H857" i="3"/>
  <c r="G857" i="3"/>
  <c r="F857" i="3"/>
  <c r="E857" i="3"/>
  <c r="D857" i="3"/>
  <c r="C857" i="3"/>
  <c r="B857" i="3"/>
  <c r="A857" i="3"/>
  <c r="M856" i="3"/>
  <c r="L856" i="3"/>
  <c r="K856" i="3"/>
  <c r="J856" i="3"/>
  <c r="I856" i="3"/>
  <c r="H856" i="3"/>
  <c r="G856" i="3"/>
  <c r="F856" i="3"/>
  <c r="E856" i="3"/>
  <c r="D856" i="3"/>
  <c r="C856" i="3"/>
  <c r="B856" i="3"/>
  <c r="A856" i="3"/>
  <c r="M855" i="3"/>
  <c r="L855" i="3"/>
  <c r="K855" i="3"/>
  <c r="J855" i="3"/>
  <c r="I855" i="3"/>
  <c r="H855" i="3"/>
  <c r="G855" i="3"/>
  <c r="F855" i="3"/>
  <c r="E855" i="3"/>
  <c r="D855" i="3"/>
  <c r="C855" i="3"/>
  <c r="B855" i="3"/>
  <c r="A855" i="3"/>
  <c r="M854" i="3"/>
  <c r="L854" i="3"/>
  <c r="K854" i="3"/>
  <c r="J854" i="3"/>
  <c r="I854" i="3"/>
  <c r="H854" i="3"/>
  <c r="G854" i="3"/>
  <c r="F854" i="3"/>
  <c r="E854" i="3"/>
  <c r="D854" i="3"/>
  <c r="C854" i="3"/>
  <c r="B854" i="3"/>
  <c r="A854" i="3"/>
  <c r="M853" i="3"/>
  <c r="L853" i="3"/>
  <c r="K853" i="3"/>
  <c r="J853" i="3"/>
  <c r="I853" i="3"/>
  <c r="H853" i="3"/>
  <c r="G853" i="3"/>
  <c r="F853" i="3"/>
  <c r="E853" i="3"/>
  <c r="D853" i="3"/>
  <c r="C853" i="3"/>
  <c r="B853" i="3"/>
  <c r="A853" i="3"/>
  <c r="M852" i="3"/>
  <c r="L852" i="3"/>
  <c r="K852" i="3"/>
  <c r="J852" i="3"/>
  <c r="I852" i="3"/>
  <c r="H852" i="3"/>
  <c r="G852" i="3"/>
  <c r="F852" i="3"/>
  <c r="E852" i="3"/>
  <c r="D852" i="3"/>
  <c r="C852" i="3"/>
  <c r="B852" i="3"/>
  <c r="A852" i="3"/>
  <c r="M851" i="3"/>
  <c r="L851" i="3"/>
  <c r="K851" i="3"/>
  <c r="J851" i="3"/>
  <c r="I851" i="3"/>
  <c r="H851" i="3"/>
  <c r="G851" i="3"/>
  <c r="F851" i="3"/>
  <c r="E851" i="3"/>
  <c r="D851" i="3"/>
  <c r="C851" i="3"/>
  <c r="B851" i="3"/>
  <c r="A851" i="3"/>
  <c r="M850" i="3"/>
  <c r="L850" i="3"/>
  <c r="K850" i="3"/>
  <c r="J850" i="3"/>
  <c r="I850" i="3"/>
  <c r="H850" i="3"/>
  <c r="G850" i="3"/>
  <c r="F850" i="3"/>
  <c r="E850" i="3"/>
  <c r="D850" i="3"/>
  <c r="C850" i="3"/>
  <c r="B850" i="3"/>
  <c r="A850" i="3"/>
  <c r="M849" i="3"/>
  <c r="L849" i="3"/>
  <c r="K849" i="3"/>
  <c r="J849" i="3"/>
  <c r="I849" i="3"/>
  <c r="H849" i="3"/>
  <c r="G849" i="3"/>
  <c r="F849" i="3"/>
  <c r="E849" i="3"/>
  <c r="D849" i="3"/>
  <c r="C849" i="3"/>
  <c r="B849" i="3"/>
  <c r="A849" i="3"/>
  <c r="M848" i="3"/>
  <c r="L848" i="3"/>
  <c r="K848" i="3"/>
  <c r="J848" i="3"/>
  <c r="I848" i="3"/>
  <c r="H848" i="3"/>
  <c r="G848" i="3"/>
  <c r="F848" i="3"/>
  <c r="E848" i="3"/>
  <c r="D848" i="3"/>
  <c r="C848" i="3"/>
  <c r="B848" i="3"/>
  <c r="A848" i="3"/>
  <c r="M847" i="3"/>
  <c r="L847" i="3"/>
  <c r="K847" i="3"/>
  <c r="J847" i="3"/>
  <c r="I847" i="3"/>
  <c r="H847" i="3"/>
  <c r="G847" i="3"/>
  <c r="F847" i="3"/>
  <c r="E847" i="3"/>
  <c r="D847" i="3"/>
  <c r="C847" i="3"/>
  <c r="B847" i="3"/>
  <c r="A847" i="3"/>
  <c r="M846" i="3"/>
  <c r="L846" i="3"/>
  <c r="K846" i="3"/>
  <c r="J846" i="3"/>
  <c r="I846" i="3"/>
  <c r="H846" i="3"/>
  <c r="G846" i="3"/>
  <c r="F846" i="3"/>
  <c r="E846" i="3"/>
  <c r="D846" i="3"/>
  <c r="C846" i="3"/>
  <c r="B846" i="3"/>
  <c r="A846" i="3"/>
  <c r="M845" i="3"/>
  <c r="L845" i="3"/>
  <c r="K845" i="3"/>
  <c r="J845" i="3"/>
  <c r="I845" i="3"/>
  <c r="H845" i="3"/>
  <c r="G845" i="3"/>
  <c r="F845" i="3"/>
  <c r="E845" i="3"/>
  <c r="D845" i="3"/>
  <c r="C845" i="3"/>
  <c r="B845" i="3"/>
  <c r="A845" i="3"/>
  <c r="M844" i="3"/>
  <c r="L844" i="3"/>
  <c r="K844" i="3"/>
  <c r="J844" i="3"/>
  <c r="I844" i="3"/>
  <c r="H844" i="3"/>
  <c r="G844" i="3"/>
  <c r="F844" i="3"/>
  <c r="E844" i="3"/>
  <c r="D844" i="3"/>
  <c r="C844" i="3"/>
  <c r="B844" i="3"/>
  <c r="A844" i="3"/>
  <c r="M843" i="3"/>
  <c r="L843" i="3"/>
  <c r="K843" i="3"/>
  <c r="J843" i="3"/>
  <c r="I843" i="3"/>
  <c r="H843" i="3"/>
  <c r="G843" i="3"/>
  <c r="F843" i="3"/>
  <c r="E843" i="3"/>
  <c r="D843" i="3"/>
  <c r="C843" i="3"/>
  <c r="B843" i="3"/>
  <c r="A843" i="3"/>
  <c r="M842" i="3"/>
  <c r="L842" i="3"/>
  <c r="K842" i="3"/>
  <c r="J842" i="3"/>
  <c r="I842" i="3"/>
  <c r="H842" i="3"/>
  <c r="G842" i="3"/>
  <c r="F842" i="3"/>
  <c r="E842" i="3"/>
  <c r="D842" i="3"/>
  <c r="C842" i="3"/>
  <c r="B842" i="3"/>
  <c r="A842" i="3"/>
  <c r="M841" i="3"/>
  <c r="L841" i="3"/>
  <c r="K841" i="3"/>
  <c r="J841" i="3"/>
  <c r="I841" i="3"/>
  <c r="H841" i="3"/>
  <c r="G841" i="3"/>
  <c r="F841" i="3"/>
  <c r="E841" i="3"/>
  <c r="D841" i="3"/>
  <c r="C841" i="3"/>
  <c r="B841" i="3"/>
  <c r="A841" i="3"/>
  <c r="M840" i="3"/>
  <c r="L840" i="3"/>
  <c r="K840" i="3"/>
  <c r="J840" i="3"/>
  <c r="I840" i="3"/>
  <c r="H840" i="3"/>
  <c r="G840" i="3"/>
  <c r="F840" i="3"/>
  <c r="E840" i="3"/>
  <c r="D840" i="3"/>
  <c r="C840" i="3"/>
  <c r="B840" i="3"/>
  <c r="A840" i="3"/>
  <c r="M839" i="3"/>
  <c r="L839" i="3"/>
  <c r="K839" i="3"/>
  <c r="J839" i="3"/>
  <c r="I839" i="3"/>
  <c r="H839" i="3"/>
  <c r="G839" i="3"/>
  <c r="F839" i="3"/>
  <c r="E839" i="3"/>
  <c r="D839" i="3"/>
  <c r="C839" i="3"/>
  <c r="B839" i="3"/>
  <c r="A839" i="3"/>
  <c r="M838" i="3"/>
  <c r="L838" i="3"/>
  <c r="K838" i="3"/>
  <c r="J838" i="3"/>
  <c r="I838" i="3"/>
  <c r="H838" i="3"/>
  <c r="G838" i="3"/>
  <c r="F838" i="3"/>
  <c r="E838" i="3"/>
  <c r="D838" i="3"/>
  <c r="C838" i="3"/>
  <c r="B838" i="3"/>
  <c r="A838" i="3"/>
  <c r="M837" i="3"/>
  <c r="L837" i="3"/>
  <c r="K837" i="3"/>
  <c r="J837" i="3"/>
  <c r="I837" i="3"/>
  <c r="H837" i="3"/>
  <c r="G837" i="3"/>
  <c r="F837" i="3"/>
  <c r="E837" i="3"/>
  <c r="D837" i="3"/>
  <c r="C837" i="3"/>
  <c r="B837" i="3"/>
  <c r="A837" i="3"/>
  <c r="M836" i="3"/>
  <c r="L836" i="3"/>
  <c r="K836" i="3"/>
  <c r="J836" i="3"/>
  <c r="I836" i="3"/>
  <c r="H836" i="3"/>
  <c r="G836" i="3"/>
  <c r="F836" i="3"/>
  <c r="E836" i="3"/>
  <c r="D836" i="3"/>
  <c r="C836" i="3"/>
  <c r="B836" i="3"/>
  <c r="A836" i="3"/>
  <c r="M835" i="3"/>
  <c r="L835" i="3"/>
  <c r="K835" i="3"/>
  <c r="J835" i="3"/>
  <c r="I835" i="3"/>
  <c r="H835" i="3"/>
  <c r="G835" i="3"/>
  <c r="F835" i="3"/>
  <c r="E835" i="3"/>
  <c r="D835" i="3"/>
  <c r="C835" i="3"/>
  <c r="B835" i="3"/>
  <c r="A835" i="3"/>
  <c r="M834" i="3"/>
  <c r="L834" i="3"/>
  <c r="K834" i="3"/>
  <c r="J834" i="3"/>
  <c r="I834" i="3"/>
  <c r="H834" i="3"/>
  <c r="G834" i="3"/>
  <c r="F834" i="3"/>
  <c r="E834" i="3"/>
  <c r="D834" i="3"/>
  <c r="C834" i="3"/>
  <c r="B834" i="3"/>
  <c r="A834" i="3"/>
  <c r="M833" i="3"/>
  <c r="L833" i="3"/>
  <c r="K833" i="3"/>
  <c r="J833" i="3"/>
  <c r="I833" i="3"/>
  <c r="H833" i="3"/>
  <c r="G833" i="3"/>
  <c r="F833" i="3"/>
  <c r="E833" i="3"/>
  <c r="D833" i="3"/>
  <c r="C833" i="3"/>
  <c r="B833" i="3"/>
  <c r="A833" i="3"/>
  <c r="M832" i="3"/>
  <c r="L832" i="3"/>
  <c r="K832" i="3"/>
  <c r="J832" i="3"/>
  <c r="I832" i="3"/>
  <c r="H832" i="3"/>
  <c r="G832" i="3"/>
  <c r="F832" i="3"/>
  <c r="E832" i="3"/>
  <c r="D832" i="3"/>
  <c r="C832" i="3"/>
  <c r="B832" i="3"/>
  <c r="A832" i="3"/>
  <c r="M831" i="3"/>
  <c r="L831" i="3"/>
  <c r="K831" i="3"/>
  <c r="J831" i="3"/>
  <c r="I831" i="3"/>
  <c r="H831" i="3"/>
  <c r="G831" i="3"/>
  <c r="F831" i="3"/>
  <c r="E831" i="3"/>
  <c r="D831" i="3"/>
  <c r="C831" i="3"/>
  <c r="B831" i="3"/>
  <c r="A831" i="3"/>
  <c r="M830" i="3"/>
  <c r="L830" i="3"/>
  <c r="K830" i="3"/>
  <c r="J830" i="3"/>
  <c r="I830" i="3"/>
  <c r="H830" i="3"/>
  <c r="G830" i="3"/>
  <c r="F830" i="3"/>
  <c r="E830" i="3"/>
  <c r="D830" i="3"/>
  <c r="C830" i="3"/>
  <c r="B830" i="3"/>
  <c r="A830" i="3"/>
  <c r="M829" i="3"/>
  <c r="L829" i="3"/>
  <c r="K829" i="3"/>
  <c r="J829" i="3"/>
  <c r="I829" i="3"/>
  <c r="H829" i="3"/>
  <c r="G829" i="3"/>
  <c r="F829" i="3"/>
  <c r="E829" i="3"/>
  <c r="D829" i="3"/>
  <c r="C829" i="3"/>
  <c r="B829" i="3"/>
  <c r="A829" i="3"/>
  <c r="M828" i="3"/>
  <c r="L828" i="3"/>
  <c r="K828" i="3"/>
  <c r="J828" i="3"/>
  <c r="I828" i="3"/>
  <c r="H828" i="3"/>
  <c r="G828" i="3"/>
  <c r="F828" i="3"/>
  <c r="E828" i="3"/>
  <c r="D828" i="3"/>
  <c r="C828" i="3"/>
  <c r="B828" i="3"/>
  <c r="A828" i="3"/>
  <c r="M827" i="3"/>
  <c r="L827" i="3"/>
  <c r="K827" i="3"/>
  <c r="J827" i="3"/>
  <c r="I827" i="3"/>
  <c r="H827" i="3"/>
  <c r="G827" i="3"/>
  <c r="F827" i="3"/>
  <c r="E827" i="3"/>
  <c r="D827" i="3"/>
  <c r="C827" i="3"/>
  <c r="B827" i="3"/>
  <c r="A827" i="3"/>
  <c r="M826" i="3"/>
  <c r="L826" i="3"/>
  <c r="K826" i="3"/>
  <c r="J826" i="3"/>
  <c r="I826" i="3"/>
  <c r="H826" i="3"/>
  <c r="G826" i="3"/>
  <c r="F826" i="3"/>
  <c r="E826" i="3"/>
  <c r="D826" i="3"/>
  <c r="C826" i="3"/>
  <c r="B826" i="3"/>
  <c r="A826" i="3"/>
  <c r="M825" i="3"/>
  <c r="L825" i="3"/>
  <c r="K825" i="3"/>
  <c r="J825" i="3"/>
  <c r="I825" i="3"/>
  <c r="H825" i="3"/>
  <c r="G825" i="3"/>
  <c r="F825" i="3"/>
  <c r="E825" i="3"/>
  <c r="D825" i="3"/>
  <c r="C825" i="3"/>
  <c r="B825" i="3"/>
  <c r="A825" i="3"/>
  <c r="M824" i="3"/>
  <c r="L824" i="3"/>
  <c r="K824" i="3"/>
  <c r="J824" i="3"/>
  <c r="I824" i="3"/>
  <c r="H824" i="3"/>
  <c r="G824" i="3"/>
  <c r="F824" i="3"/>
  <c r="E824" i="3"/>
  <c r="D824" i="3"/>
  <c r="C824" i="3"/>
  <c r="B824" i="3"/>
  <c r="A824" i="3"/>
  <c r="M823" i="3"/>
  <c r="L823" i="3"/>
  <c r="K823" i="3"/>
  <c r="J823" i="3"/>
  <c r="I823" i="3"/>
  <c r="H823" i="3"/>
  <c r="G823" i="3"/>
  <c r="F823" i="3"/>
  <c r="E823" i="3"/>
  <c r="D823" i="3"/>
  <c r="C823" i="3"/>
  <c r="B823" i="3"/>
  <c r="A823" i="3"/>
  <c r="M822" i="3"/>
  <c r="L822" i="3"/>
  <c r="K822" i="3"/>
  <c r="J822" i="3"/>
  <c r="I822" i="3"/>
  <c r="H822" i="3"/>
  <c r="G822" i="3"/>
  <c r="F822" i="3"/>
  <c r="E822" i="3"/>
  <c r="D822" i="3"/>
  <c r="C822" i="3"/>
  <c r="B822" i="3"/>
  <c r="A822" i="3"/>
  <c r="M821" i="3"/>
  <c r="L821" i="3"/>
  <c r="K821" i="3"/>
  <c r="J821" i="3"/>
  <c r="I821" i="3"/>
  <c r="H821" i="3"/>
  <c r="G821" i="3"/>
  <c r="F821" i="3"/>
  <c r="E821" i="3"/>
  <c r="D821" i="3"/>
  <c r="C821" i="3"/>
  <c r="B821" i="3"/>
  <c r="A821" i="3"/>
  <c r="M820" i="3"/>
  <c r="L820" i="3"/>
  <c r="K820" i="3"/>
  <c r="J820" i="3"/>
  <c r="I820" i="3"/>
  <c r="H820" i="3"/>
  <c r="G820" i="3"/>
  <c r="F820" i="3"/>
  <c r="E820" i="3"/>
  <c r="D820" i="3"/>
  <c r="C820" i="3"/>
  <c r="B820" i="3"/>
  <c r="A820" i="3"/>
  <c r="M819" i="3"/>
  <c r="L819" i="3"/>
  <c r="K819" i="3"/>
  <c r="J819" i="3"/>
  <c r="I819" i="3"/>
  <c r="H819" i="3"/>
  <c r="G819" i="3"/>
  <c r="F819" i="3"/>
  <c r="E819" i="3"/>
  <c r="D819" i="3"/>
  <c r="C819" i="3"/>
  <c r="B819" i="3"/>
  <c r="A819" i="3"/>
  <c r="M818" i="3"/>
  <c r="L818" i="3"/>
  <c r="K818" i="3"/>
  <c r="J818" i="3"/>
  <c r="I818" i="3"/>
  <c r="H818" i="3"/>
  <c r="G818" i="3"/>
  <c r="F818" i="3"/>
  <c r="E818" i="3"/>
  <c r="D818" i="3"/>
  <c r="C818" i="3"/>
  <c r="B818" i="3"/>
  <c r="A818" i="3"/>
  <c r="M817" i="3"/>
  <c r="L817" i="3"/>
  <c r="K817" i="3"/>
  <c r="J817" i="3"/>
  <c r="I817" i="3"/>
  <c r="H817" i="3"/>
  <c r="G817" i="3"/>
  <c r="F817" i="3"/>
  <c r="E817" i="3"/>
  <c r="D817" i="3"/>
  <c r="C817" i="3"/>
  <c r="B817" i="3"/>
  <c r="A817" i="3"/>
  <c r="M816" i="3"/>
  <c r="L816" i="3"/>
  <c r="K816" i="3"/>
  <c r="J816" i="3"/>
  <c r="I816" i="3"/>
  <c r="H816" i="3"/>
  <c r="G816" i="3"/>
  <c r="F816" i="3"/>
  <c r="E816" i="3"/>
  <c r="D816" i="3"/>
  <c r="C816" i="3"/>
  <c r="B816" i="3"/>
  <c r="A816" i="3"/>
  <c r="M815" i="3"/>
  <c r="L815" i="3"/>
  <c r="K815" i="3"/>
  <c r="J815" i="3"/>
  <c r="I815" i="3"/>
  <c r="H815" i="3"/>
  <c r="G815" i="3"/>
  <c r="F815" i="3"/>
  <c r="E815" i="3"/>
  <c r="D815" i="3"/>
  <c r="C815" i="3"/>
  <c r="B815" i="3"/>
  <c r="A815" i="3"/>
  <c r="M814" i="3"/>
  <c r="L814" i="3"/>
  <c r="K814" i="3"/>
  <c r="J814" i="3"/>
  <c r="I814" i="3"/>
  <c r="H814" i="3"/>
  <c r="G814" i="3"/>
  <c r="F814" i="3"/>
  <c r="E814" i="3"/>
  <c r="D814" i="3"/>
  <c r="C814" i="3"/>
  <c r="B814" i="3"/>
  <c r="A814" i="3"/>
  <c r="M813" i="3"/>
  <c r="L813" i="3"/>
  <c r="K813" i="3"/>
  <c r="J813" i="3"/>
  <c r="I813" i="3"/>
  <c r="H813" i="3"/>
  <c r="G813" i="3"/>
  <c r="F813" i="3"/>
  <c r="E813" i="3"/>
  <c r="D813" i="3"/>
  <c r="C813" i="3"/>
  <c r="B813" i="3"/>
  <c r="A813" i="3"/>
  <c r="M812" i="3"/>
  <c r="L812" i="3"/>
  <c r="K812" i="3"/>
  <c r="J812" i="3"/>
  <c r="I812" i="3"/>
  <c r="H812" i="3"/>
  <c r="G812" i="3"/>
  <c r="F812" i="3"/>
  <c r="E812" i="3"/>
  <c r="D812" i="3"/>
  <c r="C812" i="3"/>
  <c r="B812" i="3"/>
  <c r="A812" i="3"/>
  <c r="M811" i="3"/>
  <c r="L811" i="3"/>
  <c r="K811" i="3"/>
  <c r="J811" i="3"/>
  <c r="I811" i="3"/>
  <c r="H811" i="3"/>
  <c r="G811" i="3"/>
  <c r="F811" i="3"/>
  <c r="E811" i="3"/>
  <c r="D811" i="3"/>
  <c r="C811" i="3"/>
  <c r="B811" i="3"/>
  <c r="A811" i="3"/>
  <c r="M810" i="3"/>
  <c r="L810" i="3"/>
  <c r="K810" i="3"/>
  <c r="J810" i="3"/>
  <c r="I810" i="3"/>
  <c r="H810" i="3"/>
  <c r="G810" i="3"/>
  <c r="F810" i="3"/>
  <c r="E810" i="3"/>
  <c r="D810" i="3"/>
  <c r="C810" i="3"/>
  <c r="B810" i="3"/>
  <c r="A810" i="3"/>
  <c r="M809" i="3"/>
  <c r="L809" i="3"/>
  <c r="K809" i="3"/>
  <c r="J809" i="3"/>
  <c r="I809" i="3"/>
  <c r="H809" i="3"/>
  <c r="G809" i="3"/>
  <c r="F809" i="3"/>
  <c r="E809" i="3"/>
  <c r="D809" i="3"/>
  <c r="C809" i="3"/>
  <c r="B809" i="3"/>
  <c r="A809" i="3"/>
  <c r="M808" i="3"/>
  <c r="L808" i="3"/>
  <c r="K808" i="3"/>
  <c r="J808" i="3"/>
  <c r="I808" i="3"/>
  <c r="H808" i="3"/>
  <c r="G808" i="3"/>
  <c r="F808" i="3"/>
  <c r="E808" i="3"/>
  <c r="D808" i="3"/>
  <c r="C808" i="3"/>
  <c r="B808" i="3"/>
  <c r="A808" i="3"/>
  <c r="M807" i="3"/>
  <c r="L807" i="3"/>
  <c r="K807" i="3"/>
  <c r="J807" i="3"/>
  <c r="I807" i="3"/>
  <c r="H807" i="3"/>
  <c r="G807" i="3"/>
  <c r="F807" i="3"/>
  <c r="E807" i="3"/>
  <c r="D807" i="3"/>
  <c r="C807" i="3"/>
  <c r="B807" i="3"/>
  <c r="A807" i="3"/>
  <c r="M806" i="3"/>
  <c r="L806" i="3"/>
  <c r="K806" i="3"/>
  <c r="J806" i="3"/>
  <c r="I806" i="3"/>
  <c r="H806" i="3"/>
  <c r="G806" i="3"/>
  <c r="F806" i="3"/>
  <c r="E806" i="3"/>
  <c r="D806" i="3"/>
  <c r="C806" i="3"/>
  <c r="B806" i="3"/>
  <c r="A806" i="3"/>
  <c r="M805" i="3"/>
  <c r="L805" i="3"/>
  <c r="K805" i="3"/>
  <c r="J805" i="3"/>
  <c r="I805" i="3"/>
  <c r="H805" i="3"/>
  <c r="G805" i="3"/>
  <c r="F805" i="3"/>
  <c r="E805" i="3"/>
  <c r="D805" i="3"/>
  <c r="C805" i="3"/>
  <c r="B805" i="3"/>
  <c r="A805" i="3"/>
  <c r="M804" i="3"/>
  <c r="L804" i="3"/>
  <c r="K804" i="3"/>
  <c r="J804" i="3"/>
  <c r="I804" i="3"/>
  <c r="H804" i="3"/>
  <c r="G804" i="3"/>
  <c r="F804" i="3"/>
  <c r="E804" i="3"/>
  <c r="D804" i="3"/>
  <c r="C804" i="3"/>
  <c r="B804" i="3"/>
  <c r="A804" i="3"/>
  <c r="M803" i="3"/>
  <c r="L803" i="3"/>
  <c r="K803" i="3"/>
  <c r="J803" i="3"/>
  <c r="I803" i="3"/>
  <c r="H803" i="3"/>
  <c r="G803" i="3"/>
  <c r="F803" i="3"/>
  <c r="E803" i="3"/>
  <c r="D803" i="3"/>
  <c r="C803" i="3"/>
  <c r="B803" i="3"/>
  <c r="A803" i="3"/>
  <c r="M802" i="3"/>
  <c r="L802" i="3"/>
  <c r="K802" i="3"/>
  <c r="J802" i="3"/>
  <c r="I802" i="3"/>
  <c r="H802" i="3"/>
  <c r="G802" i="3"/>
  <c r="F802" i="3"/>
  <c r="E802" i="3"/>
  <c r="D802" i="3"/>
  <c r="C802" i="3"/>
  <c r="B802" i="3"/>
  <c r="A802" i="3"/>
  <c r="M801" i="3"/>
  <c r="L801" i="3"/>
  <c r="K801" i="3"/>
  <c r="J801" i="3"/>
  <c r="I801" i="3"/>
  <c r="H801" i="3"/>
  <c r="G801" i="3"/>
  <c r="F801" i="3"/>
  <c r="E801" i="3"/>
  <c r="D801" i="3"/>
  <c r="C801" i="3"/>
  <c r="B801" i="3"/>
  <c r="A801" i="3"/>
  <c r="M800" i="3"/>
  <c r="L800" i="3"/>
  <c r="K800" i="3"/>
  <c r="J800" i="3"/>
  <c r="I800" i="3"/>
  <c r="H800" i="3"/>
  <c r="G800" i="3"/>
  <c r="F800" i="3"/>
  <c r="E800" i="3"/>
  <c r="D800" i="3"/>
  <c r="C800" i="3"/>
  <c r="B800" i="3"/>
  <c r="A800" i="3"/>
  <c r="M799" i="3"/>
  <c r="L799" i="3"/>
  <c r="K799" i="3"/>
  <c r="J799" i="3"/>
  <c r="I799" i="3"/>
  <c r="H799" i="3"/>
  <c r="G799" i="3"/>
  <c r="F799" i="3"/>
  <c r="E799" i="3"/>
  <c r="D799" i="3"/>
  <c r="C799" i="3"/>
  <c r="B799" i="3"/>
  <c r="A799" i="3"/>
  <c r="M798" i="3"/>
  <c r="L798" i="3"/>
  <c r="K798" i="3"/>
  <c r="J798" i="3"/>
  <c r="I798" i="3"/>
  <c r="H798" i="3"/>
  <c r="G798" i="3"/>
  <c r="F798" i="3"/>
  <c r="E798" i="3"/>
  <c r="D798" i="3"/>
  <c r="C798" i="3"/>
  <c r="B798" i="3"/>
  <c r="A798" i="3"/>
  <c r="M797" i="3"/>
  <c r="L797" i="3"/>
  <c r="K797" i="3"/>
  <c r="J797" i="3"/>
  <c r="I797" i="3"/>
  <c r="H797" i="3"/>
  <c r="G797" i="3"/>
  <c r="F797" i="3"/>
  <c r="E797" i="3"/>
  <c r="D797" i="3"/>
  <c r="C797" i="3"/>
  <c r="B797" i="3"/>
  <c r="A797" i="3"/>
  <c r="M796" i="3"/>
  <c r="L796" i="3"/>
  <c r="K796" i="3"/>
  <c r="J796" i="3"/>
  <c r="I796" i="3"/>
  <c r="H796" i="3"/>
  <c r="G796" i="3"/>
  <c r="F796" i="3"/>
  <c r="E796" i="3"/>
  <c r="D796" i="3"/>
  <c r="C796" i="3"/>
  <c r="B796" i="3"/>
  <c r="A796" i="3"/>
  <c r="M795" i="3"/>
  <c r="L795" i="3"/>
  <c r="K795" i="3"/>
  <c r="J795" i="3"/>
  <c r="I795" i="3"/>
  <c r="H795" i="3"/>
  <c r="G795" i="3"/>
  <c r="F795" i="3"/>
  <c r="E795" i="3"/>
  <c r="D795" i="3"/>
  <c r="C795" i="3"/>
  <c r="B795" i="3"/>
  <c r="A795" i="3"/>
  <c r="M794" i="3"/>
  <c r="L794" i="3"/>
  <c r="K794" i="3"/>
  <c r="J794" i="3"/>
  <c r="I794" i="3"/>
  <c r="H794" i="3"/>
  <c r="G794" i="3"/>
  <c r="F794" i="3"/>
  <c r="E794" i="3"/>
  <c r="D794" i="3"/>
  <c r="C794" i="3"/>
  <c r="B794" i="3"/>
  <c r="A794" i="3"/>
  <c r="M793" i="3"/>
  <c r="L793" i="3"/>
  <c r="K793" i="3"/>
  <c r="J793" i="3"/>
  <c r="I793" i="3"/>
  <c r="H793" i="3"/>
  <c r="G793" i="3"/>
  <c r="F793" i="3"/>
  <c r="E793" i="3"/>
  <c r="D793" i="3"/>
  <c r="C793" i="3"/>
  <c r="B793" i="3"/>
  <c r="A793" i="3"/>
  <c r="M792" i="3"/>
  <c r="L792" i="3"/>
  <c r="K792" i="3"/>
  <c r="J792" i="3"/>
  <c r="I792" i="3"/>
  <c r="H792" i="3"/>
  <c r="G792" i="3"/>
  <c r="F792" i="3"/>
  <c r="E792" i="3"/>
  <c r="D792" i="3"/>
  <c r="C792" i="3"/>
  <c r="B792" i="3"/>
  <c r="A792" i="3"/>
  <c r="M791" i="3"/>
  <c r="L791" i="3"/>
  <c r="K791" i="3"/>
  <c r="J791" i="3"/>
  <c r="I791" i="3"/>
  <c r="H791" i="3"/>
  <c r="G791" i="3"/>
  <c r="F791" i="3"/>
  <c r="E791" i="3"/>
  <c r="D791" i="3"/>
  <c r="C791" i="3"/>
  <c r="B791" i="3"/>
  <c r="A791" i="3"/>
  <c r="M790" i="3"/>
  <c r="L790" i="3"/>
  <c r="K790" i="3"/>
  <c r="J790" i="3"/>
  <c r="I790" i="3"/>
  <c r="H790" i="3"/>
  <c r="G790" i="3"/>
  <c r="F790" i="3"/>
  <c r="E790" i="3"/>
  <c r="D790" i="3"/>
  <c r="C790" i="3"/>
  <c r="B790" i="3"/>
  <c r="A790" i="3"/>
  <c r="M789" i="3"/>
  <c r="L789" i="3"/>
  <c r="K789" i="3"/>
  <c r="J789" i="3"/>
  <c r="I789" i="3"/>
  <c r="H789" i="3"/>
  <c r="G789" i="3"/>
  <c r="F789" i="3"/>
  <c r="E789" i="3"/>
  <c r="D789" i="3"/>
  <c r="C789" i="3"/>
  <c r="B789" i="3"/>
  <c r="A789" i="3"/>
  <c r="M788" i="3"/>
  <c r="L788" i="3"/>
  <c r="K788" i="3"/>
  <c r="J788" i="3"/>
  <c r="I788" i="3"/>
  <c r="H788" i="3"/>
  <c r="G788" i="3"/>
  <c r="F788" i="3"/>
  <c r="E788" i="3"/>
  <c r="D788" i="3"/>
  <c r="C788" i="3"/>
  <c r="B788" i="3"/>
  <c r="A788" i="3"/>
  <c r="M787" i="3"/>
  <c r="L787" i="3"/>
  <c r="K787" i="3"/>
  <c r="J787" i="3"/>
  <c r="I787" i="3"/>
  <c r="H787" i="3"/>
  <c r="G787" i="3"/>
  <c r="F787" i="3"/>
  <c r="E787" i="3"/>
  <c r="D787" i="3"/>
  <c r="C787" i="3"/>
  <c r="B787" i="3"/>
  <c r="A787" i="3"/>
  <c r="M786" i="3"/>
  <c r="L786" i="3"/>
  <c r="K786" i="3"/>
  <c r="J786" i="3"/>
  <c r="I786" i="3"/>
  <c r="H786" i="3"/>
  <c r="G786" i="3"/>
  <c r="F786" i="3"/>
  <c r="E786" i="3"/>
  <c r="D786" i="3"/>
  <c r="C786" i="3"/>
  <c r="B786" i="3"/>
  <c r="A786" i="3"/>
  <c r="M785" i="3"/>
  <c r="L785" i="3"/>
  <c r="K785" i="3"/>
  <c r="J785" i="3"/>
  <c r="I785" i="3"/>
  <c r="H785" i="3"/>
  <c r="G785" i="3"/>
  <c r="F785" i="3"/>
  <c r="E785" i="3"/>
  <c r="D785" i="3"/>
  <c r="C785" i="3"/>
  <c r="B785" i="3"/>
  <c r="A785" i="3"/>
  <c r="M784" i="3"/>
  <c r="L784" i="3"/>
  <c r="K784" i="3"/>
  <c r="J784" i="3"/>
  <c r="I784" i="3"/>
  <c r="H784" i="3"/>
  <c r="G784" i="3"/>
  <c r="F784" i="3"/>
  <c r="E784" i="3"/>
  <c r="D784" i="3"/>
  <c r="C784" i="3"/>
  <c r="B784" i="3"/>
  <c r="A784" i="3"/>
  <c r="M783" i="3"/>
  <c r="L783" i="3"/>
  <c r="K783" i="3"/>
  <c r="J783" i="3"/>
  <c r="I783" i="3"/>
  <c r="H783" i="3"/>
  <c r="G783" i="3"/>
  <c r="F783" i="3"/>
  <c r="E783" i="3"/>
  <c r="D783" i="3"/>
  <c r="C783" i="3"/>
  <c r="B783" i="3"/>
  <c r="A783" i="3"/>
  <c r="M782" i="3"/>
  <c r="L782" i="3"/>
  <c r="K782" i="3"/>
  <c r="J782" i="3"/>
  <c r="I782" i="3"/>
  <c r="H782" i="3"/>
  <c r="G782" i="3"/>
  <c r="F782" i="3"/>
  <c r="E782" i="3"/>
  <c r="D782" i="3"/>
  <c r="C782" i="3"/>
  <c r="B782" i="3"/>
  <c r="A782" i="3"/>
  <c r="M781" i="3"/>
  <c r="L781" i="3"/>
  <c r="K781" i="3"/>
  <c r="J781" i="3"/>
  <c r="I781" i="3"/>
  <c r="H781" i="3"/>
  <c r="G781" i="3"/>
  <c r="F781" i="3"/>
  <c r="E781" i="3"/>
  <c r="D781" i="3"/>
  <c r="C781" i="3"/>
  <c r="B781" i="3"/>
  <c r="A781" i="3"/>
  <c r="M780" i="3"/>
  <c r="L780" i="3"/>
  <c r="K780" i="3"/>
  <c r="J780" i="3"/>
  <c r="I780" i="3"/>
  <c r="H780" i="3"/>
  <c r="G780" i="3"/>
  <c r="F780" i="3"/>
  <c r="E780" i="3"/>
  <c r="D780" i="3"/>
  <c r="C780" i="3"/>
  <c r="B780" i="3"/>
  <c r="A780" i="3"/>
  <c r="M779" i="3"/>
  <c r="L779" i="3"/>
  <c r="K779" i="3"/>
  <c r="J779" i="3"/>
  <c r="I779" i="3"/>
  <c r="H779" i="3"/>
  <c r="G779" i="3"/>
  <c r="F779" i="3"/>
  <c r="E779" i="3"/>
  <c r="D779" i="3"/>
  <c r="C779" i="3"/>
  <c r="B779" i="3"/>
  <c r="A779" i="3"/>
  <c r="M778" i="3"/>
  <c r="L778" i="3"/>
  <c r="K778" i="3"/>
  <c r="J778" i="3"/>
  <c r="I778" i="3"/>
  <c r="H778" i="3"/>
  <c r="G778" i="3"/>
  <c r="F778" i="3"/>
  <c r="E778" i="3"/>
  <c r="D778" i="3"/>
  <c r="C778" i="3"/>
  <c r="B778" i="3"/>
  <c r="A778" i="3"/>
  <c r="M777" i="3"/>
  <c r="L777" i="3"/>
  <c r="K777" i="3"/>
  <c r="J777" i="3"/>
  <c r="I777" i="3"/>
  <c r="H777" i="3"/>
  <c r="G777" i="3"/>
  <c r="F777" i="3"/>
  <c r="E777" i="3"/>
  <c r="D777" i="3"/>
  <c r="C777" i="3"/>
  <c r="B777" i="3"/>
  <c r="A777" i="3"/>
  <c r="M776" i="3"/>
  <c r="L776" i="3"/>
  <c r="K776" i="3"/>
  <c r="J776" i="3"/>
  <c r="I776" i="3"/>
  <c r="H776" i="3"/>
  <c r="G776" i="3"/>
  <c r="F776" i="3"/>
  <c r="E776" i="3"/>
  <c r="D776" i="3"/>
  <c r="C776" i="3"/>
  <c r="B776" i="3"/>
  <c r="A776" i="3"/>
  <c r="M775" i="3"/>
  <c r="L775" i="3"/>
  <c r="K775" i="3"/>
  <c r="J775" i="3"/>
  <c r="I775" i="3"/>
  <c r="H775" i="3"/>
  <c r="G775" i="3"/>
  <c r="F775" i="3"/>
  <c r="E775" i="3"/>
  <c r="D775" i="3"/>
  <c r="C775" i="3"/>
  <c r="B775" i="3"/>
  <c r="A775" i="3"/>
  <c r="M774" i="3"/>
  <c r="L774" i="3"/>
  <c r="K774" i="3"/>
  <c r="J774" i="3"/>
  <c r="I774" i="3"/>
  <c r="H774" i="3"/>
  <c r="G774" i="3"/>
  <c r="F774" i="3"/>
  <c r="E774" i="3"/>
  <c r="D774" i="3"/>
  <c r="C774" i="3"/>
  <c r="B774" i="3"/>
  <c r="A774" i="3"/>
  <c r="M773" i="3"/>
  <c r="L773" i="3"/>
  <c r="K773" i="3"/>
  <c r="J773" i="3"/>
  <c r="I773" i="3"/>
  <c r="H773" i="3"/>
  <c r="G773" i="3"/>
  <c r="F773" i="3"/>
  <c r="E773" i="3"/>
  <c r="D773" i="3"/>
  <c r="C773" i="3"/>
  <c r="B773" i="3"/>
  <c r="A773" i="3"/>
  <c r="M772" i="3"/>
  <c r="L772" i="3"/>
  <c r="K772" i="3"/>
  <c r="J772" i="3"/>
  <c r="I772" i="3"/>
  <c r="H772" i="3"/>
  <c r="G772" i="3"/>
  <c r="F772" i="3"/>
  <c r="E772" i="3"/>
  <c r="D772" i="3"/>
  <c r="C772" i="3"/>
  <c r="B772" i="3"/>
  <c r="A772" i="3"/>
  <c r="M771" i="3"/>
  <c r="L771" i="3"/>
  <c r="K771" i="3"/>
  <c r="J771" i="3"/>
  <c r="I771" i="3"/>
  <c r="H771" i="3"/>
  <c r="G771" i="3"/>
  <c r="F771" i="3"/>
  <c r="E771" i="3"/>
  <c r="D771" i="3"/>
  <c r="C771" i="3"/>
  <c r="B771" i="3"/>
  <c r="A771" i="3"/>
  <c r="M770" i="3"/>
  <c r="L770" i="3"/>
  <c r="K770" i="3"/>
  <c r="J770" i="3"/>
  <c r="I770" i="3"/>
  <c r="H770" i="3"/>
  <c r="G770" i="3"/>
  <c r="F770" i="3"/>
  <c r="E770" i="3"/>
  <c r="D770" i="3"/>
  <c r="C770" i="3"/>
  <c r="B770" i="3"/>
  <c r="A770" i="3"/>
  <c r="M769" i="3"/>
  <c r="L769" i="3"/>
  <c r="K769" i="3"/>
  <c r="J769" i="3"/>
  <c r="I769" i="3"/>
  <c r="H769" i="3"/>
  <c r="G769" i="3"/>
  <c r="F769" i="3"/>
  <c r="E769" i="3"/>
  <c r="D769" i="3"/>
  <c r="C769" i="3"/>
  <c r="B769" i="3"/>
  <c r="A769" i="3"/>
  <c r="M768" i="3"/>
  <c r="L768" i="3"/>
  <c r="K768" i="3"/>
  <c r="J768" i="3"/>
  <c r="I768" i="3"/>
  <c r="H768" i="3"/>
  <c r="G768" i="3"/>
  <c r="F768" i="3"/>
  <c r="E768" i="3"/>
  <c r="D768" i="3"/>
  <c r="C768" i="3"/>
  <c r="B768" i="3"/>
  <c r="A768" i="3"/>
  <c r="M767" i="3"/>
  <c r="L767" i="3"/>
  <c r="K767" i="3"/>
  <c r="J767" i="3"/>
  <c r="I767" i="3"/>
  <c r="H767" i="3"/>
  <c r="G767" i="3"/>
  <c r="F767" i="3"/>
  <c r="E767" i="3"/>
  <c r="D767" i="3"/>
  <c r="C767" i="3"/>
  <c r="B767" i="3"/>
  <c r="A767" i="3"/>
  <c r="M766" i="3"/>
  <c r="L766" i="3"/>
  <c r="K766" i="3"/>
  <c r="J766" i="3"/>
  <c r="I766" i="3"/>
  <c r="H766" i="3"/>
  <c r="G766" i="3"/>
  <c r="F766" i="3"/>
  <c r="E766" i="3"/>
  <c r="D766" i="3"/>
  <c r="C766" i="3"/>
  <c r="B766" i="3"/>
  <c r="A766" i="3"/>
  <c r="M765" i="3"/>
  <c r="L765" i="3"/>
  <c r="K765" i="3"/>
  <c r="J765" i="3"/>
  <c r="I765" i="3"/>
  <c r="H765" i="3"/>
  <c r="G765" i="3"/>
  <c r="F765" i="3"/>
  <c r="E765" i="3"/>
  <c r="D765" i="3"/>
  <c r="C765" i="3"/>
  <c r="B765" i="3"/>
  <c r="A765" i="3"/>
  <c r="M764" i="3"/>
  <c r="L764" i="3"/>
  <c r="K764" i="3"/>
  <c r="J764" i="3"/>
  <c r="I764" i="3"/>
  <c r="H764" i="3"/>
  <c r="G764" i="3"/>
  <c r="F764" i="3"/>
  <c r="E764" i="3"/>
  <c r="D764" i="3"/>
  <c r="C764" i="3"/>
  <c r="B764" i="3"/>
  <c r="A764" i="3"/>
  <c r="M763" i="3"/>
  <c r="L763" i="3"/>
  <c r="K763" i="3"/>
  <c r="J763" i="3"/>
  <c r="I763" i="3"/>
  <c r="H763" i="3"/>
  <c r="G763" i="3"/>
  <c r="F763" i="3"/>
  <c r="E763" i="3"/>
  <c r="D763" i="3"/>
  <c r="C763" i="3"/>
  <c r="B763" i="3"/>
  <c r="A763" i="3"/>
  <c r="M762" i="3"/>
  <c r="L762" i="3"/>
  <c r="K762" i="3"/>
  <c r="J762" i="3"/>
  <c r="I762" i="3"/>
  <c r="H762" i="3"/>
  <c r="G762" i="3"/>
  <c r="F762" i="3"/>
  <c r="E762" i="3"/>
  <c r="D762" i="3"/>
  <c r="C762" i="3"/>
  <c r="B762" i="3"/>
  <c r="A762" i="3"/>
  <c r="M761" i="3"/>
  <c r="L761" i="3"/>
  <c r="K761" i="3"/>
  <c r="J761" i="3"/>
  <c r="I761" i="3"/>
  <c r="H761" i="3"/>
  <c r="G761" i="3"/>
  <c r="F761" i="3"/>
  <c r="E761" i="3"/>
  <c r="D761" i="3"/>
  <c r="C761" i="3"/>
  <c r="B761" i="3"/>
  <c r="A761" i="3"/>
  <c r="M760" i="3"/>
  <c r="L760" i="3"/>
  <c r="K760" i="3"/>
  <c r="J760" i="3"/>
  <c r="I760" i="3"/>
  <c r="H760" i="3"/>
  <c r="G760" i="3"/>
  <c r="F760" i="3"/>
  <c r="E760" i="3"/>
  <c r="D760" i="3"/>
  <c r="C760" i="3"/>
  <c r="B760" i="3"/>
  <c r="A760" i="3"/>
  <c r="M759" i="3"/>
  <c r="L759" i="3"/>
  <c r="K759" i="3"/>
  <c r="J759" i="3"/>
  <c r="I759" i="3"/>
  <c r="H759" i="3"/>
  <c r="G759" i="3"/>
  <c r="F759" i="3"/>
  <c r="E759" i="3"/>
  <c r="D759" i="3"/>
  <c r="C759" i="3"/>
  <c r="B759" i="3"/>
  <c r="A759" i="3"/>
  <c r="M758" i="3"/>
  <c r="L758" i="3"/>
  <c r="K758" i="3"/>
  <c r="J758" i="3"/>
  <c r="I758" i="3"/>
  <c r="H758" i="3"/>
  <c r="G758" i="3"/>
  <c r="F758" i="3"/>
  <c r="E758" i="3"/>
  <c r="D758" i="3"/>
  <c r="C758" i="3"/>
  <c r="B758" i="3"/>
  <c r="A758" i="3"/>
  <c r="M757" i="3"/>
  <c r="L757" i="3"/>
  <c r="K757" i="3"/>
  <c r="J757" i="3"/>
  <c r="I757" i="3"/>
  <c r="H757" i="3"/>
  <c r="G757" i="3"/>
  <c r="F757" i="3"/>
  <c r="E757" i="3"/>
  <c r="D757" i="3"/>
  <c r="C757" i="3"/>
  <c r="B757" i="3"/>
  <c r="A757" i="3"/>
  <c r="M756" i="3"/>
  <c r="L756" i="3"/>
  <c r="K756" i="3"/>
  <c r="J756" i="3"/>
  <c r="I756" i="3"/>
  <c r="H756" i="3"/>
  <c r="G756" i="3"/>
  <c r="F756" i="3"/>
  <c r="E756" i="3"/>
  <c r="D756" i="3"/>
  <c r="C756" i="3"/>
  <c r="B756" i="3"/>
  <c r="A756" i="3"/>
  <c r="M755" i="3"/>
  <c r="L755" i="3"/>
  <c r="K755" i="3"/>
  <c r="J755" i="3"/>
  <c r="I755" i="3"/>
  <c r="H755" i="3"/>
  <c r="G755" i="3"/>
  <c r="F755" i="3"/>
  <c r="E755" i="3"/>
  <c r="D755" i="3"/>
  <c r="C755" i="3"/>
  <c r="B755" i="3"/>
  <c r="A755" i="3"/>
  <c r="M754" i="3"/>
  <c r="L754" i="3"/>
  <c r="K754" i="3"/>
  <c r="J754" i="3"/>
  <c r="I754" i="3"/>
  <c r="H754" i="3"/>
  <c r="G754" i="3"/>
  <c r="F754" i="3"/>
  <c r="E754" i="3"/>
  <c r="D754" i="3"/>
  <c r="C754" i="3"/>
  <c r="B754" i="3"/>
  <c r="A754" i="3"/>
  <c r="M753" i="3"/>
  <c r="L753" i="3"/>
  <c r="K753" i="3"/>
  <c r="J753" i="3"/>
  <c r="I753" i="3"/>
  <c r="H753" i="3"/>
  <c r="G753" i="3"/>
  <c r="F753" i="3"/>
  <c r="E753" i="3"/>
  <c r="D753" i="3"/>
  <c r="C753" i="3"/>
  <c r="B753" i="3"/>
  <c r="A753" i="3"/>
  <c r="M752" i="3"/>
  <c r="L752" i="3"/>
  <c r="K752" i="3"/>
  <c r="J752" i="3"/>
  <c r="I752" i="3"/>
  <c r="H752" i="3"/>
  <c r="G752" i="3"/>
  <c r="F752" i="3"/>
  <c r="E752" i="3"/>
  <c r="D752" i="3"/>
  <c r="C752" i="3"/>
  <c r="B752" i="3"/>
  <c r="A752" i="3"/>
  <c r="M751" i="3"/>
  <c r="L751" i="3"/>
  <c r="K751" i="3"/>
  <c r="J751" i="3"/>
  <c r="I751" i="3"/>
  <c r="H751" i="3"/>
  <c r="G751" i="3"/>
  <c r="F751" i="3"/>
  <c r="E751" i="3"/>
  <c r="D751" i="3"/>
  <c r="C751" i="3"/>
  <c r="B751" i="3"/>
  <c r="A751" i="3"/>
  <c r="M750" i="3"/>
  <c r="L750" i="3"/>
  <c r="K750" i="3"/>
  <c r="J750" i="3"/>
  <c r="I750" i="3"/>
  <c r="H750" i="3"/>
  <c r="G750" i="3"/>
  <c r="F750" i="3"/>
  <c r="E750" i="3"/>
  <c r="D750" i="3"/>
  <c r="C750" i="3"/>
  <c r="B750" i="3"/>
  <c r="A750" i="3"/>
  <c r="M749" i="3"/>
  <c r="L749" i="3"/>
  <c r="K749" i="3"/>
  <c r="J749" i="3"/>
  <c r="I749" i="3"/>
  <c r="H749" i="3"/>
  <c r="G749" i="3"/>
  <c r="F749" i="3"/>
  <c r="E749" i="3"/>
  <c r="D749" i="3"/>
  <c r="C749" i="3"/>
  <c r="B749" i="3"/>
  <c r="A749" i="3"/>
  <c r="M748" i="3"/>
  <c r="L748" i="3"/>
  <c r="K748" i="3"/>
  <c r="J748" i="3"/>
  <c r="I748" i="3"/>
  <c r="H748" i="3"/>
  <c r="G748" i="3"/>
  <c r="F748" i="3"/>
  <c r="E748" i="3"/>
  <c r="D748" i="3"/>
  <c r="C748" i="3"/>
  <c r="B748" i="3"/>
  <c r="A748" i="3"/>
  <c r="M747" i="3"/>
  <c r="L747" i="3"/>
  <c r="K747" i="3"/>
  <c r="J747" i="3"/>
  <c r="I747" i="3"/>
  <c r="H747" i="3"/>
  <c r="G747" i="3"/>
  <c r="F747" i="3"/>
  <c r="E747" i="3"/>
  <c r="D747" i="3"/>
  <c r="C747" i="3"/>
  <c r="B747" i="3"/>
  <c r="A747" i="3"/>
  <c r="M746" i="3"/>
  <c r="L746" i="3"/>
  <c r="K746" i="3"/>
  <c r="J746" i="3"/>
  <c r="I746" i="3"/>
  <c r="H746" i="3"/>
  <c r="G746" i="3"/>
  <c r="F746" i="3"/>
  <c r="E746" i="3"/>
  <c r="D746" i="3"/>
  <c r="C746" i="3"/>
  <c r="B746" i="3"/>
  <c r="A746" i="3"/>
  <c r="M745" i="3"/>
  <c r="L745" i="3"/>
  <c r="K745" i="3"/>
  <c r="J745" i="3"/>
  <c r="I745" i="3"/>
  <c r="H745" i="3"/>
  <c r="G745" i="3"/>
  <c r="F745" i="3"/>
  <c r="E745" i="3"/>
  <c r="D745" i="3"/>
  <c r="C745" i="3"/>
  <c r="B745" i="3"/>
  <c r="A745" i="3"/>
  <c r="M744" i="3"/>
  <c r="L744" i="3"/>
  <c r="K744" i="3"/>
  <c r="J744" i="3"/>
  <c r="I744" i="3"/>
  <c r="H744" i="3"/>
  <c r="G744" i="3"/>
  <c r="F744" i="3"/>
  <c r="E744" i="3"/>
  <c r="D744" i="3"/>
  <c r="C744" i="3"/>
  <c r="B744" i="3"/>
  <c r="A744" i="3"/>
  <c r="M743" i="3"/>
  <c r="L743" i="3"/>
  <c r="K743" i="3"/>
  <c r="J743" i="3"/>
  <c r="I743" i="3"/>
  <c r="H743" i="3"/>
  <c r="G743" i="3"/>
  <c r="F743" i="3"/>
  <c r="E743" i="3"/>
  <c r="D743" i="3"/>
  <c r="C743" i="3"/>
  <c r="B743" i="3"/>
  <c r="A743" i="3"/>
  <c r="M742" i="3"/>
  <c r="L742" i="3"/>
  <c r="K742" i="3"/>
  <c r="J742" i="3"/>
  <c r="I742" i="3"/>
  <c r="H742" i="3"/>
  <c r="G742" i="3"/>
  <c r="F742" i="3"/>
  <c r="E742" i="3"/>
  <c r="D742" i="3"/>
  <c r="C742" i="3"/>
  <c r="B742" i="3"/>
  <c r="A742" i="3"/>
  <c r="M741" i="3"/>
  <c r="L741" i="3"/>
  <c r="K741" i="3"/>
  <c r="J741" i="3"/>
  <c r="I741" i="3"/>
  <c r="H741" i="3"/>
  <c r="G741" i="3"/>
  <c r="F741" i="3"/>
  <c r="E741" i="3"/>
  <c r="D741" i="3"/>
  <c r="C741" i="3"/>
  <c r="B741" i="3"/>
  <c r="A741" i="3"/>
  <c r="M740" i="3"/>
  <c r="L740" i="3"/>
  <c r="K740" i="3"/>
  <c r="J740" i="3"/>
  <c r="I740" i="3"/>
  <c r="H740" i="3"/>
  <c r="G740" i="3"/>
  <c r="F740" i="3"/>
  <c r="E740" i="3"/>
  <c r="D740" i="3"/>
  <c r="C740" i="3"/>
  <c r="B740" i="3"/>
  <c r="A740" i="3"/>
  <c r="M739" i="3"/>
  <c r="L739" i="3"/>
  <c r="K739" i="3"/>
  <c r="J739" i="3"/>
  <c r="I739" i="3"/>
  <c r="H739" i="3"/>
  <c r="G739" i="3"/>
  <c r="F739" i="3"/>
  <c r="E739" i="3"/>
  <c r="D739" i="3"/>
  <c r="C739" i="3"/>
  <c r="B739" i="3"/>
  <c r="A739" i="3"/>
  <c r="M738" i="3"/>
  <c r="L738" i="3"/>
  <c r="K738" i="3"/>
  <c r="J738" i="3"/>
  <c r="I738" i="3"/>
  <c r="H738" i="3"/>
  <c r="G738" i="3"/>
  <c r="F738" i="3"/>
  <c r="E738" i="3"/>
  <c r="D738" i="3"/>
  <c r="C738" i="3"/>
  <c r="B738" i="3"/>
  <c r="A738" i="3"/>
  <c r="M737" i="3"/>
  <c r="L737" i="3"/>
  <c r="K737" i="3"/>
  <c r="J737" i="3"/>
  <c r="I737" i="3"/>
  <c r="H737" i="3"/>
  <c r="G737" i="3"/>
  <c r="F737" i="3"/>
  <c r="E737" i="3"/>
  <c r="D737" i="3"/>
  <c r="C737" i="3"/>
  <c r="B737" i="3"/>
  <c r="A737" i="3"/>
  <c r="M736" i="3"/>
  <c r="L736" i="3"/>
  <c r="K736" i="3"/>
  <c r="J736" i="3"/>
  <c r="I736" i="3"/>
  <c r="H736" i="3"/>
  <c r="G736" i="3"/>
  <c r="F736" i="3"/>
  <c r="E736" i="3"/>
  <c r="D736" i="3"/>
  <c r="C736" i="3"/>
  <c r="B736" i="3"/>
  <c r="A736" i="3"/>
  <c r="M735" i="3"/>
  <c r="L735" i="3"/>
  <c r="K735" i="3"/>
  <c r="J735" i="3"/>
  <c r="I735" i="3"/>
  <c r="H735" i="3"/>
  <c r="G735" i="3"/>
  <c r="F735" i="3"/>
  <c r="E735" i="3"/>
  <c r="D735" i="3"/>
  <c r="C735" i="3"/>
  <c r="B735" i="3"/>
  <c r="A735" i="3"/>
  <c r="M734" i="3"/>
  <c r="L734" i="3"/>
  <c r="K734" i="3"/>
  <c r="J734" i="3"/>
  <c r="I734" i="3"/>
  <c r="H734" i="3"/>
  <c r="G734" i="3"/>
  <c r="F734" i="3"/>
  <c r="E734" i="3"/>
  <c r="D734" i="3"/>
  <c r="C734" i="3"/>
  <c r="B734" i="3"/>
  <c r="A734" i="3"/>
  <c r="M733" i="3"/>
  <c r="L733" i="3"/>
  <c r="K733" i="3"/>
  <c r="J733" i="3"/>
  <c r="I733" i="3"/>
  <c r="H733" i="3"/>
  <c r="G733" i="3"/>
  <c r="F733" i="3"/>
  <c r="E733" i="3"/>
  <c r="D733" i="3"/>
  <c r="C733" i="3"/>
  <c r="B733" i="3"/>
  <c r="A733" i="3"/>
  <c r="M732" i="3"/>
  <c r="L732" i="3"/>
  <c r="K732" i="3"/>
  <c r="J732" i="3"/>
  <c r="I732" i="3"/>
  <c r="H732" i="3"/>
  <c r="G732" i="3"/>
  <c r="F732" i="3"/>
  <c r="E732" i="3"/>
  <c r="D732" i="3"/>
  <c r="C732" i="3"/>
  <c r="B732" i="3"/>
  <c r="A732" i="3"/>
  <c r="M731" i="3"/>
  <c r="L731" i="3"/>
  <c r="K731" i="3"/>
  <c r="J731" i="3"/>
  <c r="I731" i="3"/>
  <c r="H731" i="3"/>
  <c r="G731" i="3"/>
  <c r="F731" i="3"/>
  <c r="E731" i="3"/>
  <c r="D731" i="3"/>
  <c r="C731" i="3"/>
  <c r="B731" i="3"/>
  <c r="A731" i="3"/>
  <c r="M730" i="3"/>
  <c r="L730" i="3"/>
  <c r="K730" i="3"/>
  <c r="J730" i="3"/>
  <c r="I730" i="3"/>
  <c r="H730" i="3"/>
  <c r="G730" i="3"/>
  <c r="F730" i="3"/>
  <c r="E730" i="3"/>
  <c r="D730" i="3"/>
  <c r="C730" i="3"/>
  <c r="B730" i="3"/>
  <c r="A730" i="3"/>
  <c r="M729" i="3"/>
  <c r="L729" i="3"/>
  <c r="K729" i="3"/>
  <c r="J729" i="3"/>
  <c r="I729" i="3"/>
  <c r="H729" i="3"/>
  <c r="G729" i="3"/>
  <c r="F729" i="3"/>
  <c r="E729" i="3"/>
  <c r="D729" i="3"/>
  <c r="C729" i="3"/>
  <c r="B729" i="3"/>
  <c r="A729" i="3"/>
  <c r="M728" i="3"/>
  <c r="L728" i="3"/>
  <c r="K728" i="3"/>
  <c r="J728" i="3"/>
  <c r="I728" i="3"/>
  <c r="H728" i="3"/>
  <c r="G728" i="3"/>
  <c r="F728" i="3"/>
  <c r="E728" i="3"/>
  <c r="D728" i="3"/>
  <c r="C728" i="3"/>
  <c r="B728" i="3"/>
  <c r="A728" i="3"/>
  <c r="M727" i="3"/>
  <c r="L727" i="3"/>
  <c r="K727" i="3"/>
  <c r="J727" i="3"/>
  <c r="I727" i="3"/>
  <c r="H727" i="3"/>
  <c r="G727" i="3"/>
  <c r="F727" i="3"/>
  <c r="E727" i="3"/>
  <c r="D727" i="3"/>
  <c r="C727" i="3"/>
  <c r="B727" i="3"/>
  <c r="A727" i="3"/>
  <c r="M726" i="3"/>
  <c r="L726" i="3"/>
  <c r="K726" i="3"/>
  <c r="J726" i="3"/>
  <c r="I726" i="3"/>
  <c r="H726" i="3"/>
  <c r="G726" i="3"/>
  <c r="F726" i="3"/>
  <c r="E726" i="3"/>
  <c r="D726" i="3"/>
  <c r="C726" i="3"/>
  <c r="B726" i="3"/>
  <c r="A726" i="3"/>
  <c r="M725" i="3"/>
  <c r="L725" i="3"/>
  <c r="K725" i="3"/>
  <c r="J725" i="3"/>
  <c r="I725" i="3"/>
  <c r="H725" i="3"/>
  <c r="G725" i="3"/>
  <c r="F725" i="3"/>
  <c r="E725" i="3"/>
  <c r="D725" i="3"/>
  <c r="C725" i="3"/>
  <c r="B725" i="3"/>
  <c r="A725" i="3"/>
  <c r="M724" i="3"/>
  <c r="L724" i="3"/>
  <c r="K724" i="3"/>
  <c r="J724" i="3"/>
  <c r="I724" i="3"/>
  <c r="H724" i="3"/>
  <c r="G724" i="3"/>
  <c r="F724" i="3"/>
  <c r="E724" i="3"/>
  <c r="D724" i="3"/>
  <c r="C724" i="3"/>
  <c r="B724" i="3"/>
  <c r="A724" i="3"/>
  <c r="M723" i="3"/>
  <c r="L723" i="3"/>
  <c r="K723" i="3"/>
  <c r="J723" i="3"/>
  <c r="I723" i="3"/>
  <c r="H723" i="3"/>
  <c r="G723" i="3"/>
  <c r="F723" i="3"/>
  <c r="E723" i="3"/>
  <c r="D723" i="3"/>
  <c r="C723" i="3"/>
  <c r="B723" i="3"/>
  <c r="A723" i="3"/>
  <c r="M722" i="3"/>
  <c r="L722" i="3"/>
  <c r="K722" i="3"/>
  <c r="J722" i="3"/>
  <c r="I722" i="3"/>
  <c r="H722" i="3"/>
  <c r="G722" i="3"/>
  <c r="F722" i="3"/>
  <c r="E722" i="3"/>
  <c r="D722" i="3"/>
  <c r="C722" i="3"/>
  <c r="B722" i="3"/>
  <c r="A722" i="3"/>
  <c r="M721" i="3"/>
  <c r="L721" i="3"/>
  <c r="K721" i="3"/>
  <c r="J721" i="3"/>
  <c r="I721" i="3"/>
  <c r="H721" i="3"/>
  <c r="G721" i="3"/>
  <c r="F721" i="3"/>
  <c r="E721" i="3"/>
  <c r="D721" i="3"/>
  <c r="C721" i="3"/>
  <c r="B721" i="3"/>
  <c r="A721" i="3"/>
  <c r="M720" i="3"/>
  <c r="L720" i="3"/>
  <c r="K720" i="3"/>
  <c r="J720" i="3"/>
  <c r="I720" i="3"/>
  <c r="H720" i="3"/>
  <c r="G720" i="3"/>
  <c r="F720" i="3"/>
  <c r="E720" i="3"/>
  <c r="D720" i="3"/>
  <c r="C720" i="3"/>
  <c r="B720" i="3"/>
  <c r="A720" i="3"/>
  <c r="M719" i="3"/>
  <c r="L719" i="3"/>
  <c r="K719" i="3"/>
  <c r="J719" i="3"/>
  <c r="I719" i="3"/>
  <c r="H719" i="3"/>
  <c r="G719" i="3"/>
  <c r="F719" i="3"/>
  <c r="E719" i="3"/>
  <c r="D719" i="3"/>
  <c r="C719" i="3"/>
  <c r="B719" i="3"/>
  <c r="A719" i="3"/>
  <c r="M718" i="3"/>
  <c r="L718" i="3"/>
  <c r="K718" i="3"/>
  <c r="J718" i="3"/>
  <c r="I718" i="3"/>
  <c r="H718" i="3"/>
  <c r="G718" i="3"/>
  <c r="F718" i="3"/>
  <c r="E718" i="3"/>
  <c r="D718" i="3"/>
  <c r="C718" i="3"/>
  <c r="B718" i="3"/>
  <c r="A718" i="3"/>
  <c r="M717" i="3"/>
  <c r="L717" i="3"/>
  <c r="K717" i="3"/>
  <c r="J717" i="3"/>
  <c r="I717" i="3"/>
  <c r="H717" i="3"/>
  <c r="G717" i="3"/>
  <c r="F717" i="3"/>
  <c r="E717" i="3"/>
  <c r="D717" i="3"/>
  <c r="C717" i="3"/>
  <c r="B717" i="3"/>
  <c r="A717" i="3"/>
  <c r="M716" i="3"/>
  <c r="L716" i="3"/>
  <c r="K716" i="3"/>
  <c r="J716" i="3"/>
  <c r="I716" i="3"/>
  <c r="H716" i="3"/>
  <c r="G716" i="3"/>
  <c r="F716" i="3"/>
  <c r="E716" i="3"/>
  <c r="D716" i="3"/>
  <c r="C716" i="3"/>
  <c r="B716" i="3"/>
  <c r="A716" i="3"/>
  <c r="M715" i="3"/>
  <c r="L715" i="3"/>
  <c r="K715" i="3"/>
  <c r="J715" i="3"/>
  <c r="I715" i="3"/>
  <c r="H715" i="3"/>
  <c r="G715" i="3"/>
  <c r="F715" i="3"/>
  <c r="E715" i="3"/>
  <c r="D715" i="3"/>
  <c r="C715" i="3"/>
  <c r="B715" i="3"/>
  <c r="A715" i="3"/>
  <c r="M714" i="3"/>
  <c r="L714" i="3"/>
  <c r="K714" i="3"/>
  <c r="J714" i="3"/>
  <c r="I714" i="3"/>
  <c r="H714" i="3"/>
  <c r="G714" i="3"/>
  <c r="F714" i="3"/>
  <c r="E714" i="3"/>
  <c r="D714" i="3"/>
  <c r="C714" i="3"/>
  <c r="B714" i="3"/>
  <c r="A714" i="3"/>
  <c r="M713" i="3"/>
  <c r="L713" i="3"/>
  <c r="K713" i="3"/>
  <c r="J713" i="3"/>
  <c r="I713" i="3"/>
  <c r="H713" i="3"/>
  <c r="G713" i="3"/>
  <c r="F713" i="3"/>
  <c r="E713" i="3"/>
  <c r="D713" i="3"/>
  <c r="C713" i="3"/>
  <c r="B713" i="3"/>
  <c r="A713" i="3"/>
  <c r="M712" i="3"/>
  <c r="L712" i="3"/>
  <c r="K712" i="3"/>
  <c r="J712" i="3"/>
  <c r="I712" i="3"/>
  <c r="H712" i="3"/>
  <c r="G712" i="3"/>
  <c r="F712" i="3"/>
  <c r="E712" i="3"/>
  <c r="D712" i="3"/>
  <c r="C712" i="3"/>
  <c r="B712" i="3"/>
  <c r="A712" i="3"/>
  <c r="M711" i="3"/>
  <c r="L711" i="3"/>
  <c r="K711" i="3"/>
  <c r="J711" i="3"/>
  <c r="I711" i="3"/>
  <c r="H711" i="3"/>
  <c r="G711" i="3"/>
  <c r="F711" i="3"/>
  <c r="E711" i="3"/>
  <c r="D711" i="3"/>
  <c r="C711" i="3"/>
  <c r="B711" i="3"/>
  <c r="A711" i="3"/>
  <c r="M710" i="3"/>
  <c r="L710" i="3"/>
  <c r="K710" i="3"/>
  <c r="J710" i="3"/>
  <c r="I710" i="3"/>
  <c r="H710" i="3"/>
  <c r="G710" i="3"/>
  <c r="F710" i="3"/>
  <c r="E710" i="3"/>
  <c r="D710" i="3"/>
  <c r="C710" i="3"/>
  <c r="B710" i="3"/>
  <c r="A710" i="3"/>
  <c r="M709" i="3"/>
  <c r="L709" i="3"/>
  <c r="K709" i="3"/>
  <c r="J709" i="3"/>
  <c r="I709" i="3"/>
  <c r="H709" i="3"/>
  <c r="G709" i="3"/>
  <c r="F709" i="3"/>
  <c r="E709" i="3"/>
  <c r="D709" i="3"/>
  <c r="C709" i="3"/>
  <c r="B709" i="3"/>
  <c r="A709" i="3"/>
  <c r="M708" i="3"/>
  <c r="L708" i="3"/>
  <c r="K708" i="3"/>
  <c r="J708" i="3"/>
  <c r="I708" i="3"/>
  <c r="H708" i="3"/>
  <c r="G708" i="3"/>
  <c r="F708" i="3"/>
  <c r="E708" i="3"/>
  <c r="D708" i="3"/>
  <c r="C708" i="3"/>
  <c r="B708" i="3"/>
  <c r="A708" i="3"/>
  <c r="M707" i="3"/>
  <c r="L707" i="3"/>
  <c r="K707" i="3"/>
  <c r="J707" i="3"/>
  <c r="I707" i="3"/>
  <c r="H707" i="3"/>
  <c r="G707" i="3"/>
  <c r="F707" i="3"/>
  <c r="E707" i="3"/>
  <c r="D707" i="3"/>
  <c r="C707" i="3"/>
  <c r="B707" i="3"/>
  <c r="A707" i="3"/>
  <c r="M706" i="3"/>
  <c r="L706" i="3"/>
  <c r="K706" i="3"/>
  <c r="J706" i="3"/>
  <c r="I706" i="3"/>
  <c r="H706" i="3"/>
  <c r="G706" i="3"/>
  <c r="F706" i="3"/>
  <c r="E706" i="3"/>
  <c r="D706" i="3"/>
  <c r="C706" i="3"/>
  <c r="B706" i="3"/>
  <c r="A706" i="3"/>
  <c r="M705" i="3"/>
  <c r="L705" i="3"/>
  <c r="K705" i="3"/>
  <c r="J705" i="3"/>
  <c r="I705" i="3"/>
  <c r="H705" i="3"/>
  <c r="G705" i="3"/>
  <c r="F705" i="3"/>
  <c r="E705" i="3"/>
  <c r="D705" i="3"/>
  <c r="C705" i="3"/>
  <c r="B705" i="3"/>
  <c r="A705" i="3"/>
  <c r="M704" i="3"/>
  <c r="L704" i="3"/>
  <c r="K704" i="3"/>
  <c r="J704" i="3"/>
  <c r="I704" i="3"/>
  <c r="H704" i="3"/>
  <c r="G704" i="3"/>
  <c r="F704" i="3"/>
  <c r="E704" i="3"/>
  <c r="D704" i="3"/>
  <c r="C704" i="3"/>
  <c r="B704" i="3"/>
  <c r="A704" i="3"/>
  <c r="M703" i="3"/>
  <c r="L703" i="3"/>
  <c r="K703" i="3"/>
  <c r="J703" i="3"/>
  <c r="I703" i="3"/>
  <c r="H703" i="3"/>
  <c r="G703" i="3"/>
  <c r="F703" i="3"/>
  <c r="E703" i="3"/>
  <c r="D703" i="3"/>
  <c r="C703" i="3"/>
  <c r="B703" i="3"/>
  <c r="A703" i="3"/>
  <c r="M702" i="3"/>
  <c r="L702" i="3"/>
  <c r="K702" i="3"/>
  <c r="J702" i="3"/>
  <c r="I702" i="3"/>
  <c r="H702" i="3"/>
  <c r="G702" i="3"/>
  <c r="F702" i="3"/>
  <c r="E702" i="3"/>
  <c r="D702" i="3"/>
  <c r="C702" i="3"/>
  <c r="B702" i="3"/>
  <c r="A702" i="3"/>
  <c r="M701" i="3"/>
  <c r="L701" i="3"/>
  <c r="K701" i="3"/>
  <c r="J701" i="3"/>
  <c r="I701" i="3"/>
  <c r="H701" i="3"/>
  <c r="G701" i="3"/>
  <c r="F701" i="3"/>
  <c r="E701" i="3"/>
  <c r="D701" i="3"/>
  <c r="C701" i="3"/>
  <c r="B701" i="3"/>
  <c r="A701" i="3"/>
  <c r="M700" i="3"/>
  <c r="L700" i="3"/>
  <c r="K700" i="3"/>
  <c r="J700" i="3"/>
  <c r="I700" i="3"/>
  <c r="H700" i="3"/>
  <c r="G700" i="3"/>
  <c r="F700" i="3"/>
  <c r="E700" i="3"/>
  <c r="D700" i="3"/>
  <c r="C700" i="3"/>
  <c r="B700" i="3"/>
  <c r="A700" i="3"/>
  <c r="M699" i="3"/>
  <c r="L699" i="3"/>
  <c r="K699" i="3"/>
  <c r="J699" i="3"/>
  <c r="I699" i="3"/>
  <c r="H699" i="3"/>
  <c r="G699" i="3"/>
  <c r="F699" i="3"/>
  <c r="E699" i="3"/>
  <c r="D699" i="3"/>
  <c r="C699" i="3"/>
  <c r="B699" i="3"/>
  <c r="A699" i="3"/>
  <c r="M698" i="3"/>
  <c r="L698" i="3"/>
  <c r="K698" i="3"/>
  <c r="J698" i="3"/>
  <c r="I698" i="3"/>
  <c r="H698" i="3"/>
  <c r="G698" i="3"/>
  <c r="F698" i="3"/>
  <c r="E698" i="3"/>
  <c r="D698" i="3"/>
  <c r="C698" i="3"/>
  <c r="B698" i="3"/>
  <c r="A698" i="3"/>
  <c r="M697" i="3"/>
  <c r="L697" i="3"/>
  <c r="K697" i="3"/>
  <c r="J697" i="3"/>
  <c r="I697" i="3"/>
  <c r="H697" i="3"/>
  <c r="G697" i="3"/>
  <c r="F697" i="3"/>
  <c r="E697" i="3"/>
  <c r="D697" i="3"/>
  <c r="C697" i="3"/>
  <c r="B697" i="3"/>
  <c r="A697" i="3"/>
  <c r="M696" i="3"/>
  <c r="L696" i="3"/>
  <c r="K696" i="3"/>
  <c r="J696" i="3"/>
  <c r="I696" i="3"/>
  <c r="H696" i="3"/>
  <c r="G696" i="3"/>
  <c r="F696" i="3"/>
  <c r="E696" i="3"/>
  <c r="D696" i="3"/>
  <c r="C696" i="3"/>
  <c r="B696" i="3"/>
  <c r="A696" i="3"/>
  <c r="M695" i="3"/>
  <c r="L695" i="3"/>
  <c r="K695" i="3"/>
  <c r="J695" i="3"/>
  <c r="I695" i="3"/>
  <c r="H695" i="3"/>
  <c r="G695" i="3"/>
  <c r="F695" i="3"/>
  <c r="E695" i="3"/>
  <c r="D695" i="3"/>
  <c r="C695" i="3"/>
  <c r="B695" i="3"/>
  <c r="A695" i="3"/>
  <c r="M694" i="3"/>
  <c r="L694" i="3"/>
  <c r="K694" i="3"/>
  <c r="J694" i="3"/>
  <c r="I694" i="3"/>
  <c r="H694" i="3"/>
  <c r="G694" i="3"/>
  <c r="F694" i="3"/>
  <c r="E694" i="3"/>
  <c r="D694" i="3"/>
  <c r="C694" i="3"/>
  <c r="B694" i="3"/>
  <c r="A694" i="3"/>
  <c r="M693" i="3"/>
  <c r="L693" i="3"/>
  <c r="K693" i="3"/>
  <c r="J693" i="3"/>
  <c r="I693" i="3"/>
  <c r="H693" i="3"/>
  <c r="G693" i="3"/>
  <c r="F693" i="3"/>
  <c r="E693" i="3"/>
  <c r="D693" i="3"/>
  <c r="C693" i="3"/>
  <c r="B693" i="3"/>
  <c r="A693" i="3"/>
  <c r="M692" i="3"/>
  <c r="L692" i="3"/>
  <c r="K692" i="3"/>
  <c r="J692" i="3"/>
  <c r="I692" i="3"/>
  <c r="H692" i="3"/>
  <c r="G692" i="3"/>
  <c r="F692" i="3"/>
  <c r="E692" i="3"/>
  <c r="D692" i="3"/>
  <c r="C692" i="3"/>
  <c r="B692" i="3"/>
  <c r="A692" i="3"/>
  <c r="M691" i="3"/>
  <c r="L691" i="3"/>
  <c r="K691" i="3"/>
  <c r="J691" i="3"/>
  <c r="I691" i="3"/>
  <c r="H691" i="3"/>
  <c r="G691" i="3"/>
  <c r="F691" i="3"/>
  <c r="E691" i="3"/>
  <c r="D691" i="3"/>
  <c r="C691" i="3"/>
  <c r="B691" i="3"/>
  <c r="A691" i="3"/>
  <c r="M690" i="3"/>
  <c r="L690" i="3"/>
  <c r="K690" i="3"/>
  <c r="J690" i="3"/>
  <c r="I690" i="3"/>
  <c r="H690" i="3"/>
  <c r="G690" i="3"/>
  <c r="F690" i="3"/>
  <c r="E690" i="3"/>
  <c r="D690" i="3"/>
  <c r="C690" i="3"/>
  <c r="B690" i="3"/>
  <c r="A690" i="3"/>
  <c r="M689" i="3"/>
  <c r="L689" i="3"/>
  <c r="K689" i="3"/>
  <c r="J689" i="3"/>
  <c r="I689" i="3"/>
  <c r="H689" i="3"/>
  <c r="G689" i="3"/>
  <c r="F689" i="3"/>
  <c r="E689" i="3"/>
  <c r="D689" i="3"/>
  <c r="C689" i="3"/>
  <c r="B689" i="3"/>
  <c r="A689" i="3"/>
  <c r="M688" i="3"/>
  <c r="L688" i="3"/>
  <c r="K688" i="3"/>
  <c r="J688" i="3"/>
  <c r="I688" i="3"/>
  <c r="H688" i="3"/>
  <c r="G688" i="3"/>
  <c r="F688" i="3"/>
  <c r="E688" i="3"/>
  <c r="D688" i="3"/>
  <c r="C688" i="3"/>
  <c r="B688" i="3"/>
  <c r="A688" i="3"/>
  <c r="M687" i="3"/>
  <c r="L687" i="3"/>
  <c r="K687" i="3"/>
  <c r="J687" i="3"/>
  <c r="I687" i="3"/>
  <c r="H687" i="3"/>
  <c r="G687" i="3"/>
  <c r="F687" i="3"/>
  <c r="E687" i="3"/>
  <c r="D687" i="3"/>
  <c r="C687" i="3"/>
  <c r="B687" i="3"/>
  <c r="A687" i="3"/>
  <c r="M686" i="3"/>
  <c r="L686" i="3"/>
  <c r="K686" i="3"/>
  <c r="J686" i="3"/>
  <c r="I686" i="3"/>
  <c r="H686" i="3"/>
  <c r="G686" i="3"/>
  <c r="F686" i="3"/>
  <c r="E686" i="3"/>
  <c r="D686" i="3"/>
  <c r="C686" i="3"/>
  <c r="B686" i="3"/>
  <c r="A686" i="3"/>
  <c r="M685" i="3"/>
  <c r="L685" i="3"/>
  <c r="K685" i="3"/>
  <c r="J685" i="3"/>
  <c r="I685" i="3"/>
  <c r="H685" i="3"/>
  <c r="G685" i="3"/>
  <c r="F685" i="3"/>
  <c r="E685" i="3"/>
  <c r="D685" i="3"/>
  <c r="C685" i="3"/>
  <c r="B685" i="3"/>
  <c r="A685" i="3"/>
  <c r="M684" i="3"/>
  <c r="L684" i="3"/>
  <c r="K684" i="3"/>
  <c r="J684" i="3"/>
  <c r="I684" i="3"/>
  <c r="H684" i="3"/>
  <c r="G684" i="3"/>
  <c r="F684" i="3"/>
  <c r="E684" i="3"/>
  <c r="D684" i="3"/>
  <c r="C684" i="3"/>
  <c r="B684" i="3"/>
  <c r="A684" i="3"/>
  <c r="M683" i="3"/>
  <c r="L683" i="3"/>
  <c r="K683" i="3"/>
  <c r="J683" i="3"/>
  <c r="I683" i="3"/>
  <c r="H683" i="3"/>
  <c r="G683" i="3"/>
  <c r="F683" i="3"/>
  <c r="E683" i="3"/>
  <c r="D683" i="3"/>
  <c r="C683" i="3"/>
  <c r="B683" i="3"/>
  <c r="A683" i="3"/>
  <c r="M682" i="3"/>
  <c r="L682" i="3"/>
  <c r="K682" i="3"/>
  <c r="J682" i="3"/>
  <c r="I682" i="3"/>
  <c r="H682" i="3"/>
  <c r="G682" i="3"/>
  <c r="F682" i="3"/>
  <c r="E682" i="3"/>
  <c r="D682" i="3"/>
  <c r="C682" i="3"/>
  <c r="B682" i="3"/>
  <c r="A682" i="3"/>
  <c r="M681" i="3"/>
  <c r="L681" i="3"/>
  <c r="K681" i="3"/>
  <c r="J681" i="3"/>
  <c r="I681" i="3"/>
  <c r="H681" i="3"/>
  <c r="G681" i="3"/>
  <c r="F681" i="3"/>
  <c r="E681" i="3"/>
  <c r="D681" i="3"/>
  <c r="C681" i="3"/>
  <c r="B681" i="3"/>
  <c r="A681" i="3"/>
  <c r="M680" i="3"/>
  <c r="L680" i="3"/>
  <c r="K680" i="3"/>
  <c r="J680" i="3"/>
  <c r="I680" i="3"/>
  <c r="H680" i="3"/>
  <c r="G680" i="3"/>
  <c r="F680" i="3"/>
  <c r="E680" i="3"/>
  <c r="D680" i="3"/>
  <c r="C680" i="3"/>
  <c r="B680" i="3"/>
  <c r="A680" i="3"/>
  <c r="M679" i="3"/>
  <c r="L679" i="3"/>
  <c r="K679" i="3"/>
  <c r="J679" i="3"/>
  <c r="I679" i="3"/>
  <c r="H679" i="3"/>
  <c r="G679" i="3"/>
  <c r="F679" i="3"/>
  <c r="E679" i="3"/>
  <c r="D679" i="3"/>
  <c r="C679" i="3"/>
  <c r="B679" i="3"/>
  <c r="A679" i="3"/>
  <c r="M678" i="3"/>
  <c r="L678" i="3"/>
  <c r="K678" i="3"/>
  <c r="J678" i="3"/>
  <c r="I678" i="3"/>
  <c r="H678" i="3"/>
  <c r="G678" i="3"/>
  <c r="F678" i="3"/>
  <c r="E678" i="3"/>
  <c r="D678" i="3"/>
  <c r="C678" i="3"/>
  <c r="B678" i="3"/>
  <c r="A678" i="3"/>
  <c r="M677" i="3"/>
  <c r="L677" i="3"/>
  <c r="K677" i="3"/>
  <c r="J677" i="3"/>
  <c r="I677" i="3"/>
  <c r="H677" i="3"/>
  <c r="G677" i="3"/>
  <c r="F677" i="3"/>
  <c r="E677" i="3"/>
  <c r="D677" i="3"/>
  <c r="C677" i="3"/>
  <c r="B677" i="3"/>
  <c r="A677" i="3"/>
  <c r="M676" i="3"/>
  <c r="L676" i="3"/>
  <c r="K676" i="3"/>
  <c r="J676" i="3"/>
  <c r="I676" i="3"/>
  <c r="H676" i="3"/>
  <c r="G676" i="3"/>
  <c r="F676" i="3"/>
  <c r="E676" i="3"/>
  <c r="D676" i="3"/>
  <c r="C676" i="3"/>
  <c r="B676" i="3"/>
  <c r="A676" i="3"/>
  <c r="M675" i="3"/>
  <c r="L675" i="3"/>
  <c r="K675" i="3"/>
  <c r="J675" i="3"/>
  <c r="I675" i="3"/>
  <c r="H675" i="3"/>
  <c r="G675" i="3"/>
  <c r="F675" i="3"/>
  <c r="E675" i="3"/>
  <c r="D675" i="3"/>
  <c r="C675" i="3"/>
  <c r="B675" i="3"/>
  <c r="A675" i="3"/>
  <c r="M674" i="3"/>
  <c r="L674" i="3"/>
  <c r="K674" i="3"/>
  <c r="J674" i="3"/>
  <c r="I674" i="3"/>
  <c r="H674" i="3"/>
  <c r="G674" i="3"/>
  <c r="F674" i="3"/>
  <c r="E674" i="3"/>
  <c r="D674" i="3"/>
  <c r="C674" i="3"/>
  <c r="B674" i="3"/>
  <c r="A674" i="3"/>
  <c r="M673" i="3"/>
  <c r="L673" i="3"/>
  <c r="K673" i="3"/>
  <c r="J673" i="3"/>
  <c r="I673" i="3"/>
  <c r="H673" i="3"/>
  <c r="G673" i="3"/>
  <c r="F673" i="3"/>
  <c r="E673" i="3"/>
  <c r="D673" i="3"/>
  <c r="C673" i="3"/>
  <c r="B673" i="3"/>
  <c r="A673" i="3"/>
  <c r="M672" i="3"/>
  <c r="L672" i="3"/>
  <c r="K672" i="3"/>
  <c r="J672" i="3"/>
  <c r="I672" i="3"/>
  <c r="H672" i="3"/>
  <c r="G672" i="3"/>
  <c r="F672" i="3"/>
  <c r="E672" i="3"/>
  <c r="D672" i="3"/>
  <c r="C672" i="3"/>
  <c r="B672" i="3"/>
  <c r="A672" i="3"/>
  <c r="M671" i="3"/>
  <c r="L671" i="3"/>
  <c r="K671" i="3"/>
  <c r="J671" i="3"/>
  <c r="I671" i="3"/>
  <c r="H671" i="3"/>
  <c r="G671" i="3"/>
  <c r="F671" i="3"/>
  <c r="E671" i="3"/>
  <c r="D671" i="3"/>
  <c r="C671" i="3"/>
  <c r="B671" i="3"/>
  <c r="A671" i="3"/>
  <c r="M670" i="3"/>
  <c r="L670" i="3"/>
  <c r="K670" i="3"/>
  <c r="J670" i="3"/>
  <c r="I670" i="3"/>
  <c r="H670" i="3"/>
  <c r="G670" i="3"/>
  <c r="F670" i="3"/>
  <c r="E670" i="3"/>
  <c r="D670" i="3"/>
  <c r="C670" i="3"/>
  <c r="B670" i="3"/>
  <c r="A670" i="3"/>
  <c r="M669" i="3"/>
  <c r="L669" i="3"/>
  <c r="K669" i="3"/>
  <c r="J669" i="3"/>
  <c r="I669" i="3"/>
  <c r="H669" i="3"/>
  <c r="G669" i="3"/>
  <c r="F669" i="3"/>
  <c r="E669" i="3"/>
  <c r="D669" i="3"/>
  <c r="C669" i="3"/>
  <c r="B669" i="3"/>
  <c r="A669" i="3"/>
  <c r="M668" i="3"/>
  <c r="L668" i="3"/>
  <c r="K668" i="3"/>
  <c r="J668" i="3"/>
  <c r="I668" i="3"/>
  <c r="H668" i="3"/>
  <c r="G668" i="3"/>
  <c r="F668" i="3"/>
  <c r="E668" i="3"/>
  <c r="D668" i="3"/>
  <c r="C668" i="3"/>
  <c r="B668" i="3"/>
  <c r="A668" i="3"/>
  <c r="M667" i="3"/>
  <c r="L667" i="3"/>
  <c r="K667" i="3"/>
  <c r="J667" i="3"/>
  <c r="I667" i="3"/>
  <c r="H667" i="3"/>
  <c r="G667" i="3"/>
  <c r="F667" i="3"/>
  <c r="E667" i="3"/>
  <c r="D667" i="3"/>
  <c r="C667" i="3"/>
  <c r="B667" i="3"/>
  <c r="A667" i="3"/>
  <c r="M666" i="3"/>
  <c r="L666" i="3"/>
  <c r="K666" i="3"/>
  <c r="J666" i="3"/>
  <c r="I666" i="3"/>
  <c r="H666" i="3"/>
  <c r="G666" i="3"/>
  <c r="F666" i="3"/>
  <c r="E666" i="3"/>
  <c r="D666" i="3"/>
  <c r="C666" i="3"/>
  <c r="B666" i="3"/>
  <c r="A666" i="3"/>
  <c r="M665" i="3"/>
  <c r="L665" i="3"/>
  <c r="K665" i="3"/>
  <c r="J665" i="3"/>
  <c r="I665" i="3"/>
  <c r="H665" i="3"/>
  <c r="G665" i="3"/>
  <c r="F665" i="3"/>
  <c r="E665" i="3"/>
  <c r="D665" i="3"/>
  <c r="C665" i="3"/>
  <c r="B665" i="3"/>
  <c r="A665" i="3"/>
  <c r="M664" i="3"/>
  <c r="L664" i="3"/>
  <c r="K664" i="3"/>
  <c r="J664" i="3"/>
  <c r="I664" i="3"/>
  <c r="H664" i="3"/>
  <c r="G664" i="3"/>
  <c r="F664" i="3"/>
  <c r="E664" i="3"/>
  <c r="D664" i="3"/>
  <c r="C664" i="3"/>
  <c r="B664" i="3"/>
  <c r="A664" i="3"/>
  <c r="M663" i="3"/>
  <c r="L663" i="3"/>
  <c r="K663" i="3"/>
  <c r="J663" i="3"/>
  <c r="I663" i="3"/>
  <c r="H663" i="3"/>
  <c r="G663" i="3"/>
  <c r="F663" i="3"/>
  <c r="E663" i="3"/>
  <c r="D663" i="3"/>
  <c r="C663" i="3"/>
  <c r="B663" i="3"/>
  <c r="A663" i="3"/>
  <c r="M662" i="3"/>
  <c r="L662" i="3"/>
  <c r="K662" i="3"/>
  <c r="J662" i="3"/>
  <c r="I662" i="3"/>
  <c r="H662" i="3"/>
  <c r="G662" i="3"/>
  <c r="F662" i="3"/>
  <c r="E662" i="3"/>
  <c r="D662" i="3"/>
  <c r="C662" i="3"/>
  <c r="B662" i="3"/>
  <c r="A662" i="3"/>
  <c r="M661" i="3"/>
  <c r="L661" i="3"/>
  <c r="K661" i="3"/>
  <c r="J661" i="3"/>
  <c r="I661" i="3"/>
  <c r="H661" i="3"/>
  <c r="G661" i="3"/>
  <c r="F661" i="3"/>
  <c r="E661" i="3"/>
  <c r="D661" i="3"/>
  <c r="C661" i="3"/>
  <c r="B661" i="3"/>
  <c r="A661" i="3"/>
  <c r="M660" i="3"/>
  <c r="L660" i="3"/>
  <c r="K660" i="3"/>
  <c r="J660" i="3"/>
  <c r="I660" i="3"/>
  <c r="H660" i="3"/>
  <c r="G660" i="3"/>
  <c r="F660" i="3"/>
  <c r="E660" i="3"/>
  <c r="D660" i="3"/>
  <c r="C660" i="3"/>
  <c r="B660" i="3"/>
  <c r="A660" i="3"/>
  <c r="M659" i="3"/>
  <c r="L659" i="3"/>
  <c r="K659" i="3"/>
  <c r="J659" i="3"/>
  <c r="I659" i="3"/>
  <c r="H659" i="3"/>
  <c r="G659" i="3"/>
  <c r="F659" i="3"/>
  <c r="E659" i="3"/>
  <c r="D659" i="3"/>
  <c r="C659" i="3"/>
  <c r="B659" i="3"/>
  <c r="A659" i="3"/>
  <c r="M658" i="3"/>
  <c r="L658" i="3"/>
  <c r="K658" i="3"/>
  <c r="J658" i="3"/>
  <c r="I658" i="3"/>
  <c r="H658" i="3"/>
  <c r="G658" i="3"/>
  <c r="F658" i="3"/>
  <c r="E658" i="3"/>
  <c r="D658" i="3"/>
  <c r="C658" i="3"/>
  <c r="B658" i="3"/>
  <c r="A658" i="3"/>
  <c r="M657" i="3"/>
  <c r="L657" i="3"/>
  <c r="K657" i="3"/>
  <c r="J657" i="3"/>
  <c r="I657" i="3"/>
  <c r="H657" i="3"/>
  <c r="G657" i="3"/>
  <c r="F657" i="3"/>
  <c r="E657" i="3"/>
  <c r="D657" i="3"/>
  <c r="C657" i="3"/>
  <c r="B657" i="3"/>
  <c r="A657" i="3"/>
  <c r="M656" i="3"/>
  <c r="L656" i="3"/>
  <c r="K656" i="3"/>
  <c r="J656" i="3"/>
  <c r="I656" i="3"/>
  <c r="H656" i="3"/>
  <c r="G656" i="3"/>
  <c r="F656" i="3"/>
  <c r="E656" i="3"/>
  <c r="D656" i="3"/>
  <c r="C656" i="3"/>
  <c r="B656" i="3"/>
  <c r="A656" i="3"/>
  <c r="M655" i="3"/>
  <c r="L655" i="3"/>
  <c r="K655" i="3"/>
  <c r="J655" i="3"/>
  <c r="I655" i="3"/>
  <c r="H655" i="3"/>
  <c r="G655" i="3"/>
  <c r="F655" i="3"/>
  <c r="E655" i="3"/>
  <c r="D655" i="3"/>
  <c r="C655" i="3"/>
  <c r="B655" i="3"/>
  <c r="A655" i="3"/>
  <c r="M654" i="3"/>
  <c r="L654" i="3"/>
  <c r="K654" i="3"/>
  <c r="J654" i="3"/>
  <c r="I654" i="3"/>
  <c r="H654" i="3"/>
  <c r="G654" i="3"/>
  <c r="F654" i="3"/>
  <c r="E654" i="3"/>
  <c r="D654" i="3"/>
  <c r="C654" i="3"/>
  <c r="B654" i="3"/>
  <c r="A654" i="3"/>
  <c r="M653" i="3"/>
  <c r="L653" i="3"/>
  <c r="K653" i="3"/>
  <c r="J653" i="3"/>
  <c r="I653" i="3"/>
  <c r="H653" i="3"/>
  <c r="G653" i="3"/>
  <c r="F653" i="3"/>
  <c r="E653" i="3"/>
  <c r="D653" i="3"/>
  <c r="C653" i="3"/>
  <c r="B653" i="3"/>
  <c r="A653" i="3"/>
  <c r="M652" i="3"/>
  <c r="L652" i="3"/>
  <c r="K652" i="3"/>
  <c r="J652" i="3"/>
  <c r="I652" i="3"/>
  <c r="H652" i="3"/>
  <c r="G652" i="3"/>
  <c r="F652" i="3"/>
  <c r="E652" i="3"/>
  <c r="D652" i="3"/>
  <c r="C652" i="3"/>
  <c r="B652" i="3"/>
  <c r="A652" i="3"/>
  <c r="M651" i="3"/>
  <c r="L651" i="3"/>
  <c r="K651" i="3"/>
  <c r="J651" i="3"/>
  <c r="I651" i="3"/>
  <c r="H651" i="3"/>
  <c r="G651" i="3"/>
  <c r="F651" i="3"/>
  <c r="E651" i="3"/>
  <c r="D651" i="3"/>
  <c r="C651" i="3"/>
  <c r="B651" i="3"/>
  <c r="A651" i="3"/>
  <c r="M650" i="3"/>
  <c r="L650" i="3"/>
  <c r="K650" i="3"/>
  <c r="J650" i="3"/>
  <c r="I650" i="3"/>
  <c r="H650" i="3"/>
  <c r="G650" i="3"/>
  <c r="F650" i="3"/>
  <c r="E650" i="3"/>
  <c r="D650" i="3"/>
  <c r="C650" i="3"/>
  <c r="B650" i="3"/>
  <c r="A650" i="3"/>
  <c r="M649" i="3"/>
  <c r="L649" i="3"/>
  <c r="K649" i="3"/>
  <c r="J649" i="3"/>
  <c r="I649" i="3"/>
  <c r="H649" i="3"/>
  <c r="G649" i="3"/>
  <c r="F649" i="3"/>
  <c r="E649" i="3"/>
  <c r="D649" i="3"/>
  <c r="C649" i="3"/>
  <c r="B649" i="3"/>
  <c r="A649" i="3"/>
  <c r="M648" i="3"/>
  <c r="L648" i="3"/>
  <c r="K648" i="3"/>
  <c r="J648" i="3"/>
  <c r="I648" i="3"/>
  <c r="H648" i="3"/>
  <c r="G648" i="3"/>
  <c r="F648" i="3"/>
  <c r="E648" i="3"/>
  <c r="D648" i="3"/>
  <c r="C648" i="3"/>
  <c r="B648" i="3"/>
  <c r="A648" i="3"/>
  <c r="M647" i="3"/>
  <c r="L647" i="3"/>
  <c r="K647" i="3"/>
  <c r="J647" i="3"/>
  <c r="I647" i="3"/>
  <c r="H647" i="3"/>
  <c r="G647" i="3"/>
  <c r="F647" i="3"/>
  <c r="E647" i="3"/>
  <c r="D647" i="3"/>
  <c r="C647" i="3"/>
  <c r="B647" i="3"/>
  <c r="A647" i="3"/>
  <c r="M646" i="3"/>
  <c r="L646" i="3"/>
  <c r="K646" i="3"/>
  <c r="J646" i="3"/>
  <c r="I646" i="3"/>
  <c r="H646" i="3"/>
  <c r="G646" i="3"/>
  <c r="F646" i="3"/>
  <c r="E646" i="3"/>
  <c r="D646" i="3"/>
  <c r="C646" i="3"/>
  <c r="B646" i="3"/>
  <c r="A646" i="3"/>
  <c r="M645" i="3"/>
  <c r="L645" i="3"/>
  <c r="K645" i="3"/>
  <c r="J645" i="3"/>
  <c r="I645" i="3"/>
  <c r="H645" i="3"/>
  <c r="G645" i="3"/>
  <c r="F645" i="3"/>
  <c r="E645" i="3"/>
  <c r="D645" i="3"/>
  <c r="C645" i="3"/>
  <c r="B645" i="3"/>
  <c r="A645" i="3"/>
  <c r="M644" i="3"/>
  <c r="L644" i="3"/>
  <c r="K644" i="3"/>
  <c r="J644" i="3"/>
  <c r="I644" i="3"/>
  <c r="H644" i="3"/>
  <c r="G644" i="3"/>
  <c r="F644" i="3"/>
  <c r="E644" i="3"/>
  <c r="D644" i="3"/>
  <c r="C644" i="3"/>
  <c r="B644" i="3"/>
  <c r="A644" i="3"/>
  <c r="M643" i="3"/>
  <c r="L643" i="3"/>
  <c r="K643" i="3"/>
  <c r="J643" i="3"/>
  <c r="I643" i="3"/>
  <c r="H643" i="3"/>
  <c r="G643" i="3"/>
  <c r="F643" i="3"/>
  <c r="E643" i="3"/>
  <c r="D643" i="3"/>
  <c r="C643" i="3"/>
  <c r="B643" i="3"/>
  <c r="A643" i="3"/>
  <c r="M642" i="3"/>
  <c r="L642" i="3"/>
  <c r="K642" i="3"/>
  <c r="J642" i="3"/>
  <c r="I642" i="3"/>
  <c r="H642" i="3"/>
  <c r="G642" i="3"/>
  <c r="F642" i="3"/>
  <c r="E642" i="3"/>
  <c r="D642" i="3"/>
  <c r="C642" i="3"/>
  <c r="B642" i="3"/>
  <c r="A642" i="3"/>
  <c r="M641" i="3"/>
  <c r="L641" i="3"/>
  <c r="K641" i="3"/>
  <c r="J641" i="3"/>
  <c r="I641" i="3"/>
  <c r="H641" i="3"/>
  <c r="G641" i="3"/>
  <c r="F641" i="3"/>
  <c r="E641" i="3"/>
  <c r="D641" i="3"/>
  <c r="C641" i="3"/>
  <c r="B641" i="3"/>
  <c r="A641" i="3"/>
  <c r="M640" i="3"/>
  <c r="L640" i="3"/>
  <c r="K640" i="3"/>
  <c r="J640" i="3"/>
  <c r="I640" i="3"/>
  <c r="H640" i="3"/>
  <c r="G640" i="3"/>
  <c r="F640" i="3"/>
  <c r="E640" i="3"/>
  <c r="D640" i="3"/>
  <c r="C640" i="3"/>
  <c r="B640" i="3"/>
  <c r="A640" i="3"/>
  <c r="M639" i="3"/>
  <c r="L639" i="3"/>
  <c r="K639" i="3"/>
  <c r="J639" i="3"/>
  <c r="I639" i="3"/>
  <c r="H639" i="3"/>
  <c r="G639" i="3"/>
  <c r="F639" i="3"/>
  <c r="E639" i="3"/>
  <c r="D639" i="3"/>
  <c r="C639" i="3"/>
  <c r="B639" i="3"/>
  <c r="A639" i="3"/>
  <c r="M638" i="3"/>
  <c r="L638" i="3"/>
  <c r="K638" i="3"/>
  <c r="J638" i="3"/>
  <c r="I638" i="3"/>
  <c r="H638" i="3"/>
  <c r="G638" i="3"/>
  <c r="F638" i="3"/>
  <c r="E638" i="3"/>
  <c r="D638" i="3"/>
  <c r="C638" i="3"/>
  <c r="B638" i="3"/>
  <c r="A638" i="3"/>
  <c r="M637" i="3"/>
  <c r="L637" i="3"/>
  <c r="K637" i="3"/>
  <c r="J637" i="3"/>
  <c r="I637" i="3"/>
  <c r="H637" i="3"/>
  <c r="G637" i="3"/>
  <c r="F637" i="3"/>
  <c r="E637" i="3"/>
  <c r="D637" i="3"/>
  <c r="C637" i="3"/>
  <c r="B637" i="3"/>
  <c r="A637" i="3"/>
  <c r="M636" i="3"/>
  <c r="L636" i="3"/>
  <c r="K636" i="3"/>
  <c r="J636" i="3"/>
  <c r="I636" i="3"/>
  <c r="H636" i="3"/>
  <c r="G636" i="3"/>
  <c r="F636" i="3"/>
  <c r="E636" i="3"/>
  <c r="D636" i="3"/>
  <c r="C636" i="3"/>
  <c r="B636" i="3"/>
  <c r="A636" i="3"/>
  <c r="M635" i="3"/>
  <c r="L635" i="3"/>
  <c r="K635" i="3"/>
  <c r="J635" i="3"/>
  <c r="I635" i="3"/>
  <c r="H635" i="3"/>
  <c r="G635" i="3"/>
  <c r="F635" i="3"/>
  <c r="E635" i="3"/>
  <c r="D635" i="3"/>
  <c r="C635" i="3"/>
  <c r="B635" i="3"/>
  <c r="A635" i="3"/>
  <c r="M634" i="3"/>
  <c r="L634" i="3"/>
  <c r="K634" i="3"/>
  <c r="J634" i="3"/>
  <c r="I634" i="3"/>
  <c r="H634" i="3"/>
  <c r="G634" i="3"/>
  <c r="F634" i="3"/>
  <c r="E634" i="3"/>
  <c r="D634" i="3"/>
  <c r="C634" i="3"/>
  <c r="B634" i="3"/>
  <c r="A634" i="3"/>
  <c r="M633" i="3"/>
  <c r="L633" i="3"/>
  <c r="K633" i="3"/>
  <c r="J633" i="3"/>
  <c r="I633" i="3"/>
  <c r="H633" i="3"/>
  <c r="G633" i="3"/>
  <c r="F633" i="3"/>
  <c r="E633" i="3"/>
  <c r="D633" i="3"/>
  <c r="C633" i="3"/>
  <c r="B633" i="3"/>
  <c r="A633" i="3"/>
  <c r="M632" i="3"/>
  <c r="L632" i="3"/>
  <c r="K632" i="3"/>
  <c r="J632" i="3"/>
  <c r="I632" i="3"/>
  <c r="H632" i="3"/>
  <c r="G632" i="3"/>
  <c r="F632" i="3"/>
  <c r="E632" i="3"/>
  <c r="D632" i="3"/>
  <c r="C632" i="3"/>
  <c r="B632" i="3"/>
  <c r="A632" i="3"/>
  <c r="M631" i="3"/>
  <c r="L631" i="3"/>
  <c r="K631" i="3"/>
  <c r="J631" i="3"/>
  <c r="I631" i="3"/>
  <c r="H631" i="3"/>
  <c r="G631" i="3"/>
  <c r="F631" i="3"/>
  <c r="E631" i="3"/>
  <c r="D631" i="3"/>
  <c r="C631" i="3"/>
  <c r="B631" i="3"/>
  <c r="A631" i="3"/>
  <c r="M630" i="3"/>
  <c r="L630" i="3"/>
  <c r="K630" i="3"/>
  <c r="J630" i="3"/>
  <c r="I630" i="3"/>
  <c r="H630" i="3"/>
  <c r="G630" i="3"/>
  <c r="F630" i="3"/>
  <c r="E630" i="3"/>
  <c r="D630" i="3"/>
  <c r="C630" i="3"/>
  <c r="B630" i="3"/>
  <c r="A630" i="3"/>
  <c r="M629" i="3"/>
  <c r="L629" i="3"/>
  <c r="K629" i="3"/>
  <c r="J629" i="3"/>
  <c r="I629" i="3"/>
  <c r="H629" i="3"/>
  <c r="G629" i="3"/>
  <c r="F629" i="3"/>
  <c r="E629" i="3"/>
  <c r="D629" i="3"/>
  <c r="C629" i="3"/>
  <c r="B629" i="3"/>
  <c r="A629" i="3"/>
  <c r="M628" i="3"/>
  <c r="L628" i="3"/>
  <c r="K628" i="3"/>
  <c r="J628" i="3"/>
  <c r="I628" i="3"/>
  <c r="H628" i="3"/>
  <c r="G628" i="3"/>
  <c r="F628" i="3"/>
  <c r="E628" i="3"/>
  <c r="D628" i="3"/>
  <c r="C628" i="3"/>
  <c r="B628" i="3"/>
  <c r="A628" i="3"/>
  <c r="M627" i="3"/>
  <c r="L627" i="3"/>
  <c r="K627" i="3"/>
  <c r="J627" i="3"/>
  <c r="I627" i="3"/>
  <c r="H627" i="3"/>
  <c r="G627" i="3"/>
  <c r="F627" i="3"/>
  <c r="E627" i="3"/>
  <c r="D627" i="3"/>
  <c r="C627" i="3"/>
  <c r="B627" i="3"/>
  <c r="A627" i="3"/>
  <c r="M626" i="3"/>
  <c r="L626" i="3"/>
  <c r="K626" i="3"/>
  <c r="J626" i="3"/>
  <c r="I626" i="3"/>
  <c r="H626" i="3"/>
  <c r="G626" i="3"/>
  <c r="F626" i="3"/>
  <c r="E626" i="3"/>
  <c r="D626" i="3"/>
  <c r="C626" i="3"/>
  <c r="B626" i="3"/>
  <c r="A626" i="3"/>
  <c r="M625" i="3"/>
  <c r="L625" i="3"/>
  <c r="K625" i="3"/>
  <c r="J625" i="3"/>
  <c r="I625" i="3"/>
  <c r="H625" i="3"/>
  <c r="G625" i="3"/>
  <c r="F625" i="3"/>
  <c r="E625" i="3"/>
  <c r="D625" i="3"/>
  <c r="C625" i="3"/>
  <c r="B625" i="3"/>
  <c r="A625" i="3"/>
  <c r="M624" i="3"/>
  <c r="L624" i="3"/>
  <c r="K624" i="3"/>
  <c r="J624" i="3"/>
  <c r="I624" i="3"/>
  <c r="H624" i="3"/>
  <c r="G624" i="3"/>
  <c r="F624" i="3"/>
  <c r="E624" i="3"/>
  <c r="D624" i="3"/>
  <c r="C624" i="3"/>
  <c r="B624" i="3"/>
  <c r="A624" i="3"/>
  <c r="M623" i="3"/>
  <c r="L623" i="3"/>
  <c r="K623" i="3"/>
  <c r="J623" i="3"/>
  <c r="I623" i="3"/>
  <c r="H623" i="3"/>
  <c r="G623" i="3"/>
  <c r="F623" i="3"/>
  <c r="E623" i="3"/>
  <c r="D623" i="3"/>
  <c r="C623" i="3"/>
  <c r="B623" i="3"/>
  <c r="A623" i="3"/>
  <c r="M622" i="3"/>
  <c r="L622" i="3"/>
  <c r="K622" i="3"/>
  <c r="J622" i="3"/>
  <c r="I622" i="3"/>
  <c r="H622" i="3"/>
  <c r="G622" i="3"/>
  <c r="F622" i="3"/>
  <c r="E622" i="3"/>
  <c r="D622" i="3"/>
  <c r="C622" i="3"/>
  <c r="B622" i="3"/>
  <c r="A622" i="3"/>
  <c r="M621" i="3"/>
  <c r="L621" i="3"/>
  <c r="K621" i="3"/>
  <c r="J621" i="3"/>
  <c r="I621" i="3"/>
  <c r="H621" i="3"/>
  <c r="G621" i="3"/>
  <c r="F621" i="3"/>
  <c r="E621" i="3"/>
  <c r="D621" i="3"/>
  <c r="C621" i="3"/>
  <c r="B621" i="3"/>
  <c r="A621" i="3"/>
  <c r="M620" i="3"/>
  <c r="L620" i="3"/>
  <c r="K620" i="3"/>
  <c r="J620" i="3"/>
  <c r="I620" i="3"/>
  <c r="H620" i="3"/>
  <c r="G620" i="3"/>
  <c r="F620" i="3"/>
  <c r="E620" i="3"/>
  <c r="D620" i="3"/>
  <c r="C620" i="3"/>
  <c r="B620" i="3"/>
  <c r="A620" i="3"/>
  <c r="M619" i="3"/>
  <c r="L619" i="3"/>
  <c r="K619" i="3"/>
  <c r="J619" i="3"/>
  <c r="I619" i="3"/>
  <c r="H619" i="3"/>
  <c r="G619" i="3"/>
  <c r="F619" i="3"/>
  <c r="E619" i="3"/>
  <c r="D619" i="3"/>
  <c r="C619" i="3"/>
  <c r="B619" i="3"/>
  <c r="A619" i="3"/>
  <c r="M618" i="3"/>
  <c r="L618" i="3"/>
  <c r="K618" i="3"/>
  <c r="J618" i="3"/>
  <c r="I618" i="3"/>
  <c r="H618" i="3"/>
  <c r="G618" i="3"/>
  <c r="F618" i="3"/>
  <c r="E618" i="3"/>
  <c r="D618" i="3"/>
  <c r="C618" i="3"/>
  <c r="B618" i="3"/>
  <c r="A618" i="3"/>
  <c r="M617" i="3"/>
  <c r="L617" i="3"/>
  <c r="K617" i="3"/>
  <c r="J617" i="3"/>
  <c r="I617" i="3"/>
  <c r="H617" i="3"/>
  <c r="G617" i="3"/>
  <c r="F617" i="3"/>
  <c r="E617" i="3"/>
  <c r="D617" i="3"/>
  <c r="C617" i="3"/>
  <c r="B617" i="3"/>
  <c r="A617" i="3"/>
  <c r="M616" i="3"/>
  <c r="L616" i="3"/>
  <c r="K616" i="3"/>
  <c r="J616" i="3"/>
  <c r="I616" i="3"/>
  <c r="H616" i="3"/>
  <c r="G616" i="3"/>
  <c r="F616" i="3"/>
  <c r="E616" i="3"/>
  <c r="D616" i="3"/>
  <c r="C616" i="3"/>
  <c r="B616" i="3"/>
  <c r="A616" i="3"/>
  <c r="M615" i="3"/>
  <c r="L615" i="3"/>
  <c r="K615" i="3"/>
  <c r="J615" i="3"/>
  <c r="I615" i="3"/>
  <c r="H615" i="3"/>
  <c r="G615" i="3"/>
  <c r="F615" i="3"/>
  <c r="E615" i="3"/>
  <c r="D615" i="3"/>
  <c r="C615" i="3"/>
  <c r="B615" i="3"/>
  <c r="A615" i="3"/>
  <c r="M614" i="3"/>
  <c r="L614" i="3"/>
  <c r="K614" i="3"/>
  <c r="J614" i="3"/>
  <c r="I614" i="3"/>
  <c r="H614" i="3"/>
  <c r="G614" i="3"/>
  <c r="F614" i="3"/>
  <c r="E614" i="3"/>
  <c r="D614" i="3"/>
  <c r="C614" i="3"/>
  <c r="B614" i="3"/>
  <c r="A614" i="3"/>
  <c r="M613" i="3"/>
  <c r="L613" i="3"/>
  <c r="K613" i="3"/>
  <c r="J613" i="3"/>
  <c r="I613" i="3"/>
  <c r="H613" i="3"/>
  <c r="G613" i="3"/>
  <c r="F613" i="3"/>
  <c r="E613" i="3"/>
  <c r="D613" i="3"/>
  <c r="C613" i="3"/>
  <c r="B613" i="3"/>
  <c r="A613" i="3"/>
  <c r="M612" i="3"/>
  <c r="L612" i="3"/>
  <c r="K612" i="3"/>
  <c r="J612" i="3"/>
  <c r="I612" i="3"/>
  <c r="H612" i="3"/>
  <c r="G612" i="3"/>
  <c r="F612" i="3"/>
  <c r="E612" i="3"/>
  <c r="D612" i="3"/>
  <c r="C612" i="3"/>
  <c r="B612" i="3"/>
  <c r="A612" i="3"/>
  <c r="M611" i="3"/>
  <c r="L611" i="3"/>
  <c r="K611" i="3"/>
  <c r="J611" i="3"/>
  <c r="I611" i="3"/>
  <c r="H611" i="3"/>
  <c r="G611" i="3"/>
  <c r="F611" i="3"/>
  <c r="E611" i="3"/>
  <c r="D611" i="3"/>
  <c r="C611" i="3"/>
  <c r="B611" i="3"/>
  <c r="A611" i="3"/>
  <c r="M610" i="3"/>
  <c r="L610" i="3"/>
  <c r="K610" i="3"/>
  <c r="J610" i="3"/>
  <c r="I610" i="3"/>
  <c r="H610" i="3"/>
  <c r="G610" i="3"/>
  <c r="F610" i="3"/>
  <c r="E610" i="3"/>
  <c r="D610" i="3"/>
  <c r="C610" i="3"/>
  <c r="B610" i="3"/>
  <c r="A610" i="3"/>
  <c r="M609" i="3"/>
  <c r="L609" i="3"/>
  <c r="K609" i="3"/>
  <c r="J609" i="3"/>
  <c r="I609" i="3"/>
  <c r="H609" i="3"/>
  <c r="G609" i="3"/>
  <c r="F609" i="3"/>
  <c r="E609" i="3"/>
  <c r="D609" i="3"/>
  <c r="C609" i="3"/>
  <c r="B609" i="3"/>
  <c r="A609" i="3"/>
  <c r="M608" i="3"/>
  <c r="L608" i="3"/>
  <c r="K608" i="3"/>
  <c r="J608" i="3"/>
  <c r="I608" i="3"/>
  <c r="H608" i="3"/>
  <c r="G608" i="3"/>
  <c r="F608" i="3"/>
  <c r="E608" i="3"/>
  <c r="D608" i="3"/>
  <c r="C608" i="3"/>
  <c r="B608" i="3"/>
  <c r="A608" i="3"/>
  <c r="M607" i="3"/>
  <c r="L607" i="3"/>
  <c r="K607" i="3"/>
  <c r="J607" i="3"/>
  <c r="I607" i="3"/>
  <c r="H607" i="3"/>
  <c r="G607" i="3"/>
  <c r="F607" i="3"/>
  <c r="E607" i="3"/>
  <c r="D607" i="3"/>
  <c r="C607" i="3"/>
  <c r="B607" i="3"/>
  <c r="A607" i="3"/>
  <c r="M606" i="3"/>
  <c r="L606" i="3"/>
  <c r="K606" i="3"/>
  <c r="J606" i="3"/>
  <c r="I606" i="3"/>
  <c r="H606" i="3"/>
  <c r="G606" i="3"/>
  <c r="F606" i="3"/>
  <c r="E606" i="3"/>
  <c r="D606" i="3"/>
  <c r="C606" i="3"/>
  <c r="B606" i="3"/>
  <c r="A606" i="3"/>
  <c r="M605" i="3"/>
  <c r="L605" i="3"/>
  <c r="K605" i="3"/>
  <c r="J605" i="3"/>
  <c r="I605" i="3"/>
  <c r="H605" i="3"/>
  <c r="G605" i="3"/>
  <c r="F605" i="3"/>
  <c r="E605" i="3"/>
  <c r="D605" i="3"/>
  <c r="C605" i="3"/>
  <c r="B605" i="3"/>
  <c r="A605" i="3"/>
  <c r="M604" i="3"/>
  <c r="L604" i="3"/>
  <c r="K604" i="3"/>
  <c r="J604" i="3"/>
  <c r="I604" i="3"/>
  <c r="H604" i="3"/>
  <c r="G604" i="3"/>
  <c r="F604" i="3"/>
  <c r="E604" i="3"/>
  <c r="D604" i="3"/>
  <c r="C604" i="3"/>
  <c r="B604" i="3"/>
  <c r="A604" i="3"/>
  <c r="M603" i="3"/>
  <c r="L603" i="3"/>
  <c r="K603" i="3"/>
  <c r="J603" i="3"/>
  <c r="I603" i="3"/>
  <c r="H603" i="3"/>
  <c r="G603" i="3"/>
  <c r="F603" i="3"/>
  <c r="E603" i="3"/>
  <c r="D603" i="3"/>
  <c r="C603" i="3"/>
  <c r="B603" i="3"/>
  <c r="A603" i="3"/>
  <c r="M602" i="3"/>
  <c r="L602" i="3"/>
  <c r="K602" i="3"/>
  <c r="J602" i="3"/>
  <c r="I602" i="3"/>
  <c r="H602" i="3"/>
  <c r="G602" i="3"/>
  <c r="F602" i="3"/>
  <c r="E602" i="3"/>
  <c r="D602" i="3"/>
  <c r="C602" i="3"/>
  <c r="B602" i="3"/>
  <c r="A602" i="3"/>
  <c r="M601" i="3"/>
  <c r="L601" i="3"/>
  <c r="K601" i="3"/>
  <c r="J601" i="3"/>
  <c r="I601" i="3"/>
  <c r="H601" i="3"/>
  <c r="G601" i="3"/>
  <c r="F601" i="3"/>
  <c r="E601" i="3"/>
  <c r="D601" i="3"/>
  <c r="C601" i="3"/>
  <c r="B601" i="3"/>
  <c r="A601" i="3"/>
  <c r="M600" i="3"/>
  <c r="L600" i="3"/>
  <c r="K600" i="3"/>
  <c r="J600" i="3"/>
  <c r="I600" i="3"/>
  <c r="H600" i="3"/>
  <c r="G600" i="3"/>
  <c r="F600" i="3"/>
  <c r="E600" i="3"/>
  <c r="D600" i="3"/>
  <c r="C600" i="3"/>
  <c r="B600" i="3"/>
  <c r="A600" i="3"/>
  <c r="M599" i="3"/>
  <c r="L599" i="3"/>
  <c r="K599" i="3"/>
  <c r="J599" i="3"/>
  <c r="I599" i="3"/>
  <c r="H599" i="3"/>
  <c r="G599" i="3"/>
  <c r="F599" i="3"/>
  <c r="E599" i="3"/>
  <c r="D599" i="3"/>
  <c r="C599" i="3"/>
  <c r="B599" i="3"/>
  <c r="A599" i="3"/>
  <c r="M598" i="3"/>
  <c r="L598" i="3"/>
  <c r="K598" i="3"/>
  <c r="J598" i="3"/>
  <c r="I598" i="3"/>
  <c r="H598" i="3"/>
  <c r="G598" i="3"/>
  <c r="F598" i="3"/>
  <c r="E598" i="3"/>
  <c r="D598" i="3"/>
  <c r="C598" i="3"/>
  <c r="B598" i="3"/>
  <c r="A598" i="3"/>
  <c r="M597" i="3"/>
  <c r="L597" i="3"/>
  <c r="K597" i="3"/>
  <c r="J597" i="3"/>
  <c r="I597" i="3"/>
  <c r="H597" i="3"/>
  <c r="G597" i="3"/>
  <c r="F597" i="3"/>
  <c r="E597" i="3"/>
  <c r="D597" i="3"/>
  <c r="C597" i="3"/>
  <c r="B597" i="3"/>
  <c r="A597" i="3"/>
  <c r="M596" i="3"/>
  <c r="L596" i="3"/>
  <c r="K596" i="3"/>
  <c r="J596" i="3"/>
  <c r="I596" i="3"/>
  <c r="H596" i="3"/>
  <c r="G596" i="3"/>
  <c r="F596" i="3"/>
  <c r="E596" i="3"/>
  <c r="D596" i="3"/>
  <c r="C596" i="3"/>
  <c r="B596" i="3"/>
  <c r="A596" i="3"/>
  <c r="M595" i="3"/>
  <c r="L595" i="3"/>
  <c r="K595" i="3"/>
  <c r="J595" i="3"/>
  <c r="I595" i="3"/>
  <c r="H595" i="3"/>
  <c r="G595" i="3"/>
  <c r="F595" i="3"/>
  <c r="E595" i="3"/>
  <c r="D595" i="3"/>
  <c r="C595" i="3"/>
  <c r="B595" i="3"/>
  <c r="A595" i="3"/>
  <c r="M594" i="3"/>
  <c r="L594" i="3"/>
  <c r="K594" i="3"/>
  <c r="J594" i="3"/>
  <c r="I594" i="3"/>
  <c r="H594" i="3"/>
  <c r="G594" i="3"/>
  <c r="F594" i="3"/>
  <c r="E594" i="3"/>
  <c r="D594" i="3"/>
  <c r="C594" i="3"/>
  <c r="B594" i="3"/>
  <c r="A594" i="3"/>
  <c r="M593" i="3"/>
  <c r="L593" i="3"/>
  <c r="K593" i="3"/>
  <c r="J593" i="3"/>
  <c r="I593" i="3"/>
  <c r="H593" i="3"/>
  <c r="G593" i="3"/>
  <c r="F593" i="3"/>
  <c r="E593" i="3"/>
  <c r="D593" i="3"/>
  <c r="C593" i="3"/>
  <c r="B593" i="3"/>
  <c r="A593" i="3"/>
  <c r="M592" i="3"/>
  <c r="L592" i="3"/>
  <c r="K592" i="3"/>
  <c r="J592" i="3"/>
  <c r="I592" i="3"/>
  <c r="H592" i="3"/>
  <c r="G592" i="3"/>
  <c r="F592" i="3"/>
  <c r="E592" i="3"/>
  <c r="D592" i="3"/>
  <c r="C592" i="3"/>
  <c r="B592" i="3"/>
  <c r="A592" i="3"/>
  <c r="M591" i="3"/>
  <c r="L591" i="3"/>
  <c r="K591" i="3"/>
  <c r="J591" i="3"/>
  <c r="I591" i="3"/>
  <c r="H591" i="3"/>
  <c r="G591" i="3"/>
  <c r="F591" i="3"/>
  <c r="E591" i="3"/>
  <c r="D591" i="3"/>
  <c r="C591" i="3"/>
  <c r="B591" i="3"/>
  <c r="A591" i="3"/>
  <c r="M590" i="3"/>
  <c r="L590" i="3"/>
  <c r="K590" i="3"/>
  <c r="J590" i="3"/>
  <c r="I590" i="3"/>
  <c r="H590" i="3"/>
  <c r="G590" i="3"/>
  <c r="F590" i="3"/>
  <c r="E590" i="3"/>
  <c r="D590" i="3"/>
  <c r="C590" i="3"/>
  <c r="B590" i="3"/>
  <c r="A590" i="3"/>
  <c r="M589" i="3"/>
  <c r="L589" i="3"/>
  <c r="K589" i="3"/>
  <c r="J589" i="3"/>
  <c r="I589" i="3"/>
  <c r="H589" i="3"/>
  <c r="G589" i="3"/>
  <c r="F589" i="3"/>
  <c r="E589" i="3"/>
  <c r="D589" i="3"/>
  <c r="C589" i="3"/>
  <c r="B589" i="3"/>
  <c r="A589" i="3"/>
  <c r="M588" i="3"/>
  <c r="L588" i="3"/>
  <c r="K588" i="3"/>
  <c r="J588" i="3"/>
  <c r="I588" i="3"/>
  <c r="H588" i="3"/>
  <c r="G588" i="3"/>
  <c r="F588" i="3"/>
  <c r="E588" i="3"/>
  <c r="D588" i="3"/>
  <c r="C588" i="3"/>
  <c r="B588" i="3"/>
  <c r="A588" i="3"/>
  <c r="M587" i="3"/>
  <c r="L587" i="3"/>
  <c r="K587" i="3"/>
  <c r="J587" i="3"/>
  <c r="I587" i="3"/>
  <c r="H587" i="3"/>
  <c r="G587" i="3"/>
  <c r="F587" i="3"/>
  <c r="E587" i="3"/>
  <c r="D587" i="3"/>
  <c r="C587" i="3"/>
  <c r="B587" i="3"/>
  <c r="A587" i="3"/>
  <c r="M586" i="3"/>
  <c r="L586" i="3"/>
  <c r="K586" i="3"/>
  <c r="J586" i="3"/>
  <c r="I586" i="3"/>
  <c r="H586" i="3"/>
  <c r="G586" i="3"/>
  <c r="F586" i="3"/>
  <c r="E586" i="3"/>
  <c r="D586" i="3"/>
  <c r="C586" i="3"/>
  <c r="B586" i="3"/>
  <c r="A586" i="3"/>
  <c r="M585" i="3"/>
  <c r="L585" i="3"/>
  <c r="K585" i="3"/>
  <c r="J585" i="3"/>
  <c r="I585" i="3"/>
  <c r="H585" i="3"/>
  <c r="G585" i="3"/>
  <c r="F585" i="3"/>
  <c r="E585" i="3"/>
  <c r="D585" i="3"/>
  <c r="C585" i="3"/>
  <c r="B585" i="3"/>
  <c r="A585" i="3"/>
  <c r="M584" i="3"/>
  <c r="L584" i="3"/>
  <c r="K584" i="3"/>
  <c r="J584" i="3"/>
  <c r="I584" i="3"/>
  <c r="H584" i="3"/>
  <c r="G584" i="3"/>
  <c r="F584" i="3"/>
  <c r="E584" i="3"/>
  <c r="D584" i="3"/>
  <c r="C584" i="3"/>
  <c r="B584" i="3"/>
  <c r="A584" i="3"/>
  <c r="M583" i="3"/>
  <c r="L583" i="3"/>
  <c r="K583" i="3"/>
  <c r="J583" i="3"/>
  <c r="I583" i="3"/>
  <c r="H583" i="3"/>
  <c r="G583" i="3"/>
  <c r="F583" i="3"/>
  <c r="E583" i="3"/>
  <c r="D583" i="3"/>
  <c r="C583" i="3"/>
  <c r="B583" i="3"/>
  <c r="A583" i="3"/>
  <c r="M582" i="3"/>
  <c r="L582" i="3"/>
  <c r="K582" i="3"/>
  <c r="J582" i="3"/>
  <c r="I582" i="3"/>
  <c r="H582" i="3"/>
  <c r="G582" i="3"/>
  <c r="F582" i="3"/>
  <c r="E582" i="3"/>
  <c r="D582" i="3"/>
  <c r="C582" i="3"/>
  <c r="B582" i="3"/>
  <c r="A582" i="3"/>
  <c r="M581" i="3"/>
  <c r="L581" i="3"/>
  <c r="K581" i="3"/>
  <c r="J581" i="3"/>
  <c r="I581" i="3"/>
  <c r="H581" i="3"/>
  <c r="G581" i="3"/>
  <c r="F581" i="3"/>
  <c r="E581" i="3"/>
  <c r="D581" i="3"/>
  <c r="C581" i="3"/>
  <c r="B581" i="3"/>
  <c r="A581" i="3"/>
  <c r="M580" i="3"/>
  <c r="L580" i="3"/>
  <c r="K580" i="3"/>
  <c r="J580" i="3"/>
  <c r="I580" i="3"/>
  <c r="H580" i="3"/>
  <c r="G580" i="3"/>
  <c r="F580" i="3"/>
  <c r="E580" i="3"/>
  <c r="D580" i="3"/>
  <c r="C580" i="3"/>
  <c r="B580" i="3"/>
  <c r="A580" i="3"/>
  <c r="M579" i="3"/>
  <c r="L579" i="3"/>
  <c r="K579" i="3"/>
  <c r="J579" i="3"/>
  <c r="I579" i="3"/>
  <c r="H579" i="3"/>
  <c r="G579" i="3"/>
  <c r="F579" i="3"/>
  <c r="E579" i="3"/>
  <c r="D579" i="3"/>
  <c r="C579" i="3"/>
  <c r="B579" i="3"/>
  <c r="A579" i="3"/>
  <c r="M578" i="3"/>
  <c r="L578" i="3"/>
  <c r="K578" i="3"/>
  <c r="J578" i="3"/>
  <c r="I578" i="3"/>
  <c r="H578" i="3"/>
  <c r="G578" i="3"/>
  <c r="F578" i="3"/>
  <c r="E578" i="3"/>
  <c r="D578" i="3"/>
  <c r="C578" i="3"/>
  <c r="B578" i="3"/>
  <c r="A578" i="3"/>
  <c r="M577" i="3"/>
  <c r="L577" i="3"/>
  <c r="K577" i="3"/>
  <c r="J577" i="3"/>
  <c r="I577" i="3"/>
  <c r="H577" i="3"/>
  <c r="G577" i="3"/>
  <c r="F577" i="3"/>
  <c r="E577" i="3"/>
  <c r="D577" i="3"/>
  <c r="C577" i="3"/>
  <c r="B577" i="3"/>
  <c r="A577" i="3"/>
  <c r="M576" i="3"/>
  <c r="L576" i="3"/>
  <c r="K576" i="3"/>
  <c r="J576" i="3"/>
  <c r="I576" i="3"/>
  <c r="H576" i="3"/>
  <c r="G576" i="3"/>
  <c r="F576" i="3"/>
  <c r="E576" i="3"/>
  <c r="D576" i="3"/>
  <c r="C576" i="3"/>
  <c r="B576" i="3"/>
  <c r="A576" i="3"/>
  <c r="M575" i="3"/>
  <c r="L575" i="3"/>
  <c r="K575" i="3"/>
  <c r="J575" i="3"/>
  <c r="I575" i="3"/>
  <c r="H575" i="3"/>
  <c r="G575" i="3"/>
  <c r="F575" i="3"/>
  <c r="E575" i="3"/>
  <c r="D575" i="3"/>
  <c r="C575" i="3"/>
  <c r="B575" i="3"/>
  <c r="A575" i="3"/>
  <c r="M574" i="3"/>
  <c r="L574" i="3"/>
  <c r="K574" i="3"/>
  <c r="J574" i="3"/>
  <c r="I574" i="3"/>
  <c r="H574" i="3"/>
  <c r="G574" i="3"/>
  <c r="F574" i="3"/>
  <c r="E574" i="3"/>
  <c r="D574" i="3"/>
  <c r="C574" i="3"/>
  <c r="B574" i="3"/>
  <c r="A574" i="3"/>
  <c r="M573" i="3"/>
  <c r="L573" i="3"/>
  <c r="K573" i="3"/>
  <c r="J573" i="3"/>
  <c r="I573" i="3"/>
  <c r="H573" i="3"/>
  <c r="G573" i="3"/>
  <c r="F573" i="3"/>
  <c r="E573" i="3"/>
  <c r="D573" i="3"/>
  <c r="C573" i="3"/>
  <c r="B573" i="3"/>
  <c r="A573" i="3"/>
  <c r="M572" i="3"/>
  <c r="L572" i="3"/>
  <c r="K572" i="3"/>
  <c r="J572" i="3"/>
  <c r="I572" i="3"/>
  <c r="H572" i="3"/>
  <c r="G572" i="3"/>
  <c r="F572" i="3"/>
  <c r="E572" i="3"/>
  <c r="D572" i="3"/>
  <c r="C572" i="3"/>
  <c r="B572" i="3"/>
  <c r="A572" i="3"/>
  <c r="M571" i="3"/>
  <c r="L571" i="3"/>
  <c r="K571" i="3"/>
  <c r="J571" i="3"/>
  <c r="I571" i="3"/>
  <c r="H571" i="3"/>
  <c r="G571" i="3"/>
  <c r="F571" i="3"/>
  <c r="E571" i="3"/>
  <c r="D571" i="3"/>
  <c r="C571" i="3"/>
  <c r="B571" i="3"/>
  <c r="A571" i="3"/>
  <c r="M570" i="3"/>
  <c r="L570" i="3"/>
  <c r="K570" i="3"/>
  <c r="J570" i="3"/>
  <c r="I570" i="3"/>
  <c r="H570" i="3"/>
  <c r="G570" i="3"/>
  <c r="F570" i="3"/>
  <c r="E570" i="3"/>
  <c r="D570" i="3"/>
  <c r="C570" i="3"/>
  <c r="B570" i="3"/>
  <c r="A570" i="3"/>
  <c r="M569" i="3"/>
  <c r="L569" i="3"/>
  <c r="K569" i="3"/>
  <c r="J569" i="3"/>
  <c r="I569" i="3"/>
  <c r="H569" i="3"/>
  <c r="G569" i="3"/>
  <c r="F569" i="3"/>
  <c r="E569" i="3"/>
  <c r="D569" i="3"/>
  <c r="C569" i="3"/>
  <c r="B569" i="3"/>
  <c r="A569" i="3"/>
  <c r="M568" i="3"/>
  <c r="L568" i="3"/>
  <c r="K568" i="3"/>
  <c r="J568" i="3"/>
  <c r="I568" i="3"/>
  <c r="H568" i="3"/>
  <c r="G568" i="3"/>
  <c r="F568" i="3"/>
  <c r="E568" i="3"/>
  <c r="D568" i="3"/>
  <c r="C568" i="3"/>
  <c r="B568" i="3"/>
  <c r="A568" i="3"/>
  <c r="M567" i="3"/>
  <c r="L567" i="3"/>
  <c r="K567" i="3"/>
  <c r="J567" i="3"/>
  <c r="I567" i="3"/>
  <c r="H567" i="3"/>
  <c r="G567" i="3"/>
  <c r="F567" i="3"/>
  <c r="E567" i="3"/>
  <c r="D567" i="3"/>
  <c r="C567" i="3"/>
  <c r="B567" i="3"/>
  <c r="A567" i="3"/>
  <c r="M566" i="3"/>
  <c r="L566" i="3"/>
  <c r="K566" i="3"/>
  <c r="J566" i="3"/>
  <c r="I566" i="3"/>
  <c r="H566" i="3"/>
  <c r="G566" i="3"/>
  <c r="F566" i="3"/>
  <c r="E566" i="3"/>
  <c r="D566" i="3"/>
  <c r="C566" i="3"/>
  <c r="B566" i="3"/>
  <c r="A566" i="3"/>
  <c r="M565" i="3"/>
  <c r="L565" i="3"/>
  <c r="K565" i="3"/>
  <c r="J565" i="3"/>
  <c r="I565" i="3"/>
  <c r="H565" i="3"/>
  <c r="G565" i="3"/>
  <c r="F565" i="3"/>
  <c r="E565" i="3"/>
  <c r="D565" i="3"/>
  <c r="C565" i="3"/>
  <c r="B565" i="3"/>
  <c r="A565" i="3"/>
  <c r="M564" i="3"/>
  <c r="L564" i="3"/>
  <c r="K564" i="3"/>
  <c r="J564" i="3"/>
  <c r="I564" i="3"/>
  <c r="H564" i="3"/>
  <c r="G564" i="3"/>
  <c r="F564" i="3"/>
  <c r="E564" i="3"/>
  <c r="D564" i="3"/>
  <c r="C564" i="3"/>
  <c r="B564" i="3"/>
  <c r="A564" i="3"/>
  <c r="M563" i="3"/>
  <c r="L563" i="3"/>
  <c r="K563" i="3"/>
  <c r="J563" i="3"/>
  <c r="I563" i="3"/>
  <c r="H563" i="3"/>
  <c r="G563" i="3"/>
  <c r="F563" i="3"/>
  <c r="E563" i="3"/>
  <c r="D563" i="3"/>
  <c r="C563" i="3"/>
  <c r="B563" i="3"/>
  <c r="A563" i="3"/>
  <c r="M562" i="3"/>
  <c r="L562" i="3"/>
  <c r="K562" i="3"/>
  <c r="J562" i="3"/>
  <c r="I562" i="3"/>
  <c r="H562" i="3"/>
  <c r="G562" i="3"/>
  <c r="F562" i="3"/>
  <c r="E562" i="3"/>
  <c r="D562" i="3"/>
  <c r="C562" i="3"/>
  <c r="B562" i="3"/>
  <c r="A562" i="3"/>
  <c r="M561" i="3"/>
  <c r="L561" i="3"/>
  <c r="K561" i="3"/>
  <c r="J561" i="3"/>
  <c r="I561" i="3"/>
  <c r="H561" i="3"/>
  <c r="G561" i="3"/>
  <c r="F561" i="3"/>
  <c r="E561" i="3"/>
  <c r="D561" i="3"/>
  <c r="C561" i="3"/>
  <c r="B561" i="3"/>
  <c r="A561" i="3"/>
  <c r="M560" i="3"/>
  <c r="L560" i="3"/>
  <c r="K560" i="3"/>
  <c r="J560" i="3"/>
  <c r="I560" i="3"/>
  <c r="H560" i="3"/>
  <c r="G560" i="3"/>
  <c r="F560" i="3"/>
  <c r="E560" i="3"/>
  <c r="D560" i="3"/>
  <c r="C560" i="3"/>
  <c r="B560" i="3"/>
  <c r="A560" i="3"/>
  <c r="M559" i="3"/>
  <c r="L559" i="3"/>
  <c r="K559" i="3"/>
  <c r="J559" i="3"/>
  <c r="I559" i="3"/>
  <c r="H559" i="3"/>
  <c r="G559" i="3"/>
  <c r="F559" i="3"/>
  <c r="E559" i="3"/>
  <c r="D559" i="3"/>
  <c r="C559" i="3"/>
  <c r="B559" i="3"/>
  <c r="A559" i="3"/>
  <c r="M558" i="3"/>
  <c r="L558" i="3"/>
  <c r="K558" i="3"/>
  <c r="J558" i="3"/>
  <c r="I558" i="3"/>
  <c r="H558" i="3"/>
  <c r="G558" i="3"/>
  <c r="F558" i="3"/>
  <c r="E558" i="3"/>
  <c r="D558" i="3"/>
  <c r="C558" i="3"/>
  <c r="B558" i="3"/>
  <c r="A558" i="3"/>
  <c r="M557" i="3"/>
  <c r="L557" i="3"/>
  <c r="K557" i="3"/>
  <c r="J557" i="3"/>
  <c r="I557" i="3"/>
  <c r="H557" i="3"/>
  <c r="G557" i="3"/>
  <c r="F557" i="3"/>
  <c r="E557" i="3"/>
  <c r="D557" i="3"/>
  <c r="C557" i="3"/>
  <c r="B557" i="3"/>
  <c r="A557" i="3"/>
  <c r="M556" i="3"/>
  <c r="L556" i="3"/>
  <c r="K556" i="3"/>
  <c r="J556" i="3"/>
  <c r="I556" i="3"/>
  <c r="H556" i="3"/>
  <c r="G556" i="3"/>
  <c r="F556" i="3"/>
  <c r="E556" i="3"/>
  <c r="D556" i="3"/>
  <c r="C556" i="3"/>
  <c r="B556" i="3"/>
  <c r="A556" i="3"/>
  <c r="M555" i="3"/>
  <c r="L555" i="3"/>
  <c r="K555" i="3"/>
  <c r="J555" i="3"/>
  <c r="I555" i="3"/>
  <c r="H555" i="3"/>
  <c r="G555" i="3"/>
  <c r="F555" i="3"/>
  <c r="E555" i="3"/>
  <c r="D555" i="3"/>
  <c r="C555" i="3"/>
  <c r="B555" i="3"/>
  <c r="A555" i="3"/>
  <c r="M554" i="3"/>
  <c r="L554" i="3"/>
  <c r="K554" i="3"/>
  <c r="J554" i="3"/>
  <c r="I554" i="3"/>
  <c r="H554" i="3"/>
  <c r="G554" i="3"/>
  <c r="F554" i="3"/>
  <c r="E554" i="3"/>
  <c r="D554" i="3"/>
  <c r="C554" i="3"/>
  <c r="B554" i="3"/>
  <c r="A554" i="3"/>
  <c r="M553" i="3"/>
  <c r="L553" i="3"/>
  <c r="K553" i="3"/>
  <c r="J553" i="3"/>
  <c r="I553" i="3"/>
  <c r="H553" i="3"/>
  <c r="G553" i="3"/>
  <c r="F553" i="3"/>
  <c r="E553" i="3"/>
  <c r="D553" i="3"/>
  <c r="C553" i="3"/>
  <c r="B553" i="3"/>
  <c r="A553" i="3"/>
  <c r="M552" i="3"/>
  <c r="L552" i="3"/>
  <c r="K552" i="3"/>
  <c r="J552" i="3"/>
  <c r="I552" i="3"/>
  <c r="H552" i="3"/>
  <c r="G552" i="3"/>
  <c r="F552" i="3"/>
  <c r="E552" i="3"/>
  <c r="D552" i="3"/>
  <c r="C552" i="3"/>
  <c r="B552" i="3"/>
  <c r="A552" i="3"/>
  <c r="M551" i="3"/>
  <c r="L551" i="3"/>
  <c r="K551" i="3"/>
  <c r="J551" i="3"/>
  <c r="I551" i="3"/>
  <c r="H551" i="3"/>
  <c r="G551" i="3"/>
  <c r="F551" i="3"/>
  <c r="E551" i="3"/>
  <c r="D551" i="3"/>
  <c r="C551" i="3"/>
  <c r="B551" i="3"/>
  <c r="A551" i="3"/>
  <c r="M550" i="3"/>
  <c r="L550" i="3"/>
  <c r="K550" i="3"/>
  <c r="J550" i="3"/>
  <c r="I550" i="3"/>
  <c r="H550" i="3"/>
  <c r="G550" i="3"/>
  <c r="F550" i="3"/>
  <c r="E550" i="3"/>
  <c r="D550" i="3"/>
  <c r="C550" i="3"/>
  <c r="B550" i="3"/>
  <c r="A550" i="3"/>
  <c r="M549" i="3"/>
  <c r="L549" i="3"/>
  <c r="K549" i="3"/>
  <c r="J549" i="3"/>
  <c r="I549" i="3"/>
  <c r="H549" i="3"/>
  <c r="G549" i="3"/>
  <c r="F549" i="3"/>
  <c r="E549" i="3"/>
  <c r="D549" i="3"/>
  <c r="C549" i="3"/>
  <c r="B549" i="3"/>
  <c r="A549" i="3"/>
  <c r="M548" i="3"/>
  <c r="L548" i="3"/>
  <c r="K548" i="3"/>
  <c r="J548" i="3"/>
  <c r="I548" i="3"/>
  <c r="H548" i="3"/>
  <c r="G548" i="3"/>
  <c r="F548" i="3"/>
  <c r="E548" i="3"/>
  <c r="D548" i="3"/>
  <c r="C548" i="3"/>
  <c r="B548" i="3"/>
  <c r="A548" i="3"/>
  <c r="M547" i="3"/>
  <c r="L547" i="3"/>
  <c r="K547" i="3"/>
  <c r="J547" i="3"/>
  <c r="I547" i="3"/>
  <c r="H547" i="3"/>
  <c r="G547" i="3"/>
  <c r="F547" i="3"/>
  <c r="E547" i="3"/>
  <c r="D547" i="3"/>
  <c r="C547" i="3"/>
  <c r="B547" i="3"/>
  <c r="A547" i="3"/>
  <c r="M546" i="3"/>
  <c r="L546" i="3"/>
  <c r="K546" i="3"/>
  <c r="J546" i="3"/>
  <c r="I546" i="3"/>
  <c r="H546" i="3"/>
  <c r="G546" i="3"/>
  <c r="F546" i="3"/>
  <c r="E546" i="3"/>
  <c r="D546" i="3"/>
  <c r="C546" i="3"/>
  <c r="B546" i="3"/>
  <c r="A546" i="3"/>
  <c r="M545" i="3"/>
  <c r="L545" i="3"/>
  <c r="K545" i="3"/>
  <c r="J545" i="3"/>
  <c r="I545" i="3"/>
  <c r="H545" i="3"/>
  <c r="G545" i="3"/>
  <c r="F545" i="3"/>
  <c r="E545" i="3"/>
  <c r="D545" i="3"/>
  <c r="C545" i="3"/>
  <c r="B545" i="3"/>
  <c r="A545" i="3"/>
  <c r="M544" i="3"/>
  <c r="L544" i="3"/>
  <c r="K544" i="3"/>
  <c r="J544" i="3"/>
  <c r="I544" i="3"/>
  <c r="H544" i="3"/>
  <c r="G544" i="3"/>
  <c r="F544" i="3"/>
  <c r="E544" i="3"/>
  <c r="D544" i="3"/>
  <c r="C544" i="3"/>
  <c r="B544" i="3"/>
  <c r="A544" i="3"/>
  <c r="M543" i="3"/>
  <c r="L543" i="3"/>
  <c r="K543" i="3"/>
  <c r="J543" i="3"/>
  <c r="I543" i="3"/>
  <c r="H543" i="3"/>
  <c r="G543" i="3"/>
  <c r="F543" i="3"/>
  <c r="E543" i="3"/>
  <c r="D543" i="3"/>
  <c r="C543" i="3"/>
  <c r="B543" i="3"/>
  <c r="A543" i="3"/>
  <c r="M542" i="3"/>
  <c r="L542" i="3"/>
  <c r="K542" i="3"/>
  <c r="J542" i="3"/>
  <c r="I542" i="3"/>
  <c r="H542" i="3"/>
  <c r="G542" i="3"/>
  <c r="F542" i="3"/>
  <c r="E542" i="3"/>
  <c r="D542" i="3"/>
  <c r="C542" i="3"/>
  <c r="B542" i="3"/>
  <c r="A542" i="3"/>
  <c r="M541" i="3"/>
  <c r="L541" i="3"/>
  <c r="K541" i="3"/>
  <c r="J541" i="3"/>
  <c r="I541" i="3"/>
  <c r="H541" i="3"/>
  <c r="G541" i="3"/>
  <c r="F541" i="3"/>
  <c r="E541" i="3"/>
  <c r="D541" i="3"/>
  <c r="C541" i="3"/>
  <c r="B541" i="3"/>
  <c r="A541" i="3"/>
  <c r="M540" i="3"/>
  <c r="L540" i="3"/>
  <c r="K540" i="3"/>
  <c r="J540" i="3"/>
  <c r="I540" i="3"/>
  <c r="H540" i="3"/>
  <c r="G540" i="3"/>
  <c r="F540" i="3"/>
  <c r="E540" i="3"/>
  <c r="D540" i="3"/>
  <c r="C540" i="3"/>
  <c r="B540" i="3"/>
  <c r="A540" i="3"/>
  <c r="M539" i="3"/>
  <c r="L539" i="3"/>
  <c r="K539" i="3"/>
  <c r="J539" i="3"/>
  <c r="I539" i="3"/>
  <c r="H539" i="3"/>
  <c r="G539" i="3"/>
  <c r="F539" i="3"/>
  <c r="E539" i="3"/>
  <c r="D539" i="3"/>
  <c r="C539" i="3"/>
  <c r="B539" i="3"/>
  <c r="A539" i="3"/>
  <c r="M538" i="3"/>
  <c r="L538" i="3"/>
  <c r="K538" i="3"/>
  <c r="J538" i="3"/>
  <c r="I538" i="3"/>
  <c r="H538" i="3"/>
  <c r="G538" i="3"/>
  <c r="F538" i="3"/>
  <c r="E538" i="3"/>
  <c r="D538" i="3"/>
  <c r="C538" i="3"/>
  <c r="B538" i="3"/>
  <c r="A538" i="3"/>
  <c r="M537" i="3"/>
  <c r="L537" i="3"/>
  <c r="K537" i="3"/>
  <c r="J537" i="3"/>
  <c r="I537" i="3"/>
  <c r="H537" i="3"/>
  <c r="G537" i="3"/>
  <c r="F537" i="3"/>
  <c r="E537" i="3"/>
  <c r="D537" i="3"/>
  <c r="C537" i="3"/>
  <c r="B537" i="3"/>
  <c r="A537" i="3"/>
  <c r="M536" i="3"/>
  <c r="L536" i="3"/>
  <c r="K536" i="3"/>
  <c r="J536" i="3"/>
  <c r="I536" i="3"/>
  <c r="H536" i="3"/>
  <c r="G536" i="3"/>
  <c r="F536" i="3"/>
  <c r="E536" i="3"/>
  <c r="D536" i="3"/>
  <c r="C536" i="3"/>
  <c r="B536" i="3"/>
  <c r="A536" i="3"/>
  <c r="M535" i="3"/>
  <c r="L535" i="3"/>
  <c r="K535" i="3"/>
  <c r="J535" i="3"/>
  <c r="I535" i="3"/>
  <c r="H535" i="3"/>
  <c r="G535" i="3"/>
  <c r="F535" i="3"/>
  <c r="E535" i="3"/>
  <c r="D535" i="3"/>
  <c r="C535" i="3"/>
  <c r="B535" i="3"/>
  <c r="A535" i="3"/>
  <c r="M534" i="3"/>
  <c r="L534" i="3"/>
  <c r="K534" i="3"/>
  <c r="J534" i="3"/>
  <c r="I534" i="3"/>
  <c r="H534" i="3"/>
  <c r="G534" i="3"/>
  <c r="F534" i="3"/>
  <c r="E534" i="3"/>
  <c r="D534" i="3"/>
  <c r="C534" i="3"/>
  <c r="B534" i="3"/>
  <c r="A534" i="3"/>
  <c r="M533" i="3"/>
  <c r="L533" i="3"/>
  <c r="K533" i="3"/>
  <c r="J533" i="3"/>
  <c r="I533" i="3"/>
  <c r="H533" i="3"/>
  <c r="G533" i="3"/>
  <c r="F533" i="3"/>
  <c r="E533" i="3"/>
  <c r="D533" i="3"/>
  <c r="C533" i="3"/>
  <c r="B533" i="3"/>
  <c r="A533" i="3"/>
  <c r="M532" i="3"/>
  <c r="L532" i="3"/>
  <c r="K532" i="3"/>
  <c r="J532" i="3"/>
  <c r="I532" i="3"/>
  <c r="H532" i="3"/>
  <c r="G532" i="3"/>
  <c r="F532" i="3"/>
  <c r="E532" i="3"/>
  <c r="D532" i="3"/>
  <c r="C532" i="3"/>
  <c r="B532" i="3"/>
  <c r="A532" i="3"/>
  <c r="M531" i="3"/>
  <c r="L531" i="3"/>
  <c r="K531" i="3"/>
  <c r="J531" i="3"/>
  <c r="I531" i="3"/>
  <c r="H531" i="3"/>
  <c r="G531" i="3"/>
  <c r="F531" i="3"/>
  <c r="E531" i="3"/>
  <c r="D531" i="3"/>
  <c r="C531" i="3"/>
  <c r="B531" i="3"/>
  <c r="A531" i="3"/>
  <c r="M530" i="3"/>
  <c r="L530" i="3"/>
  <c r="K530" i="3"/>
  <c r="J530" i="3"/>
  <c r="I530" i="3"/>
  <c r="H530" i="3"/>
  <c r="G530" i="3"/>
  <c r="F530" i="3"/>
  <c r="E530" i="3"/>
  <c r="D530" i="3"/>
  <c r="C530" i="3"/>
  <c r="B530" i="3"/>
  <c r="A530" i="3"/>
  <c r="M529" i="3"/>
  <c r="L529" i="3"/>
  <c r="K529" i="3"/>
  <c r="J529" i="3"/>
  <c r="I529" i="3"/>
  <c r="H529" i="3"/>
  <c r="G529" i="3"/>
  <c r="F529" i="3"/>
  <c r="E529" i="3"/>
  <c r="D529" i="3"/>
  <c r="C529" i="3"/>
  <c r="B529" i="3"/>
  <c r="A529" i="3"/>
  <c r="M528" i="3"/>
  <c r="L528" i="3"/>
  <c r="K528" i="3"/>
  <c r="J528" i="3"/>
  <c r="I528" i="3"/>
  <c r="H528" i="3"/>
  <c r="G528" i="3"/>
  <c r="F528" i="3"/>
  <c r="E528" i="3"/>
  <c r="D528" i="3"/>
  <c r="C528" i="3"/>
  <c r="B528" i="3"/>
  <c r="A528" i="3"/>
  <c r="M527" i="3"/>
  <c r="L527" i="3"/>
  <c r="K527" i="3"/>
  <c r="J527" i="3"/>
  <c r="I527" i="3"/>
  <c r="H527" i="3"/>
  <c r="G527" i="3"/>
  <c r="F527" i="3"/>
  <c r="E527" i="3"/>
  <c r="D527" i="3"/>
  <c r="C527" i="3"/>
  <c r="B527" i="3"/>
  <c r="A527" i="3"/>
  <c r="M526" i="3"/>
  <c r="L526" i="3"/>
  <c r="K526" i="3"/>
  <c r="J526" i="3"/>
  <c r="I526" i="3"/>
  <c r="H526" i="3"/>
  <c r="G526" i="3"/>
  <c r="F526" i="3"/>
  <c r="E526" i="3"/>
  <c r="D526" i="3"/>
  <c r="C526" i="3"/>
  <c r="B526" i="3"/>
  <c r="A526" i="3"/>
  <c r="M525" i="3"/>
  <c r="L525" i="3"/>
  <c r="K525" i="3"/>
  <c r="J525" i="3"/>
  <c r="I525" i="3"/>
  <c r="H525" i="3"/>
  <c r="G525" i="3"/>
  <c r="F525" i="3"/>
  <c r="E525" i="3"/>
  <c r="D525" i="3"/>
  <c r="C525" i="3"/>
  <c r="B525" i="3"/>
  <c r="A525" i="3"/>
  <c r="M524" i="3"/>
  <c r="L524" i="3"/>
  <c r="K524" i="3"/>
  <c r="J524" i="3"/>
  <c r="I524" i="3"/>
  <c r="H524" i="3"/>
  <c r="G524" i="3"/>
  <c r="F524" i="3"/>
  <c r="E524" i="3"/>
  <c r="D524" i="3"/>
  <c r="C524" i="3"/>
  <c r="B524" i="3"/>
  <c r="A524" i="3"/>
  <c r="M523" i="3"/>
  <c r="L523" i="3"/>
  <c r="K523" i="3"/>
  <c r="J523" i="3"/>
  <c r="I523" i="3"/>
  <c r="H523" i="3"/>
  <c r="G523" i="3"/>
  <c r="F523" i="3"/>
  <c r="E523" i="3"/>
  <c r="D523" i="3"/>
  <c r="C523" i="3"/>
  <c r="B523" i="3"/>
  <c r="A523" i="3"/>
  <c r="M522" i="3"/>
  <c r="L522" i="3"/>
  <c r="K522" i="3"/>
  <c r="J522" i="3"/>
  <c r="I522" i="3"/>
  <c r="H522" i="3"/>
  <c r="G522" i="3"/>
  <c r="F522" i="3"/>
  <c r="E522" i="3"/>
  <c r="D522" i="3"/>
  <c r="C522" i="3"/>
  <c r="B522" i="3"/>
  <c r="A522" i="3"/>
  <c r="M521" i="3"/>
  <c r="L521" i="3"/>
  <c r="K521" i="3"/>
  <c r="J521" i="3"/>
  <c r="I521" i="3"/>
  <c r="H521" i="3"/>
  <c r="G521" i="3"/>
  <c r="F521" i="3"/>
  <c r="E521" i="3"/>
  <c r="D521" i="3"/>
  <c r="C521" i="3"/>
  <c r="B521" i="3"/>
  <c r="A521" i="3"/>
  <c r="M520" i="3"/>
  <c r="L520" i="3"/>
  <c r="K520" i="3"/>
  <c r="J520" i="3"/>
  <c r="I520" i="3"/>
  <c r="H520" i="3"/>
  <c r="G520" i="3"/>
  <c r="F520" i="3"/>
  <c r="E520" i="3"/>
  <c r="D520" i="3"/>
  <c r="C520" i="3"/>
  <c r="B520" i="3"/>
  <c r="A520" i="3"/>
  <c r="M519" i="3"/>
  <c r="L519" i="3"/>
  <c r="K519" i="3"/>
  <c r="J519" i="3"/>
  <c r="I519" i="3"/>
  <c r="H519" i="3"/>
  <c r="G519" i="3"/>
  <c r="F519" i="3"/>
  <c r="E519" i="3"/>
  <c r="D519" i="3"/>
  <c r="C519" i="3"/>
  <c r="B519" i="3"/>
  <c r="A519" i="3"/>
  <c r="M518" i="3"/>
  <c r="L518" i="3"/>
  <c r="K518" i="3"/>
  <c r="J518" i="3"/>
  <c r="I518" i="3"/>
  <c r="H518" i="3"/>
  <c r="G518" i="3"/>
  <c r="F518" i="3"/>
  <c r="E518" i="3"/>
  <c r="D518" i="3"/>
  <c r="C518" i="3"/>
  <c r="B518" i="3"/>
  <c r="A518" i="3"/>
  <c r="M517" i="3"/>
  <c r="L517" i="3"/>
  <c r="K517" i="3"/>
  <c r="J517" i="3"/>
  <c r="I517" i="3"/>
  <c r="H517" i="3"/>
  <c r="G517" i="3"/>
  <c r="F517" i="3"/>
  <c r="E517" i="3"/>
  <c r="D517" i="3"/>
  <c r="C517" i="3"/>
  <c r="B517" i="3"/>
  <c r="A517" i="3"/>
  <c r="M516" i="3"/>
  <c r="L516" i="3"/>
  <c r="K516" i="3"/>
  <c r="J516" i="3"/>
  <c r="I516" i="3"/>
  <c r="H516" i="3"/>
  <c r="G516" i="3"/>
  <c r="F516" i="3"/>
  <c r="E516" i="3"/>
  <c r="D516" i="3"/>
  <c r="C516" i="3"/>
  <c r="B516" i="3"/>
  <c r="A516" i="3"/>
  <c r="M515" i="3"/>
  <c r="L515" i="3"/>
  <c r="K515" i="3"/>
  <c r="J515" i="3"/>
  <c r="I515" i="3"/>
  <c r="H515" i="3"/>
  <c r="G515" i="3"/>
  <c r="F515" i="3"/>
  <c r="E515" i="3"/>
  <c r="D515" i="3"/>
  <c r="C515" i="3"/>
  <c r="B515" i="3"/>
  <c r="A515" i="3"/>
  <c r="M514" i="3"/>
  <c r="L514" i="3"/>
  <c r="K514" i="3"/>
  <c r="J514" i="3"/>
  <c r="I514" i="3"/>
  <c r="H514" i="3"/>
  <c r="G514" i="3"/>
  <c r="F514" i="3"/>
  <c r="E514" i="3"/>
  <c r="D514" i="3"/>
  <c r="C514" i="3"/>
  <c r="B514" i="3"/>
  <c r="A514" i="3"/>
  <c r="M513" i="3"/>
  <c r="L513" i="3"/>
  <c r="K513" i="3"/>
  <c r="J513" i="3"/>
  <c r="I513" i="3"/>
  <c r="H513" i="3"/>
  <c r="G513" i="3"/>
  <c r="F513" i="3"/>
  <c r="E513" i="3"/>
  <c r="D513" i="3"/>
  <c r="C513" i="3"/>
  <c r="B513" i="3"/>
  <c r="A513" i="3"/>
  <c r="M512" i="3"/>
  <c r="L512" i="3"/>
  <c r="K512" i="3"/>
  <c r="J512" i="3"/>
  <c r="I512" i="3"/>
  <c r="H512" i="3"/>
  <c r="G512" i="3"/>
  <c r="F512" i="3"/>
  <c r="E512" i="3"/>
  <c r="D512" i="3"/>
  <c r="C512" i="3"/>
  <c r="B512" i="3"/>
  <c r="A512" i="3"/>
  <c r="M511" i="3"/>
  <c r="L511" i="3"/>
  <c r="K511" i="3"/>
  <c r="J511" i="3"/>
  <c r="I511" i="3"/>
  <c r="H511" i="3"/>
  <c r="G511" i="3"/>
  <c r="F511" i="3"/>
  <c r="E511" i="3"/>
  <c r="D511" i="3"/>
  <c r="C511" i="3"/>
  <c r="B511" i="3"/>
  <c r="A511" i="3"/>
  <c r="M510" i="3"/>
  <c r="L510" i="3"/>
  <c r="K510" i="3"/>
  <c r="J510" i="3"/>
  <c r="I510" i="3"/>
  <c r="H510" i="3"/>
  <c r="G510" i="3"/>
  <c r="F510" i="3"/>
  <c r="E510" i="3"/>
  <c r="D510" i="3"/>
  <c r="C510" i="3"/>
  <c r="B510" i="3"/>
  <c r="A510" i="3"/>
  <c r="M509" i="3"/>
  <c r="L509" i="3"/>
  <c r="K509" i="3"/>
  <c r="J509" i="3"/>
  <c r="I509" i="3"/>
  <c r="H509" i="3"/>
  <c r="G509" i="3"/>
  <c r="F509" i="3"/>
  <c r="E509" i="3"/>
  <c r="D509" i="3"/>
  <c r="C509" i="3"/>
  <c r="B509" i="3"/>
  <c r="A509" i="3"/>
  <c r="M508" i="3"/>
  <c r="L508" i="3"/>
  <c r="K508" i="3"/>
  <c r="J508" i="3"/>
  <c r="I508" i="3"/>
  <c r="H508" i="3"/>
  <c r="G508" i="3"/>
  <c r="F508" i="3"/>
  <c r="E508" i="3"/>
  <c r="D508" i="3"/>
  <c r="C508" i="3"/>
  <c r="B508" i="3"/>
  <c r="A508" i="3"/>
  <c r="M507" i="3"/>
  <c r="L507" i="3"/>
  <c r="K507" i="3"/>
  <c r="J507" i="3"/>
  <c r="I507" i="3"/>
  <c r="H507" i="3"/>
  <c r="G507" i="3"/>
  <c r="F507" i="3"/>
  <c r="E507" i="3"/>
  <c r="D507" i="3"/>
  <c r="C507" i="3"/>
  <c r="B507" i="3"/>
  <c r="A507" i="3"/>
  <c r="M506" i="3"/>
  <c r="L506" i="3"/>
  <c r="K506" i="3"/>
  <c r="J506" i="3"/>
  <c r="I506" i="3"/>
  <c r="H506" i="3"/>
  <c r="G506" i="3"/>
  <c r="F506" i="3"/>
  <c r="E506" i="3"/>
  <c r="D506" i="3"/>
  <c r="C506" i="3"/>
  <c r="B506" i="3"/>
  <c r="A506" i="3"/>
  <c r="M505" i="3"/>
  <c r="L505" i="3"/>
  <c r="K505" i="3"/>
  <c r="J505" i="3"/>
  <c r="I505" i="3"/>
  <c r="H505" i="3"/>
  <c r="G505" i="3"/>
  <c r="F505" i="3"/>
  <c r="E505" i="3"/>
  <c r="D505" i="3"/>
  <c r="C505" i="3"/>
  <c r="B505" i="3"/>
  <c r="A505" i="3"/>
  <c r="M504" i="3"/>
  <c r="L504" i="3"/>
  <c r="K504" i="3"/>
  <c r="J504" i="3"/>
  <c r="I504" i="3"/>
  <c r="H504" i="3"/>
  <c r="G504" i="3"/>
  <c r="F504" i="3"/>
  <c r="E504" i="3"/>
  <c r="D504" i="3"/>
  <c r="C504" i="3"/>
  <c r="B504" i="3"/>
  <c r="A504" i="3"/>
  <c r="M503" i="3"/>
  <c r="L503" i="3"/>
  <c r="K503" i="3"/>
  <c r="J503" i="3"/>
  <c r="I503" i="3"/>
  <c r="H503" i="3"/>
  <c r="G503" i="3"/>
  <c r="F503" i="3"/>
  <c r="E503" i="3"/>
  <c r="D503" i="3"/>
  <c r="C503" i="3"/>
  <c r="B503" i="3"/>
  <c r="A503" i="3"/>
  <c r="M502" i="3"/>
  <c r="L502" i="3"/>
  <c r="K502" i="3"/>
  <c r="J502" i="3"/>
  <c r="I502" i="3"/>
  <c r="H502" i="3"/>
  <c r="G502" i="3"/>
  <c r="F502" i="3"/>
  <c r="E502" i="3"/>
  <c r="D502" i="3"/>
  <c r="C502" i="3"/>
  <c r="B502" i="3"/>
  <c r="A502" i="3"/>
  <c r="M501" i="3"/>
  <c r="L501" i="3"/>
  <c r="K501" i="3"/>
  <c r="J501" i="3"/>
  <c r="I501" i="3"/>
  <c r="H501" i="3"/>
  <c r="G501" i="3"/>
  <c r="F501" i="3"/>
  <c r="E501" i="3"/>
  <c r="D501" i="3"/>
  <c r="C501" i="3"/>
  <c r="B501" i="3"/>
  <c r="A501" i="3"/>
  <c r="M500" i="3"/>
  <c r="L500" i="3"/>
  <c r="K500" i="3"/>
  <c r="J500" i="3"/>
  <c r="I500" i="3"/>
  <c r="H500" i="3"/>
  <c r="G500" i="3"/>
  <c r="F500" i="3"/>
  <c r="E500" i="3"/>
  <c r="D500" i="3"/>
  <c r="C500" i="3"/>
  <c r="B500" i="3"/>
  <c r="A500" i="3"/>
  <c r="M499" i="3"/>
  <c r="L499" i="3"/>
  <c r="K499" i="3"/>
  <c r="J499" i="3"/>
  <c r="I499" i="3"/>
  <c r="H499" i="3"/>
  <c r="G499" i="3"/>
  <c r="F499" i="3"/>
  <c r="E499" i="3"/>
  <c r="D499" i="3"/>
  <c r="C499" i="3"/>
  <c r="B499" i="3"/>
  <c r="A499" i="3"/>
  <c r="M498" i="3"/>
  <c r="L498" i="3"/>
  <c r="K498" i="3"/>
  <c r="J498" i="3"/>
  <c r="I498" i="3"/>
  <c r="H498" i="3"/>
  <c r="G498" i="3"/>
  <c r="F498" i="3"/>
  <c r="E498" i="3"/>
  <c r="D498" i="3"/>
  <c r="C498" i="3"/>
  <c r="B498" i="3"/>
  <c r="A498" i="3"/>
  <c r="M497" i="3"/>
  <c r="L497" i="3"/>
  <c r="K497" i="3"/>
  <c r="J497" i="3"/>
  <c r="I497" i="3"/>
  <c r="H497" i="3"/>
  <c r="G497" i="3"/>
  <c r="F497" i="3"/>
  <c r="E497" i="3"/>
  <c r="D497" i="3"/>
  <c r="C497" i="3"/>
  <c r="B497" i="3"/>
  <c r="A497" i="3"/>
  <c r="M496" i="3"/>
  <c r="L496" i="3"/>
  <c r="K496" i="3"/>
  <c r="J496" i="3"/>
  <c r="I496" i="3"/>
  <c r="H496" i="3"/>
  <c r="G496" i="3"/>
  <c r="F496" i="3"/>
  <c r="E496" i="3"/>
  <c r="D496" i="3"/>
  <c r="C496" i="3"/>
  <c r="B496" i="3"/>
  <c r="A496" i="3"/>
  <c r="M495" i="3"/>
  <c r="L495" i="3"/>
  <c r="K495" i="3"/>
  <c r="J495" i="3"/>
  <c r="I495" i="3"/>
  <c r="H495" i="3"/>
  <c r="G495" i="3"/>
  <c r="F495" i="3"/>
  <c r="E495" i="3"/>
  <c r="D495" i="3"/>
  <c r="C495" i="3"/>
  <c r="B495" i="3"/>
  <c r="A495" i="3"/>
  <c r="M494" i="3"/>
  <c r="L494" i="3"/>
  <c r="K494" i="3"/>
  <c r="J494" i="3"/>
  <c r="I494" i="3"/>
  <c r="H494" i="3"/>
  <c r="G494" i="3"/>
  <c r="F494" i="3"/>
  <c r="E494" i="3"/>
  <c r="D494" i="3"/>
  <c r="C494" i="3"/>
  <c r="B494" i="3"/>
  <c r="A494" i="3"/>
  <c r="M493" i="3"/>
  <c r="L493" i="3"/>
  <c r="K493" i="3"/>
  <c r="J493" i="3"/>
  <c r="I493" i="3"/>
  <c r="H493" i="3"/>
  <c r="G493" i="3"/>
  <c r="F493" i="3"/>
  <c r="E493" i="3"/>
  <c r="D493" i="3"/>
  <c r="C493" i="3"/>
  <c r="B493" i="3"/>
  <c r="A493" i="3"/>
  <c r="M492" i="3"/>
  <c r="L492" i="3"/>
  <c r="K492" i="3"/>
  <c r="J492" i="3"/>
  <c r="I492" i="3"/>
  <c r="H492" i="3"/>
  <c r="G492" i="3"/>
  <c r="F492" i="3"/>
  <c r="E492" i="3"/>
  <c r="D492" i="3"/>
  <c r="C492" i="3"/>
  <c r="B492" i="3"/>
  <c r="A492" i="3"/>
  <c r="M491" i="3"/>
  <c r="L491" i="3"/>
  <c r="K491" i="3"/>
  <c r="J491" i="3"/>
  <c r="I491" i="3"/>
  <c r="H491" i="3"/>
  <c r="G491" i="3"/>
  <c r="F491" i="3"/>
  <c r="E491" i="3"/>
  <c r="D491" i="3"/>
  <c r="C491" i="3"/>
  <c r="B491" i="3"/>
  <c r="A491" i="3"/>
  <c r="M490" i="3"/>
  <c r="L490" i="3"/>
  <c r="K490" i="3"/>
  <c r="J490" i="3"/>
  <c r="I490" i="3"/>
  <c r="H490" i="3"/>
  <c r="G490" i="3"/>
  <c r="F490" i="3"/>
  <c r="E490" i="3"/>
  <c r="D490" i="3"/>
  <c r="C490" i="3"/>
  <c r="B490" i="3"/>
  <c r="A490" i="3"/>
  <c r="M489" i="3"/>
  <c r="L489" i="3"/>
  <c r="K489" i="3"/>
  <c r="J489" i="3"/>
  <c r="I489" i="3"/>
  <c r="H489" i="3"/>
  <c r="G489" i="3"/>
  <c r="F489" i="3"/>
  <c r="E489" i="3"/>
  <c r="D489" i="3"/>
  <c r="C489" i="3"/>
  <c r="B489" i="3"/>
  <c r="A489" i="3"/>
  <c r="M488" i="3"/>
  <c r="L488" i="3"/>
  <c r="K488" i="3"/>
  <c r="J488" i="3"/>
  <c r="I488" i="3"/>
  <c r="H488" i="3"/>
  <c r="G488" i="3"/>
  <c r="F488" i="3"/>
  <c r="E488" i="3"/>
  <c r="D488" i="3"/>
  <c r="C488" i="3"/>
  <c r="B488" i="3"/>
  <c r="A488" i="3"/>
  <c r="M487" i="3"/>
  <c r="L487" i="3"/>
  <c r="K487" i="3"/>
  <c r="J487" i="3"/>
  <c r="I487" i="3"/>
  <c r="H487" i="3"/>
  <c r="G487" i="3"/>
  <c r="F487" i="3"/>
  <c r="E487" i="3"/>
  <c r="D487" i="3"/>
  <c r="C487" i="3"/>
  <c r="B487" i="3"/>
  <c r="A487" i="3"/>
  <c r="M486" i="3"/>
  <c r="L486" i="3"/>
  <c r="K486" i="3"/>
  <c r="J486" i="3"/>
  <c r="I486" i="3"/>
  <c r="H486" i="3"/>
  <c r="G486" i="3"/>
  <c r="F486" i="3"/>
  <c r="E486" i="3"/>
  <c r="D486" i="3"/>
  <c r="C486" i="3"/>
  <c r="B486" i="3"/>
  <c r="A486" i="3"/>
  <c r="M485" i="3"/>
  <c r="L485" i="3"/>
  <c r="K485" i="3"/>
  <c r="J485" i="3"/>
  <c r="I485" i="3"/>
  <c r="H485" i="3"/>
  <c r="G485" i="3"/>
  <c r="F485" i="3"/>
  <c r="E485" i="3"/>
  <c r="D485" i="3"/>
  <c r="C485" i="3"/>
  <c r="B485" i="3"/>
  <c r="A485" i="3"/>
  <c r="M484" i="3"/>
  <c r="L484" i="3"/>
  <c r="K484" i="3"/>
  <c r="J484" i="3"/>
  <c r="I484" i="3"/>
  <c r="H484" i="3"/>
  <c r="G484" i="3"/>
  <c r="F484" i="3"/>
  <c r="E484" i="3"/>
  <c r="D484" i="3"/>
  <c r="C484" i="3"/>
  <c r="B484" i="3"/>
  <c r="A484" i="3"/>
  <c r="M483" i="3"/>
  <c r="L483" i="3"/>
  <c r="K483" i="3"/>
  <c r="J483" i="3"/>
  <c r="I483" i="3"/>
  <c r="H483" i="3"/>
  <c r="G483" i="3"/>
  <c r="F483" i="3"/>
  <c r="E483" i="3"/>
  <c r="D483" i="3"/>
  <c r="C483" i="3"/>
  <c r="B483" i="3"/>
  <c r="A483" i="3"/>
  <c r="M482" i="3"/>
  <c r="L482" i="3"/>
  <c r="K482" i="3"/>
  <c r="J482" i="3"/>
  <c r="I482" i="3"/>
  <c r="H482" i="3"/>
  <c r="G482" i="3"/>
  <c r="F482" i="3"/>
  <c r="E482" i="3"/>
  <c r="D482" i="3"/>
  <c r="C482" i="3"/>
  <c r="B482" i="3"/>
  <c r="A482" i="3"/>
  <c r="M481" i="3"/>
  <c r="L481" i="3"/>
  <c r="K481" i="3"/>
  <c r="J481" i="3"/>
  <c r="I481" i="3"/>
  <c r="H481" i="3"/>
  <c r="G481" i="3"/>
  <c r="F481" i="3"/>
  <c r="E481" i="3"/>
  <c r="D481" i="3"/>
  <c r="C481" i="3"/>
  <c r="B481" i="3"/>
  <c r="A481" i="3"/>
  <c r="M480" i="3"/>
  <c r="L480" i="3"/>
  <c r="K480" i="3"/>
  <c r="J480" i="3"/>
  <c r="I480" i="3"/>
  <c r="H480" i="3"/>
  <c r="G480" i="3"/>
  <c r="F480" i="3"/>
  <c r="E480" i="3"/>
  <c r="D480" i="3"/>
  <c r="C480" i="3"/>
  <c r="B480" i="3"/>
  <c r="A480" i="3"/>
  <c r="M479" i="3"/>
  <c r="L479" i="3"/>
  <c r="K479" i="3"/>
  <c r="J479" i="3"/>
  <c r="I479" i="3"/>
  <c r="H479" i="3"/>
  <c r="G479" i="3"/>
  <c r="F479" i="3"/>
  <c r="E479" i="3"/>
  <c r="D479" i="3"/>
  <c r="C479" i="3"/>
  <c r="B479" i="3"/>
  <c r="A479" i="3"/>
  <c r="M478" i="3"/>
  <c r="L478" i="3"/>
  <c r="K478" i="3"/>
  <c r="J478" i="3"/>
  <c r="I478" i="3"/>
  <c r="H478" i="3"/>
  <c r="G478" i="3"/>
  <c r="F478" i="3"/>
  <c r="E478" i="3"/>
  <c r="D478" i="3"/>
  <c r="C478" i="3"/>
  <c r="B478" i="3"/>
  <c r="A478" i="3"/>
  <c r="M477" i="3"/>
  <c r="L477" i="3"/>
  <c r="K477" i="3"/>
  <c r="J477" i="3"/>
  <c r="I477" i="3"/>
  <c r="H477" i="3"/>
  <c r="G477" i="3"/>
  <c r="F477" i="3"/>
  <c r="E477" i="3"/>
  <c r="D477" i="3"/>
  <c r="C477" i="3"/>
  <c r="B477" i="3"/>
  <c r="A477" i="3"/>
  <c r="M476" i="3"/>
  <c r="L476" i="3"/>
  <c r="K476" i="3"/>
  <c r="J476" i="3"/>
  <c r="I476" i="3"/>
  <c r="H476" i="3"/>
  <c r="G476" i="3"/>
  <c r="F476" i="3"/>
  <c r="E476" i="3"/>
  <c r="D476" i="3"/>
  <c r="C476" i="3"/>
  <c r="B476" i="3"/>
  <c r="A476" i="3"/>
  <c r="M475" i="3"/>
  <c r="L475" i="3"/>
  <c r="K475" i="3"/>
  <c r="J475" i="3"/>
  <c r="I475" i="3"/>
  <c r="H475" i="3"/>
  <c r="G475" i="3"/>
  <c r="F475" i="3"/>
  <c r="E475" i="3"/>
  <c r="D475" i="3"/>
  <c r="C475" i="3"/>
  <c r="B475" i="3"/>
  <c r="A475" i="3"/>
  <c r="M474" i="3"/>
  <c r="L474" i="3"/>
  <c r="K474" i="3"/>
  <c r="J474" i="3"/>
  <c r="I474" i="3"/>
  <c r="H474" i="3"/>
  <c r="G474" i="3"/>
  <c r="F474" i="3"/>
  <c r="E474" i="3"/>
  <c r="D474" i="3"/>
  <c r="C474" i="3"/>
  <c r="B474" i="3"/>
  <c r="A474" i="3"/>
  <c r="M473" i="3"/>
  <c r="L473" i="3"/>
  <c r="K473" i="3"/>
  <c r="J473" i="3"/>
  <c r="I473" i="3"/>
  <c r="H473" i="3"/>
  <c r="G473" i="3"/>
  <c r="F473" i="3"/>
  <c r="E473" i="3"/>
  <c r="D473" i="3"/>
  <c r="C473" i="3"/>
  <c r="B473" i="3"/>
  <c r="A473" i="3"/>
  <c r="M472" i="3"/>
  <c r="L472" i="3"/>
  <c r="K472" i="3"/>
  <c r="J472" i="3"/>
  <c r="I472" i="3"/>
  <c r="H472" i="3"/>
  <c r="G472" i="3"/>
  <c r="F472" i="3"/>
  <c r="E472" i="3"/>
  <c r="D472" i="3"/>
  <c r="C472" i="3"/>
  <c r="B472" i="3"/>
  <c r="A472" i="3"/>
  <c r="M471" i="3"/>
  <c r="L471" i="3"/>
  <c r="K471" i="3"/>
  <c r="J471" i="3"/>
  <c r="I471" i="3"/>
  <c r="H471" i="3"/>
  <c r="G471" i="3"/>
  <c r="F471" i="3"/>
  <c r="E471" i="3"/>
  <c r="D471" i="3"/>
  <c r="C471" i="3"/>
  <c r="B471" i="3"/>
  <c r="A471" i="3"/>
  <c r="M470" i="3"/>
  <c r="L470" i="3"/>
  <c r="K470" i="3"/>
  <c r="J470" i="3"/>
  <c r="I470" i="3"/>
  <c r="H470" i="3"/>
  <c r="G470" i="3"/>
  <c r="F470" i="3"/>
  <c r="E470" i="3"/>
  <c r="D470" i="3"/>
  <c r="C470" i="3"/>
  <c r="B470" i="3"/>
  <c r="A470" i="3"/>
  <c r="M469" i="3"/>
  <c r="L469" i="3"/>
  <c r="K469" i="3"/>
  <c r="J469" i="3"/>
  <c r="I469" i="3"/>
  <c r="H469" i="3"/>
  <c r="G469" i="3"/>
  <c r="F469" i="3"/>
  <c r="E469" i="3"/>
  <c r="D469" i="3"/>
  <c r="C469" i="3"/>
  <c r="B469" i="3"/>
  <c r="A469" i="3"/>
  <c r="M468" i="3"/>
  <c r="L468" i="3"/>
  <c r="K468" i="3"/>
  <c r="J468" i="3"/>
  <c r="I468" i="3"/>
  <c r="H468" i="3"/>
  <c r="G468" i="3"/>
  <c r="F468" i="3"/>
  <c r="E468" i="3"/>
  <c r="D468" i="3"/>
  <c r="C468" i="3"/>
  <c r="B468" i="3"/>
  <c r="A468" i="3"/>
  <c r="M467" i="3"/>
  <c r="L467" i="3"/>
  <c r="K467" i="3"/>
  <c r="J467" i="3"/>
  <c r="I467" i="3"/>
  <c r="H467" i="3"/>
  <c r="G467" i="3"/>
  <c r="F467" i="3"/>
  <c r="E467" i="3"/>
  <c r="D467" i="3"/>
  <c r="C467" i="3"/>
  <c r="B467" i="3"/>
  <c r="A467" i="3"/>
  <c r="M466" i="3"/>
  <c r="L466" i="3"/>
  <c r="K466" i="3"/>
  <c r="J466" i="3"/>
  <c r="I466" i="3"/>
  <c r="H466" i="3"/>
  <c r="G466" i="3"/>
  <c r="F466" i="3"/>
  <c r="E466" i="3"/>
  <c r="D466" i="3"/>
  <c r="C466" i="3"/>
  <c r="B466" i="3"/>
  <c r="A466" i="3"/>
  <c r="M465" i="3"/>
  <c r="L465" i="3"/>
  <c r="K465" i="3"/>
  <c r="J465" i="3"/>
  <c r="I465" i="3"/>
  <c r="H465" i="3"/>
  <c r="G465" i="3"/>
  <c r="F465" i="3"/>
  <c r="E465" i="3"/>
  <c r="D465" i="3"/>
  <c r="C465" i="3"/>
  <c r="B465" i="3"/>
  <c r="A465" i="3"/>
  <c r="M464" i="3"/>
  <c r="L464" i="3"/>
  <c r="K464" i="3"/>
  <c r="J464" i="3"/>
  <c r="I464" i="3"/>
  <c r="H464" i="3"/>
  <c r="G464" i="3"/>
  <c r="F464" i="3"/>
  <c r="E464" i="3"/>
  <c r="D464" i="3"/>
  <c r="C464" i="3"/>
  <c r="B464" i="3"/>
  <c r="A464" i="3"/>
  <c r="M463" i="3"/>
  <c r="L463" i="3"/>
  <c r="K463" i="3"/>
  <c r="J463" i="3"/>
  <c r="I463" i="3"/>
  <c r="H463" i="3"/>
  <c r="G463" i="3"/>
  <c r="F463" i="3"/>
  <c r="E463" i="3"/>
  <c r="D463" i="3"/>
  <c r="C463" i="3"/>
  <c r="B463" i="3"/>
  <c r="A463" i="3"/>
  <c r="M462" i="3"/>
  <c r="L462" i="3"/>
  <c r="K462" i="3"/>
  <c r="J462" i="3"/>
  <c r="I462" i="3"/>
  <c r="H462" i="3"/>
  <c r="G462" i="3"/>
  <c r="F462" i="3"/>
  <c r="E462" i="3"/>
  <c r="D462" i="3"/>
  <c r="C462" i="3"/>
  <c r="B462" i="3"/>
  <c r="A462" i="3"/>
  <c r="M461" i="3"/>
  <c r="L461" i="3"/>
  <c r="K461" i="3"/>
  <c r="J461" i="3"/>
  <c r="I461" i="3"/>
  <c r="H461" i="3"/>
  <c r="G461" i="3"/>
  <c r="F461" i="3"/>
  <c r="E461" i="3"/>
  <c r="D461" i="3"/>
  <c r="C461" i="3"/>
  <c r="B461" i="3"/>
  <c r="A461" i="3"/>
  <c r="M460" i="3"/>
  <c r="L460" i="3"/>
  <c r="K460" i="3"/>
  <c r="J460" i="3"/>
  <c r="I460" i="3"/>
  <c r="H460" i="3"/>
  <c r="G460" i="3"/>
  <c r="F460" i="3"/>
  <c r="E460" i="3"/>
  <c r="D460" i="3"/>
  <c r="C460" i="3"/>
  <c r="B460" i="3"/>
  <c r="A460" i="3"/>
  <c r="M459" i="3"/>
  <c r="L459" i="3"/>
  <c r="K459" i="3"/>
  <c r="J459" i="3"/>
  <c r="I459" i="3"/>
  <c r="H459" i="3"/>
  <c r="G459" i="3"/>
  <c r="F459" i="3"/>
  <c r="E459" i="3"/>
  <c r="D459" i="3"/>
  <c r="C459" i="3"/>
  <c r="B459" i="3"/>
  <c r="A459" i="3"/>
  <c r="M458" i="3"/>
  <c r="L458" i="3"/>
  <c r="K458" i="3"/>
  <c r="J458" i="3"/>
  <c r="I458" i="3"/>
  <c r="H458" i="3"/>
  <c r="G458" i="3"/>
  <c r="F458" i="3"/>
  <c r="E458" i="3"/>
  <c r="D458" i="3"/>
  <c r="C458" i="3"/>
  <c r="B458" i="3"/>
  <c r="A458" i="3"/>
  <c r="M457" i="3"/>
  <c r="L457" i="3"/>
  <c r="K457" i="3"/>
  <c r="J457" i="3"/>
  <c r="I457" i="3"/>
  <c r="H457" i="3"/>
  <c r="G457" i="3"/>
  <c r="F457" i="3"/>
  <c r="E457" i="3"/>
  <c r="D457" i="3"/>
  <c r="C457" i="3"/>
  <c r="B457" i="3"/>
  <c r="A457" i="3"/>
  <c r="M456" i="3"/>
  <c r="L456" i="3"/>
  <c r="K456" i="3"/>
  <c r="J456" i="3"/>
  <c r="I456" i="3"/>
  <c r="H456" i="3"/>
  <c r="G456" i="3"/>
  <c r="F456" i="3"/>
  <c r="E456" i="3"/>
  <c r="D456" i="3"/>
  <c r="C456" i="3"/>
  <c r="B456" i="3"/>
  <c r="A456" i="3"/>
  <c r="M455" i="3"/>
  <c r="L455" i="3"/>
  <c r="K455" i="3"/>
  <c r="J455" i="3"/>
  <c r="I455" i="3"/>
  <c r="H455" i="3"/>
  <c r="G455" i="3"/>
  <c r="F455" i="3"/>
  <c r="E455" i="3"/>
  <c r="D455" i="3"/>
  <c r="C455" i="3"/>
  <c r="B455" i="3"/>
  <c r="A455" i="3"/>
  <c r="M454" i="3"/>
  <c r="L454" i="3"/>
  <c r="K454" i="3"/>
  <c r="J454" i="3"/>
  <c r="I454" i="3"/>
  <c r="H454" i="3"/>
  <c r="G454" i="3"/>
  <c r="F454" i="3"/>
  <c r="E454" i="3"/>
  <c r="D454" i="3"/>
  <c r="C454" i="3"/>
  <c r="B454" i="3"/>
  <c r="A454" i="3"/>
  <c r="M453" i="3"/>
  <c r="L453" i="3"/>
  <c r="K453" i="3"/>
  <c r="J453" i="3"/>
  <c r="I453" i="3"/>
  <c r="H453" i="3"/>
  <c r="G453" i="3"/>
  <c r="F453" i="3"/>
  <c r="E453" i="3"/>
  <c r="D453" i="3"/>
  <c r="C453" i="3"/>
  <c r="B453" i="3"/>
  <c r="A453" i="3"/>
  <c r="M452" i="3"/>
  <c r="L452" i="3"/>
  <c r="K452" i="3"/>
  <c r="J452" i="3"/>
  <c r="I452" i="3"/>
  <c r="H452" i="3"/>
  <c r="G452" i="3"/>
  <c r="F452" i="3"/>
  <c r="E452" i="3"/>
  <c r="D452" i="3"/>
  <c r="C452" i="3"/>
  <c r="B452" i="3"/>
  <c r="A452" i="3"/>
  <c r="M451" i="3"/>
  <c r="L451" i="3"/>
  <c r="K451" i="3"/>
  <c r="J451" i="3"/>
  <c r="I451" i="3"/>
  <c r="H451" i="3"/>
  <c r="G451" i="3"/>
  <c r="F451" i="3"/>
  <c r="E451" i="3"/>
  <c r="D451" i="3"/>
  <c r="C451" i="3"/>
  <c r="B451" i="3"/>
  <c r="A451" i="3"/>
  <c r="M450" i="3"/>
  <c r="L450" i="3"/>
  <c r="K450" i="3"/>
  <c r="J450" i="3"/>
  <c r="I450" i="3"/>
  <c r="H450" i="3"/>
  <c r="G450" i="3"/>
  <c r="F450" i="3"/>
  <c r="E450" i="3"/>
  <c r="D450" i="3"/>
  <c r="C450" i="3"/>
  <c r="B450" i="3"/>
  <c r="A450" i="3"/>
  <c r="M449" i="3"/>
  <c r="L449" i="3"/>
  <c r="K449" i="3"/>
  <c r="J449" i="3"/>
  <c r="I449" i="3"/>
  <c r="H449" i="3"/>
  <c r="G449" i="3"/>
  <c r="F449" i="3"/>
  <c r="E449" i="3"/>
  <c r="D449" i="3"/>
  <c r="C449" i="3"/>
  <c r="B449" i="3"/>
  <c r="A449" i="3"/>
  <c r="M448" i="3"/>
  <c r="L448" i="3"/>
  <c r="K448" i="3"/>
  <c r="J448" i="3"/>
  <c r="I448" i="3"/>
  <c r="H448" i="3"/>
  <c r="G448" i="3"/>
  <c r="F448" i="3"/>
  <c r="E448" i="3"/>
  <c r="D448" i="3"/>
  <c r="C448" i="3"/>
  <c r="B448" i="3"/>
  <c r="A448" i="3"/>
  <c r="M447" i="3"/>
  <c r="L447" i="3"/>
  <c r="K447" i="3"/>
  <c r="J447" i="3"/>
  <c r="I447" i="3"/>
  <c r="H447" i="3"/>
  <c r="G447" i="3"/>
  <c r="F447" i="3"/>
  <c r="E447" i="3"/>
  <c r="D447" i="3"/>
  <c r="C447" i="3"/>
  <c r="B447" i="3"/>
  <c r="A447" i="3"/>
  <c r="M446" i="3"/>
  <c r="L446" i="3"/>
  <c r="K446" i="3"/>
  <c r="J446" i="3"/>
  <c r="I446" i="3"/>
  <c r="H446" i="3"/>
  <c r="G446" i="3"/>
  <c r="F446" i="3"/>
  <c r="E446" i="3"/>
  <c r="D446" i="3"/>
  <c r="C446" i="3"/>
  <c r="B446" i="3"/>
  <c r="A446" i="3"/>
  <c r="M445" i="3"/>
  <c r="L445" i="3"/>
  <c r="K445" i="3"/>
  <c r="J445" i="3"/>
  <c r="I445" i="3"/>
  <c r="H445" i="3"/>
  <c r="G445" i="3"/>
  <c r="F445" i="3"/>
  <c r="E445" i="3"/>
  <c r="D445" i="3"/>
  <c r="C445" i="3"/>
  <c r="B445" i="3"/>
  <c r="A445" i="3"/>
  <c r="M444" i="3"/>
  <c r="L444" i="3"/>
  <c r="K444" i="3"/>
  <c r="J444" i="3"/>
  <c r="I444" i="3"/>
  <c r="H444" i="3"/>
  <c r="G444" i="3"/>
  <c r="F444" i="3"/>
  <c r="E444" i="3"/>
  <c r="D444" i="3"/>
  <c r="C444" i="3"/>
  <c r="B444" i="3"/>
  <c r="A444" i="3"/>
  <c r="M443" i="3"/>
  <c r="L443" i="3"/>
  <c r="K443" i="3"/>
  <c r="J443" i="3"/>
  <c r="I443" i="3"/>
  <c r="H443" i="3"/>
  <c r="G443" i="3"/>
  <c r="F443" i="3"/>
  <c r="E443" i="3"/>
  <c r="D443" i="3"/>
  <c r="C443" i="3"/>
  <c r="B443" i="3"/>
  <c r="A443" i="3"/>
  <c r="M442" i="3"/>
  <c r="L442" i="3"/>
  <c r="K442" i="3"/>
  <c r="J442" i="3"/>
  <c r="I442" i="3"/>
  <c r="H442" i="3"/>
  <c r="G442" i="3"/>
  <c r="F442" i="3"/>
  <c r="E442" i="3"/>
  <c r="D442" i="3"/>
  <c r="C442" i="3"/>
  <c r="B442" i="3"/>
  <c r="A442" i="3"/>
  <c r="M441" i="3"/>
  <c r="L441" i="3"/>
  <c r="K441" i="3"/>
  <c r="J441" i="3"/>
  <c r="I441" i="3"/>
  <c r="H441" i="3"/>
  <c r="G441" i="3"/>
  <c r="F441" i="3"/>
  <c r="E441" i="3"/>
  <c r="D441" i="3"/>
  <c r="C441" i="3"/>
  <c r="B441" i="3"/>
  <c r="A441" i="3"/>
  <c r="M440" i="3"/>
  <c r="L440" i="3"/>
  <c r="K440" i="3"/>
  <c r="J440" i="3"/>
  <c r="I440" i="3"/>
  <c r="H440" i="3"/>
  <c r="G440" i="3"/>
  <c r="F440" i="3"/>
  <c r="E440" i="3"/>
  <c r="D440" i="3"/>
  <c r="C440" i="3"/>
  <c r="B440" i="3"/>
  <c r="A440" i="3"/>
  <c r="M439" i="3"/>
  <c r="L439" i="3"/>
  <c r="K439" i="3"/>
  <c r="J439" i="3"/>
  <c r="I439" i="3"/>
  <c r="H439" i="3"/>
  <c r="G439" i="3"/>
  <c r="F439" i="3"/>
  <c r="E439" i="3"/>
  <c r="D439" i="3"/>
  <c r="C439" i="3"/>
  <c r="B439" i="3"/>
  <c r="A439" i="3"/>
  <c r="M438" i="3"/>
  <c r="L438" i="3"/>
  <c r="K438" i="3"/>
  <c r="J438" i="3"/>
  <c r="I438" i="3"/>
  <c r="H438" i="3"/>
  <c r="G438" i="3"/>
  <c r="F438" i="3"/>
  <c r="E438" i="3"/>
  <c r="D438" i="3"/>
  <c r="C438" i="3"/>
  <c r="B438" i="3"/>
  <c r="A438" i="3"/>
  <c r="M437" i="3"/>
  <c r="L437" i="3"/>
  <c r="K437" i="3"/>
  <c r="J437" i="3"/>
  <c r="I437" i="3"/>
  <c r="H437" i="3"/>
  <c r="G437" i="3"/>
  <c r="F437" i="3"/>
  <c r="E437" i="3"/>
  <c r="D437" i="3"/>
  <c r="C437" i="3"/>
  <c r="B437" i="3"/>
  <c r="A437" i="3"/>
  <c r="M436" i="3"/>
  <c r="L436" i="3"/>
  <c r="K436" i="3"/>
  <c r="J436" i="3"/>
  <c r="I436" i="3"/>
  <c r="H436" i="3"/>
  <c r="G436" i="3"/>
  <c r="F436" i="3"/>
  <c r="E436" i="3"/>
  <c r="D436" i="3"/>
  <c r="C436" i="3"/>
  <c r="B436" i="3"/>
  <c r="A436" i="3"/>
  <c r="M435" i="3"/>
  <c r="L435" i="3"/>
  <c r="K435" i="3"/>
  <c r="J435" i="3"/>
  <c r="I435" i="3"/>
  <c r="H435" i="3"/>
  <c r="G435" i="3"/>
  <c r="F435" i="3"/>
  <c r="E435" i="3"/>
  <c r="D435" i="3"/>
  <c r="C435" i="3"/>
  <c r="B435" i="3"/>
  <c r="A435" i="3"/>
  <c r="M434" i="3"/>
  <c r="L434" i="3"/>
  <c r="K434" i="3"/>
  <c r="J434" i="3"/>
  <c r="I434" i="3"/>
  <c r="H434" i="3"/>
  <c r="G434" i="3"/>
  <c r="F434" i="3"/>
  <c r="E434" i="3"/>
  <c r="D434" i="3"/>
  <c r="C434" i="3"/>
  <c r="B434" i="3"/>
  <c r="A434" i="3"/>
  <c r="M433" i="3"/>
  <c r="L433" i="3"/>
  <c r="K433" i="3"/>
  <c r="J433" i="3"/>
  <c r="I433" i="3"/>
  <c r="H433" i="3"/>
  <c r="G433" i="3"/>
  <c r="F433" i="3"/>
  <c r="E433" i="3"/>
  <c r="D433" i="3"/>
  <c r="C433" i="3"/>
  <c r="B433" i="3"/>
  <c r="A433" i="3"/>
  <c r="M432" i="3"/>
  <c r="L432" i="3"/>
  <c r="K432" i="3"/>
  <c r="J432" i="3"/>
  <c r="I432" i="3"/>
  <c r="H432" i="3"/>
  <c r="G432" i="3"/>
  <c r="F432" i="3"/>
  <c r="E432" i="3"/>
  <c r="D432" i="3"/>
  <c r="C432" i="3"/>
  <c r="B432" i="3"/>
  <c r="A432" i="3"/>
  <c r="M431" i="3"/>
  <c r="L431" i="3"/>
  <c r="K431" i="3"/>
  <c r="J431" i="3"/>
  <c r="I431" i="3"/>
  <c r="H431" i="3"/>
  <c r="G431" i="3"/>
  <c r="F431" i="3"/>
  <c r="E431" i="3"/>
  <c r="D431" i="3"/>
  <c r="C431" i="3"/>
  <c r="B431" i="3"/>
  <c r="A431" i="3"/>
  <c r="M430" i="3"/>
  <c r="L430" i="3"/>
  <c r="K430" i="3"/>
  <c r="J430" i="3"/>
  <c r="I430" i="3"/>
  <c r="H430" i="3"/>
  <c r="G430" i="3"/>
  <c r="F430" i="3"/>
  <c r="E430" i="3"/>
  <c r="D430" i="3"/>
  <c r="C430" i="3"/>
  <c r="B430" i="3"/>
  <c r="A430" i="3"/>
  <c r="M429" i="3"/>
  <c r="L429" i="3"/>
  <c r="K429" i="3"/>
  <c r="J429" i="3"/>
  <c r="I429" i="3"/>
  <c r="H429" i="3"/>
  <c r="G429" i="3"/>
  <c r="F429" i="3"/>
  <c r="E429" i="3"/>
  <c r="D429" i="3"/>
  <c r="C429" i="3"/>
  <c r="B429" i="3"/>
  <c r="A429" i="3"/>
  <c r="M428" i="3"/>
  <c r="L428" i="3"/>
  <c r="K428" i="3"/>
  <c r="J428" i="3"/>
  <c r="I428" i="3"/>
  <c r="H428" i="3"/>
  <c r="G428" i="3"/>
  <c r="F428" i="3"/>
  <c r="E428" i="3"/>
  <c r="D428" i="3"/>
  <c r="C428" i="3"/>
  <c r="B428" i="3"/>
  <c r="A428" i="3"/>
  <c r="M427" i="3"/>
  <c r="L427" i="3"/>
  <c r="K427" i="3"/>
  <c r="J427" i="3"/>
  <c r="I427" i="3"/>
  <c r="H427" i="3"/>
  <c r="G427" i="3"/>
  <c r="F427" i="3"/>
  <c r="E427" i="3"/>
  <c r="D427" i="3"/>
  <c r="C427" i="3"/>
  <c r="B427" i="3"/>
  <c r="A427" i="3"/>
  <c r="M426" i="3"/>
  <c r="L426" i="3"/>
  <c r="K426" i="3"/>
  <c r="J426" i="3"/>
  <c r="I426" i="3"/>
  <c r="H426" i="3"/>
  <c r="G426" i="3"/>
  <c r="F426" i="3"/>
  <c r="E426" i="3"/>
  <c r="D426" i="3"/>
  <c r="C426" i="3"/>
  <c r="B426" i="3"/>
  <c r="A426" i="3"/>
  <c r="M425" i="3"/>
  <c r="L425" i="3"/>
  <c r="K425" i="3"/>
  <c r="J425" i="3"/>
  <c r="I425" i="3"/>
  <c r="H425" i="3"/>
  <c r="G425" i="3"/>
  <c r="F425" i="3"/>
  <c r="E425" i="3"/>
  <c r="D425" i="3"/>
  <c r="C425" i="3"/>
  <c r="B425" i="3"/>
  <c r="A425" i="3"/>
  <c r="M424" i="3"/>
  <c r="L424" i="3"/>
  <c r="K424" i="3"/>
  <c r="J424" i="3"/>
  <c r="I424" i="3"/>
  <c r="H424" i="3"/>
  <c r="G424" i="3"/>
  <c r="F424" i="3"/>
  <c r="E424" i="3"/>
  <c r="D424" i="3"/>
  <c r="C424" i="3"/>
  <c r="B424" i="3"/>
  <c r="A424" i="3"/>
  <c r="M423" i="3"/>
  <c r="L423" i="3"/>
  <c r="K423" i="3"/>
  <c r="J423" i="3"/>
  <c r="I423" i="3"/>
  <c r="H423" i="3"/>
  <c r="G423" i="3"/>
  <c r="F423" i="3"/>
  <c r="E423" i="3"/>
  <c r="D423" i="3"/>
  <c r="C423" i="3"/>
  <c r="B423" i="3"/>
  <c r="A423" i="3"/>
  <c r="M422" i="3"/>
  <c r="L422" i="3"/>
  <c r="K422" i="3"/>
  <c r="J422" i="3"/>
  <c r="I422" i="3"/>
  <c r="H422" i="3"/>
  <c r="G422" i="3"/>
  <c r="F422" i="3"/>
  <c r="E422" i="3"/>
  <c r="D422" i="3"/>
  <c r="C422" i="3"/>
  <c r="B422" i="3"/>
  <c r="A422" i="3"/>
  <c r="M421" i="3"/>
  <c r="L421" i="3"/>
  <c r="K421" i="3"/>
  <c r="J421" i="3"/>
  <c r="I421" i="3"/>
  <c r="H421" i="3"/>
  <c r="G421" i="3"/>
  <c r="F421" i="3"/>
  <c r="E421" i="3"/>
  <c r="D421" i="3"/>
  <c r="C421" i="3"/>
  <c r="B421" i="3"/>
  <c r="A421" i="3"/>
  <c r="M420" i="3"/>
  <c r="L420" i="3"/>
  <c r="K420" i="3"/>
  <c r="J420" i="3"/>
  <c r="I420" i="3"/>
  <c r="H420" i="3"/>
  <c r="G420" i="3"/>
  <c r="F420" i="3"/>
  <c r="E420" i="3"/>
  <c r="D420" i="3"/>
  <c r="C420" i="3"/>
  <c r="B420" i="3"/>
  <c r="A420" i="3"/>
  <c r="M419" i="3"/>
  <c r="L419" i="3"/>
  <c r="K419" i="3"/>
  <c r="J419" i="3"/>
  <c r="I419" i="3"/>
  <c r="H419" i="3"/>
  <c r="G419" i="3"/>
  <c r="F419" i="3"/>
  <c r="E419" i="3"/>
  <c r="D419" i="3"/>
  <c r="C419" i="3"/>
  <c r="B419" i="3"/>
  <c r="A419" i="3"/>
  <c r="M418" i="3"/>
  <c r="L418" i="3"/>
  <c r="K418" i="3"/>
  <c r="J418" i="3"/>
  <c r="I418" i="3"/>
  <c r="H418" i="3"/>
  <c r="G418" i="3"/>
  <c r="F418" i="3"/>
  <c r="E418" i="3"/>
  <c r="D418" i="3"/>
  <c r="C418" i="3"/>
  <c r="B418" i="3"/>
  <c r="A418" i="3"/>
  <c r="M417" i="3"/>
  <c r="L417" i="3"/>
  <c r="K417" i="3"/>
  <c r="J417" i="3"/>
  <c r="I417" i="3"/>
  <c r="H417" i="3"/>
  <c r="G417" i="3"/>
  <c r="F417" i="3"/>
  <c r="E417" i="3"/>
  <c r="D417" i="3"/>
  <c r="C417" i="3"/>
  <c r="B417" i="3"/>
  <c r="A417" i="3"/>
  <c r="M416" i="3"/>
  <c r="L416" i="3"/>
  <c r="K416" i="3"/>
  <c r="J416" i="3"/>
  <c r="I416" i="3"/>
  <c r="H416" i="3"/>
  <c r="G416" i="3"/>
  <c r="F416" i="3"/>
  <c r="E416" i="3"/>
  <c r="D416" i="3"/>
  <c r="C416" i="3"/>
  <c r="B416" i="3"/>
  <c r="A416" i="3"/>
  <c r="M415" i="3"/>
  <c r="L415" i="3"/>
  <c r="K415" i="3"/>
  <c r="J415" i="3"/>
  <c r="I415" i="3"/>
  <c r="H415" i="3"/>
  <c r="G415" i="3"/>
  <c r="F415" i="3"/>
  <c r="E415" i="3"/>
  <c r="D415" i="3"/>
  <c r="C415" i="3"/>
  <c r="B415" i="3"/>
  <c r="A415" i="3"/>
  <c r="M414" i="3"/>
  <c r="L414" i="3"/>
  <c r="K414" i="3"/>
  <c r="J414" i="3"/>
  <c r="I414" i="3"/>
  <c r="H414" i="3"/>
  <c r="G414" i="3"/>
  <c r="F414" i="3"/>
  <c r="E414" i="3"/>
  <c r="D414" i="3"/>
  <c r="C414" i="3"/>
  <c r="B414" i="3"/>
  <c r="A414" i="3"/>
  <c r="M413" i="3"/>
  <c r="L413" i="3"/>
  <c r="K413" i="3"/>
  <c r="J413" i="3"/>
  <c r="I413" i="3"/>
  <c r="H413" i="3"/>
  <c r="G413" i="3"/>
  <c r="F413" i="3"/>
  <c r="E413" i="3"/>
  <c r="D413" i="3"/>
  <c r="C413" i="3"/>
  <c r="B413" i="3"/>
  <c r="A413" i="3"/>
  <c r="M412" i="3"/>
  <c r="L412" i="3"/>
  <c r="K412" i="3"/>
  <c r="J412" i="3"/>
  <c r="I412" i="3"/>
  <c r="H412" i="3"/>
  <c r="G412" i="3"/>
  <c r="F412" i="3"/>
  <c r="E412" i="3"/>
  <c r="D412" i="3"/>
  <c r="C412" i="3"/>
  <c r="B412" i="3"/>
  <c r="A412" i="3"/>
  <c r="M411" i="3"/>
  <c r="L411" i="3"/>
  <c r="K411" i="3"/>
  <c r="J411" i="3"/>
  <c r="I411" i="3"/>
  <c r="H411" i="3"/>
  <c r="G411" i="3"/>
  <c r="F411" i="3"/>
  <c r="E411" i="3"/>
  <c r="D411" i="3"/>
  <c r="C411" i="3"/>
  <c r="B411" i="3"/>
  <c r="A411" i="3"/>
  <c r="M410" i="3"/>
  <c r="L410" i="3"/>
  <c r="K410" i="3"/>
  <c r="J410" i="3"/>
  <c r="I410" i="3"/>
  <c r="H410" i="3"/>
  <c r="G410" i="3"/>
  <c r="F410" i="3"/>
  <c r="E410" i="3"/>
  <c r="D410" i="3"/>
  <c r="C410" i="3"/>
  <c r="B410" i="3"/>
  <c r="A410" i="3"/>
  <c r="M409" i="3"/>
  <c r="L409" i="3"/>
  <c r="K409" i="3"/>
  <c r="J409" i="3"/>
  <c r="I409" i="3"/>
  <c r="H409" i="3"/>
  <c r="G409" i="3"/>
  <c r="F409" i="3"/>
  <c r="E409" i="3"/>
  <c r="D409" i="3"/>
  <c r="C409" i="3"/>
  <c r="B409" i="3"/>
  <c r="A409" i="3"/>
  <c r="M408" i="3"/>
  <c r="L408" i="3"/>
  <c r="K408" i="3"/>
  <c r="J408" i="3"/>
  <c r="I408" i="3"/>
  <c r="H408" i="3"/>
  <c r="G408" i="3"/>
  <c r="F408" i="3"/>
  <c r="E408" i="3"/>
  <c r="D408" i="3"/>
  <c r="C408" i="3"/>
  <c r="B408" i="3"/>
  <c r="A408" i="3"/>
  <c r="M407" i="3"/>
  <c r="L407" i="3"/>
  <c r="K407" i="3"/>
  <c r="J407" i="3"/>
  <c r="I407" i="3"/>
  <c r="H407" i="3"/>
  <c r="G407" i="3"/>
  <c r="F407" i="3"/>
  <c r="E407" i="3"/>
  <c r="D407" i="3"/>
  <c r="C407" i="3"/>
  <c r="B407" i="3"/>
  <c r="A407" i="3"/>
  <c r="M406" i="3"/>
  <c r="L406" i="3"/>
  <c r="K406" i="3"/>
  <c r="J406" i="3"/>
  <c r="I406" i="3"/>
  <c r="H406" i="3"/>
  <c r="G406" i="3"/>
  <c r="F406" i="3"/>
  <c r="E406" i="3"/>
  <c r="D406" i="3"/>
  <c r="C406" i="3"/>
  <c r="B406" i="3"/>
  <c r="A406" i="3"/>
  <c r="M405" i="3"/>
  <c r="L405" i="3"/>
  <c r="K405" i="3"/>
  <c r="J405" i="3"/>
  <c r="I405" i="3"/>
  <c r="H405" i="3"/>
  <c r="G405" i="3"/>
  <c r="F405" i="3"/>
  <c r="E405" i="3"/>
  <c r="D405" i="3"/>
  <c r="C405" i="3"/>
  <c r="B405" i="3"/>
  <c r="A405" i="3"/>
  <c r="M404" i="3"/>
  <c r="L404" i="3"/>
  <c r="K404" i="3"/>
  <c r="J404" i="3"/>
  <c r="I404" i="3"/>
  <c r="H404" i="3"/>
  <c r="G404" i="3"/>
  <c r="F404" i="3"/>
  <c r="E404" i="3"/>
  <c r="D404" i="3"/>
  <c r="C404" i="3"/>
  <c r="B404" i="3"/>
  <c r="A404" i="3"/>
  <c r="M403" i="3"/>
  <c r="L403" i="3"/>
  <c r="K403" i="3"/>
  <c r="J403" i="3"/>
  <c r="I403" i="3"/>
  <c r="H403" i="3"/>
  <c r="G403" i="3"/>
  <c r="F403" i="3"/>
  <c r="E403" i="3"/>
  <c r="D403" i="3"/>
  <c r="C403" i="3"/>
  <c r="B403" i="3"/>
  <c r="A403" i="3"/>
  <c r="M402" i="3"/>
  <c r="L402" i="3"/>
  <c r="K402" i="3"/>
  <c r="J402" i="3"/>
  <c r="I402" i="3"/>
  <c r="H402" i="3"/>
  <c r="G402" i="3"/>
  <c r="F402" i="3"/>
  <c r="E402" i="3"/>
  <c r="D402" i="3"/>
  <c r="C402" i="3"/>
  <c r="B402" i="3"/>
  <c r="A402" i="3"/>
  <c r="M401" i="3"/>
  <c r="L401" i="3"/>
  <c r="K401" i="3"/>
  <c r="J401" i="3"/>
  <c r="I401" i="3"/>
  <c r="H401" i="3"/>
  <c r="G401" i="3"/>
  <c r="F401" i="3"/>
  <c r="E401" i="3"/>
  <c r="D401" i="3"/>
  <c r="C401" i="3"/>
  <c r="B401" i="3"/>
  <c r="A401" i="3"/>
  <c r="M400" i="3"/>
  <c r="L400" i="3"/>
  <c r="K400" i="3"/>
  <c r="J400" i="3"/>
  <c r="I400" i="3"/>
  <c r="H400" i="3"/>
  <c r="G400" i="3"/>
  <c r="F400" i="3"/>
  <c r="E400" i="3"/>
  <c r="D400" i="3"/>
  <c r="C400" i="3"/>
  <c r="B400" i="3"/>
  <c r="A400" i="3"/>
  <c r="M399" i="3"/>
  <c r="L399" i="3"/>
  <c r="K399" i="3"/>
  <c r="J399" i="3"/>
  <c r="I399" i="3"/>
  <c r="H399" i="3"/>
  <c r="G399" i="3"/>
  <c r="F399" i="3"/>
  <c r="E399" i="3"/>
  <c r="D399" i="3"/>
  <c r="C399" i="3"/>
  <c r="B399" i="3"/>
  <c r="A399" i="3"/>
  <c r="M398" i="3"/>
  <c r="L398" i="3"/>
  <c r="K398" i="3"/>
  <c r="J398" i="3"/>
  <c r="I398" i="3"/>
  <c r="H398" i="3"/>
  <c r="G398" i="3"/>
  <c r="F398" i="3"/>
  <c r="E398" i="3"/>
  <c r="D398" i="3"/>
  <c r="C398" i="3"/>
  <c r="B398" i="3"/>
  <c r="A398" i="3"/>
  <c r="M397" i="3"/>
  <c r="L397" i="3"/>
  <c r="K397" i="3"/>
  <c r="J397" i="3"/>
  <c r="I397" i="3"/>
  <c r="H397" i="3"/>
  <c r="G397" i="3"/>
  <c r="F397" i="3"/>
  <c r="E397" i="3"/>
  <c r="D397" i="3"/>
  <c r="C397" i="3"/>
  <c r="B397" i="3"/>
  <c r="A397" i="3"/>
  <c r="M396" i="3"/>
  <c r="L396" i="3"/>
  <c r="K396" i="3"/>
  <c r="J396" i="3"/>
  <c r="I396" i="3"/>
  <c r="H396" i="3"/>
  <c r="G396" i="3"/>
  <c r="F396" i="3"/>
  <c r="E396" i="3"/>
  <c r="D396" i="3"/>
  <c r="C396" i="3"/>
  <c r="B396" i="3"/>
  <c r="A396" i="3"/>
  <c r="M395" i="3"/>
  <c r="L395" i="3"/>
  <c r="K395" i="3"/>
  <c r="J395" i="3"/>
  <c r="I395" i="3"/>
  <c r="H395" i="3"/>
  <c r="G395" i="3"/>
  <c r="F395" i="3"/>
  <c r="E395" i="3"/>
  <c r="D395" i="3"/>
  <c r="C395" i="3"/>
  <c r="B395" i="3"/>
  <c r="A395" i="3"/>
  <c r="M394" i="3"/>
  <c r="L394" i="3"/>
  <c r="K394" i="3"/>
  <c r="J394" i="3"/>
  <c r="I394" i="3"/>
  <c r="H394" i="3"/>
  <c r="G394" i="3"/>
  <c r="F394" i="3"/>
  <c r="E394" i="3"/>
  <c r="D394" i="3"/>
  <c r="C394" i="3"/>
  <c r="B394" i="3"/>
  <c r="A394" i="3"/>
  <c r="M393" i="3"/>
  <c r="L393" i="3"/>
  <c r="K393" i="3"/>
  <c r="J393" i="3"/>
  <c r="I393" i="3"/>
  <c r="H393" i="3"/>
  <c r="G393" i="3"/>
  <c r="F393" i="3"/>
  <c r="E393" i="3"/>
  <c r="D393" i="3"/>
  <c r="C393" i="3"/>
  <c r="B393" i="3"/>
  <c r="A393" i="3"/>
  <c r="M392" i="3"/>
  <c r="L392" i="3"/>
  <c r="K392" i="3"/>
  <c r="J392" i="3"/>
  <c r="I392" i="3"/>
  <c r="H392" i="3"/>
  <c r="G392" i="3"/>
  <c r="F392" i="3"/>
  <c r="E392" i="3"/>
  <c r="D392" i="3"/>
  <c r="C392" i="3"/>
  <c r="B392" i="3"/>
  <c r="A392" i="3"/>
  <c r="M391" i="3"/>
  <c r="L391" i="3"/>
  <c r="K391" i="3"/>
  <c r="J391" i="3"/>
  <c r="I391" i="3"/>
  <c r="H391" i="3"/>
  <c r="G391" i="3"/>
  <c r="F391" i="3"/>
  <c r="E391" i="3"/>
  <c r="D391" i="3"/>
  <c r="C391" i="3"/>
  <c r="B391" i="3"/>
  <c r="A391" i="3"/>
  <c r="M390" i="3"/>
  <c r="L390" i="3"/>
  <c r="K390" i="3"/>
  <c r="J390" i="3"/>
  <c r="I390" i="3"/>
  <c r="H390" i="3"/>
  <c r="G390" i="3"/>
  <c r="F390" i="3"/>
  <c r="E390" i="3"/>
  <c r="D390" i="3"/>
  <c r="C390" i="3"/>
  <c r="B390" i="3"/>
  <c r="A390" i="3"/>
  <c r="M389" i="3"/>
  <c r="L389" i="3"/>
  <c r="K389" i="3"/>
  <c r="J389" i="3"/>
  <c r="I389" i="3"/>
  <c r="H389" i="3"/>
  <c r="G389" i="3"/>
  <c r="F389" i="3"/>
  <c r="E389" i="3"/>
  <c r="D389" i="3"/>
  <c r="C389" i="3"/>
  <c r="B389" i="3"/>
  <c r="A389" i="3"/>
  <c r="M388" i="3"/>
  <c r="L388" i="3"/>
  <c r="K388" i="3"/>
  <c r="J388" i="3"/>
  <c r="I388" i="3"/>
  <c r="H388" i="3"/>
  <c r="G388" i="3"/>
  <c r="F388" i="3"/>
  <c r="E388" i="3"/>
  <c r="D388" i="3"/>
  <c r="C388" i="3"/>
  <c r="B388" i="3"/>
  <c r="A388" i="3"/>
  <c r="M387" i="3"/>
  <c r="L387" i="3"/>
  <c r="K387" i="3"/>
  <c r="J387" i="3"/>
  <c r="I387" i="3"/>
  <c r="H387" i="3"/>
  <c r="G387" i="3"/>
  <c r="F387" i="3"/>
  <c r="E387" i="3"/>
  <c r="D387" i="3"/>
  <c r="C387" i="3"/>
  <c r="B387" i="3"/>
  <c r="A387" i="3"/>
  <c r="M386" i="3"/>
  <c r="L386" i="3"/>
  <c r="K386" i="3"/>
  <c r="J386" i="3"/>
  <c r="I386" i="3"/>
  <c r="H386" i="3"/>
  <c r="G386" i="3"/>
  <c r="F386" i="3"/>
  <c r="E386" i="3"/>
  <c r="D386" i="3"/>
  <c r="C386" i="3"/>
  <c r="B386" i="3"/>
  <c r="A386" i="3"/>
  <c r="M385" i="3"/>
  <c r="L385" i="3"/>
  <c r="K385" i="3"/>
  <c r="J385" i="3"/>
  <c r="I385" i="3"/>
  <c r="H385" i="3"/>
  <c r="G385" i="3"/>
  <c r="F385" i="3"/>
  <c r="E385" i="3"/>
  <c r="D385" i="3"/>
  <c r="C385" i="3"/>
  <c r="B385" i="3"/>
  <c r="A385" i="3"/>
  <c r="M384" i="3"/>
  <c r="L384" i="3"/>
  <c r="K384" i="3"/>
  <c r="J384" i="3"/>
  <c r="I384" i="3"/>
  <c r="H384" i="3"/>
  <c r="G384" i="3"/>
  <c r="F384" i="3"/>
  <c r="E384" i="3"/>
  <c r="D384" i="3"/>
  <c r="C384" i="3"/>
  <c r="B384" i="3"/>
  <c r="A384" i="3"/>
  <c r="M383" i="3"/>
  <c r="L383" i="3"/>
  <c r="K383" i="3"/>
  <c r="J383" i="3"/>
  <c r="I383" i="3"/>
  <c r="H383" i="3"/>
  <c r="G383" i="3"/>
  <c r="F383" i="3"/>
  <c r="E383" i="3"/>
  <c r="D383" i="3"/>
  <c r="C383" i="3"/>
  <c r="B383" i="3"/>
  <c r="A383" i="3"/>
  <c r="M382" i="3"/>
  <c r="L382" i="3"/>
  <c r="K382" i="3"/>
  <c r="J382" i="3"/>
  <c r="I382" i="3"/>
  <c r="H382" i="3"/>
  <c r="G382" i="3"/>
  <c r="F382" i="3"/>
  <c r="E382" i="3"/>
  <c r="D382" i="3"/>
  <c r="C382" i="3"/>
  <c r="B382" i="3"/>
  <c r="A382" i="3"/>
  <c r="M381" i="3"/>
  <c r="L381" i="3"/>
  <c r="K381" i="3"/>
  <c r="J381" i="3"/>
  <c r="I381" i="3"/>
  <c r="H381" i="3"/>
  <c r="G381" i="3"/>
  <c r="F381" i="3"/>
  <c r="E381" i="3"/>
  <c r="D381" i="3"/>
  <c r="C381" i="3"/>
  <c r="B381" i="3"/>
  <c r="A381" i="3"/>
  <c r="M380" i="3"/>
  <c r="L380" i="3"/>
  <c r="K380" i="3"/>
  <c r="J380" i="3"/>
  <c r="I380" i="3"/>
  <c r="H380" i="3"/>
  <c r="G380" i="3"/>
  <c r="F380" i="3"/>
  <c r="E380" i="3"/>
  <c r="D380" i="3"/>
  <c r="C380" i="3"/>
  <c r="B380" i="3"/>
  <c r="A380" i="3"/>
  <c r="M379" i="3"/>
  <c r="L379" i="3"/>
  <c r="K379" i="3"/>
  <c r="J379" i="3"/>
  <c r="I379" i="3"/>
  <c r="H379" i="3"/>
  <c r="G379" i="3"/>
  <c r="F379" i="3"/>
  <c r="E379" i="3"/>
  <c r="D379" i="3"/>
  <c r="C379" i="3"/>
  <c r="B379" i="3"/>
  <c r="A379" i="3"/>
  <c r="M378" i="3"/>
  <c r="L378" i="3"/>
  <c r="K378" i="3"/>
  <c r="J378" i="3"/>
  <c r="I378" i="3"/>
  <c r="H378" i="3"/>
  <c r="G378" i="3"/>
  <c r="F378" i="3"/>
  <c r="E378" i="3"/>
  <c r="D378" i="3"/>
  <c r="C378" i="3"/>
  <c r="B378" i="3"/>
  <c r="A378" i="3"/>
  <c r="M377" i="3"/>
  <c r="L377" i="3"/>
  <c r="K377" i="3"/>
  <c r="J377" i="3"/>
  <c r="I377" i="3"/>
  <c r="H377" i="3"/>
  <c r="G377" i="3"/>
  <c r="F377" i="3"/>
  <c r="E377" i="3"/>
  <c r="D377" i="3"/>
  <c r="C377" i="3"/>
  <c r="B377" i="3"/>
  <c r="A377" i="3"/>
  <c r="M376" i="3"/>
  <c r="L376" i="3"/>
  <c r="K376" i="3"/>
  <c r="J376" i="3"/>
  <c r="I376" i="3"/>
  <c r="H376" i="3"/>
  <c r="G376" i="3"/>
  <c r="F376" i="3"/>
  <c r="E376" i="3"/>
  <c r="D376" i="3"/>
  <c r="C376" i="3"/>
  <c r="B376" i="3"/>
  <c r="A376" i="3"/>
  <c r="M375" i="3"/>
  <c r="L375" i="3"/>
  <c r="K375" i="3"/>
  <c r="J375" i="3"/>
  <c r="I375" i="3"/>
  <c r="H375" i="3"/>
  <c r="G375" i="3"/>
  <c r="F375" i="3"/>
  <c r="E375" i="3"/>
  <c r="D375" i="3"/>
  <c r="C375" i="3"/>
  <c r="B375" i="3"/>
  <c r="A375" i="3"/>
  <c r="M374" i="3"/>
  <c r="L374" i="3"/>
  <c r="K374" i="3"/>
  <c r="J374" i="3"/>
  <c r="I374" i="3"/>
  <c r="H374" i="3"/>
  <c r="G374" i="3"/>
  <c r="F374" i="3"/>
  <c r="E374" i="3"/>
  <c r="D374" i="3"/>
  <c r="C374" i="3"/>
  <c r="B374" i="3"/>
  <c r="A374" i="3"/>
  <c r="M373" i="3"/>
  <c r="L373" i="3"/>
  <c r="K373" i="3"/>
  <c r="J373" i="3"/>
  <c r="I373" i="3"/>
  <c r="H373" i="3"/>
  <c r="G373" i="3"/>
  <c r="F373" i="3"/>
  <c r="E373" i="3"/>
  <c r="D373" i="3"/>
  <c r="C373" i="3"/>
  <c r="B373" i="3"/>
  <c r="A373" i="3"/>
  <c r="M372" i="3"/>
  <c r="L372" i="3"/>
  <c r="K372" i="3"/>
  <c r="J372" i="3"/>
  <c r="I372" i="3"/>
  <c r="H372" i="3"/>
  <c r="G372" i="3"/>
  <c r="F372" i="3"/>
  <c r="E372" i="3"/>
  <c r="D372" i="3"/>
  <c r="C372" i="3"/>
  <c r="B372" i="3"/>
  <c r="A372" i="3"/>
  <c r="M371" i="3"/>
  <c r="L371" i="3"/>
  <c r="K371" i="3"/>
  <c r="J371" i="3"/>
  <c r="I371" i="3"/>
  <c r="H371" i="3"/>
  <c r="G371" i="3"/>
  <c r="F371" i="3"/>
  <c r="E371" i="3"/>
  <c r="D371" i="3"/>
  <c r="C371" i="3"/>
  <c r="B371" i="3"/>
  <c r="A371" i="3"/>
  <c r="M370" i="3"/>
  <c r="L370" i="3"/>
  <c r="K370" i="3"/>
  <c r="J370" i="3"/>
  <c r="I370" i="3"/>
  <c r="H370" i="3"/>
  <c r="G370" i="3"/>
  <c r="F370" i="3"/>
  <c r="E370" i="3"/>
  <c r="D370" i="3"/>
  <c r="C370" i="3"/>
  <c r="B370" i="3"/>
  <c r="A370" i="3"/>
  <c r="M369" i="3"/>
  <c r="L369" i="3"/>
  <c r="K369" i="3"/>
  <c r="J369" i="3"/>
  <c r="I369" i="3"/>
  <c r="H369" i="3"/>
  <c r="G369" i="3"/>
  <c r="F369" i="3"/>
  <c r="E369" i="3"/>
  <c r="D369" i="3"/>
  <c r="C369" i="3"/>
  <c r="B369" i="3"/>
  <c r="A369" i="3"/>
  <c r="M368" i="3"/>
  <c r="L368" i="3"/>
  <c r="K368" i="3"/>
  <c r="J368" i="3"/>
  <c r="I368" i="3"/>
  <c r="H368" i="3"/>
  <c r="G368" i="3"/>
  <c r="F368" i="3"/>
  <c r="E368" i="3"/>
  <c r="D368" i="3"/>
  <c r="C368" i="3"/>
  <c r="B368" i="3"/>
  <c r="A368" i="3"/>
  <c r="M367" i="3"/>
  <c r="L367" i="3"/>
  <c r="K367" i="3"/>
  <c r="J367" i="3"/>
  <c r="I367" i="3"/>
  <c r="H367" i="3"/>
  <c r="G367" i="3"/>
  <c r="F367" i="3"/>
  <c r="E367" i="3"/>
  <c r="D367" i="3"/>
  <c r="C367" i="3"/>
  <c r="B367" i="3"/>
  <c r="A367" i="3"/>
  <c r="M366" i="3"/>
  <c r="L366" i="3"/>
  <c r="K366" i="3"/>
  <c r="J366" i="3"/>
  <c r="I366" i="3"/>
  <c r="H366" i="3"/>
  <c r="G366" i="3"/>
  <c r="F366" i="3"/>
  <c r="E366" i="3"/>
  <c r="D366" i="3"/>
  <c r="C366" i="3"/>
  <c r="B366" i="3"/>
  <c r="A366" i="3"/>
  <c r="M365" i="3"/>
  <c r="L365" i="3"/>
  <c r="K365" i="3"/>
  <c r="J365" i="3"/>
  <c r="I365" i="3"/>
  <c r="H365" i="3"/>
  <c r="G365" i="3"/>
  <c r="F365" i="3"/>
  <c r="E365" i="3"/>
  <c r="D365" i="3"/>
  <c r="C365" i="3"/>
  <c r="B365" i="3"/>
  <c r="A365" i="3"/>
  <c r="M364" i="3"/>
  <c r="L364" i="3"/>
  <c r="K364" i="3"/>
  <c r="J364" i="3"/>
  <c r="I364" i="3"/>
  <c r="H364" i="3"/>
  <c r="G364" i="3"/>
  <c r="F364" i="3"/>
  <c r="E364" i="3"/>
  <c r="D364" i="3"/>
  <c r="C364" i="3"/>
  <c r="B364" i="3"/>
  <c r="A364" i="3"/>
  <c r="M363" i="3"/>
  <c r="L363" i="3"/>
  <c r="K363" i="3"/>
  <c r="J363" i="3"/>
  <c r="I363" i="3"/>
  <c r="H363" i="3"/>
  <c r="G363" i="3"/>
  <c r="F363" i="3"/>
  <c r="E363" i="3"/>
  <c r="D363" i="3"/>
  <c r="C363" i="3"/>
  <c r="B363" i="3"/>
  <c r="A363" i="3"/>
  <c r="M362" i="3"/>
  <c r="L362" i="3"/>
  <c r="K362" i="3"/>
  <c r="J362" i="3"/>
  <c r="I362" i="3"/>
  <c r="H362" i="3"/>
  <c r="G362" i="3"/>
  <c r="F362" i="3"/>
  <c r="E362" i="3"/>
  <c r="D362" i="3"/>
  <c r="C362" i="3"/>
  <c r="B362" i="3"/>
  <c r="A362" i="3"/>
  <c r="M361" i="3"/>
  <c r="L361" i="3"/>
  <c r="K361" i="3"/>
  <c r="J361" i="3"/>
  <c r="I361" i="3"/>
  <c r="H361" i="3"/>
  <c r="G361" i="3"/>
  <c r="F361" i="3"/>
  <c r="E361" i="3"/>
  <c r="D361" i="3"/>
  <c r="C361" i="3"/>
  <c r="B361" i="3"/>
  <c r="A361" i="3"/>
  <c r="M360" i="3"/>
  <c r="L360" i="3"/>
  <c r="K360" i="3"/>
  <c r="J360" i="3"/>
  <c r="I360" i="3"/>
  <c r="H360" i="3"/>
  <c r="G360" i="3"/>
  <c r="F360" i="3"/>
  <c r="E360" i="3"/>
  <c r="D360" i="3"/>
  <c r="C360" i="3"/>
  <c r="B360" i="3"/>
  <c r="A360" i="3"/>
  <c r="M359" i="3"/>
  <c r="L359" i="3"/>
  <c r="K359" i="3"/>
  <c r="J359" i="3"/>
  <c r="I359" i="3"/>
  <c r="H359" i="3"/>
  <c r="G359" i="3"/>
  <c r="F359" i="3"/>
  <c r="E359" i="3"/>
  <c r="D359" i="3"/>
  <c r="C359" i="3"/>
  <c r="B359" i="3"/>
  <c r="A359" i="3"/>
  <c r="M358" i="3"/>
  <c r="L358" i="3"/>
  <c r="K358" i="3"/>
  <c r="J358" i="3"/>
  <c r="I358" i="3"/>
  <c r="H358" i="3"/>
  <c r="G358" i="3"/>
  <c r="F358" i="3"/>
  <c r="E358" i="3"/>
  <c r="D358" i="3"/>
  <c r="C358" i="3"/>
  <c r="B358" i="3"/>
  <c r="A358" i="3"/>
  <c r="M357" i="3"/>
  <c r="L357" i="3"/>
  <c r="K357" i="3"/>
  <c r="J357" i="3"/>
  <c r="I357" i="3"/>
  <c r="H357" i="3"/>
  <c r="G357" i="3"/>
  <c r="F357" i="3"/>
  <c r="E357" i="3"/>
  <c r="D357" i="3"/>
  <c r="C357" i="3"/>
  <c r="B357" i="3"/>
  <c r="A357" i="3"/>
  <c r="M356" i="3"/>
  <c r="L356" i="3"/>
  <c r="K356" i="3"/>
  <c r="J356" i="3"/>
  <c r="I356" i="3"/>
  <c r="H356" i="3"/>
  <c r="G356" i="3"/>
  <c r="F356" i="3"/>
  <c r="E356" i="3"/>
  <c r="D356" i="3"/>
  <c r="C356" i="3"/>
  <c r="B356" i="3"/>
  <c r="A356" i="3"/>
  <c r="M355" i="3"/>
  <c r="L355" i="3"/>
  <c r="K355" i="3"/>
  <c r="J355" i="3"/>
  <c r="I355" i="3"/>
  <c r="H355" i="3"/>
  <c r="G355" i="3"/>
  <c r="F355" i="3"/>
  <c r="E355" i="3"/>
  <c r="D355" i="3"/>
  <c r="C355" i="3"/>
  <c r="B355" i="3"/>
  <c r="A355" i="3"/>
  <c r="M354" i="3"/>
  <c r="L354" i="3"/>
  <c r="K354" i="3"/>
  <c r="J354" i="3"/>
  <c r="I354" i="3"/>
  <c r="H354" i="3"/>
  <c r="G354" i="3"/>
  <c r="F354" i="3"/>
  <c r="E354" i="3"/>
  <c r="D354" i="3"/>
  <c r="C354" i="3"/>
  <c r="B354" i="3"/>
  <c r="A354" i="3"/>
  <c r="M353" i="3"/>
  <c r="L353" i="3"/>
  <c r="K353" i="3"/>
  <c r="J353" i="3"/>
  <c r="I353" i="3"/>
  <c r="H353" i="3"/>
  <c r="G353" i="3"/>
  <c r="F353" i="3"/>
  <c r="E353" i="3"/>
  <c r="D353" i="3"/>
  <c r="C353" i="3"/>
  <c r="B353" i="3"/>
  <c r="A353" i="3"/>
  <c r="M352" i="3"/>
  <c r="L352" i="3"/>
  <c r="K352" i="3"/>
  <c r="J352" i="3"/>
  <c r="I352" i="3"/>
  <c r="H352" i="3"/>
  <c r="G352" i="3"/>
  <c r="F352" i="3"/>
  <c r="E352" i="3"/>
  <c r="D352" i="3"/>
  <c r="C352" i="3"/>
  <c r="B352" i="3"/>
  <c r="A352" i="3"/>
  <c r="M351" i="3"/>
  <c r="L351" i="3"/>
  <c r="K351" i="3"/>
  <c r="J351" i="3"/>
  <c r="I351" i="3"/>
  <c r="H351" i="3"/>
  <c r="G351" i="3"/>
  <c r="F351" i="3"/>
  <c r="E351" i="3"/>
  <c r="D351" i="3"/>
  <c r="C351" i="3"/>
  <c r="B351" i="3"/>
  <c r="A351" i="3"/>
  <c r="M350" i="3"/>
  <c r="L350" i="3"/>
  <c r="K350" i="3"/>
  <c r="J350" i="3"/>
  <c r="I350" i="3"/>
  <c r="H350" i="3"/>
  <c r="G350" i="3"/>
  <c r="F350" i="3"/>
  <c r="E350" i="3"/>
  <c r="D350" i="3"/>
  <c r="C350" i="3"/>
  <c r="B350" i="3"/>
  <c r="A350" i="3"/>
  <c r="M349" i="3"/>
  <c r="L349" i="3"/>
  <c r="K349" i="3"/>
  <c r="J349" i="3"/>
  <c r="I349" i="3"/>
  <c r="H349" i="3"/>
  <c r="G349" i="3"/>
  <c r="F349" i="3"/>
  <c r="E349" i="3"/>
  <c r="D349" i="3"/>
  <c r="C349" i="3"/>
  <c r="B349" i="3"/>
  <c r="A349" i="3"/>
  <c r="M348" i="3"/>
  <c r="L348" i="3"/>
  <c r="K348" i="3"/>
  <c r="J348" i="3"/>
  <c r="I348" i="3"/>
  <c r="H348" i="3"/>
  <c r="G348" i="3"/>
  <c r="F348" i="3"/>
  <c r="E348" i="3"/>
  <c r="D348" i="3"/>
  <c r="C348" i="3"/>
  <c r="B348" i="3"/>
  <c r="A348" i="3"/>
  <c r="M347" i="3"/>
  <c r="L347" i="3"/>
  <c r="K347" i="3"/>
  <c r="J347" i="3"/>
  <c r="I347" i="3"/>
  <c r="H347" i="3"/>
  <c r="G347" i="3"/>
  <c r="F347" i="3"/>
  <c r="E347" i="3"/>
  <c r="D347" i="3"/>
  <c r="C347" i="3"/>
  <c r="B347" i="3"/>
  <c r="A347" i="3"/>
  <c r="M346" i="3"/>
  <c r="L346" i="3"/>
  <c r="K346" i="3"/>
  <c r="J346" i="3"/>
  <c r="I346" i="3"/>
  <c r="H346" i="3"/>
  <c r="G346" i="3"/>
  <c r="F346" i="3"/>
  <c r="E346" i="3"/>
  <c r="D346" i="3"/>
  <c r="C346" i="3"/>
  <c r="B346" i="3"/>
  <c r="A346" i="3"/>
  <c r="M345" i="3"/>
  <c r="L345" i="3"/>
  <c r="K345" i="3"/>
  <c r="J345" i="3"/>
  <c r="I345" i="3"/>
  <c r="H345" i="3"/>
  <c r="G345" i="3"/>
  <c r="F345" i="3"/>
  <c r="E345" i="3"/>
  <c r="D345" i="3"/>
  <c r="C345" i="3"/>
  <c r="B345" i="3"/>
  <c r="A345" i="3"/>
  <c r="M344" i="3"/>
  <c r="L344" i="3"/>
  <c r="K344" i="3"/>
  <c r="J344" i="3"/>
  <c r="I344" i="3"/>
  <c r="H344" i="3"/>
  <c r="G344" i="3"/>
  <c r="F344" i="3"/>
  <c r="E344" i="3"/>
  <c r="D344" i="3"/>
  <c r="C344" i="3"/>
  <c r="B344" i="3"/>
  <c r="A344" i="3"/>
  <c r="M343" i="3"/>
  <c r="L343" i="3"/>
  <c r="K343" i="3"/>
  <c r="J343" i="3"/>
  <c r="I343" i="3"/>
  <c r="H343" i="3"/>
  <c r="G343" i="3"/>
  <c r="F343" i="3"/>
  <c r="E343" i="3"/>
  <c r="D343" i="3"/>
  <c r="C343" i="3"/>
  <c r="B343" i="3"/>
  <c r="A343" i="3"/>
  <c r="M342" i="3"/>
  <c r="L342" i="3"/>
  <c r="K342" i="3"/>
  <c r="J342" i="3"/>
  <c r="I342" i="3"/>
  <c r="H342" i="3"/>
  <c r="G342" i="3"/>
  <c r="F342" i="3"/>
  <c r="E342" i="3"/>
  <c r="D342" i="3"/>
  <c r="C342" i="3"/>
  <c r="B342" i="3"/>
  <c r="A342" i="3"/>
  <c r="M341" i="3"/>
  <c r="L341" i="3"/>
  <c r="K341" i="3"/>
  <c r="J341" i="3"/>
  <c r="I341" i="3"/>
  <c r="H341" i="3"/>
  <c r="G341" i="3"/>
  <c r="F341" i="3"/>
  <c r="E341" i="3"/>
  <c r="D341" i="3"/>
  <c r="C341" i="3"/>
  <c r="B341" i="3"/>
  <c r="A341" i="3"/>
  <c r="M340" i="3"/>
  <c r="L340" i="3"/>
  <c r="K340" i="3"/>
  <c r="J340" i="3"/>
  <c r="I340" i="3"/>
  <c r="H340" i="3"/>
  <c r="G340" i="3"/>
  <c r="F340" i="3"/>
  <c r="E340" i="3"/>
  <c r="D340" i="3"/>
  <c r="C340" i="3"/>
  <c r="B340" i="3"/>
  <c r="A340" i="3"/>
  <c r="M339" i="3"/>
  <c r="L339" i="3"/>
  <c r="K339" i="3"/>
  <c r="J339" i="3"/>
  <c r="I339" i="3"/>
  <c r="H339" i="3"/>
  <c r="G339" i="3"/>
  <c r="F339" i="3"/>
  <c r="E339" i="3"/>
  <c r="D339" i="3"/>
  <c r="C339" i="3"/>
  <c r="B339" i="3"/>
  <c r="A339" i="3"/>
  <c r="M338" i="3"/>
  <c r="L338" i="3"/>
  <c r="K338" i="3"/>
  <c r="J338" i="3"/>
  <c r="I338" i="3"/>
  <c r="H338" i="3"/>
  <c r="G338" i="3"/>
  <c r="F338" i="3"/>
  <c r="E338" i="3"/>
  <c r="D338" i="3"/>
  <c r="C338" i="3"/>
  <c r="B338" i="3"/>
  <c r="A338" i="3"/>
  <c r="M337" i="3"/>
  <c r="L337" i="3"/>
  <c r="K337" i="3"/>
  <c r="J337" i="3"/>
  <c r="I337" i="3"/>
  <c r="H337" i="3"/>
  <c r="G337" i="3"/>
  <c r="F337" i="3"/>
  <c r="E337" i="3"/>
  <c r="D337" i="3"/>
  <c r="C337" i="3"/>
  <c r="B337" i="3"/>
  <c r="A337" i="3"/>
  <c r="M336" i="3"/>
  <c r="L336" i="3"/>
  <c r="K336" i="3"/>
  <c r="J336" i="3"/>
  <c r="I336" i="3"/>
  <c r="H336" i="3"/>
  <c r="G336" i="3"/>
  <c r="F336" i="3"/>
  <c r="E336" i="3"/>
  <c r="D336" i="3"/>
  <c r="C336" i="3"/>
  <c r="B336" i="3"/>
  <c r="A336" i="3"/>
  <c r="M335" i="3"/>
  <c r="L335" i="3"/>
  <c r="K335" i="3"/>
  <c r="J335" i="3"/>
  <c r="I335" i="3"/>
  <c r="H335" i="3"/>
  <c r="G335" i="3"/>
  <c r="F335" i="3"/>
  <c r="E335" i="3"/>
  <c r="D335" i="3"/>
  <c r="C335" i="3"/>
  <c r="B335" i="3"/>
  <c r="A335" i="3"/>
  <c r="M334" i="3"/>
  <c r="L334" i="3"/>
  <c r="K334" i="3"/>
  <c r="J334" i="3"/>
  <c r="I334" i="3"/>
  <c r="H334" i="3"/>
  <c r="G334" i="3"/>
  <c r="F334" i="3"/>
  <c r="E334" i="3"/>
  <c r="D334" i="3"/>
  <c r="C334" i="3"/>
  <c r="B334" i="3"/>
  <c r="A334" i="3"/>
  <c r="M333" i="3"/>
  <c r="L333" i="3"/>
  <c r="K333" i="3"/>
  <c r="J333" i="3"/>
  <c r="I333" i="3"/>
  <c r="H333" i="3"/>
  <c r="G333" i="3"/>
  <c r="F333" i="3"/>
  <c r="E333" i="3"/>
  <c r="D333" i="3"/>
  <c r="C333" i="3"/>
  <c r="B333" i="3"/>
  <c r="A333" i="3"/>
  <c r="M332" i="3"/>
  <c r="L332" i="3"/>
  <c r="K332" i="3"/>
  <c r="J332" i="3"/>
  <c r="I332" i="3"/>
  <c r="H332" i="3"/>
  <c r="G332" i="3"/>
  <c r="F332" i="3"/>
  <c r="E332" i="3"/>
  <c r="D332" i="3"/>
  <c r="C332" i="3"/>
  <c r="B332" i="3"/>
  <c r="A332" i="3"/>
  <c r="M331" i="3"/>
  <c r="L331" i="3"/>
  <c r="K331" i="3"/>
  <c r="J331" i="3"/>
  <c r="I331" i="3"/>
  <c r="H331" i="3"/>
  <c r="G331" i="3"/>
  <c r="F331" i="3"/>
  <c r="E331" i="3"/>
  <c r="D331" i="3"/>
  <c r="C331" i="3"/>
  <c r="B331" i="3"/>
  <c r="A331" i="3"/>
  <c r="M330" i="3"/>
  <c r="L330" i="3"/>
  <c r="K330" i="3"/>
  <c r="J330" i="3"/>
  <c r="I330" i="3"/>
  <c r="H330" i="3"/>
  <c r="G330" i="3"/>
  <c r="F330" i="3"/>
  <c r="E330" i="3"/>
  <c r="D330" i="3"/>
  <c r="C330" i="3"/>
  <c r="B330" i="3"/>
  <c r="A330" i="3"/>
  <c r="M329" i="3"/>
  <c r="L329" i="3"/>
  <c r="K329" i="3"/>
  <c r="J329" i="3"/>
  <c r="I329" i="3"/>
  <c r="H329" i="3"/>
  <c r="G329" i="3"/>
  <c r="F329" i="3"/>
  <c r="E329" i="3"/>
  <c r="D329" i="3"/>
  <c r="C329" i="3"/>
  <c r="B329" i="3"/>
  <c r="A329" i="3"/>
  <c r="M328" i="3"/>
  <c r="L328" i="3"/>
  <c r="K328" i="3"/>
  <c r="J328" i="3"/>
  <c r="I328" i="3"/>
  <c r="H328" i="3"/>
  <c r="G328" i="3"/>
  <c r="F328" i="3"/>
  <c r="E328" i="3"/>
  <c r="D328" i="3"/>
  <c r="C328" i="3"/>
  <c r="B328" i="3"/>
  <c r="A328" i="3"/>
  <c r="M327" i="3"/>
  <c r="L327" i="3"/>
  <c r="K327" i="3"/>
  <c r="J327" i="3"/>
  <c r="I327" i="3"/>
  <c r="H327" i="3"/>
  <c r="G327" i="3"/>
  <c r="F327" i="3"/>
  <c r="E327" i="3"/>
  <c r="D327" i="3"/>
  <c r="C327" i="3"/>
  <c r="B327" i="3"/>
  <c r="A327" i="3"/>
  <c r="M326" i="3"/>
  <c r="L326" i="3"/>
  <c r="K326" i="3"/>
  <c r="J326" i="3"/>
  <c r="I326" i="3"/>
  <c r="H326" i="3"/>
  <c r="G326" i="3"/>
  <c r="F326" i="3"/>
  <c r="E326" i="3"/>
  <c r="D326" i="3"/>
  <c r="C326" i="3"/>
  <c r="B326" i="3"/>
  <c r="A326" i="3"/>
  <c r="M325" i="3"/>
  <c r="L325" i="3"/>
  <c r="K325" i="3"/>
  <c r="J325" i="3"/>
  <c r="I325" i="3"/>
  <c r="H325" i="3"/>
  <c r="G325" i="3"/>
  <c r="F325" i="3"/>
  <c r="E325" i="3"/>
  <c r="D325" i="3"/>
  <c r="C325" i="3"/>
  <c r="B325" i="3"/>
  <c r="A325" i="3"/>
  <c r="M324" i="3"/>
  <c r="L324" i="3"/>
  <c r="K324" i="3"/>
  <c r="J324" i="3"/>
  <c r="I324" i="3"/>
  <c r="H324" i="3"/>
  <c r="G324" i="3"/>
  <c r="F324" i="3"/>
  <c r="E324" i="3"/>
  <c r="D324" i="3"/>
  <c r="C324" i="3"/>
  <c r="B324" i="3"/>
  <c r="A324" i="3"/>
  <c r="M323" i="3"/>
  <c r="L323" i="3"/>
  <c r="K323" i="3"/>
  <c r="J323" i="3"/>
  <c r="I323" i="3"/>
  <c r="H323" i="3"/>
  <c r="G323" i="3"/>
  <c r="F323" i="3"/>
  <c r="E323" i="3"/>
  <c r="D323" i="3"/>
  <c r="C323" i="3"/>
  <c r="B323" i="3"/>
  <c r="A323" i="3"/>
  <c r="M322" i="3"/>
  <c r="L322" i="3"/>
  <c r="K322" i="3"/>
  <c r="J322" i="3"/>
  <c r="I322" i="3"/>
  <c r="H322" i="3"/>
  <c r="G322" i="3"/>
  <c r="F322" i="3"/>
  <c r="E322" i="3"/>
  <c r="D322" i="3"/>
  <c r="C322" i="3"/>
  <c r="B322" i="3"/>
  <c r="A322" i="3"/>
  <c r="M321" i="3"/>
  <c r="L321" i="3"/>
  <c r="K321" i="3"/>
  <c r="J321" i="3"/>
  <c r="I321" i="3"/>
  <c r="H321" i="3"/>
  <c r="G321" i="3"/>
  <c r="F321" i="3"/>
  <c r="E321" i="3"/>
  <c r="D321" i="3"/>
  <c r="C321" i="3"/>
  <c r="B321" i="3"/>
  <c r="A321" i="3"/>
  <c r="M320" i="3"/>
  <c r="L320" i="3"/>
  <c r="K320" i="3"/>
  <c r="J320" i="3"/>
  <c r="I320" i="3"/>
  <c r="H320" i="3"/>
  <c r="G320" i="3"/>
  <c r="F320" i="3"/>
  <c r="E320" i="3"/>
  <c r="D320" i="3"/>
  <c r="C320" i="3"/>
  <c r="B320" i="3"/>
  <c r="A320" i="3"/>
  <c r="M319" i="3"/>
  <c r="L319" i="3"/>
  <c r="K319" i="3"/>
  <c r="J319" i="3"/>
  <c r="I319" i="3"/>
  <c r="H319" i="3"/>
  <c r="G319" i="3"/>
  <c r="F319" i="3"/>
  <c r="E319" i="3"/>
  <c r="D319" i="3"/>
  <c r="C319" i="3"/>
  <c r="B319" i="3"/>
  <c r="A319" i="3"/>
  <c r="M318" i="3"/>
  <c r="L318" i="3"/>
  <c r="K318" i="3"/>
  <c r="J318" i="3"/>
  <c r="I318" i="3"/>
  <c r="H318" i="3"/>
  <c r="G318" i="3"/>
  <c r="F318" i="3"/>
  <c r="E318" i="3"/>
  <c r="D318" i="3"/>
  <c r="C318" i="3"/>
  <c r="B318" i="3"/>
  <c r="A318" i="3"/>
  <c r="M317" i="3"/>
  <c r="L317" i="3"/>
  <c r="K317" i="3"/>
  <c r="J317" i="3"/>
  <c r="I317" i="3"/>
  <c r="H317" i="3"/>
  <c r="G317" i="3"/>
  <c r="F317" i="3"/>
  <c r="E317" i="3"/>
  <c r="D317" i="3"/>
  <c r="C317" i="3"/>
  <c r="B317" i="3"/>
  <c r="A317" i="3"/>
  <c r="M316" i="3"/>
  <c r="L316" i="3"/>
  <c r="K316" i="3"/>
  <c r="J316" i="3"/>
  <c r="I316" i="3"/>
  <c r="H316" i="3"/>
  <c r="G316" i="3"/>
  <c r="F316" i="3"/>
  <c r="E316" i="3"/>
  <c r="D316" i="3"/>
  <c r="C316" i="3"/>
  <c r="B316" i="3"/>
  <c r="A316" i="3"/>
  <c r="M315" i="3"/>
  <c r="L315" i="3"/>
  <c r="K315" i="3"/>
  <c r="J315" i="3"/>
  <c r="I315" i="3"/>
  <c r="H315" i="3"/>
  <c r="G315" i="3"/>
  <c r="F315" i="3"/>
  <c r="E315" i="3"/>
  <c r="D315" i="3"/>
  <c r="C315" i="3"/>
  <c r="B315" i="3"/>
  <c r="A315" i="3"/>
  <c r="M314" i="3"/>
  <c r="L314" i="3"/>
  <c r="K314" i="3"/>
  <c r="J314" i="3"/>
  <c r="I314" i="3"/>
  <c r="H314" i="3"/>
  <c r="G314" i="3"/>
  <c r="F314" i="3"/>
  <c r="E314" i="3"/>
  <c r="D314" i="3"/>
  <c r="C314" i="3"/>
  <c r="B314" i="3"/>
  <c r="A314" i="3"/>
  <c r="M313" i="3"/>
  <c r="L313" i="3"/>
  <c r="K313" i="3"/>
  <c r="J313" i="3"/>
  <c r="I313" i="3"/>
  <c r="H313" i="3"/>
  <c r="G313" i="3"/>
  <c r="F313" i="3"/>
  <c r="E313" i="3"/>
  <c r="D313" i="3"/>
  <c r="C313" i="3"/>
  <c r="B313" i="3"/>
  <c r="A313" i="3"/>
  <c r="M312" i="3"/>
  <c r="L312" i="3"/>
  <c r="K312" i="3"/>
  <c r="J312" i="3"/>
  <c r="I312" i="3"/>
  <c r="H312" i="3"/>
  <c r="G312" i="3"/>
  <c r="F312" i="3"/>
  <c r="E312" i="3"/>
  <c r="D312" i="3"/>
  <c r="C312" i="3"/>
  <c r="B312" i="3"/>
  <c r="A312" i="3"/>
  <c r="M311" i="3"/>
  <c r="L311" i="3"/>
  <c r="K311" i="3"/>
  <c r="J311" i="3"/>
  <c r="I311" i="3"/>
  <c r="H311" i="3"/>
  <c r="G311" i="3"/>
  <c r="F311" i="3"/>
  <c r="E311" i="3"/>
  <c r="D311" i="3"/>
  <c r="C311" i="3"/>
  <c r="B311" i="3"/>
  <c r="A311" i="3"/>
  <c r="M310" i="3"/>
  <c r="L310" i="3"/>
  <c r="K310" i="3"/>
  <c r="J310" i="3"/>
  <c r="I310" i="3"/>
  <c r="H310" i="3"/>
  <c r="G310" i="3"/>
  <c r="F310" i="3"/>
  <c r="E310" i="3"/>
  <c r="D310" i="3"/>
  <c r="C310" i="3"/>
  <c r="B310" i="3"/>
  <c r="A310" i="3"/>
  <c r="M309" i="3"/>
  <c r="L309" i="3"/>
  <c r="K309" i="3"/>
  <c r="J309" i="3"/>
  <c r="I309" i="3"/>
  <c r="H309" i="3"/>
  <c r="G309" i="3"/>
  <c r="F309" i="3"/>
  <c r="E309" i="3"/>
  <c r="D309" i="3"/>
  <c r="C309" i="3"/>
  <c r="B309" i="3"/>
  <c r="A309" i="3"/>
  <c r="M308" i="3"/>
  <c r="L308" i="3"/>
  <c r="K308" i="3"/>
  <c r="J308" i="3"/>
  <c r="I308" i="3"/>
  <c r="H308" i="3"/>
  <c r="G308" i="3"/>
  <c r="F308" i="3"/>
  <c r="E308" i="3"/>
  <c r="D308" i="3"/>
  <c r="C308" i="3"/>
  <c r="B308" i="3"/>
  <c r="A308" i="3"/>
  <c r="M307" i="3"/>
  <c r="L307" i="3"/>
  <c r="K307" i="3"/>
  <c r="J307" i="3"/>
  <c r="I307" i="3"/>
  <c r="H307" i="3"/>
  <c r="G307" i="3"/>
  <c r="F307" i="3"/>
  <c r="E307" i="3"/>
  <c r="D307" i="3"/>
  <c r="C307" i="3"/>
  <c r="B307" i="3"/>
  <c r="A307" i="3"/>
  <c r="M306" i="3"/>
  <c r="L306" i="3"/>
  <c r="K306" i="3"/>
  <c r="J306" i="3"/>
  <c r="I306" i="3"/>
  <c r="H306" i="3"/>
  <c r="G306" i="3"/>
  <c r="F306" i="3"/>
  <c r="E306" i="3"/>
  <c r="D306" i="3"/>
  <c r="C306" i="3"/>
  <c r="B306" i="3"/>
  <c r="A306" i="3"/>
  <c r="M305" i="3"/>
  <c r="L305" i="3"/>
  <c r="K305" i="3"/>
  <c r="J305" i="3"/>
  <c r="I305" i="3"/>
  <c r="H305" i="3"/>
  <c r="G305" i="3"/>
  <c r="F305" i="3"/>
  <c r="E305" i="3"/>
  <c r="D305" i="3"/>
  <c r="C305" i="3"/>
  <c r="B305" i="3"/>
  <c r="A305" i="3"/>
  <c r="M304" i="3"/>
  <c r="L304" i="3"/>
  <c r="K304" i="3"/>
  <c r="J304" i="3"/>
  <c r="I304" i="3"/>
  <c r="H304" i="3"/>
  <c r="G304" i="3"/>
  <c r="F304" i="3"/>
  <c r="E304" i="3"/>
  <c r="D304" i="3"/>
  <c r="C304" i="3"/>
  <c r="B304" i="3"/>
  <c r="A304" i="3"/>
  <c r="M303" i="3"/>
  <c r="L303" i="3"/>
  <c r="K303" i="3"/>
  <c r="J303" i="3"/>
  <c r="I303" i="3"/>
  <c r="H303" i="3"/>
  <c r="G303" i="3"/>
  <c r="F303" i="3"/>
  <c r="E303" i="3"/>
  <c r="D303" i="3"/>
  <c r="C303" i="3"/>
  <c r="B303" i="3"/>
  <c r="A303" i="3"/>
  <c r="M302" i="3"/>
  <c r="L302" i="3"/>
  <c r="K302" i="3"/>
  <c r="J302" i="3"/>
  <c r="I302" i="3"/>
  <c r="H302" i="3"/>
  <c r="G302" i="3"/>
  <c r="F302" i="3"/>
  <c r="E302" i="3"/>
  <c r="D302" i="3"/>
  <c r="C302" i="3"/>
  <c r="B302" i="3"/>
  <c r="A302" i="3"/>
  <c r="M301" i="3"/>
  <c r="L301" i="3"/>
  <c r="K301" i="3"/>
  <c r="J301" i="3"/>
  <c r="I301" i="3"/>
  <c r="H301" i="3"/>
  <c r="G301" i="3"/>
  <c r="F301" i="3"/>
  <c r="E301" i="3"/>
  <c r="D301" i="3"/>
  <c r="C301" i="3"/>
  <c r="B301" i="3"/>
  <c r="A301" i="3"/>
  <c r="M300" i="3"/>
  <c r="L300" i="3"/>
  <c r="K300" i="3"/>
  <c r="J300" i="3"/>
  <c r="I300" i="3"/>
  <c r="H300" i="3"/>
  <c r="G300" i="3"/>
  <c r="F300" i="3"/>
  <c r="E300" i="3"/>
  <c r="D300" i="3"/>
  <c r="C300" i="3"/>
  <c r="B300" i="3"/>
  <c r="A300" i="3"/>
  <c r="M299" i="3"/>
  <c r="L299" i="3"/>
  <c r="K299" i="3"/>
  <c r="J299" i="3"/>
  <c r="I299" i="3"/>
  <c r="H299" i="3"/>
  <c r="G299" i="3"/>
  <c r="F299" i="3"/>
  <c r="E299" i="3"/>
  <c r="D299" i="3"/>
  <c r="C299" i="3"/>
  <c r="B299" i="3"/>
  <c r="A299" i="3"/>
  <c r="M298" i="3"/>
  <c r="L298" i="3"/>
  <c r="K298" i="3"/>
  <c r="J298" i="3"/>
  <c r="I298" i="3"/>
  <c r="H298" i="3"/>
  <c r="G298" i="3"/>
  <c r="F298" i="3"/>
  <c r="E298" i="3"/>
  <c r="D298" i="3"/>
  <c r="C298" i="3"/>
  <c r="B298" i="3"/>
  <c r="A298" i="3"/>
  <c r="M297" i="3"/>
  <c r="L297" i="3"/>
  <c r="K297" i="3"/>
  <c r="J297" i="3"/>
  <c r="I297" i="3"/>
  <c r="H297" i="3"/>
  <c r="G297" i="3"/>
  <c r="F297" i="3"/>
  <c r="E297" i="3"/>
  <c r="D297" i="3"/>
  <c r="C297" i="3"/>
  <c r="B297" i="3"/>
  <c r="A297" i="3"/>
  <c r="M296" i="3"/>
  <c r="L296" i="3"/>
  <c r="K296" i="3"/>
  <c r="J296" i="3"/>
  <c r="I296" i="3"/>
  <c r="H296" i="3"/>
  <c r="G296" i="3"/>
  <c r="F296" i="3"/>
  <c r="E296" i="3"/>
  <c r="D296" i="3"/>
  <c r="C296" i="3"/>
  <c r="B296" i="3"/>
  <c r="A296" i="3"/>
  <c r="M295" i="3"/>
  <c r="L295" i="3"/>
  <c r="K295" i="3"/>
  <c r="J295" i="3"/>
  <c r="I295" i="3"/>
  <c r="H295" i="3"/>
  <c r="G295" i="3"/>
  <c r="F295" i="3"/>
  <c r="E295" i="3"/>
  <c r="D295" i="3"/>
  <c r="C295" i="3"/>
  <c r="B295" i="3"/>
  <c r="A295" i="3"/>
  <c r="M294" i="3"/>
  <c r="L294" i="3"/>
  <c r="K294" i="3"/>
  <c r="J294" i="3"/>
  <c r="I294" i="3"/>
  <c r="H294" i="3"/>
  <c r="G294" i="3"/>
  <c r="F294" i="3"/>
  <c r="E294" i="3"/>
  <c r="D294" i="3"/>
  <c r="C294" i="3"/>
  <c r="B294" i="3"/>
  <c r="A294" i="3"/>
  <c r="M293" i="3"/>
  <c r="L293" i="3"/>
  <c r="K293" i="3"/>
  <c r="J293" i="3"/>
  <c r="I293" i="3"/>
  <c r="H293" i="3"/>
  <c r="G293" i="3"/>
  <c r="F293" i="3"/>
  <c r="E293" i="3"/>
  <c r="D293" i="3"/>
  <c r="C293" i="3"/>
  <c r="B293" i="3"/>
  <c r="A293" i="3"/>
  <c r="M292" i="3"/>
  <c r="L292" i="3"/>
  <c r="K292" i="3"/>
  <c r="J292" i="3"/>
  <c r="I292" i="3"/>
  <c r="H292" i="3"/>
  <c r="G292" i="3"/>
  <c r="F292" i="3"/>
  <c r="E292" i="3"/>
  <c r="D292" i="3"/>
  <c r="C292" i="3"/>
  <c r="B292" i="3"/>
  <c r="A292" i="3"/>
  <c r="M291" i="3"/>
  <c r="L291" i="3"/>
  <c r="K291" i="3"/>
  <c r="J291" i="3"/>
  <c r="I291" i="3"/>
  <c r="H291" i="3"/>
  <c r="G291" i="3"/>
  <c r="F291" i="3"/>
  <c r="E291" i="3"/>
  <c r="D291" i="3"/>
  <c r="C291" i="3"/>
  <c r="B291" i="3"/>
  <c r="A291" i="3"/>
  <c r="M290" i="3"/>
  <c r="L290" i="3"/>
  <c r="K290" i="3"/>
  <c r="J290" i="3"/>
  <c r="I290" i="3"/>
  <c r="H290" i="3"/>
  <c r="G290" i="3"/>
  <c r="F290" i="3"/>
  <c r="E290" i="3"/>
  <c r="D290" i="3"/>
  <c r="C290" i="3"/>
  <c r="B290" i="3"/>
  <c r="A290" i="3"/>
  <c r="M289" i="3"/>
  <c r="L289" i="3"/>
  <c r="K289" i="3"/>
  <c r="J289" i="3"/>
  <c r="I289" i="3"/>
  <c r="H289" i="3"/>
  <c r="G289" i="3"/>
  <c r="F289" i="3"/>
  <c r="E289" i="3"/>
  <c r="D289" i="3"/>
  <c r="C289" i="3"/>
  <c r="B289" i="3"/>
  <c r="A289" i="3"/>
  <c r="M288" i="3"/>
  <c r="L288" i="3"/>
  <c r="K288" i="3"/>
  <c r="J288" i="3"/>
  <c r="I288" i="3"/>
  <c r="H288" i="3"/>
  <c r="G288" i="3"/>
  <c r="F288" i="3"/>
  <c r="E288" i="3"/>
  <c r="D288" i="3"/>
  <c r="C288" i="3"/>
  <c r="B288" i="3"/>
  <c r="A288" i="3"/>
  <c r="M287" i="3"/>
  <c r="L287" i="3"/>
  <c r="K287" i="3"/>
  <c r="J287" i="3"/>
  <c r="I287" i="3"/>
  <c r="H287" i="3"/>
  <c r="G287" i="3"/>
  <c r="F287" i="3"/>
  <c r="E287" i="3"/>
  <c r="D287" i="3"/>
  <c r="C287" i="3"/>
  <c r="B287" i="3"/>
  <c r="A287" i="3"/>
  <c r="M286" i="3"/>
  <c r="L286" i="3"/>
  <c r="K286" i="3"/>
  <c r="J286" i="3"/>
  <c r="I286" i="3"/>
  <c r="H286" i="3"/>
  <c r="G286" i="3"/>
  <c r="F286" i="3"/>
  <c r="E286" i="3"/>
  <c r="D286" i="3"/>
  <c r="C286" i="3"/>
  <c r="B286" i="3"/>
  <c r="A286" i="3"/>
  <c r="M285" i="3"/>
  <c r="L285" i="3"/>
  <c r="K285" i="3"/>
  <c r="J285" i="3"/>
  <c r="I285" i="3"/>
  <c r="H285" i="3"/>
  <c r="G285" i="3"/>
  <c r="F285" i="3"/>
  <c r="E285" i="3"/>
  <c r="D285" i="3"/>
  <c r="C285" i="3"/>
  <c r="B285" i="3"/>
  <c r="A285" i="3"/>
  <c r="M284" i="3"/>
  <c r="L284" i="3"/>
  <c r="K284" i="3"/>
  <c r="J284" i="3"/>
  <c r="I284" i="3"/>
  <c r="H284" i="3"/>
  <c r="G284" i="3"/>
  <c r="F284" i="3"/>
  <c r="E284" i="3"/>
  <c r="D284" i="3"/>
  <c r="C284" i="3"/>
  <c r="B284" i="3"/>
  <c r="A284" i="3"/>
  <c r="M283" i="3"/>
  <c r="L283" i="3"/>
  <c r="K283" i="3"/>
  <c r="J283" i="3"/>
  <c r="I283" i="3"/>
  <c r="H283" i="3"/>
  <c r="G283" i="3"/>
  <c r="F283" i="3"/>
  <c r="E283" i="3"/>
  <c r="D283" i="3"/>
  <c r="C283" i="3"/>
  <c r="B283" i="3"/>
  <c r="A283" i="3"/>
  <c r="M282" i="3"/>
  <c r="L282" i="3"/>
  <c r="K282" i="3"/>
  <c r="J282" i="3"/>
  <c r="I282" i="3"/>
  <c r="H282" i="3"/>
  <c r="G282" i="3"/>
  <c r="F282" i="3"/>
  <c r="E282" i="3"/>
  <c r="D282" i="3"/>
  <c r="C282" i="3"/>
  <c r="B282" i="3"/>
  <c r="A282" i="3"/>
  <c r="M281" i="3"/>
  <c r="L281" i="3"/>
  <c r="K281" i="3"/>
  <c r="J281" i="3"/>
  <c r="I281" i="3"/>
  <c r="H281" i="3"/>
  <c r="G281" i="3"/>
  <c r="F281" i="3"/>
  <c r="E281" i="3"/>
  <c r="D281" i="3"/>
  <c r="C281" i="3"/>
  <c r="B281" i="3"/>
  <c r="A281" i="3"/>
  <c r="M280" i="3"/>
  <c r="L280" i="3"/>
  <c r="K280" i="3"/>
  <c r="J280" i="3"/>
  <c r="I280" i="3"/>
  <c r="H280" i="3"/>
  <c r="G280" i="3"/>
  <c r="F280" i="3"/>
  <c r="E280" i="3"/>
  <c r="D280" i="3"/>
  <c r="C280" i="3"/>
  <c r="B280" i="3"/>
  <c r="A280" i="3"/>
  <c r="M279" i="3"/>
  <c r="L279" i="3"/>
  <c r="K279" i="3"/>
  <c r="J279" i="3"/>
  <c r="I279" i="3"/>
  <c r="H279" i="3"/>
  <c r="G279" i="3"/>
  <c r="F279" i="3"/>
  <c r="E279" i="3"/>
  <c r="D279" i="3"/>
  <c r="C279" i="3"/>
  <c r="B279" i="3"/>
  <c r="A279" i="3"/>
  <c r="M278" i="3"/>
  <c r="L278" i="3"/>
  <c r="K278" i="3"/>
  <c r="J278" i="3"/>
  <c r="I278" i="3"/>
  <c r="H278" i="3"/>
  <c r="G278" i="3"/>
  <c r="F278" i="3"/>
  <c r="E278" i="3"/>
  <c r="D278" i="3"/>
  <c r="C278" i="3"/>
  <c r="B278" i="3"/>
  <c r="A278" i="3"/>
  <c r="M277" i="3"/>
  <c r="L277" i="3"/>
  <c r="K277" i="3"/>
  <c r="J277" i="3"/>
  <c r="I277" i="3"/>
  <c r="H277" i="3"/>
  <c r="G277" i="3"/>
  <c r="F277" i="3"/>
  <c r="E277" i="3"/>
  <c r="D277" i="3"/>
  <c r="C277" i="3"/>
  <c r="B277" i="3"/>
  <c r="A277" i="3"/>
  <c r="M276" i="3"/>
  <c r="L276" i="3"/>
  <c r="K276" i="3"/>
  <c r="J276" i="3"/>
  <c r="I276" i="3"/>
  <c r="H276" i="3"/>
  <c r="G276" i="3"/>
  <c r="F276" i="3"/>
  <c r="E276" i="3"/>
  <c r="D276" i="3"/>
  <c r="C276" i="3"/>
  <c r="B276" i="3"/>
  <c r="A276" i="3"/>
  <c r="M275" i="3"/>
  <c r="L275" i="3"/>
  <c r="K275" i="3"/>
  <c r="J275" i="3"/>
  <c r="I275" i="3"/>
  <c r="H275" i="3"/>
  <c r="G275" i="3"/>
  <c r="F275" i="3"/>
  <c r="E275" i="3"/>
  <c r="D275" i="3"/>
  <c r="C275" i="3"/>
  <c r="B275" i="3"/>
  <c r="A275" i="3"/>
  <c r="M274" i="3"/>
  <c r="L274" i="3"/>
  <c r="K274" i="3"/>
  <c r="J274" i="3"/>
  <c r="I274" i="3"/>
  <c r="H274" i="3"/>
  <c r="G274" i="3"/>
  <c r="F274" i="3"/>
  <c r="E274" i="3"/>
  <c r="D274" i="3"/>
  <c r="C274" i="3"/>
  <c r="B274" i="3"/>
  <c r="A274" i="3"/>
  <c r="M273" i="3"/>
  <c r="L273" i="3"/>
  <c r="K273" i="3"/>
  <c r="J273" i="3"/>
  <c r="I273" i="3"/>
  <c r="H273" i="3"/>
  <c r="G273" i="3"/>
  <c r="F273" i="3"/>
  <c r="E273" i="3"/>
  <c r="D273" i="3"/>
  <c r="C273" i="3"/>
  <c r="B273" i="3"/>
  <c r="A273" i="3"/>
  <c r="M272" i="3"/>
  <c r="L272" i="3"/>
  <c r="K272" i="3"/>
  <c r="J272" i="3"/>
  <c r="I272" i="3"/>
  <c r="H272" i="3"/>
  <c r="G272" i="3"/>
  <c r="F272" i="3"/>
  <c r="E272" i="3"/>
  <c r="D272" i="3"/>
  <c r="C272" i="3"/>
  <c r="B272" i="3"/>
  <c r="A272" i="3"/>
  <c r="M271" i="3"/>
  <c r="L271" i="3"/>
  <c r="K271" i="3"/>
  <c r="J271" i="3"/>
  <c r="I271" i="3"/>
  <c r="H271" i="3"/>
  <c r="G271" i="3"/>
  <c r="F271" i="3"/>
  <c r="E271" i="3"/>
  <c r="D271" i="3"/>
  <c r="C271" i="3"/>
  <c r="B271" i="3"/>
  <c r="A271" i="3"/>
  <c r="M270" i="3"/>
  <c r="L270" i="3"/>
  <c r="K270" i="3"/>
  <c r="J270" i="3"/>
  <c r="I270" i="3"/>
  <c r="H270" i="3"/>
  <c r="G270" i="3"/>
  <c r="F270" i="3"/>
  <c r="E270" i="3"/>
  <c r="D270" i="3"/>
  <c r="C270" i="3"/>
  <c r="B270" i="3"/>
  <c r="A270" i="3"/>
  <c r="M269" i="3"/>
  <c r="L269" i="3"/>
  <c r="K269" i="3"/>
  <c r="J269" i="3"/>
  <c r="I269" i="3"/>
  <c r="H269" i="3"/>
  <c r="G269" i="3"/>
  <c r="F269" i="3"/>
  <c r="E269" i="3"/>
  <c r="D269" i="3"/>
  <c r="C269" i="3"/>
  <c r="B269" i="3"/>
  <c r="A269" i="3"/>
  <c r="M268" i="3"/>
  <c r="L268" i="3"/>
  <c r="K268" i="3"/>
  <c r="J268" i="3"/>
  <c r="I268" i="3"/>
  <c r="H268" i="3"/>
  <c r="G268" i="3"/>
  <c r="F268" i="3"/>
  <c r="E268" i="3"/>
  <c r="D268" i="3"/>
  <c r="C268" i="3"/>
  <c r="B268" i="3"/>
  <c r="A268" i="3"/>
  <c r="M267" i="3"/>
  <c r="L267" i="3"/>
  <c r="K267" i="3"/>
  <c r="J267" i="3"/>
  <c r="I267" i="3"/>
  <c r="H267" i="3"/>
  <c r="G267" i="3"/>
  <c r="F267" i="3"/>
  <c r="E267" i="3"/>
  <c r="D267" i="3"/>
  <c r="C267" i="3"/>
  <c r="B267" i="3"/>
  <c r="A267" i="3"/>
  <c r="M266" i="3"/>
  <c r="L266" i="3"/>
  <c r="K266" i="3"/>
  <c r="J266" i="3"/>
  <c r="I266" i="3"/>
  <c r="H266" i="3"/>
  <c r="G266" i="3"/>
  <c r="F266" i="3"/>
  <c r="E266" i="3"/>
  <c r="D266" i="3"/>
  <c r="C266" i="3"/>
  <c r="B266" i="3"/>
  <c r="A266" i="3"/>
  <c r="M265" i="3"/>
  <c r="L265" i="3"/>
  <c r="K265" i="3"/>
  <c r="J265" i="3"/>
  <c r="I265" i="3"/>
  <c r="H265" i="3"/>
  <c r="G265" i="3"/>
  <c r="F265" i="3"/>
  <c r="E265" i="3"/>
  <c r="D265" i="3"/>
  <c r="C265" i="3"/>
  <c r="B265" i="3"/>
  <c r="A265" i="3"/>
  <c r="M264" i="3"/>
  <c r="L264" i="3"/>
  <c r="K264" i="3"/>
  <c r="J264" i="3"/>
  <c r="I264" i="3"/>
  <c r="H264" i="3"/>
  <c r="G264" i="3"/>
  <c r="F264" i="3"/>
  <c r="E264" i="3"/>
  <c r="D264" i="3"/>
  <c r="C264" i="3"/>
  <c r="B264" i="3"/>
  <c r="A264" i="3"/>
  <c r="M263" i="3"/>
  <c r="L263" i="3"/>
  <c r="K263" i="3"/>
  <c r="J263" i="3"/>
  <c r="I263" i="3"/>
  <c r="H263" i="3"/>
  <c r="G263" i="3"/>
  <c r="F263" i="3"/>
  <c r="E263" i="3"/>
  <c r="D263" i="3"/>
  <c r="C263" i="3"/>
  <c r="B263" i="3"/>
  <c r="A263" i="3"/>
  <c r="M262" i="3"/>
  <c r="L262" i="3"/>
  <c r="K262" i="3"/>
  <c r="J262" i="3"/>
  <c r="I262" i="3"/>
  <c r="H262" i="3"/>
  <c r="G262" i="3"/>
  <c r="F262" i="3"/>
  <c r="E262" i="3"/>
  <c r="D262" i="3"/>
  <c r="C262" i="3"/>
  <c r="B262" i="3"/>
  <c r="A262" i="3"/>
  <c r="M261" i="3"/>
  <c r="L261" i="3"/>
  <c r="K261" i="3"/>
  <c r="J261" i="3"/>
  <c r="I261" i="3"/>
  <c r="H261" i="3"/>
  <c r="G261" i="3"/>
  <c r="F261" i="3"/>
  <c r="E261" i="3"/>
  <c r="D261" i="3"/>
  <c r="C261" i="3"/>
  <c r="B261" i="3"/>
  <c r="A261" i="3"/>
  <c r="M260" i="3"/>
  <c r="L260" i="3"/>
  <c r="K260" i="3"/>
  <c r="J260" i="3"/>
  <c r="I260" i="3"/>
  <c r="H260" i="3"/>
  <c r="G260" i="3"/>
  <c r="F260" i="3"/>
  <c r="E260" i="3"/>
  <c r="D260" i="3"/>
  <c r="C260" i="3"/>
  <c r="B260" i="3"/>
  <c r="A260" i="3"/>
  <c r="M259" i="3"/>
  <c r="L259" i="3"/>
  <c r="K259" i="3"/>
  <c r="J259" i="3"/>
  <c r="I259" i="3"/>
  <c r="H259" i="3"/>
  <c r="G259" i="3"/>
  <c r="F259" i="3"/>
  <c r="E259" i="3"/>
  <c r="D259" i="3"/>
  <c r="C259" i="3"/>
  <c r="B259" i="3"/>
  <c r="A259" i="3"/>
  <c r="M258" i="3"/>
  <c r="L258" i="3"/>
  <c r="K258" i="3"/>
  <c r="J258" i="3"/>
  <c r="I258" i="3"/>
  <c r="H258" i="3"/>
  <c r="G258" i="3"/>
  <c r="F258" i="3"/>
  <c r="E258" i="3"/>
  <c r="D258" i="3"/>
  <c r="C258" i="3"/>
  <c r="B258" i="3"/>
  <c r="A258" i="3"/>
  <c r="M257" i="3"/>
  <c r="L257" i="3"/>
  <c r="K257" i="3"/>
  <c r="J257" i="3"/>
  <c r="I257" i="3"/>
  <c r="H257" i="3"/>
  <c r="G257" i="3"/>
  <c r="F257" i="3"/>
  <c r="E257" i="3"/>
  <c r="D257" i="3"/>
  <c r="C257" i="3"/>
  <c r="B257" i="3"/>
  <c r="A257" i="3"/>
  <c r="M256" i="3"/>
  <c r="L256" i="3"/>
  <c r="K256" i="3"/>
  <c r="J256" i="3"/>
  <c r="I256" i="3"/>
  <c r="H256" i="3"/>
  <c r="G256" i="3"/>
  <c r="F256" i="3"/>
  <c r="E256" i="3"/>
  <c r="D256" i="3"/>
  <c r="C256" i="3"/>
  <c r="B256" i="3"/>
  <c r="A256" i="3"/>
  <c r="M255" i="3"/>
  <c r="L255" i="3"/>
  <c r="K255" i="3"/>
  <c r="J255" i="3"/>
  <c r="I255" i="3"/>
  <c r="H255" i="3"/>
  <c r="G255" i="3"/>
  <c r="F255" i="3"/>
  <c r="E255" i="3"/>
  <c r="D255" i="3"/>
  <c r="C255" i="3"/>
  <c r="B255" i="3"/>
  <c r="A255" i="3"/>
  <c r="M254" i="3"/>
  <c r="L254" i="3"/>
  <c r="K254" i="3"/>
  <c r="J254" i="3"/>
  <c r="I254" i="3"/>
  <c r="H254" i="3"/>
  <c r="G254" i="3"/>
  <c r="F254" i="3"/>
  <c r="E254" i="3"/>
  <c r="D254" i="3"/>
  <c r="C254" i="3"/>
  <c r="B254" i="3"/>
  <c r="A254" i="3"/>
  <c r="M253" i="3"/>
  <c r="L253" i="3"/>
  <c r="K253" i="3"/>
  <c r="J253" i="3"/>
  <c r="I253" i="3"/>
  <c r="H253" i="3"/>
  <c r="G253" i="3"/>
  <c r="F253" i="3"/>
  <c r="E253" i="3"/>
  <c r="D253" i="3"/>
  <c r="C253" i="3"/>
  <c r="B253" i="3"/>
  <c r="A253" i="3"/>
  <c r="M252" i="3"/>
  <c r="L252" i="3"/>
  <c r="K252" i="3"/>
  <c r="J252" i="3"/>
  <c r="I252" i="3"/>
  <c r="H252" i="3"/>
  <c r="G252" i="3"/>
  <c r="F252" i="3"/>
  <c r="E252" i="3"/>
  <c r="D252" i="3"/>
  <c r="C252" i="3"/>
  <c r="B252" i="3"/>
  <c r="A252" i="3"/>
  <c r="M251" i="3"/>
  <c r="L251" i="3"/>
  <c r="K251" i="3"/>
  <c r="J251" i="3"/>
  <c r="I251" i="3"/>
  <c r="H251" i="3"/>
  <c r="G251" i="3"/>
  <c r="F251" i="3"/>
  <c r="E251" i="3"/>
  <c r="D251" i="3"/>
  <c r="C251" i="3"/>
  <c r="B251" i="3"/>
  <c r="A251" i="3"/>
  <c r="M250" i="3"/>
  <c r="L250" i="3"/>
  <c r="K250" i="3"/>
  <c r="J250" i="3"/>
  <c r="I250" i="3"/>
  <c r="H250" i="3"/>
  <c r="G250" i="3"/>
  <c r="F250" i="3"/>
  <c r="E250" i="3"/>
  <c r="D250" i="3"/>
  <c r="C250" i="3"/>
  <c r="B250" i="3"/>
  <c r="A250" i="3"/>
  <c r="M249" i="3"/>
  <c r="L249" i="3"/>
  <c r="K249" i="3"/>
  <c r="J249" i="3"/>
  <c r="I249" i="3"/>
  <c r="H249" i="3"/>
  <c r="G249" i="3"/>
  <c r="F249" i="3"/>
  <c r="E249" i="3"/>
  <c r="D249" i="3"/>
  <c r="C249" i="3"/>
  <c r="B249" i="3"/>
  <c r="A249" i="3"/>
  <c r="M248" i="3"/>
  <c r="L248" i="3"/>
  <c r="K248" i="3"/>
  <c r="J248" i="3"/>
  <c r="I248" i="3"/>
  <c r="H248" i="3"/>
  <c r="G248" i="3"/>
  <c r="F248" i="3"/>
  <c r="E248" i="3"/>
  <c r="D248" i="3"/>
  <c r="C248" i="3"/>
  <c r="B248" i="3"/>
  <c r="A248" i="3"/>
  <c r="M247" i="3"/>
  <c r="L247" i="3"/>
  <c r="K247" i="3"/>
  <c r="J247" i="3"/>
  <c r="I247" i="3"/>
  <c r="H247" i="3"/>
  <c r="G247" i="3"/>
  <c r="F247" i="3"/>
  <c r="E247" i="3"/>
  <c r="D247" i="3"/>
  <c r="C247" i="3"/>
  <c r="B247" i="3"/>
  <c r="A247" i="3"/>
  <c r="M246" i="3"/>
  <c r="L246" i="3"/>
  <c r="K246" i="3"/>
  <c r="J246" i="3"/>
  <c r="I246" i="3"/>
  <c r="H246" i="3"/>
  <c r="G246" i="3"/>
  <c r="F246" i="3"/>
  <c r="E246" i="3"/>
  <c r="D246" i="3"/>
  <c r="C246" i="3"/>
  <c r="B246" i="3"/>
  <c r="A246" i="3"/>
  <c r="M245" i="3"/>
  <c r="L245" i="3"/>
  <c r="K245" i="3"/>
  <c r="J245" i="3"/>
  <c r="I245" i="3"/>
  <c r="H245" i="3"/>
  <c r="G245" i="3"/>
  <c r="F245" i="3"/>
  <c r="E245" i="3"/>
  <c r="D245" i="3"/>
  <c r="C245" i="3"/>
  <c r="B245" i="3"/>
  <c r="A245" i="3"/>
  <c r="M244" i="3"/>
  <c r="L244" i="3"/>
  <c r="K244" i="3"/>
  <c r="J244" i="3"/>
  <c r="I244" i="3"/>
  <c r="H244" i="3"/>
  <c r="G244" i="3"/>
  <c r="F244" i="3"/>
  <c r="E244" i="3"/>
  <c r="D244" i="3"/>
  <c r="C244" i="3"/>
  <c r="B244" i="3"/>
  <c r="A244" i="3"/>
  <c r="M243" i="3"/>
  <c r="L243" i="3"/>
  <c r="K243" i="3"/>
  <c r="J243" i="3"/>
  <c r="I243" i="3"/>
  <c r="H243" i="3"/>
  <c r="G243" i="3"/>
  <c r="F243" i="3"/>
  <c r="E243" i="3"/>
  <c r="D243" i="3"/>
  <c r="C243" i="3"/>
  <c r="B243" i="3"/>
  <c r="A243" i="3"/>
  <c r="M242" i="3"/>
  <c r="L242" i="3"/>
  <c r="K242" i="3"/>
  <c r="J242" i="3"/>
  <c r="I242" i="3"/>
  <c r="H242" i="3"/>
  <c r="G242" i="3"/>
  <c r="F242" i="3"/>
  <c r="E242" i="3"/>
  <c r="D242" i="3"/>
  <c r="C242" i="3"/>
  <c r="B242" i="3"/>
  <c r="A242" i="3"/>
  <c r="M241" i="3"/>
  <c r="L241" i="3"/>
  <c r="K241" i="3"/>
  <c r="J241" i="3"/>
  <c r="I241" i="3"/>
  <c r="H241" i="3"/>
  <c r="G241" i="3"/>
  <c r="F241" i="3"/>
  <c r="E241" i="3"/>
  <c r="D241" i="3"/>
  <c r="C241" i="3"/>
  <c r="B241" i="3"/>
  <c r="A241" i="3"/>
  <c r="M240" i="3"/>
  <c r="L240" i="3"/>
  <c r="K240" i="3"/>
  <c r="J240" i="3"/>
  <c r="I240" i="3"/>
  <c r="H240" i="3"/>
  <c r="G240" i="3"/>
  <c r="F240" i="3"/>
  <c r="E240" i="3"/>
  <c r="D240" i="3"/>
  <c r="C240" i="3"/>
  <c r="B240" i="3"/>
  <c r="A240" i="3"/>
  <c r="M239" i="3"/>
  <c r="L239" i="3"/>
  <c r="K239" i="3"/>
  <c r="J239" i="3"/>
  <c r="I239" i="3"/>
  <c r="H239" i="3"/>
  <c r="G239" i="3"/>
  <c r="F239" i="3"/>
  <c r="E239" i="3"/>
  <c r="D239" i="3"/>
  <c r="C239" i="3"/>
  <c r="B239" i="3"/>
  <c r="A239" i="3"/>
  <c r="M238" i="3"/>
  <c r="L238" i="3"/>
  <c r="K238" i="3"/>
  <c r="J238" i="3"/>
  <c r="I238" i="3"/>
  <c r="H238" i="3"/>
  <c r="G238" i="3"/>
  <c r="F238" i="3"/>
  <c r="E238" i="3"/>
  <c r="D238" i="3"/>
  <c r="C238" i="3"/>
  <c r="B238" i="3"/>
  <c r="A238" i="3"/>
  <c r="M237" i="3"/>
  <c r="L237" i="3"/>
  <c r="K237" i="3"/>
  <c r="J237" i="3"/>
  <c r="I237" i="3"/>
  <c r="H237" i="3"/>
  <c r="G237" i="3"/>
  <c r="F237" i="3"/>
  <c r="E237" i="3"/>
  <c r="D237" i="3"/>
  <c r="C237" i="3"/>
  <c r="B237" i="3"/>
  <c r="A237" i="3"/>
  <c r="M236" i="3"/>
  <c r="L236" i="3"/>
  <c r="K236" i="3"/>
  <c r="J236" i="3"/>
  <c r="I236" i="3"/>
  <c r="H236" i="3"/>
  <c r="G236" i="3"/>
  <c r="F236" i="3"/>
  <c r="E236" i="3"/>
  <c r="D236" i="3"/>
  <c r="C236" i="3"/>
  <c r="B236" i="3"/>
  <c r="A236" i="3"/>
  <c r="M235" i="3"/>
  <c r="L235" i="3"/>
  <c r="K235" i="3"/>
  <c r="J235" i="3"/>
  <c r="I235" i="3"/>
  <c r="H235" i="3"/>
  <c r="G235" i="3"/>
  <c r="F235" i="3"/>
  <c r="E235" i="3"/>
  <c r="D235" i="3"/>
  <c r="C235" i="3"/>
  <c r="B235" i="3"/>
  <c r="A235" i="3"/>
  <c r="M234" i="3"/>
  <c r="L234" i="3"/>
  <c r="K234" i="3"/>
  <c r="J234" i="3"/>
  <c r="I234" i="3"/>
  <c r="H234" i="3"/>
  <c r="G234" i="3"/>
  <c r="F234" i="3"/>
  <c r="E234" i="3"/>
  <c r="D234" i="3"/>
  <c r="C234" i="3"/>
  <c r="B234" i="3"/>
  <c r="A234" i="3"/>
  <c r="M233" i="3"/>
  <c r="L233" i="3"/>
  <c r="K233" i="3"/>
  <c r="J233" i="3"/>
  <c r="I233" i="3"/>
  <c r="H233" i="3"/>
  <c r="G233" i="3"/>
  <c r="F233" i="3"/>
  <c r="E233" i="3"/>
  <c r="D233" i="3"/>
  <c r="C233" i="3"/>
  <c r="B233" i="3"/>
  <c r="A233" i="3"/>
  <c r="M232" i="3"/>
  <c r="L232" i="3"/>
  <c r="K232" i="3"/>
  <c r="J232" i="3"/>
  <c r="I232" i="3"/>
  <c r="H232" i="3"/>
  <c r="G232" i="3"/>
  <c r="F232" i="3"/>
  <c r="E232" i="3"/>
  <c r="D232" i="3"/>
  <c r="C232" i="3"/>
  <c r="B232" i="3"/>
  <c r="A232" i="3"/>
  <c r="M231" i="3"/>
  <c r="L231" i="3"/>
  <c r="K231" i="3"/>
  <c r="J231" i="3"/>
  <c r="I231" i="3"/>
  <c r="H231" i="3"/>
  <c r="G231" i="3"/>
  <c r="F231" i="3"/>
  <c r="E231" i="3"/>
  <c r="D231" i="3"/>
  <c r="C231" i="3"/>
  <c r="B231" i="3"/>
  <c r="A231" i="3"/>
  <c r="M230" i="3"/>
  <c r="L230" i="3"/>
  <c r="K230" i="3"/>
  <c r="J230" i="3"/>
  <c r="I230" i="3"/>
  <c r="H230" i="3"/>
  <c r="G230" i="3"/>
  <c r="F230" i="3"/>
  <c r="E230" i="3"/>
  <c r="D230" i="3"/>
  <c r="C230" i="3"/>
  <c r="B230" i="3"/>
  <c r="A230" i="3"/>
  <c r="M229" i="3"/>
  <c r="L229" i="3"/>
  <c r="K229" i="3"/>
  <c r="J229" i="3"/>
  <c r="I229" i="3"/>
  <c r="H229" i="3"/>
  <c r="G229" i="3"/>
  <c r="F229" i="3"/>
  <c r="E229" i="3"/>
  <c r="D229" i="3"/>
  <c r="C229" i="3"/>
  <c r="B229" i="3"/>
  <c r="A229" i="3"/>
  <c r="M228" i="3"/>
  <c r="L228" i="3"/>
  <c r="K228" i="3"/>
  <c r="J228" i="3"/>
  <c r="I228" i="3"/>
  <c r="H228" i="3"/>
  <c r="G228" i="3"/>
  <c r="F228" i="3"/>
  <c r="E228" i="3"/>
  <c r="D228" i="3"/>
  <c r="C228" i="3"/>
  <c r="B228" i="3"/>
  <c r="A228" i="3"/>
  <c r="M227" i="3"/>
  <c r="L227" i="3"/>
  <c r="K227" i="3"/>
  <c r="J227" i="3"/>
  <c r="I227" i="3"/>
  <c r="H227" i="3"/>
  <c r="G227" i="3"/>
  <c r="F227" i="3"/>
  <c r="E227" i="3"/>
  <c r="D227" i="3"/>
  <c r="C227" i="3"/>
  <c r="B227" i="3"/>
  <c r="A227" i="3"/>
  <c r="M226" i="3"/>
  <c r="L226" i="3"/>
  <c r="K226" i="3"/>
  <c r="J226" i="3"/>
  <c r="I226" i="3"/>
  <c r="H226" i="3"/>
  <c r="G226" i="3"/>
  <c r="F226" i="3"/>
  <c r="E226" i="3"/>
  <c r="D226" i="3"/>
  <c r="C226" i="3"/>
  <c r="B226" i="3"/>
  <c r="A226" i="3"/>
  <c r="M225" i="3"/>
  <c r="L225" i="3"/>
  <c r="K225" i="3"/>
  <c r="J225" i="3"/>
  <c r="I225" i="3"/>
  <c r="H225" i="3"/>
  <c r="G225" i="3"/>
  <c r="F225" i="3"/>
  <c r="E225" i="3"/>
  <c r="D225" i="3"/>
  <c r="C225" i="3"/>
  <c r="B225" i="3"/>
  <c r="A225" i="3"/>
  <c r="M224" i="3"/>
  <c r="L224" i="3"/>
  <c r="K224" i="3"/>
  <c r="J224" i="3"/>
  <c r="I224" i="3"/>
  <c r="H224" i="3"/>
  <c r="G224" i="3"/>
  <c r="F224" i="3"/>
  <c r="E224" i="3"/>
  <c r="D224" i="3"/>
  <c r="C224" i="3"/>
  <c r="B224" i="3"/>
  <c r="A224" i="3"/>
  <c r="M223" i="3"/>
  <c r="L223" i="3"/>
  <c r="K223" i="3"/>
  <c r="J223" i="3"/>
  <c r="I223" i="3"/>
  <c r="H223" i="3"/>
  <c r="G223" i="3"/>
  <c r="F223" i="3"/>
  <c r="E223" i="3"/>
  <c r="D223" i="3"/>
  <c r="C223" i="3"/>
  <c r="B223" i="3"/>
  <c r="A223" i="3"/>
  <c r="M222" i="3"/>
  <c r="L222" i="3"/>
  <c r="K222" i="3"/>
  <c r="J222" i="3"/>
  <c r="I222" i="3"/>
  <c r="H222" i="3"/>
  <c r="G222" i="3"/>
  <c r="F222" i="3"/>
  <c r="E222" i="3"/>
  <c r="D222" i="3"/>
  <c r="C222" i="3"/>
  <c r="B222" i="3"/>
  <c r="A222" i="3"/>
  <c r="M221" i="3"/>
  <c r="L221" i="3"/>
  <c r="K221" i="3"/>
  <c r="J221" i="3"/>
  <c r="I221" i="3"/>
  <c r="H221" i="3"/>
  <c r="G221" i="3"/>
  <c r="F221" i="3"/>
  <c r="E221" i="3"/>
  <c r="D221" i="3"/>
  <c r="C221" i="3"/>
  <c r="B221" i="3"/>
  <c r="A221" i="3"/>
  <c r="M220" i="3"/>
  <c r="L220" i="3"/>
  <c r="K220" i="3"/>
  <c r="J220" i="3"/>
  <c r="I220" i="3"/>
  <c r="H220" i="3"/>
  <c r="G220" i="3"/>
  <c r="F220" i="3"/>
  <c r="E220" i="3"/>
  <c r="D220" i="3"/>
  <c r="C220" i="3"/>
  <c r="B220" i="3"/>
  <c r="A220" i="3"/>
  <c r="M219" i="3"/>
  <c r="L219" i="3"/>
  <c r="K219" i="3"/>
  <c r="J219" i="3"/>
  <c r="I219" i="3"/>
  <c r="H219" i="3"/>
  <c r="G219" i="3"/>
  <c r="F219" i="3"/>
  <c r="E219" i="3"/>
  <c r="D219" i="3"/>
  <c r="C219" i="3"/>
  <c r="B219" i="3"/>
  <c r="A219" i="3"/>
  <c r="M218" i="3"/>
  <c r="L218" i="3"/>
  <c r="K218" i="3"/>
  <c r="J218" i="3"/>
  <c r="I218" i="3"/>
  <c r="H218" i="3"/>
  <c r="G218" i="3"/>
  <c r="F218" i="3"/>
  <c r="E218" i="3"/>
  <c r="D218" i="3"/>
  <c r="C218" i="3"/>
  <c r="B218" i="3"/>
  <c r="A218" i="3"/>
  <c r="M217" i="3"/>
  <c r="L217" i="3"/>
  <c r="K217" i="3"/>
  <c r="J217" i="3"/>
  <c r="I217" i="3"/>
  <c r="H217" i="3"/>
  <c r="G217" i="3"/>
  <c r="F217" i="3"/>
  <c r="E217" i="3"/>
  <c r="D217" i="3"/>
  <c r="C217" i="3"/>
  <c r="B217" i="3"/>
  <c r="A217" i="3"/>
  <c r="M216" i="3"/>
  <c r="L216" i="3"/>
  <c r="K216" i="3"/>
  <c r="J216" i="3"/>
  <c r="I216" i="3"/>
  <c r="H216" i="3"/>
  <c r="G216" i="3"/>
  <c r="F216" i="3"/>
  <c r="E216" i="3"/>
  <c r="D216" i="3"/>
  <c r="C216" i="3"/>
  <c r="B216" i="3"/>
  <c r="A216" i="3"/>
  <c r="M215" i="3"/>
  <c r="L215" i="3"/>
  <c r="K215" i="3"/>
  <c r="J215" i="3"/>
  <c r="I215" i="3"/>
  <c r="H215" i="3"/>
  <c r="G215" i="3"/>
  <c r="F215" i="3"/>
  <c r="E215" i="3"/>
  <c r="D215" i="3"/>
  <c r="C215" i="3"/>
  <c r="B215" i="3"/>
  <c r="A215" i="3"/>
  <c r="M214" i="3"/>
  <c r="L214" i="3"/>
  <c r="K214" i="3"/>
  <c r="J214" i="3"/>
  <c r="I214" i="3"/>
  <c r="H214" i="3"/>
  <c r="G214" i="3"/>
  <c r="F214" i="3"/>
  <c r="E214" i="3"/>
  <c r="D214" i="3"/>
  <c r="C214" i="3"/>
  <c r="B214" i="3"/>
  <c r="A214" i="3"/>
  <c r="M213" i="3"/>
  <c r="L213" i="3"/>
  <c r="K213" i="3"/>
  <c r="J213" i="3"/>
  <c r="I213" i="3"/>
  <c r="H213" i="3"/>
  <c r="G213" i="3"/>
  <c r="F213" i="3"/>
  <c r="E213" i="3"/>
  <c r="D213" i="3"/>
  <c r="C213" i="3"/>
  <c r="B213" i="3"/>
  <c r="A213" i="3"/>
  <c r="M212" i="3"/>
  <c r="L212" i="3"/>
  <c r="K212" i="3"/>
  <c r="J212" i="3"/>
  <c r="I212" i="3"/>
  <c r="H212" i="3"/>
  <c r="G212" i="3"/>
  <c r="F212" i="3"/>
  <c r="E212" i="3"/>
  <c r="D212" i="3"/>
  <c r="C212" i="3"/>
  <c r="B212" i="3"/>
  <c r="A212" i="3"/>
  <c r="M211" i="3"/>
  <c r="L211" i="3"/>
  <c r="K211" i="3"/>
  <c r="J211" i="3"/>
  <c r="I211" i="3"/>
  <c r="H211" i="3"/>
  <c r="G211" i="3"/>
  <c r="F211" i="3"/>
  <c r="E211" i="3"/>
  <c r="D211" i="3"/>
  <c r="C211" i="3"/>
  <c r="B211" i="3"/>
  <c r="A211" i="3"/>
  <c r="M210" i="3"/>
  <c r="L210" i="3"/>
  <c r="K210" i="3"/>
  <c r="J210" i="3"/>
  <c r="I210" i="3"/>
  <c r="H210" i="3"/>
  <c r="G210" i="3"/>
  <c r="F210" i="3"/>
  <c r="E210" i="3"/>
  <c r="D210" i="3"/>
  <c r="C210" i="3"/>
  <c r="B210" i="3"/>
  <c r="A210" i="3"/>
  <c r="M209" i="3"/>
  <c r="L209" i="3"/>
  <c r="K209" i="3"/>
  <c r="J209" i="3"/>
  <c r="I209" i="3"/>
  <c r="H209" i="3"/>
  <c r="G209" i="3"/>
  <c r="F209" i="3"/>
  <c r="E209" i="3"/>
  <c r="D209" i="3"/>
  <c r="C209" i="3"/>
  <c r="B209" i="3"/>
  <c r="A209" i="3"/>
  <c r="M208" i="3"/>
  <c r="L208" i="3"/>
  <c r="K208" i="3"/>
  <c r="J208" i="3"/>
  <c r="I208" i="3"/>
  <c r="H208" i="3"/>
  <c r="G208" i="3"/>
  <c r="F208" i="3"/>
  <c r="E208" i="3"/>
  <c r="D208" i="3"/>
  <c r="C208" i="3"/>
  <c r="B208" i="3"/>
  <c r="A208" i="3"/>
  <c r="M207" i="3"/>
  <c r="L207" i="3"/>
  <c r="K207" i="3"/>
  <c r="J207" i="3"/>
  <c r="I207" i="3"/>
  <c r="H207" i="3"/>
  <c r="G207" i="3"/>
  <c r="F207" i="3"/>
  <c r="E207" i="3"/>
  <c r="D207" i="3"/>
  <c r="C207" i="3"/>
  <c r="B207" i="3"/>
  <c r="A207" i="3"/>
  <c r="M206" i="3"/>
  <c r="L206" i="3"/>
  <c r="K206" i="3"/>
  <c r="J206" i="3"/>
  <c r="I206" i="3"/>
  <c r="H206" i="3"/>
  <c r="G206" i="3"/>
  <c r="F206" i="3"/>
  <c r="E206" i="3"/>
  <c r="D206" i="3"/>
  <c r="C206" i="3"/>
  <c r="B206" i="3"/>
  <c r="A206" i="3"/>
  <c r="M205" i="3"/>
  <c r="L205" i="3"/>
  <c r="K205" i="3"/>
  <c r="J205" i="3"/>
  <c r="I205" i="3"/>
  <c r="H205" i="3"/>
  <c r="G205" i="3"/>
  <c r="F205" i="3"/>
  <c r="E205" i="3"/>
  <c r="D205" i="3"/>
  <c r="C205" i="3"/>
  <c r="B205" i="3"/>
  <c r="A205" i="3"/>
  <c r="M204" i="3"/>
  <c r="L204" i="3"/>
  <c r="K204" i="3"/>
  <c r="J204" i="3"/>
  <c r="I204" i="3"/>
  <c r="H204" i="3"/>
  <c r="G204" i="3"/>
  <c r="F204" i="3"/>
  <c r="E204" i="3"/>
  <c r="D204" i="3"/>
  <c r="C204" i="3"/>
  <c r="B204" i="3"/>
  <c r="A204" i="3"/>
  <c r="M203" i="3"/>
  <c r="L203" i="3"/>
  <c r="K203" i="3"/>
  <c r="J203" i="3"/>
  <c r="I203" i="3"/>
  <c r="H203" i="3"/>
  <c r="G203" i="3"/>
  <c r="F203" i="3"/>
  <c r="E203" i="3"/>
  <c r="D203" i="3"/>
  <c r="C203" i="3"/>
  <c r="B203" i="3"/>
  <c r="A203" i="3"/>
  <c r="M202" i="3"/>
  <c r="L202" i="3"/>
  <c r="K202" i="3"/>
  <c r="J202" i="3"/>
  <c r="I202" i="3"/>
  <c r="H202" i="3"/>
  <c r="G202" i="3"/>
  <c r="F202" i="3"/>
  <c r="E202" i="3"/>
  <c r="D202" i="3"/>
  <c r="C202" i="3"/>
  <c r="B202" i="3"/>
  <c r="A202" i="3"/>
  <c r="M201" i="3"/>
  <c r="L201" i="3"/>
  <c r="K201" i="3"/>
  <c r="J201" i="3"/>
  <c r="I201" i="3"/>
  <c r="H201" i="3"/>
  <c r="G201" i="3"/>
  <c r="F201" i="3"/>
  <c r="E201" i="3"/>
  <c r="D201" i="3"/>
  <c r="C201" i="3"/>
  <c r="B201" i="3"/>
  <c r="A201" i="3"/>
  <c r="M200" i="3"/>
  <c r="L200" i="3"/>
  <c r="K200" i="3"/>
  <c r="J200" i="3"/>
  <c r="I200" i="3"/>
  <c r="H200" i="3"/>
  <c r="G200" i="3"/>
  <c r="F200" i="3"/>
  <c r="E200" i="3"/>
  <c r="D200" i="3"/>
  <c r="C200" i="3"/>
  <c r="B200" i="3"/>
  <c r="A200" i="3"/>
  <c r="M199" i="3"/>
  <c r="L199" i="3"/>
  <c r="K199" i="3"/>
  <c r="J199" i="3"/>
  <c r="I199" i="3"/>
  <c r="H199" i="3"/>
  <c r="G199" i="3"/>
  <c r="F199" i="3"/>
  <c r="E199" i="3"/>
  <c r="D199" i="3"/>
  <c r="C199" i="3"/>
  <c r="B199" i="3"/>
  <c r="A199" i="3"/>
  <c r="M198" i="3"/>
  <c r="L198" i="3"/>
  <c r="K198" i="3"/>
  <c r="J198" i="3"/>
  <c r="I198" i="3"/>
  <c r="H198" i="3"/>
  <c r="G198" i="3"/>
  <c r="F198" i="3"/>
  <c r="E198" i="3"/>
  <c r="D198" i="3"/>
  <c r="C198" i="3"/>
  <c r="B198" i="3"/>
  <c r="A198" i="3"/>
  <c r="M197" i="3"/>
  <c r="L197" i="3"/>
  <c r="K197" i="3"/>
  <c r="J197" i="3"/>
  <c r="I197" i="3"/>
  <c r="H197" i="3"/>
  <c r="G197" i="3"/>
  <c r="F197" i="3"/>
  <c r="E197" i="3"/>
  <c r="D197" i="3"/>
  <c r="C197" i="3"/>
  <c r="B197" i="3"/>
  <c r="A197" i="3"/>
  <c r="M196" i="3"/>
  <c r="L196" i="3"/>
  <c r="K196" i="3"/>
  <c r="J196" i="3"/>
  <c r="I196" i="3"/>
  <c r="H196" i="3"/>
  <c r="G196" i="3"/>
  <c r="F196" i="3"/>
  <c r="E196" i="3"/>
  <c r="D196" i="3"/>
  <c r="C196" i="3"/>
  <c r="B196" i="3"/>
  <c r="A196" i="3"/>
  <c r="M195" i="3"/>
  <c r="L195" i="3"/>
  <c r="K195" i="3"/>
  <c r="J195" i="3"/>
  <c r="I195" i="3"/>
  <c r="H195" i="3"/>
  <c r="G195" i="3"/>
  <c r="F195" i="3"/>
  <c r="E195" i="3"/>
  <c r="D195" i="3"/>
  <c r="C195" i="3"/>
  <c r="B195" i="3"/>
  <c r="A195" i="3"/>
  <c r="M194" i="3"/>
  <c r="L194" i="3"/>
  <c r="K194" i="3"/>
  <c r="J194" i="3"/>
  <c r="I194" i="3"/>
  <c r="H194" i="3"/>
  <c r="G194" i="3"/>
  <c r="F194" i="3"/>
  <c r="E194" i="3"/>
  <c r="D194" i="3"/>
  <c r="C194" i="3"/>
  <c r="B194" i="3"/>
  <c r="A194" i="3"/>
  <c r="M193" i="3"/>
  <c r="L193" i="3"/>
  <c r="K193" i="3"/>
  <c r="J193" i="3"/>
  <c r="I193" i="3"/>
  <c r="H193" i="3"/>
  <c r="G193" i="3"/>
  <c r="F193" i="3"/>
  <c r="E193" i="3"/>
  <c r="D193" i="3"/>
  <c r="C193" i="3"/>
  <c r="B193" i="3"/>
  <c r="A193" i="3"/>
  <c r="M192" i="3"/>
  <c r="L192" i="3"/>
  <c r="K192" i="3"/>
  <c r="J192" i="3"/>
  <c r="I192" i="3"/>
  <c r="H192" i="3"/>
  <c r="G192" i="3"/>
  <c r="F192" i="3"/>
  <c r="E192" i="3"/>
  <c r="D192" i="3"/>
  <c r="C192" i="3"/>
  <c r="B192" i="3"/>
  <c r="A192" i="3"/>
  <c r="M191" i="3"/>
  <c r="L191" i="3"/>
  <c r="K191" i="3"/>
  <c r="J191" i="3"/>
  <c r="I191" i="3"/>
  <c r="H191" i="3"/>
  <c r="G191" i="3"/>
  <c r="F191" i="3"/>
  <c r="E191" i="3"/>
  <c r="D191" i="3"/>
  <c r="C191" i="3"/>
  <c r="B191" i="3"/>
  <c r="A191" i="3"/>
  <c r="M190" i="3"/>
  <c r="L190" i="3"/>
  <c r="K190" i="3"/>
  <c r="J190" i="3"/>
  <c r="I190" i="3"/>
  <c r="H190" i="3"/>
  <c r="G190" i="3"/>
  <c r="F190" i="3"/>
  <c r="E190" i="3"/>
  <c r="D190" i="3"/>
  <c r="C190" i="3"/>
  <c r="B190" i="3"/>
  <c r="A190" i="3"/>
  <c r="M189" i="3"/>
  <c r="L189" i="3"/>
  <c r="K189" i="3"/>
  <c r="J189" i="3"/>
  <c r="I189" i="3"/>
  <c r="H189" i="3"/>
  <c r="G189" i="3"/>
  <c r="F189" i="3"/>
  <c r="E189" i="3"/>
  <c r="D189" i="3"/>
  <c r="C189" i="3"/>
  <c r="B189" i="3"/>
  <c r="A189" i="3"/>
  <c r="M188" i="3"/>
  <c r="L188" i="3"/>
  <c r="K188" i="3"/>
  <c r="J188" i="3"/>
  <c r="I188" i="3"/>
  <c r="H188" i="3"/>
  <c r="G188" i="3"/>
  <c r="F188" i="3"/>
  <c r="E188" i="3"/>
  <c r="D188" i="3"/>
  <c r="C188" i="3"/>
  <c r="B188" i="3"/>
  <c r="A188" i="3"/>
  <c r="M187" i="3"/>
  <c r="L187" i="3"/>
  <c r="K187" i="3"/>
  <c r="J187" i="3"/>
  <c r="I187" i="3"/>
  <c r="H187" i="3"/>
  <c r="G187" i="3"/>
  <c r="F187" i="3"/>
  <c r="E187" i="3"/>
  <c r="D187" i="3"/>
  <c r="C187" i="3"/>
  <c r="B187" i="3"/>
  <c r="A187" i="3"/>
  <c r="M186" i="3"/>
  <c r="L186" i="3"/>
  <c r="K186" i="3"/>
  <c r="J186" i="3"/>
  <c r="I186" i="3"/>
  <c r="H186" i="3"/>
  <c r="G186" i="3"/>
  <c r="F186" i="3"/>
  <c r="E186" i="3"/>
  <c r="D186" i="3"/>
  <c r="C186" i="3"/>
  <c r="B186" i="3"/>
  <c r="A186" i="3"/>
  <c r="M185" i="3"/>
  <c r="L185" i="3"/>
  <c r="K185" i="3"/>
  <c r="J185" i="3"/>
  <c r="I185" i="3"/>
  <c r="H185" i="3"/>
  <c r="G185" i="3"/>
  <c r="F185" i="3"/>
  <c r="E185" i="3"/>
  <c r="D185" i="3"/>
  <c r="C185" i="3"/>
  <c r="B185" i="3"/>
  <c r="A185" i="3"/>
  <c r="M184" i="3"/>
  <c r="L184" i="3"/>
  <c r="K184" i="3"/>
  <c r="J184" i="3"/>
  <c r="I184" i="3"/>
  <c r="H184" i="3"/>
  <c r="G184" i="3"/>
  <c r="F184" i="3"/>
  <c r="E184" i="3"/>
  <c r="D184" i="3"/>
  <c r="C184" i="3"/>
  <c r="B184" i="3"/>
  <c r="A184" i="3"/>
  <c r="M183" i="3"/>
  <c r="L183" i="3"/>
  <c r="K183" i="3"/>
  <c r="J183" i="3"/>
  <c r="I183" i="3"/>
  <c r="H183" i="3"/>
  <c r="G183" i="3"/>
  <c r="F183" i="3"/>
  <c r="E183" i="3"/>
  <c r="D183" i="3"/>
  <c r="C183" i="3"/>
  <c r="B183" i="3"/>
  <c r="A183" i="3"/>
  <c r="M182" i="3"/>
  <c r="L182" i="3"/>
  <c r="K182" i="3"/>
  <c r="J182" i="3"/>
  <c r="I182" i="3"/>
  <c r="H182" i="3"/>
  <c r="G182" i="3"/>
  <c r="F182" i="3"/>
  <c r="E182" i="3"/>
  <c r="D182" i="3"/>
  <c r="C182" i="3"/>
  <c r="B182" i="3"/>
  <c r="A182" i="3"/>
  <c r="M181" i="3"/>
  <c r="L181" i="3"/>
  <c r="K181" i="3"/>
  <c r="J181" i="3"/>
  <c r="I181" i="3"/>
  <c r="H181" i="3"/>
  <c r="G181" i="3"/>
  <c r="F181" i="3"/>
  <c r="E181" i="3"/>
  <c r="D181" i="3"/>
  <c r="C181" i="3"/>
  <c r="B181" i="3"/>
  <c r="A181" i="3"/>
  <c r="M180" i="3"/>
  <c r="L180" i="3"/>
  <c r="K180" i="3"/>
  <c r="J180" i="3"/>
  <c r="I180" i="3"/>
  <c r="H180" i="3"/>
  <c r="G180" i="3"/>
  <c r="F180" i="3"/>
  <c r="E180" i="3"/>
  <c r="D180" i="3"/>
  <c r="C180" i="3"/>
  <c r="B180" i="3"/>
  <c r="A180" i="3"/>
  <c r="M179" i="3"/>
  <c r="L179" i="3"/>
  <c r="K179" i="3"/>
  <c r="J179" i="3"/>
  <c r="I179" i="3"/>
  <c r="H179" i="3"/>
  <c r="G179" i="3"/>
  <c r="F179" i="3"/>
  <c r="E179" i="3"/>
  <c r="D179" i="3"/>
  <c r="C179" i="3"/>
  <c r="B179" i="3"/>
  <c r="A179" i="3"/>
  <c r="M178" i="3"/>
  <c r="L178" i="3"/>
  <c r="K178" i="3"/>
  <c r="J178" i="3"/>
  <c r="I178" i="3"/>
  <c r="H178" i="3"/>
  <c r="G178" i="3"/>
  <c r="F178" i="3"/>
  <c r="E178" i="3"/>
  <c r="D178" i="3"/>
  <c r="C178" i="3"/>
  <c r="B178" i="3"/>
  <c r="A178" i="3"/>
  <c r="M177" i="3"/>
  <c r="L177" i="3"/>
  <c r="K177" i="3"/>
  <c r="J177" i="3"/>
  <c r="I177" i="3"/>
  <c r="H177" i="3"/>
  <c r="G177" i="3"/>
  <c r="F177" i="3"/>
  <c r="E177" i="3"/>
  <c r="D177" i="3"/>
  <c r="C177" i="3"/>
  <c r="B177" i="3"/>
  <c r="A177" i="3"/>
  <c r="M176" i="3"/>
  <c r="L176" i="3"/>
  <c r="K176" i="3"/>
  <c r="J176" i="3"/>
  <c r="I176" i="3"/>
  <c r="H176" i="3"/>
  <c r="G176" i="3"/>
  <c r="F176" i="3"/>
  <c r="E176" i="3"/>
  <c r="D176" i="3"/>
  <c r="C176" i="3"/>
  <c r="B176" i="3"/>
  <c r="A176" i="3"/>
  <c r="M175" i="3"/>
  <c r="L175" i="3"/>
  <c r="K175" i="3"/>
  <c r="J175" i="3"/>
  <c r="I175" i="3"/>
  <c r="H175" i="3"/>
  <c r="G175" i="3"/>
  <c r="F175" i="3"/>
  <c r="E175" i="3"/>
  <c r="D175" i="3"/>
  <c r="C175" i="3"/>
  <c r="B175" i="3"/>
  <c r="A175" i="3"/>
  <c r="M174" i="3"/>
  <c r="L174" i="3"/>
  <c r="K174" i="3"/>
  <c r="J174" i="3"/>
  <c r="I174" i="3"/>
  <c r="H174" i="3"/>
  <c r="G174" i="3"/>
  <c r="F174" i="3"/>
  <c r="E174" i="3"/>
  <c r="D174" i="3"/>
  <c r="C174" i="3"/>
  <c r="B174" i="3"/>
  <c r="A174" i="3"/>
  <c r="M173" i="3"/>
  <c r="L173" i="3"/>
  <c r="K173" i="3"/>
  <c r="J173" i="3"/>
  <c r="I173" i="3"/>
  <c r="H173" i="3"/>
  <c r="G173" i="3"/>
  <c r="F173" i="3"/>
  <c r="E173" i="3"/>
  <c r="D173" i="3"/>
  <c r="C173" i="3"/>
  <c r="B173" i="3"/>
  <c r="A173" i="3"/>
  <c r="M172" i="3"/>
  <c r="L172" i="3"/>
  <c r="K172" i="3"/>
  <c r="J172" i="3"/>
  <c r="I172" i="3"/>
  <c r="H172" i="3"/>
  <c r="G172" i="3"/>
  <c r="F172" i="3"/>
  <c r="E172" i="3"/>
  <c r="D172" i="3"/>
  <c r="C172" i="3"/>
  <c r="B172" i="3"/>
  <c r="A172" i="3"/>
  <c r="M171" i="3"/>
  <c r="L171" i="3"/>
  <c r="K171" i="3"/>
  <c r="J171" i="3"/>
  <c r="I171" i="3"/>
  <c r="H171" i="3"/>
  <c r="G171" i="3"/>
  <c r="F171" i="3"/>
  <c r="E171" i="3"/>
  <c r="D171" i="3"/>
  <c r="C171" i="3"/>
  <c r="B171" i="3"/>
  <c r="A171" i="3"/>
  <c r="M170" i="3"/>
  <c r="L170" i="3"/>
  <c r="K170" i="3"/>
  <c r="J170" i="3"/>
  <c r="I170" i="3"/>
  <c r="H170" i="3"/>
  <c r="G170" i="3"/>
  <c r="F170" i="3"/>
  <c r="E170" i="3"/>
  <c r="D170" i="3"/>
  <c r="C170" i="3"/>
  <c r="B170" i="3"/>
  <c r="A170" i="3"/>
  <c r="M169" i="3"/>
  <c r="L169" i="3"/>
  <c r="K169" i="3"/>
  <c r="J169" i="3"/>
  <c r="I169" i="3"/>
  <c r="H169" i="3"/>
  <c r="G169" i="3"/>
  <c r="F169" i="3"/>
  <c r="E169" i="3"/>
  <c r="D169" i="3"/>
  <c r="C169" i="3"/>
  <c r="B169" i="3"/>
  <c r="A169" i="3"/>
  <c r="M168" i="3"/>
  <c r="L168" i="3"/>
  <c r="K168" i="3"/>
  <c r="J168" i="3"/>
  <c r="I168" i="3"/>
  <c r="H168" i="3"/>
  <c r="G168" i="3"/>
  <c r="F168" i="3"/>
  <c r="E168" i="3"/>
  <c r="D168" i="3"/>
  <c r="C168" i="3"/>
  <c r="B168" i="3"/>
  <c r="A168" i="3"/>
  <c r="M167" i="3"/>
  <c r="L167" i="3"/>
  <c r="K167" i="3"/>
  <c r="J167" i="3"/>
  <c r="I167" i="3"/>
  <c r="H167" i="3"/>
  <c r="G167" i="3"/>
  <c r="F167" i="3"/>
  <c r="E167" i="3"/>
  <c r="D167" i="3"/>
  <c r="C167" i="3"/>
  <c r="B167" i="3"/>
  <c r="A167" i="3"/>
  <c r="M166" i="3"/>
  <c r="L166" i="3"/>
  <c r="K166" i="3"/>
  <c r="J166" i="3"/>
  <c r="I166" i="3"/>
  <c r="H166" i="3"/>
  <c r="G166" i="3"/>
  <c r="F166" i="3"/>
  <c r="E166" i="3"/>
  <c r="D166" i="3"/>
  <c r="C166" i="3"/>
  <c r="B166" i="3"/>
  <c r="A166" i="3"/>
  <c r="M165" i="3"/>
  <c r="L165" i="3"/>
  <c r="K165" i="3"/>
  <c r="J165" i="3"/>
  <c r="I165" i="3"/>
  <c r="H165" i="3"/>
  <c r="G165" i="3"/>
  <c r="F165" i="3"/>
  <c r="E165" i="3"/>
  <c r="D165" i="3"/>
  <c r="C165" i="3"/>
  <c r="B165" i="3"/>
  <c r="A165" i="3"/>
  <c r="M164" i="3"/>
  <c r="L164" i="3"/>
  <c r="K164" i="3"/>
  <c r="J164" i="3"/>
  <c r="I164" i="3"/>
  <c r="H164" i="3"/>
  <c r="G164" i="3"/>
  <c r="F164" i="3"/>
  <c r="E164" i="3"/>
  <c r="D164" i="3"/>
  <c r="C164" i="3"/>
  <c r="B164" i="3"/>
  <c r="A164" i="3"/>
  <c r="M163" i="3"/>
  <c r="L163" i="3"/>
  <c r="K163" i="3"/>
  <c r="J163" i="3"/>
  <c r="I163" i="3"/>
  <c r="H163" i="3"/>
  <c r="G163" i="3"/>
  <c r="F163" i="3"/>
  <c r="E163" i="3"/>
  <c r="D163" i="3"/>
  <c r="C163" i="3"/>
  <c r="B163" i="3"/>
  <c r="A163" i="3"/>
  <c r="M162" i="3"/>
  <c r="L162" i="3"/>
  <c r="K162" i="3"/>
  <c r="J162" i="3"/>
  <c r="I162" i="3"/>
  <c r="H162" i="3"/>
  <c r="G162" i="3"/>
  <c r="F162" i="3"/>
  <c r="E162" i="3"/>
  <c r="D162" i="3"/>
  <c r="C162" i="3"/>
  <c r="B162" i="3"/>
  <c r="A162" i="3"/>
  <c r="M161" i="3"/>
  <c r="L161" i="3"/>
  <c r="K161" i="3"/>
  <c r="J161" i="3"/>
  <c r="I161" i="3"/>
  <c r="H161" i="3"/>
  <c r="G161" i="3"/>
  <c r="F161" i="3"/>
  <c r="E161" i="3"/>
  <c r="D161" i="3"/>
  <c r="C161" i="3"/>
  <c r="B161" i="3"/>
  <c r="A161" i="3"/>
  <c r="M160" i="3"/>
  <c r="L160" i="3"/>
  <c r="K160" i="3"/>
  <c r="J160" i="3"/>
  <c r="I160" i="3"/>
  <c r="H160" i="3"/>
  <c r="G160" i="3"/>
  <c r="F160" i="3"/>
  <c r="E160" i="3"/>
  <c r="D160" i="3"/>
  <c r="C160" i="3"/>
  <c r="B160" i="3"/>
  <c r="A160" i="3"/>
  <c r="M159" i="3"/>
  <c r="L159" i="3"/>
  <c r="K159" i="3"/>
  <c r="J159" i="3"/>
  <c r="I159" i="3"/>
  <c r="H159" i="3"/>
  <c r="G159" i="3"/>
  <c r="F159" i="3"/>
  <c r="E159" i="3"/>
  <c r="D159" i="3"/>
  <c r="C159" i="3"/>
  <c r="B159" i="3"/>
  <c r="A159" i="3"/>
  <c r="M158" i="3"/>
  <c r="L158" i="3"/>
  <c r="K158" i="3"/>
  <c r="J158" i="3"/>
  <c r="I158" i="3"/>
  <c r="H158" i="3"/>
  <c r="G158" i="3"/>
  <c r="F158" i="3"/>
  <c r="E158" i="3"/>
  <c r="D158" i="3"/>
  <c r="C158" i="3"/>
  <c r="B158" i="3"/>
  <c r="A158" i="3"/>
  <c r="M157" i="3"/>
  <c r="L157" i="3"/>
  <c r="K157" i="3"/>
  <c r="J157" i="3"/>
  <c r="I157" i="3"/>
  <c r="H157" i="3"/>
  <c r="G157" i="3"/>
  <c r="F157" i="3"/>
  <c r="E157" i="3"/>
  <c r="D157" i="3"/>
  <c r="C157" i="3"/>
  <c r="B157" i="3"/>
  <c r="A157" i="3"/>
  <c r="M156" i="3"/>
  <c r="L156" i="3"/>
  <c r="K156" i="3"/>
  <c r="J156" i="3"/>
  <c r="I156" i="3"/>
  <c r="H156" i="3"/>
  <c r="G156" i="3"/>
  <c r="F156" i="3"/>
  <c r="E156" i="3"/>
  <c r="D156" i="3"/>
  <c r="C156" i="3"/>
  <c r="B156" i="3"/>
  <c r="A156" i="3"/>
  <c r="M155" i="3"/>
  <c r="L155" i="3"/>
  <c r="K155" i="3"/>
  <c r="J155" i="3"/>
  <c r="I155" i="3"/>
  <c r="H155" i="3"/>
  <c r="G155" i="3"/>
  <c r="F155" i="3"/>
  <c r="E155" i="3"/>
  <c r="D155" i="3"/>
  <c r="C155" i="3"/>
  <c r="B155" i="3"/>
  <c r="A155" i="3"/>
  <c r="M154" i="3"/>
  <c r="L154" i="3"/>
  <c r="K154" i="3"/>
  <c r="J154" i="3"/>
  <c r="I154" i="3"/>
  <c r="H154" i="3"/>
  <c r="G154" i="3"/>
  <c r="F154" i="3"/>
  <c r="E154" i="3"/>
  <c r="D154" i="3"/>
  <c r="C154" i="3"/>
  <c r="B154" i="3"/>
  <c r="A154" i="3"/>
  <c r="M153" i="3"/>
  <c r="L153" i="3"/>
  <c r="K153" i="3"/>
  <c r="J153" i="3"/>
  <c r="I153" i="3"/>
  <c r="H153" i="3"/>
  <c r="G153" i="3"/>
  <c r="F153" i="3"/>
  <c r="E153" i="3"/>
  <c r="D153" i="3"/>
  <c r="C153" i="3"/>
  <c r="B153" i="3"/>
  <c r="A153" i="3"/>
  <c r="M152" i="3"/>
  <c r="L152" i="3"/>
  <c r="K152" i="3"/>
  <c r="J152" i="3"/>
  <c r="I152" i="3"/>
  <c r="H152" i="3"/>
  <c r="G152" i="3"/>
  <c r="F152" i="3"/>
  <c r="E152" i="3"/>
  <c r="D152" i="3"/>
  <c r="C152" i="3"/>
  <c r="B152" i="3"/>
  <c r="A152" i="3"/>
  <c r="M151" i="3"/>
  <c r="L151" i="3"/>
  <c r="K151" i="3"/>
  <c r="J151" i="3"/>
  <c r="I151" i="3"/>
  <c r="H151" i="3"/>
  <c r="G151" i="3"/>
  <c r="F151" i="3"/>
  <c r="E151" i="3"/>
  <c r="D151" i="3"/>
  <c r="C151" i="3"/>
  <c r="B151" i="3"/>
  <c r="A151" i="3"/>
  <c r="M150" i="3"/>
  <c r="L150" i="3"/>
  <c r="K150" i="3"/>
  <c r="J150" i="3"/>
  <c r="I150" i="3"/>
  <c r="H150" i="3"/>
  <c r="G150" i="3"/>
  <c r="F150" i="3"/>
  <c r="E150" i="3"/>
  <c r="D150" i="3"/>
  <c r="C150" i="3"/>
  <c r="B150" i="3"/>
  <c r="A150" i="3"/>
  <c r="M149" i="3"/>
  <c r="L149" i="3"/>
  <c r="K149" i="3"/>
  <c r="J149" i="3"/>
  <c r="I149" i="3"/>
  <c r="H149" i="3"/>
  <c r="G149" i="3"/>
  <c r="F149" i="3"/>
  <c r="E149" i="3"/>
  <c r="D149" i="3"/>
  <c r="C149" i="3"/>
  <c r="B149" i="3"/>
  <c r="A149" i="3"/>
  <c r="M148" i="3"/>
  <c r="L148" i="3"/>
  <c r="K148" i="3"/>
  <c r="J148" i="3"/>
  <c r="I148" i="3"/>
  <c r="H148" i="3"/>
  <c r="G148" i="3"/>
  <c r="F148" i="3"/>
  <c r="E148" i="3"/>
  <c r="D148" i="3"/>
  <c r="C148" i="3"/>
  <c r="B148" i="3"/>
  <c r="A148" i="3"/>
  <c r="M147" i="3"/>
  <c r="L147" i="3"/>
  <c r="K147" i="3"/>
  <c r="J147" i="3"/>
  <c r="I147" i="3"/>
  <c r="H147" i="3"/>
  <c r="G147" i="3"/>
  <c r="F147" i="3"/>
  <c r="E147" i="3"/>
  <c r="D147" i="3"/>
  <c r="C147" i="3"/>
  <c r="B147" i="3"/>
  <c r="A147" i="3"/>
  <c r="M146" i="3"/>
  <c r="L146" i="3"/>
  <c r="K146" i="3"/>
  <c r="J146" i="3"/>
  <c r="I146" i="3"/>
  <c r="H146" i="3"/>
  <c r="G146" i="3"/>
  <c r="F146" i="3"/>
  <c r="E146" i="3"/>
  <c r="D146" i="3"/>
  <c r="C146" i="3"/>
  <c r="B146" i="3"/>
  <c r="A146" i="3"/>
  <c r="M145" i="3"/>
  <c r="L145" i="3"/>
  <c r="K145" i="3"/>
  <c r="J145" i="3"/>
  <c r="I145" i="3"/>
  <c r="H145" i="3"/>
  <c r="G145" i="3"/>
  <c r="F145" i="3"/>
  <c r="E145" i="3"/>
  <c r="D145" i="3"/>
  <c r="C145" i="3"/>
  <c r="B145" i="3"/>
  <c r="A145" i="3"/>
  <c r="M144" i="3"/>
  <c r="L144" i="3"/>
  <c r="K144" i="3"/>
  <c r="J144" i="3"/>
  <c r="I144" i="3"/>
  <c r="H144" i="3"/>
  <c r="G144" i="3"/>
  <c r="F144" i="3"/>
  <c r="E144" i="3"/>
  <c r="D144" i="3"/>
  <c r="C144" i="3"/>
  <c r="B144" i="3"/>
  <c r="A144" i="3"/>
  <c r="M143" i="3"/>
  <c r="L143" i="3"/>
  <c r="K143" i="3"/>
  <c r="J143" i="3"/>
  <c r="I143" i="3"/>
  <c r="H143" i="3"/>
  <c r="G143" i="3"/>
  <c r="F143" i="3"/>
  <c r="E143" i="3"/>
  <c r="D143" i="3"/>
  <c r="C143" i="3"/>
  <c r="B143" i="3"/>
  <c r="A143" i="3"/>
  <c r="M142" i="3"/>
  <c r="L142" i="3"/>
  <c r="K142" i="3"/>
  <c r="J142" i="3"/>
  <c r="I142" i="3"/>
  <c r="H142" i="3"/>
  <c r="G142" i="3"/>
  <c r="F142" i="3"/>
  <c r="E142" i="3"/>
  <c r="D142" i="3"/>
  <c r="C142" i="3"/>
  <c r="B142" i="3"/>
  <c r="A142" i="3"/>
  <c r="M141" i="3"/>
  <c r="L141" i="3"/>
  <c r="K141" i="3"/>
  <c r="J141" i="3"/>
  <c r="I141" i="3"/>
  <c r="H141" i="3"/>
  <c r="G141" i="3"/>
  <c r="F141" i="3"/>
  <c r="E141" i="3"/>
  <c r="D141" i="3"/>
  <c r="C141" i="3"/>
  <c r="B141" i="3"/>
  <c r="A141" i="3"/>
  <c r="M140" i="3"/>
  <c r="L140" i="3"/>
  <c r="K140" i="3"/>
  <c r="J140" i="3"/>
  <c r="I140" i="3"/>
  <c r="H140" i="3"/>
  <c r="G140" i="3"/>
  <c r="F140" i="3"/>
  <c r="E140" i="3"/>
  <c r="D140" i="3"/>
  <c r="C140" i="3"/>
  <c r="B140" i="3"/>
  <c r="A140" i="3"/>
  <c r="M139" i="3"/>
  <c r="L139" i="3"/>
  <c r="K139" i="3"/>
  <c r="J139" i="3"/>
  <c r="I139" i="3"/>
  <c r="H139" i="3"/>
  <c r="G139" i="3"/>
  <c r="F139" i="3"/>
  <c r="E139" i="3"/>
  <c r="D139" i="3"/>
  <c r="C139" i="3"/>
  <c r="B139" i="3"/>
  <c r="A139" i="3"/>
  <c r="M138" i="3"/>
  <c r="L138" i="3"/>
  <c r="K138" i="3"/>
  <c r="J138" i="3"/>
  <c r="I138" i="3"/>
  <c r="H138" i="3"/>
  <c r="G138" i="3"/>
  <c r="F138" i="3"/>
  <c r="E138" i="3"/>
  <c r="D138" i="3"/>
  <c r="C138" i="3"/>
  <c r="B138" i="3"/>
  <c r="A138" i="3"/>
  <c r="M137" i="3"/>
  <c r="L137" i="3"/>
  <c r="K137" i="3"/>
  <c r="J137" i="3"/>
  <c r="I137" i="3"/>
  <c r="H137" i="3"/>
  <c r="G137" i="3"/>
  <c r="F137" i="3"/>
  <c r="E137" i="3"/>
  <c r="D137" i="3"/>
  <c r="C137" i="3"/>
  <c r="B137" i="3"/>
  <c r="A137" i="3"/>
  <c r="M136" i="3"/>
  <c r="L136" i="3"/>
  <c r="K136" i="3"/>
  <c r="J136" i="3"/>
  <c r="I136" i="3"/>
  <c r="H136" i="3"/>
  <c r="G136" i="3"/>
  <c r="F136" i="3"/>
  <c r="E136" i="3"/>
  <c r="D136" i="3"/>
  <c r="C136" i="3"/>
  <c r="B136" i="3"/>
  <c r="A136" i="3"/>
  <c r="M135" i="3"/>
  <c r="L135" i="3"/>
  <c r="K135" i="3"/>
  <c r="J135" i="3"/>
  <c r="I135" i="3"/>
  <c r="H135" i="3"/>
  <c r="G135" i="3"/>
  <c r="F135" i="3"/>
  <c r="E135" i="3"/>
  <c r="D135" i="3"/>
  <c r="C135" i="3"/>
  <c r="B135" i="3"/>
  <c r="A135" i="3"/>
  <c r="M134" i="3"/>
  <c r="L134" i="3"/>
  <c r="K134" i="3"/>
  <c r="J134" i="3"/>
  <c r="I134" i="3"/>
  <c r="H134" i="3"/>
  <c r="G134" i="3"/>
  <c r="F134" i="3"/>
  <c r="E134" i="3"/>
  <c r="D134" i="3"/>
  <c r="C134" i="3"/>
  <c r="B134" i="3"/>
  <c r="A134" i="3"/>
  <c r="M133" i="3"/>
  <c r="L133" i="3"/>
  <c r="K133" i="3"/>
  <c r="J133" i="3"/>
  <c r="I133" i="3"/>
  <c r="H133" i="3"/>
  <c r="G133" i="3"/>
  <c r="F133" i="3"/>
  <c r="E133" i="3"/>
  <c r="D133" i="3"/>
  <c r="C133" i="3"/>
  <c r="B133" i="3"/>
  <c r="A133" i="3"/>
  <c r="M132" i="3"/>
  <c r="L132" i="3"/>
  <c r="K132" i="3"/>
  <c r="J132" i="3"/>
  <c r="I132" i="3"/>
  <c r="H132" i="3"/>
  <c r="G132" i="3"/>
  <c r="F132" i="3"/>
  <c r="E132" i="3"/>
  <c r="D132" i="3"/>
  <c r="C132" i="3"/>
  <c r="B132" i="3"/>
  <c r="A132" i="3"/>
  <c r="M131" i="3"/>
  <c r="L131" i="3"/>
  <c r="K131" i="3"/>
  <c r="J131" i="3"/>
  <c r="I131" i="3"/>
  <c r="H131" i="3"/>
  <c r="G131" i="3"/>
  <c r="F131" i="3"/>
  <c r="E131" i="3"/>
  <c r="D131" i="3"/>
  <c r="C131" i="3"/>
  <c r="B131" i="3"/>
  <c r="A131" i="3"/>
  <c r="M130" i="3"/>
  <c r="L130" i="3"/>
  <c r="K130" i="3"/>
  <c r="J130" i="3"/>
  <c r="I130" i="3"/>
  <c r="H130" i="3"/>
  <c r="G130" i="3"/>
  <c r="F130" i="3"/>
  <c r="E130" i="3"/>
  <c r="D130" i="3"/>
  <c r="C130" i="3"/>
  <c r="B130" i="3"/>
  <c r="A130" i="3"/>
  <c r="M129" i="3"/>
  <c r="L129" i="3"/>
  <c r="K129" i="3"/>
  <c r="J129" i="3"/>
  <c r="I129" i="3"/>
  <c r="H129" i="3"/>
  <c r="G129" i="3"/>
  <c r="F129" i="3"/>
  <c r="E129" i="3"/>
  <c r="D129" i="3"/>
  <c r="C129" i="3"/>
  <c r="B129" i="3"/>
  <c r="A129" i="3"/>
  <c r="M128" i="3"/>
  <c r="L128" i="3"/>
  <c r="K128" i="3"/>
  <c r="J128" i="3"/>
  <c r="I128" i="3"/>
  <c r="H128" i="3"/>
  <c r="G128" i="3"/>
  <c r="F128" i="3"/>
  <c r="E128" i="3"/>
  <c r="D128" i="3"/>
  <c r="C128" i="3"/>
  <c r="B128" i="3"/>
  <c r="A128" i="3"/>
  <c r="M127" i="3"/>
  <c r="L127" i="3"/>
  <c r="K127" i="3"/>
  <c r="J127" i="3"/>
  <c r="I127" i="3"/>
  <c r="H127" i="3"/>
  <c r="G127" i="3"/>
  <c r="F127" i="3"/>
  <c r="E127" i="3"/>
  <c r="D127" i="3"/>
  <c r="C127" i="3"/>
  <c r="B127" i="3"/>
  <c r="A127" i="3"/>
  <c r="M126" i="3"/>
  <c r="L126" i="3"/>
  <c r="K126" i="3"/>
  <c r="J126" i="3"/>
  <c r="I126" i="3"/>
  <c r="H126" i="3"/>
  <c r="G126" i="3"/>
  <c r="F126" i="3"/>
  <c r="E126" i="3"/>
  <c r="D126" i="3"/>
  <c r="C126" i="3"/>
  <c r="B126" i="3"/>
  <c r="A126" i="3"/>
  <c r="M125" i="3"/>
  <c r="L125" i="3"/>
  <c r="K125" i="3"/>
  <c r="J125" i="3"/>
  <c r="I125" i="3"/>
  <c r="H125" i="3"/>
  <c r="G125" i="3"/>
  <c r="F125" i="3"/>
  <c r="E125" i="3"/>
  <c r="D125" i="3"/>
  <c r="C125" i="3"/>
  <c r="B125" i="3"/>
  <c r="A125" i="3"/>
  <c r="M124" i="3"/>
  <c r="L124" i="3"/>
  <c r="K124" i="3"/>
  <c r="J124" i="3"/>
  <c r="I124" i="3"/>
  <c r="H124" i="3"/>
  <c r="G124" i="3"/>
  <c r="F124" i="3"/>
  <c r="E124" i="3"/>
  <c r="D124" i="3"/>
  <c r="C124" i="3"/>
  <c r="B124" i="3"/>
  <c r="A124" i="3"/>
  <c r="M123" i="3"/>
  <c r="L123" i="3"/>
  <c r="K123" i="3"/>
  <c r="J123" i="3"/>
  <c r="I123" i="3"/>
  <c r="H123" i="3"/>
  <c r="G123" i="3"/>
  <c r="F123" i="3"/>
  <c r="E123" i="3"/>
  <c r="D123" i="3"/>
  <c r="C123" i="3"/>
  <c r="B123" i="3"/>
  <c r="A123" i="3"/>
  <c r="M122" i="3"/>
  <c r="L122" i="3"/>
  <c r="K122" i="3"/>
  <c r="J122" i="3"/>
  <c r="I122" i="3"/>
  <c r="H122" i="3"/>
  <c r="G122" i="3"/>
  <c r="F122" i="3"/>
  <c r="E122" i="3"/>
  <c r="D122" i="3"/>
  <c r="C122" i="3"/>
  <c r="B122" i="3"/>
  <c r="A122" i="3"/>
  <c r="M121" i="3"/>
  <c r="L121" i="3"/>
  <c r="K121" i="3"/>
  <c r="J121" i="3"/>
  <c r="I121" i="3"/>
  <c r="H121" i="3"/>
  <c r="G121" i="3"/>
  <c r="F121" i="3"/>
  <c r="E121" i="3"/>
  <c r="D121" i="3"/>
  <c r="C121" i="3"/>
  <c r="B121" i="3"/>
  <c r="A121" i="3"/>
  <c r="M120" i="3"/>
  <c r="L120" i="3"/>
  <c r="K120" i="3"/>
  <c r="J120" i="3"/>
  <c r="I120" i="3"/>
  <c r="H120" i="3"/>
  <c r="G120" i="3"/>
  <c r="F120" i="3"/>
  <c r="E120" i="3"/>
  <c r="D120" i="3"/>
  <c r="C120" i="3"/>
  <c r="B120" i="3"/>
  <c r="A120" i="3"/>
  <c r="M119" i="3"/>
  <c r="L119" i="3"/>
  <c r="K119" i="3"/>
  <c r="J119" i="3"/>
  <c r="I119" i="3"/>
  <c r="H119" i="3"/>
  <c r="G119" i="3"/>
  <c r="F119" i="3"/>
  <c r="E119" i="3"/>
  <c r="D119" i="3"/>
  <c r="C119" i="3"/>
  <c r="B119" i="3"/>
  <c r="A119" i="3"/>
  <c r="M118" i="3"/>
  <c r="L118" i="3"/>
  <c r="K118" i="3"/>
  <c r="J118" i="3"/>
  <c r="I118" i="3"/>
  <c r="H118" i="3"/>
  <c r="G118" i="3"/>
  <c r="F118" i="3"/>
  <c r="E118" i="3"/>
  <c r="D118" i="3"/>
  <c r="C118" i="3"/>
  <c r="B118" i="3"/>
  <c r="A118" i="3"/>
  <c r="M117" i="3"/>
  <c r="L117" i="3"/>
  <c r="K117" i="3"/>
  <c r="J117" i="3"/>
  <c r="I117" i="3"/>
  <c r="H117" i="3"/>
  <c r="G117" i="3"/>
  <c r="F117" i="3"/>
  <c r="E117" i="3"/>
  <c r="D117" i="3"/>
  <c r="C117" i="3"/>
  <c r="B117" i="3"/>
  <c r="A117" i="3"/>
  <c r="M116" i="3"/>
  <c r="L116" i="3"/>
  <c r="K116" i="3"/>
  <c r="J116" i="3"/>
  <c r="I116" i="3"/>
  <c r="H116" i="3"/>
  <c r="G116" i="3"/>
  <c r="F116" i="3"/>
  <c r="E116" i="3"/>
  <c r="D116" i="3"/>
  <c r="C116" i="3"/>
  <c r="B116" i="3"/>
  <c r="A116" i="3"/>
  <c r="M115" i="3"/>
  <c r="L115" i="3"/>
  <c r="K115" i="3"/>
  <c r="J115" i="3"/>
  <c r="I115" i="3"/>
  <c r="H115" i="3"/>
  <c r="G115" i="3"/>
  <c r="F115" i="3"/>
  <c r="E115" i="3"/>
  <c r="D115" i="3"/>
  <c r="C115" i="3"/>
  <c r="B115" i="3"/>
  <c r="A115" i="3"/>
  <c r="M114" i="3"/>
  <c r="L114" i="3"/>
  <c r="K114" i="3"/>
  <c r="J114" i="3"/>
  <c r="I114" i="3"/>
  <c r="H114" i="3"/>
  <c r="G114" i="3"/>
  <c r="F114" i="3"/>
  <c r="E114" i="3"/>
  <c r="D114" i="3"/>
  <c r="C114" i="3"/>
  <c r="B114" i="3"/>
  <c r="A114" i="3"/>
  <c r="M113" i="3"/>
  <c r="L113" i="3"/>
  <c r="K113" i="3"/>
  <c r="J113" i="3"/>
  <c r="I113" i="3"/>
  <c r="H113" i="3"/>
  <c r="G113" i="3"/>
  <c r="F113" i="3"/>
  <c r="E113" i="3"/>
  <c r="D113" i="3"/>
  <c r="C113" i="3"/>
  <c r="B113" i="3"/>
  <c r="A113" i="3"/>
  <c r="M112" i="3"/>
  <c r="L112" i="3"/>
  <c r="K112" i="3"/>
  <c r="J112" i="3"/>
  <c r="I112" i="3"/>
  <c r="H112" i="3"/>
  <c r="G112" i="3"/>
  <c r="F112" i="3"/>
  <c r="E112" i="3"/>
  <c r="D112" i="3"/>
  <c r="C112" i="3"/>
  <c r="B112" i="3"/>
  <c r="A112" i="3"/>
  <c r="M111" i="3"/>
  <c r="L111" i="3"/>
  <c r="K111" i="3"/>
  <c r="J111" i="3"/>
  <c r="I111" i="3"/>
  <c r="H111" i="3"/>
  <c r="G111" i="3"/>
  <c r="F111" i="3"/>
  <c r="E111" i="3"/>
  <c r="D111" i="3"/>
  <c r="C111" i="3"/>
  <c r="B111" i="3"/>
  <c r="A111" i="3"/>
  <c r="M110" i="3"/>
  <c r="L110" i="3"/>
  <c r="K110" i="3"/>
  <c r="J110" i="3"/>
  <c r="I110" i="3"/>
  <c r="H110" i="3"/>
  <c r="G110" i="3"/>
  <c r="F110" i="3"/>
  <c r="E110" i="3"/>
  <c r="D110" i="3"/>
  <c r="C110" i="3"/>
  <c r="B110" i="3"/>
  <c r="A110" i="3"/>
  <c r="M109" i="3"/>
  <c r="L109" i="3"/>
  <c r="K109" i="3"/>
  <c r="J109" i="3"/>
  <c r="I109" i="3"/>
  <c r="H109" i="3"/>
  <c r="G109" i="3"/>
  <c r="F109" i="3"/>
  <c r="E109" i="3"/>
  <c r="D109" i="3"/>
  <c r="C109" i="3"/>
  <c r="B109" i="3"/>
  <c r="A109" i="3"/>
  <c r="M108" i="3"/>
  <c r="L108" i="3"/>
  <c r="K108" i="3"/>
  <c r="J108" i="3"/>
  <c r="I108" i="3"/>
  <c r="H108" i="3"/>
  <c r="G108" i="3"/>
  <c r="F108" i="3"/>
  <c r="E108" i="3"/>
  <c r="D108" i="3"/>
  <c r="C108" i="3"/>
  <c r="B108" i="3"/>
  <c r="A108" i="3"/>
  <c r="M107" i="3"/>
  <c r="L107" i="3"/>
  <c r="K107" i="3"/>
  <c r="J107" i="3"/>
  <c r="I107" i="3"/>
  <c r="H107" i="3"/>
  <c r="G107" i="3"/>
  <c r="F107" i="3"/>
  <c r="E107" i="3"/>
  <c r="D107" i="3"/>
  <c r="C107" i="3"/>
  <c r="B107" i="3"/>
  <c r="A107" i="3"/>
  <c r="M106" i="3"/>
  <c r="L106" i="3"/>
  <c r="K106" i="3"/>
  <c r="J106" i="3"/>
  <c r="I106" i="3"/>
  <c r="H106" i="3"/>
  <c r="G106" i="3"/>
  <c r="F106" i="3"/>
  <c r="E106" i="3"/>
  <c r="D106" i="3"/>
  <c r="C106" i="3"/>
  <c r="B106" i="3"/>
  <c r="A106" i="3"/>
  <c r="M105" i="3"/>
  <c r="L105" i="3"/>
  <c r="K105" i="3"/>
  <c r="J105" i="3"/>
  <c r="I105" i="3"/>
  <c r="H105" i="3"/>
  <c r="G105" i="3"/>
  <c r="F105" i="3"/>
  <c r="E105" i="3"/>
  <c r="D105" i="3"/>
  <c r="C105" i="3"/>
  <c r="B105" i="3"/>
  <c r="A105" i="3"/>
  <c r="M104" i="3"/>
  <c r="L104" i="3"/>
  <c r="K104" i="3"/>
  <c r="J104" i="3"/>
  <c r="I104" i="3"/>
  <c r="H104" i="3"/>
  <c r="G104" i="3"/>
  <c r="F104" i="3"/>
  <c r="E104" i="3"/>
  <c r="D104" i="3"/>
  <c r="C104" i="3"/>
  <c r="B104" i="3"/>
  <c r="A104" i="3"/>
  <c r="M103" i="3"/>
  <c r="L103" i="3"/>
  <c r="K103" i="3"/>
  <c r="J103" i="3"/>
  <c r="I103" i="3"/>
  <c r="H103" i="3"/>
  <c r="G103" i="3"/>
  <c r="F103" i="3"/>
  <c r="E103" i="3"/>
  <c r="D103" i="3"/>
  <c r="C103" i="3"/>
  <c r="B103" i="3"/>
  <c r="A103" i="3"/>
  <c r="M102" i="3"/>
  <c r="L102" i="3"/>
  <c r="K102" i="3"/>
  <c r="J102" i="3"/>
  <c r="I102" i="3"/>
  <c r="H102" i="3"/>
  <c r="G102" i="3"/>
  <c r="F102" i="3"/>
  <c r="E102" i="3"/>
  <c r="D102" i="3"/>
  <c r="C102" i="3"/>
  <c r="B102" i="3"/>
  <c r="A102" i="3"/>
  <c r="M101" i="3"/>
  <c r="L101" i="3"/>
  <c r="K101" i="3"/>
  <c r="J101" i="3"/>
  <c r="I101" i="3"/>
  <c r="H101" i="3"/>
  <c r="G101" i="3"/>
  <c r="F101" i="3"/>
  <c r="E101" i="3"/>
  <c r="D101" i="3"/>
  <c r="C101" i="3"/>
  <c r="B101" i="3"/>
  <c r="A101" i="3"/>
  <c r="M100" i="3"/>
  <c r="L100" i="3"/>
  <c r="K100" i="3"/>
  <c r="J100" i="3"/>
  <c r="I100" i="3"/>
  <c r="H100" i="3"/>
  <c r="G100" i="3"/>
  <c r="F100" i="3"/>
  <c r="E100" i="3"/>
  <c r="D100" i="3"/>
  <c r="C100" i="3"/>
  <c r="B100" i="3"/>
  <c r="A100" i="3"/>
  <c r="M99" i="3"/>
  <c r="L99" i="3"/>
  <c r="K99" i="3"/>
  <c r="J99" i="3"/>
  <c r="I99" i="3"/>
  <c r="H99" i="3"/>
  <c r="G99" i="3"/>
  <c r="F99" i="3"/>
  <c r="E99" i="3"/>
  <c r="D99" i="3"/>
  <c r="C99" i="3"/>
  <c r="B99" i="3"/>
  <c r="A99" i="3"/>
  <c r="M98" i="3"/>
  <c r="L98" i="3"/>
  <c r="K98" i="3"/>
  <c r="J98" i="3"/>
  <c r="I98" i="3"/>
  <c r="H98" i="3"/>
  <c r="G98" i="3"/>
  <c r="F98" i="3"/>
  <c r="E98" i="3"/>
  <c r="D98" i="3"/>
  <c r="C98" i="3"/>
  <c r="B98" i="3"/>
  <c r="A98" i="3"/>
  <c r="M97" i="3"/>
  <c r="L97" i="3"/>
  <c r="K97" i="3"/>
  <c r="J97" i="3"/>
  <c r="I97" i="3"/>
  <c r="H97" i="3"/>
  <c r="G97" i="3"/>
  <c r="F97" i="3"/>
  <c r="E97" i="3"/>
  <c r="D97" i="3"/>
  <c r="C97" i="3"/>
  <c r="B97" i="3"/>
  <c r="A97" i="3"/>
  <c r="M96" i="3"/>
  <c r="L96" i="3"/>
  <c r="K96" i="3"/>
  <c r="J96" i="3"/>
  <c r="I96" i="3"/>
  <c r="H96" i="3"/>
  <c r="G96" i="3"/>
  <c r="F96" i="3"/>
  <c r="E96" i="3"/>
  <c r="D96" i="3"/>
  <c r="C96" i="3"/>
  <c r="B96" i="3"/>
  <c r="A96" i="3"/>
  <c r="M95" i="3"/>
  <c r="L95" i="3"/>
  <c r="K95" i="3"/>
  <c r="J95" i="3"/>
  <c r="I95" i="3"/>
  <c r="H95" i="3"/>
  <c r="G95" i="3"/>
  <c r="F95" i="3"/>
  <c r="E95" i="3"/>
  <c r="D95" i="3"/>
  <c r="C95" i="3"/>
  <c r="B95" i="3"/>
  <c r="A95" i="3"/>
  <c r="M94" i="3"/>
  <c r="L94" i="3"/>
  <c r="K94" i="3"/>
  <c r="J94" i="3"/>
  <c r="I94" i="3"/>
  <c r="H94" i="3"/>
  <c r="G94" i="3"/>
  <c r="F94" i="3"/>
  <c r="E94" i="3"/>
  <c r="D94" i="3"/>
  <c r="C94" i="3"/>
  <c r="B94" i="3"/>
  <c r="A94" i="3"/>
  <c r="M93" i="3"/>
  <c r="L93" i="3"/>
  <c r="K93" i="3"/>
  <c r="J93" i="3"/>
  <c r="I93" i="3"/>
  <c r="H93" i="3"/>
  <c r="G93" i="3"/>
  <c r="F93" i="3"/>
  <c r="E93" i="3"/>
  <c r="D93" i="3"/>
  <c r="C93" i="3"/>
  <c r="B93" i="3"/>
  <c r="A93" i="3"/>
  <c r="M92" i="3"/>
  <c r="L92" i="3"/>
  <c r="K92" i="3"/>
  <c r="J92" i="3"/>
  <c r="I92" i="3"/>
  <c r="H92" i="3"/>
  <c r="G92" i="3"/>
  <c r="F92" i="3"/>
  <c r="E92" i="3"/>
  <c r="D92" i="3"/>
  <c r="C92" i="3"/>
  <c r="B92" i="3"/>
  <c r="A92" i="3"/>
  <c r="M91" i="3"/>
  <c r="L91" i="3"/>
  <c r="K91" i="3"/>
  <c r="J91" i="3"/>
  <c r="I91" i="3"/>
  <c r="H91" i="3"/>
  <c r="G91" i="3"/>
  <c r="F91" i="3"/>
  <c r="E91" i="3"/>
  <c r="D91" i="3"/>
  <c r="C91" i="3"/>
  <c r="B91" i="3"/>
  <c r="A91" i="3"/>
  <c r="M90" i="3"/>
  <c r="L90" i="3"/>
  <c r="K90" i="3"/>
  <c r="J90" i="3"/>
  <c r="I90" i="3"/>
  <c r="H90" i="3"/>
  <c r="G90" i="3"/>
  <c r="F90" i="3"/>
  <c r="E90" i="3"/>
  <c r="D90" i="3"/>
  <c r="C90" i="3"/>
  <c r="B90" i="3"/>
  <c r="A90" i="3"/>
  <c r="M89" i="3"/>
  <c r="L89" i="3"/>
  <c r="K89" i="3"/>
  <c r="J89" i="3"/>
  <c r="I89" i="3"/>
  <c r="H89" i="3"/>
  <c r="G89" i="3"/>
  <c r="F89" i="3"/>
  <c r="E89" i="3"/>
  <c r="D89" i="3"/>
  <c r="C89" i="3"/>
  <c r="B89" i="3"/>
  <c r="A89" i="3"/>
  <c r="M88" i="3"/>
  <c r="L88" i="3"/>
  <c r="K88" i="3"/>
  <c r="J88" i="3"/>
  <c r="I88" i="3"/>
  <c r="H88" i="3"/>
  <c r="G88" i="3"/>
  <c r="F88" i="3"/>
  <c r="E88" i="3"/>
  <c r="D88" i="3"/>
  <c r="C88" i="3"/>
  <c r="B88" i="3"/>
  <c r="A88" i="3"/>
  <c r="M87" i="3"/>
  <c r="L87" i="3"/>
  <c r="K87" i="3"/>
  <c r="J87" i="3"/>
  <c r="I87" i="3"/>
  <c r="H87" i="3"/>
  <c r="G87" i="3"/>
  <c r="F87" i="3"/>
  <c r="E87" i="3"/>
  <c r="D87" i="3"/>
  <c r="C87" i="3"/>
  <c r="B87" i="3"/>
  <c r="A87" i="3"/>
  <c r="M86" i="3"/>
  <c r="L86" i="3"/>
  <c r="K86" i="3"/>
  <c r="J86" i="3"/>
  <c r="I86" i="3"/>
  <c r="H86" i="3"/>
  <c r="G86" i="3"/>
  <c r="F86" i="3"/>
  <c r="E86" i="3"/>
  <c r="D86" i="3"/>
  <c r="C86" i="3"/>
  <c r="B86" i="3"/>
  <c r="A86" i="3"/>
  <c r="M85" i="3"/>
  <c r="L85" i="3"/>
  <c r="K85" i="3"/>
  <c r="J85" i="3"/>
  <c r="I85" i="3"/>
  <c r="H85" i="3"/>
  <c r="G85" i="3"/>
  <c r="F85" i="3"/>
  <c r="E85" i="3"/>
  <c r="D85" i="3"/>
  <c r="C85" i="3"/>
  <c r="B85" i="3"/>
  <c r="A85" i="3"/>
  <c r="M84" i="3"/>
  <c r="L84" i="3"/>
  <c r="K84" i="3"/>
  <c r="J84" i="3"/>
  <c r="I84" i="3"/>
  <c r="H84" i="3"/>
  <c r="G84" i="3"/>
  <c r="F84" i="3"/>
  <c r="E84" i="3"/>
  <c r="D84" i="3"/>
  <c r="C84" i="3"/>
  <c r="B84" i="3"/>
  <c r="A84" i="3"/>
  <c r="M83" i="3"/>
  <c r="L83" i="3"/>
  <c r="K83" i="3"/>
  <c r="J83" i="3"/>
  <c r="I83" i="3"/>
  <c r="H83" i="3"/>
  <c r="G83" i="3"/>
  <c r="F83" i="3"/>
  <c r="E83" i="3"/>
  <c r="D83" i="3"/>
  <c r="C83" i="3"/>
  <c r="B83" i="3"/>
  <c r="A83" i="3"/>
  <c r="M82" i="3"/>
  <c r="L82" i="3"/>
  <c r="K82" i="3"/>
  <c r="J82" i="3"/>
  <c r="I82" i="3"/>
  <c r="H82" i="3"/>
  <c r="G82" i="3"/>
  <c r="F82" i="3"/>
  <c r="E82" i="3"/>
  <c r="D82" i="3"/>
  <c r="C82" i="3"/>
  <c r="B82" i="3"/>
  <c r="A82" i="3"/>
  <c r="M81" i="3"/>
  <c r="L81" i="3"/>
  <c r="K81" i="3"/>
  <c r="J81" i="3"/>
  <c r="I81" i="3"/>
  <c r="H81" i="3"/>
  <c r="G81" i="3"/>
  <c r="F81" i="3"/>
  <c r="E81" i="3"/>
  <c r="D81" i="3"/>
  <c r="C81" i="3"/>
  <c r="B81" i="3"/>
  <c r="A81" i="3"/>
  <c r="M80" i="3"/>
  <c r="L80" i="3"/>
  <c r="K80" i="3"/>
  <c r="J80" i="3"/>
  <c r="I80" i="3"/>
  <c r="H80" i="3"/>
  <c r="G80" i="3"/>
  <c r="F80" i="3"/>
  <c r="E80" i="3"/>
  <c r="D80" i="3"/>
  <c r="C80" i="3"/>
  <c r="B80" i="3"/>
  <c r="A80" i="3"/>
  <c r="M79" i="3"/>
  <c r="L79" i="3"/>
  <c r="K79" i="3"/>
  <c r="J79" i="3"/>
  <c r="I79" i="3"/>
  <c r="H79" i="3"/>
  <c r="G79" i="3"/>
  <c r="F79" i="3"/>
  <c r="E79" i="3"/>
  <c r="D79" i="3"/>
  <c r="C79" i="3"/>
  <c r="B79" i="3"/>
  <c r="A79" i="3"/>
  <c r="M78" i="3"/>
  <c r="L78" i="3"/>
  <c r="K78" i="3"/>
  <c r="J78" i="3"/>
  <c r="I78" i="3"/>
  <c r="H78" i="3"/>
  <c r="G78" i="3"/>
  <c r="F78" i="3"/>
  <c r="E78" i="3"/>
  <c r="D78" i="3"/>
  <c r="C78" i="3"/>
  <c r="B78" i="3"/>
  <c r="A78" i="3"/>
  <c r="M77" i="3"/>
  <c r="L77" i="3"/>
  <c r="K77" i="3"/>
  <c r="J77" i="3"/>
  <c r="I77" i="3"/>
  <c r="H77" i="3"/>
  <c r="G77" i="3"/>
  <c r="F77" i="3"/>
  <c r="E77" i="3"/>
  <c r="D77" i="3"/>
  <c r="C77" i="3"/>
  <c r="B77" i="3"/>
  <c r="A77" i="3"/>
  <c r="M76" i="3"/>
  <c r="L76" i="3"/>
  <c r="K76" i="3"/>
  <c r="J76" i="3"/>
  <c r="I76" i="3"/>
  <c r="H76" i="3"/>
  <c r="G76" i="3"/>
  <c r="F76" i="3"/>
  <c r="E76" i="3"/>
  <c r="D76" i="3"/>
  <c r="C76" i="3"/>
  <c r="B76" i="3"/>
  <c r="A76" i="3"/>
  <c r="M75" i="3"/>
  <c r="L75" i="3"/>
  <c r="K75" i="3"/>
  <c r="J75" i="3"/>
  <c r="I75" i="3"/>
  <c r="H75" i="3"/>
  <c r="G75" i="3"/>
  <c r="F75" i="3"/>
  <c r="E75" i="3"/>
  <c r="D75" i="3"/>
  <c r="C75" i="3"/>
  <c r="B75" i="3"/>
  <c r="A75" i="3"/>
  <c r="M74" i="3"/>
  <c r="L74" i="3"/>
  <c r="K74" i="3"/>
  <c r="J74" i="3"/>
  <c r="I74" i="3"/>
  <c r="H74" i="3"/>
  <c r="G74" i="3"/>
  <c r="F74" i="3"/>
  <c r="E74" i="3"/>
  <c r="D74" i="3"/>
  <c r="C74" i="3"/>
  <c r="B74" i="3"/>
  <c r="A74" i="3"/>
  <c r="M73" i="3"/>
  <c r="L73" i="3"/>
  <c r="K73" i="3"/>
  <c r="J73" i="3"/>
  <c r="I73" i="3"/>
  <c r="H73" i="3"/>
  <c r="G73" i="3"/>
  <c r="F73" i="3"/>
  <c r="E73" i="3"/>
  <c r="D73" i="3"/>
  <c r="C73" i="3"/>
  <c r="B73" i="3"/>
  <c r="A73" i="3"/>
  <c r="M72" i="3"/>
  <c r="L72" i="3"/>
  <c r="K72" i="3"/>
  <c r="J72" i="3"/>
  <c r="I72" i="3"/>
  <c r="H72" i="3"/>
  <c r="G72" i="3"/>
  <c r="F72" i="3"/>
  <c r="E72" i="3"/>
  <c r="D72" i="3"/>
  <c r="C72" i="3"/>
  <c r="B72" i="3"/>
  <c r="A72" i="3"/>
  <c r="M71" i="3"/>
  <c r="L71" i="3"/>
  <c r="K71" i="3"/>
  <c r="J71" i="3"/>
  <c r="I71" i="3"/>
  <c r="H71" i="3"/>
  <c r="G71" i="3"/>
  <c r="F71" i="3"/>
  <c r="E71" i="3"/>
  <c r="D71" i="3"/>
  <c r="C71" i="3"/>
  <c r="B71" i="3"/>
  <c r="A71" i="3"/>
  <c r="M70" i="3"/>
  <c r="L70" i="3"/>
  <c r="K70" i="3"/>
  <c r="J70" i="3"/>
  <c r="I70" i="3"/>
  <c r="H70" i="3"/>
  <c r="G70" i="3"/>
  <c r="F70" i="3"/>
  <c r="E70" i="3"/>
  <c r="D70" i="3"/>
  <c r="C70" i="3"/>
  <c r="B70" i="3"/>
  <c r="A70" i="3"/>
  <c r="M69" i="3"/>
  <c r="L69" i="3"/>
  <c r="K69" i="3"/>
  <c r="J69" i="3"/>
  <c r="I69" i="3"/>
  <c r="H69" i="3"/>
  <c r="G69" i="3"/>
  <c r="F69" i="3"/>
  <c r="E69" i="3"/>
  <c r="D69" i="3"/>
  <c r="C69" i="3"/>
  <c r="B69" i="3"/>
  <c r="A69" i="3"/>
  <c r="M68" i="3"/>
  <c r="L68" i="3"/>
  <c r="K68" i="3"/>
  <c r="J68" i="3"/>
  <c r="I68" i="3"/>
  <c r="H68" i="3"/>
  <c r="G68" i="3"/>
  <c r="F68" i="3"/>
  <c r="E68" i="3"/>
  <c r="D68" i="3"/>
  <c r="C68" i="3"/>
  <c r="B68" i="3"/>
  <c r="A68" i="3"/>
  <c r="M67" i="3"/>
  <c r="L67" i="3"/>
  <c r="K67" i="3"/>
  <c r="J67" i="3"/>
  <c r="I67" i="3"/>
  <c r="H67" i="3"/>
  <c r="G67" i="3"/>
  <c r="F67" i="3"/>
  <c r="E67" i="3"/>
  <c r="D67" i="3"/>
  <c r="C67" i="3"/>
  <c r="B67" i="3"/>
  <c r="A67" i="3"/>
  <c r="M66" i="3"/>
  <c r="L66" i="3"/>
  <c r="K66" i="3"/>
  <c r="J66" i="3"/>
  <c r="I66" i="3"/>
  <c r="H66" i="3"/>
  <c r="G66" i="3"/>
  <c r="F66" i="3"/>
  <c r="E66" i="3"/>
  <c r="D66" i="3"/>
  <c r="C66" i="3"/>
  <c r="B66" i="3"/>
  <c r="A66" i="3"/>
  <c r="M65" i="3"/>
  <c r="L65" i="3"/>
  <c r="K65" i="3"/>
  <c r="J65" i="3"/>
  <c r="I65" i="3"/>
  <c r="H65" i="3"/>
  <c r="G65" i="3"/>
  <c r="F65" i="3"/>
  <c r="E65" i="3"/>
  <c r="D65" i="3"/>
  <c r="C65" i="3"/>
  <c r="B65" i="3"/>
  <c r="A65" i="3"/>
  <c r="M64" i="3"/>
  <c r="L64" i="3"/>
  <c r="K64" i="3"/>
  <c r="J64" i="3"/>
  <c r="I64" i="3"/>
  <c r="H64" i="3"/>
  <c r="G64" i="3"/>
  <c r="F64" i="3"/>
  <c r="E64" i="3"/>
  <c r="D64" i="3"/>
  <c r="C64" i="3"/>
  <c r="B64" i="3"/>
  <c r="A64" i="3"/>
  <c r="M63" i="3"/>
  <c r="L63" i="3"/>
  <c r="K63" i="3"/>
  <c r="J63" i="3"/>
  <c r="I63" i="3"/>
  <c r="H63" i="3"/>
  <c r="G63" i="3"/>
  <c r="F63" i="3"/>
  <c r="E63" i="3"/>
  <c r="D63" i="3"/>
  <c r="C63" i="3"/>
  <c r="B63" i="3"/>
  <c r="A63" i="3"/>
  <c r="M62" i="3"/>
  <c r="L62" i="3"/>
  <c r="K62" i="3"/>
  <c r="J62" i="3"/>
  <c r="I62" i="3"/>
  <c r="H62" i="3"/>
  <c r="G62" i="3"/>
  <c r="F62" i="3"/>
  <c r="E62" i="3"/>
  <c r="D62" i="3"/>
  <c r="C62" i="3"/>
  <c r="B62" i="3"/>
  <c r="A62" i="3"/>
  <c r="M61" i="3"/>
  <c r="L61" i="3"/>
  <c r="K61" i="3"/>
  <c r="J61" i="3"/>
  <c r="I61" i="3"/>
  <c r="H61" i="3"/>
  <c r="G61" i="3"/>
  <c r="F61" i="3"/>
  <c r="E61" i="3"/>
  <c r="D61" i="3"/>
  <c r="C61" i="3"/>
  <c r="B61" i="3"/>
  <c r="A61" i="3"/>
  <c r="M60" i="3"/>
  <c r="L60" i="3"/>
  <c r="K60" i="3"/>
  <c r="J60" i="3"/>
  <c r="I60" i="3"/>
  <c r="H60" i="3"/>
  <c r="G60" i="3"/>
  <c r="F60" i="3"/>
  <c r="E60" i="3"/>
  <c r="D60" i="3"/>
  <c r="C60" i="3"/>
  <c r="B60" i="3"/>
  <c r="A60" i="3"/>
  <c r="M59" i="3"/>
  <c r="L59" i="3"/>
  <c r="K59" i="3"/>
  <c r="J59" i="3"/>
  <c r="I59" i="3"/>
  <c r="H59" i="3"/>
  <c r="G59" i="3"/>
  <c r="F59" i="3"/>
  <c r="E59" i="3"/>
  <c r="D59" i="3"/>
  <c r="C59" i="3"/>
  <c r="B59" i="3"/>
  <c r="A59" i="3"/>
  <c r="M58" i="3"/>
  <c r="L58" i="3"/>
  <c r="K58" i="3"/>
  <c r="J58" i="3"/>
  <c r="I58" i="3"/>
  <c r="H58" i="3"/>
  <c r="G58" i="3"/>
  <c r="F58" i="3"/>
  <c r="E58" i="3"/>
  <c r="D58" i="3"/>
  <c r="C58" i="3"/>
  <c r="B58" i="3"/>
  <c r="A58" i="3"/>
  <c r="M57" i="3"/>
  <c r="L57" i="3"/>
  <c r="K57" i="3"/>
  <c r="J57" i="3"/>
  <c r="I57" i="3"/>
  <c r="H57" i="3"/>
  <c r="G57" i="3"/>
  <c r="F57" i="3"/>
  <c r="E57" i="3"/>
  <c r="D57" i="3"/>
  <c r="C57" i="3"/>
  <c r="B57" i="3"/>
  <c r="A57" i="3"/>
  <c r="M56" i="3"/>
  <c r="L56" i="3"/>
  <c r="K56" i="3"/>
  <c r="J56" i="3"/>
  <c r="I56" i="3"/>
  <c r="H56" i="3"/>
  <c r="G56" i="3"/>
  <c r="F56" i="3"/>
  <c r="E56" i="3"/>
  <c r="D56" i="3"/>
  <c r="C56" i="3"/>
  <c r="B56" i="3"/>
  <c r="A56" i="3"/>
  <c r="M55" i="3"/>
  <c r="L55" i="3"/>
  <c r="K55" i="3"/>
  <c r="J55" i="3"/>
  <c r="I55" i="3"/>
  <c r="H55" i="3"/>
  <c r="G55" i="3"/>
  <c r="F55" i="3"/>
  <c r="E55" i="3"/>
  <c r="D55" i="3"/>
  <c r="C55" i="3"/>
  <c r="B55" i="3"/>
  <c r="A55" i="3"/>
  <c r="M54" i="3"/>
  <c r="L54" i="3"/>
  <c r="K54" i="3"/>
  <c r="J54" i="3"/>
  <c r="I54" i="3"/>
  <c r="H54" i="3"/>
  <c r="G54" i="3"/>
  <c r="F54" i="3"/>
  <c r="E54" i="3"/>
  <c r="D54" i="3"/>
  <c r="C54" i="3"/>
  <c r="B54" i="3"/>
  <c r="A54" i="3"/>
  <c r="M53" i="3"/>
  <c r="L53" i="3"/>
  <c r="K53" i="3"/>
  <c r="J53" i="3"/>
  <c r="I53" i="3"/>
  <c r="H53" i="3"/>
  <c r="G53" i="3"/>
  <c r="F53" i="3"/>
  <c r="E53" i="3"/>
  <c r="D53" i="3"/>
  <c r="C53" i="3"/>
  <c r="B53" i="3"/>
  <c r="A53" i="3"/>
  <c r="M52" i="3"/>
  <c r="L52" i="3"/>
  <c r="K52" i="3"/>
  <c r="J52" i="3"/>
  <c r="I52" i="3"/>
  <c r="H52" i="3"/>
  <c r="G52" i="3"/>
  <c r="F52" i="3"/>
  <c r="E52" i="3"/>
  <c r="D52" i="3"/>
  <c r="C52" i="3"/>
  <c r="B52" i="3"/>
  <c r="A52" i="3"/>
  <c r="M51" i="3"/>
  <c r="L51" i="3"/>
  <c r="K51" i="3"/>
  <c r="J51" i="3"/>
  <c r="I51" i="3"/>
  <c r="H51" i="3"/>
  <c r="G51" i="3"/>
  <c r="F51" i="3"/>
  <c r="E51" i="3"/>
  <c r="D51" i="3"/>
  <c r="C51" i="3"/>
  <c r="B51" i="3"/>
  <c r="A51" i="3"/>
  <c r="M50" i="3"/>
  <c r="L50" i="3"/>
  <c r="K50" i="3"/>
  <c r="J50" i="3"/>
  <c r="I50" i="3"/>
  <c r="H50" i="3"/>
  <c r="G50" i="3"/>
  <c r="F50" i="3"/>
  <c r="E50" i="3"/>
  <c r="D50" i="3"/>
  <c r="C50" i="3"/>
  <c r="B50" i="3"/>
  <c r="A50" i="3"/>
  <c r="M49" i="3"/>
  <c r="L49" i="3"/>
  <c r="K49" i="3"/>
  <c r="J49" i="3"/>
  <c r="I49" i="3"/>
  <c r="H49" i="3"/>
  <c r="G49" i="3"/>
  <c r="F49" i="3"/>
  <c r="E49" i="3"/>
  <c r="D49" i="3"/>
  <c r="C49" i="3"/>
  <c r="B49" i="3"/>
  <c r="A49" i="3"/>
  <c r="M48" i="3"/>
  <c r="L48" i="3"/>
  <c r="K48" i="3"/>
  <c r="J48" i="3"/>
  <c r="I48" i="3"/>
  <c r="H48" i="3"/>
  <c r="G48" i="3"/>
  <c r="F48" i="3"/>
  <c r="E48" i="3"/>
  <c r="D48" i="3"/>
  <c r="C48" i="3"/>
  <c r="B48" i="3"/>
  <c r="A48" i="3"/>
  <c r="M47" i="3"/>
  <c r="L47" i="3"/>
  <c r="K47" i="3"/>
  <c r="J47" i="3"/>
  <c r="I47" i="3"/>
  <c r="H47" i="3"/>
  <c r="G47" i="3"/>
  <c r="F47" i="3"/>
  <c r="E47" i="3"/>
  <c r="D47" i="3"/>
  <c r="C47" i="3"/>
  <c r="B47" i="3"/>
  <c r="A47" i="3"/>
  <c r="M46" i="3"/>
  <c r="L46" i="3"/>
  <c r="K46" i="3"/>
  <c r="J46" i="3"/>
  <c r="I46" i="3"/>
  <c r="H46" i="3"/>
  <c r="G46" i="3"/>
  <c r="F46" i="3"/>
  <c r="E46" i="3"/>
  <c r="D46" i="3"/>
  <c r="C46" i="3"/>
  <c r="B46" i="3"/>
  <c r="A46" i="3"/>
  <c r="M45" i="3"/>
  <c r="L45" i="3"/>
  <c r="K45" i="3"/>
  <c r="J45" i="3"/>
  <c r="I45" i="3"/>
  <c r="H45" i="3"/>
  <c r="G45" i="3"/>
  <c r="F45" i="3"/>
  <c r="E45" i="3"/>
  <c r="D45" i="3"/>
  <c r="C45" i="3"/>
  <c r="B45" i="3"/>
  <c r="A45" i="3"/>
  <c r="M44" i="3"/>
  <c r="L44" i="3"/>
  <c r="K44" i="3"/>
  <c r="J44" i="3"/>
  <c r="I44" i="3"/>
  <c r="H44" i="3"/>
  <c r="G44" i="3"/>
  <c r="F44" i="3"/>
  <c r="E44" i="3"/>
  <c r="D44" i="3"/>
  <c r="C44" i="3"/>
  <c r="B44" i="3"/>
  <c r="A44" i="3"/>
  <c r="M43" i="3"/>
  <c r="L43" i="3"/>
  <c r="K43" i="3"/>
  <c r="J43" i="3"/>
  <c r="I43" i="3"/>
  <c r="H43" i="3"/>
  <c r="G43" i="3"/>
  <c r="F43" i="3"/>
  <c r="E43" i="3"/>
  <c r="D43" i="3"/>
  <c r="C43" i="3"/>
  <c r="B43" i="3"/>
  <c r="A43" i="3"/>
  <c r="M42" i="3"/>
  <c r="L42" i="3"/>
  <c r="K42" i="3"/>
  <c r="J42" i="3"/>
  <c r="I42" i="3"/>
  <c r="H42" i="3"/>
  <c r="G42" i="3"/>
  <c r="F42" i="3"/>
  <c r="E42" i="3"/>
  <c r="D42" i="3"/>
  <c r="C42" i="3"/>
  <c r="B42" i="3"/>
  <c r="A42" i="3"/>
  <c r="M41" i="3"/>
  <c r="L41" i="3"/>
  <c r="K41" i="3"/>
  <c r="J41" i="3"/>
  <c r="I41" i="3"/>
  <c r="H41" i="3"/>
  <c r="G41" i="3"/>
  <c r="F41" i="3"/>
  <c r="E41" i="3"/>
  <c r="D41" i="3"/>
  <c r="C41" i="3"/>
  <c r="B41" i="3"/>
  <c r="A41" i="3"/>
  <c r="M40" i="3"/>
  <c r="L40" i="3"/>
  <c r="K40" i="3"/>
  <c r="J40" i="3"/>
  <c r="I40" i="3"/>
  <c r="H40" i="3"/>
  <c r="G40" i="3"/>
  <c r="F40" i="3"/>
  <c r="E40" i="3"/>
  <c r="D40" i="3"/>
  <c r="C40" i="3"/>
  <c r="B40" i="3"/>
  <c r="A40" i="3"/>
  <c r="M39" i="3"/>
  <c r="L39" i="3"/>
  <c r="K39" i="3"/>
  <c r="J39" i="3"/>
  <c r="I39" i="3"/>
  <c r="H39" i="3"/>
  <c r="G39" i="3"/>
  <c r="F39" i="3"/>
  <c r="E39" i="3"/>
  <c r="D39" i="3"/>
  <c r="C39" i="3"/>
  <c r="B39" i="3"/>
  <c r="A39" i="3"/>
  <c r="M38" i="3"/>
  <c r="L38" i="3"/>
  <c r="K38" i="3"/>
  <c r="J38" i="3"/>
  <c r="I38" i="3"/>
  <c r="H38" i="3"/>
  <c r="G38" i="3"/>
  <c r="F38" i="3"/>
  <c r="E38" i="3"/>
  <c r="D38" i="3"/>
  <c r="C38" i="3"/>
  <c r="B38" i="3"/>
  <c r="A38" i="3"/>
  <c r="M37" i="3"/>
  <c r="L37" i="3"/>
  <c r="K37" i="3"/>
  <c r="J37" i="3"/>
  <c r="I37" i="3"/>
  <c r="H37" i="3"/>
  <c r="G37" i="3"/>
  <c r="F37" i="3"/>
  <c r="E37" i="3"/>
  <c r="D37" i="3"/>
  <c r="C37" i="3"/>
  <c r="B37" i="3"/>
  <c r="A37" i="3"/>
  <c r="M36" i="3"/>
  <c r="L36" i="3"/>
  <c r="K36" i="3"/>
  <c r="J36" i="3"/>
  <c r="I36" i="3"/>
  <c r="H36" i="3"/>
  <c r="G36" i="3"/>
  <c r="F36" i="3"/>
  <c r="E36" i="3"/>
  <c r="D36" i="3"/>
  <c r="C36" i="3"/>
  <c r="B36" i="3"/>
  <c r="A36" i="3"/>
  <c r="M35" i="3"/>
  <c r="L35" i="3"/>
  <c r="K35" i="3"/>
  <c r="J35" i="3"/>
  <c r="I35" i="3"/>
  <c r="H35" i="3"/>
  <c r="G35" i="3"/>
  <c r="F35" i="3"/>
  <c r="E35" i="3"/>
  <c r="D35" i="3"/>
  <c r="C35" i="3"/>
  <c r="B35" i="3"/>
  <c r="A35" i="3"/>
  <c r="M34" i="3"/>
  <c r="L34" i="3"/>
  <c r="K34" i="3"/>
  <c r="J34" i="3"/>
  <c r="I34" i="3"/>
  <c r="H34" i="3"/>
  <c r="G34" i="3"/>
  <c r="F34" i="3"/>
  <c r="E34" i="3"/>
  <c r="D34" i="3"/>
  <c r="C34" i="3"/>
  <c r="B34" i="3"/>
  <c r="A34" i="3"/>
  <c r="M33" i="3"/>
  <c r="L33" i="3"/>
  <c r="K33" i="3"/>
  <c r="J33" i="3"/>
  <c r="I33" i="3"/>
  <c r="H33" i="3"/>
  <c r="G33" i="3"/>
  <c r="F33" i="3"/>
  <c r="E33" i="3"/>
  <c r="D33" i="3"/>
  <c r="C33" i="3"/>
  <c r="B33" i="3"/>
  <c r="A33" i="3"/>
  <c r="M32" i="3"/>
  <c r="L32" i="3"/>
  <c r="K32" i="3"/>
  <c r="J32" i="3"/>
  <c r="I32" i="3"/>
  <c r="H32" i="3"/>
  <c r="G32" i="3"/>
  <c r="F32" i="3"/>
  <c r="E32" i="3"/>
  <c r="D32" i="3"/>
  <c r="C32" i="3"/>
  <c r="B32" i="3"/>
  <c r="A32" i="3"/>
  <c r="M31" i="3"/>
  <c r="L31" i="3"/>
  <c r="K31" i="3"/>
  <c r="J31" i="3"/>
  <c r="I31" i="3"/>
  <c r="H31" i="3"/>
  <c r="G31" i="3"/>
  <c r="F31" i="3"/>
  <c r="E31" i="3"/>
  <c r="D31" i="3"/>
  <c r="C31" i="3"/>
  <c r="B31" i="3"/>
  <c r="A31" i="3"/>
  <c r="M30" i="3"/>
  <c r="L30" i="3"/>
  <c r="K30" i="3"/>
  <c r="J30" i="3"/>
  <c r="I30" i="3"/>
  <c r="H30" i="3"/>
  <c r="G30" i="3"/>
  <c r="F30" i="3"/>
  <c r="E30" i="3"/>
  <c r="D30" i="3"/>
  <c r="C30" i="3"/>
  <c r="B30" i="3"/>
  <c r="A30" i="3"/>
  <c r="M29" i="3"/>
  <c r="L29" i="3"/>
  <c r="K29" i="3"/>
  <c r="J29" i="3"/>
  <c r="I29" i="3"/>
  <c r="H29" i="3"/>
  <c r="G29" i="3"/>
  <c r="F29" i="3"/>
  <c r="E29" i="3"/>
  <c r="D29" i="3"/>
  <c r="C29" i="3"/>
  <c r="B29" i="3"/>
  <c r="A29" i="3"/>
  <c r="M28" i="3"/>
  <c r="L28" i="3"/>
  <c r="K28" i="3"/>
  <c r="J28" i="3"/>
  <c r="I28" i="3"/>
  <c r="H28" i="3"/>
  <c r="G28" i="3"/>
  <c r="F28" i="3"/>
  <c r="E28" i="3"/>
  <c r="D28" i="3"/>
  <c r="C28" i="3"/>
  <c r="B28" i="3"/>
  <c r="A28" i="3"/>
  <c r="M27" i="3"/>
  <c r="L27" i="3"/>
  <c r="K27" i="3"/>
  <c r="J27" i="3"/>
  <c r="I27" i="3"/>
  <c r="H27" i="3"/>
  <c r="G27" i="3"/>
  <c r="F27" i="3"/>
  <c r="E27" i="3"/>
  <c r="D27" i="3"/>
  <c r="C27" i="3"/>
  <c r="B27" i="3"/>
  <c r="A27" i="3"/>
  <c r="M26" i="3"/>
  <c r="L26" i="3"/>
  <c r="K26" i="3"/>
  <c r="J26" i="3"/>
  <c r="I26" i="3"/>
  <c r="H26" i="3"/>
  <c r="G26" i="3"/>
  <c r="F26" i="3"/>
  <c r="E26" i="3"/>
  <c r="D26" i="3"/>
  <c r="C26" i="3"/>
  <c r="B26" i="3"/>
  <c r="A26" i="3"/>
  <c r="M25" i="3"/>
  <c r="L25" i="3"/>
  <c r="K25" i="3"/>
  <c r="J25" i="3"/>
  <c r="I25" i="3"/>
  <c r="H25" i="3"/>
  <c r="G25" i="3"/>
  <c r="F25" i="3"/>
  <c r="E25" i="3"/>
  <c r="D25" i="3"/>
  <c r="C25" i="3"/>
  <c r="B25" i="3"/>
  <c r="A25" i="3"/>
  <c r="M24" i="3"/>
  <c r="L24" i="3"/>
  <c r="K24" i="3"/>
  <c r="J24" i="3"/>
  <c r="I24" i="3"/>
  <c r="H24" i="3"/>
  <c r="G24" i="3"/>
  <c r="F24" i="3"/>
  <c r="E24" i="3"/>
  <c r="D24" i="3"/>
  <c r="C24" i="3"/>
  <c r="B24" i="3"/>
  <c r="A24" i="3"/>
  <c r="M23" i="3"/>
  <c r="L23" i="3"/>
  <c r="K23" i="3"/>
  <c r="J23" i="3"/>
  <c r="I23" i="3"/>
  <c r="H23" i="3"/>
  <c r="G23" i="3"/>
  <c r="F23" i="3"/>
  <c r="E23" i="3"/>
  <c r="D23" i="3"/>
  <c r="C23" i="3"/>
  <c r="B23" i="3"/>
  <c r="A23" i="3"/>
  <c r="M22" i="3"/>
  <c r="L22" i="3"/>
  <c r="K22" i="3"/>
  <c r="J22" i="3"/>
  <c r="I22" i="3"/>
  <c r="H22" i="3"/>
  <c r="G22" i="3"/>
  <c r="F22" i="3"/>
  <c r="E22" i="3"/>
  <c r="D22" i="3"/>
  <c r="C22" i="3"/>
  <c r="B22" i="3"/>
  <c r="A22" i="3"/>
  <c r="M21" i="3"/>
  <c r="L21" i="3"/>
  <c r="K21" i="3"/>
  <c r="J21" i="3"/>
  <c r="I21" i="3"/>
  <c r="H21" i="3"/>
  <c r="G21" i="3"/>
  <c r="F21" i="3"/>
  <c r="E21" i="3"/>
  <c r="D21" i="3"/>
  <c r="C21" i="3"/>
  <c r="B21" i="3"/>
  <c r="A21" i="3"/>
  <c r="M20" i="3"/>
  <c r="L20" i="3"/>
  <c r="K20" i="3"/>
  <c r="J20" i="3"/>
  <c r="I20" i="3"/>
  <c r="H20" i="3"/>
  <c r="G20" i="3"/>
  <c r="F20" i="3"/>
  <c r="E20" i="3"/>
  <c r="D20" i="3"/>
  <c r="C20" i="3"/>
  <c r="B20" i="3"/>
  <c r="A20" i="3"/>
  <c r="M19" i="3"/>
  <c r="L19" i="3"/>
  <c r="K19" i="3"/>
  <c r="J19" i="3"/>
  <c r="I19" i="3"/>
  <c r="H19" i="3"/>
  <c r="G19" i="3"/>
  <c r="F19" i="3"/>
  <c r="E19" i="3"/>
  <c r="D19" i="3"/>
  <c r="C19" i="3"/>
  <c r="B19" i="3"/>
  <c r="A19" i="3"/>
  <c r="M18" i="3"/>
  <c r="L18" i="3"/>
  <c r="K18" i="3"/>
  <c r="J18" i="3"/>
  <c r="I18" i="3"/>
  <c r="H18" i="3"/>
  <c r="G18" i="3"/>
  <c r="F18" i="3"/>
  <c r="E18" i="3"/>
  <c r="D18" i="3"/>
  <c r="C18" i="3"/>
  <c r="B18" i="3"/>
  <c r="A18" i="3"/>
  <c r="M17" i="3"/>
  <c r="L17" i="3"/>
  <c r="K17" i="3"/>
  <c r="J17" i="3"/>
  <c r="I17" i="3"/>
  <c r="H17" i="3"/>
  <c r="G17" i="3"/>
  <c r="F17" i="3"/>
  <c r="E17" i="3"/>
  <c r="D17" i="3"/>
  <c r="C17" i="3"/>
  <c r="B17" i="3"/>
  <c r="A17" i="3"/>
  <c r="M16" i="3"/>
  <c r="L16" i="3"/>
  <c r="K16" i="3"/>
  <c r="J16" i="3"/>
  <c r="I16" i="3"/>
  <c r="H16" i="3"/>
  <c r="G16" i="3"/>
  <c r="F16" i="3"/>
  <c r="E16" i="3"/>
  <c r="D16" i="3"/>
  <c r="C16" i="3"/>
  <c r="B16" i="3"/>
  <c r="A16" i="3"/>
  <c r="M15" i="3"/>
  <c r="L15" i="3"/>
  <c r="K15" i="3"/>
  <c r="J15" i="3"/>
  <c r="I15" i="3"/>
  <c r="H15" i="3"/>
  <c r="G15" i="3"/>
  <c r="F15" i="3"/>
  <c r="E15" i="3"/>
  <c r="D15" i="3"/>
  <c r="C15" i="3"/>
  <c r="B15" i="3"/>
  <c r="A15" i="3"/>
  <c r="M14" i="3"/>
  <c r="L14" i="3"/>
  <c r="K14" i="3"/>
  <c r="J14" i="3"/>
  <c r="I14" i="3"/>
  <c r="H14" i="3"/>
  <c r="G14" i="3"/>
  <c r="F14" i="3"/>
  <c r="E14" i="3"/>
  <c r="D14" i="3"/>
  <c r="C14" i="3"/>
  <c r="B14" i="3"/>
  <c r="A14" i="3"/>
  <c r="M13" i="3"/>
  <c r="L13" i="3"/>
  <c r="K13" i="3"/>
  <c r="J13" i="3"/>
  <c r="I13" i="3"/>
  <c r="H13" i="3"/>
  <c r="G13" i="3"/>
  <c r="F13" i="3"/>
  <c r="E13" i="3"/>
  <c r="D13" i="3"/>
  <c r="C13" i="3"/>
  <c r="B13" i="3"/>
  <c r="A13" i="3"/>
  <c r="M12" i="3"/>
  <c r="L12" i="3"/>
  <c r="K12" i="3"/>
  <c r="J12" i="3"/>
  <c r="I12" i="3"/>
  <c r="H12" i="3"/>
  <c r="G12" i="3"/>
  <c r="F12" i="3"/>
  <c r="E12" i="3"/>
  <c r="D12" i="3"/>
  <c r="C12" i="3"/>
  <c r="B12" i="3"/>
  <c r="A12" i="3"/>
  <c r="M11" i="3"/>
  <c r="L11" i="3"/>
  <c r="K11" i="3"/>
  <c r="J11" i="3"/>
  <c r="I11" i="3"/>
  <c r="H11" i="3"/>
  <c r="G11" i="3"/>
  <c r="F11" i="3"/>
  <c r="E11" i="3"/>
  <c r="D11" i="3"/>
  <c r="C11" i="3"/>
  <c r="B11" i="3"/>
  <c r="A11" i="3"/>
  <c r="M10" i="3"/>
  <c r="L10" i="3"/>
  <c r="K10" i="3"/>
  <c r="J10" i="3"/>
  <c r="I10" i="3"/>
  <c r="H10" i="3"/>
  <c r="G10" i="3"/>
  <c r="E10" i="3"/>
  <c r="D10" i="3"/>
  <c r="C10" i="3"/>
  <c r="B10" i="3"/>
  <c r="A10" i="3"/>
  <c r="M9" i="3"/>
  <c r="L9" i="3"/>
  <c r="K9" i="3"/>
  <c r="J9" i="3"/>
  <c r="I9" i="3"/>
  <c r="H9" i="3"/>
  <c r="G9" i="3"/>
  <c r="E9" i="3"/>
  <c r="D9" i="3"/>
  <c r="C9" i="3"/>
  <c r="B9" i="3"/>
  <c r="A9" i="3"/>
  <c r="N10" i="3" l="1"/>
  <c r="O10" i="3" s="1"/>
  <c r="AO3" i="2" s="1"/>
  <c r="N14" i="3"/>
  <c r="O14" i="3" s="1"/>
  <c r="AO7" i="2" s="1"/>
  <c r="N18" i="3"/>
  <c r="O18" i="3" s="1"/>
  <c r="AO11" i="2" s="1"/>
  <c r="N22" i="3"/>
  <c r="O22" i="3" s="1"/>
  <c r="AO15" i="2" s="1"/>
  <c r="N26" i="3"/>
  <c r="O26" i="3" s="1"/>
  <c r="AO19" i="2" s="1"/>
  <c r="N30" i="3"/>
  <c r="O30" i="3" s="1"/>
  <c r="AO23" i="2" s="1"/>
  <c r="N34" i="3"/>
  <c r="O34" i="3" s="1"/>
  <c r="AO27" i="2" s="1"/>
  <c r="N38" i="3"/>
  <c r="O38" i="3" s="1"/>
  <c r="AO31" i="2" s="1"/>
  <c r="N42" i="3"/>
  <c r="O42" i="3" s="1"/>
  <c r="AO35" i="2" s="1"/>
  <c r="N46" i="3"/>
  <c r="O46" i="3" s="1"/>
  <c r="AO39" i="2" s="1"/>
  <c r="N50" i="3"/>
  <c r="O50" i="3" s="1"/>
  <c r="AO43" i="2" s="1"/>
  <c r="N54" i="3"/>
  <c r="O54" i="3" s="1"/>
  <c r="AO47" i="2" s="1"/>
  <c r="N58" i="3"/>
  <c r="O58" i="3" s="1"/>
  <c r="AO51" i="2" s="1"/>
  <c r="N690" i="3"/>
  <c r="O690" i="3" s="1"/>
  <c r="AO683" i="2" s="1"/>
  <c r="N694" i="3"/>
  <c r="O694" i="3" s="1"/>
  <c r="AO687" i="2" s="1"/>
  <c r="N698" i="3"/>
  <c r="O698" i="3" s="1"/>
  <c r="AO691" i="2" s="1"/>
  <c r="N702" i="3"/>
  <c r="O702" i="3" s="1"/>
  <c r="AO695" i="2" s="1"/>
  <c r="N706" i="3"/>
  <c r="O706" i="3" s="1"/>
  <c r="AO699" i="2" s="1"/>
  <c r="N710" i="3"/>
  <c r="O710" i="3" s="1"/>
  <c r="AO703" i="2" s="1"/>
  <c r="N714" i="3"/>
  <c r="O714" i="3" s="1"/>
  <c r="AO707" i="2" s="1"/>
  <c r="N718" i="3"/>
  <c r="O718" i="3" s="1"/>
  <c r="AO711" i="2" s="1"/>
  <c r="N722" i="3"/>
  <c r="O722" i="3" s="1"/>
  <c r="AO715" i="2" s="1"/>
  <c r="N726" i="3"/>
  <c r="O726" i="3" s="1"/>
  <c r="AO719" i="2" s="1"/>
  <c r="N730" i="3"/>
  <c r="O730" i="3" s="1"/>
  <c r="AO723" i="2" s="1"/>
  <c r="N734" i="3"/>
  <c r="O734" i="3" s="1"/>
  <c r="AO727" i="2" s="1"/>
  <c r="N738" i="3"/>
  <c r="O738" i="3" s="1"/>
  <c r="AO731" i="2" s="1"/>
  <c r="N742" i="3"/>
  <c r="O742" i="3" s="1"/>
  <c r="AO735" i="2" s="1"/>
  <c r="N746" i="3"/>
  <c r="O746" i="3" s="1"/>
  <c r="AO739" i="2" s="1"/>
  <c r="N750" i="3"/>
  <c r="O750" i="3" s="1"/>
  <c r="AO743" i="2" s="1"/>
  <c r="N754" i="3"/>
  <c r="O754" i="3" s="1"/>
  <c r="AO747" i="2" s="1"/>
  <c r="N758" i="3"/>
  <c r="O758" i="3" s="1"/>
  <c r="AO751" i="2" s="1"/>
  <c r="N762" i="3"/>
  <c r="O762" i="3" s="1"/>
  <c r="AO755" i="2" s="1"/>
  <c r="N766" i="3"/>
  <c r="O766" i="3" s="1"/>
  <c r="AO759" i="2" s="1"/>
  <c r="N770" i="3"/>
  <c r="O770" i="3" s="1"/>
  <c r="AO763" i="2" s="1"/>
  <c r="N774" i="3"/>
  <c r="O774" i="3" s="1"/>
  <c r="AO767" i="2" s="1"/>
  <c r="N778" i="3"/>
  <c r="O778" i="3" s="1"/>
  <c r="AO771" i="2" s="1"/>
  <c r="N782" i="3"/>
  <c r="O782" i="3" s="1"/>
  <c r="AO775" i="2" s="1"/>
  <c r="N786" i="3"/>
  <c r="O786" i="3" s="1"/>
  <c r="AO779" i="2" s="1"/>
  <c r="N790" i="3"/>
  <c r="O790" i="3" s="1"/>
  <c r="AO783" i="2" s="1"/>
  <c r="N794" i="3"/>
  <c r="O794" i="3" s="1"/>
  <c r="AO787" i="2" s="1"/>
  <c r="N798" i="3"/>
  <c r="O798" i="3" s="1"/>
  <c r="AO791" i="2" s="1"/>
  <c r="N802" i="3"/>
  <c r="O802" i="3" s="1"/>
  <c r="AO795" i="2" s="1"/>
  <c r="N806" i="3"/>
  <c r="O806" i="3" s="1"/>
  <c r="AO799" i="2" s="1"/>
  <c r="N810" i="3"/>
  <c r="O810" i="3" s="1"/>
  <c r="AO803" i="2" s="1"/>
  <c r="N814" i="3"/>
  <c r="O814" i="3" s="1"/>
  <c r="AO807" i="2" s="1"/>
  <c r="N818" i="3"/>
  <c r="O818" i="3" s="1"/>
  <c r="AO811" i="2" s="1"/>
  <c r="N822" i="3"/>
  <c r="O822" i="3" s="1"/>
  <c r="AO815" i="2" s="1"/>
  <c r="N826" i="3"/>
  <c r="O826" i="3" s="1"/>
  <c r="AO819" i="2" s="1"/>
  <c r="N830" i="3"/>
  <c r="O830" i="3" s="1"/>
  <c r="AO823" i="2" s="1"/>
  <c r="N834" i="3"/>
  <c r="O834" i="3" s="1"/>
  <c r="AO827" i="2" s="1"/>
  <c r="N838" i="3"/>
  <c r="O838" i="3" s="1"/>
  <c r="AO831" i="2" s="1"/>
  <c r="N842" i="3"/>
  <c r="O842" i="3" s="1"/>
  <c r="AO835" i="2" s="1"/>
  <c r="N846" i="3"/>
  <c r="O846" i="3" s="1"/>
  <c r="AO839" i="2" s="1"/>
  <c r="N850" i="3"/>
  <c r="O850" i="3" s="1"/>
  <c r="AO843" i="2" s="1"/>
  <c r="N854" i="3"/>
  <c r="O854" i="3" s="1"/>
  <c r="AO847" i="2" s="1"/>
  <c r="N858" i="3"/>
  <c r="O858" i="3" s="1"/>
  <c r="AO851" i="2" s="1"/>
  <c r="N862" i="3"/>
  <c r="O862" i="3" s="1"/>
  <c r="AO855" i="2" s="1"/>
  <c r="N866" i="3"/>
  <c r="O866" i="3" s="1"/>
  <c r="AO859" i="2" s="1"/>
  <c r="N870" i="3"/>
  <c r="O870" i="3" s="1"/>
  <c r="AO863" i="2" s="1"/>
  <c r="N874" i="3"/>
  <c r="O874" i="3" s="1"/>
  <c r="AO867" i="2" s="1"/>
  <c r="N878" i="3"/>
  <c r="O878" i="3" s="1"/>
  <c r="AO871" i="2" s="1"/>
  <c r="N882" i="3"/>
  <c r="O882" i="3" s="1"/>
  <c r="AO875" i="2" s="1"/>
  <c r="N886" i="3"/>
  <c r="O886" i="3" s="1"/>
  <c r="AO879" i="2" s="1"/>
  <c r="N890" i="3"/>
  <c r="O890" i="3" s="1"/>
  <c r="AO883" i="2" s="1"/>
  <c r="N894" i="3"/>
  <c r="O894" i="3" s="1"/>
  <c r="AO887" i="2" s="1"/>
  <c r="N898" i="3"/>
  <c r="O898" i="3" s="1"/>
  <c r="AO891" i="2" s="1"/>
  <c r="N902" i="3"/>
  <c r="O902" i="3" s="1"/>
  <c r="AO895" i="2" s="1"/>
  <c r="N906" i="3"/>
  <c r="O906" i="3" s="1"/>
  <c r="AO899" i="2" s="1"/>
  <c r="N910" i="3"/>
  <c r="O910" i="3" s="1"/>
  <c r="AO903" i="2" s="1"/>
  <c r="N914" i="3"/>
  <c r="O914" i="3" s="1"/>
  <c r="AO907" i="2" s="1"/>
  <c r="N918" i="3"/>
  <c r="O918" i="3" s="1"/>
  <c r="AO911" i="2" s="1"/>
  <c r="N922" i="3"/>
  <c r="O922" i="3" s="1"/>
  <c r="AO915" i="2" s="1"/>
  <c r="N926" i="3"/>
  <c r="O926" i="3" s="1"/>
  <c r="AO919" i="2" s="1"/>
  <c r="N930" i="3"/>
  <c r="O930" i="3" s="1"/>
  <c r="AO923" i="2" s="1"/>
  <c r="N934" i="3"/>
  <c r="O934" i="3" s="1"/>
  <c r="AO927" i="2" s="1"/>
  <c r="N938" i="3"/>
  <c r="O938" i="3" s="1"/>
  <c r="AO931" i="2" s="1"/>
  <c r="N942" i="3"/>
  <c r="O942" i="3" s="1"/>
  <c r="AO935" i="2" s="1"/>
  <c r="N946" i="3"/>
  <c r="O946" i="3" s="1"/>
  <c r="AO939" i="2" s="1"/>
  <c r="N950" i="3"/>
  <c r="O950" i="3" s="1"/>
  <c r="AO943" i="2" s="1"/>
  <c r="N954" i="3"/>
  <c r="O954" i="3" s="1"/>
  <c r="AO947" i="2" s="1"/>
  <c r="N958" i="3"/>
  <c r="O958" i="3" s="1"/>
  <c r="AO951" i="2" s="1"/>
  <c r="N962" i="3"/>
  <c r="O962" i="3" s="1"/>
  <c r="AO955" i="2" s="1"/>
  <c r="N966" i="3"/>
  <c r="O966" i="3" s="1"/>
  <c r="AO959" i="2" s="1"/>
  <c r="N970" i="3"/>
  <c r="O970" i="3" s="1"/>
  <c r="AO963" i="2" s="1"/>
  <c r="N974" i="3"/>
  <c r="O974" i="3" s="1"/>
  <c r="AO967" i="2" s="1"/>
  <c r="N978" i="3"/>
  <c r="O978" i="3" s="1"/>
  <c r="AO971" i="2" s="1"/>
  <c r="N982" i="3"/>
  <c r="O982" i="3" s="1"/>
  <c r="AO975" i="2" s="1"/>
  <c r="N986" i="3"/>
  <c r="O986" i="3" s="1"/>
  <c r="AO979" i="2" s="1"/>
  <c r="N990" i="3"/>
  <c r="O990" i="3" s="1"/>
  <c r="AO983" i="2" s="1"/>
  <c r="N994" i="3"/>
  <c r="O994" i="3" s="1"/>
  <c r="AO987" i="2" s="1"/>
  <c r="N998" i="3"/>
  <c r="O998" i="3" s="1"/>
  <c r="AO991" i="2" s="1"/>
  <c r="N1002" i="3"/>
  <c r="O1002" i="3" s="1"/>
  <c r="AO995" i="2" s="1"/>
  <c r="N1006" i="3"/>
  <c r="O1006" i="3" s="1"/>
  <c r="AO999" i="2" s="1"/>
  <c r="N1010" i="3"/>
  <c r="O1010" i="3" s="1"/>
  <c r="AO1003" i="2" s="1"/>
  <c r="N63" i="3"/>
  <c r="O63" i="3" s="1"/>
  <c r="AO56" i="2" s="1"/>
  <c r="N67" i="3"/>
  <c r="O67" i="3" s="1"/>
  <c r="AO60" i="2" s="1"/>
  <c r="N71" i="3"/>
  <c r="O71" i="3" s="1"/>
  <c r="AO64" i="2" s="1"/>
  <c r="N75" i="3"/>
  <c r="O75" i="3" s="1"/>
  <c r="AO68" i="2" s="1"/>
  <c r="N79" i="3"/>
  <c r="O79" i="3" s="1"/>
  <c r="AO72" i="2" s="1"/>
  <c r="N83" i="3"/>
  <c r="O83" i="3" s="1"/>
  <c r="AO76" i="2" s="1"/>
  <c r="N87" i="3"/>
  <c r="O87" i="3" s="1"/>
  <c r="AO80" i="2" s="1"/>
  <c r="N91" i="3"/>
  <c r="O91" i="3" s="1"/>
  <c r="AO84" i="2" s="1"/>
  <c r="N95" i="3"/>
  <c r="O95" i="3" s="1"/>
  <c r="AO88" i="2" s="1"/>
  <c r="N99" i="3"/>
  <c r="O99" i="3" s="1"/>
  <c r="AO92" i="2" s="1"/>
  <c r="N103" i="3"/>
  <c r="O103" i="3" s="1"/>
  <c r="AO96" i="2" s="1"/>
  <c r="N107" i="3"/>
  <c r="O107" i="3" s="1"/>
  <c r="AO100" i="2" s="1"/>
  <c r="N111" i="3"/>
  <c r="O111" i="3" s="1"/>
  <c r="AO104" i="2" s="1"/>
  <c r="N115" i="3"/>
  <c r="O115" i="3" s="1"/>
  <c r="AO108" i="2" s="1"/>
  <c r="N119" i="3"/>
  <c r="O119" i="3" s="1"/>
  <c r="AO112" i="2" s="1"/>
  <c r="N123" i="3"/>
  <c r="O123" i="3" s="1"/>
  <c r="AO116" i="2" s="1"/>
  <c r="N127" i="3"/>
  <c r="O127" i="3" s="1"/>
  <c r="AO120" i="2" s="1"/>
  <c r="N131" i="3"/>
  <c r="O131" i="3" s="1"/>
  <c r="AO124" i="2" s="1"/>
  <c r="N135" i="3"/>
  <c r="O135" i="3" s="1"/>
  <c r="AO128" i="2" s="1"/>
  <c r="N139" i="3"/>
  <c r="O139" i="3" s="1"/>
  <c r="AO132" i="2" s="1"/>
  <c r="N143" i="3"/>
  <c r="O143" i="3" s="1"/>
  <c r="AO136" i="2" s="1"/>
  <c r="N147" i="3"/>
  <c r="O147" i="3" s="1"/>
  <c r="AO140" i="2" s="1"/>
  <c r="N151" i="3"/>
  <c r="O151" i="3" s="1"/>
  <c r="AO144" i="2" s="1"/>
  <c r="N155" i="3"/>
  <c r="O155" i="3" s="1"/>
  <c r="AO148" i="2" s="1"/>
  <c r="N159" i="3"/>
  <c r="O159" i="3" s="1"/>
  <c r="AO152" i="2" s="1"/>
  <c r="N163" i="3"/>
  <c r="O163" i="3" s="1"/>
  <c r="AO156" i="2" s="1"/>
  <c r="N167" i="3"/>
  <c r="O167" i="3" s="1"/>
  <c r="AO160" i="2" s="1"/>
  <c r="N171" i="3"/>
  <c r="O171" i="3" s="1"/>
  <c r="AO164" i="2" s="1"/>
  <c r="N175" i="3"/>
  <c r="O175" i="3" s="1"/>
  <c r="AO168" i="2" s="1"/>
  <c r="N179" i="3"/>
  <c r="O179" i="3" s="1"/>
  <c r="AO172" i="2" s="1"/>
  <c r="N183" i="3"/>
  <c r="O183" i="3" s="1"/>
  <c r="AO176" i="2" s="1"/>
  <c r="N187" i="3"/>
  <c r="O187" i="3" s="1"/>
  <c r="AO180" i="2" s="1"/>
  <c r="N191" i="3"/>
  <c r="O191" i="3" s="1"/>
  <c r="AO184" i="2" s="1"/>
  <c r="N195" i="3"/>
  <c r="O195" i="3" s="1"/>
  <c r="AO188" i="2" s="1"/>
  <c r="N199" i="3"/>
  <c r="O199" i="3" s="1"/>
  <c r="AO192" i="2" s="1"/>
  <c r="N203" i="3"/>
  <c r="O203" i="3" s="1"/>
  <c r="AO196" i="2" s="1"/>
  <c r="N207" i="3"/>
  <c r="O207" i="3" s="1"/>
  <c r="AO200" i="2" s="1"/>
  <c r="N211" i="3"/>
  <c r="O211" i="3" s="1"/>
  <c r="AO204" i="2" s="1"/>
  <c r="N215" i="3"/>
  <c r="O215" i="3" s="1"/>
  <c r="AO208" i="2" s="1"/>
  <c r="N219" i="3"/>
  <c r="O219" i="3" s="1"/>
  <c r="AO212" i="2" s="1"/>
  <c r="N223" i="3"/>
  <c r="O223" i="3" s="1"/>
  <c r="AO216" i="2" s="1"/>
  <c r="N227" i="3"/>
  <c r="O227" i="3" s="1"/>
  <c r="AO220" i="2" s="1"/>
  <c r="N231" i="3"/>
  <c r="O231" i="3" s="1"/>
  <c r="AO224" i="2" s="1"/>
  <c r="N235" i="3"/>
  <c r="O235" i="3" s="1"/>
  <c r="AO228" i="2" s="1"/>
  <c r="N239" i="3"/>
  <c r="O239" i="3" s="1"/>
  <c r="AO232" i="2" s="1"/>
  <c r="N243" i="3"/>
  <c r="O243" i="3" s="1"/>
  <c r="AO236" i="2" s="1"/>
  <c r="N247" i="3"/>
  <c r="O247" i="3" s="1"/>
  <c r="AO240" i="2" s="1"/>
  <c r="N251" i="3"/>
  <c r="O251" i="3" s="1"/>
  <c r="AO244" i="2" s="1"/>
  <c r="N255" i="3"/>
  <c r="O255" i="3" s="1"/>
  <c r="AO248" i="2" s="1"/>
  <c r="N259" i="3"/>
  <c r="O259" i="3" s="1"/>
  <c r="AO252" i="2" s="1"/>
  <c r="N263" i="3"/>
  <c r="O263" i="3" s="1"/>
  <c r="AO256" i="2" s="1"/>
  <c r="N267" i="3"/>
  <c r="O267" i="3" s="1"/>
  <c r="AO260" i="2" s="1"/>
  <c r="N271" i="3"/>
  <c r="O271" i="3" s="1"/>
  <c r="AO264" i="2" s="1"/>
  <c r="N275" i="3"/>
  <c r="O275" i="3" s="1"/>
  <c r="AO268" i="2" s="1"/>
  <c r="N279" i="3"/>
  <c r="O279" i="3" s="1"/>
  <c r="AO272" i="2" s="1"/>
  <c r="N283" i="3"/>
  <c r="O283" i="3" s="1"/>
  <c r="AO276" i="2" s="1"/>
  <c r="N287" i="3"/>
  <c r="O287" i="3" s="1"/>
  <c r="AO280" i="2" s="1"/>
  <c r="N291" i="3"/>
  <c r="O291" i="3" s="1"/>
  <c r="AO284" i="2" s="1"/>
  <c r="N295" i="3"/>
  <c r="O295" i="3" s="1"/>
  <c r="AO288" i="2" s="1"/>
  <c r="N299" i="3"/>
  <c r="O299" i="3" s="1"/>
  <c r="AO292" i="2" s="1"/>
  <c r="N303" i="3"/>
  <c r="O303" i="3" s="1"/>
  <c r="AO296" i="2" s="1"/>
  <c r="N307" i="3"/>
  <c r="O307" i="3" s="1"/>
  <c r="AO300" i="2" s="1"/>
  <c r="N311" i="3"/>
  <c r="O311" i="3" s="1"/>
  <c r="AO304" i="2" s="1"/>
  <c r="N315" i="3"/>
  <c r="O315" i="3" s="1"/>
  <c r="AO308" i="2" s="1"/>
  <c r="N319" i="3"/>
  <c r="O319" i="3" s="1"/>
  <c r="AO312" i="2" s="1"/>
  <c r="N323" i="3"/>
  <c r="O323" i="3" s="1"/>
  <c r="AO316" i="2" s="1"/>
  <c r="N327" i="3"/>
  <c r="O327" i="3" s="1"/>
  <c r="AO320" i="2" s="1"/>
  <c r="N331" i="3"/>
  <c r="O331" i="3" s="1"/>
  <c r="AO324" i="2" s="1"/>
  <c r="N335" i="3"/>
  <c r="O335" i="3" s="1"/>
  <c r="AO328" i="2" s="1"/>
  <c r="N339" i="3"/>
  <c r="O339" i="3" s="1"/>
  <c r="AO332" i="2" s="1"/>
  <c r="N343" i="3"/>
  <c r="O343" i="3" s="1"/>
  <c r="AO336" i="2" s="1"/>
  <c r="N347" i="3"/>
  <c r="O347" i="3" s="1"/>
  <c r="AO340" i="2" s="1"/>
  <c r="N359" i="3"/>
  <c r="O359" i="3" s="1"/>
  <c r="AO352" i="2" s="1"/>
  <c r="N363" i="3"/>
  <c r="O363" i="3" s="1"/>
  <c r="AO356" i="2" s="1"/>
  <c r="N367" i="3"/>
  <c r="O367" i="3" s="1"/>
  <c r="AO360" i="2" s="1"/>
  <c r="N371" i="3"/>
  <c r="O371" i="3" s="1"/>
  <c r="AO364" i="2" s="1"/>
  <c r="N375" i="3"/>
  <c r="O375" i="3" s="1"/>
  <c r="AO368" i="2" s="1"/>
  <c r="N379" i="3"/>
  <c r="O379" i="3" s="1"/>
  <c r="AO372" i="2" s="1"/>
  <c r="N383" i="3"/>
  <c r="O383" i="3" s="1"/>
  <c r="AO376" i="2" s="1"/>
  <c r="N387" i="3"/>
  <c r="O387" i="3" s="1"/>
  <c r="AO380" i="2" s="1"/>
  <c r="N391" i="3"/>
  <c r="O391" i="3" s="1"/>
  <c r="AO384" i="2" s="1"/>
  <c r="N395" i="3"/>
  <c r="O395" i="3" s="1"/>
  <c r="AO388" i="2" s="1"/>
  <c r="N399" i="3"/>
  <c r="O399" i="3" s="1"/>
  <c r="AO392" i="2" s="1"/>
  <c r="N555" i="3"/>
  <c r="O555" i="3" s="1"/>
  <c r="AO548" i="2" s="1"/>
  <c r="N559" i="3"/>
  <c r="O559" i="3" s="1"/>
  <c r="AO552" i="2" s="1"/>
  <c r="N563" i="3"/>
  <c r="O563" i="3" s="1"/>
  <c r="AO556" i="2" s="1"/>
  <c r="N567" i="3"/>
  <c r="O567" i="3" s="1"/>
  <c r="AO560" i="2" s="1"/>
  <c r="N571" i="3"/>
  <c r="O571" i="3" s="1"/>
  <c r="AO564" i="2" s="1"/>
  <c r="N575" i="3"/>
  <c r="O575" i="3" s="1"/>
  <c r="AO568" i="2" s="1"/>
  <c r="N579" i="3"/>
  <c r="O579" i="3" s="1"/>
  <c r="AO572" i="2" s="1"/>
  <c r="N583" i="3"/>
  <c r="O583" i="3" s="1"/>
  <c r="AO576" i="2" s="1"/>
  <c r="N587" i="3"/>
  <c r="O587" i="3" s="1"/>
  <c r="AO580" i="2" s="1"/>
  <c r="N591" i="3"/>
  <c r="O591" i="3" s="1"/>
  <c r="AO584" i="2" s="1"/>
  <c r="N595" i="3"/>
  <c r="O595" i="3" s="1"/>
  <c r="AO588" i="2" s="1"/>
  <c r="N599" i="3"/>
  <c r="O599" i="3" s="1"/>
  <c r="AO592" i="2" s="1"/>
  <c r="N603" i="3"/>
  <c r="O603" i="3" s="1"/>
  <c r="AO596" i="2" s="1"/>
  <c r="N607" i="3"/>
  <c r="O607" i="3" s="1"/>
  <c r="AO600" i="2" s="1"/>
  <c r="N611" i="3"/>
  <c r="O611" i="3" s="1"/>
  <c r="AO604" i="2" s="1"/>
  <c r="N615" i="3"/>
  <c r="O615" i="3" s="1"/>
  <c r="AO608" i="2" s="1"/>
  <c r="N619" i="3"/>
  <c r="O619" i="3" s="1"/>
  <c r="AO612" i="2" s="1"/>
  <c r="N623" i="3"/>
  <c r="O623" i="3" s="1"/>
  <c r="AO616" i="2" s="1"/>
  <c r="N627" i="3"/>
  <c r="O627" i="3" s="1"/>
  <c r="AO620" i="2" s="1"/>
  <c r="N631" i="3"/>
  <c r="O631" i="3" s="1"/>
  <c r="AO624" i="2" s="1"/>
  <c r="N635" i="3"/>
  <c r="O635" i="3" s="1"/>
  <c r="AO628" i="2" s="1"/>
  <c r="N639" i="3"/>
  <c r="O639" i="3" s="1"/>
  <c r="AO632" i="2" s="1"/>
  <c r="N643" i="3"/>
  <c r="O643" i="3" s="1"/>
  <c r="AO636" i="2" s="1"/>
  <c r="N647" i="3"/>
  <c r="O647" i="3" s="1"/>
  <c r="AO640" i="2" s="1"/>
  <c r="N651" i="3"/>
  <c r="O651" i="3" s="1"/>
  <c r="AO644" i="2" s="1"/>
  <c r="N655" i="3"/>
  <c r="O655" i="3" s="1"/>
  <c r="AO648" i="2" s="1"/>
  <c r="N659" i="3"/>
  <c r="O659" i="3" s="1"/>
  <c r="AO652" i="2" s="1"/>
  <c r="N663" i="3"/>
  <c r="O663" i="3" s="1"/>
  <c r="AO656" i="2" s="1"/>
  <c r="N667" i="3"/>
  <c r="O667" i="3" s="1"/>
  <c r="AO660" i="2" s="1"/>
  <c r="N671" i="3"/>
  <c r="O671" i="3" s="1"/>
  <c r="AO664" i="2" s="1"/>
  <c r="N675" i="3"/>
  <c r="O675" i="3" s="1"/>
  <c r="AO668" i="2" s="1"/>
  <c r="N679" i="3"/>
  <c r="O679" i="3" s="1"/>
  <c r="AO672" i="2" s="1"/>
  <c r="N683" i="3"/>
  <c r="O683" i="3" s="1"/>
  <c r="AO676" i="2" s="1"/>
  <c r="N1015" i="3"/>
  <c r="O1015" i="3" s="1"/>
  <c r="AO1008" i="2" s="1"/>
  <c r="N1019" i="3"/>
  <c r="O1019" i="3" s="1"/>
  <c r="AO1012" i="2" s="1"/>
  <c r="N1023" i="3"/>
  <c r="O1023" i="3" s="1"/>
  <c r="AO1016" i="2" s="1"/>
  <c r="N1027" i="3"/>
  <c r="O1027" i="3" s="1"/>
  <c r="AO1020" i="2" s="1"/>
  <c r="N1031" i="3"/>
  <c r="O1031" i="3" s="1"/>
  <c r="AO1024" i="2" s="1"/>
  <c r="N1035" i="3"/>
  <c r="O1035" i="3" s="1"/>
  <c r="AO1028" i="2" s="1"/>
  <c r="N1039" i="3"/>
  <c r="O1039" i="3" s="1"/>
  <c r="AO1032" i="2" s="1"/>
  <c r="N1043" i="3"/>
  <c r="O1043" i="3" s="1"/>
  <c r="AO1036" i="2" s="1"/>
  <c r="N1047" i="3"/>
  <c r="O1047" i="3" s="1"/>
  <c r="AO1040" i="2" s="1"/>
  <c r="N1051" i="3"/>
  <c r="O1051" i="3" s="1"/>
  <c r="AO1044" i="2" s="1"/>
  <c r="N1055" i="3"/>
  <c r="O1055" i="3" s="1"/>
  <c r="AO1048" i="2" s="1"/>
  <c r="N1059" i="3"/>
  <c r="O1059" i="3" s="1"/>
  <c r="AO1052" i="2" s="1"/>
  <c r="N1063" i="3"/>
  <c r="O1063" i="3" s="1"/>
  <c r="AO1056" i="2" s="1"/>
  <c r="N1067" i="3"/>
  <c r="O1067" i="3" s="1"/>
  <c r="AO1060" i="2" s="1"/>
  <c r="N1071" i="3"/>
  <c r="O1071" i="3" s="1"/>
  <c r="AO1064" i="2" s="1"/>
  <c r="N1075" i="3"/>
  <c r="O1075" i="3" s="1"/>
  <c r="AO1068" i="2" s="1"/>
  <c r="N1079" i="3"/>
  <c r="O1079" i="3" s="1"/>
  <c r="AO1072" i="2" s="1"/>
  <c r="N1083" i="3"/>
  <c r="O1083" i="3" s="1"/>
  <c r="AO1076" i="2" s="1"/>
  <c r="N1087" i="3"/>
  <c r="O1087" i="3" s="1"/>
  <c r="AO1080" i="2" s="1"/>
  <c r="N1091" i="3"/>
  <c r="O1091" i="3" s="1"/>
  <c r="AO1084" i="2" s="1"/>
  <c r="N1095" i="3"/>
  <c r="O1095" i="3" s="1"/>
  <c r="AO1088" i="2" s="1"/>
  <c r="N1099" i="3"/>
  <c r="O1099" i="3" s="1"/>
  <c r="AO1092" i="2" s="1"/>
  <c r="N1103" i="3"/>
  <c r="O1103" i="3" s="1"/>
  <c r="AO1096" i="2" s="1"/>
  <c r="N1107" i="3"/>
  <c r="O1107" i="3" s="1"/>
  <c r="AO1100" i="2" s="1"/>
  <c r="N1111" i="3"/>
  <c r="O1111" i="3" s="1"/>
  <c r="AO1104" i="2" s="1"/>
  <c r="N1115" i="3"/>
  <c r="O1115" i="3" s="1"/>
  <c r="AO1108" i="2" s="1"/>
  <c r="N1119" i="3"/>
  <c r="O1119" i="3" s="1"/>
  <c r="AO1112" i="2" s="1"/>
  <c r="N1123" i="3"/>
  <c r="O1123" i="3" s="1"/>
  <c r="AO1116" i="2" s="1"/>
  <c r="N1127" i="3"/>
  <c r="O1127" i="3" s="1"/>
  <c r="AO1120" i="2" s="1"/>
  <c r="N1131" i="3"/>
  <c r="O1131" i="3" s="1"/>
  <c r="AO1124" i="2" s="1"/>
  <c r="N1135" i="3"/>
  <c r="O1135" i="3" s="1"/>
  <c r="AO1128" i="2" s="1"/>
  <c r="N1139" i="3"/>
  <c r="O1139" i="3" s="1"/>
  <c r="AO1132" i="2" s="1"/>
  <c r="N1143" i="3"/>
  <c r="O1143" i="3" s="1"/>
  <c r="AO1136" i="2" s="1"/>
  <c r="N1147" i="3"/>
  <c r="O1147" i="3" s="1"/>
  <c r="AO1140" i="2" s="1"/>
  <c r="N1151" i="3"/>
  <c r="O1151" i="3" s="1"/>
  <c r="AO1144" i="2" s="1"/>
  <c r="N1155" i="3"/>
  <c r="O1155" i="3" s="1"/>
  <c r="AO1148" i="2" s="1"/>
  <c r="N1159" i="3"/>
  <c r="O1159" i="3" s="1"/>
  <c r="AO1152" i="2" s="1"/>
  <c r="N1163" i="3"/>
  <c r="O1163" i="3" s="1"/>
  <c r="AO1156" i="2" s="1"/>
  <c r="N1167" i="3"/>
  <c r="O1167" i="3" s="1"/>
  <c r="AO1160" i="2" s="1"/>
  <c r="N1171" i="3"/>
  <c r="O1171" i="3" s="1"/>
  <c r="AO1164" i="2" s="1"/>
  <c r="N1175" i="3"/>
  <c r="O1175" i="3" s="1"/>
  <c r="AO1168" i="2" s="1"/>
  <c r="N1199" i="3"/>
  <c r="O1199" i="3" s="1"/>
  <c r="AO1192" i="2" s="1"/>
  <c r="N1203" i="3"/>
  <c r="O1203" i="3" s="1"/>
  <c r="AO1196" i="2" s="1"/>
  <c r="N1207" i="3"/>
  <c r="O1207" i="3" s="1"/>
  <c r="AO1200" i="2" s="1"/>
  <c r="N1211" i="3"/>
  <c r="O1211" i="3" s="1"/>
  <c r="AO1204" i="2" s="1"/>
  <c r="N1215" i="3"/>
  <c r="O1215" i="3" s="1"/>
  <c r="AO1208" i="2" s="1"/>
  <c r="N1219" i="3"/>
  <c r="O1219" i="3" s="1"/>
  <c r="AO1212" i="2" s="1"/>
  <c r="N1223" i="3"/>
  <c r="O1223" i="3" s="1"/>
  <c r="AO1216" i="2" s="1"/>
  <c r="N1227" i="3"/>
  <c r="O1227" i="3" s="1"/>
  <c r="AO1220" i="2" s="1"/>
  <c r="N1231" i="3"/>
  <c r="O1231" i="3" s="1"/>
  <c r="AO1224" i="2" s="1"/>
  <c r="N1235" i="3"/>
  <c r="O1235" i="3" s="1"/>
  <c r="AO1228" i="2" s="1"/>
  <c r="N1239" i="3"/>
  <c r="O1239" i="3" s="1"/>
  <c r="AO1232" i="2" s="1"/>
  <c r="N1243" i="3"/>
  <c r="O1243" i="3" s="1"/>
  <c r="AO1236" i="2" s="1"/>
  <c r="N1247" i="3"/>
  <c r="O1247" i="3" s="1"/>
  <c r="AO1240" i="2" s="1"/>
  <c r="N1251" i="3"/>
  <c r="O1251" i="3" s="1"/>
  <c r="AO1244" i="2" s="1"/>
  <c r="N1255" i="3"/>
  <c r="O1255" i="3" s="1"/>
  <c r="AO1248" i="2" s="1"/>
  <c r="N1259" i="3"/>
  <c r="O1259" i="3" s="1"/>
  <c r="AO1252" i="2" s="1"/>
  <c r="N1263" i="3"/>
  <c r="O1263" i="3" s="1"/>
  <c r="AO1256" i="2" s="1"/>
  <c r="N1267" i="3"/>
  <c r="O1267" i="3" s="1"/>
  <c r="AO1260" i="2" s="1"/>
  <c r="N1271" i="3"/>
  <c r="O1271" i="3" s="1"/>
  <c r="AO1264" i="2" s="1"/>
  <c r="N1275" i="3"/>
  <c r="O1275" i="3" s="1"/>
  <c r="AO1268" i="2" s="1"/>
  <c r="N1279" i="3"/>
  <c r="O1279" i="3" s="1"/>
  <c r="AO1272" i="2" s="1"/>
  <c r="N1283" i="3"/>
  <c r="O1283" i="3" s="1"/>
  <c r="AO1276" i="2" s="1"/>
  <c r="N1287" i="3"/>
  <c r="O1287" i="3" s="1"/>
  <c r="AO1280" i="2" s="1"/>
  <c r="N1291" i="3"/>
  <c r="O1291" i="3" s="1"/>
  <c r="AO1284" i="2" s="1"/>
  <c r="N1295" i="3"/>
  <c r="O1295" i="3" s="1"/>
  <c r="AO1288" i="2" s="1"/>
  <c r="N1299" i="3"/>
  <c r="O1299" i="3" s="1"/>
  <c r="AO1292" i="2" s="1"/>
  <c r="N1303" i="3"/>
  <c r="O1303" i="3" s="1"/>
  <c r="AO1296" i="2" s="1"/>
  <c r="N1307" i="3"/>
  <c r="O1307" i="3" s="1"/>
  <c r="AO1300" i="2" s="1"/>
  <c r="N1315" i="3"/>
  <c r="O1315" i="3" s="1"/>
  <c r="AO1308" i="2" s="1"/>
  <c r="N1319" i="3"/>
  <c r="O1319" i="3" s="1"/>
  <c r="AO1312" i="2" s="1"/>
  <c r="N1323" i="3"/>
  <c r="O1323" i="3" s="1"/>
  <c r="AO1316" i="2" s="1"/>
  <c r="N1327" i="3"/>
  <c r="O1327" i="3" s="1"/>
  <c r="AO1320" i="2" s="1"/>
  <c r="N1331" i="3"/>
  <c r="O1331" i="3" s="1"/>
  <c r="AO1324" i="2" s="1"/>
  <c r="N1335" i="3"/>
  <c r="O1335" i="3" s="1"/>
  <c r="AO1328" i="2" s="1"/>
  <c r="N1339" i="3"/>
  <c r="O1339" i="3" s="1"/>
  <c r="AO1332" i="2" s="1"/>
  <c r="N1343" i="3"/>
  <c r="O1343" i="3" s="1"/>
  <c r="AO1336" i="2" s="1"/>
  <c r="N1347" i="3"/>
  <c r="O1347" i="3" s="1"/>
  <c r="AO1340" i="2" s="1"/>
  <c r="N1351" i="3"/>
  <c r="O1351" i="3" s="1"/>
  <c r="AO1344" i="2" s="1"/>
  <c r="N1355" i="3"/>
  <c r="O1355" i="3" s="1"/>
  <c r="AO1348" i="2" s="1"/>
  <c r="N1359" i="3"/>
  <c r="O1359" i="3" s="1"/>
  <c r="AO1352" i="2" s="1"/>
  <c r="N1363" i="3"/>
  <c r="O1363" i="3" s="1"/>
  <c r="AO1356" i="2" s="1"/>
  <c r="N1367" i="3"/>
  <c r="O1367" i="3" s="1"/>
  <c r="AO1360" i="2" s="1"/>
  <c r="N1371" i="3"/>
  <c r="O1371" i="3" s="1"/>
  <c r="AO1364" i="2" s="1"/>
  <c r="N1375" i="3"/>
  <c r="O1375" i="3" s="1"/>
  <c r="AO1368" i="2" s="1"/>
  <c r="N1379" i="3"/>
  <c r="O1379" i="3" s="1"/>
  <c r="AO1372" i="2" s="1"/>
  <c r="N1387" i="3"/>
  <c r="O1387" i="3" s="1"/>
  <c r="AO1380" i="2" s="1"/>
  <c r="N1391" i="3"/>
  <c r="O1391" i="3" s="1"/>
  <c r="AO1384" i="2" s="1"/>
  <c r="N1395" i="3"/>
  <c r="O1395" i="3" s="1"/>
  <c r="AO1388" i="2" s="1"/>
  <c r="N1399" i="3"/>
  <c r="O1399" i="3" s="1"/>
  <c r="AO1392" i="2" s="1"/>
  <c r="N1403" i="3"/>
  <c r="O1403" i="3" s="1"/>
  <c r="AO1396" i="2" s="1"/>
  <c r="N1407" i="3"/>
  <c r="O1407" i="3" s="1"/>
  <c r="AO1400" i="2" s="1"/>
  <c r="N1411" i="3"/>
  <c r="O1411" i="3" s="1"/>
  <c r="AO1404" i="2" s="1"/>
  <c r="N1415" i="3"/>
  <c r="O1415" i="3" s="1"/>
  <c r="AO1408" i="2" s="1"/>
  <c r="N1419" i="3"/>
  <c r="O1419" i="3" s="1"/>
  <c r="AO1412" i="2" s="1"/>
  <c r="N1423" i="3"/>
  <c r="O1423" i="3" s="1"/>
  <c r="AO1416" i="2" s="1"/>
  <c r="N1427" i="3"/>
  <c r="O1427" i="3" s="1"/>
  <c r="AO1420" i="2" s="1"/>
  <c r="N1431" i="3"/>
  <c r="O1431" i="3" s="1"/>
  <c r="AO1424" i="2" s="1"/>
  <c r="N1435" i="3"/>
  <c r="O1435" i="3" s="1"/>
  <c r="AO1428" i="2" s="1"/>
  <c r="N1439" i="3"/>
  <c r="O1439" i="3" s="1"/>
  <c r="AO1432" i="2" s="1"/>
  <c r="N1443" i="3"/>
  <c r="O1443" i="3" s="1"/>
  <c r="AO1436" i="2" s="1"/>
  <c r="N1447" i="3"/>
  <c r="O1447" i="3" s="1"/>
  <c r="AO1440" i="2" s="1"/>
  <c r="N1451" i="3"/>
  <c r="O1451" i="3" s="1"/>
  <c r="AO1444" i="2" s="1"/>
  <c r="N1455" i="3"/>
  <c r="O1455" i="3" s="1"/>
  <c r="AO1448" i="2" s="1"/>
  <c r="N1459" i="3"/>
  <c r="O1459" i="3" s="1"/>
  <c r="AO1452" i="2" s="1"/>
  <c r="N1463" i="3"/>
  <c r="O1463" i="3" s="1"/>
  <c r="AO1456" i="2" s="1"/>
  <c r="N1467" i="3"/>
  <c r="O1467" i="3" s="1"/>
  <c r="AO1460" i="2" s="1"/>
  <c r="N1471" i="3"/>
  <c r="O1471" i="3" s="1"/>
  <c r="AO1464" i="2" s="1"/>
  <c r="N1475" i="3"/>
  <c r="O1475" i="3" s="1"/>
  <c r="AO1468" i="2" s="1"/>
  <c r="N72" i="3"/>
  <c r="O72" i="3" s="1"/>
  <c r="AO65" i="2" s="1"/>
  <c r="N76" i="3"/>
  <c r="O76" i="3" s="1"/>
  <c r="AO69" i="2" s="1"/>
  <c r="N84" i="3"/>
  <c r="O84" i="3" s="1"/>
  <c r="AO77" i="2" s="1"/>
  <c r="N96" i="3"/>
  <c r="O96" i="3" s="1"/>
  <c r="AO89" i="2" s="1"/>
  <c r="N100" i="3"/>
  <c r="O100" i="3" s="1"/>
  <c r="AO93" i="2" s="1"/>
  <c r="N104" i="3"/>
  <c r="O104" i="3" s="1"/>
  <c r="AO97" i="2" s="1"/>
  <c r="N108" i="3"/>
  <c r="O108" i="3" s="1"/>
  <c r="AO101" i="2" s="1"/>
  <c r="N68" i="3"/>
  <c r="O68" i="3" s="1"/>
  <c r="AO61" i="2" s="1"/>
  <c r="N80" i="3"/>
  <c r="O80" i="3" s="1"/>
  <c r="AO73" i="2" s="1"/>
  <c r="N88" i="3"/>
  <c r="O88" i="3" s="1"/>
  <c r="AO81" i="2" s="1"/>
  <c r="N92" i="3"/>
  <c r="O92" i="3" s="1"/>
  <c r="AO85" i="2" s="1"/>
  <c r="N64" i="3"/>
  <c r="O64" i="3" s="1"/>
  <c r="AO57" i="2" s="1"/>
  <c r="N112" i="3"/>
  <c r="O112" i="3" s="1"/>
  <c r="AO105" i="2" s="1"/>
  <c r="N140" i="3"/>
  <c r="O140" i="3" s="1"/>
  <c r="AO133" i="2" s="1"/>
  <c r="N164" i="3"/>
  <c r="O164" i="3" s="1"/>
  <c r="AO157" i="2" s="1"/>
  <c r="N172" i="3"/>
  <c r="O172" i="3" s="1"/>
  <c r="AO165" i="2" s="1"/>
  <c r="N180" i="3"/>
  <c r="O180" i="3" s="1"/>
  <c r="AO173" i="2" s="1"/>
  <c r="N188" i="3"/>
  <c r="O188" i="3" s="1"/>
  <c r="AO181" i="2" s="1"/>
  <c r="N196" i="3"/>
  <c r="O196" i="3" s="1"/>
  <c r="AO189" i="2" s="1"/>
  <c r="N204" i="3"/>
  <c r="O204" i="3" s="1"/>
  <c r="AO197" i="2" s="1"/>
  <c r="N220" i="3"/>
  <c r="O220" i="3" s="1"/>
  <c r="AO213" i="2" s="1"/>
  <c r="N248" i="3"/>
  <c r="O248" i="3" s="1"/>
  <c r="AO241" i="2" s="1"/>
  <c r="N260" i="3"/>
  <c r="O260" i="3" s="1"/>
  <c r="AO253" i="2" s="1"/>
  <c r="N272" i="3"/>
  <c r="O272" i="3" s="1"/>
  <c r="AO265" i="2" s="1"/>
  <c r="N280" i="3"/>
  <c r="O280" i="3" s="1"/>
  <c r="AO273" i="2" s="1"/>
  <c r="N344" i="3"/>
  <c r="O344" i="3" s="1"/>
  <c r="AO337" i="2" s="1"/>
  <c r="N560" i="3"/>
  <c r="O560" i="3" s="1"/>
  <c r="AO553" i="2" s="1"/>
  <c r="N568" i="3"/>
  <c r="O568" i="3" s="1"/>
  <c r="AO561" i="2" s="1"/>
  <c r="N572" i="3"/>
  <c r="O572" i="3" s="1"/>
  <c r="AO565" i="2" s="1"/>
  <c r="N584" i="3"/>
  <c r="O584" i="3" s="1"/>
  <c r="AO577" i="2" s="1"/>
  <c r="N588" i="3"/>
  <c r="O588" i="3" s="1"/>
  <c r="AO581" i="2" s="1"/>
  <c r="N592" i="3"/>
  <c r="O592" i="3" s="1"/>
  <c r="AO585" i="2" s="1"/>
  <c r="N596" i="3"/>
  <c r="O596" i="3" s="1"/>
  <c r="AO589" i="2" s="1"/>
  <c r="N600" i="3"/>
  <c r="O600" i="3" s="1"/>
  <c r="AO593" i="2" s="1"/>
  <c r="N604" i="3"/>
  <c r="O604" i="3" s="1"/>
  <c r="AO597" i="2" s="1"/>
  <c r="N608" i="3"/>
  <c r="O608" i="3" s="1"/>
  <c r="AO601" i="2" s="1"/>
  <c r="N612" i="3"/>
  <c r="O612" i="3" s="1"/>
  <c r="AO605" i="2" s="1"/>
  <c r="N616" i="3"/>
  <c r="O616" i="3" s="1"/>
  <c r="AO609" i="2" s="1"/>
  <c r="N620" i="3"/>
  <c r="O620" i="3" s="1"/>
  <c r="AO613" i="2" s="1"/>
  <c r="N624" i="3"/>
  <c r="O624" i="3" s="1"/>
  <c r="AO617" i="2" s="1"/>
  <c r="N628" i="3"/>
  <c r="O628" i="3" s="1"/>
  <c r="AO621" i="2" s="1"/>
  <c r="N632" i="3"/>
  <c r="O632" i="3" s="1"/>
  <c r="AO625" i="2" s="1"/>
  <c r="N636" i="3"/>
  <c r="O636" i="3" s="1"/>
  <c r="AO629" i="2" s="1"/>
  <c r="N640" i="3"/>
  <c r="O640" i="3" s="1"/>
  <c r="AO633" i="2" s="1"/>
  <c r="N644" i="3"/>
  <c r="O644" i="3" s="1"/>
  <c r="AO637" i="2" s="1"/>
  <c r="N648" i="3"/>
  <c r="O648" i="3" s="1"/>
  <c r="AO641" i="2" s="1"/>
  <c r="N652" i="3"/>
  <c r="O652" i="3" s="1"/>
  <c r="AO645" i="2" s="1"/>
  <c r="N656" i="3"/>
  <c r="O656" i="3" s="1"/>
  <c r="AO649" i="2" s="1"/>
  <c r="N660" i="3"/>
  <c r="O660" i="3" s="1"/>
  <c r="AO653" i="2" s="1"/>
  <c r="N664" i="3"/>
  <c r="O664" i="3" s="1"/>
  <c r="AO657" i="2" s="1"/>
  <c r="N668" i="3"/>
  <c r="O668" i="3" s="1"/>
  <c r="AO661" i="2" s="1"/>
  <c r="N672" i="3"/>
  <c r="O672" i="3" s="1"/>
  <c r="AO665" i="2" s="1"/>
  <c r="N676" i="3"/>
  <c r="O676" i="3" s="1"/>
  <c r="AO669" i="2" s="1"/>
  <c r="N680" i="3"/>
  <c r="O680" i="3" s="1"/>
  <c r="AO673" i="2" s="1"/>
  <c r="N684" i="3"/>
  <c r="O684" i="3" s="1"/>
  <c r="AO677" i="2" s="1"/>
  <c r="N696" i="3"/>
  <c r="O696" i="3" s="1"/>
  <c r="AO689" i="2" s="1"/>
  <c r="N700" i="3"/>
  <c r="O700" i="3" s="1"/>
  <c r="AO693" i="2" s="1"/>
  <c r="N704" i="3"/>
  <c r="O704" i="3" s="1"/>
  <c r="AO697" i="2" s="1"/>
  <c r="N708" i="3"/>
  <c r="O708" i="3" s="1"/>
  <c r="AO701" i="2" s="1"/>
  <c r="N712" i="3"/>
  <c r="O712" i="3" s="1"/>
  <c r="AO705" i="2" s="1"/>
  <c r="N716" i="3"/>
  <c r="O716" i="3" s="1"/>
  <c r="AO709" i="2" s="1"/>
  <c r="N720" i="3"/>
  <c r="O720" i="3" s="1"/>
  <c r="AO713" i="2" s="1"/>
  <c r="N724" i="3"/>
  <c r="O724" i="3" s="1"/>
  <c r="AO717" i="2" s="1"/>
  <c r="N728" i="3"/>
  <c r="O728" i="3" s="1"/>
  <c r="AO721" i="2" s="1"/>
  <c r="N732" i="3"/>
  <c r="O732" i="3" s="1"/>
  <c r="AO725" i="2" s="1"/>
  <c r="N736" i="3"/>
  <c r="O736" i="3" s="1"/>
  <c r="AO729" i="2" s="1"/>
  <c r="N740" i="3"/>
  <c r="O740" i="3" s="1"/>
  <c r="AO733" i="2" s="1"/>
  <c r="N1024" i="3"/>
  <c r="O1024" i="3" s="1"/>
  <c r="AO1017" i="2" s="1"/>
  <c r="N1028" i="3"/>
  <c r="O1028" i="3" s="1"/>
  <c r="AO1021" i="2" s="1"/>
  <c r="N1032" i="3"/>
  <c r="O1032" i="3" s="1"/>
  <c r="AO1025" i="2" s="1"/>
  <c r="N1036" i="3"/>
  <c r="O1036" i="3" s="1"/>
  <c r="AO1029" i="2" s="1"/>
  <c r="N1040" i="3"/>
  <c r="O1040" i="3" s="1"/>
  <c r="AO1033" i="2" s="1"/>
  <c r="N1044" i="3"/>
  <c r="O1044" i="3" s="1"/>
  <c r="AO1037" i="2" s="1"/>
  <c r="N1048" i="3"/>
  <c r="O1048" i="3" s="1"/>
  <c r="AO1041" i="2" s="1"/>
  <c r="N1052" i="3"/>
  <c r="O1052" i="3" s="1"/>
  <c r="AO1045" i="2" s="1"/>
  <c r="N1056" i="3"/>
  <c r="O1056" i="3" s="1"/>
  <c r="AO1049" i="2" s="1"/>
  <c r="N1060" i="3"/>
  <c r="O1060" i="3" s="1"/>
  <c r="AO1053" i="2" s="1"/>
  <c r="N1064" i="3"/>
  <c r="O1064" i="3" s="1"/>
  <c r="AO1057" i="2" s="1"/>
  <c r="N1068" i="3"/>
  <c r="O1068" i="3" s="1"/>
  <c r="AO1061" i="2" s="1"/>
  <c r="N1072" i="3"/>
  <c r="O1072" i="3" s="1"/>
  <c r="AO1065" i="2" s="1"/>
  <c r="N1076" i="3"/>
  <c r="O1076" i="3" s="1"/>
  <c r="AO1069" i="2" s="1"/>
  <c r="N1080" i="3"/>
  <c r="O1080" i="3" s="1"/>
  <c r="AO1073" i="2" s="1"/>
  <c r="N1084" i="3"/>
  <c r="O1084" i="3" s="1"/>
  <c r="AO1077" i="2" s="1"/>
  <c r="N1088" i="3"/>
  <c r="O1088" i="3" s="1"/>
  <c r="AO1081" i="2" s="1"/>
  <c r="N1092" i="3"/>
  <c r="O1092" i="3" s="1"/>
  <c r="AO1085" i="2" s="1"/>
  <c r="N1096" i="3"/>
  <c r="O1096" i="3" s="1"/>
  <c r="AO1089" i="2" s="1"/>
  <c r="N1100" i="3"/>
  <c r="O1100" i="3" s="1"/>
  <c r="AO1093" i="2" s="1"/>
  <c r="N1104" i="3"/>
  <c r="O1104" i="3" s="1"/>
  <c r="AO1097" i="2" s="1"/>
  <c r="N1108" i="3"/>
  <c r="O1108" i="3" s="1"/>
  <c r="AO1101" i="2" s="1"/>
  <c r="N1112" i="3"/>
  <c r="O1112" i="3" s="1"/>
  <c r="AO1105" i="2" s="1"/>
  <c r="N1116" i="3"/>
  <c r="O1116" i="3" s="1"/>
  <c r="AO1109" i="2" s="1"/>
  <c r="N1120" i="3"/>
  <c r="O1120" i="3" s="1"/>
  <c r="AO1113" i="2" s="1"/>
  <c r="N1124" i="3"/>
  <c r="O1124" i="3" s="1"/>
  <c r="AO1117" i="2" s="1"/>
  <c r="N1128" i="3"/>
  <c r="O1128" i="3" s="1"/>
  <c r="AO1121" i="2" s="1"/>
  <c r="N1132" i="3"/>
  <c r="O1132" i="3" s="1"/>
  <c r="AO1125" i="2" s="1"/>
  <c r="N1136" i="3"/>
  <c r="O1136" i="3" s="1"/>
  <c r="AO1129" i="2" s="1"/>
  <c r="N1140" i="3"/>
  <c r="O1140" i="3" s="1"/>
  <c r="AO1133" i="2" s="1"/>
  <c r="N120" i="3"/>
  <c r="O120" i="3" s="1"/>
  <c r="AO113" i="2" s="1"/>
  <c r="N128" i="3"/>
  <c r="O128" i="3" s="1"/>
  <c r="AO121" i="2" s="1"/>
  <c r="N256" i="3"/>
  <c r="O256" i="3" s="1"/>
  <c r="AO249" i="2" s="1"/>
  <c r="N264" i="3"/>
  <c r="O264" i="3" s="1"/>
  <c r="AO257" i="2" s="1"/>
  <c r="N276" i="3"/>
  <c r="O276" i="3" s="1"/>
  <c r="AO269" i="2" s="1"/>
  <c r="N288" i="3"/>
  <c r="O288" i="3" s="1"/>
  <c r="AO281" i="2" s="1"/>
  <c r="N296" i="3"/>
  <c r="O296" i="3" s="1"/>
  <c r="AO289" i="2" s="1"/>
  <c r="N304" i="3"/>
  <c r="O304" i="3" s="1"/>
  <c r="AO297" i="2" s="1"/>
  <c r="N308" i="3"/>
  <c r="O308" i="3" s="1"/>
  <c r="AO301" i="2" s="1"/>
  <c r="N316" i="3"/>
  <c r="O316" i="3" s="1"/>
  <c r="AO309" i="2" s="1"/>
  <c r="N320" i="3"/>
  <c r="O320" i="3" s="1"/>
  <c r="AO313" i="2" s="1"/>
  <c r="N328" i="3"/>
  <c r="O328" i="3" s="1"/>
  <c r="AO321" i="2" s="1"/>
  <c r="N336" i="3"/>
  <c r="O336" i="3" s="1"/>
  <c r="AO329" i="2" s="1"/>
  <c r="N556" i="3"/>
  <c r="O556" i="3" s="1"/>
  <c r="AO549" i="2" s="1"/>
  <c r="N564" i="3"/>
  <c r="O564" i="3" s="1"/>
  <c r="AO557" i="2" s="1"/>
  <c r="N576" i="3"/>
  <c r="O576" i="3" s="1"/>
  <c r="AO569" i="2" s="1"/>
  <c r="N580" i="3"/>
  <c r="O580" i="3" s="1"/>
  <c r="AO573" i="2" s="1"/>
  <c r="N12" i="3"/>
  <c r="O12" i="3" s="1"/>
  <c r="AO5" i="2" s="1"/>
  <c r="N16" i="3"/>
  <c r="O16" i="3" s="1"/>
  <c r="AO9" i="2" s="1"/>
  <c r="N20" i="3"/>
  <c r="O20" i="3" s="1"/>
  <c r="AO13" i="2" s="1"/>
  <c r="N24" i="3"/>
  <c r="O24" i="3" s="1"/>
  <c r="AO17" i="2" s="1"/>
  <c r="N28" i="3"/>
  <c r="O28" i="3" s="1"/>
  <c r="AO21" i="2" s="1"/>
  <c r="N32" i="3"/>
  <c r="O32" i="3" s="1"/>
  <c r="AO25" i="2" s="1"/>
  <c r="N36" i="3"/>
  <c r="O36" i="3" s="1"/>
  <c r="AO29" i="2" s="1"/>
  <c r="N40" i="3"/>
  <c r="O40" i="3" s="1"/>
  <c r="AO33" i="2" s="1"/>
  <c r="N44" i="3"/>
  <c r="O44" i="3" s="1"/>
  <c r="AO37" i="2" s="1"/>
  <c r="N48" i="3"/>
  <c r="O48" i="3" s="1"/>
  <c r="AO41" i="2" s="1"/>
  <c r="N52" i="3"/>
  <c r="O52" i="3" s="1"/>
  <c r="AO45" i="2" s="1"/>
  <c r="N56" i="3"/>
  <c r="O56" i="3" s="1"/>
  <c r="AO49" i="2" s="1"/>
  <c r="N60" i="3"/>
  <c r="O60" i="3" s="1"/>
  <c r="AO53" i="2" s="1"/>
  <c r="N352" i="3"/>
  <c r="O352" i="3" s="1"/>
  <c r="AO345" i="2" s="1"/>
  <c r="N356" i="3"/>
  <c r="O356" i="3" s="1"/>
  <c r="AO349" i="2" s="1"/>
  <c r="N360" i="3"/>
  <c r="O360" i="3" s="1"/>
  <c r="AO353" i="2" s="1"/>
  <c r="N364" i="3"/>
  <c r="O364" i="3" s="1"/>
  <c r="AO357" i="2" s="1"/>
  <c r="N368" i="3"/>
  <c r="O368" i="3" s="1"/>
  <c r="AO361" i="2" s="1"/>
  <c r="N372" i="3"/>
  <c r="O372" i="3" s="1"/>
  <c r="AO365" i="2" s="1"/>
  <c r="N376" i="3"/>
  <c r="O376" i="3" s="1"/>
  <c r="AO369" i="2" s="1"/>
  <c r="N380" i="3"/>
  <c r="O380" i="3" s="1"/>
  <c r="AO373" i="2" s="1"/>
  <c r="N384" i="3"/>
  <c r="O384" i="3" s="1"/>
  <c r="AO377" i="2" s="1"/>
  <c r="N388" i="3"/>
  <c r="O388" i="3" s="1"/>
  <c r="AO381" i="2" s="1"/>
  <c r="N392" i="3"/>
  <c r="O392" i="3" s="1"/>
  <c r="AO385" i="2" s="1"/>
  <c r="N396" i="3"/>
  <c r="O396" i="3" s="1"/>
  <c r="AO389" i="2" s="1"/>
  <c r="N400" i="3"/>
  <c r="O400" i="3" s="1"/>
  <c r="AO393" i="2" s="1"/>
  <c r="N404" i="3"/>
  <c r="O404" i="3" s="1"/>
  <c r="AO397" i="2" s="1"/>
  <c r="N408" i="3"/>
  <c r="O408" i="3" s="1"/>
  <c r="AO401" i="2" s="1"/>
  <c r="N412" i="3"/>
  <c r="O412" i="3" s="1"/>
  <c r="AO405" i="2" s="1"/>
  <c r="N416" i="3"/>
  <c r="O416" i="3" s="1"/>
  <c r="AO409" i="2" s="1"/>
  <c r="N420" i="3"/>
  <c r="O420" i="3" s="1"/>
  <c r="AO413" i="2" s="1"/>
  <c r="N424" i="3"/>
  <c r="O424" i="3" s="1"/>
  <c r="AO417" i="2" s="1"/>
  <c r="N428" i="3"/>
  <c r="O428" i="3" s="1"/>
  <c r="AO421" i="2" s="1"/>
  <c r="N432" i="3"/>
  <c r="O432" i="3" s="1"/>
  <c r="AO425" i="2" s="1"/>
  <c r="N436" i="3"/>
  <c r="O436" i="3" s="1"/>
  <c r="AO429" i="2" s="1"/>
  <c r="N440" i="3"/>
  <c r="O440" i="3" s="1"/>
  <c r="AO433" i="2" s="1"/>
  <c r="N444" i="3"/>
  <c r="O444" i="3" s="1"/>
  <c r="AO437" i="2" s="1"/>
  <c r="N448" i="3"/>
  <c r="O448" i="3" s="1"/>
  <c r="AO441" i="2" s="1"/>
  <c r="N452" i="3"/>
  <c r="O452" i="3" s="1"/>
  <c r="AO445" i="2" s="1"/>
  <c r="N456" i="3"/>
  <c r="O456" i="3" s="1"/>
  <c r="AO449" i="2" s="1"/>
  <c r="N460" i="3"/>
  <c r="O460" i="3" s="1"/>
  <c r="AO453" i="2" s="1"/>
  <c r="N464" i="3"/>
  <c r="O464" i="3" s="1"/>
  <c r="AO457" i="2" s="1"/>
  <c r="N468" i="3"/>
  <c r="O468" i="3" s="1"/>
  <c r="AO461" i="2" s="1"/>
  <c r="N472" i="3"/>
  <c r="O472" i="3" s="1"/>
  <c r="AO465" i="2" s="1"/>
  <c r="N476" i="3"/>
  <c r="O476" i="3" s="1"/>
  <c r="AO469" i="2" s="1"/>
  <c r="N480" i="3"/>
  <c r="O480" i="3" s="1"/>
  <c r="AO473" i="2" s="1"/>
  <c r="N484" i="3"/>
  <c r="O484" i="3" s="1"/>
  <c r="AO477" i="2" s="1"/>
  <c r="N488" i="3"/>
  <c r="O488" i="3" s="1"/>
  <c r="AO481" i="2" s="1"/>
  <c r="N492" i="3"/>
  <c r="O492" i="3" s="1"/>
  <c r="AO485" i="2" s="1"/>
  <c r="N496" i="3"/>
  <c r="O496" i="3" s="1"/>
  <c r="AO489" i="2" s="1"/>
  <c r="N500" i="3"/>
  <c r="O500" i="3" s="1"/>
  <c r="AO493" i="2" s="1"/>
  <c r="N504" i="3"/>
  <c r="O504" i="3" s="1"/>
  <c r="AO497" i="2" s="1"/>
  <c r="N508" i="3"/>
  <c r="O508" i="3" s="1"/>
  <c r="AO501" i="2" s="1"/>
  <c r="N512" i="3"/>
  <c r="O512" i="3" s="1"/>
  <c r="AO505" i="2" s="1"/>
  <c r="N516" i="3"/>
  <c r="O516" i="3" s="1"/>
  <c r="AO509" i="2" s="1"/>
  <c r="N520" i="3"/>
  <c r="O520" i="3" s="1"/>
  <c r="AO513" i="2" s="1"/>
  <c r="N524" i="3"/>
  <c r="O524" i="3" s="1"/>
  <c r="AO517" i="2" s="1"/>
  <c r="N528" i="3"/>
  <c r="O528" i="3" s="1"/>
  <c r="AO521" i="2" s="1"/>
  <c r="N532" i="3"/>
  <c r="O532" i="3" s="1"/>
  <c r="AO525" i="2" s="1"/>
  <c r="N536" i="3"/>
  <c r="O536" i="3" s="1"/>
  <c r="AO529" i="2" s="1"/>
  <c r="N540" i="3"/>
  <c r="O540" i="3" s="1"/>
  <c r="AO533" i="2" s="1"/>
  <c r="N544" i="3"/>
  <c r="O544" i="3" s="1"/>
  <c r="AO537" i="2" s="1"/>
  <c r="N548" i="3"/>
  <c r="O548" i="3" s="1"/>
  <c r="AO541" i="2" s="1"/>
  <c r="N552" i="3"/>
  <c r="O552" i="3" s="1"/>
  <c r="AO545" i="2" s="1"/>
  <c r="N116" i="3"/>
  <c r="O116" i="3" s="1"/>
  <c r="AO109" i="2" s="1"/>
  <c r="N124" i="3"/>
  <c r="O124" i="3" s="1"/>
  <c r="AO117" i="2" s="1"/>
  <c r="N132" i="3"/>
  <c r="O132" i="3" s="1"/>
  <c r="AO125" i="2" s="1"/>
  <c r="N212" i="3"/>
  <c r="O212" i="3" s="1"/>
  <c r="AO205" i="2" s="1"/>
  <c r="N228" i="3"/>
  <c r="O228" i="3" s="1"/>
  <c r="AO221" i="2" s="1"/>
  <c r="N236" i="3"/>
  <c r="O236" i="3" s="1"/>
  <c r="AO229" i="2" s="1"/>
  <c r="N244" i="3"/>
  <c r="O244" i="3" s="1"/>
  <c r="AO237" i="2" s="1"/>
  <c r="N252" i="3"/>
  <c r="O252" i="3" s="1"/>
  <c r="AO245" i="2" s="1"/>
  <c r="N268" i="3"/>
  <c r="O268" i="3" s="1"/>
  <c r="AO261" i="2" s="1"/>
  <c r="N284" i="3"/>
  <c r="O284" i="3" s="1"/>
  <c r="AO277" i="2" s="1"/>
  <c r="N292" i="3"/>
  <c r="O292" i="3" s="1"/>
  <c r="AO285" i="2" s="1"/>
  <c r="N300" i="3"/>
  <c r="O300" i="3" s="1"/>
  <c r="AO293" i="2" s="1"/>
  <c r="N312" i="3"/>
  <c r="O312" i="3" s="1"/>
  <c r="AO305" i="2" s="1"/>
  <c r="N324" i="3"/>
  <c r="O324" i="3" s="1"/>
  <c r="AO317" i="2" s="1"/>
  <c r="N332" i="3"/>
  <c r="O332" i="3" s="1"/>
  <c r="AO325" i="2" s="1"/>
  <c r="N340" i="3"/>
  <c r="O340" i="3" s="1"/>
  <c r="AO333" i="2" s="1"/>
  <c r="N348" i="3"/>
  <c r="O348" i="3" s="1"/>
  <c r="AO341" i="2" s="1"/>
  <c r="N61" i="3"/>
  <c r="O61" i="3" s="1"/>
  <c r="AO54" i="2" s="1"/>
  <c r="N65" i="3"/>
  <c r="O65" i="3" s="1"/>
  <c r="AO58" i="2" s="1"/>
  <c r="N69" i="3"/>
  <c r="O69" i="3" s="1"/>
  <c r="AO62" i="2" s="1"/>
  <c r="N73" i="3"/>
  <c r="O73" i="3" s="1"/>
  <c r="AO66" i="2" s="1"/>
  <c r="N77" i="3"/>
  <c r="O77" i="3" s="1"/>
  <c r="AO70" i="2" s="1"/>
  <c r="N81" i="3"/>
  <c r="O81" i="3" s="1"/>
  <c r="AO74" i="2" s="1"/>
  <c r="N85" i="3"/>
  <c r="O85" i="3" s="1"/>
  <c r="AO78" i="2" s="1"/>
  <c r="N89" i="3"/>
  <c r="O89" i="3" s="1"/>
  <c r="AO82" i="2" s="1"/>
  <c r="N93" i="3"/>
  <c r="O93" i="3" s="1"/>
  <c r="AO86" i="2" s="1"/>
  <c r="N97" i="3"/>
  <c r="O97" i="3" s="1"/>
  <c r="AO90" i="2" s="1"/>
  <c r="N101" i="3"/>
  <c r="O101" i="3" s="1"/>
  <c r="AO94" i="2" s="1"/>
  <c r="N105" i="3"/>
  <c r="O105" i="3" s="1"/>
  <c r="AO98" i="2" s="1"/>
  <c r="N109" i="3"/>
  <c r="O109" i="3" s="1"/>
  <c r="AO102" i="2" s="1"/>
  <c r="N113" i="3"/>
  <c r="O113" i="3" s="1"/>
  <c r="AO106" i="2" s="1"/>
  <c r="N117" i="3"/>
  <c r="O117" i="3" s="1"/>
  <c r="AO110" i="2" s="1"/>
  <c r="N121" i="3"/>
  <c r="O121" i="3" s="1"/>
  <c r="AO114" i="2" s="1"/>
  <c r="N125" i="3"/>
  <c r="O125" i="3" s="1"/>
  <c r="AO118" i="2" s="1"/>
  <c r="N129" i="3"/>
  <c r="O129" i="3" s="1"/>
  <c r="AO122" i="2" s="1"/>
  <c r="N133" i="3"/>
  <c r="O133" i="3" s="1"/>
  <c r="AO126" i="2" s="1"/>
  <c r="N141" i="3"/>
  <c r="O141" i="3" s="1"/>
  <c r="AO134" i="2" s="1"/>
  <c r="N149" i="3"/>
  <c r="O149" i="3" s="1"/>
  <c r="AO142" i="2" s="1"/>
  <c r="N157" i="3"/>
  <c r="O157" i="3" s="1"/>
  <c r="AO150" i="2" s="1"/>
  <c r="N165" i="3"/>
  <c r="O165" i="3" s="1"/>
  <c r="AO158" i="2" s="1"/>
  <c r="N173" i="3"/>
  <c r="O173" i="3" s="1"/>
  <c r="AO166" i="2" s="1"/>
  <c r="N181" i="3"/>
  <c r="O181" i="3" s="1"/>
  <c r="AO174" i="2" s="1"/>
  <c r="N189" i="3"/>
  <c r="O189" i="3" s="1"/>
  <c r="AO182" i="2" s="1"/>
  <c r="N197" i="3"/>
  <c r="O197" i="3" s="1"/>
  <c r="AO190" i="2" s="1"/>
  <c r="N205" i="3"/>
  <c r="O205" i="3" s="1"/>
  <c r="AO198" i="2" s="1"/>
  <c r="N213" i="3"/>
  <c r="O213" i="3" s="1"/>
  <c r="AO206" i="2" s="1"/>
  <c r="N221" i="3"/>
  <c r="O221" i="3" s="1"/>
  <c r="AO214" i="2" s="1"/>
  <c r="N229" i="3"/>
  <c r="O229" i="3" s="1"/>
  <c r="AO222" i="2" s="1"/>
  <c r="N237" i="3"/>
  <c r="O237" i="3" s="1"/>
  <c r="AO230" i="2" s="1"/>
  <c r="N245" i="3"/>
  <c r="O245" i="3" s="1"/>
  <c r="AO238" i="2" s="1"/>
  <c r="N249" i="3"/>
  <c r="O249" i="3" s="1"/>
  <c r="AO242" i="2" s="1"/>
  <c r="N253" i="3"/>
  <c r="O253" i="3" s="1"/>
  <c r="AO246" i="2" s="1"/>
  <c r="N257" i="3"/>
  <c r="O257" i="3" s="1"/>
  <c r="AO250" i="2" s="1"/>
  <c r="N261" i="3"/>
  <c r="O261" i="3" s="1"/>
  <c r="AO254" i="2" s="1"/>
  <c r="N265" i="3"/>
  <c r="O265" i="3" s="1"/>
  <c r="AO258" i="2" s="1"/>
  <c r="N269" i="3"/>
  <c r="O269" i="3" s="1"/>
  <c r="AO262" i="2" s="1"/>
  <c r="N273" i="3"/>
  <c r="O273" i="3" s="1"/>
  <c r="AO266" i="2" s="1"/>
  <c r="N277" i="3"/>
  <c r="O277" i="3" s="1"/>
  <c r="AO270" i="2" s="1"/>
  <c r="N281" i="3"/>
  <c r="O281" i="3" s="1"/>
  <c r="AO274" i="2" s="1"/>
  <c r="N285" i="3"/>
  <c r="O285" i="3" s="1"/>
  <c r="AO278" i="2" s="1"/>
  <c r="N289" i="3"/>
  <c r="O289" i="3" s="1"/>
  <c r="AO282" i="2" s="1"/>
  <c r="N293" i="3"/>
  <c r="O293" i="3" s="1"/>
  <c r="AO286" i="2" s="1"/>
  <c r="N297" i="3"/>
  <c r="O297" i="3" s="1"/>
  <c r="AO290" i="2" s="1"/>
  <c r="N301" i="3"/>
  <c r="O301" i="3" s="1"/>
  <c r="AO294" i="2" s="1"/>
  <c r="N305" i="3"/>
  <c r="O305" i="3" s="1"/>
  <c r="AO298" i="2" s="1"/>
  <c r="N309" i="3"/>
  <c r="O309" i="3" s="1"/>
  <c r="AO302" i="2" s="1"/>
  <c r="N313" i="3"/>
  <c r="O313" i="3" s="1"/>
  <c r="AO306" i="2" s="1"/>
  <c r="N317" i="3"/>
  <c r="O317" i="3" s="1"/>
  <c r="AO310" i="2" s="1"/>
  <c r="N321" i="3"/>
  <c r="O321" i="3" s="1"/>
  <c r="AO314" i="2" s="1"/>
  <c r="N325" i="3"/>
  <c r="O325" i="3" s="1"/>
  <c r="AO318" i="2" s="1"/>
  <c r="N329" i="3"/>
  <c r="O329" i="3" s="1"/>
  <c r="AO322" i="2" s="1"/>
  <c r="N333" i="3"/>
  <c r="O333" i="3" s="1"/>
  <c r="AO326" i="2" s="1"/>
  <c r="N337" i="3"/>
  <c r="O337" i="3" s="1"/>
  <c r="AO330" i="2" s="1"/>
  <c r="N341" i="3"/>
  <c r="O341" i="3" s="1"/>
  <c r="AO334" i="2" s="1"/>
  <c r="N345" i="3"/>
  <c r="O345" i="3" s="1"/>
  <c r="AO338" i="2" s="1"/>
  <c r="N349" i="3"/>
  <c r="O349" i="3" s="1"/>
  <c r="AO342" i="2" s="1"/>
  <c r="N401" i="3"/>
  <c r="O401" i="3" s="1"/>
  <c r="AO394" i="2" s="1"/>
  <c r="N405" i="3"/>
  <c r="O405" i="3" s="1"/>
  <c r="AO398" i="2" s="1"/>
  <c r="N409" i="3"/>
  <c r="O409" i="3" s="1"/>
  <c r="AO402" i="2" s="1"/>
  <c r="N413" i="3"/>
  <c r="O413" i="3" s="1"/>
  <c r="AO406" i="2" s="1"/>
  <c r="N417" i="3"/>
  <c r="O417" i="3" s="1"/>
  <c r="AO410" i="2" s="1"/>
  <c r="N421" i="3"/>
  <c r="O421" i="3" s="1"/>
  <c r="AO414" i="2" s="1"/>
  <c r="N425" i="3"/>
  <c r="O425" i="3" s="1"/>
  <c r="AO418" i="2" s="1"/>
  <c r="N429" i="3"/>
  <c r="O429" i="3" s="1"/>
  <c r="AO422" i="2" s="1"/>
  <c r="N433" i="3"/>
  <c r="O433" i="3" s="1"/>
  <c r="AO426" i="2" s="1"/>
  <c r="N437" i="3"/>
  <c r="O437" i="3" s="1"/>
  <c r="AO430" i="2" s="1"/>
  <c r="N441" i="3"/>
  <c r="O441" i="3" s="1"/>
  <c r="AO434" i="2" s="1"/>
  <c r="N445" i="3"/>
  <c r="O445" i="3" s="1"/>
  <c r="AO438" i="2" s="1"/>
  <c r="N449" i="3"/>
  <c r="O449" i="3" s="1"/>
  <c r="AO442" i="2" s="1"/>
  <c r="N453" i="3"/>
  <c r="O453" i="3" s="1"/>
  <c r="AO446" i="2" s="1"/>
  <c r="N457" i="3"/>
  <c r="O457" i="3" s="1"/>
  <c r="AO450" i="2" s="1"/>
  <c r="N461" i="3"/>
  <c r="O461" i="3" s="1"/>
  <c r="AO454" i="2" s="1"/>
  <c r="N465" i="3"/>
  <c r="O465" i="3" s="1"/>
  <c r="AO458" i="2" s="1"/>
  <c r="N469" i="3"/>
  <c r="O469" i="3" s="1"/>
  <c r="AO462" i="2" s="1"/>
  <c r="N473" i="3"/>
  <c r="O473" i="3" s="1"/>
  <c r="AO466" i="2" s="1"/>
  <c r="N477" i="3"/>
  <c r="O477" i="3" s="1"/>
  <c r="AO470" i="2" s="1"/>
  <c r="N481" i="3"/>
  <c r="O481" i="3" s="1"/>
  <c r="AO474" i="2" s="1"/>
  <c r="N485" i="3"/>
  <c r="O485" i="3" s="1"/>
  <c r="AO478" i="2" s="1"/>
  <c r="N489" i="3"/>
  <c r="O489" i="3" s="1"/>
  <c r="AO482" i="2" s="1"/>
  <c r="N493" i="3"/>
  <c r="O493" i="3" s="1"/>
  <c r="AO486" i="2" s="1"/>
  <c r="N497" i="3"/>
  <c r="O497" i="3" s="1"/>
  <c r="AO490" i="2" s="1"/>
  <c r="N501" i="3"/>
  <c r="O501" i="3" s="1"/>
  <c r="AO494" i="2" s="1"/>
  <c r="N505" i="3"/>
  <c r="O505" i="3" s="1"/>
  <c r="AO498" i="2" s="1"/>
  <c r="N509" i="3"/>
  <c r="O509" i="3" s="1"/>
  <c r="AO502" i="2" s="1"/>
  <c r="N513" i="3"/>
  <c r="O513" i="3" s="1"/>
  <c r="AO506" i="2" s="1"/>
  <c r="N517" i="3"/>
  <c r="O517" i="3" s="1"/>
  <c r="AO510" i="2" s="1"/>
  <c r="N521" i="3"/>
  <c r="O521" i="3" s="1"/>
  <c r="AO514" i="2" s="1"/>
  <c r="N525" i="3"/>
  <c r="O525" i="3" s="1"/>
  <c r="AO518" i="2" s="1"/>
  <c r="N533" i="3"/>
  <c r="O533" i="3" s="1"/>
  <c r="AO526" i="2" s="1"/>
  <c r="N541" i="3"/>
  <c r="O541" i="3" s="1"/>
  <c r="AO534" i="2" s="1"/>
  <c r="N549" i="3"/>
  <c r="O549" i="3" s="1"/>
  <c r="AO542" i="2" s="1"/>
  <c r="N553" i="3"/>
  <c r="O553" i="3" s="1"/>
  <c r="AO546" i="2" s="1"/>
  <c r="N557" i="3"/>
  <c r="O557" i="3" s="1"/>
  <c r="AO550" i="2" s="1"/>
  <c r="N561" i="3"/>
  <c r="O561" i="3" s="1"/>
  <c r="AO554" i="2" s="1"/>
  <c r="N565" i="3"/>
  <c r="O565" i="3" s="1"/>
  <c r="AO558" i="2" s="1"/>
  <c r="N569" i="3"/>
  <c r="O569" i="3" s="1"/>
  <c r="AO562" i="2" s="1"/>
  <c r="N573" i="3"/>
  <c r="O573" i="3" s="1"/>
  <c r="AO566" i="2" s="1"/>
  <c r="N577" i="3"/>
  <c r="O577" i="3" s="1"/>
  <c r="AO570" i="2" s="1"/>
  <c r="N581" i="3"/>
  <c r="O581" i="3" s="1"/>
  <c r="AO574" i="2" s="1"/>
  <c r="N585" i="3"/>
  <c r="O585" i="3" s="1"/>
  <c r="AO578" i="2" s="1"/>
  <c r="N589" i="3"/>
  <c r="O589" i="3" s="1"/>
  <c r="AO582" i="2" s="1"/>
  <c r="N593" i="3"/>
  <c r="O593" i="3" s="1"/>
  <c r="AO586" i="2" s="1"/>
  <c r="N597" i="3"/>
  <c r="O597" i="3" s="1"/>
  <c r="AO590" i="2" s="1"/>
  <c r="N601" i="3"/>
  <c r="O601" i="3" s="1"/>
  <c r="AO594" i="2" s="1"/>
  <c r="N605" i="3"/>
  <c r="O605" i="3" s="1"/>
  <c r="AO598" i="2" s="1"/>
  <c r="N609" i="3"/>
  <c r="O609" i="3" s="1"/>
  <c r="AO602" i="2" s="1"/>
  <c r="N613" i="3"/>
  <c r="O613" i="3" s="1"/>
  <c r="AO606" i="2" s="1"/>
  <c r="N617" i="3"/>
  <c r="O617" i="3" s="1"/>
  <c r="AO610" i="2" s="1"/>
  <c r="N621" i="3"/>
  <c r="O621" i="3" s="1"/>
  <c r="AO614" i="2" s="1"/>
  <c r="N625" i="3"/>
  <c r="O625" i="3" s="1"/>
  <c r="AO618" i="2" s="1"/>
  <c r="N629" i="3"/>
  <c r="O629" i="3" s="1"/>
  <c r="AO622" i="2" s="1"/>
  <c r="N633" i="3"/>
  <c r="O633" i="3" s="1"/>
  <c r="AO626" i="2" s="1"/>
  <c r="N637" i="3"/>
  <c r="O637" i="3" s="1"/>
  <c r="AO630" i="2" s="1"/>
  <c r="N641" i="3"/>
  <c r="O641" i="3" s="1"/>
  <c r="AO634" i="2" s="1"/>
  <c r="N1144" i="3"/>
  <c r="O1144" i="3" s="1"/>
  <c r="AO1137" i="2" s="1"/>
  <c r="N1148" i="3"/>
  <c r="O1148" i="3" s="1"/>
  <c r="AO1141" i="2" s="1"/>
  <c r="N1152" i="3"/>
  <c r="O1152" i="3" s="1"/>
  <c r="AO1145" i="2" s="1"/>
  <c r="N1156" i="3"/>
  <c r="O1156" i="3" s="1"/>
  <c r="AO1149" i="2" s="1"/>
  <c r="N1160" i="3"/>
  <c r="O1160" i="3" s="1"/>
  <c r="AO1153" i="2" s="1"/>
  <c r="N1164" i="3"/>
  <c r="O1164" i="3" s="1"/>
  <c r="AO1157" i="2" s="1"/>
  <c r="N1168" i="3"/>
  <c r="O1168" i="3" s="1"/>
  <c r="AO1161" i="2" s="1"/>
  <c r="N1172" i="3"/>
  <c r="O1172" i="3" s="1"/>
  <c r="AO1165" i="2" s="1"/>
  <c r="N1176" i="3"/>
  <c r="O1176" i="3" s="1"/>
  <c r="AO1169" i="2" s="1"/>
  <c r="N1180" i="3"/>
  <c r="O1180" i="3" s="1"/>
  <c r="AO1173" i="2" s="1"/>
  <c r="N1184" i="3"/>
  <c r="O1184" i="3" s="1"/>
  <c r="AO1177" i="2" s="1"/>
  <c r="N1188" i="3"/>
  <c r="O1188" i="3" s="1"/>
  <c r="AO1181" i="2" s="1"/>
  <c r="N1192" i="3"/>
  <c r="O1192" i="3" s="1"/>
  <c r="AO1185" i="2" s="1"/>
  <c r="N1196" i="3"/>
  <c r="O1196" i="3" s="1"/>
  <c r="AO1189" i="2" s="1"/>
  <c r="N1200" i="3"/>
  <c r="O1200" i="3" s="1"/>
  <c r="AO1193" i="2" s="1"/>
  <c r="N1204" i="3"/>
  <c r="O1204" i="3" s="1"/>
  <c r="AO1197" i="2" s="1"/>
  <c r="N1208" i="3"/>
  <c r="O1208" i="3" s="1"/>
  <c r="AO1201" i="2" s="1"/>
  <c r="N1212" i="3"/>
  <c r="O1212" i="3" s="1"/>
  <c r="AO1205" i="2" s="1"/>
  <c r="N1216" i="3"/>
  <c r="O1216" i="3" s="1"/>
  <c r="AO1209" i="2" s="1"/>
  <c r="N1220" i="3"/>
  <c r="O1220" i="3" s="1"/>
  <c r="AO1213" i="2" s="1"/>
  <c r="N1224" i="3"/>
  <c r="O1224" i="3" s="1"/>
  <c r="AO1217" i="2" s="1"/>
  <c r="N1228" i="3"/>
  <c r="O1228" i="3" s="1"/>
  <c r="AO1221" i="2" s="1"/>
  <c r="N1232" i="3"/>
  <c r="O1232" i="3" s="1"/>
  <c r="AO1225" i="2" s="1"/>
  <c r="N1236" i="3"/>
  <c r="O1236" i="3" s="1"/>
  <c r="AO1229" i="2" s="1"/>
  <c r="N1240" i="3"/>
  <c r="O1240" i="3" s="1"/>
  <c r="AO1233" i="2" s="1"/>
  <c r="N1244" i="3"/>
  <c r="O1244" i="3" s="1"/>
  <c r="AO1237" i="2" s="1"/>
  <c r="N1248" i="3"/>
  <c r="O1248" i="3" s="1"/>
  <c r="AO1241" i="2" s="1"/>
  <c r="N1252" i="3"/>
  <c r="O1252" i="3" s="1"/>
  <c r="AO1245" i="2" s="1"/>
  <c r="N1256" i="3"/>
  <c r="O1256" i="3" s="1"/>
  <c r="AO1249" i="2" s="1"/>
  <c r="N1260" i="3"/>
  <c r="O1260" i="3" s="1"/>
  <c r="AO1253" i="2" s="1"/>
  <c r="N1264" i="3"/>
  <c r="O1264" i="3" s="1"/>
  <c r="AO1257" i="2" s="1"/>
  <c r="N1268" i="3"/>
  <c r="O1268" i="3" s="1"/>
  <c r="AO1261" i="2" s="1"/>
  <c r="N1272" i="3"/>
  <c r="O1272" i="3" s="1"/>
  <c r="AO1265" i="2" s="1"/>
  <c r="N1276" i="3"/>
  <c r="O1276" i="3" s="1"/>
  <c r="AO1269" i="2" s="1"/>
  <c r="N1280" i="3"/>
  <c r="O1280" i="3" s="1"/>
  <c r="AO1273" i="2" s="1"/>
  <c r="N1284" i="3"/>
  <c r="O1284" i="3" s="1"/>
  <c r="AO1277" i="2" s="1"/>
  <c r="N1288" i="3"/>
  <c r="O1288" i="3" s="1"/>
  <c r="AO1281" i="2" s="1"/>
  <c r="N1292" i="3"/>
  <c r="O1292" i="3" s="1"/>
  <c r="AO1285" i="2" s="1"/>
  <c r="N1296" i="3"/>
  <c r="O1296" i="3" s="1"/>
  <c r="AO1289" i="2" s="1"/>
  <c r="N1300" i="3"/>
  <c r="O1300" i="3" s="1"/>
  <c r="AO1293" i="2" s="1"/>
  <c r="N1304" i="3"/>
  <c r="O1304" i="3" s="1"/>
  <c r="AO1297" i="2" s="1"/>
  <c r="N1308" i="3"/>
  <c r="O1308" i="3" s="1"/>
  <c r="AO1301" i="2" s="1"/>
  <c r="N1320" i="3"/>
  <c r="O1320" i="3" s="1"/>
  <c r="AO1313" i="2" s="1"/>
  <c r="N1328" i="3"/>
  <c r="O1328" i="3" s="1"/>
  <c r="AO1321" i="2" s="1"/>
  <c r="N1336" i="3"/>
  <c r="O1336" i="3" s="1"/>
  <c r="AO1329" i="2" s="1"/>
  <c r="N1344" i="3"/>
  <c r="O1344" i="3" s="1"/>
  <c r="AO1337" i="2" s="1"/>
  <c r="N1352" i="3"/>
  <c r="O1352" i="3" s="1"/>
  <c r="AO1345" i="2" s="1"/>
  <c r="N1360" i="3"/>
  <c r="O1360" i="3" s="1"/>
  <c r="AO1353" i="2" s="1"/>
  <c r="N1368" i="3"/>
  <c r="O1368" i="3" s="1"/>
  <c r="AO1361" i="2" s="1"/>
  <c r="N1376" i="3"/>
  <c r="O1376" i="3" s="1"/>
  <c r="AO1369" i="2" s="1"/>
  <c r="N1384" i="3"/>
  <c r="O1384" i="3" s="1"/>
  <c r="AO1377" i="2" s="1"/>
  <c r="N1392" i="3"/>
  <c r="O1392" i="3" s="1"/>
  <c r="AO1385" i="2" s="1"/>
  <c r="N1400" i="3"/>
  <c r="O1400" i="3" s="1"/>
  <c r="AO1393" i="2" s="1"/>
  <c r="N1408" i="3"/>
  <c r="O1408" i="3" s="1"/>
  <c r="AO1401" i="2" s="1"/>
  <c r="N1416" i="3"/>
  <c r="O1416" i="3" s="1"/>
  <c r="AO1409" i="2" s="1"/>
  <c r="N1424" i="3"/>
  <c r="O1424" i="3" s="1"/>
  <c r="AO1417" i="2" s="1"/>
  <c r="N1432" i="3"/>
  <c r="O1432" i="3" s="1"/>
  <c r="AO1425" i="2" s="1"/>
  <c r="N1440" i="3"/>
  <c r="O1440" i="3" s="1"/>
  <c r="AO1433" i="2" s="1"/>
  <c r="N1448" i="3"/>
  <c r="O1448" i="3" s="1"/>
  <c r="AO1441" i="2" s="1"/>
  <c r="N1456" i="3"/>
  <c r="O1456" i="3" s="1"/>
  <c r="AO1449" i="2" s="1"/>
  <c r="N1464" i="3"/>
  <c r="O1464" i="3" s="1"/>
  <c r="AO1457" i="2" s="1"/>
  <c r="N1472" i="3"/>
  <c r="O1472" i="3" s="1"/>
  <c r="AO1465" i="2" s="1"/>
  <c r="N744" i="3"/>
  <c r="O744" i="3" s="1"/>
  <c r="AO737" i="2" s="1"/>
  <c r="N748" i="3"/>
  <c r="O748" i="3" s="1"/>
  <c r="AO741" i="2" s="1"/>
  <c r="N752" i="3"/>
  <c r="O752" i="3" s="1"/>
  <c r="AO745" i="2" s="1"/>
  <c r="N756" i="3"/>
  <c r="O756" i="3" s="1"/>
  <c r="AO749" i="2" s="1"/>
  <c r="N760" i="3"/>
  <c r="O760" i="3" s="1"/>
  <c r="AO753" i="2" s="1"/>
  <c r="N764" i="3"/>
  <c r="O764" i="3" s="1"/>
  <c r="AO757" i="2" s="1"/>
  <c r="N768" i="3"/>
  <c r="O768" i="3" s="1"/>
  <c r="AO761" i="2" s="1"/>
  <c r="N772" i="3"/>
  <c r="O772" i="3" s="1"/>
  <c r="AO765" i="2" s="1"/>
  <c r="N776" i="3"/>
  <c r="O776" i="3" s="1"/>
  <c r="AO769" i="2" s="1"/>
  <c r="N780" i="3"/>
  <c r="O780" i="3" s="1"/>
  <c r="AO773" i="2" s="1"/>
  <c r="N784" i="3"/>
  <c r="O784" i="3" s="1"/>
  <c r="AO777" i="2" s="1"/>
  <c r="N788" i="3"/>
  <c r="O788" i="3" s="1"/>
  <c r="AO781" i="2" s="1"/>
  <c r="N792" i="3"/>
  <c r="O792" i="3" s="1"/>
  <c r="AO785" i="2" s="1"/>
  <c r="N796" i="3"/>
  <c r="O796" i="3" s="1"/>
  <c r="AO789" i="2" s="1"/>
  <c r="N800" i="3"/>
  <c r="O800" i="3" s="1"/>
  <c r="AO793" i="2" s="1"/>
  <c r="N804" i="3"/>
  <c r="O804" i="3" s="1"/>
  <c r="AO797" i="2" s="1"/>
  <c r="N808" i="3"/>
  <c r="O808" i="3" s="1"/>
  <c r="AO801" i="2" s="1"/>
  <c r="N812" i="3"/>
  <c r="O812" i="3" s="1"/>
  <c r="AO805" i="2" s="1"/>
  <c r="N816" i="3"/>
  <c r="O816" i="3" s="1"/>
  <c r="AO809" i="2" s="1"/>
  <c r="N820" i="3"/>
  <c r="O820" i="3" s="1"/>
  <c r="AO813" i="2" s="1"/>
  <c r="N824" i="3"/>
  <c r="O824" i="3" s="1"/>
  <c r="AO817" i="2" s="1"/>
  <c r="N828" i="3"/>
  <c r="O828" i="3" s="1"/>
  <c r="AO821" i="2" s="1"/>
  <c r="N832" i="3"/>
  <c r="O832" i="3" s="1"/>
  <c r="AO825" i="2" s="1"/>
  <c r="N836" i="3"/>
  <c r="O836" i="3" s="1"/>
  <c r="AO829" i="2" s="1"/>
  <c r="N840" i="3"/>
  <c r="O840" i="3" s="1"/>
  <c r="AO833" i="2" s="1"/>
  <c r="N844" i="3"/>
  <c r="O844" i="3" s="1"/>
  <c r="AO837" i="2" s="1"/>
  <c r="N848" i="3"/>
  <c r="O848" i="3" s="1"/>
  <c r="AO841" i="2" s="1"/>
  <c r="N852" i="3"/>
  <c r="O852" i="3" s="1"/>
  <c r="AO845" i="2" s="1"/>
  <c r="N856" i="3"/>
  <c r="O856" i="3" s="1"/>
  <c r="AO849" i="2" s="1"/>
  <c r="N860" i="3"/>
  <c r="O860" i="3" s="1"/>
  <c r="AO853" i="2" s="1"/>
  <c r="N864" i="3"/>
  <c r="O864" i="3" s="1"/>
  <c r="AO857" i="2" s="1"/>
  <c r="N868" i="3"/>
  <c r="O868" i="3" s="1"/>
  <c r="AO861" i="2" s="1"/>
  <c r="N872" i="3"/>
  <c r="O872" i="3" s="1"/>
  <c r="AO865" i="2" s="1"/>
  <c r="N876" i="3"/>
  <c r="O876" i="3" s="1"/>
  <c r="AO869" i="2" s="1"/>
  <c r="N880" i="3"/>
  <c r="O880" i="3" s="1"/>
  <c r="AO873" i="2" s="1"/>
  <c r="N884" i="3"/>
  <c r="O884" i="3" s="1"/>
  <c r="AO877" i="2" s="1"/>
  <c r="N888" i="3"/>
  <c r="O888" i="3" s="1"/>
  <c r="AO881" i="2" s="1"/>
  <c r="N892" i="3"/>
  <c r="O892" i="3" s="1"/>
  <c r="AO885" i="2" s="1"/>
  <c r="N896" i="3"/>
  <c r="O896" i="3" s="1"/>
  <c r="AO889" i="2" s="1"/>
  <c r="N900" i="3"/>
  <c r="O900" i="3" s="1"/>
  <c r="AO893" i="2" s="1"/>
  <c r="N904" i="3"/>
  <c r="O904" i="3" s="1"/>
  <c r="AO897" i="2" s="1"/>
  <c r="N908" i="3"/>
  <c r="O908" i="3" s="1"/>
  <c r="AO901" i="2" s="1"/>
  <c r="N912" i="3"/>
  <c r="O912" i="3" s="1"/>
  <c r="AO905" i="2" s="1"/>
  <c r="N916" i="3"/>
  <c r="O916" i="3" s="1"/>
  <c r="AO909" i="2" s="1"/>
  <c r="N920" i="3"/>
  <c r="O920" i="3" s="1"/>
  <c r="AO913" i="2" s="1"/>
  <c r="N924" i="3"/>
  <c r="O924" i="3" s="1"/>
  <c r="AO917" i="2" s="1"/>
  <c r="N928" i="3"/>
  <c r="O928" i="3" s="1"/>
  <c r="AO921" i="2" s="1"/>
  <c r="N932" i="3"/>
  <c r="O932" i="3" s="1"/>
  <c r="AO925" i="2" s="1"/>
  <c r="N936" i="3"/>
  <c r="O936" i="3" s="1"/>
  <c r="AO929" i="2" s="1"/>
  <c r="N940" i="3"/>
  <c r="O940" i="3" s="1"/>
  <c r="AO933" i="2" s="1"/>
  <c r="N944" i="3"/>
  <c r="O944" i="3" s="1"/>
  <c r="AO937" i="2" s="1"/>
  <c r="N948" i="3"/>
  <c r="O948" i="3" s="1"/>
  <c r="AO941" i="2" s="1"/>
  <c r="N952" i="3"/>
  <c r="O952" i="3" s="1"/>
  <c r="AO945" i="2" s="1"/>
  <c r="N956" i="3"/>
  <c r="O956" i="3" s="1"/>
  <c r="AO949" i="2" s="1"/>
  <c r="N960" i="3"/>
  <c r="O960" i="3" s="1"/>
  <c r="AO953" i="2" s="1"/>
  <c r="N964" i="3"/>
  <c r="O964" i="3" s="1"/>
  <c r="AO957" i="2" s="1"/>
  <c r="N968" i="3"/>
  <c r="O968" i="3" s="1"/>
  <c r="AO961" i="2" s="1"/>
  <c r="N972" i="3"/>
  <c r="O972" i="3" s="1"/>
  <c r="AO965" i="2" s="1"/>
  <c r="N976" i="3"/>
  <c r="O976" i="3" s="1"/>
  <c r="AO969" i="2" s="1"/>
  <c r="N980" i="3"/>
  <c r="O980" i="3" s="1"/>
  <c r="AO973" i="2" s="1"/>
  <c r="N984" i="3"/>
  <c r="O984" i="3" s="1"/>
  <c r="AO977" i="2" s="1"/>
  <c r="N988" i="3"/>
  <c r="O988" i="3" s="1"/>
  <c r="AO981" i="2" s="1"/>
  <c r="N992" i="3"/>
  <c r="O992" i="3" s="1"/>
  <c r="AO985" i="2" s="1"/>
  <c r="N996" i="3"/>
  <c r="O996" i="3" s="1"/>
  <c r="AO989" i="2" s="1"/>
  <c r="N1000" i="3"/>
  <c r="O1000" i="3" s="1"/>
  <c r="AO993" i="2" s="1"/>
  <c r="N1004" i="3"/>
  <c r="O1004" i="3" s="1"/>
  <c r="AO997" i="2" s="1"/>
  <c r="N1008" i="3"/>
  <c r="O1008" i="3" s="1"/>
  <c r="AO1001" i="2" s="1"/>
  <c r="N1012" i="3"/>
  <c r="O1012" i="3" s="1"/>
  <c r="AO1005" i="2" s="1"/>
  <c r="N1312" i="3"/>
  <c r="O1312" i="3" s="1"/>
  <c r="AO1305" i="2" s="1"/>
  <c r="N645" i="3"/>
  <c r="O645" i="3" s="1"/>
  <c r="AO638" i="2" s="1"/>
  <c r="N649" i="3"/>
  <c r="O649" i="3" s="1"/>
  <c r="AO642" i="2" s="1"/>
  <c r="N653" i="3"/>
  <c r="O653" i="3" s="1"/>
  <c r="AO646" i="2" s="1"/>
  <c r="N657" i="3"/>
  <c r="O657" i="3" s="1"/>
  <c r="AO650" i="2" s="1"/>
  <c r="N661" i="3"/>
  <c r="O661" i="3" s="1"/>
  <c r="AO654" i="2" s="1"/>
  <c r="N665" i="3"/>
  <c r="O665" i="3" s="1"/>
  <c r="AO658" i="2" s="1"/>
  <c r="N669" i="3"/>
  <c r="O669" i="3" s="1"/>
  <c r="AO662" i="2" s="1"/>
  <c r="N673" i="3"/>
  <c r="O673" i="3" s="1"/>
  <c r="AO666" i="2" s="1"/>
  <c r="N677" i="3"/>
  <c r="O677" i="3" s="1"/>
  <c r="AO670" i="2" s="1"/>
  <c r="N681" i="3"/>
  <c r="O681" i="3" s="1"/>
  <c r="AO674" i="2" s="1"/>
  <c r="N685" i="3"/>
  <c r="O685" i="3" s="1"/>
  <c r="AO678" i="2" s="1"/>
  <c r="N1017" i="3"/>
  <c r="O1017" i="3" s="1"/>
  <c r="AO1010" i="2" s="1"/>
  <c r="N1021" i="3"/>
  <c r="O1021" i="3" s="1"/>
  <c r="AO1014" i="2" s="1"/>
  <c r="N1025" i="3"/>
  <c r="O1025" i="3" s="1"/>
  <c r="AO1018" i="2" s="1"/>
  <c r="N1029" i="3"/>
  <c r="O1029" i="3" s="1"/>
  <c r="AO1022" i="2" s="1"/>
  <c r="N1033" i="3"/>
  <c r="O1033" i="3" s="1"/>
  <c r="AO1026" i="2" s="1"/>
  <c r="N1037" i="3"/>
  <c r="O1037" i="3" s="1"/>
  <c r="AO1030" i="2" s="1"/>
  <c r="N1041" i="3"/>
  <c r="O1041" i="3" s="1"/>
  <c r="AO1034" i="2" s="1"/>
  <c r="N1045" i="3"/>
  <c r="O1045" i="3" s="1"/>
  <c r="AO1038" i="2" s="1"/>
  <c r="N1049" i="3"/>
  <c r="O1049" i="3" s="1"/>
  <c r="AO1042" i="2" s="1"/>
  <c r="N1053" i="3"/>
  <c r="O1053" i="3" s="1"/>
  <c r="AO1046" i="2" s="1"/>
  <c r="N1057" i="3"/>
  <c r="O1057" i="3" s="1"/>
  <c r="AO1050" i="2" s="1"/>
  <c r="N1061" i="3"/>
  <c r="O1061" i="3" s="1"/>
  <c r="AO1054" i="2" s="1"/>
  <c r="N1065" i="3"/>
  <c r="O1065" i="3" s="1"/>
  <c r="AO1058" i="2" s="1"/>
  <c r="N1069" i="3"/>
  <c r="O1069" i="3" s="1"/>
  <c r="AO1062" i="2" s="1"/>
  <c r="N1073" i="3"/>
  <c r="O1073" i="3" s="1"/>
  <c r="AO1066" i="2" s="1"/>
  <c r="N1077" i="3"/>
  <c r="O1077" i="3" s="1"/>
  <c r="AO1070" i="2" s="1"/>
  <c r="N1081" i="3"/>
  <c r="O1081" i="3" s="1"/>
  <c r="AO1074" i="2" s="1"/>
  <c r="N1085" i="3"/>
  <c r="O1085" i="3" s="1"/>
  <c r="AO1078" i="2" s="1"/>
  <c r="N1089" i="3"/>
  <c r="O1089" i="3" s="1"/>
  <c r="AO1082" i="2" s="1"/>
  <c r="N1093" i="3"/>
  <c r="O1093" i="3" s="1"/>
  <c r="AO1086" i="2" s="1"/>
  <c r="N1097" i="3"/>
  <c r="O1097" i="3" s="1"/>
  <c r="AO1090" i="2" s="1"/>
  <c r="N1101" i="3"/>
  <c r="O1101" i="3" s="1"/>
  <c r="AO1094" i="2" s="1"/>
  <c r="N1105" i="3"/>
  <c r="O1105" i="3" s="1"/>
  <c r="AO1098" i="2" s="1"/>
  <c r="N1109" i="3"/>
  <c r="O1109" i="3" s="1"/>
  <c r="AO1102" i="2" s="1"/>
  <c r="N1113" i="3"/>
  <c r="O1113" i="3" s="1"/>
  <c r="AO1106" i="2" s="1"/>
  <c r="N1117" i="3"/>
  <c r="O1117" i="3" s="1"/>
  <c r="AO1110" i="2" s="1"/>
  <c r="N1121" i="3"/>
  <c r="O1121" i="3" s="1"/>
  <c r="AO1114" i="2" s="1"/>
  <c r="N1125" i="3"/>
  <c r="O1125" i="3" s="1"/>
  <c r="AO1118" i="2" s="1"/>
  <c r="N1129" i="3"/>
  <c r="O1129" i="3" s="1"/>
  <c r="AO1122" i="2" s="1"/>
  <c r="N1133" i="3"/>
  <c r="O1133" i="3" s="1"/>
  <c r="AO1126" i="2" s="1"/>
  <c r="N1137" i="3"/>
  <c r="O1137" i="3" s="1"/>
  <c r="AO1130" i="2" s="1"/>
  <c r="N1141" i="3"/>
  <c r="O1141" i="3" s="1"/>
  <c r="AO1134" i="2" s="1"/>
  <c r="N1145" i="3"/>
  <c r="O1145" i="3" s="1"/>
  <c r="AO1138" i="2" s="1"/>
  <c r="N1149" i="3"/>
  <c r="O1149" i="3" s="1"/>
  <c r="AO1142" i="2" s="1"/>
  <c r="N1153" i="3"/>
  <c r="O1153" i="3" s="1"/>
  <c r="AO1146" i="2" s="1"/>
  <c r="N1157" i="3"/>
  <c r="O1157" i="3" s="1"/>
  <c r="AO1150" i="2" s="1"/>
  <c r="N1161" i="3"/>
  <c r="O1161" i="3" s="1"/>
  <c r="AO1154" i="2" s="1"/>
  <c r="N1165" i="3"/>
  <c r="O1165" i="3" s="1"/>
  <c r="AO1158" i="2" s="1"/>
  <c r="N1169" i="3"/>
  <c r="O1169" i="3" s="1"/>
  <c r="AO1162" i="2" s="1"/>
  <c r="N1173" i="3"/>
  <c r="O1173" i="3" s="1"/>
  <c r="AO1166" i="2" s="1"/>
  <c r="N1177" i="3"/>
  <c r="O1177" i="3" s="1"/>
  <c r="AO1170" i="2" s="1"/>
  <c r="N1181" i="3"/>
  <c r="O1181" i="3" s="1"/>
  <c r="AO1174" i="2" s="1"/>
  <c r="N1185" i="3"/>
  <c r="O1185" i="3" s="1"/>
  <c r="AO1178" i="2" s="1"/>
  <c r="N1189" i="3"/>
  <c r="O1189" i="3" s="1"/>
  <c r="AO1182" i="2" s="1"/>
  <c r="N1193" i="3"/>
  <c r="O1193" i="3" s="1"/>
  <c r="AO1186" i="2" s="1"/>
  <c r="N1197" i="3"/>
  <c r="O1197" i="3" s="1"/>
  <c r="AO1190" i="2" s="1"/>
  <c r="N1201" i="3"/>
  <c r="O1201" i="3" s="1"/>
  <c r="AO1194" i="2" s="1"/>
  <c r="N1205" i="3"/>
  <c r="O1205" i="3" s="1"/>
  <c r="AO1198" i="2" s="1"/>
  <c r="N1209" i="3"/>
  <c r="O1209" i="3" s="1"/>
  <c r="AO1202" i="2" s="1"/>
  <c r="N1213" i="3"/>
  <c r="O1213" i="3" s="1"/>
  <c r="AO1206" i="2" s="1"/>
  <c r="N1217" i="3"/>
  <c r="O1217" i="3" s="1"/>
  <c r="AO1210" i="2" s="1"/>
  <c r="N1221" i="3"/>
  <c r="O1221" i="3" s="1"/>
  <c r="AO1214" i="2" s="1"/>
  <c r="N1225" i="3"/>
  <c r="O1225" i="3" s="1"/>
  <c r="AO1218" i="2" s="1"/>
  <c r="N1229" i="3"/>
  <c r="O1229" i="3" s="1"/>
  <c r="AO1222" i="2" s="1"/>
  <c r="N1233" i="3"/>
  <c r="O1233" i="3" s="1"/>
  <c r="AO1226" i="2" s="1"/>
  <c r="N1237" i="3"/>
  <c r="O1237" i="3" s="1"/>
  <c r="AO1230" i="2" s="1"/>
  <c r="N1241" i="3"/>
  <c r="O1241" i="3" s="1"/>
  <c r="AO1234" i="2" s="1"/>
  <c r="N1245" i="3"/>
  <c r="O1245" i="3" s="1"/>
  <c r="AO1238" i="2" s="1"/>
  <c r="N1249" i="3"/>
  <c r="O1249" i="3" s="1"/>
  <c r="AO1242" i="2" s="1"/>
  <c r="N1253" i="3"/>
  <c r="O1253" i="3" s="1"/>
  <c r="AO1246" i="2" s="1"/>
  <c r="N1257" i="3"/>
  <c r="O1257" i="3" s="1"/>
  <c r="AO1250" i="2" s="1"/>
  <c r="N1261" i="3"/>
  <c r="O1261" i="3" s="1"/>
  <c r="AO1254" i="2" s="1"/>
  <c r="N1265" i="3"/>
  <c r="O1265" i="3" s="1"/>
  <c r="AO1258" i="2" s="1"/>
  <c r="N1269" i="3"/>
  <c r="O1269" i="3" s="1"/>
  <c r="AO1262" i="2" s="1"/>
  <c r="N1273" i="3"/>
  <c r="O1273" i="3" s="1"/>
  <c r="AO1266" i="2" s="1"/>
  <c r="N1277" i="3"/>
  <c r="O1277" i="3" s="1"/>
  <c r="AO1270" i="2" s="1"/>
  <c r="N1281" i="3"/>
  <c r="O1281" i="3" s="1"/>
  <c r="AO1274" i="2" s="1"/>
  <c r="N1285" i="3"/>
  <c r="O1285" i="3" s="1"/>
  <c r="AO1278" i="2" s="1"/>
  <c r="N1289" i="3"/>
  <c r="O1289" i="3" s="1"/>
  <c r="AO1282" i="2" s="1"/>
  <c r="N1293" i="3"/>
  <c r="O1293" i="3" s="1"/>
  <c r="AO1286" i="2" s="1"/>
  <c r="N1297" i="3"/>
  <c r="O1297" i="3" s="1"/>
  <c r="AO1290" i="2" s="1"/>
  <c r="N1301" i="3"/>
  <c r="O1301" i="3" s="1"/>
  <c r="AO1294" i="2" s="1"/>
  <c r="N1305" i="3"/>
  <c r="O1305" i="3" s="1"/>
  <c r="AO1298" i="2" s="1"/>
  <c r="N1309" i="3"/>
  <c r="O1309" i="3" s="1"/>
  <c r="AO1302" i="2" s="1"/>
  <c r="N1313" i="3"/>
  <c r="O1313" i="3" s="1"/>
  <c r="AO1306" i="2" s="1"/>
  <c r="N1317" i="3"/>
  <c r="O1317" i="3" s="1"/>
  <c r="AO1310" i="2" s="1"/>
  <c r="N1321" i="3"/>
  <c r="O1321" i="3" s="1"/>
  <c r="AO1314" i="2" s="1"/>
  <c r="N1325" i="3"/>
  <c r="O1325" i="3" s="1"/>
  <c r="AO1318" i="2" s="1"/>
  <c r="N1329" i="3"/>
  <c r="O1329" i="3" s="1"/>
  <c r="AO1322" i="2" s="1"/>
  <c r="N1333" i="3"/>
  <c r="O1333" i="3" s="1"/>
  <c r="AO1326" i="2" s="1"/>
  <c r="N1337" i="3"/>
  <c r="O1337" i="3" s="1"/>
  <c r="AO1330" i="2" s="1"/>
  <c r="N1341" i="3"/>
  <c r="O1341" i="3" s="1"/>
  <c r="AO1334" i="2" s="1"/>
  <c r="N1345" i="3"/>
  <c r="O1345" i="3" s="1"/>
  <c r="AO1338" i="2" s="1"/>
  <c r="N1349" i="3"/>
  <c r="O1349" i="3" s="1"/>
  <c r="AO1342" i="2" s="1"/>
  <c r="N1353" i="3"/>
  <c r="O1353" i="3" s="1"/>
  <c r="AO1346" i="2" s="1"/>
  <c r="N1357" i="3"/>
  <c r="O1357" i="3" s="1"/>
  <c r="AO1350" i="2" s="1"/>
  <c r="N1361" i="3"/>
  <c r="O1361" i="3" s="1"/>
  <c r="AO1354" i="2" s="1"/>
  <c r="N1365" i="3"/>
  <c r="O1365" i="3" s="1"/>
  <c r="AO1358" i="2" s="1"/>
  <c r="N1369" i="3"/>
  <c r="O1369" i="3" s="1"/>
  <c r="AO1362" i="2" s="1"/>
  <c r="N1373" i="3"/>
  <c r="O1373" i="3" s="1"/>
  <c r="AO1366" i="2" s="1"/>
  <c r="N1377" i="3"/>
  <c r="O1377" i="3" s="1"/>
  <c r="AO1370" i="2" s="1"/>
  <c r="N1381" i="3"/>
  <c r="O1381" i="3" s="1"/>
  <c r="AO1374" i="2" s="1"/>
  <c r="N1385" i="3"/>
  <c r="O1385" i="3" s="1"/>
  <c r="AO1378" i="2" s="1"/>
  <c r="N1389" i="3"/>
  <c r="O1389" i="3" s="1"/>
  <c r="AO1382" i="2" s="1"/>
  <c r="N1393" i="3"/>
  <c r="O1393" i="3" s="1"/>
  <c r="AO1386" i="2" s="1"/>
  <c r="N1397" i="3"/>
  <c r="O1397" i="3" s="1"/>
  <c r="AO1390" i="2" s="1"/>
  <c r="N1401" i="3"/>
  <c r="O1401" i="3" s="1"/>
  <c r="AO1394" i="2" s="1"/>
  <c r="N142" i="3"/>
  <c r="O142" i="3" s="1"/>
  <c r="AO135" i="2" s="1"/>
  <c r="N146" i="3"/>
  <c r="O146" i="3" s="1"/>
  <c r="AO139" i="2" s="1"/>
  <c r="N150" i="3"/>
  <c r="O150" i="3" s="1"/>
  <c r="AO143" i="2" s="1"/>
  <c r="N154" i="3"/>
  <c r="O154" i="3" s="1"/>
  <c r="AO147" i="2" s="1"/>
  <c r="N1026" i="3"/>
  <c r="O1026" i="3" s="1"/>
  <c r="AO1019" i="2" s="1"/>
  <c r="N1030" i="3"/>
  <c r="O1030" i="3" s="1"/>
  <c r="AO1023" i="2" s="1"/>
  <c r="N1034" i="3"/>
  <c r="O1034" i="3" s="1"/>
  <c r="AO1027" i="2" s="1"/>
  <c r="N1038" i="3"/>
  <c r="O1038" i="3" s="1"/>
  <c r="AO1031" i="2" s="1"/>
  <c r="N1042" i="3"/>
  <c r="O1042" i="3" s="1"/>
  <c r="AO1035" i="2" s="1"/>
  <c r="N1046" i="3"/>
  <c r="O1046" i="3" s="1"/>
  <c r="AO1039" i="2" s="1"/>
  <c r="N1050" i="3"/>
  <c r="O1050" i="3" s="1"/>
  <c r="AO1043" i="2" s="1"/>
  <c r="N1054" i="3"/>
  <c r="O1054" i="3" s="1"/>
  <c r="AO1047" i="2" s="1"/>
  <c r="N1058" i="3"/>
  <c r="O1058" i="3" s="1"/>
  <c r="AO1051" i="2" s="1"/>
  <c r="N1062" i="3"/>
  <c r="O1062" i="3" s="1"/>
  <c r="AO1055" i="2" s="1"/>
  <c r="N1066" i="3"/>
  <c r="O1066" i="3" s="1"/>
  <c r="AO1059" i="2" s="1"/>
  <c r="N1070" i="3"/>
  <c r="O1070" i="3" s="1"/>
  <c r="AO1063" i="2" s="1"/>
  <c r="N1074" i="3"/>
  <c r="O1074" i="3" s="1"/>
  <c r="AO1067" i="2" s="1"/>
  <c r="N1078" i="3"/>
  <c r="O1078" i="3" s="1"/>
  <c r="AO1071" i="2" s="1"/>
  <c r="N1082" i="3"/>
  <c r="O1082" i="3" s="1"/>
  <c r="AO1075" i="2" s="1"/>
  <c r="N1086" i="3"/>
  <c r="O1086" i="3" s="1"/>
  <c r="AO1079" i="2" s="1"/>
  <c r="N1090" i="3"/>
  <c r="O1090" i="3" s="1"/>
  <c r="AO1083" i="2" s="1"/>
  <c r="N1094" i="3"/>
  <c r="O1094" i="3" s="1"/>
  <c r="AO1087" i="2" s="1"/>
  <c r="N1098" i="3"/>
  <c r="O1098" i="3" s="1"/>
  <c r="AO1091" i="2" s="1"/>
  <c r="N1102" i="3"/>
  <c r="O1102" i="3" s="1"/>
  <c r="AO1095" i="2" s="1"/>
  <c r="N1106" i="3"/>
  <c r="O1106" i="3" s="1"/>
  <c r="AO1099" i="2" s="1"/>
  <c r="N1110" i="3"/>
  <c r="O1110" i="3" s="1"/>
  <c r="AO1103" i="2" s="1"/>
  <c r="N1114" i="3"/>
  <c r="O1114" i="3" s="1"/>
  <c r="AO1107" i="2" s="1"/>
  <c r="N1118" i="3"/>
  <c r="O1118" i="3" s="1"/>
  <c r="AO1111" i="2" s="1"/>
  <c r="N1122" i="3"/>
  <c r="O1122" i="3" s="1"/>
  <c r="AO1115" i="2" s="1"/>
  <c r="N1126" i="3"/>
  <c r="O1126" i="3" s="1"/>
  <c r="AO1119" i="2" s="1"/>
  <c r="N1130" i="3"/>
  <c r="O1130" i="3" s="1"/>
  <c r="AO1123" i="2" s="1"/>
  <c r="N1134" i="3"/>
  <c r="O1134" i="3" s="1"/>
  <c r="AO1127" i="2" s="1"/>
  <c r="N1138" i="3"/>
  <c r="O1138" i="3" s="1"/>
  <c r="AO1131" i="2" s="1"/>
  <c r="N1142" i="3"/>
  <c r="O1142" i="3" s="1"/>
  <c r="AO1135" i="2" s="1"/>
  <c r="N1146" i="3"/>
  <c r="O1146" i="3" s="1"/>
  <c r="AO1139" i="2" s="1"/>
  <c r="N1150" i="3"/>
  <c r="O1150" i="3" s="1"/>
  <c r="AO1143" i="2" s="1"/>
  <c r="N1154" i="3"/>
  <c r="O1154" i="3" s="1"/>
  <c r="AO1147" i="2" s="1"/>
  <c r="N1158" i="3"/>
  <c r="O1158" i="3" s="1"/>
  <c r="AO1151" i="2" s="1"/>
  <c r="N1162" i="3"/>
  <c r="O1162" i="3" s="1"/>
  <c r="AO1155" i="2" s="1"/>
  <c r="N1166" i="3"/>
  <c r="O1166" i="3" s="1"/>
  <c r="AO1159" i="2" s="1"/>
  <c r="N1170" i="3"/>
  <c r="O1170" i="3" s="1"/>
  <c r="AO1163" i="2" s="1"/>
  <c r="N1174" i="3"/>
  <c r="O1174" i="3" s="1"/>
  <c r="AO1167" i="2" s="1"/>
  <c r="N1178" i="3"/>
  <c r="O1178" i="3" s="1"/>
  <c r="AO1171" i="2" s="1"/>
  <c r="N1186" i="3"/>
  <c r="O1186" i="3" s="1"/>
  <c r="AO1179" i="2" s="1"/>
  <c r="N1190" i="3"/>
  <c r="O1190" i="3" s="1"/>
  <c r="AO1183" i="2" s="1"/>
  <c r="N1194" i="3"/>
  <c r="O1194" i="3" s="1"/>
  <c r="AO1187" i="2" s="1"/>
  <c r="N1198" i="3"/>
  <c r="O1198" i="3" s="1"/>
  <c r="AO1191" i="2" s="1"/>
  <c r="N1202" i="3"/>
  <c r="O1202" i="3" s="1"/>
  <c r="AO1195" i="2" s="1"/>
  <c r="N1206" i="3"/>
  <c r="O1206" i="3" s="1"/>
  <c r="AO1199" i="2" s="1"/>
  <c r="N1210" i="3"/>
  <c r="O1210" i="3" s="1"/>
  <c r="AO1203" i="2" s="1"/>
  <c r="N1214" i="3"/>
  <c r="O1214" i="3" s="1"/>
  <c r="AO1207" i="2" s="1"/>
  <c r="N1218" i="3"/>
  <c r="O1218" i="3" s="1"/>
  <c r="AO1211" i="2" s="1"/>
  <c r="N1222" i="3"/>
  <c r="O1222" i="3" s="1"/>
  <c r="AO1215" i="2" s="1"/>
  <c r="N1226" i="3"/>
  <c r="O1226" i="3" s="1"/>
  <c r="AO1219" i="2" s="1"/>
  <c r="N1230" i="3"/>
  <c r="O1230" i="3" s="1"/>
  <c r="AO1223" i="2" s="1"/>
  <c r="N1234" i="3"/>
  <c r="O1234" i="3" s="1"/>
  <c r="AO1227" i="2" s="1"/>
  <c r="N1238" i="3"/>
  <c r="O1238" i="3" s="1"/>
  <c r="AO1231" i="2" s="1"/>
  <c r="N1242" i="3"/>
  <c r="O1242" i="3" s="1"/>
  <c r="AO1235" i="2" s="1"/>
  <c r="N1246" i="3"/>
  <c r="O1246" i="3" s="1"/>
  <c r="AO1239" i="2" s="1"/>
  <c r="N1250" i="3"/>
  <c r="O1250" i="3" s="1"/>
  <c r="AO1243" i="2" s="1"/>
  <c r="N1254" i="3"/>
  <c r="O1254" i="3" s="1"/>
  <c r="AO1247" i="2" s="1"/>
  <c r="N1258" i="3"/>
  <c r="O1258" i="3" s="1"/>
  <c r="AO1251" i="2" s="1"/>
  <c r="N1262" i="3"/>
  <c r="O1262" i="3" s="1"/>
  <c r="AO1255" i="2" s="1"/>
  <c r="N1266" i="3"/>
  <c r="O1266" i="3" s="1"/>
  <c r="AO1259" i="2" s="1"/>
  <c r="N1270" i="3"/>
  <c r="O1270" i="3" s="1"/>
  <c r="AO1263" i="2" s="1"/>
  <c r="N1274" i="3"/>
  <c r="O1274" i="3" s="1"/>
  <c r="AO1267" i="2" s="1"/>
  <c r="N1278" i="3"/>
  <c r="O1278" i="3" s="1"/>
  <c r="AO1271" i="2" s="1"/>
  <c r="N1282" i="3"/>
  <c r="O1282" i="3" s="1"/>
  <c r="AO1275" i="2" s="1"/>
  <c r="N1286" i="3"/>
  <c r="O1286" i="3" s="1"/>
  <c r="AO1279" i="2" s="1"/>
  <c r="N1290" i="3"/>
  <c r="O1290" i="3" s="1"/>
  <c r="AO1283" i="2" s="1"/>
  <c r="N1294" i="3"/>
  <c r="O1294" i="3" s="1"/>
  <c r="AO1287" i="2" s="1"/>
  <c r="N353" i="3"/>
  <c r="O353" i="3" s="1"/>
  <c r="AO346" i="2" s="1"/>
  <c r="N689" i="3"/>
  <c r="O689" i="3" s="1"/>
  <c r="AO682" i="2" s="1"/>
  <c r="N693" i="3"/>
  <c r="O693" i="3" s="1"/>
  <c r="AO686" i="2" s="1"/>
  <c r="N697" i="3"/>
  <c r="O697" i="3" s="1"/>
  <c r="AO690" i="2" s="1"/>
  <c r="N701" i="3"/>
  <c r="O701" i="3" s="1"/>
  <c r="AO694" i="2" s="1"/>
  <c r="N705" i="3"/>
  <c r="O705" i="3" s="1"/>
  <c r="AO698" i="2" s="1"/>
  <c r="N709" i="3"/>
  <c r="O709" i="3" s="1"/>
  <c r="AO702" i="2" s="1"/>
  <c r="N713" i="3"/>
  <c r="O713" i="3" s="1"/>
  <c r="AO706" i="2" s="1"/>
  <c r="N717" i="3"/>
  <c r="O717" i="3" s="1"/>
  <c r="AO710" i="2" s="1"/>
  <c r="N721" i="3"/>
  <c r="O721" i="3" s="1"/>
  <c r="AO714" i="2" s="1"/>
  <c r="N725" i="3"/>
  <c r="O725" i="3" s="1"/>
  <c r="AO718" i="2" s="1"/>
  <c r="N729" i="3"/>
  <c r="O729" i="3" s="1"/>
  <c r="AO722" i="2" s="1"/>
  <c r="N733" i="3"/>
  <c r="O733" i="3" s="1"/>
  <c r="AO726" i="2" s="1"/>
  <c r="N737" i="3"/>
  <c r="O737" i="3" s="1"/>
  <c r="AO730" i="2" s="1"/>
  <c r="N741" i="3"/>
  <c r="O741" i="3" s="1"/>
  <c r="AO734" i="2" s="1"/>
  <c r="N745" i="3"/>
  <c r="O745" i="3" s="1"/>
  <c r="AO738" i="2" s="1"/>
  <c r="N749" i="3"/>
  <c r="O749" i="3" s="1"/>
  <c r="AO742" i="2" s="1"/>
  <c r="N753" i="3"/>
  <c r="O753" i="3" s="1"/>
  <c r="AO746" i="2" s="1"/>
  <c r="N757" i="3"/>
  <c r="O757" i="3" s="1"/>
  <c r="AO750" i="2" s="1"/>
  <c r="N761" i="3"/>
  <c r="O761" i="3" s="1"/>
  <c r="AO754" i="2" s="1"/>
  <c r="N765" i="3"/>
  <c r="O765" i="3" s="1"/>
  <c r="AO758" i="2" s="1"/>
  <c r="N769" i="3"/>
  <c r="O769" i="3" s="1"/>
  <c r="AO762" i="2" s="1"/>
  <c r="N773" i="3"/>
  <c r="O773" i="3" s="1"/>
  <c r="AO766" i="2" s="1"/>
  <c r="N777" i="3"/>
  <c r="O777" i="3" s="1"/>
  <c r="AO770" i="2" s="1"/>
  <c r="N781" i="3"/>
  <c r="O781" i="3" s="1"/>
  <c r="AO774" i="2" s="1"/>
  <c r="N785" i="3"/>
  <c r="O785" i="3" s="1"/>
  <c r="AO778" i="2" s="1"/>
  <c r="N789" i="3"/>
  <c r="O789" i="3" s="1"/>
  <c r="AO782" i="2" s="1"/>
  <c r="N793" i="3"/>
  <c r="O793" i="3" s="1"/>
  <c r="AO786" i="2" s="1"/>
  <c r="N797" i="3"/>
  <c r="O797" i="3" s="1"/>
  <c r="AO790" i="2" s="1"/>
  <c r="N801" i="3"/>
  <c r="O801" i="3" s="1"/>
  <c r="AO794" i="2" s="1"/>
  <c r="N805" i="3"/>
  <c r="O805" i="3" s="1"/>
  <c r="AO798" i="2" s="1"/>
  <c r="N809" i="3"/>
  <c r="O809" i="3" s="1"/>
  <c r="AO802" i="2" s="1"/>
  <c r="N813" i="3"/>
  <c r="O813" i="3" s="1"/>
  <c r="AO806" i="2" s="1"/>
  <c r="N817" i="3"/>
  <c r="O817" i="3" s="1"/>
  <c r="AO810" i="2" s="1"/>
  <c r="N821" i="3"/>
  <c r="O821" i="3" s="1"/>
  <c r="AO814" i="2" s="1"/>
  <c r="N825" i="3"/>
  <c r="O825" i="3" s="1"/>
  <c r="AO818" i="2" s="1"/>
  <c r="N829" i="3"/>
  <c r="O829" i="3" s="1"/>
  <c r="AO822" i="2" s="1"/>
  <c r="N833" i="3"/>
  <c r="O833" i="3" s="1"/>
  <c r="AO826" i="2" s="1"/>
  <c r="N837" i="3"/>
  <c r="O837" i="3" s="1"/>
  <c r="AO830" i="2" s="1"/>
  <c r="N841" i="3"/>
  <c r="O841" i="3" s="1"/>
  <c r="AO834" i="2" s="1"/>
  <c r="N845" i="3"/>
  <c r="O845" i="3" s="1"/>
  <c r="AO838" i="2" s="1"/>
  <c r="N849" i="3"/>
  <c r="O849" i="3" s="1"/>
  <c r="AO842" i="2" s="1"/>
  <c r="N853" i="3"/>
  <c r="O853" i="3" s="1"/>
  <c r="AO846" i="2" s="1"/>
  <c r="N857" i="3"/>
  <c r="O857" i="3" s="1"/>
  <c r="AO850" i="2" s="1"/>
  <c r="N861" i="3"/>
  <c r="O861" i="3" s="1"/>
  <c r="AO854" i="2" s="1"/>
  <c r="N865" i="3"/>
  <c r="O865" i="3" s="1"/>
  <c r="AO858" i="2" s="1"/>
  <c r="N869" i="3"/>
  <c r="O869" i="3" s="1"/>
  <c r="AO862" i="2" s="1"/>
  <c r="N873" i="3"/>
  <c r="O873" i="3" s="1"/>
  <c r="AO866" i="2" s="1"/>
  <c r="N877" i="3"/>
  <c r="O877" i="3" s="1"/>
  <c r="AO870" i="2" s="1"/>
  <c r="N881" i="3"/>
  <c r="O881" i="3" s="1"/>
  <c r="AO874" i="2" s="1"/>
  <c r="N885" i="3"/>
  <c r="O885" i="3" s="1"/>
  <c r="AO878" i="2" s="1"/>
  <c r="N889" i="3"/>
  <c r="O889" i="3" s="1"/>
  <c r="AO882" i="2" s="1"/>
  <c r="N893" i="3"/>
  <c r="O893" i="3" s="1"/>
  <c r="AO886" i="2" s="1"/>
  <c r="N897" i="3"/>
  <c r="O897" i="3" s="1"/>
  <c r="AO890" i="2" s="1"/>
  <c r="N901" i="3"/>
  <c r="O901" i="3" s="1"/>
  <c r="AO894" i="2" s="1"/>
  <c r="N905" i="3"/>
  <c r="O905" i="3" s="1"/>
  <c r="AO898" i="2" s="1"/>
  <c r="N909" i="3"/>
  <c r="O909" i="3" s="1"/>
  <c r="AO902" i="2" s="1"/>
  <c r="N913" i="3"/>
  <c r="O913" i="3" s="1"/>
  <c r="AO906" i="2" s="1"/>
  <c r="N917" i="3"/>
  <c r="O917" i="3" s="1"/>
  <c r="AO910" i="2" s="1"/>
  <c r="N921" i="3"/>
  <c r="O921" i="3" s="1"/>
  <c r="AO914" i="2" s="1"/>
  <c r="N925" i="3"/>
  <c r="O925" i="3" s="1"/>
  <c r="AO918" i="2" s="1"/>
  <c r="N929" i="3"/>
  <c r="O929" i="3" s="1"/>
  <c r="AO922" i="2" s="1"/>
  <c r="N933" i="3"/>
  <c r="O933" i="3" s="1"/>
  <c r="AO926" i="2" s="1"/>
  <c r="N937" i="3"/>
  <c r="O937" i="3" s="1"/>
  <c r="AO930" i="2" s="1"/>
  <c r="N941" i="3"/>
  <c r="O941" i="3" s="1"/>
  <c r="AO934" i="2" s="1"/>
  <c r="N945" i="3"/>
  <c r="O945" i="3" s="1"/>
  <c r="AO938" i="2" s="1"/>
  <c r="N949" i="3"/>
  <c r="O949" i="3" s="1"/>
  <c r="AO942" i="2" s="1"/>
  <c r="N953" i="3"/>
  <c r="O953" i="3" s="1"/>
  <c r="AO946" i="2" s="1"/>
  <c r="N957" i="3"/>
  <c r="O957" i="3" s="1"/>
  <c r="AO950" i="2" s="1"/>
  <c r="N961" i="3"/>
  <c r="O961" i="3" s="1"/>
  <c r="AO954" i="2" s="1"/>
  <c r="N965" i="3"/>
  <c r="O965" i="3" s="1"/>
  <c r="AO958" i="2" s="1"/>
  <c r="N969" i="3"/>
  <c r="O969" i="3" s="1"/>
  <c r="AO962" i="2" s="1"/>
  <c r="N973" i="3"/>
  <c r="O973" i="3" s="1"/>
  <c r="AO966" i="2" s="1"/>
  <c r="N977" i="3"/>
  <c r="O977" i="3" s="1"/>
  <c r="AO970" i="2" s="1"/>
  <c r="N981" i="3"/>
  <c r="O981" i="3" s="1"/>
  <c r="AO974" i="2" s="1"/>
  <c r="N985" i="3"/>
  <c r="O985" i="3" s="1"/>
  <c r="AO978" i="2" s="1"/>
  <c r="N989" i="3"/>
  <c r="O989" i="3" s="1"/>
  <c r="AO982" i="2" s="1"/>
  <c r="N993" i="3"/>
  <c r="O993" i="3" s="1"/>
  <c r="AO986" i="2" s="1"/>
  <c r="N997" i="3"/>
  <c r="O997" i="3" s="1"/>
  <c r="AO990" i="2" s="1"/>
  <c r="N1001" i="3"/>
  <c r="O1001" i="3" s="1"/>
  <c r="AO994" i="2" s="1"/>
  <c r="N1005" i="3"/>
  <c r="O1005" i="3" s="1"/>
  <c r="AO998" i="2" s="1"/>
  <c r="N1009" i="3"/>
  <c r="O1009" i="3" s="1"/>
  <c r="AO1002" i="2" s="1"/>
  <c r="N1013" i="3"/>
  <c r="O1013" i="3" s="1"/>
  <c r="AO1006" i="2" s="1"/>
  <c r="N1298" i="3"/>
  <c r="O1298" i="3" s="1"/>
  <c r="AO1291" i="2" s="1"/>
  <c r="N1302" i="3"/>
  <c r="O1302" i="3" s="1"/>
  <c r="AO1295" i="2" s="1"/>
  <c r="N1306" i="3"/>
  <c r="O1306" i="3" s="1"/>
  <c r="AO1299" i="2" s="1"/>
  <c r="N1310" i="3"/>
  <c r="O1310" i="3" s="1"/>
  <c r="AO1303" i="2" s="1"/>
  <c r="N1318" i="3"/>
  <c r="O1318" i="3" s="1"/>
  <c r="AO1311" i="2" s="1"/>
  <c r="N1326" i="3"/>
  <c r="O1326" i="3" s="1"/>
  <c r="AO1319" i="2" s="1"/>
  <c r="N1334" i="3"/>
  <c r="O1334" i="3" s="1"/>
  <c r="AO1327" i="2" s="1"/>
  <c r="N1342" i="3"/>
  <c r="O1342" i="3" s="1"/>
  <c r="AO1335" i="2" s="1"/>
  <c r="N1350" i="3"/>
  <c r="O1350" i="3" s="1"/>
  <c r="AO1343" i="2" s="1"/>
  <c r="N1358" i="3"/>
  <c r="O1358" i="3" s="1"/>
  <c r="AO1351" i="2" s="1"/>
  <c r="N1366" i="3"/>
  <c r="O1366" i="3" s="1"/>
  <c r="AO1359" i="2" s="1"/>
  <c r="N1374" i="3"/>
  <c r="O1374" i="3" s="1"/>
  <c r="AO1367" i="2" s="1"/>
  <c r="N1382" i="3"/>
  <c r="O1382" i="3" s="1"/>
  <c r="AO1375" i="2" s="1"/>
  <c r="B6" i="4"/>
  <c r="N62" i="3"/>
  <c r="O62" i="3" s="1"/>
  <c r="AO55" i="2" s="1"/>
  <c r="N66" i="3"/>
  <c r="O66" i="3" s="1"/>
  <c r="AO59" i="2" s="1"/>
  <c r="N70" i="3"/>
  <c r="O70" i="3" s="1"/>
  <c r="AO63" i="2" s="1"/>
  <c r="N11" i="3"/>
  <c r="O11" i="3" s="1"/>
  <c r="AO4" i="2" s="1"/>
  <c r="N15" i="3"/>
  <c r="O15" i="3" s="1"/>
  <c r="AO8" i="2" s="1"/>
  <c r="N19" i="3"/>
  <c r="O19" i="3" s="1"/>
  <c r="AO12" i="2" s="1"/>
  <c r="N23" i="3"/>
  <c r="O23" i="3" s="1"/>
  <c r="AO16" i="2" s="1"/>
  <c r="N27" i="3"/>
  <c r="O27" i="3" s="1"/>
  <c r="AO20" i="2" s="1"/>
  <c r="N31" i="3"/>
  <c r="O31" i="3" s="1"/>
  <c r="AO24" i="2" s="1"/>
  <c r="N35" i="3"/>
  <c r="O35" i="3" s="1"/>
  <c r="AO28" i="2" s="1"/>
  <c r="N39" i="3"/>
  <c r="O39" i="3" s="1"/>
  <c r="AO32" i="2" s="1"/>
  <c r="N43" i="3"/>
  <c r="O43" i="3" s="1"/>
  <c r="AO36" i="2" s="1"/>
  <c r="N47" i="3"/>
  <c r="O47" i="3" s="1"/>
  <c r="AO40" i="2" s="1"/>
  <c r="N51" i="3"/>
  <c r="O51" i="3" s="1"/>
  <c r="AO44" i="2" s="1"/>
  <c r="N55" i="3"/>
  <c r="O55" i="3" s="1"/>
  <c r="AO48" i="2" s="1"/>
  <c r="N59" i="3"/>
  <c r="O59" i="3" s="1"/>
  <c r="AO52" i="2" s="1"/>
  <c r="N74" i="3"/>
  <c r="O74" i="3" s="1"/>
  <c r="AO67" i="2" s="1"/>
  <c r="N78" i="3"/>
  <c r="O78" i="3" s="1"/>
  <c r="AO71" i="2" s="1"/>
  <c r="N82" i="3"/>
  <c r="O82" i="3" s="1"/>
  <c r="AO75" i="2" s="1"/>
  <c r="N86" i="3"/>
  <c r="O86" i="3" s="1"/>
  <c r="AO79" i="2" s="1"/>
  <c r="N90" i="3"/>
  <c r="O90" i="3" s="1"/>
  <c r="AO83" i="2" s="1"/>
  <c r="N94" i="3"/>
  <c r="O94" i="3" s="1"/>
  <c r="AO87" i="2" s="1"/>
  <c r="N98" i="3"/>
  <c r="O98" i="3" s="1"/>
  <c r="AO91" i="2" s="1"/>
  <c r="N102" i="3"/>
  <c r="O102" i="3" s="1"/>
  <c r="AO95" i="2" s="1"/>
  <c r="N106" i="3"/>
  <c r="O106" i="3" s="1"/>
  <c r="AO99" i="2" s="1"/>
  <c r="N110" i="3"/>
  <c r="O110" i="3" s="1"/>
  <c r="AO103" i="2" s="1"/>
  <c r="N114" i="3"/>
  <c r="O114" i="3" s="1"/>
  <c r="AO107" i="2" s="1"/>
  <c r="N118" i="3"/>
  <c r="O118" i="3" s="1"/>
  <c r="AO111" i="2" s="1"/>
  <c r="N122" i="3"/>
  <c r="O122" i="3" s="1"/>
  <c r="AO115" i="2" s="1"/>
  <c r="N126" i="3"/>
  <c r="O126" i="3" s="1"/>
  <c r="AO119" i="2" s="1"/>
  <c r="N130" i="3"/>
  <c r="O130" i="3" s="1"/>
  <c r="AO123" i="2" s="1"/>
  <c r="N134" i="3"/>
  <c r="O134" i="3" s="1"/>
  <c r="AO127" i="2" s="1"/>
  <c r="N138" i="3"/>
  <c r="O138" i="3" s="1"/>
  <c r="AO131" i="2" s="1"/>
  <c r="N156" i="3"/>
  <c r="O156" i="3" s="1"/>
  <c r="AO149" i="2" s="1"/>
  <c r="N351" i="3"/>
  <c r="O351" i="3" s="1"/>
  <c r="AO344" i="2" s="1"/>
  <c r="N355" i="3"/>
  <c r="O355" i="3" s="1"/>
  <c r="AO348" i="2" s="1"/>
  <c r="N403" i="3"/>
  <c r="O403" i="3" s="1"/>
  <c r="AO396" i="2" s="1"/>
  <c r="N407" i="3"/>
  <c r="O407" i="3" s="1"/>
  <c r="AO400" i="2" s="1"/>
  <c r="N411" i="3"/>
  <c r="O411" i="3" s="1"/>
  <c r="AO404" i="2" s="1"/>
  <c r="N415" i="3"/>
  <c r="O415" i="3" s="1"/>
  <c r="AO408" i="2" s="1"/>
  <c r="N419" i="3"/>
  <c r="O419" i="3" s="1"/>
  <c r="AO412" i="2" s="1"/>
  <c r="N423" i="3"/>
  <c r="O423" i="3" s="1"/>
  <c r="AO416" i="2" s="1"/>
  <c r="N427" i="3"/>
  <c r="O427" i="3" s="1"/>
  <c r="AO420" i="2" s="1"/>
  <c r="N431" i="3"/>
  <c r="O431" i="3" s="1"/>
  <c r="AO424" i="2" s="1"/>
  <c r="N435" i="3"/>
  <c r="O435" i="3" s="1"/>
  <c r="AO428" i="2" s="1"/>
  <c r="N439" i="3"/>
  <c r="O439" i="3" s="1"/>
  <c r="AO432" i="2" s="1"/>
  <c r="N443" i="3"/>
  <c r="O443" i="3" s="1"/>
  <c r="AO436" i="2" s="1"/>
  <c r="N447" i="3"/>
  <c r="O447" i="3" s="1"/>
  <c r="AO440" i="2" s="1"/>
  <c r="N451" i="3"/>
  <c r="O451" i="3" s="1"/>
  <c r="AO444" i="2" s="1"/>
  <c r="N455" i="3"/>
  <c r="O455" i="3" s="1"/>
  <c r="AO448" i="2" s="1"/>
  <c r="N459" i="3"/>
  <c r="O459" i="3" s="1"/>
  <c r="AO452" i="2" s="1"/>
  <c r="N463" i="3"/>
  <c r="O463" i="3" s="1"/>
  <c r="AO456" i="2" s="1"/>
  <c r="N467" i="3"/>
  <c r="O467" i="3" s="1"/>
  <c r="AO460" i="2" s="1"/>
  <c r="N471" i="3"/>
  <c r="O471" i="3" s="1"/>
  <c r="AO464" i="2" s="1"/>
  <c r="N475" i="3"/>
  <c r="O475" i="3" s="1"/>
  <c r="AO468" i="2" s="1"/>
  <c r="N479" i="3"/>
  <c r="O479" i="3" s="1"/>
  <c r="AO472" i="2" s="1"/>
  <c r="N483" i="3"/>
  <c r="O483" i="3" s="1"/>
  <c r="AO476" i="2" s="1"/>
  <c r="N487" i="3"/>
  <c r="O487" i="3" s="1"/>
  <c r="AO480" i="2" s="1"/>
  <c r="N491" i="3"/>
  <c r="O491" i="3" s="1"/>
  <c r="AO484" i="2" s="1"/>
  <c r="N495" i="3"/>
  <c r="O495" i="3" s="1"/>
  <c r="AO488" i="2" s="1"/>
  <c r="N499" i="3"/>
  <c r="O499" i="3" s="1"/>
  <c r="AO492" i="2" s="1"/>
  <c r="N503" i="3"/>
  <c r="O503" i="3" s="1"/>
  <c r="AO496" i="2" s="1"/>
  <c r="N507" i="3"/>
  <c r="O507" i="3" s="1"/>
  <c r="AO500" i="2" s="1"/>
  <c r="N511" i="3"/>
  <c r="O511" i="3" s="1"/>
  <c r="AO504" i="2" s="1"/>
  <c r="N515" i="3"/>
  <c r="O515" i="3" s="1"/>
  <c r="AO508" i="2" s="1"/>
  <c r="N519" i="3"/>
  <c r="O519" i="3" s="1"/>
  <c r="AO512" i="2" s="1"/>
  <c r="N523" i="3"/>
  <c r="O523" i="3" s="1"/>
  <c r="AO516" i="2" s="1"/>
  <c r="N527" i="3"/>
  <c r="O527" i="3" s="1"/>
  <c r="AO520" i="2" s="1"/>
  <c r="N531" i="3"/>
  <c r="O531" i="3" s="1"/>
  <c r="AO524" i="2" s="1"/>
  <c r="N535" i="3"/>
  <c r="O535" i="3" s="1"/>
  <c r="AO528" i="2" s="1"/>
  <c r="N539" i="3"/>
  <c r="O539" i="3" s="1"/>
  <c r="AO532" i="2" s="1"/>
  <c r="N543" i="3"/>
  <c r="O543" i="3" s="1"/>
  <c r="AO536" i="2" s="1"/>
  <c r="N547" i="3"/>
  <c r="O547" i="3" s="1"/>
  <c r="AO540" i="2" s="1"/>
  <c r="N551" i="3"/>
  <c r="O551" i="3" s="1"/>
  <c r="AO544" i="2" s="1"/>
  <c r="N695" i="3"/>
  <c r="O695" i="3" s="1"/>
  <c r="AO688" i="2" s="1"/>
  <c r="N699" i="3"/>
  <c r="O699" i="3" s="1"/>
  <c r="AO692" i="2" s="1"/>
  <c r="N703" i="3"/>
  <c r="O703" i="3" s="1"/>
  <c r="AO696" i="2" s="1"/>
  <c r="N707" i="3"/>
  <c r="O707" i="3" s="1"/>
  <c r="AO700" i="2" s="1"/>
  <c r="N711" i="3"/>
  <c r="O711" i="3" s="1"/>
  <c r="AO704" i="2" s="1"/>
  <c r="N715" i="3"/>
  <c r="O715" i="3" s="1"/>
  <c r="AO708" i="2" s="1"/>
  <c r="N719" i="3"/>
  <c r="O719" i="3" s="1"/>
  <c r="AO712" i="2" s="1"/>
  <c r="N723" i="3"/>
  <c r="O723" i="3" s="1"/>
  <c r="AO716" i="2" s="1"/>
  <c r="N727" i="3"/>
  <c r="O727" i="3" s="1"/>
  <c r="AO720" i="2" s="1"/>
  <c r="N731" i="3"/>
  <c r="O731" i="3" s="1"/>
  <c r="AO724" i="2" s="1"/>
  <c r="N735" i="3"/>
  <c r="O735" i="3" s="1"/>
  <c r="AO728" i="2" s="1"/>
  <c r="N739" i="3"/>
  <c r="O739" i="3" s="1"/>
  <c r="AO732" i="2" s="1"/>
  <c r="N743" i="3"/>
  <c r="O743" i="3" s="1"/>
  <c r="AO736" i="2" s="1"/>
  <c r="N747" i="3"/>
  <c r="O747" i="3" s="1"/>
  <c r="AO740" i="2" s="1"/>
  <c r="N751" i="3"/>
  <c r="O751" i="3" s="1"/>
  <c r="AO744" i="2" s="1"/>
  <c r="N755" i="3"/>
  <c r="O755" i="3" s="1"/>
  <c r="AO748" i="2" s="1"/>
  <c r="N759" i="3"/>
  <c r="O759" i="3" s="1"/>
  <c r="AO752" i="2" s="1"/>
  <c r="N763" i="3"/>
  <c r="O763" i="3" s="1"/>
  <c r="AO756" i="2" s="1"/>
  <c r="N767" i="3"/>
  <c r="O767" i="3" s="1"/>
  <c r="AO760" i="2" s="1"/>
  <c r="N771" i="3"/>
  <c r="O771" i="3" s="1"/>
  <c r="AO764" i="2" s="1"/>
  <c r="N775" i="3"/>
  <c r="O775" i="3" s="1"/>
  <c r="AO768" i="2" s="1"/>
  <c r="N779" i="3"/>
  <c r="O779" i="3" s="1"/>
  <c r="AO772" i="2" s="1"/>
  <c r="N783" i="3"/>
  <c r="O783" i="3" s="1"/>
  <c r="AO776" i="2" s="1"/>
  <c r="N787" i="3"/>
  <c r="O787" i="3" s="1"/>
  <c r="AO780" i="2" s="1"/>
  <c r="N791" i="3"/>
  <c r="O791" i="3" s="1"/>
  <c r="AO784" i="2" s="1"/>
  <c r="N795" i="3"/>
  <c r="O795" i="3" s="1"/>
  <c r="AO788" i="2" s="1"/>
  <c r="N9" i="3"/>
  <c r="O9" i="3" s="1"/>
  <c r="AO2" i="2" s="1"/>
  <c r="N13" i="3"/>
  <c r="O13" i="3" s="1"/>
  <c r="AO6" i="2" s="1"/>
  <c r="N17" i="3"/>
  <c r="O17" i="3" s="1"/>
  <c r="AO10" i="2" s="1"/>
  <c r="N21" i="3"/>
  <c r="O21" i="3" s="1"/>
  <c r="AO14" i="2" s="1"/>
  <c r="N25" i="3"/>
  <c r="O25" i="3" s="1"/>
  <c r="AO18" i="2" s="1"/>
  <c r="N29" i="3"/>
  <c r="O29" i="3" s="1"/>
  <c r="AO22" i="2" s="1"/>
  <c r="N33" i="3"/>
  <c r="O33" i="3" s="1"/>
  <c r="AO26" i="2" s="1"/>
  <c r="N37" i="3"/>
  <c r="O37" i="3" s="1"/>
  <c r="AO30" i="2" s="1"/>
  <c r="N41" i="3"/>
  <c r="O41" i="3" s="1"/>
  <c r="AO34" i="2" s="1"/>
  <c r="N45" i="3"/>
  <c r="O45" i="3" s="1"/>
  <c r="AO38" i="2" s="1"/>
  <c r="N49" i="3"/>
  <c r="O49" i="3" s="1"/>
  <c r="AO42" i="2" s="1"/>
  <c r="N53" i="3"/>
  <c r="O53" i="3" s="1"/>
  <c r="AO46" i="2" s="1"/>
  <c r="N57" i="3"/>
  <c r="O57" i="3" s="1"/>
  <c r="AO50" i="2" s="1"/>
  <c r="N148" i="3"/>
  <c r="O148" i="3" s="1"/>
  <c r="AO141" i="2" s="1"/>
  <c r="N158" i="3"/>
  <c r="O158" i="3" s="1"/>
  <c r="AO151" i="2" s="1"/>
  <c r="N162" i="3"/>
  <c r="O162" i="3" s="1"/>
  <c r="AO155" i="2" s="1"/>
  <c r="N166" i="3"/>
  <c r="O166" i="3" s="1"/>
  <c r="AO159" i="2" s="1"/>
  <c r="N170" i="3"/>
  <c r="O170" i="3" s="1"/>
  <c r="AO163" i="2" s="1"/>
  <c r="N174" i="3"/>
  <c r="O174" i="3" s="1"/>
  <c r="AO167" i="2" s="1"/>
  <c r="N178" i="3"/>
  <c r="O178" i="3" s="1"/>
  <c r="AO171" i="2" s="1"/>
  <c r="N182" i="3"/>
  <c r="O182" i="3" s="1"/>
  <c r="AO175" i="2" s="1"/>
  <c r="N186" i="3"/>
  <c r="O186" i="3" s="1"/>
  <c r="AO179" i="2" s="1"/>
  <c r="N190" i="3"/>
  <c r="O190" i="3" s="1"/>
  <c r="AO183" i="2" s="1"/>
  <c r="N194" i="3"/>
  <c r="O194" i="3" s="1"/>
  <c r="AO187" i="2" s="1"/>
  <c r="N198" i="3"/>
  <c r="O198" i="3" s="1"/>
  <c r="AO191" i="2" s="1"/>
  <c r="N202" i="3"/>
  <c r="O202" i="3" s="1"/>
  <c r="AO195" i="2" s="1"/>
  <c r="N206" i="3"/>
  <c r="O206" i="3" s="1"/>
  <c r="AO199" i="2" s="1"/>
  <c r="N210" i="3"/>
  <c r="O210" i="3" s="1"/>
  <c r="AO203" i="2" s="1"/>
  <c r="N214" i="3"/>
  <c r="O214" i="3" s="1"/>
  <c r="AO207" i="2" s="1"/>
  <c r="N218" i="3"/>
  <c r="O218" i="3" s="1"/>
  <c r="AO211" i="2" s="1"/>
  <c r="N222" i="3"/>
  <c r="O222" i="3" s="1"/>
  <c r="AO215" i="2" s="1"/>
  <c r="N226" i="3"/>
  <c r="O226" i="3" s="1"/>
  <c r="AO219" i="2" s="1"/>
  <c r="N230" i="3"/>
  <c r="O230" i="3" s="1"/>
  <c r="AO223" i="2" s="1"/>
  <c r="N234" i="3"/>
  <c r="O234" i="3" s="1"/>
  <c r="AO227" i="2" s="1"/>
  <c r="N238" i="3"/>
  <c r="O238" i="3" s="1"/>
  <c r="AO231" i="2" s="1"/>
  <c r="N242" i="3"/>
  <c r="O242" i="3" s="1"/>
  <c r="AO235" i="2" s="1"/>
  <c r="N246" i="3"/>
  <c r="O246" i="3" s="1"/>
  <c r="AO239" i="2" s="1"/>
  <c r="N250" i="3"/>
  <c r="O250" i="3" s="1"/>
  <c r="AO243" i="2" s="1"/>
  <c r="N254" i="3"/>
  <c r="O254" i="3" s="1"/>
  <c r="AO247" i="2" s="1"/>
  <c r="N258" i="3"/>
  <c r="O258" i="3" s="1"/>
  <c r="AO251" i="2" s="1"/>
  <c r="N262" i="3"/>
  <c r="O262" i="3" s="1"/>
  <c r="AO255" i="2" s="1"/>
  <c r="N266" i="3"/>
  <c r="O266" i="3" s="1"/>
  <c r="AO259" i="2" s="1"/>
  <c r="N270" i="3"/>
  <c r="O270" i="3" s="1"/>
  <c r="AO263" i="2" s="1"/>
  <c r="N274" i="3"/>
  <c r="O274" i="3" s="1"/>
  <c r="AO267" i="2" s="1"/>
  <c r="N278" i="3"/>
  <c r="O278" i="3" s="1"/>
  <c r="AO271" i="2" s="1"/>
  <c r="N282" i="3"/>
  <c r="O282" i="3" s="1"/>
  <c r="AO275" i="2" s="1"/>
  <c r="N286" i="3"/>
  <c r="O286" i="3" s="1"/>
  <c r="AO279" i="2" s="1"/>
  <c r="N290" i="3"/>
  <c r="O290" i="3" s="1"/>
  <c r="AO283" i="2" s="1"/>
  <c r="N294" i="3"/>
  <c r="O294" i="3" s="1"/>
  <c r="AO287" i="2" s="1"/>
  <c r="N298" i="3"/>
  <c r="O298" i="3" s="1"/>
  <c r="AO291" i="2" s="1"/>
  <c r="N302" i="3"/>
  <c r="O302" i="3" s="1"/>
  <c r="AO295" i="2" s="1"/>
  <c r="N306" i="3"/>
  <c r="O306" i="3" s="1"/>
  <c r="AO299" i="2" s="1"/>
  <c r="N310" i="3"/>
  <c r="O310" i="3" s="1"/>
  <c r="AO303" i="2" s="1"/>
  <c r="N314" i="3"/>
  <c r="O314" i="3" s="1"/>
  <c r="AO307" i="2" s="1"/>
  <c r="N318" i="3"/>
  <c r="O318" i="3" s="1"/>
  <c r="AO311" i="2" s="1"/>
  <c r="N322" i="3"/>
  <c r="O322" i="3" s="1"/>
  <c r="AO315" i="2" s="1"/>
  <c r="N326" i="3"/>
  <c r="O326" i="3" s="1"/>
  <c r="AO319" i="2" s="1"/>
  <c r="N330" i="3"/>
  <c r="O330" i="3" s="1"/>
  <c r="AO323" i="2" s="1"/>
  <c r="N334" i="3"/>
  <c r="O334" i="3" s="1"/>
  <c r="AO327" i="2" s="1"/>
  <c r="N338" i="3"/>
  <c r="O338" i="3" s="1"/>
  <c r="AO331" i="2" s="1"/>
  <c r="N342" i="3"/>
  <c r="O342" i="3" s="1"/>
  <c r="AO335" i="2" s="1"/>
  <c r="N346" i="3"/>
  <c r="O346" i="3" s="1"/>
  <c r="AO339" i="2" s="1"/>
  <c r="N350" i="3"/>
  <c r="O350" i="3" s="1"/>
  <c r="AO343" i="2" s="1"/>
  <c r="N354" i="3"/>
  <c r="O354" i="3" s="1"/>
  <c r="AO347" i="2" s="1"/>
  <c r="N358" i="3"/>
  <c r="O358" i="3" s="1"/>
  <c r="AO351" i="2" s="1"/>
  <c r="N362" i="3"/>
  <c r="O362" i="3" s="1"/>
  <c r="AO355" i="2" s="1"/>
  <c r="N366" i="3"/>
  <c r="O366" i="3" s="1"/>
  <c r="AO359" i="2" s="1"/>
  <c r="N370" i="3"/>
  <c r="O370" i="3" s="1"/>
  <c r="AO363" i="2" s="1"/>
  <c r="N374" i="3"/>
  <c r="O374" i="3" s="1"/>
  <c r="AO367" i="2" s="1"/>
  <c r="N378" i="3"/>
  <c r="O378" i="3" s="1"/>
  <c r="AO371" i="2" s="1"/>
  <c r="N382" i="3"/>
  <c r="O382" i="3" s="1"/>
  <c r="AO375" i="2" s="1"/>
  <c r="N386" i="3"/>
  <c r="O386" i="3" s="1"/>
  <c r="AO379" i="2" s="1"/>
  <c r="N390" i="3"/>
  <c r="O390" i="3" s="1"/>
  <c r="AO383" i="2" s="1"/>
  <c r="N394" i="3"/>
  <c r="O394" i="3" s="1"/>
  <c r="AO387" i="2" s="1"/>
  <c r="N398" i="3"/>
  <c r="O398" i="3" s="1"/>
  <c r="AO391" i="2" s="1"/>
  <c r="N530" i="3"/>
  <c r="O530" i="3" s="1"/>
  <c r="AO523" i="2" s="1"/>
  <c r="N538" i="3"/>
  <c r="O538" i="3" s="1"/>
  <c r="AO531" i="2" s="1"/>
  <c r="N546" i="3"/>
  <c r="O546" i="3" s="1"/>
  <c r="AO539" i="2" s="1"/>
  <c r="N554" i="3"/>
  <c r="O554" i="3" s="1"/>
  <c r="AO547" i="2" s="1"/>
  <c r="N558" i="3"/>
  <c r="O558" i="3" s="1"/>
  <c r="AO551" i="2" s="1"/>
  <c r="N562" i="3"/>
  <c r="O562" i="3" s="1"/>
  <c r="AO555" i="2" s="1"/>
  <c r="N566" i="3"/>
  <c r="O566" i="3" s="1"/>
  <c r="AO559" i="2" s="1"/>
  <c r="N570" i="3"/>
  <c r="O570" i="3" s="1"/>
  <c r="AO563" i="2" s="1"/>
  <c r="N574" i="3"/>
  <c r="O574" i="3" s="1"/>
  <c r="AO567" i="2" s="1"/>
  <c r="N578" i="3"/>
  <c r="O578" i="3" s="1"/>
  <c r="AO571" i="2" s="1"/>
  <c r="N582" i="3"/>
  <c r="O582" i="3" s="1"/>
  <c r="AO575" i="2" s="1"/>
  <c r="N586" i="3"/>
  <c r="O586" i="3" s="1"/>
  <c r="AO579" i="2" s="1"/>
  <c r="N590" i="3"/>
  <c r="O590" i="3" s="1"/>
  <c r="AO583" i="2" s="1"/>
  <c r="N594" i="3"/>
  <c r="O594" i="3" s="1"/>
  <c r="AO587" i="2" s="1"/>
  <c r="N598" i="3"/>
  <c r="O598" i="3" s="1"/>
  <c r="AO591" i="2" s="1"/>
  <c r="N602" i="3"/>
  <c r="O602" i="3" s="1"/>
  <c r="AO595" i="2" s="1"/>
  <c r="N606" i="3"/>
  <c r="O606" i="3" s="1"/>
  <c r="AO599" i="2" s="1"/>
  <c r="N610" i="3"/>
  <c r="O610" i="3" s="1"/>
  <c r="AO603" i="2" s="1"/>
  <c r="N614" i="3"/>
  <c r="O614" i="3" s="1"/>
  <c r="AO607" i="2" s="1"/>
  <c r="N618" i="3"/>
  <c r="O618" i="3" s="1"/>
  <c r="AO611" i="2" s="1"/>
  <c r="N622" i="3"/>
  <c r="O622" i="3" s="1"/>
  <c r="AO615" i="2" s="1"/>
  <c r="N626" i="3"/>
  <c r="O626" i="3" s="1"/>
  <c r="AO619" i="2" s="1"/>
  <c r="N630" i="3"/>
  <c r="O630" i="3" s="1"/>
  <c r="AO623" i="2" s="1"/>
  <c r="N634" i="3"/>
  <c r="O634" i="3" s="1"/>
  <c r="AO627" i="2" s="1"/>
  <c r="N638" i="3"/>
  <c r="O638" i="3" s="1"/>
  <c r="AO631" i="2" s="1"/>
  <c r="N642" i="3"/>
  <c r="O642" i="3" s="1"/>
  <c r="AO635" i="2" s="1"/>
  <c r="N646" i="3"/>
  <c r="O646" i="3" s="1"/>
  <c r="AO639" i="2" s="1"/>
  <c r="N650" i="3"/>
  <c r="O650" i="3" s="1"/>
  <c r="AO643" i="2" s="1"/>
  <c r="N654" i="3"/>
  <c r="O654" i="3" s="1"/>
  <c r="AO647" i="2" s="1"/>
  <c r="N658" i="3"/>
  <c r="O658" i="3" s="1"/>
  <c r="AO651" i="2" s="1"/>
  <c r="N662" i="3"/>
  <c r="O662" i="3" s="1"/>
  <c r="AO655" i="2" s="1"/>
  <c r="N666" i="3"/>
  <c r="O666" i="3" s="1"/>
  <c r="AO659" i="2" s="1"/>
  <c r="N670" i="3"/>
  <c r="O670" i="3" s="1"/>
  <c r="AO663" i="2" s="1"/>
  <c r="N674" i="3"/>
  <c r="O674" i="3" s="1"/>
  <c r="AO667" i="2" s="1"/>
  <c r="N678" i="3"/>
  <c r="O678" i="3" s="1"/>
  <c r="AO671" i="2" s="1"/>
  <c r="N682" i="3"/>
  <c r="O682" i="3" s="1"/>
  <c r="AO675" i="2" s="1"/>
  <c r="N686" i="3"/>
  <c r="O686" i="3" s="1"/>
  <c r="AO679" i="2" s="1"/>
  <c r="N1405" i="3"/>
  <c r="O1405" i="3" s="1"/>
  <c r="AO1398" i="2" s="1"/>
  <c r="N1409" i="3"/>
  <c r="O1409" i="3" s="1"/>
  <c r="AO1402" i="2" s="1"/>
  <c r="N1413" i="3"/>
  <c r="O1413" i="3" s="1"/>
  <c r="AO1406" i="2" s="1"/>
  <c r="N1417" i="3"/>
  <c r="O1417" i="3" s="1"/>
  <c r="AO1410" i="2" s="1"/>
  <c r="N1421" i="3"/>
  <c r="O1421" i="3" s="1"/>
  <c r="AO1414" i="2" s="1"/>
  <c r="N1425" i="3"/>
  <c r="O1425" i="3" s="1"/>
  <c r="AO1418" i="2" s="1"/>
  <c r="N1429" i="3"/>
  <c r="O1429" i="3" s="1"/>
  <c r="AO1422" i="2" s="1"/>
  <c r="N1433" i="3"/>
  <c r="O1433" i="3" s="1"/>
  <c r="AO1426" i="2" s="1"/>
  <c r="N1437" i="3"/>
  <c r="O1437" i="3" s="1"/>
  <c r="AO1430" i="2" s="1"/>
  <c r="N1441" i="3"/>
  <c r="O1441" i="3" s="1"/>
  <c r="AO1434" i="2" s="1"/>
  <c r="N1445" i="3"/>
  <c r="O1445" i="3" s="1"/>
  <c r="AO1438" i="2" s="1"/>
  <c r="N1449" i="3"/>
  <c r="O1449" i="3" s="1"/>
  <c r="AO1442" i="2" s="1"/>
  <c r="N1453" i="3"/>
  <c r="O1453" i="3" s="1"/>
  <c r="AO1446" i="2" s="1"/>
  <c r="N1457" i="3"/>
  <c r="O1457" i="3" s="1"/>
  <c r="AO1450" i="2" s="1"/>
  <c r="N1461" i="3"/>
  <c r="O1461" i="3" s="1"/>
  <c r="AO1454" i="2" s="1"/>
  <c r="N1465" i="3"/>
  <c r="O1465" i="3" s="1"/>
  <c r="AO1458" i="2" s="1"/>
  <c r="N1469" i="3"/>
  <c r="O1469" i="3" s="1"/>
  <c r="AO1462" i="2" s="1"/>
  <c r="N1473" i="3"/>
  <c r="O1473" i="3" s="1"/>
  <c r="AO1466" i="2" s="1"/>
  <c r="N1477" i="3"/>
  <c r="O1477" i="3" s="1"/>
  <c r="AO1470" i="2" s="1"/>
  <c r="N799" i="3"/>
  <c r="O799" i="3" s="1"/>
  <c r="AO792" i="2" s="1"/>
  <c r="N803" i="3"/>
  <c r="O803" i="3" s="1"/>
  <c r="AO796" i="2" s="1"/>
  <c r="N807" i="3"/>
  <c r="O807" i="3" s="1"/>
  <c r="AO800" i="2" s="1"/>
  <c r="N811" i="3"/>
  <c r="O811" i="3" s="1"/>
  <c r="AO804" i="2" s="1"/>
  <c r="N815" i="3"/>
  <c r="O815" i="3" s="1"/>
  <c r="AO808" i="2" s="1"/>
  <c r="N819" i="3"/>
  <c r="O819" i="3" s="1"/>
  <c r="AO812" i="2" s="1"/>
  <c r="N823" i="3"/>
  <c r="O823" i="3" s="1"/>
  <c r="AO816" i="2" s="1"/>
  <c r="N827" i="3"/>
  <c r="O827" i="3" s="1"/>
  <c r="AO820" i="2" s="1"/>
  <c r="N831" i="3"/>
  <c r="O831" i="3" s="1"/>
  <c r="AO824" i="2" s="1"/>
  <c r="N835" i="3"/>
  <c r="O835" i="3" s="1"/>
  <c r="AO828" i="2" s="1"/>
  <c r="N839" i="3"/>
  <c r="O839" i="3" s="1"/>
  <c r="AO832" i="2" s="1"/>
  <c r="N843" i="3"/>
  <c r="O843" i="3" s="1"/>
  <c r="AO836" i="2" s="1"/>
  <c r="N847" i="3"/>
  <c r="O847" i="3" s="1"/>
  <c r="AO840" i="2" s="1"/>
  <c r="N851" i="3"/>
  <c r="O851" i="3" s="1"/>
  <c r="AO844" i="2" s="1"/>
  <c r="N855" i="3"/>
  <c r="O855" i="3" s="1"/>
  <c r="AO848" i="2" s="1"/>
  <c r="N859" i="3"/>
  <c r="O859" i="3" s="1"/>
  <c r="AO852" i="2" s="1"/>
  <c r="N863" i="3"/>
  <c r="O863" i="3" s="1"/>
  <c r="AO856" i="2" s="1"/>
  <c r="N867" i="3"/>
  <c r="O867" i="3" s="1"/>
  <c r="AO860" i="2" s="1"/>
  <c r="N871" i="3"/>
  <c r="O871" i="3" s="1"/>
  <c r="AO864" i="2" s="1"/>
  <c r="N875" i="3"/>
  <c r="O875" i="3" s="1"/>
  <c r="AO868" i="2" s="1"/>
  <c r="N879" i="3"/>
  <c r="O879" i="3" s="1"/>
  <c r="AO872" i="2" s="1"/>
  <c r="N883" i="3"/>
  <c r="O883" i="3" s="1"/>
  <c r="AO876" i="2" s="1"/>
  <c r="N887" i="3"/>
  <c r="O887" i="3" s="1"/>
  <c r="AO880" i="2" s="1"/>
  <c r="N891" i="3"/>
  <c r="O891" i="3" s="1"/>
  <c r="AO884" i="2" s="1"/>
  <c r="N895" i="3"/>
  <c r="O895" i="3" s="1"/>
  <c r="AO888" i="2" s="1"/>
  <c r="N899" i="3"/>
  <c r="O899" i="3" s="1"/>
  <c r="AO892" i="2" s="1"/>
  <c r="N903" i="3"/>
  <c r="O903" i="3" s="1"/>
  <c r="AO896" i="2" s="1"/>
  <c r="N907" i="3"/>
  <c r="O907" i="3" s="1"/>
  <c r="AO900" i="2" s="1"/>
  <c r="N911" i="3"/>
  <c r="O911" i="3" s="1"/>
  <c r="AO904" i="2" s="1"/>
  <c r="N915" i="3"/>
  <c r="O915" i="3" s="1"/>
  <c r="AO908" i="2" s="1"/>
  <c r="N919" i="3"/>
  <c r="O919" i="3" s="1"/>
  <c r="AO912" i="2" s="1"/>
  <c r="N923" i="3"/>
  <c r="O923" i="3" s="1"/>
  <c r="AO916" i="2" s="1"/>
  <c r="N927" i="3"/>
  <c r="O927" i="3" s="1"/>
  <c r="AO920" i="2" s="1"/>
  <c r="N931" i="3"/>
  <c r="O931" i="3" s="1"/>
  <c r="AO924" i="2" s="1"/>
  <c r="N935" i="3"/>
  <c r="O935" i="3" s="1"/>
  <c r="AO928" i="2" s="1"/>
  <c r="N939" i="3"/>
  <c r="O939" i="3" s="1"/>
  <c r="AO932" i="2" s="1"/>
  <c r="N943" i="3"/>
  <c r="O943" i="3" s="1"/>
  <c r="AO936" i="2" s="1"/>
  <c r="N947" i="3"/>
  <c r="O947" i="3" s="1"/>
  <c r="AO940" i="2" s="1"/>
  <c r="N951" i="3"/>
  <c r="O951" i="3" s="1"/>
  <c r="AO944" i="2" s="1"/>
  <c r="N955" i="3"/>
  <c r="O955" i="3" s="1"/>
  <c r="AO948" i="2" s="1"/>
  <c r="N959" i="3"/>
  <c r="O959" i="3" s="1"/>
  <c r="AO952" i="2" s="1"/>
  <c r="N963" i="3"/>
  <c r="O963" i="3" s="1"/>
  <c r="AO956" i="2" s="1"/>
  <c r="N967" i="3"/>
  <c r="O967" i="3" s="1"/>
  <c r="AO960" i="2" s="1"/>
  <c r="N971" i="3"/>
  <c r="O971" i="3" s="1"/>
  <c r="AO964" i="2" s="1"/>
  <c r="N975" i="3"/>
  <c r="O975" i="3" s="1"/>
  <c r="AO968" i="2" s="1"/>
  <c r="N979" i="3"/>
  <c r="O979" i="3" s="1"/>
  <c r="AO972" i="2" s="1"/>
  <c r="N983" i="3"/>
  <c r="O983" i="3" s="1"/>
  <c r="AO976" i="2" s="1"/>
  <c r="N987" i="3"/>
  <c r="O987" i="3" s="1"/>
  <c r="AO980" i="2" s="1"/>
  <c r="N991" i="3"/>
  <c r="O991" i="3" s="1"/>
  <c r="AO984" i="2" s="1"/>
  <c r="N995" i="3"/>
  <c r="O995" i="3" s="1"/>
  <c r="AO988" i="2" s="1"/>
  <c r="N999" i="3"/>
  <c r="O999" i="3" s="1"/>
  <c r="AO992" i="2" s="1"/>
  <c r="N1003" i="3"/>
  <c r="O1003" i="3" s="1"/>
  <c r="AO996" i="2" s="1"/>
  <c r="N1007" i="3"/>
  <c r="O1007" i="3" s="1"/>
  <c r="AO1000" i="2" s="1"/>
  <c r="N1011" i="3"/>
  <c r="O1011" i="3" s="1"/>
  <c r="AO1004" i="2" s="1"/>
  <c r="N1179" i="3"/>
  <c r="O1179" i="3" s="1"/>
  <c r="AO1172" i="2" s="1"/>
  <c r="N1183" i="3"/>
  <c r="O1183" i="3" s="1"/>
  <c r="AO1176" i="2" s="1"/>
  <c r="N1187" i="3"/>
  <c r="O1187" i="3" s="1"/>
  <c r="AO1180" i="2" s="1"/>
  <c r="N1191" i="3"/>
  <c r="O1191" i="3" s="1"/>
  <c r="AO1184" i="2" s="1"/>
  <c r="N1195" i="3"/>
  <c r="O1195" i="3" s="1"/>
  <c r="AO1188" i="2" s="1"/>
  <c r="N1311" i="3"/>
  <c r="O1311" i="3" s="1"/>
  <c r="AO1304" i="2" s="1"/>
  <c r="N1386" i="3"/>
  <c r="O1386" i="3" s="1"/>
  <c r="AO1379" i="2" s="1"/>
  <c r="N1390" i="3"/>
  <c r="O1390" i="3" s="1"/>
  <c r="AO1383" i="2" s="1"/>
  <c r="N1394" i="3"/>
  <c r="O1394" i="3" s="1"/>
  <c r="AO1387" i="2" s="1"/>
  <c r="N1398" i="3"/>
  <c r="O1398" i="3" s="1"/>
  <c r="AO1391" i="2" s="1"/>
  <c r="N1402" i="3"/>
  <c r="O1402" i="3" s="1"/>
  <c r="AO1395" i="2" s="1"/>
  <c r="N1406" i="3"/>
  <c r="O1406" i="3" s="1"/>
  <c r="AO1399" i="2" s="1"/>
  <c r="N1410" i="3"/>
  <c r="O1410" i="3" s="1"/>
  <c r="AO1403" i="2" s="1"/>
  <c r="N1414" i="3"/>
  <c r="O1414" i="3" s="1"/>
  <c r="AO1407" i="2" s="1"/>
  <c r="N1418" i="3"/>
  <c r="O1418" i="3" s="1"/>
  <c r="AO1411" i="2" s="1"/>
  <c r="N1422" i="3"/>
  <c r="O1422" i="3" s="1"/>
  <c r="AO1415" i="2" s="1"/>
  <c r="N1426" i="3"/>
  <c r="O1426" i="3" s="1"/>
  <c r="AO1419" i="2" s="1"/>
  <c r="N1430" i="3"/>
  <c r="O1430" i="3" s="1"/>
  <c r="AO1423" i="2" s="1"/>
  <c r="N1434" i="3"/>
  <c r="O1434" i="3" s="1"/>
  <c r="AO1427" i="2" s="1"/>
  <c r="N1438" i="3"/>
  <c r="O1438" i="3" s="1"/>
  <c r="AO1431" i="2" s="1"/>
  <c r="N1442" i="3"/>
  <c r="O1442" i="3" s="1"/>
  <c r="AO1435" i="2" s="1"/>
  <c r="N1446" i="3"/>
  <c r="O1446" i="3" s="1"/>
  <c r="AO1439" i="2" s="1"/>
  <c r="N1450" i="3"/>
  <c r="O1450" i="3" s="1"/>
  <c r="AO1443" i="2" s="1"/>
  <c r="N1454" i="3"/>
  <c r="O1454" i="3" s="1"/>
  <c r="AO1447" i="2" s="1"/>
  <c r="N1458" i="3"/>
  <c r="O1458" i="3" s="1"/>
  <c r="AO1451" i="2" s="1"/>
  <c r="N1462" i="3"/>
  <c r="O1462" i="3" s="1"/>
  <c r="AO1455" i="2" s="1"/>
  <c r="N1466" i="3"/>
  <c r="O1466" i="3" s="1"/>
  <c r="AO1459" i="2" s="1"/>
  <c r="N1470" i="3"/>
  <c r="O1470" i="3" s="1"/>
  <c r="AO1463" i="2" s="1"/>
  <c r="N1474" i="3"/>
  <c r="O1474" i="3" s="1"/>
  <c r="AO1467" i="2" s="1"/>
  <c r="N1478" i="3"/>
  <c r="O1478" i="3" s="1"/>
  <c r="AO1471" i="2" s="1"/>
  <c r="N136" i="3"/>
  <c r="O136" i="3" s="1"/>
  <c r="AO129" i="2" s="1"/>
  <c r="N144" i="3"/>
  <c r="O144" i="3" s="1"/>
  <c r="AO137" i="2" s="1"/>
  <c r="N152" i="3"/>
  <c r="O152" i="3" s="1"/>
  <c r="AO145" i="2" s="1"/>
  <c r="N160" i="3"/>
  <c r="O160" i="3" s="1"/>
  <c r="AO153" i="2" s="1"/>
  <c r="N168" i="3"/>
  <c r="O168" i="3" s="1"/>
  <c r="AO161" i="2" s="1"/>
  <c r="N176" i="3"/>
  <c r="O176" i="3" s="1"/>
  <c r="AO169" i="2" s="1"/>
  <c r="N184" i="3"/>
  <c r="O184" i="3" s="1"/>
  <c r="AO177" i="2" s="1"/>
  <c r="N192" i="3"/>
  <c r="O192" i="3" s="1"/>
  <c r="AO185" i="2" s="1"/>
  <c r="N200" i="3"/>
  <c r="O200" i="3" s="1"/>
  <c r="AO193" i="2" s="1"/>
  <c r="N208" i="3"/>
  <c r="O208" i="3" s="1"/>
  <c r="AO201" i="2" s="1"/>
  <c r="N216" i="3"/>
  <c r="O216" i="3" s="1"/>
  <c r="AO209" i="2" s="1"/>
  <c r="N224" i="3"/>
  <c r="O224" i="3" s="1"/>
  <c r="AO217" i="2" s="1"/>
  <c r="N232" i="3"/>
  <c r="O232" i="3" s="1"/>
  <c r="AO225" i="2" s="1"/>
  <c r="N240" i="3"/>
  <c r="O240" i="3" s="1"/>
  <c r="AO233" i="2" s="1"/>
  <c r="B12" i="4"/>
  <c r="B14" i="4"/>
  <c r="N137" i="3"/>
  <c r="O137" i="3" s="1"/>
  <c r="AO130" i="2" s="1"/>
  <c r="N145" i="3"/>
  <c r="O145" i="3" s="1"/>
  <c r="AO138" i="2" s="1"/>
  <c r="N153" i="3"/>
  <c r="O153" i="3" s="1"/>
  <c r="AO146" i="2" s="1"/>
  <c r="N161" i="3"/>
  <c r="O161" i="3" s="1"/>
  <c r="AO154" i="2" s="1"/>
  <c r="N169" i="3"/>
  <c r="O169" i="3" s="1"/>
  <c r="AO162" i="2" s="1"/>
  <c r="N177" i="3"/>
  <c r="O177" i="3" s="1"/>
  <c r="AO170" i="2" s="1"/>
  <c r="N185" i="3"/>
  <c r="O185" i="3" s="1"/>
  <c r="AO178" i="2" s="1"/>
  <c r="N193" i="3"/>
  <c r="O193" i="3" s="1"/>
  <c r="AO186" i="2" s="1"/>
  <c r="N201" i="3"/>
  <c r="O201" i="3" s="1"/>
  <c r="AO194" i="2" s="1"/>
  <c r="N209" i="3"/>
  <c r="O209" i="3" s="1"/>
  <c r="AO202" i="2" s="1"/>
  <c r="N217" i="3"/>
  <c r="O217" i="3" s="1"/>
  <c r="AO210" i="2" s="1"/>
  <c r="N225" i="3"/>
  <c r="O225" i="3" s="1"/>
  <c r="AO218" i="2" s="1"/>
  <c r="N233" i="3"/>
  <c r="O233" i="3" s="1"/>
  <c r="AO226" i="2" s="1"/>
  <c r="N241" i="3"/>
  <c r="O241" i="3" s="1"/>
  <c r="AO234" i="2" s="1"/>
  <c r="N406" i="3"/>
  <c r="O406" i="3" s="1"/>
  <c r="AO399" i="2" s="1"/>
  <c r="N414" i="3"/>
  <c r="O414" i="3" s="1"/>
  <c r="AO407" i="2" s="1"/>
  <c r="N422" i="3"/>
  <c r="O422" i="3" s="1"/>
  <c r="AO415" i="2" s="1"/>
  <c r="N430" i="3"/>
  <c r="O430" i="3" s="1"/>
  <c r="AO423" i="2" s="1"/>
  <c r="N438" i="3"/>
  <c r="O438" i="3" s="1"/>
  <c r="AO431" i="2" s="1"/>
  <c r="N446" i="3"/>
  <c r="O446" i="3" s="1"/>
  <c r="AO439" i="2" s="1"/>
  <c r="N454" i="3"/>
  <c r="O454" i="3" s="1"/>
  <c r="AO447" i="2" s="1"/>
  <c r="N462" i="3"/>
  <c r="O462" i="3" s="1"/>
  <c r="AO455" i="2" s="1"/>
  <c r="N470" i="3"/>
  <c r="O470" i="3" s="1"/>
  <c r="AO463" i="2" s="1"/>
  <c r="N478" i="3"/>
  <c r="O478" i="3" s="1"/>
  <c r="AO471" i="2" s="1"/>
  <c r="N486" i="3"/>
  <c r="O486" i="3" s="1"/>
  <c r="AO479" i="2" s="1"/>
  <c r="N494" i="3"/>
  <c r="O494" i="3" s="1"/>
  <c r="AO487" i="2" s="1"/>
  <c r="N502" i="3"/>
  <c r="O502" i="3" s="1"/>
  <c r="AO495" i="2" s="1"/>
  <c r="N510" i="3"/>
  <c r="O510" i="3" s="1"/>
  <c r="AO503" i="2" s="1"/>
  <c r="N518" i="3"/>
  <c r="O518" i="3" s="1"/>
  <c r="AO511" i="2" s="1"/>
  <c r="N526" i="3"/>
  <c r="O526" i="3" s="1"/>
  <c r="AO519" i="2" s="1"/>
  <c r="N534" i="3"/>
  <c r="O534" i="3" s="1"/>
  <c r="AO527" i="2" s="1"/>
  <c r="N542" i="3"/>
  <c r="O542" i="3" s="1"/>
  <c r="AO535" i="2" s="1"/>
  <c r="N550" i="3"/>
  <c r="O550" i="3" s="1"/>
  <c r="AO543" i="2" s="1"/>
  <c r="N357" i="3"/>
  <c r="O357" i="3" s="1"/>
  <c r="AO350" i="2" s="1"/>
  <c r="N361" i="3"/>
  <c r="O361" i="3" s="1"/>
  <c r="AO354" i="2" s="1"/>
  <c r="N365" i="3"/>
  <c r="O365" i="3" s="1"/>
  <c r="AO358" i="2" s="1"/>
  <c r="N369" i="3"/>
  <c r="O369" i="3" s="1"/>
  <c r="AO362" i="2" s="1"/>
  <c r="N373" i="3"/>
  <c r="O373" i="3" s="1"/>
  <c r="AO366" i="2" s="1"/>
  <c r="N377" i="3"/>
  <c r="O377" i="3" s="1"/>
  <c r="AO370" i="2" s="1"/>
  <c r="N381" i="3"/>
  <c r="O381" i="3" s="1"/>
  <c r="AO374" i="2" s="1"/>
  <c r="N385" i="3"/>
  <c r="O385" i="3" s="1"/>
  <c r="AO378" i="2" s="1"/>
  <c r="N529" i="3"/>
  <c r="O529" i="3" s="1"/>
  <c r="AO522" i="2" s="1"/>
  <c r="N537" i="3"/>
  <c r="O537" i="3" s="1"/>
  <c r="AO530" i="2" s="1"/>
  <c r="N545" i="3"/>
  <c r="O545" i="3" s="1"/>
  <c r="AO538" i="2" s="1"/>
  <c r="N389" i="3"/>
  <c r="O389" i="3" s="1"/>
  <c r="AO382" i="2" s="1"/>
  <c r="N393" i="3"/>
  <c r="O393" i="3" s="1"/>
  <c r="AO386" i="2" s="1"/>
  <c r="N397" i="3"/>
  <c r="O397" i="3" s="1"/>
  <c r="AO390" i="2" s="1"/>
  <c r="N402" i="3"/>
  <c r="O402" i="3" s="1"/>
  <c r="AO395" i="2" s="1"/>
  <c r="N410" i="3"/>
  <c r="O410" i="3" s="1"/>
  <c r="AO403" i="2" s="1"/>
  <c r="N418" i="3"/>
  <c r="O418" i="3" s="1"/>
  <c r="AO411" i="2" s="1"/>
  <c r="N426" i="3"/>
  <c r="O426" i="3" s="1"/>
  <c r="AO419" i="2" s="1"/>
  <c r="N434" i="3"/>
  <c r="O434" i="3" s="1"/>
  <c r="AO427" i="2" s="1"/>
  <c r="N442" i="3"/>
  <c r="O442" i="3" s="1"/>
  <c r="AO435" i="2" s="1"/>
  <c r="N450" i="3"/>
  <c r="O450" i="3" s="1"/>
  <c r="AO443" i="2" s="1"/>
  <c r="N458" i="3"/>
  <c r="O458" i="3" s="1"/>
  <c r="AO451" i="2" s="1"/>
  <c r="N466" i="3"/>
  <c r="O466" i="3" s="1"/>
  <c r="AO459" i="2" s="1"/>
  <c r="N474" i="3"/>
  <c r="O474" i="3" s="1"/>
  <c r="AO467" i="2" s="1"/>
  <c r="N482" i="3"/>
  <c r="O482" i="3" s="1"/>
  <c r="AO475" i="2" s="1"/>
  <c r="N490" i="3"/>
  <c r="O490" i="3" s="1"/>
  <c r="AO483" i="2" s="1"/>
  <c r="N498" i="3"/>
  <c r="O498" i="3" s="1"/>
  <c r="AO491" i="2" s="1"/>
  <c r="N506" i="3"/>
  <c r="O506" i="3" s="1"/>
  <c r="AO499" i="2" s="1"/>
  <c r="N514" i="3"/>
  <c r="O514" i="3" s="1"/>
  <c r="AO507" i="2" s="1"/>
  <c r="N522" i="3"/>
  <c r="O522" i="3" s="1"/>
  <c r="AO515" i="2" s="1"/>
  <c r="N687" i="3"/>
  <c r="O687" i="3" s="1"/>
  <c r="AO680" i="2" s="1"/>
  <c r="N692" i="3"/>
  <c r="O692" i="3" s="1"/>
  <c r="AO685" i="2" s="1"/>
  <c r="N688" i="3"/>
  <c r="O688" i="3" s="1"/>
  <c r="AO681" i="2" s="1"/>
  <c r="N691" i="3"/>
  <c r="O691" i="3" s="1"/>
  <c r="AO684" i="2" s="1"/>
  <c r="N1014" i="3"/>
  <c r="O1014" i="3" s="1"/>
  <c r="AO1007" i="2" s="1"/>
  <c r="N1016" i="3"/>
  <c r="O1016" i="3" s="1"/>
  <c r="AO1009" i="2" s="1"/>
  <c r="N1018" i="3"/>
  <c r="O1018" i="3" s="1"/>
  <c r="AO1011" i="2" s="1"/>
  <c r="N1020" i="3"/>
  <c r="O1020" i="3" s="1"/>
  <c r="AO1013" i="2" s="1"/>
  <c r="N1022" i="3"/>
  <c r="O1022" i="3" s="1"/>
  <c r="AO1015" i="2" s="1"/>
  <c r="N1182" i="3"/>
  <c r="O1182" i="3" s="1"/>
  <c r="AO1175" i="2" s="1"/>
  <c r="N1383" i="3"/>
  <c r="O1383" i="3" s="1"/>
  <c r="AO1376" i="2" s="1"/>
  <c r="N1314" i="3"/>
  <c r="O1314" i="3" s="1"/>
  <c r="AO1307" i="2" s="1"/>
  <c r="N1316" i="3"/>
  <c r="O1316" i="3" s="1"/>
  <c r="AO1309" i="2" s="1"/>
  <c r="N1322" i="3"/>
  <c r="O1322" i="3" s="1"/>
  <c r="AO1315" i="2" s="1"/>
  <c r="N1324" i="3"/>
  <c r="O1324" i="3" s="1"/>
  <c r="AO1317" i="2" s="1"/>
  <c r="N1330" i="3"/>
  <c r="O1330" i="3" s="1"/>
  <c r="AO1323" i="2" s="1"/>
  <c r="N1332" i="3"/>
  <c r="O1332" i="3" s="1"/>
  <c r="AO1325" i="2" s="1"/>
  <c r="N1338" i="3"/>
  <c r="O1338" i="3" s="1"/>
  <c r="AO1331" i="2" s="1"/>
  <c r="N1340" i="3"/>
  <c r="O1340" i="3" s="1"/>
  <c r="AO1333" i="2" s="1"/>
  <c r="N1346" i="3"/>
  <c r="O1346" i="3" s="1"/>
  <c r="AO1339" i="2" s="1"/>
  <c r="N1348" i="3"/>
  <c r="O1348" i="3" s="1"/>
  <c r="AO1341" i="2" s="1"/>
  <c r="N1354" i="3"/>
  <c r="O1354" i="3" s="1"/>
  <c r="AO1347" i="2" s="1"/>
  <c r="N1356" i="3"/>
  <c r="O1356" i="3" s="1"/>
  <c r="AO1349" i="2" s="1"/>
  <c r="N1362" i="3"/>
  <c r="O1362" i="3" s="1"/>
  <c r="AO1355" i="2" s="1"/>
  <c r="N1364" i="3"/>
  <c r="O1364" i="3" s="1"/>
  <c r="AO1357" i="2" s="1"/>
  <c r="N1370" i="3"/>
  <c r="O1370" i="3" s="1"/>
  <c r="AO1363" i="2" s="1"/>
  <c r="N1372" i="3"/>
  <c r="O1372" i="3" s="1"/>
  <c r="AO1365" i="2" s="1"/>
  <c r="N1378" i="3"/>
  <c r="O1378" i="3" s="1"/>
  <c r="AO1371" i="2" s="1"/>
  <c r="N1380" i="3"/>
  <c r="O1380" i="3" s="1"/>
  <c r="AO1373" i="2" s="1"/>
  <c r="N1388" i="3"/>
  <c r="O1388" i="3" s="1"/>
  <c r="AO1381" i="2" s="1"/>
  <c r="N1396" i="3"/>
  <c r="O1396" i="3" s="1"/>
  <c r="AO1389" i="2" s="1"/>
  <c r="N1404" i="3"/>
  <c r="O1404" i="3" s="1"/>
  <c r="AO1397" i="2" s="1"/>
  <c r="N1412" i="3"/>
  <c r="O1412" i="3" s="1"/>
  <c r="AO1405" i="2" s="1"/>
  <c r="N1420" i="3"/>
  <c r="O1420" i="3" s="1"/>
  <c r="AO1413" i="2" s="1"/>
  <c r="N1428" i="3"/>
  <c r="O1428" i="3" s="1"/>
  <c r="AO1421" i="2" s="1"/>
  <c r="N1436" i="3"/>
  <c r="O1436" i="3" s="1"/>
  <c r="AO1429" i="2" s="1"/>
  <c r="N1444" i="3"/>
  <c r="O1444" i="3" s="1"/>
  <c r="AO1437" i="2" s="1"/>
  <c r="N1452" i="3"/>
  <c r="O1452" i="3" s="1"/>
  <c r="AO1445" i="2" s="1"/>
  <c r="N1460" i="3"/>
  <c r="O1460" i="3" s="1"/>
  <c r="AO1453" i="2" s="1"/>
  <c r="N1468" i="3"/>
  <c r="O1468" i="3" s="1"/>
  <c r="AO1461" i="2" s="1"/>
  <c r="N1476" i="3"/>
  <c r="O1476" i="3" s="1"/>
  <c r="AO1469" i="2" s="1"/>
  <c r="B9" i="4" l="1"/>
  <c r="B11" i="4"/>
  <c r="B10" i="4"/>
  <c r="B13" i="4"/>
</calcChain>
</file>

<file path=xl/sharedStrings.xml><?xml version="1.0" encoding="utf-8"?>
<sst xmlns="http://schemas.openxmlformats.org/spreadsheetml/2006/main" count="64946" uniqueCount="4584">
  <si>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</si>
  <si>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</si>
  <si>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</si>
  <si>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</si>
  <si>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</si>
  <si>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</si>
  <si>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</si>
  <si>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</si>
  <si>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</si>
  <si>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</si>
  <si>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</si>
  <si>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</si>
  <si>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</si>
  <si>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</si>
  <si>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</si>
  <si>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</si>
  <si>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</si>
  <si>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</si>
  <si>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</si>
  <si>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</si>
  <si>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</si>
  <si>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</si>
  <si>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</si>
  <si>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</si>
  <si>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</si>
  <si>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</si>
  <si>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</si>
  <si>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</si>
  <si>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</si>
  <si>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</si>
  <si>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</si>
  <si>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</si>
  <si>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</si>
  <si>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</si>
  <si>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</si>
  <si>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41</t>
  </si>
  <si>
    <t>Yes</t>
  </si>
  <si>
    <t>Travel_Rarely</t>
  </si>
  <si>
    <t>1102</t>
  </si>
  <si>
    <t>Sales</t>
  </si>
  <si>
    <t>1</t>
  </si>
  <si>
    <t>2</t>
  </si>
  <si>
    <t>Life Sciences</t>
  </si>
  <si>
    <t>Female</t>
  </si>
  <si>
    <t>94</t>
  </si>
  <si>
    <t>3</t>
  </si>
  <si>
    <t>Sales Executive</t>
  </si>
  <si>
    <t>4</t>
  </si>
  <si>
    <t>Single</t>
  </si>
  <si>
    <t>5993</t>
  </si>
  <si>
    <t>19479</t>
  </si>
  <si>
    <t>8</t>
  </si>
  <si>
    <t>Y</t>
  </si>
  <si>
    <t>11</t>
  </si>
  <si>
    <t>80</t>
  </si>
  <si>
    <t>0</t>
  </si>
  <si>
    <t>6</t>
  </si>
  <si>
    <t>5</t>
  </si>
  <si>
    <t>49</t>
  </si>
  <si>
    <t>No</t>
  </si>
  <si>
    <t>Travel_Frequently</t>
  </si>
  <si>
    <t>279</t>
  </si>
  <si>
    <t>Research &amp; Development</t>
  </si>
  <si>
    <t>Male</t>
  </si>
  <si>
    <t>61</t>
  </si>
  <si>
    <t>Research Scientist</t>
  </si>
  <si>
    <t>Married</t>
  </si>
  <si>
    <t>5130</t>
  </si>
  <si>
    <t>24907</t>
  </si>
  <si>
    <t>23</t>
  </si>
  <si>
    <t>10</t>
  </si>
  <si>
    <t>7</t>
  </si>
  <si>
    <t>37</t>
  </si>
  <si>
    <t>1373</t>
  </si>
  <si>
    <t>Other</t>
  </si>
  <si>
    <t>92</t>
  </si>
  <si>
    <t>Laboratory Technician</t>
  </si>
  <si>
    <t>2090</t>
  </si>
  <si>
    <t>2396</t>
  </si>
  <si>
    <t>15</t>
  </si>
  <si>
    <t>33</t>
  </si>
  <si>
    <t>1392</t>
  </si>
  <si>
    <t>56</t>
  </si>
  <si>
    <t>2909</t>
  </si>
  <si>
    <t>23159</t>
  </si>
  <si>
    <t>27</t>
  </si>
  <si>
    <t>591</t>
  </si>
  <si>
    <t>Medical</t>
  </si>
  <si>
    <t>40</t>
  </si>
  <si>
    <t>3468</t>
  </si>
  <si>
    <t>16632</t>
  </si>
  <si>
    <t>9</t>
  </si>
  <si>
    <t>12</t>
  </si>
  <si>
    <t>32</t>
  </si>
  <si>
    <t>1005</t>
  </si>
  <si>
    <t>79</t>
  </si>
  <si>
    <t>3068</t>
  </si>
  <si>
    <t>11864</t>
  </si>
  <si>
    <t>13</t>
  </si>
  <si>
    <t>59</t>
  </si>
  <si>
    <t>1324</t>
  </si>
  <si>
    <t>81</t>
  </si>
  <si>
    <t>2670</t>
  </si>
  <si>
    <t>9964</t>
  </si>
  <si>
    <t>20</t>
  </si>
  <si>
    <t>30</t>
  </si>
  <si>
    <t>1358</t>
  </si>
  <si>
    <t>24</t>
  </si>
  <si>
    <t>67</t>
  </si>
  <si>
    <t>Divorced</t>
  </si>
  <si>
    <t>2693</t>
  </si>
  <si>
    <t>13335</t>
  </si>
  <si>
    <t>22</t>
  </si>
  <si>
    <t>38</t>
  </si>
  <si>
    <t>216</t>
  </si>
  <si>
    <t>44</t>
  </si>
  <si>
    <t>Manufacturing Director</t>
  </si>
  <si>
    <t>9526</t>
  </si>
  <si>
    <t>8787</t>
  </si>
  <si>
    <t>21</t>
  </si>
  <si>
    <t>36</t>
  </si>
  <si>
    <t>1299</t>
  </si>
  <si>
    <t>Healthcare Representative</t>
  </si>
  <si>
    <t>5237</t>
  </si>
  <si>
    <t>16577</t>
  </si>
  <si>
    <t>17</t>
  </si>
  <si>
    <t>35</t>
  </si>
  <si>
    <t>809</t>
  </si>
  <si>
    <t>16</t>
  </si>
  <si>
    <t>14</t>
  </si>
  <si>
    <t>84</t>
  </si>
  <si>
    <t>2426</t>
  </si>
  <si>
    <t>16479</t>
  </si>
  <si>
    <t>29</t>
  </si>
  <si>
    <t>153</t>
  </si>
  <si>
    <t>4193</t>
  </si>
  <si>
    <t>12682</t>
  </si>
  <si>
    <t>31</t>
  </si>
  <si>
    <t>670</t>
  </si>
  <si>
    <t>26</t>
  </si>
  <si>
    <t>2911</t>
  </si>
  <si>
    <t>15170</t>
  </si>
  <si>
    <t>34</t>
  </si>
  <si>
    <t>1346</t>
  </si>
  <si>
    <t>19</t>
  </si>
  <si>
    <t>18</t>
  </si>
  <si>
    <t>93</t>
  </si>
  <si>
    <t>2661</t>
  </si>
  <si>
    <t>8758</t>
  </si>
  <si>
    <t>28</t>
  </si>
  <si>
    <t>103</t>
  </si>
  <si>
    <t>50</t>
  </si>
  <si>
    <t>2028</t>
  </si>
  <si>
    <t>12947</t>
  </si>
  <si>
    <t>1389</t>
  </si>
  <si>
    <t>51</t>
  </si>
  <si>
    <t>9980</t>
  </si>
  <si>
    <t>10195</t>
  </si>
  <si>
    <t>334</t>
  </si>
  <si>
    <t>3298</t>
  </si>
  <si>
    <t>15053</t>
  </si>
  <si>
    <t>Non-Travel</t>
  </si>
  <si>
    <t>1123</t>
  </si>
  <si>
    <t>96</t>
  </si>
  <si>
    <t>2935</t>
  </si>
  <si>
    <t>7324</t>
  </si>
  <si>
    <t>53</t>
  </si>
  <si>
    <t>1219</t>
  </si>
  <si>
    <t>78</t>
  </si>
  <si>
    <t>Manager</t>
  </si>
  <si>
    <t>15427</t>
  </si>
  <si>
    <t>22021</t>
  </si>
  <si>
    <t>25</t>
  </si>
  <si>
    <t>371</t>
  </si>
  <si>
    <t>45</t>
  </si>
  <si>
    <t>3944</t>
  </si>
  <si>
    <t>4306</t>
  </si>
  <si>
    <t>673</t>
  </si>
  <si>
    <t>4011</t>
  </si>
  <si>
    <t>8232</t>
  </si>
  <si>
    <t>1218</t>
  </si>
  <si>
    <t>82</t>
  </si>
  <si>
    <t>Sales Representative</t>
  </si>
  <si>
    <t>3407</t>
  </si>
  <si>
    <t>6986</t>
  </si>
  <si>
    <t>419</t>
  </si>
  <si>
    <t>Research Director</t>
  </si>
  <si>
    <t>11994</t>
  </si>
  <si>
    <t>21293</t>
  </si>
  <si>
    <t>391</t>
  </si>
  <si>
    <t>1232</t>
  </si>
  <si>
    <t>19281</t>
  </si>
  <si>
    <t>699</t>
  </si>
  <si>
    <t>83</t>
  </si>
  <si>
    <t>2960</t>
  </si>
  <si>
    <t>17102</t>
  </si>
  <si>
    <t>1282</t>
  </si>
  <si>
    <t>58</t>
  </si>
  <si>
    <t>19094</t>
  </si>
  <si>
    <t>10735</t>
  </si>
  <si>
    <t>1125</t>
  </si>
  <si>
    <t>72</t>
  </si>
  <si>
    <t>3919</t>
  </si>
  <si>
    <t>4681</t>
  </si>
  <si>
    <t>42</t>
  </si>
  <si>
    <t>691</t>
  </si>
  <si>
    <t>Marketing</t>
  </si>
  <si>
    <t>48</t>
  </si>
  <si>
    <t>6825</t>
  </si>
  <si>
    <t>21173</t>
  </si>
  <si>
    <t>477</t>
  </si>
  <si>
    <t>10248</t>
  </si>
  <si>
    <t>2094</t>
  </si>
  <si>
    <t>46</t>
  </si>
  <si>
    <t>705</t>
  </si>
  <si>
    <t>18947</t>
  </si>
  <si>
    <t>22822</t>
  </si>
  <si>
    <t>924</t>
  </si>
  <si>
    <t>39</t>
  </si>
  <si>
    <t>2496</t>
  </si>
  <si>
    <t>6670</t>
  </si>
  <si>
    <t>1459</t>
  </si>
  <si>
    <t>6465</t>
  </si>
  <si>
    <t>19121</t>
  </si>
  <si>
    <t>125</t>
  </si>
  <si>
    <t>2206</t>
  </si>
  <si>
    <t>16117</t>
  </si>
  <si>
    <t>895</t>
  </si>
  <si>
    <t>Technical Degree</t>
  </si>
  <si>
    <t>2086</t>
  </si>
  <si>
    <t>3335</t>
  </si>
  <si>
    <t>813</t>
  </si>
  <si>
    <t>2293</t>
  </si>
  <si>
    <t>3020</t>
  </si>
  <si>
    <t>43</t>
  </si>
  <si>
    <t>1273</t>
  </si>
  <si>
    <t>2645</t>
  </si>
  <si>
    <t>21923</t>
  </si>
  <si>
    <t>869</t>
  </si>
  <si>
    <t>47</t>
  </si>
  <si>
    <t>86</t>
  </si>
  <si>
    <t>2683</t>
  </si>
  <si>
    <t>3810</t>
  </si>
  <si>
    <t>890</t>
  </si>
  <si>
    <t>97</t>
  </si>
  <si>
    <t>2014</t>
  </si>
  <si>
    <t>9687</t>
  </si>
  <si>
    <t>852</t>
  </si>
  <si>
    <t>3419</t>
  </si>
  <si>
    <t>13072</t>
  </si>
  <si>
    <t>1141</t>
  </si>
  <si>
    <t>52</t>
  </si>
  <si>
    <t>5376</t>
  </si>
  <si>
    <t>3193</t>
  </si>
  <si>
    <t>464</t>
  </si>
  <si>
    <t>75</t>
  </si>
  <si>
    <t>1951</t>
  </si>
  <si>
    <t>10910</t>
  </si>
  <si>
    <t>1240</t>
  </si>
  <si>
    <t>54</t>
  </si>
  <si>
    <t>2341</t>
  </si>
  <si>
    <t>19715</t>
  </si>
  <si>
    <t>1357</t>
  </si>
  <si>
    <t>55</t>
  </si>
  <si>
    <t>10558</t>
  </si>
  <si>
    <t>994</t>
  </si>
  <si>
    <t>8726</t>
  </si>
  <si>
    <t>2975</t>
  </si>
  <si>
    <t>721</t>
  </si>
  <si>
    <t>57</t>
  </si>
  <si>
    <t>10781</t>
  </si>
  <si>
    <t>1360</t>
  </si>
  <si>
    <t>19545</t>
  </si>
  <si>
    <t>16280</t>
  </si>
  <si>
    <t>1065</t>
  </si>
  <si>
    <t>60</t>
  </si>
  <si>
    <t>4568</t>
  </si>
  <si>
    <t>10034</t>
  </si>
  <si>
    <t>408</t>
  </si>
  <si>
    <t>73</t>
  </si>
  <si>
    <t>3022</t>
  </si>
  <si>
    <t>10227</t>
  </si>
  <si>
    <t>1211</t>
  </si>
  <si>
    <t>62</t>
  </si>
  <si>
    <t>98</t>
  </si>
  <si>
    <t>5772</t>
  </si>
  <si>
    <t>20445</t>
  </si>
  <si>
    <t>1229</t>
  </si>
  <si>
    <t>63</t>
  </si>
  <si>
    <t>2269</t>
  </si>
  <si>
    <t>4892</t>
  </si>
  <si>
    <t>626</t>
  </si>
  <si>
    <t>64</t>
  </si>
  <si>
    <t>5381</t>
  </si>
  <si>
    <t>19294</t>
  </si>
  <si>
    <t>1434</t>
  </si>
  <si>
    <t>65</t>
  </si>
  <si>
    <t>3441</t>
  </si>
  <si>
    <t>11179</t>
  </si>
  <si>
    <t>1488</t>
  </si>
  <si>
    <t>68</t>
  </si>
  <si>
    <t>5454</t>
  </si>
  <si>
    <t>4009</t>
  </si>
  <si>
    <t>1097</t>
  </si>
  <si>
    <t>70</t>
  </si>
  <si>
    <t>9884</t>
  </si>
  <si>
    <t>8302</t>
  </si>
  <si>
    <t>1443</t>
  </si>
  <si>
    <t>4157</t>
  </si>
  <si>
    <t>21436</t>
  </si>
  <si>
    <t>515</t>
  </si>
  <si>
    <t>13458</t>
  </si>
  <si>
    <t>15146</t>
  </si>
  <si>
    <t>853</t>
  </si>
  <si>
    <t>74</t>
  </si>
  <si>
    <t>71</t>
  </si>
  <si>
    <t>9069</t>
  </si>
  <si>
    <t>11031</t>
  </si>
  <si>
    <t>1142</t>
  </si>
  <si>
    <t>4014</t>
  </si>
  <si>
    <t>16002</t>
  </si>
  <si>
    <t>655</t>
  </si>
  <si>
    <t>76</t>
  </si>
  <si>
    <t>5915</t>
  </si>
  <si>
    <t>9528</t>
  </si>
  <si>
    <t>1115</t>
  </si>
  <si>
    <t>77</t>
  </si>
  <si>
    <t>2689</t>
  </si>
  <si>
    <t>427</t>
  </si>
  <si>
    <t>6162</t>
  </si>
  <si>
    <t>10877</t>
  </si>
  <si>
    <t>653</t>
  </si>
  <si>
    <t>2406</t>
  </si>
  <si>
    <t>5456</t>
  </si>
  <si>
    <t>989</t>
  </si>
  <si>
    <t>18740</t>
  </si>
  <si>
    <t>16701</t>
  </si>
  <si>
    <t>1435</t>
  </si>
  <si>
    <t>99</t>
  </si>
  <si>
    <t>7637</t>
  </si>
  <si>
    <t>2354</t>
  </si>
  <si>
    <t>1223</t>
  </si>
  <si>
    <t>10096</t>
  </si>
  <si>
    <t>8202</t>
  </si>
  <si>
    <t>836</t>
  </si>
  <si>
    <t>14756</t>
  </si>
  <si>
    <t>19730</t>
  </si>
  <si>
    <t>1195</t>
  </si>
  <si>
    <t>85</t>
  </si>
  <si>
    <t>95</t>
  </si>
  <si>
    <t>6499</t>
  </si>
  <si>
    <t>22656</t>
  </si>
  <si>
    <t>1339</t>
  </si>
  <si>
    <t>9724</t>
  </si>
  <si>
    <t>18787</t>
  </si>
  <si>
    <t>664</t>
  </si>
  <si>
    <t>88</t>
  </si>
  <si>
    <t>2194</t>
  </si>
  <si>
    <t>5868</t>
  </si>
  <si>
    <t>318</t>
  </si>
  <si>
    <t>90</t>
  </si>
  <si>
    <t>3388</t>
  </si>
  <si>
    <t>21777</t>
  </si>
  <si>
    <t>1225</t>
  </si>
  <si>
    <t>91</t>
  </si>
  <si>
    <t>5473</t>
  </si>
  <si>
    <t>24668</t>
  </si>
  <si>
    <t>1328</t>
  </si>
  <si>
    <t>2703</t>
  </si>
  <si>
    <t>4956</t>
  </si>
  <si>
    <t>1082</t>
  </si>
  <si>
    <t>87</t>
  </si>
  <si>
    <t>2501</t>
  </si>
  <si>
    <t>18775</t>
  </si>
  <si>
    <t>548</t>
  </si>
  <si>
    <t>66</t>
  </si>
  <si>
    <t>6220</t>
  </si>
  <si>
    <t>7346</t>
  </si>
  <si>
    <t>132</t>
  </si>
  <si>
    <t>3038</t>
  </si>
  <si>
    <t>22002</t>
  </si>
  <si>
    <t>746</t>
  </si>
  <si>
    <t>4424</t>
  </si>
  <si>
    <t>20682</t>
  </si>
  <si>
    <t>776</t>
  </si>
  <si>
    <t>100</t>
  </si>
  <si>
    <t>4312</t>
  </si>
  <si>
    <t>23016</t>
  </si>
  <si>
    <t>193</t>
  </si>
  <si>
    <t>101</t>
  </si>
  <si>
    <t>13245</t>
  </si>
  <si>
    <t>15067</t>
  </si>
  <si>
    <t>397</t>
  </si>
  <si>
    <t>102</t>
  </si>
  <si>
    <t>13664</t>
  </si>
  <si>
    <t>25258</t>
  </si>
  <si>
    <t>945</t>
  </si>
  <si>
    <t>Human Resources</t>
  </si>
  <si>
    <t>5021</t>
  </si>
  <si>
    <t>10425</t>
  </si>
  <si>
    <t>104</t>
  </si>
  <si>
    <t>5126</t>
  </si>
  <si>
    <t>15998</t>
  </si>
  <si>
    <t>1214</t>
  </si>
  <si>
    <t>105</t>
  </si>
  <si>
    <t>2859</t>
  </si>
  <si>
    <t>26278</t>
  </si>
  <si>
    <t>111</t>
  </si>
  <si>
    <t>106</t>
  </si>
  <si>
    <t>10239</t>
  </si>
  <si>
    <t>18092</t>
  </si>
  <si>
    <t>573</t>
  </si>
  <si>
    <t>107</t>
  </si>
  <si>
    <t>5329</t>
  </si>
  <si>
    <t>15717</t>
  </si>
  <si>
    <t>1153</t>
  </si>
  <si>
    <t>110</t>
  </si>
  <si>
    <t>4325</t>
  </si>
  <si>
    <t>17736</t>
  </si>
  <si>
    <t>1400</t>
  </si>
  <si>
    <t>112</t>
  </si>
  <si>
    <t>7260</t>
  </si>
  <si>
    <t>21698</t>
  </si>
  <si>
    <t>541</t>
  </si>
  <si>
    <t>113</t>
  </si>
  <si>
    <t>2322</t>
  </si>
  <si>
    <t>9518</t>
  </si>
  <si>
    <t>432</t>
  </si>
  <si>
    <t>116</t>
  </si>
  <si>
    <t>2075</t>
  </si>
  <si>
    <t>18725</t>
  </si>
  <si>
    <t>288</t>
  </si>
  <si>
    <t>117</t>
  </si>
  <si>
    <t>4152</t>
  </si>
  <si>
    <t>15830</t>
  </si>
  <si>
    <t>669</t>
  </si>
  <si>
    <t>118</t>
  </si>
  <si>
    <t>9619</t>
  </si>
  <si>
    <t>13596</t>
  </si>
  <si>
    <t>530</t>
  </si>
  <si>
    <t>119</t>
  </si>
  <si>
    <t>13503</t>
  </si>
  <si>
    <t>14115</t>
  </si>
  <si>
    <t>632</t>
  </si>
  <si>
    <t>120</t>
  </si>
  <si>
    <t>5441</t>
  </si>
  <si>
    <t>8423</t>
  </si>
  <si>
    <t>1334</t>
  </si>
  <si>
    <t>121</t>
  </si>
  <si>
    <t>5209</t>
  </si>
  <si>
    <t>19760</t>
  </si>
  <si>
    <t>638</t>
  </si>
  <si>
    <t>124</t>
  </si>
  <si>
    <t>10673</t>
  </si>
  <si>
    <t>3142</t>
  </si>
  <si>
    <t>1093</t>
  </si>
  <si>
    <t>5010</t>
  </si>
  <si>
    <t>24301</t>
  </si>
  <si>
    <t>1217</t>
  </si>
  <si>
    <t>126</t>
  </si>
  <si>
    <t>13549</t>
  </si>
  <si>
    <t>24001</t>
  </si>
  <si>
    <t>1353</t>
  </si>
  <si>
    <t>128</t>
  </si>
  <si>
    <t>4999</t>
  </si>
  <si>
    <t>17519</t>
  </si>
  <si>
    <t>129</t>
  </si>
  <si>
    <t>4221</t>
  </si>
  <si>
    <t>8863</t>
  </si>
  <si>
    <t>682</t>
  </si>
  <si>
    <t>131</t>
  </si>
  <si>
    <t>13872</t>
  </si>
  <si>
    <t>24409</t>
  </si>
  <si>
    <t>489</t>
  </si>
  <si>
    <t>2042</t>
  </si>
  <si>
    <t>25043</t>
  </si>
  <si>
    <t>807</t>
  </si>
  <si>
    <t>133</t>
  </si>
  <si>
    <t>2073</t>
  </si>
  <si>
    <t>23648</t>
  </si>
  <si>
    <t>827</t>
  </si>
  <si>
    <t>134</t>
  </si>
  <si>
    <t>2956</t>
  </si>
  <si>
    <t>15178</t>
  </si>
  <si>
    <t>871</t>
  </si>
  <si>
    <t>137</t>
  </si>
  <si>
    <t>2926</t>
  </si>
  <si>
    <t>19783</t>
  </si>
  <si>
    <t>665</t>
  </si>
  <si>
    <t>138</t>
  </si>
  <si>
    <t>4809</t>
  </si>
  <si>
    <t>12482</t>
  </si>
  <si>
    <t>1040</t>
  </si>
  <si>
    <t>139</t>
  </si>
  <si>
    <t>5163</t>
  </si>
  <si>
    <t>15850</t>
  </si>
  <si>
    <t>1420</t>
  </si>
  <si>
    <t>140</t>
  </si>
  <si>
    <t>18844</t>
  </si>
  <si>
    <t>21922</t>
  </si>
  <si>
    <t>141</t>
  </si>
  <si>
    <t>18172</t>
  </si>
  <si>
    <t>9755</t>
  </si>
  <si>
    <t>240</t>
  </si>
  <si>
    <t>142</t>
  </si>
  <si>
    <t>5744</t>
  </si>
  <si>
    <t>26959</t>
  </si>
  <si>
    <t>1280</t>
  </si>
  <si>
    <t>143</t>
  </si>
  <si>
    <t>2889</t>
  </si>
  <si>
    <t>26897</t>
  </si>
  <si>
    <t>534</t>
  </si>
  <si>
    <t>144</t>
  </si>
  <si>
    <t>2871</t>
  </si>
  <si>
    <t>23785</t>
  </si>
  <si>
    <t>1456</t>
  </si>
  <si>
    <t>145</t>
  </si>
  <si>
    <t>7484</t>
  </si>
  <si>
    <t>25796</t>
  </si>
  <si>
    <t>658</t>
  </si>
  <si>
    <t>147</t>
  </si>
  <si>
    <t>6074</t>
  </si>
  <si>
    <t>22887</t>
  </si>
  <si>
    <t>148</t>
  </si>
  <si>
    <t>17328</t>
  </si>
  <si>
    <t>13871</t>
  </si>
  <si>
    <t>1127</t>
  </si>
  <si>
    <t>150</t>
  </si>
  <si>
    <t>2774</t>
  </si>
  <si>
    <t>13257</t>
  </si>
  <si>
    <t>1031</t>
  </si>
  <si>
    <t>151</t>
  </si>
  <si>
    <t>4505</t>
  </si>
  <si>
    <t>15000</t>
  </si>
  <si>
    <t>1189</t>
  </si>
  <si>
    <t>152</t>
  </si>
  <si>
    <t>7428</t>
  </si>
  <si>
    <t>14506</t>
  </si>
  <si>
    <t>1354</t>
  </si>
  <si>
    <t>11631</t>
  </si>
  <si>
    <t>5615</t>
  </si>
  <si>
    <t>1467</t>
  </si>
  <si>
    <t>154</t>
  </si>
  <si>
    <t>9738</t>
  </si>
  <si>
    <t>22952</t>
  </si>
  <si>
    <t>922</t>
  </si>
  <si>
    <t>155</t>
  </si>
  <si>
    <t>2835</t>
  </si>
  <si>
    <t>2561</t>
  </si>
  <si>
    <t>394</t>
  </si>
  <si>
    <t>158</t>
  </si>
  <si>
    <t>16959</t>
  </si>
  <si>
    <t>19494</t>
  </si>
  <si>
    <t>1312</t>
  </si>
  <si>
    <t>159</t>
  </si>
  <si>
    <t>2613</t>
  </si>
  <si>
    <t>22310</t>
  </si>
  <si>
    <t>750</t>
  </si>
  <si>
    <t>160</t>
  </si>
  <si>
    <t>6146</t>
  </si>
  <si>
    <t>15480</t>
  </si>
  <si>
    <t>441</t>
  </si>
  <si>
    <t>161</t>
  </si>
  <si>
    <t>4963</t>
  </si>
  <si>
    <t>4510</t>
  </si>
  <si>
    <t>684</t>
  </si>
  <si>
    <t>162</t>
  </si>
  <si>
    <t>19537</t>
  </si>
  <si>
    <t>6462</t>
  </si>
  <si>
    <t>249</t>
  </si>
  <si>
    <t>163</t>
  </si>
  <si>
    <t>6172</t>
  </si>
  <si>
    <t>20739</t>
  </si>
  <si>
    <t>841</t>
  </si>
  <si>
    <t>164</t>
  </si>
  <si>
    <t>2368</t>
  </si>
  <si>
    <t>23300</t>
  </si>
  <si>
    <t>165</t>
  </si>
  <si>
    <t>10312</t>
  </si>
  <si>
    <t>3465</t>
  </si>
  <si>
    <t>528</t>
  </si>
  <si>
    <t>167</t>
  </si>
  <si>
    <t>1675</t>
  </si>
  <si>
    <t>26820</t>
  </si>
  <si>
    <t>594</t>
  </si>
  <si>
    <t>169</t>
  </si>
  <si>
    <t>2523</t>
  </si>
  <si>
    <t>19299</t>
  </si>
  <si>
    <t>470</t>
  </si>
  <si>
    <t>170</t>
  </si>
  <si>
    <t>6567</t>
  </si>
  <si>
    <t>5549</t>
  </si>
  <si>
    <t>957</t>
  </si>
  <si>
    <t>171</t>
  </si>
  <si>
    <t>4739</t>
  </si>
  <si>
    <t>16090</t>
  </si>
  <si>
    <t>174</t>
  </si>
  <si>
    <t>9208</t>
  </si>
  <si>
    <t>6645</t>
  </si>
  <si>
    <t>542</t>
  </si>
  <si>
    <t>175</t>
  </si>
  <si>
    <t>4559</t>
  </si>
  <si>
    <t>24788</t>
  </si>
  <si>
    <t>802</t>
  </si>
  <si>
    <t>176</t>
  </si>
  <si>
    <t>8189</t>
  </si>
  <si>
    <t>21196</t>
  </si>
  <si>
    <t>1355</t>
  </si>
  <si>
    <t>177</t>
  </si>
  <si>
    <t>2942</t>
  </si>
  <si>
    <t>8916</t>
  </si>
  <si>
    <t>178</t>
  </si>
  <si>
    <t>4941</t>
  </si>
  <si>
    <t>2819</t>
  </si>
  <si>
    <t>1150</t>
  </si>
  <si>
    <t>179</t>
  </si>
  <si>
    <t>10650</t>
  </si>
  <si>
    <t>25150</t>
  </si>
  <si>
    <t>1329</t>
  </si>
  <si>
    <t>182</t>
  </si>
  <si>
    <t>5902</t>
  </si>
  <si>
    <t>14590</t>
  </si>
  <si>
    <t>959</t>
  </si>
  <si>
    <t>183</t>
  </si>
  <si>
    <t>8639</t>
  </si>
  <si>
    <t>24835</t>
  </si>
  <si>
    <t>184</t>
  </si>
  <si>
    <t>6347</t>
  </si>
  <si>
    <t>13982</t>
  </si>
  <si>
    <t>1033</t>
  </si>
  <si>
    <t>190</t>
  </si>
  <si>
    <t>4200</t>
  </si>
  <si>
    <t>10224</t>
  </si>
  <si>
    <t>1316</t>
  </si>
  <si>
    <t>192</t>
  </si>
  <si>
    <t>3452</t>
  </si>
  <si>
    <t>9752</t>
  </si>
  <si>
    <t>364</t>
  </si>
  <si>
    <t>4317</t>
  </si>
  <si>
    <t>2302</t>
  </si>
  <si>
    <t>438</t>
  </si>
  <si>
    <t>194</t>
  </si>
  <si>
    <t>2632</t>
  </si>
  <si>
    <t>23910</t>
  </si>
  <si>
    <t>689</t>
  </si>
  <si>
    <t>195</t>
  </si>
  <si>
    <t>4668</t>
  </si>
  <si>
    <t>22812</t>
  </si>
  <si>
    <t>201</t>
  </si>
  <si>
    <t>197</t>
  </si>
  <si>
    <t>3204</t>
  </si>
  <si>
    <t>10415</t>
  </si>
  <si>
    <t>1427</t>
  </si>
  <si>
    <t>198</t>
  </si>
  <si>
    <t>2720</t>
  </si>
  <si>
    <t>11162</t>
  </si>
  <si>
    <t>857</t>
  </si>
  <si>
    <t>199</t>
  </si>
  <si>
    <t>17181</t>
  </si>
  <si>
    <t>12888</t>
  </si>
  <si>
    <t>933</t>
  </si>
  <si>
    <t>200</t>
  </si>
  <si>
    <t>2238</t>
  </si>
  <si>
    <t>6961</t>
  </si>
  <si>
    <t>1181</t>
  </si>
  <si>
    <t>1483</t>
  </si>
  <si>
    <t>16102</t>
  </si>
  <si>
    <t>1395</t>
  </si>
  <si>
    <t>202</t>
  </si>
  <si>
    <t>5605</t>
  </si>
  <si>
    <t>8504</t>
  </si>
  <si>
    <t>662</t>
  </si>
  <si>
    <t>204</t>
  </si>
  <si>
    <t>7295</t>
  </si>
  <si>
    <t>11439</t>
  </si>
  <si>
    <t>1436</t>
  </si>
  <si>
    <t>205</t>
  </si>
  <si>
    <t>2306</t>
  </si>
  <si>
    <t>16047</t>
  </si>
  <si>
    <t>206</t>
  </si>
  <si>
    <t>2348</t>
  </si>
  <si>
    <t>10901</t>
  </si>
  <si>
    <t>967</t>
  </si>
  <si>
    <t>207</t>
  </si>
  <si>
    <t>8998</t>
  </si>
  <si>
    <t>15589</t>
  </si>
  <si>
    <t>1496</t>
  </si>
  <si>
    <t>208</t>
  </si>
  <si>
    <t>4319</t>
  </si>
  <si>
    <t>26283</t>
  </si>
  <si>
    <t>1169</t>
  </si>
  <si>
    <t>211</t>
  </si>
  <si>
    <t>6132</t>
  </si>
  <si>
    <t>13983</t>
  </si>
  <si>
    <t>1145</t>
  </si>
  <si>
    <t>214</t>
  </si>
  <si>
    <t>3346</t>
  </si>
  <si>
    <t>11873</t>
  </si>
  <si>
    <t>630</t>
  </si>
  <si>
    <t>215</t>
  </si>
  <si>
    <t>10855</t>
  </si>
  <si>
    <t>8552</t>
  </si>
  <si>
    <t>303</t>
  </si>
  <si>
    <t>2231</t>
  </si>
  <si>
    <t>11314</t>
  </si>
  <si>
    <t>1256</t>
  </si>
  <si>
    <t>217</t>
  </si>
  <si>
    <t>2323</t>
  </si>
  <si>
    <t>11992</t>
  </si>
  <si>
    <t>218</t>
  </si>
  <si>
    <t>2024</t>
  </si>
  <si>
    <t>5970</t>
  </si>
  <si>
    <t>440</t>
  </si>
  <si>
    <t>221</t>
  </si>
  <si>
    <t>2713</t>
  </si>
  <si>
    <t>6672</t>
  </si>
  <si>
    <t>223</t>
  </si>
  <si>
    <t>9439</t>
  </si>
  <si>
    <t>23402</t>
  </si>
  <si>
    <t>1450</t>
  </si>
  <si>
    <t>224</t>
  </si>
  <si>
    <t>2566</t>
  </si>
  <si>
    <t>25326</t>
  </si>
  <si>
    <t>1452</t>
  </si>
  <si>
    <t>226</t>
  </si>
  <si>
    <t>19926</t>
  </si>
  <si>
    <t>17053</t>
  </si>
  <si>
    <t>465</t>
  </si>
  <si>
    <t>227</t>
  </si>
  <si>
    <t>2451</t>
  </si>
  <si>
    <t>4609</t>
  </si>
  <si>
    <t>228</t>
  </si>
  <si>
    <t>9419</t>
  </si>
  <si>
    <t>8053</t>
  </si>
  <si>
    <t>702</t>
  </si>
  <si>
    <t>230</t>
  </si>
  <si>
    <t>8686</t>
  </si>
  <si>
    <t>12930</t>
  </si>
  <si>
    <t>231</t>
  </si>
  <si>
    <t>12430</t>
  </si>
  <si>
    <t>1157</t>
  </si>
  <si>
    <t>233</t>
  </si>
  <si>
    <t>3058</t>
  </si>
  <si>
    <t>13364</t>
  </si>
  <si>
    <t>602</t>
  </si>
  <si>
    <t>235</t>
  </si>
  <si>
    <t>2325</t>
  </si>
  <si>
    <t>20989</t>
  </si>
  <si>
    <t>1480</t>
  </si>
  <si>
    <t>238</t>
  </si>
  <si>
    <t>2088</t>
  </si>
  <si>
    <t>15062</t>
  </si>
  <si>
    <t>239</t>
  </si>
  <si>
    <t>3072</t>
  </si>
  <si>
    <t>11012</t>
  </si>
  <si>
    <t>1268</t>
  </si>
  <si>
    <t>5006</t>
  </si>
  <si>
    <t>6319</t>
  </si>
  <si>
    <t>713</t>
  </si>
  <si>
    <t>241</t>
  </si>
  <si>
    <t>4257</t>
  </si>
  <si>
    <t>13939</t>
  </si>
  <si>
    <t>242</t>
  </si>
  <si>
    <t>2500</t>
  </si>
  <si>
    <t>10515</t>
  </si>
  <si>
    <t>243</t>
  </si>
  <si>
    <t>9241</t>
  </si>
  <si>
    <t>526</t>
  </si>
  <si>
    <t>244</t>
  </si>
  <si>
    <t>10453</t>
  </si>
  <si>
    <t>2137</t>
  </si>
  <si>
    <t>1380</t>
  </si>
  <si>
    <t>245</t>
  </si>
  <si>
    <t>2288</t>
  </si>
  <si>
    <t>246</t>
  </si>
  <si>
    <t>3929</t>
  </si>
  <si>
    <t>6984</t>
  </si>
  <si>
    <t>629</t>
  </si>
  <si>
    <t>247</t>
  </si>
  <si>
    <t>2311</t>
  </si>
  <si>
    <t>5711</t>
  </si>
  <si>
    <t>1356</t>
  </si>
  <si>
    <t>248</t>
  </si>
  <si>
    <t>3140</t>
  </si>
  <si>
    <t>21728</t>
  </si>
  <si>
    <t>328</t>
  </si>
  <si>
    <t>3690</t>
  </si>
  <si>
    <t>3425</t>
  </si>
  <si>
    <t>1084</t>
  </si>
  <si>
    <t>250</t>
  </si>
  <si>
    <t>4450</t>
  </si>
  <si>
    <t>26250</t>
  </si>
  <si>
    <t>931</t>
  </si>
  <si>
    <t>252</t>
  </si>
  <si>
    <t>2756</t>
  </si>
  <si>
    <t>4673</t>
  </si>
  <si>
    <t>253</t>
  </si>
  <si>
    <t>19033</t>
  </si>
  <si>
    <t>692</t>
  </si>
  <si>
    <t>254</t>
  </si>
  <si>
    <t>18722</t>
  </si>
  <si>
    <t>13339</t>
  </si>
  <si>
    <t>1069</t>
  </si>
  <si>
    <t>256</t>
  </si>
  <si>
    <t>9547</t>
  </si>
  <si>
    <t>14074</t>
  </si>
  <si>
    <t>313</t>
  </si>
  <si>
    <t>258</t>
  </si>
  <si>
    <t>13734</t>
  </si>
  <si>
    <t>7192</t>
  </si>
  <si>
    <t>259</t>
  </si>
  <si>
    <t>19999</t>
  </si>
  <si>
    <t>5678</t>
  </si>
  <si>
    <t>894</t>
  </si>
  <si>
    <t>260</t>
  </si>
  <si>
    <t>2279</t>
  </si>
  <si>
    <t>11781</t>
  </si>
  <si>
    <t>556</t>
  </si>
  <si>
    <t>261</t>
  </si>
  <si>
    <t>5916</t>
  </si>
  <si>
    <t>15497</t>
  </si>
  <si>
    <t>1344</t>
  </si>
  <si>
    <t>262</t>
  </si>
  <si>
    <t>2089</t>
  </si>
  <si>
    <t>5228</t>
  </si>
  <si>
    <t>264</t>
  </si>
  <si>
    <t>16792</t>
  </si>
  <si>
    <t>20462</t>
  </si>
  <si>
    <t>290</t>
  </si>
  <si>
    <t>267</t>
  </si>
  <si>
    <t>3564</t>
  </si>
  <si>
    <t>22977</t>
  </si>
  <si>
    <t>269</t>
  </si>
  <si>
    <t>4425</t>
  </si>
  <si>
    <t>15986</t>
  </si>
  <si>
    <t>926</t>
  </si>
  <si>
    <t>270</t>
  </si>
  <si>
    <t>5265</t>
  </si>
  <si>
    <t>16439</t>
  </si>
  <si>
    <t>1261</t>
  </si>
  <si>
    <t>271</t>
  </si>
  <si>
    <t>6553</t>
  </si>
  <si>
    <t>7259</t>
  </si>
  <si>
    <t>273</t>
  </si>
  <si>
    <t>6261</t>
  </si>
  <si>
    <t>4185</t>
  </si>
  <si>
    <t>472</t>
  </si>
  <si>
    <t>274</t>
  </si>
  <si>
    <t>4298</t>
  </si>
  <si>
    <t>9679</t>
  </si>
  <si>
    <t>1002</t>
  </si>
  <si>
    <t>275</t>
  </si>
  <si>
    <t>6804</t>
  </si>
  <si>
    <t>23793</t>
  </si>
  <si>
    <t>878</t>
  </si>
  <si>
    <t>277</t>
  </si>
  <si>
    <t>3815</t>
  </si>
  <si>
    <t>5972</t>
  </si>
  <si>
    <t>905</t>
  </si>
  <si>
    <t>281</t>
  </si>
  <si>
    <t>2741</t>
  </si>
  <si>
    <t>16523</t>
  </si>
  <si>
    <t>1180</t>
  </si>
  <si>
    <t>282</t>
  </si>
  <si>
    <t>6673</t>
  </si>
  <si>
    <t>11354</t>
  </si>
  <si>
    <t>283</t>
  </si>
  <si>
    <t>7639</t>
  </si>
  <si>
    <t>24525</t>
  </si>
  <si>
    <t>1136</t>
  </si>
  <si>
    <t>284</t>
  </si>
  <si>
    <t>2328</t>
  </si>
  <si>
    <t>12392</t>
  </si>
  <si>
    <t>635</t>
  </si>
  <si>
    <t>286</t>
  </si>
  <si>
    <t>2153</t>
  </si>
  <si>
    <t>7703</t>
  </si>
  <si>
    <t>1151</t>
  </si>
  <si>
    <t>287</t>
  </si>
  <si>
    <t>4876</t>
  </si>
  <si>
    <t>14242</t>
  </si>
  <si>
    <t>644</t>
  </si>
  <si>
    <t>9396</t>
  </si>
  <si>
    <t>12368</t>
  </si>
  <si>
    <t>1045</t>
  </si>
  <si>
    <t>291</t>
  </si>
  <si>
    <t>10400</t>
  </si>
  <si>
    <t>25812</t>
  </si>
  <si>
    <t>829</t>
  </si>
  <si>
    <t>292</t>
  </si>
  <si>
    <t>8474</t>
  </si>
  <si>
    <t>20925</t>
  </si>
  <si>
    <t>1242</t>
  </si>
  <si>
    <t>293</t>
  </si>
  <si>
    <t>9981</t>
  </si>
  <si>
    <t>12916</t>
  </si>
  <si>
    <t>1469</t>
  </si>
  <si>
    <t>296</t>
  </si>
  <si>
    <t>12490</t>
  </si>
  <si>
    <t>15736</t>
  </si>
  <si>
    <t>297</t>
  </si>
  <si>
    <t>2657</t>
  </si>
  <si>
    <t>8556</t>
  </si>
  <si>
    <t>896</t>
  </si>
  <si>
    <t>298</t>
  </si>
  <si>
    <t>13591</t>
  </si>
  <si>
    <t>14674</t>
  </si>
  <si>
    <t>299</t>
  </si>
  <si>
    <t>6696</t>
  </si>
  <si>
    <t>22967</t>
  </si>
  <si>
    <t>992</t>
  </si>
  <si>
    <t>300</t>
  </si>
  <si>
    <t>2058</t>
  </si>
  <si>
    <t>19757</t>
  </si>
  <si>
    <t>1052</t>
  </si>
  <si>
    <t>302</t>
  </si>
  <si>
    <t>8865</t>
  </si>
  <si>
    <t>16840</t>
  </si>
  <si>
    <t>1147</t>
  </si>
  <si>
    <t>5940</t>
  </si>
  <si>
    <t>17011</t>
  </si>
  <si>
    <t>1396</t>
  </si>
  <si>
    <t>304</t>
  </si>
  <si>
    <t>5914</t>
  </si>
  <si>
    <t>9945</t>
  </si>
  <si>
    <t>305</t>
  </si>
  <si>
    <t>2622</t>
  </si>
  <si>
    <t>13248</t>
  </si>
  <si>
    <t>663</t>
  </si>
  <si>
    <t>306</t>
  </si>
  <si>
    <t>12185</t>
  </si>
  <si>
    <t>10056</t>
  </si>
  <si>
    <t>307</t>
  </si>
  <si>
    <t>10609</t>
  </si>
  <si>
    <t>9647</t>
  </si>
  <si>
    <t>979</t>
  </si>
  <si>
    <t>308</t>
  </si>
  <si>
    <t>4345</t>
  </si>
  <si>
    <t>4381</t>
  </si>
  <si>
    <t>309</t>
  </si>
  <si>
    <t>2177</t>
  </si>
  <si>
    <t>8456</t>
  </si>
  <si>
    <t>319</t>
  </si>
  <si>
    <t>311</t>
  </si>
  <si>
    <t>2793</t>
  </si>
  <si>
    <t>2539</t>
  </si>
  <si>
    <t>1413</t>
  </si>
  <si>
    <t>312</t>
  </si>
  <si>
    <t>7918</t>
  </si>
  <si>
    <t>6599</t>
  </si>
  <si>
    <t>944</t>
  </si>
  <si>
    <t>314</t>
  </si>
  <si>
    <t>8789</t>
  </si>
  <si>
    <t>9096</t>
  </si>
  <si>
    <t>315</t>
  </si>
  <si>
    <t>2389</t>
  </si>
  <si>
    <t>14961</t>
  </si>
  <si>
    <t>1323</t>
  </si>
  <si>
    <t>316</t>
  </si>
  <si>
    <t>89</t>
  </si>
  <si>
    <t>3212</t>
  </si>
  <si>
    <t>3300</t>
  </si>
  <si>
    <t>532</t>
  </si>
  <si>
    <t>19232</t>
  </si>
  <si>
    <t>4933</t>
  </si>
  <si>
    <t>818</t>
  </si>
  <si>
    <t>321</t>
  </si>
  <si>
    <t>2267</t>
  </si>
  <si>
    <t>25657</t>
  </si>
  <si>
    <t>854</t>
  </si>
  <si>
    <t>323</t>
  </si>
  <si>
    <t>19517</t>
  </si>
  <si>
    <t>24118</t>
  </si>
  <si>
    <t>325</t>
  </si>
  <si>
    <t>2436</t>
  </si>
  <si>
    <t>22149</t>
  </si>
  <si>
    <t>1034</t>
  </si>
  <si>
    <t>327</t>
  </si>
  <si>
    <t>16064</t>
  </si>
  <si>
    <t>7744</t>
  </si>
  <si>
    <t>2707</t>
  </si>
  <si>
    <t>21509</t>
  </si>
  <si>
    <t>771</t>
  </si>
  <si>
    <t>329</t>
  </si>
  <si>
    <t>19068</t>
  </si>
  <si>
    <t>21030</t>
  </si>
  <si>
    <t>1401</t>
  </si>
  <si>
    <t>330</t>
  </si>
  <si>
    <t>3931</t>
  </si>
  <si>
    <t>20990</t>
  </si>
  <si>
    <t>331</t>
  </si>
  <si>
    <t>3730</t>
  </si>
  <si>
    <t>9571</t>
  </si>
  <si>
    <t>1431</t>
  </si>
  <si>
    <t>332</t>
  </si>
  <si>
    <t>2232</t>
  </si>
  <si>
    <t>15417</t>
  </si>
  <si>
    <t>976</t>
  </si>
  <si>
    <t>333</t>
  </si>
  <si>
    <t>4465</t>
  </si>
  <si>
    <t>12069</t>
  </si>
  <si>
    <t>1411</t>
  </si>
  <si>
    <t>19877</t>
  </si>
  <si>
    <t>1300</t>
  </si>
  <si>
    <t>335</t>
  </si>
  <si>
    <t>3319</t>
  </si>
  <si>
    <t>24447</t>
  </si>
  <si>
    <t>336</t>
  </si>
  <si>
    <t>19202</t>
  </si>
  <si>
    <t>15970</t>
  </si>
  <si>
    <t>1327</t>
  </si>
  <si>
    <t>337</t>
  </si>
  <si>
    <t>13675</t>
  </si>
  <si>
    <t>13523</t>
  </si>
  <si>
    <t>832</t>
  </si>
  <si>
    <t>338</t>
  </si>
  <si>
    <t>14776</t>
  </si>
  <si>
    <t>339</t>
  </si>
  <si>
    <t>5957</t>
  </si>
  <si>
    <t>23687</t>
  </si>
  <si>
    <t>1017</t>
  </si>
  <si>
    <t>340</t>
  </si>
  <si>
    <t>3920</t>
  </si>
  <si>
    <t>18697</t>
  </si>
  <si>
    <t>1199</t>
  </si>
  <si>
    <t>341</t>
  </si>
  <si>
    <t>6434</t>
  </si>
  <si>
    <t>5118</t>
  </si>
  <si>
    <t>504</t>
  </si>
  <si>
    <t>342</t>
  </si>
  <si>
    <t>10048</t>
  </si>
  <si>
    <t>22573</t>
  </si>
  <si>
    <t>505</t>
  </si>
  <si>
    <t>343</t>
  </si>
  <si>
    <t>10938</t>
  </si>
  <si>
    <t>6420</t>
  </si>
  <si>
    <t>346</t>
  </si>
  <si>
    <t>2340</t>
  </si>
  <si>
    <t>22673</t>
  </si>
  <si>
    <t>916</t>
  </si>
  <si>
    <t>347</t>
  </si>
  <si>
    <t>6545</t>
  </si>
  <si>
    <t>1247</t>
  </si>
  <si>
    <t>349</t>
  </si>
  <si>
    <t>6931</t>
  </si>
  <si>
    <t>10732</t>
  </si>
  <si>
    <t>685</t>
  </si>
  <si>
    <t>350</t>
  </si>
  <si>
    <t>4898</t>
  </si>
  <si>
    <t>7505</t>
  </si>
  <si>
    <t>351</t>
  </si>
  <si>
    <t>2593</t>
  </si>
  <si>
    <t>8007</t>
  </si>
  <si>
    <t>1416</t>
  </si>
  <si>
    <t>352</t>
  </si>
  <si>
    <t>19436</t>
  </si>
  <si>
    <t>5949</t>
  </si>
  <si>
    <t>833</t>
  </si>
  <si>
    <t>353</t>
  </si>
  <si>
    <t>2723</t>
  </si>
  <si>
    <t>23231</t>
  </si>
  <si>
    <t>355</t>
  </si>
  <si>
    <t>3479</t>
  </si>
  <si>
    <t>11652</t>
  </si>
  <si>
    <t>1311</t>
  </si>
  <si>
    <t>359</t>
  </si>
  <si>
    <t>2794</t>
  </si>
  <si>
    <t>26062</t>
  </si>
  <si>
    <t>361</t>
  </si>
  <si>
    <t>5249</t>
  </si>
  <si>
    <t>19682</t>
  </si>
  <si>
    <t>362</t>
  </si>
  <si>
    <t>2176</t>
  </si>
  <si>
    <t>19737</t>
  </si>
  <si>
    <t>488</t>
  </si>
  <si>
    <t>363</t>
  </si>
  <si>
    <t>16872</t>
  </si>
  <si>
    <t>14977</t>
  </si>
  <si>
    <t>529</t>
  </si>
  <si>
    <t>3485</t>
  </si>
  <si>
    <t>14935</t>
  </si>
  <si>
    <t>1210</t>
  </si>
  <si>
    <t>366</t>
  </si>
  <si>
    <t>6644</t>
  </si>
  <si>
    <t>3687</t>
  </si>
  <si>
    <t>1463</t>
  </si>
  <si>
    <t>367</t>
  </si>
  <si>
    <t>5582</t>
  </si>
  <si>
    <t>14408</t>
  </si>
  <si>
    <t>675</t>
  </si>
  <si>
    <t>369</t>
  </si>
  <si>
    <t>4000</t>
  </si>
  <si>
    <t>18384</t>
  </si>
  <si>
    <t>1385</t>
  </si>
  <si>
    <t>372</t>
  </si>
  <si>
    <t>13496</t>
  </si>
  <si>
    <t>7501</t>
  </si>
  <si>
    <t>1403</t>
  </si>
  <si>
    <t>373</t>
  </si>
  <si>
    <t>3210</t>
  </si>
  <si>
    <t>20251</t>
  </si>
  <si>
    <t>452</t>
  </si>
  <si>
    <t>374</t>
  </si>
  <si>
    <t>19045</t>
  </si>
  <si>
    <t>18938</t>
  </si>
  <si>
    <t>666</t>
  </si>
  <si>
    <t>376</t>
  </si>
  <si>
    <t>11849</t>
  </si>
  <si>
    <t>10268</t>
  </si>
  <si>
    <t>1158</t>
  </si>
  <si>
    <t>377</t>
  </si>
  <si>
    <t>2070</t>
  </si>
  <si>
    <t>378</t>
  </si>
  <si>
    <t>6502</t>
  </si>
  <si>
    <t>22825</t>
  </si>
  <si>
    <t>996</t>
  </si>
  <si>
    <t>379</t>
  </si>
  <si>
    <t>3230</t>
  </si>
  <si>
    <t>10531</t>
  </si>
  <si>
    <t>728</t>
  </si>
  <si>
    <t>380</t>
  </si>
  <si>
    <t>13603</t>
  </si>
  <si>
    <t>11677</t>
  </si>
  <si>
    <t>1315</t>
  </si>
  <si>
    <t>381</t>
  </si>
  <si>
    <t>11996</t>
  </si>
  <si>
    <t>19100</t>
  </si>
  <si>
    <t>322</t>
  </si>
  <si>
    <t>382</t>
  </si>
  <si>
    <t>19191</t>
  </si>
  <si>
    <t>1479</t>
  </si>
  <si>
    <t>384</t>
  </si>
  <si>
    <t>6397</t>
  </si>
  <si>
    <t>26767</t>
  </si>
  <si>
    <t>797</t>
  </si>
  <si>
    <t>385</t>
  </si>
  <si>
    <t>19144</t>
  </si>
  <si>
    <t>15815</t>
  </si>
  <si>
    <t>1070</t>
  </si>
  <si>
    <t>386</t>
  </si>
  <si>
    <t>17584</t>
  </si>
  <si>
    <t>21016</t>
  </si>
  <si>
    <t>387</t>
  </si>
  <si>
    <t>4907</t>
  </si>
  <si>
    <t>24532</t>
  </si>
  <si>
    <t>442</t>
  </si>
  <si>
    <t>388</t>
  </si>
  <si>
    <t>4554</t>
  </si>
  <si>
    <t>20260</t>
  </si>
  <si>
    <t>389</t>
  </si>
  <si>
    <t>5415</t>
  </si>
  <si>
    <t>15972</t>
  </si>
  <si>
    <t>496</t>
  </si>
  <si>
    <t>390</t>
  </si>
  <si>
    <t>4741</t>
  </si>
  <si>
    <t>22722</t>
  </si>
  <si>
    <t>1372</t>
  </si>
  <si>
    <t>2115</t>
  </si>
  <si>
    <t>15881</t>
  </si>
  <si>
    <t>920</t>
  </si>
  <si>
    <t>392</t>
  </si>
  <si>
    <t>3161</t>
  </si>
  <si>
    <t>19920</t>
  </si>
  <si>
    <t>688</t>
  </si>
  <si>
    <t>393</t>
  </si>
  <si>
    <t>5745</t>
  </si>
  <si>
    <t>18899</t>
  </si>
  <si>
    <t>1449</t>
  </si>
  <si>
    <t>2373</t>
  </si>
  <si>
    <t>14180</t>
  </si>
  <si>
    <t>1117</t>
  </si>
  <si>
    <t>395</t>
  </si>
  <si>
    <t>3310</t>
  </si>
  <si>
    <t>4488</t>
  </si>
  <si>
    <t>636</t>
  </si>
  <si>
    <t>396</t>
  </si>
  <si>
    <t>18665</t>
  </si>
  <si>
    <t>25594</t>
  </si>
  <si>
    <t>506</t>
  </si>
  <si>
    <t>4485</t>
  </si>
  <si>
    <t>26285</t>
  </si>
  <si>
    <t>444</t>
  </si>
  <si>
    <t>399</t>
  </si>
  <si>
    <t>2789</t>
  </si>
  <si>
    <t>3909</t>
  </si>
  <si>
    <t>950</t>
  </si>
  <si>
    <t>401</t>
  </si>
  <si>
    <t>5828</t>
  </si>
  <si>
    <t>8450</t>
  </si>
  <si>
    <t>889</t>
  </si>
  <si>
    <t>403</t>
  </si>
  <si>
    <t>2326</t>
  </si>
  <si>
    <t>11411</t>
  </si>
  <si>
    <t>555</t>
  </si>
  <si>
    <t>404</t>
  </si>
  <si>
    <t>13525</t>
  </si>
  <si>
    <t>14864</t>
  </si>
  <si>
    <t>405</t>
  </si>
  <si>
    <t>25233</t>
  </si>
  <si>
    <t>406</t>
  </si>
  <si>
    <t>8020</t>
  </si>
  <si>
    <t>5100</t>
  </si>
  <si>
    <t>566</t>
  </si>
  <si>
    <t>407</t>
  </si>
  <si>
    <t>3688</t>
  </si>
  <si>
    <t>7122</t>
  </si>
  <si>
    <t>1302</t>
  </si>
  <si>
    <t>5482</t>
  </si>
  <si>
    <t>16321</t>
  </si>
  <si>
    <t>410</t>
  </si>
  <si>
    <t>16015</t>
  </si>
  <si>
    <t>15896</t>
  </si>
  <si>
    <t>812</t>
  </si>
  <si>
    <t>411</t>
  </si>
  <si>
    <t>69</t>
  </si>
  <si>
    <t>1200</t>
  </si>
  <si>
    <t>1476</t>
  </si>
  <si>
    <t>412</t>
  </si>
  <si>
    <t>5661</t>
  </si>
  <si>
    <t>4824</t>
  </si>
  <si>
    <t>416</t>
  </si>
  <si>
    <t>6929</t>
  </si>
  <si>
    <t>12241</t>
  </si>
  <si>
    <t>1132</t>
  </si>
  <si>
    <t>417</t>
  </si>
  <si>
    <t>9613</t>
  </si>
  <si>
    <t>10942</t>
  </si>
  <si>
    <t>1105</t>
  </si>
  <si>
    <t>5674</t>
  </si>
  <si>
    <t>6927</t>
  </si>
  <si>
    <t>906</t>
  </si>
  <si>
    <t>420</t>
  </si>
  <si>
    <t>5484</t>
  </si>
  <si>
    <t>16985</t>
  </si>
  <si>
    <t>849</t>
  </si>
  <si>
    <t>421</t>
  </si>
  <si>
    <t>12061</t>
  </si>
  <si>
    <t>26707</t>
  </si>
  <si>
    <t>422</t>
  </si>
  <si>
    <t>5660</t>
  </si>
  <si>
    <t>17056</t>
  </si>
  <si>
    <t>423</t>
  </si>
  <si>
    <t>4821</t>
  </si>
  <si>
    <t>10077</t>
  </si>
  <si>
    <t>424</t>
  </si>
  <si>
    <t>6410</t>
  </si>
  <si>
    <t>17822</t>
  </si>
  <si>
    <t>1249</t>
  </si>
  <si>
    <t>425</t>
  </si>
  <si>
    <t>5210</t>
  </si>
  <si>
    <t>20308</t>
  </si>
  <si>
    <t>426</t>
  </si>
  <si>
    <t>2695</t>
  </si>
  <si>
    <t>7747</t>
  </si>
  <si>
    <t>553</t>
  </si>
  <si>
    <t>428</t>
  </si>
  <si>
    <t>11878</t>
  </si>
  <si>
    <t>23364</t>
  </si>
  <si>
    <t>429</t>
  </si>
  <si>
    <t>17068</t>
  </si>
  <si>
    <t>5355</t>
  </si>
  <si>
    <t>185</t>
  </si>
  <si>
    <t>430</t>
  </si>
  <si>
    <t>2455</t>
  </si>
  <si>
    <t>10675</t>
  </si>
  <si>
    <t>1091</t>
  </si>
  <si>
    <t>431</t>
  </si>
  <si>
    <t>13964</t>
  </si>
  <si>
    <t>17810</t>
  </si>
  <si>
    <t>723</t>
  </si>
  <si>
    <t>433</t>
  </si>
  <si>
    <t>17747</t>
  </si>
  <si>
    <t>1220</t>
  </si>
  <si>
    <t>434</t>
  </si>
  <si>
    <t>2478</t>
  </si>
  <si>
    <t>20938</t>
  </si>
  <si>
    <t>588</t>
  </si>
  <si>
    <t>436</t>
  </si>
  <si>
    <t>24624</t>
  </si>
  <si>
    <t>1377</t>
  </si>
  <si>
    <t>437</t>
  </si>
  <si>
    <t>4478</t>
  </si>
  <si>
    <t>5242</t>
  </si>
  <si>
    <t>7547</t>
  </si>
  <si>
    <t>7143</t>
  </si>
  <si>
    <t>1018</t>
  </si>
  <si>
    <t>439</t>
  </si>
  <si>
    <t>5055</t>
  </si>
  <si>
    <t>10557</t>
  </si>
  <si>
    <t>3464</t>
  </si>
  <si>
    <t>24737</t>
  </si>
  <si>
    <t>1275</t>
  </si>
  <si>
    <t>5775</t>
  </si>
  <si>
    <t>11934</t>
  </si>
  <si>
    <t>798</t>
  </si>
  <si>
    <t>8943</t>
  </si>
  <si>
    <t>14034</t>
  </si>
  <si>
    <t>672</t>
  </si>
  <si>
    <t>19272</t>
  </si>
  <si>
    <t>21141</t>
  </si>
  <si>
    <t>1162</t>
  </si>
  <si>
    <t>445</t>
  </si>
  <si>
    <t>5238</t>
  </si>
  <si>
    <t>17778</t>
  </si>
  <si>
    <t>508</t>
  </si>
  <si>
    <t>446</t>
  </si>
  <si>
    <t>4682</t>
  </si>
  <si>
    <t>1482</t>
  </si>
  <si>
    <t>447</t>
  </si>
  <si>
    <t>18300</t>
  </si>
  <si>
    <t>16375</t>
  </si>
  <si>
    <t>559</t>
  </si>
  <si>
    <t>448</t>
  </si>
  <si>
    <t>5257</t>
  </si>
  <si>
    <t>6227</t>
  </si>
  <si>
    <t>210</t>
  </si>
  <si>
    <t>449</t>
  </si>
  <si>
    <t>6349</t>
  </si>
  <si>
    <t>22107</t>
  </si>
  <si>
    <t>928</t>
  </si>
  <si>
    <t>450</t>
  </si>
  <si>
    <t>4869</t>
  </si>
  <si>
    <t>16885</t>
  </si>
  <si>
    <t>1001</t>
  </si>
  <si>
    <t>451</t>
  </si>
  <si>
    <t>9985</t>
  </si>
  <si>
    <t>9262</t>
  </si>
  <si>
    <t>549</t>
  </si>
  <si>
    <t>3697</t>
  </si>
  <si>
    <t>9278</t>
  </si>
  <si>
    <t>1124</t>
  </si>
  <si>
    <t>453</t>
  </si>
  <si>
    <t>7457</t>
  </si>
  <si>
    <t>13273</t>
  </si>
  <si>
    <t>454</t>
  </si>
  <si>
    <t>2119</t>
  </si>
  <si>
    <t>4759</t>
  </si>
  <si>
    <t>738</t>
  </si>
  <si>
    <t>455</t>
  </si>
  <si>
    <t>3983</t>
  </si>
  <si>
    <t>7621</t>
  </si>
  <si>
    <t>570</t>
  </si>
  <si>
    <t>456</t>
  </si>
  <si>
    <t>6118</t>
  </si>
  <si>
    <t>5431</t>
  </si>
  <si>
    <t>1130</t>
  </si>
  <si>
    <t>458</t>
  </si>
  <si>
    <t>6214</t>
  </si>
  <si>
    <t>3415</t>
  </si>
  <si>
    <t>1192</t>
  </si>
  <si>
    <t>460</t>
  </si>
  <si>
    <t>23177</t>
  </si>
  <si>
    <t>461</t>
  </si>
  <si>
    <t>11510</t>
  </si>
  <si>
    <t>15682</t>
  </si>
  <si>
    <t>462</t>
  </si>
  <si>
    <t>25713</t>
  </si>
  <si>
    <t>463</t>
  </si>
  <si>
    <t>8268</t>
  </si>
  <si>
    <t>11866</t>
  </si>
  <si>
    <t>1296</t>
  </si>
  <si>
    <t>8095</t>
  </si>
  <si>
    <t>18264</t>
  </si>
  <si>
    <t>1309</t>
  </si>
  <si>
    <t>2904</t>
  </si>
  <si>
    <t>16092</t>
  </si>
  <si>
    <t>483</t>
  </si>
  <si>
    <t>466</t>
  </si>
  <si>
    <t>6032</t>
  </si>
  <si>
    <t>10110</t>
  </si>
  <si>
    <t>467</t>
  </si>
  <si>
    <t>2976</t>
  </si>
  <si>
    <t>25751</t>
  </si>
  <si>
    <t>810</t>
  </si>
  <si>
    <t>468</t>
  </si>
  <si>
    <t>15992</t>
  </si>
  <si>
    <t>15901</t>
  </si>
  <si>
    <t>469</t>
  </si>
  <si>
    <t>4649</t>
  </si>
  <si>
    <t>16928</t>
  </si>
  <si>
    <t>544</t>
  </si>
  <si>
    <t>2696</t>
  </si>
  <si>
    <t>24017</t>
  </si>
  <si>
    <t>1062</t>
  </si>
  <si>
    <t>471</t>
  </si>
  <si>
    <t>2370</t>
  </si>
  <si>
    <t>3956</t>
  </si>
  <si>
    <t>473</t>
  </si>
  <si>
    <t>12504</t>
  </si>
  <si>
    <t>23978</t>
  </si>
  <si>
    <t>1319</t>
  </si>
  <si>
    <t>474</t>
  </si>
  <si>
    <t>5974</t>
  </si>
  <si>
    <t>17001</t>
  </si>
  <si>
    <t>641</t>
  </si>
  <si>
    <t>475</t>
  </si>
  <si>
    <t>4736</t>
  </si>
  <si>
    <t>6069</t>
  </si>
  <si>
    <t>476</t>
  </si>
  <si>
    <t>5296</t>
  </si>
  <si>
    <t>20156</t>
  </si>
  <si>
    <t>1332</t>
  </si>
  <si>
    <t>6781</t>
  </si>
  <si>
    <t>17078</t>
  </si>
  <si>
    <t>756</t>
  </si>
  <si>
    <t>478</t>
  </si>
  <si>
    <t>2174</t>
  </si>
  <si>
    <t>9150</t>
  </si>
  <si>
    <t>845</t>
  </si>
  <si>
    <t>479</t>
  </si>
  <si>
    <t>6653</t>
  </si>
  <si>
    <t>15276</t>
  </si>
  <si>
    <t>481</t>
  </si>
  <si>
    <t>9699</t>
  </si>
  <si>
    <t>7246</t>
  </si>
  <si>
    <t>593</t>
  </si>
  <si>
    <t>482</t>
  </si>
  <si>
    <t>6755</t>
  </si>
  <si>
    <t>2967</t>
  </si>
  <si>
    <t>1171</t>
  </si>
  <si>
    <t>2213</t>
  </si>
  <si>
    <t>22495</t>
  </si>
  <si>
    <t>484</t>
  </si>
  <si>
    <t>2610</t>
  </si>
  <si>
    <t>2851</t>
  </si>
  <si>
    <t>485</t>
  </si>
  <si>
    <t>921</t>
  </si>
  <si>
    <t>486</t>
  </si>
  <si>
    <t>17663</t>
  </si>
  <si>
    <t>1144</t>
  </si>
  <si>
    <t>487</t>
  </si>
  <si>
    <t>5258</t>
  </si>
  <si>
    <t>16044</t>
  </si>
  <si>
    <t>9355</t>
  </si>
  <si>
    <t>9558</t>
  </si>
  <si>
    <t>1046</t>
  </si>
  <si>
    <t>491</t>
  </si>
  <si>
    <t>10496</t>
  </si>
  <si>
    <t>2755</t>
  </si>
  <si>
    <t>575</t>
  </si>
  <si>
    <t>492</t>
  </si>
  <si>
    <t>6380</t>
  </si>
  <si>
    <t>6110</t>
  </si>
  <si>
    <t>493</t>
  </si>
  <si>
    <t>7551</t>
  </si>
  <si>
    <t>156</t>
  </si>
  <si>
    <t>494</t>
  </si>
  <si>
    <t>2716</t>
  </si>
  <si>
    <t>25422</t>
  </si>
  <si>
    <t>1283</t>
  </si>
  <si>
    <t>495</t>
  </si>
  <si>
    <t>2201</t>
  </si>
  <si>
    <t>18168</t>
  </si>
  <si>
    <t>755</t>
  </si>
  <si>
    <t>6540</t>
  </si>
  <si>
    <t>19394</t>
  </si>
  <si>
    <t>497</t>
  </si>
  <si>
    <t>3816</t>
  </si>
  <si>
    <t>17881</t>
  </si>
  <si>
    <t>498</t>
  </si>
  <si>
    <t>5253</t>
  </si>
  <si>
    <t>20750</t>
  </si>
  <si>
    <t>499</t>
  </si>
  <si>
    <t>10965</t>
  </si>
  <si>
    <t>12066</t>
  </si>
  <si>
    <t>1178</t>
  </si>
  <si>
    <t>500</t>
  </si>
  <si>
    <t>4936</t>
  </si>
  <si>
    <t>14862</t>
  </si>
  <si>
    <t>501</t>
  </si>
  <si>
    <t>2543</t>
  </si>
  <si>
    <t>11868</t>
  </si>
  <si>
    <t>1362</t>
  </si>
  <si>
    <t>502</t>
  </si>
  <si>
    <t>5304</t>
  </si>
  <si>
    <t>4652</t>
  </si>
  <si>
    <t>16659</t>
  </si>
  <si>
    <t>23258</t>
  </si>
  <si>
    <t>1371</t>
  </si>
  <si>
    <t>507</t>
  </si>
  <si>
    <t>4260</t>
  </si>
  <si>
    <t>2476</t>
  </si>
  <si>
    <t>17434</t>
  </si>
  <si>
    <t>510</t>
  </si>
  <si>
    <t>3102</t>
  </si>
  <si>
    <t>6582</t>
  </si>
  <si>
    <t>511</t>
  </si>
  <si>
    <t>2244</t>
  </si>
  <si>
    <t>24440</t>
  </si>
  <si>
    <t>513</t>
  </si>
  <si>
    <t>7596</t>
  </si>
  <si>
    <t>3809</t>
  </si>
  <si>
    <t>514</t>
  </si>
  <si>
    <t>2285</t>
  </si>
  <si>
    <t>3427</t>
  </si>
  <si>
    <t>1107</t>
  </si>
  <si>
    <t>3034</t>
  </si>
  <si>
    <t>26914</t>
  </si>
  <si>
    <t>759</t>
  </si>
  <si>
    <t>516</t>
  </si>
  <si>
    <t>5715</t>
  </si>
  <si>
    <t>22553</t>
  </si>
  <si>
    <t>517</t>
  </si>
  <si>
    <t>2576</t>
  </si>
  <si>
    <t>20490</t>
  </si>
  <si>
    <t>1305</t>
  </si>
  <si>
    <t>518</t>
  </si>
  <si>
    <t>4197</t>
  </si>
  <si>
    <t>21123</t>
  </si>
  <si>
    <t>982</t>
  </si>
  <si>
    <t>520</t>
  </si>
  <si>
    <t>14336</t>
  </si>
  <si>
    <t>521</t>
  </si>
  <si>
    <t>3448</t>
  </si>
  <si>
    <t>13436</t>
  </si>
  <si>
    <t>821</t>
  </si>
  <si>
    <t>522</t>
  </si>
  <si>
    <t>19406</t>
  </si>
  <si>
    <t>8509</t>
  </si>
  <si>
    <t>1381</t>
  </si>
  <si>
    <t>523</t>
  </si>
  <si>
    <t>6538</t>
  </si>
  <si>
    <t>12740</t>
  </si>
  <si>
    <t>480</t>
  </si>
  <si>
    <t>524</t>
  </si>
  <si>
    <t>4156</t>
  </si>
  <si>
    <t>525</t>
  </si>
  <si>
    <t>2258</t>
  </si>
  <si>
    <t>15238</t>
  </si>
  <si>
    <t>1473</t>
  </si>
  <si>
    <t>4522</t>
  </si>
  <si>
    <t>2227</t>
  </si>
  <si>
    <t>891</t>
  </si>
  <si>
    <t>527</t>
  </si>
  <si>
    <t>4487</t>
  </si>
  <si>
    <t>12090</t>
  </si>
  <si>
    <t>1063</t>
  </si>
  <si>
    <t>4449</t>
  </si>
  <si>
    <t>23866</t>
  </si>
  <si>
    <t>2218</t>
  </si>
  <si>
    <t>16193</t>
  </si>
  <si>
    <t>531</t>
  </si>
  <si>
    <t>19197</t>
  </si>
  <si>
    <t>8213</t>
  </si>
  <si>
    <t>13212</t>
  </si>
  <si>
    <t>18256</t>
  </si>
  <si>
    <t>533</t>
  </si>
  <si>
    <t>6577</t>
  </si>
  <si>
    <t>19558</t>
  </si>
  <si>
    <t>645</t>
  </si>
  <si>
    <t>8392</t>
  </si>
  <si>
    <t>19566</t>
  </si>
  <si>
    <t>536</t>
  </si>
  <si>
    <t>4558</t>
  </si>
  <si>
    <t>13535</t>
  </si>
  <si>
    <t>538</t>
  </si>
  <si>
    <t>4031</t>
  </si>
  <si>
    <t>543</t>
  </si>
  <si>
    <t>7969</t>
  </si>
  <si>
    <t>19609</t>
  </si>
  <si>
    <t>2654</t>
  </si>
  <si>
    <t>9655</t>
  </si>
  <si>
    <t>1490</t>
  </si>
  <si>
    <t>546</t>
  </si>
  <si>
    <t>16555</t>
  </si>
  <si>
    <t>10310</t>
  </si>
  <si>
    <t>547</t>
  </si>
  <si>
    <t>4556</t>
  </si>
  <si>
    <t>12932</t>
  </si>
  <si>
    <t>317</t>
  </si>
  <si>
    <t>6091</t>
  </si>
  <si>
    <t>24793</t>
  </si>
  <si>
    <t>3854</t>
  </si>
  <si>
    <t>1485</t>
  </si>
  <si>
    <t>550</t>
  </si>
  <si>
    <t>4810</t>
  </si>
  <si>
    <t>26314</t>
  </si>
  <si>
    <t>1368</t>
  </si>
  <si>
    <t>551</t>
  </si>
  <si>
    <t>4523</t>
  </si>
  <si>
    <t>4386</t>
  </si>
  <si>
    <t>1448</t>
  </si>
  <si>
    <t>554</t>
  </si>
  <si>
    <t>3202</t>
  </si>
  <si>
    <t>21972</t>
  </si>
  <si>
    <t>2351</t>
  </si>
  <si>
    <t>12253</t>
  </si>
  <si>
    <t>1702</t>
  </si>
  <si>
    <t>12106</t>
  </si>
  <si>
    <t>1398</t>
  </si>
  <si>
    <t>558</t>
  </si>
  <si>
    <t>18041</t>
  </si>
  <si>
    <t>13022</t>
  </si>
  <si>
    <t>1349</t>
  </si>
  <si>
    <t>560</t>
  </si>
  <si>
    <t>2886</t>
  </si>
  <si>
    <t>3032</t>
  </si>
  <si>
    <t>562</t>
  </si>
  <si>
    <t>2097</t>
  </si>
  <si>
    <t>16734</t>
  </si>
  <si>
    <t>986</t>
  </si>
  <si>
    <t>564</t>
  </si>
  <si>
    <t>11935</t>
  </si>
  <si>
    <t>21526</t>
  </si>
  <si>
    <t>565</t>
  </si>
  <si>
    <t>2546</t>
  </si>
  <si>
    <t>2564</t>
  </si>
  <si>
    <t>18437</t>
  </si>
  <si>
    <t>567</t>
  </si>
  <si>
    <t>8412</t>
  </si>
  <si>
    <t>2890</t>
  </si>
  <si>
    <t>568</t>
  </si>
  <si>
    <t>14118</t>
  </si>
  <si>
    <t>22102</t>
  </si>
  <si>
    <t>1099</t>
  </si>
  <si>
    <t>569</t>
  </si>
  <si>
    <t>17046</t>
  </si>
  <si>
    <t>9314</t>
  </si>
  <si>
    <t>1116</t>
  </si>
  <si>
    <t>571</t>
  </si>
  <si>
    <t>7181</t>
  </si>
  <si>
    <t>1499</t>
  </si>
  <si>
    <t>10266</t>
  </si>
  <si>
    <t>2845</t>
  </si>
  <si>
    <t>983</t>
  </si>
  <si>
    <t>574</t>
  </si>
  <si>
    <t>5070</t>
  </si>
  <si>
    <t>7389</t>
  </si>
  <si>
    <t>1009</t>
  </si>
  <si>
    <t>17861</t>
  </si>
  <si>
    <t>577</t>
  </si>
  <si>
    <t>4230</t>
  </si>
  <si>
    <t>19225</t>
  </si>
  <si>
    <t>578</t>
  </si>
  <si>
    <t>3780</t>
  </si>
  <si>
    <t>23428</t>
  </si>
  <si>
    <t>1303</t>
  </si>
  <si>
    <t>579</t>
  </si>
  <si>
    <t>2768</t>
  </si>
  <si>
    <t>8416</t>
  </si>
  <si>
    <t>580</t>
  </si>
  <si>
    <t>9071</t>
  </si>
  <si>
    <t>11563</t>
  </si>
  <si>
    <t>1274</t>
  </si>
  <si>
    <t>581</t>
  </si>
  <si>
    <t>10648</t>
  </si>
  <si>
    <t>14394</t>
  </si>
  <si>
    <t>1277</t>
  </si>
  <si>
    <t>582</t>
  </si>
  <si>
    <t>13610</t>
  </si>
  <si>
    <t>24619</t>
  </si>
  <si>
    <t>587</t>
  </si>
  <si>
    <t>584</t>
  </si>
  <si>
    <t>3408</t>
  </si>
  <si>
    <t>6705</t>
  </si>
  <si>
    <t>413</t>
  </si>
  <si>
    <t>585</t>
  </si>
  <si>
    <t>2983</t>
  </si>
  <si>
    <t>18398</t>
  </si>
  <si>
    <t>1276</t>
  </si>
  <si>
    <t>586</t>
  </si>
  <si>
    <t>7632</t>
  </si>
  <si>
    <t>14295</t>
  </si>
  <si>
    <t>9824</t>
  </si>
  <si>
    <t>22908</t>
  </si>
  <si>
    <t>988</t>
  </si>
  <si>
    <t>590</t>
  </si>
  <si>
    <t>9950</t>
  </si>
  <si>
    <t>11533</t>
  </si>
  <si>
    <t>1474</t>
  </si>
  <si>
    <t>2093</t>
  </si>
  <si>
    <t>9260</t>
  </si>
  <si>
    <t>592</t>
  </si>
  <si>
    <t>15318</t>
  </si>
  <si>
    <t>3894</t>
  </si>
  <si>
    <t>9129</t>
  </si>
  <si>
    <t>595</t>
  </si>
  <si>
    <t>4051</t>
  </si>
  <si>
    <t>19658</t>
  </si>
  <si>
    <t>597</t>
  </si>
  <si>
    <t>16835</t>
  </si>
  <si>
    <t>9873</t>
  </si>
  <si>
    <t>599</t>
  </si>
  <si>
    <t>6230</t>
  </si>
  <si>
    <t>13430</t>
  </si>
  <si>
    <t>619</t>
  </si>
  <si>
    <t>600</t>
  </si>
  <si>
    <t>4717</t>
  </si>
  <si>
    <t>18659</t>
  </si>
  <si>
    <t>601</t>
  </si>
  <si>
    <t>13237</t>
  </si>
  <si>
    <t>20364</t>
  </si>
  <si>
    <t>443</t>
  </si>
  <si>
    <t>3755</t>
  </si>
  <si>
    <t>17872</t>
  </si>
  <si>
    <t>828</t>
  </si>
  <si>
    <t>604</t>
  </si>
  <si>
    <t>8346</t>
  </si>
  <si>
    <t>605</t>
  </si>
  <si>
    <t>7406</t>
  </si>
  <si>
    <t>6950</t>
  </si>
  <si>
    <t>561</t>
  </si>
  <si>
    <t>606</t>
  </si>
  <si>
    <t>4805</t>
  </si>
  <si>
    <t>16177</t>
  </si>
  <si>
    <t>608</t>
  </si>
  <si>
    <t>22808</t>
  </si>
  <si>
    <t>232</t>
  </si>
  <si>
    <t>611</t>
  </si>
  <si>
    <t>4262</t>
  </si>
  <si>
    <t>22645</t>
  </si>
  <si>
    <t>612</t>
  </si>
  <si>
    <t>16184</t>
  </si>
  <si>
    <t>22578</t>
  </si>
  <si>
    <t>613</t>
  </si>
  <si>
    <t>11557</t>
  </si>
  <si>
    <t>25291</t>
  </si>
  <si>
    <t>1306</t>
  </si>
  <si>
    <t>614</t>
  </si>
  <si>
    <t>1878</t>
  </si>
  <si>
    <t>8059</t>
  </si>
  <si>
    <t>1094</t>
  </si>
  <si>
    <t>615</t>
  </si>
  <si>
    <t>10932</t>
  </si>
  <si>
    <t>11373</t>
  </si>
  <si>
    <t>509</t>
  </si>
  <si>
    <t>616</t>
  </si>
  <si>
    <t>6811</t>
  </si>
  <si>
    <t>2112</t>
  </si>
  <si>
    <t>775</t>
  </si>
  <si>
    <t>618</t>
  </si>
  <si>
    <t>4267</t>
  </si>
  <si>
    <t>620</t>
  </si>
  <si>
    <t>4859</t>
  </si>
  <si>
    <t>6698</t>
  </si>
  <si>
    <t>621</t>
  </si>
  <si>
    <t>5337</t>
  </si>
  <si>
    <t>19921</t>
  </si>
  <si>
    <t>622</t>
  </si>
  <si>
    <t>23213</t>
  </si>
  <si>
    <t>799</t>
  </si>
  <si>
    <t>623</t>
  </si>
  <si>
    <t>7491</t>
  </si>
  <si>
    <t>23848</t>
  </si>
  <si>
    <t>624</t>
  </si>
  <si>
    <t>10527</t>
  </si>
  <si>
    <t>8984</t>
  </si>
  <si>
    <t>625</t>
  </si>
  <si>
    <t>16595</t>
  </si>
  <si>
    <t>5626</t>
  </si>
  <si>
    <t>8834</t>
  </si>
  <si>
    <t>24666</t>
  </si>
  <si>
    <t>956</t>
  </si>
  <si>
    <t>5577</t>
  </si>
  <si>
    <t>22087</t>
  </si>
  <si>
    <t>631</t>
  </si>
  <si>
    <t>4707</t>
  </si>
  <si>
    <t>23914</t>
  </si>
  <si>
    <t>535</t>
  </si>
  <si>
    <t>2400</t>
  </si>
  <si>
    <t>5530</t>
  </si>
  <si>
    <t>1495</t>
  </si>
  <si>
    <t>634</t>
  </si>
  <si>
    <t>22174</t>
  </si>
  <si>
    <t>6447</t>
  </si>
  <si>
    <t>15701</t>
  </si>
  <si>
    <t>1245</t>
  </si>
  <si>
    <t>19502</t>
  </si>
  <si>
    <t>2125</t>
  </si>
  <si>
    <t>639</t>
  </si>
  <si>
    <t>2725</t>
  </si>
  <si>
    <t>21630</t>
  </si>
  <si>
    <t>703</t>
  </si>
  <si>
    <t>6272</t>
  </si>
  <si>
    <t>823</t>
  </si>
  <si>
    <t>643</t>
  </si>
  <si>
    <t>2127</t>
  </si>
  <si>
    <t>9100</t>
  </si>
  <si>
    <t>1246</t>
  </si>
  <si>
    <t>18200</t>
  </si>
  <si>
    <t>7999</t>
  </si>
  <si>
    <t>2096</t>
  </si>
  <si>
    <t>26376</t>
  </si>
  <si>
    <t>1287</t>
  </si>
  <si>
    <t>647</t>
  </si>
  <si>
    <t>14168</t>
  </si>
  <si>
    <t>648</t>
  </si>
  <si>
    <t>2033</t>
  </si>
  <si>
    <t>14470</t>
  </si>
  <si>
    <t>649</t>
  </si>
  <si>
    <t>3622</t>
  </si>
  <si>
    <t>22794</t>
  </si>
  <si>
    <t>1365</t>
  </si>
  <si>
    <t>650</t>
  </si>
  <si>
    <t>4233</t>
  </si>
  <si>
    <t>11512</t>
  </si>
  <si>
    <t>652</t>
  </si>
  <si>
    <t>3681</t>
  </si>
  <si>
    <t>14004</t>
  </si>
  <si>
    <t>5460</t>
  </si>
  <si>
    <t>6219</t>
  </si>
  <si>
    <t>2187</t>
  </si>
  <si>
    <t>5013</t>
  </si>
  <si>
    <t>656</t>
  </si>
  <si>
    <t>9602</t>
  </si>
  <si>
    <t>3010</t>
  </si>
  <si>
    <t>657</t>
  </si>
  <si>
    <t>2836</t>
  </si>
  <si>
    <t>11757</t>
  </si>
  <si>
    <t>659</t>
  </si>
  <si>
    <t>4089</t>
  </si>
  <si>
    <t>5718</t>
  </si>
  <si>
    <t>782</t>
  </si>
  <si>
    <t>661</t>
  </si>
  <si>
    <t>16627</t>
  </si>
  <si>
    <t>2671</t>
  </si>
  <si>
    <t>2619</t>
  </si>
  <si>
    <t>14561</t>
  </si>
  <si>
    <t>5679</t>
  </si>
  <si>
    <t>19627</t>
  </si>
  <si>
    <t>1236</t>
  </si>
  <si>
    <t>15402</t>
  </si>
  <si>
    <t>17997</t>
  </si>
  <si>
    <t>1112</t>
  </si>
  <si>
    <t>5985</t>
  </si>
  <si>
    <t>26894</t>
  </si>
  <si>
    <t>2579</t>
  </si>
  <si>
    <t>2912</t>
  </si>
  <si>
    <t>667</t>
  </si>
  <si>
    <t>3041</t>
  </si>
  <si>
    <t>16346</t>
  </si>
  <si>
    <t>1343</t>
  </si>
  <si>
    <t>3447</t>
  </si>
  <si>
    <t>24444</t>
  </si>
  <si>
    <t>671</t>
  </si>
  <si>
    <t>19513</t>
  </si>
  <si>
    <t>9358</t>
  </si>
  <si>
    <t>2773</t>
  </si>
  <si>
    <t>12145</t>
  </si>
  <si>
    <t>1216</t>
  </si>
  <si>
    <t>677</t>
  </si>
  <si>
    <t>7104</t>
  </si>
  <si>
    <t>20431</t>
  </si>
  <si>
    <t>646</t>
  </si>
  <si>
    <t>679</t>
  </si>
  <si>
    <t>6322</t>
  </si>
  <si>
    <t>18089</t>
  </si>
  <si>
    <t>680</t>
  </si>
  <si>
    <t>2083</t>
  </si>
  <si>
    <t>22653</t>
  </si>
  <si>
    <t>8381</t>
  </si>
  <si>
    <t>7507</t>
  </si>
  <si>
    <t>1397</t>
  </si>
  <si>
    <t>683</t>
  </si>
  <si>
    <t>2691</t>
  </si>
  <si>
    <t>7660</t>
  </si>
  <si>
    <t>4286</t>
  </si>
  <si>
    <t>5630</t>
  </si>
  <si>
    <t>991</t>
  </si>
  <si>
    <t>686</t>
  </si>
  <si>
    <t>2659</t>
  </si>
  <si>
    <t>17759</t>
  </si>
  <si>
    <t>9434</t>
  </si>
  <si>
    <t>9606</t>
  </si>
  <si>
    <t>1176</t>
  </si>
  <si>
    <t>690</t>
  </si>
  <si>
    <t>5561</t>
  </si>
  <si>
    <t>3487</t>
  </si>
  <si>
    <t>6646</t>
  </si>
  <si>
    <t>19368</t>
  </si>
  <si>
    <t>7725</t>
  </si>
  <si>
    <t>5335</t>
  </si>
  <si>
    <t>698</t>
  </si>
  <si>
    <t>10725</t>
  </si>
  <si>
    <t>6729</t>
  </si>
  <si>
    <t>913</t>
  </si>
  <si>
    <t>8847</t>
  </si>
  <si>
    <t>13934</t>
  </si>
  <si>
    <t>700</t>
  </si>
  <si>
    <t>2045</t>
  </si>
  <si>
    <t>15174</t>
  </si>
  <si>
    <t>701</t>
  </si>
  <si>
    <t>26999</t>
  </si>
  <si>
    <t>1076</t>
  </si>
  <si>
    <t>3348</t>
  </si>
  <si>
    <t>3164</t>
  </si>
  <si>
    <t>727</t>
  </si>
  <si>
    <t>704</t>
  </si>
  <si>
    <t>1281</t>
  </si>
  <si>
    <t>16900</t>
  </si>
  <si>
    <t>885</t>
  </si>
  <si>
    <t>8544</t>
  </si>
  <si>
    <t>707</t>
  </si>
  <si>
    <t>4851</t>
  </si>
  <si>
    <t>15678</t>
  </si>
  <si>
    <t>709</t>
  </si>
  <si>
    <t>4028</t>
  </si>
  <si>
    <t>7791</t>
  </si>
  <si>
    <t>806</t>
  </si>
  <si>
    <t>710</t>
  </si>
  <si>
    <t>18959</t>
  </si>
  <si>
    <t>817</t>
  </si>
  <si>
    <t>712</t>
  </si>
  <si>
    <t>8120</t>
  </si>
  <si>
    <t>18597</t>
  </si>
  <si>
    <t>1410</t>
  </si>
  <si>
    <t>714</t>
  </si>
  <si>
    <t>4647</t>
  </si>
  <si>
    <t>16673</t>
  </si>
  <si>
    <t>715</t>
  </si>
  <si>
    <t>4680</t>
  </si>
  <si>
    <t>15232</t>
  </si>
  <si>
    <t>1207</t>
  </si>
  <si>
    <t>716</t>
  </si>
  <si>
    <t>3221</t>
  </si>
  <si>
    <t>3297</t>
  </si>
  <si>
    <t>1442</t>
  </si>
  <si>
    <t>717</t>
  </si>
  <si>
    <t>8621</t>
  </si>
  <si>
    <t>17654</t>
  </si>
  <si>
    <t>693</t>
  </si>
  <si>
    <t>720</t>
  </si>
  <si>
    <t>4577</t>
  </si>
  <si>
    <t>24785</t>
  </si>
  <si>
    <t>4553</t>
  </si>
  <si>
    <t>20978</t>
  </si>
  <si>
    <t>929</t>
  </si>
  <si>
    <t>722</t>
  </si>
  <si>
    <t>5396</t>
  </si>
  <si>
    <t>21703</t>
  </si>
  <si>
    <t>6796</t>
  </si>
  <si>
    <t>23452</t>
  </si>
  <si>
    <t>724</t>
  </si>
  <si>
    <t>7625</t>
  </si>
  <si>
    <t>19383</t>
  </si>
  <si>
    <t>725</t>
  </si>
  <si>
    <t>7412</t>
  </si>
  <si>
    <t>6009</t>
  </si>
  <si>
    <t>11159</t>
  </si>
  <si>
    <t>19373</t>
  </si>
  <si>
    <t>4960</t>
  </si>
  <si>
    <t>11825</t>
  </si>
  <si>
    <t>729</t>
  </si>
  <si>
    <t>10475</t>
  </si>
  <si>
    <t>23772</t>
  </si>
  <si>
    <t>970</t>
  </si>
  <si>
    <t>730</t>
  </si>
  <si>
    <t>14814</t>
  </si>
  <si>
    <t>13514</t>
  </si>
  <si>
    <t>731</t>
  </si>
  <si>
    <t>19141</t>
  </si>
  <si>
    <t>8861</t>
  </si>
  <si>
    <t>1179</t>
  </si>
  <si>
    <t>732</t>
  </si>
  <si>
    <t>5405</t>
  </si>
  <si>
    <t>11924</t>
  </si>
  <si>
    <t>294</t>
  </si>
  <si>
    <t>733</t>
  </si>
  <si>
    <t>8793</t>
  </si>
  <si>
    <t>734</t>
  </si>
  <si>
    <t>19189</t>
  </si>
  <si>
    <t>19562</t>
  </si>
  <si>
    <t>3875</t>
  </si>
  <si>
    <t>9983</t>
  </si>
  <si>
    <t>654</t>
  </si>
  <si>
    <t>741</t>
  </si>
  <si>
    <t>2216</t>
  </si>
  <si>
    <t>3872</t>
  </si>
  <si>
    <t>742</t>
  </si>
  <si>
    <t>11713</t>
  </si>
  <si>
    <t>20335</t>
  </si>
  <si>
    <t>168</t>
  </si>
  <si>
    <t>743</t>
  </si>
  <si>
    <t>7861</t>
  </si>
  <si>
    <t>15397</t>
  </si>
  <si>
    <t>744</t>
  </si>
  <si>
    <t>3708</t>
  </si>
  <si>
    <t>2104</t>
  </si>
  <si>
    <t>13770</t>
  </si>
  <si>
    <t>10225</t>
  </si>
  <si>
    <t>747</t>
  </si>
  <si>
    <t>25275</t>
  </si>
  <si>
    <t>749</t>
  </si>
  <si>
    <t>2642</t>
  </si>
  <si>
    <t>752</t>
  </si>
  <si>
    <t>2759</t>
  </si>
  <si>
    <t>20366</t>
  </si>
  <si>
    <t>754</t>
  </si>
  <si>
    <t>23683</t>
  </si>
  <si>
    <t>757</t>
  </si>
  <si>
    <t>6142</t>
  </si>
  <si>
    <t>7360</t>
  </si>
  <si>
    <t>758</t>
  </si>
  <si>
    <t>4344</t>
  </si>
  <si>
    <t>760</t>
  </si>
  <si>
    <t>6389</t>
  </si>
  <si>
    <t>18767</t>
  </si>
  <si>
    <t>762</t>
  </si>
  <si>
    <t>11103</t>
  </si>
  <si>
    <t>20420</t>
  </si>
  <si>
    <t>804</t>
  </si>
  <si>
    <t>763</t>
  </si>
  <si>
    <t>2342</t>
  </si>
  <si>
    <t>22929</t>
  </si>
  <si>
    <t>975</t>
  </si>
  <si>
    <t>764</t>
  </si>
  <si>
    <t>23398</t>
  </si>
  <si>
    <t>1090</t>
  </si>
  <si>
    <t>766</t>
  </si>
  <si>
    <t>2297</t>
  </si>
  <si>
    <t>17967</t>
  </si>
  <si>
    <t>769</t>
  </si>
  <si>
    <t>2450</t>
  </si>
  <si>
    <t>10919</t>
  </si>
  <si>
    <t>5093</t>
  </si>
  <si>
    <t>4761</t>
  </si>
  <si>
    <t>772</t>
  </si>
  <si>
    <t>5309</t>
  </si>
  <si>
    <t>21146</t>
  </si>
  <si>
    <t>268</t>
  </si>
  <si>
    <t>773</t>
  </si>
  <si>
    <t>3057</t>
  </si>
  <si>
    <t>20471</t>
  </si>
  <si>
    <t>5121</t>
  </si>
  <si>
    <t>4187</t>
  </si>
  <si>
    <t>16856</t>
  </si>
  <si>
    <t>10084</t>
  </si>
  <si>
    <t>780</t>
  </si>
  <si>
    <t>2686</t>
  </si>
  <si>
    <t>5207</t>
  </si>
  <si>
    <t>883</t>
  </si>
  <si>
    <t>781</t>
  </si>
  <si>
    <t>6180</t>
  </si>
  <si>
    <t>22807</t>
  </si>
  <si>
    <t>954</t>
  </si>
  <si>
    <t>783</t>
  </si>
  <si>
    <t>6632</t>
  </si>
  <si>
    <t>12388</t>
  </si>
  <si>
    <t>310</t>
  </si>
  <si>
    <t>784</t>
  </si>
  <si>
    <t>3505</t>
  </si>
  <si>
    <t>19630</t>
  </si>
  <si>
    <t>719</t>
  </si>
  <si>
    <t>785</t>
  </si>
  <si>
    <t>10339</t>
  </si>
  <si>
    <t>786</t>
  </si>
  <si>
    <t>6274</t>
  </si>
  <si>
    <t>18686</t>
  </si>
  <si>
    <t>787</t>
  </si>
  <si>
    <t>19859</t>
  </si>
  <si>
    <t>21199</t>
  </si>
  <si>
    <t>789</t>
  </si>
  <si>
    <t>7587</t>
  </si>
  <si>
    <t>14229</t>
  </si>
  <si>
    <t>791</t>
  </si>
  <si>
    <t>4258</t>
  </si>
  <si>
    <t>26589</t>
  </si>
  <si>
    <t>792</t>
  </si>
  <si>
    <t>4364</t>
  </si>
  <si>
    <t>5288</t>
  </si>
  <si>
    <t>793</t>
  </si>
  <si>
    <t>4335</t>
  </si>
  <si>
    <t>25549</t>
  </si>
  <si>
    <t>1146</t>
  </si>
  <si>
    <t>796</t>
  </si>
  <si>
    <t>5326</t>
  </si>
  <si>
    <t>3064</t>
  </si>
  <si>
    <t>3280</t>
  </si>
  <si>
    <t>13551</t>
  </si>
  <si>
    <t>5485</t>
  </si>
  <si>
    <t>22670</t>
  </si>
  <si>
    <t>800</t>
  </si>
  <si>
    <t>4342</t>
  </si>
  <si>
    <t>24008</t>
  </si>
  <si>
    <t>2782</t>
  </si>
  <si>
    <t>19905</t>
  </si>
  <si>
    <t>803</t>
  </si>
  <si>
    <t>5980</t>
  </si>
  <si>
    <t>26085</t>
  </si>
  <si>
    <t>7530</t>
  </si>
  <si>
    <t>805</t>
  </si>
  <si>
    <t>2572</t>
  </si>
  <si>
    <t>20317</t>
  </si>
  <si>
    <t>3833</t>
  </si>
  <si>
    <t>24375</t>
  </si>
  <si>
    <t>4244</t>
  </si>
  <si>
    <t>9931</t>
  </si>
  <si>
    <t>1111</t>
  </si>
  <si>
    <t>808</t>
  </si>
  <si>
    <t>6500</t>
  </si>
  <si>
    <t>13305</t>
  </si>
  <si>
    <t>18430</t>
  </si>
  <si>
    <t>16225</t>
  </si>
  <si>
    <t>1243</t>
  </si>
  <si>
    <t>811</t>
  </si>
  <si>
    <t>1601</t>
  </si>
  <si>
    <t>3445</t>
  </si>
  <si>
    <t>1092</t>
  </si>
  <si>
    <t>2694</t>
  </si>
  <si>
    <t>26551</t>
  </si>
  <si>
    <t>1325</t>
  </si>
  <si>
    <t>3149</t>
  </si>
  <si>
    <t>21821</t>
  </si>
  <si>
    <t>815</t>
  </si>
  <si>
    <t>17639</t>
  </si>
  <si>
    <t>6881</t>
  </si>
  <si>
    <t>816</t>
  </si>
  <si>
    <t>2319</t>
  </si>
  <si>
    <t>6689</t>
  </si>
  <si>
    <t>213</t>
  </si>
  <si>
    <t>11691</t>
  </si>
  <si>
    <t>25995</t>
  </si>
  <si>
    <t>819</t>
  </si>
  <si>
    <t>5324</t>
  </si>
  <si>
    <t>26507</t>
  </si>
  <si>
    <t>820</t>
  </si>
  <si>
    <t>16752</t>
  </si>
  <si>
    <t>12982</t>
  </si>
  <si>
    <t>676</t>
  </si>
  <si>
    <t>23361</t>
  </si>
  <si>
    <t>1252</t>
  </si>
  <si>
    <t>824</t>
  </si>
  <si>
    <t>2700</t>
  </si>
  <si>
    <t>23779</t>
  </si>
  <si>
    <t>825</t>
  </si>
  <si>
    <t>19246</t>
  </si>
  <si>
    <t>25761</t>
  </si>
  <si>
    <t>1258</t>
  </si>
  <si>
    <t>826</t>
  </si>
  <si>
    <t>2506</t>
  </si>
  <si>
    <t>13301</t>
  </si>
  <si>
    <t>932</t>
  </si>
  <si>
    <t>6062</t>
  </si>
  <si>
    <t>4382</t>
  </si>
  <si>
    <t>16374</t>
  </si>
  <si>
    <t>1041</t>
  </si>
  <si>
    <t>2143</t>
  </si>
  <si>
    <t>25527</t>
  </si>
  <si>
    <t>859</t>
  </si>
  <si>
    <t>830</t>
  </si>
  <si>
    <t>19124</t>
  </si>
  <si>
    <t>5094</t>
  </si>
  <si>
    <t>11983</t>
  </si>
  <si>
    <t>946</t>
  </si>
  <si>
    <t>6877</t>
  </si>
  <si>
    <t>20234</t>
  </si>
  <si>
    <t>834</t>
  </si>
  <si>
    <t>2274</t>
  </si>
  <si>
    <t>6153</t>
  </si>
  <si>
    <t>4434</t>
  </si>
  <si>
    <t>11806</t>
  </si>
  <si>
    <t>837</t>
  </si>
  <si>
    <t>6288</t>
  </si>
  <si>
    <t>4284</t>
  </si>
  <si>
    <t>838</t>
  </si>
  <si>
    <t>2553</t>
  </si>
  <si>
    <t>8306</t>
  </si>
  <si>
    <t>1184</t>
  </si>
  <si>
    <t>840</t>
  </si>
  <si>
    <t>7654</t>
  </si>
  <si>
    <t>5860</t>
  </si>
  <si>
    <t>842</t>
  </si>
  <si>
    <t>5160</t>
  </si>
  <si>
    <t>21519</t>
  </si>
  <si>
    <t>589</t>
  </si>
  <si>
    <t>843</t>
  </si>
  <si>
    <t>17159</t>
  </si>
  <si>
    <t>5200</t>
  </si>
  <si>
    <t>844</t>
  </si>
  <si>
    <t>12808</t>
  </si>
  <si>
    <t>8842</t>
  </si>
  <si>
    <t>10221</t>
  </si>
  <si>
    <t>18869</t>
  </si>
  <si>
    <t>846</t>
  </si>
  <si>
    <t>4779</t>
  </si>
  <si>
    <t>3698</t>
  </si>
  <si>
    <t>847</t>
  </si>
  <si>
    <t>3737</t>
  </si>
  <si>
    <t>2243</t>
  </si>
  <si>
    <t>887</t>
  </si>
  <si>
    <t>848</t>
  </si>
  <si>
    <t>2366</t>
  </si>
  <si>
    <t>20898</t>
  </si>
  <si>
    <t>850</t>
  </si>
  <si>
    <t>1706</t>
  </si>
  <si>
    <t>16571</t>
  </si>
  <si>
    <t>1318</t>
  </si>
  <si>
    <t>851</t>
  </si>
  <si>
    <t>16307</t>
  </si>
  <si>
    <t>5594</t>
  </si>
  <si>
    <t>5933</t>
  </si>
  <si>
    <t>5197</t>
  </si>
  <si>
    <t>180</t>
  </si>
  <si>
    <t>3424</t>
  </si>
  <si>
    <t>21632</t>
  </si>
  <si>
    <t>855</t>
  </si>
  <si>
    <t>4037</t>
  </si>
  <si>
    <t>21816</t>
  </si>
  <si>
    <t>856</t>
  </si>
  <si>
    <t>2559</t>
  </si>
  <si>
    <t>17852</t>
  </si>
  <si>
    <t>6201</t>
  </si>
  <si>
    <t>2823</t>
  </si>
  <si>
    <t>4403</t>
  </si>
  <si>
    <t>9250</t>
  </si>
  <si>
    <t>1012</t>
  </si>
  <si>
    <t>861</t>
  </si>
  <si>
    <t>3761</t>
  </si>
  <si>
    <t>862</t>
  </si>
  <si>
    <t>10934</t>
  </si>
  <si>
    <t>20715</t>
  </si>
  <si>
    <t>930</t>
  </si>
  <si>
    <t>864</t>
  </si>
  <si>
    <t>10761</t>
  </si>
  <si>
    <t>19239</t>
  </si>
  <si>
    <t>865</t>
  </si>
  <si>
    <t>5175</t>
  </si>
  <si>
    <t>22162</t>
  </si>
  <si>
    <t>867</t>
  </si>
  <si>
    <t>13826</t>
  </si>
  <si>
    <t>19028</t>
  </si>
  <si>
    <t>868</t>
  </si>
  <si>
    <t>6334</t>
  </si>
  <si>
    <t>24558</t>
  </si>
  <si>
    <t>23965</t>
  </si>
  <si>
    <t>1230</t>
  </si>
  <si>
    <t>872</t>
  </si>
  <si>
    <t>4775</t>
  </si>
  <si>
    <t>19146</t>
  </si>
  <si>
    <t>874</t>
  </si>
  <si>
    <t>2818</t>
  </si>
  <si>
    <t>5044</t>
  </si>
  <si>
    <t>1271</t>
  </si>
  <si>
    <t>875</t>
  </si>
  <si>
    <t>2515</t>
  </si>
  <si>
    <t>9068</t>
  </si>
  <si>
    <t>1278</t>
  </si>
  <si>
    <t>8635</t>
  </si>
  <si>
    <t>879</t>
  </si>
  <si>
    <t>4194</t>
  </si>
  <si>
    <t>14363</t>
  </si>
  <si>
    <t>607</t>
  </si>
  <si>
    <t>880</t>
  </si>
  <si>
    <t>10685</t>
  </si>
  <si>
    <t>23457</t>
  </si>
  <si>
    <t>130</t>
  </si>
  <si>
    <t>881</t>
  </si>
  <si>
    <t>2022</t>
  </si>
  <si>
    <t>16612</t>
  </si>
  <si>
    <t>882</t>
  </si>
  <si>
    <t>2314</t>
  </si>
  <si>
    <t>9148</t>
  </si>
  <si>
    <t>583</t>
  </si>
  <si>
    <t>4256</t>
  </si>
  <si>
    <t>18154</t>
  </si>
  <si>
    <t>1418</t>
  </si>
  <si>
    <t>3580</t>
  </si>
  <si>
    <t>10554</t>
  </si>
  <si>
    <t>1269</t>
  </si>
  <si>
    <t>888</t>
  </si>
  <si>
    <t>3162</t>
  </si>
  <si>
    <t>10778</t>
  </si>
  <si>
    <t>6524</t>
  </si>
  <si>
    <t>8891</t>
  </si>
  <si>
    <t>893</t>
  </si>
  <si>
    <t>2899</t>
  </si>
  <si>
    <t>12102</t>
  </si>
  <si>
    <t>1265</t>
  </si>
  <si>
    <t>5231</t>
  </si>
  <si>
    <t>23726</t>
  </si>
  <si>
    <t>1222</t>
  </si>
  <si>
    <t>2356</t>
  </si>
  <si>
    <t>14871</t>
  </si>
  <si>
    <t>2800</t>
  </si>
  <si>
    <t>23522</t>
  </si>
  <si>
    <t>897</t>
  </si>
  <si>
    <t>11836</t>
  </si>
  <si>
    <t>22789</t>
  </si>
  <si>
    <t>899</t>
  </si>
  <si>
    <t>10903</t>
  </si>
  <si>
    <t>1231</t>
  </si>
  <si>
    <t>900</t>
  </si>
  <si>
    <t>2973</t>
  </si>
  <si>
    <t>21222</t>
  </si>
  <si>
    <t>901</t>
  </si>
  <si>
    <t>14275</t>
  </si>
  <si>
    <t>20206</t>
  </si>
  <si>
    <t>902</t>
  </si>
  <si>
    <t>5562</t>
  </si>
  <si>
    <t>21782</t>
  </si>
  <si>
    <t>903</t>
  </si>
  <si>
    <t>4537</t>
  </si>
  <si>
    <t>17783</t>
  </si>
  <si>
    <t>904</t>
  </si>
  <si>
    <t>7642</t>
  </si>
  <si>
    <t>4814</t>
  </si>
  <si>
    <t>17924</t>
  </si>
  <si>
    <t>4544</t>
  </si>
  <si>
    <t>1383</t>
  </si>
  <si>
    <t>909</t>
  </si>
  <si>
    <t>5204</t>
  </si>
  <si>
    <t>7790</t>
  </si>
  <si>
    <t>1075</t>
  </si>
  <si>
    <t>910</t>
  </si>
  <si>
    <t>2277</t>
  </si>
  <si>
    <t>22650</t>
  </si>
  <si>
    <t>911</t>
  </si>
  <si>
    <t>2795</t>
  </si>
  <si>
    <t>18016</t>
  </si>
  <si>
    <t>1086</t>
  </si>
  <si>
    <t>912</t>
  </si>
  <si>
    <t>2532</t>
  </si>
  <si>
    <t>6054</t>
  </si>
  <si>
    <t>7508</t>
  </si>
  <si>
    <t>4908</t>
  </si>
  <si>
    <t>24252</t>
  </si>
  <si>
    <t>918</t>
  </si>
  <si>
    <t>2380</t>
  </si>
  <si>
    <t>13384</t>
  </si>
  <si>
    <t>4765</t>
  </si>
  <si>
    <t>23814</t>
  </si>
  <si>
    <t>2044</t>
  </si>
  <si>
    <t>22052</t>
  </si>
  <si>
    <t>923</t>
  </si>
  <si>
    <t>8870</t>
  </si>
  <si>
    <t>1425</t>
  </si>
  <si>
    <t>6586</t>
  </si>
  <si>
    <t>1454</t>
  </si>
  <si>
    <t>925</t>
  </si>
  <si>
    <t>3294</t>
  </si>
  <si>
    <t>13137</t>
  </si>
  <si>
    <t>617</t>
  </si>
  <si>
    <t>4171</t>
  </si>
  <si>
    <t>10022</t>
  </si>
  <si>
    <t>1085</t>
  </si>
  <si>
    <t>927</t>
  </si>
  <si>
    <t>2778</t>
  </si>
  <si>
    <t>17725</t>
  </si>
  <si>
    <t>995</t>
  </si>
  <si>
    <t>2377</t>
  </si>
  <si>
    <t>9834</t>
  </si>
  <si>
    <t>1122</t>
  </si>
  <si>
    <t>2404</t>
  </si>
  <si>
    <t>4303</t>
  </si>
  <si>
    <t>2318</t>
  </si>
  <si>
    <t>17808</t>
  </si>
  <si>
    <t>934</t>
  </si>
  <si>
    <t>2008</t>
  </si>
  <si>
    <t>6896</t>
  </si>
  <si>
    <t>936</t>
  </si>
  <si>
    <t>6244</t>
  </si>
  <si>
    <t>7824</t>
  </si>
  <si>
    <t>1198</t>
  </si>
  <si>
    <t>939</t>
  </si>
  <si>
    <t>2799</t>
  </si>
  <si>
    <t>3339</t>
  </si>
  <si>
    <t>1272</t>
  </si>
  <si>
    <t>940</t>
  </si>
  <si>
    <t>10552</t>
  </si>
  <si>
    <t>9255</t>
  </si>
  <si>
    <t>941</t>
  </si>
  <si>
    <t>2329</t>
  </si>
  <si>
    <t>11737</t>
  </si>
  <si>
    <t>1137</t>
  </si>
  <si>
    <t>942</t>
  </si>
  <si>
    <t>19170</t>
  </si>
  <si>
    <t>7403</t>
  </si>
  <si>
    <t>22477</t>
  </si>
  <si>
    <t>2259</t>
  </si>
  <si>
    <t>5543</t>
  </si>
  <si>
    <t>1188</t>
  </si>
  <si>
    <t>947</t>
  </si>
  <si>
    <t>6932</t>
  </si>
  <si>
    <t>24406</t>
  </si>
  <si>
    <t>188</t>
  </si>
  <si>
    <t>949</t>
  </si>
  <si>
    <t>4678</t>
  </si>
  <si>
    <t>23293</t>
  </si>
  <si>
    <t>1333</t>
  </si>
  <si>
    <t>13582</t>
  </si>
  <si>
    <t>16292</t>
  </si>
  <si>
    <t>951</t>
  </si>
  <si>
    <t>2332</t>
  </si>
  <si>
    <t>3974</t>
  </si>
  <si>
    <t>952</t>
  </si>
  <si>
    <t>2413</t>
  </si>
  <si>
    <t>18798</t>
  </si>
  <si>
    <t>9705</t>
  </si>
  <si>
    <t>20652</t>
  </si>
  <si>
    <t>4294</t>
  </si>
  <si>
    <t>11148</t>
  </si>
  <si>
    <t>263</t>
  </si>
  <si>
    <t>4721</t>
  </si>
  <si>
    <t>3119</t>
  </si>
  <si>
    <t>938</t>
  </si>
  <si>
    <t>958</t>
  </si>
  <si>
    <t>2519</t>
  </si>
  <si>
    <t>12287</t>
  </si>
  <si>
    <t>2121</t>
  </si>
  <si>
    <t>9947</t>
  </si>
  <si>
    <t>960</t>
  </si>
  <si>
    <t>13008</t>
  </si>
  <si>
    <t>961</t>
  </si>
  <si>
    <t>5855</t>
  </si>
  <si>
    <t>17369</t>
  </si>
  <si>
    <t>964</t>
  </si>
  <si>
    <t>3617</t>
  </si>
  <si>
    <t>25063</t>
  </si>
  <si>
    <t>966</t>
  </si>
  <si>
    <t>6725</t>
  </si>
  <si>
    <t>13554</t>
  </si>
  <si>
    <t>10325</t>
  </si>
  <si>
    <t>5518</t>
  </si>
  <si>
    <t>969</t>
  </si>
  <si>
    <t>6949</t>
  </si>
  <si>
    <t>12291</t>
  </si>
  <si>
    <t>14922</t>
  </si>
  <si>
    <t>972</t>
  </si>
  <si>
    <t>4447</t>
  </si>
  <si>
    <t>23163</t>
  </si>
  <si>
    <t>1404</t>
  </si>
  <si>
    <t>974</t>
  </si>
  <si>
    <t>2157</t>
  </si>
  <si>
    <t>18203</t>
  </si>
  <si>
    <t>4601</t>
  </si>
  <si>
    <t>6179</t>
  </si>
  <si>
    <t>1053</t>
  </si>
  <si>
    <t>17099</t>
  </si>
  <si>
    <t>13829</t>
  </si>
  <si>
    <t>289</t>
  </si>
  <si>
    <t>977</t>
  </si>
  <si>
    <t>2479</t>
  </si>
  <si>
    <t>26227</t>
  </si>
  <si>
    <t>1376</t>
  </si>
  <si>
    <t>981</t>
  </si>
  <si>
    <t>14852</t>
  </si>
  <si>
    <t>13938</t>
  </si>
  <si>
    <t>7264</t>
  </si>
  <si>
    <t>9977</t>
  </si>
  <si>
    <t>5666</t>
  </si>
  <si>
    <t>19899</t>
  </si>
  <si>
    <t>984</t>
  </si>
  <si>
    <t>7823</t>
  </si>
  <si>
    <t>6812</t>
  </si>
  <si>
    <t>985</t>
  </si>
  <si>
    <t>7880</t>
  </si>
  <si>
    <t>2560</t>
  </si>
  <si>
    <t>13194</t>
  </si>
  <si>
    <t>17071</t>
  </si>
  <si>
    <t>1379</t>
  </si>
  <si>
    <t>987</t>
  </si>
  <si>
    <t>5067</t>
  </si>
  <si>
    <t>6759</t>
  </si>
  <si>
    <t>990</t>
  </si>
  <si>
    <t>5079</t>
  </si>
  <si>
    <t>25952</t>
  </si>
  <si>
    <t>2321</t>
  </si>
  <si>
    <t>10322</t>
  </si>
  <si>
    <t>17444</t>
  </si>
  <si>
    <t>20489</t>
  </si>
  <si>
    <t>11479</t>
  </si>
  <si>
    <t>17241</t>
  </si>
  <si>
    <t>2270</t>
  </si>
  <si>
    <t>11005</t>
  </si>
  <si>
    <t>1126</t>
  </si>
  <si>
    <t>997</t>
  </si>
  <si>
    <t>17399</t>
  </si>
  <si>
    <t>6615</t>
  </si>
  <si>
    <t>998</t>
  </si>
  <si>
    <t>5488</t>
  </si>
  <si>
    <t>20161</t>
  </si>
  <si>
    <t>999</t>
  </si>
  <si>
    <t>19419</t>
  </si>
  <si>
    <t>3735</t>
  </si>
  <si>
    <t>1134</t>
  </si>
  <si>
    <t>2811</t>
  </si>
  <si>
    <t>12086</t>
  </si>
  <si>
    <t>3633</t>
  </si>
  <si>
    <t>14039</t>
  </si>
  <si>
    <t>955</t>
  </si>
  <si>
    <t>1003</t>
  </si>
  <si>
    <t>4163</t>
  </si>
  <si>
    <t>8571</t>
  </si>
  <si>
    <t>1004</t>
  </si>
  <si>
    <t>2132</t>
  </si>
  <si>
    <t>11539</t>
  </si>
  <si>
    <t>13973</t>
  </si>
  <si>
    <t>4161</t>
  </si>
  <si>
    <t>1391</t>
  </si>
  <si>
    <t>1006</t>
  </si>
  <si>
    <t>2684</t>
  </si>
  <si>
    <t>12127</t>
  </si>
  <si>
    <t>1007</t>
  </si>
  <si>
    <t>10845</t>
  </si>
  <si>
    <t>24208</t>
  </si>
  <si>
    <t>1206</t>
  </si>
  <si>
    <t>4377</t>
  </si>
  <si>
    <t>24117</t>
  </si>
  <si>
    <t>1010</t>
  </si>
  <si>
    <t>3743</t>
  </si>
  <si>
    <t>10074</t>
  </si>
  <si>
    <t>1011</t>
  </si>
  <si>
    <t>4148</t>
  </si>
  <si>
    <t>11275</t>
  </si>
  <si>
    <t>1051</t>
  </si>
  <si>
    <t>13493</t>
  </si>
  <si>
    <t>1441</t>
  </si>
  <si>
    <t>1013</t>
  </si>
  <si>
    <t>10739</t>
  </si>
  <si>
    <t>13943</t>
  </si>
  <si>
    <t>1014</t>
  </si>
  <si>
    <t>10388</t>
  </si>
  <si>
    <t>6975</t>
  </si>
  <si>
    <t>1015</t>
  </si>
  <si>
    <t>11416</t>
  </si>
  <si>
    <t>17802</t>
  </si>
  <si>
    <t>1016</t>
  </si>
  <si>
    <t>2600</t>
  </si>
  <si>
    <t>18275</t>
  </si>
  <si>
    <t>109</t>
  </si>
  <si>
    <t>2422</t>
  </si>
  <si>
    <t>25725</t>
  </si>
  <si>
    <t>1066</t>
  </si>
  <si>
    <t>5472</t>
  </si>
  <si>
    <t>3334</t>
  </si>
  <si>
    <t>1019</t>
  </si>
  <si>
    <t>1022</t>
  </si>
  <si>
    <t>4240</t>
  </si>
  <si>
    <t>13119</t>
  </si>
  <si>
    <t>1024</t>
  </si>
  <si>
    <t>10999</t>
  </si>
  <si>
    <t>22245</t>
  </si>
  <si>
    <t>1025</t>
  </si>
  <si>
    <t>5003</t>
  </si>
  <si>
    <t>23371</t>
  </si>
  <si>
    <t>1026</t>
  </si>
  <si>
    <t>12742</t>
  </si>
  <si>
    <t>7060</t>
  </si>
  <si>
    <t>1055</t>
  </si>
  <si>
    <t>1027</t>
  </si>
  <si>
    <t>4227</t>
  </si>
  <si>
    <t>4658</t>
  </si>
  <si>
    <t>1028</t>
  </si>
  <si>
    <t>3917</t>
  </si>
  <si>
    <t>9541</t>
  </si>
  <si>
    <t>265</t>
  </si>
  <si>
    <t>1029</t>
  </si>
  <si>
    <t>18303</t>
  </si>
  <si>
    <t>7770</t>
  </si>
  <si>
    <t>1030</t>
  </si>
  <si>
    <t>20165</t>
  </si>
  <si>
    <t>1032</t>
  </si>
  <si>
    <t>13726</t>
  </si>
  <si>
    <t>21829</t>
  </si>
  <si>
    <t>4777</t>
  </si>
  <si>
    <t>14382</t>
  </si>
  <si>
    <t>135</t>
  </si>
  <si>
    <t>6385</t>
  </si>
  <si>
    <t>12992</t>
  </si>
  <si>
    <t>1035</t>
  </si>
  <si>
    <t>19973</t>
  </si>
  <si>
    <t>20284</t>
  </si>
  <si>
    <t>1036</t>
  </si>
  <si>
    <t>6861</t>
  </si>
  <si>
    <t>4981</t>
  </si>
  <si>
    <t>1037</t>
  </si>
  <si>
    <t>4969</t>
  </si>
  <si>
    <t>21813</t>
  </si>
  <si>
    <t>266</t>
  </si>
  <si>
    <t>1038</t>
  </si>
  <si>
    <t>19845</t>
  </si>
  <si>
    <t>25846</t>
  </si>
  <si>
    <t>1039</t>
  </si>
  <si>
    <t>13320</t>
  </si>
  <si>
    <t>24920</t>
  </si>
  <si>
    <t>1042</t>
  </si>
  <si>
    <t>2743</t>
  </si>
  <si>
    <t>8269</t>
  </si>
  <si>
    <t>1043</t>
  </si>
  <si>
    <t>10880</t>
  </si>
  <si>
    <t>5083</t>
  </si>
  <si>
    <t>1044</t>
  </si>
  <si>
    <t>21437</t>
  </si>
  <si>
    <t>1234</t>
  </si>
  <si>
    <t>17650</t>
  </si>
  <si>
    <t>5404</t>
  </si>
  <si>
    <t>1109</t>
  </si>
  <si>
    <t>4025</t>
  </si>
  <si>
    <t>11135</t>
  </si>
  <si>
    <t>1047</t>
  </si>
  <si>
    <t>9725</t>
  </si>
  <si>
    <t>12278</t>
  </si>
  <si>
    <t>1089</t>
  </si>
  <si>
    <t>1048</t>
  </si>
  <si>
    <t>11904</t>
  </si>
  <si>
    <t>11038</t>
  </si>
  <si>
    <t>788</t>
  </si>
  <si>
    <t>1049</t>
  </si>
  <si>
    <t>8318</t>
  </si>
  <si>
    <t>1050</t>
  </si>
  <si>
    <t>7525</t>
  </si>
  <si>
    <t>23537</t>
  </si>
  <si>
    <t>660</t>
  </si>
  <si>
    <t>4834</t>
  </si>
  <si>
    <t>7858</t>
  </si>
  <si>
    <t>15346</t>
  </si>
  <si>
    <t>2220</t>
  </si>
  <si>
    <t>18410</t>
  </si>
  <si>
    <t>1056</t>
  </si>
  <si>
    <t>23384</t>
  </si>
  <si>
    <t>1186</t>
  </si>
  <si>
    <t>1060</t>
  </si>
  <si>
    <t>2821</t>
  </si>
  <si>
    <t>2997</t>
  </si>
  <si>
    <t>1464</t>
  </si>
  <si>
    <t>1061</t>
  </si>
  <si>
    <t>19237</t>
  </si>
  <si>
    <t>12853</t>
  </si>
  <si>
    <t>4107</t>
  </si>
  <si>
    <t>13848</t>
  </si>
  <si>
    <t>8396</t>
  </si>
  <si>
    <t>22217</t>
  </si>
  <si>
    <t>1068</t>
  </si>
  <si>
    <t>2007</t>
  </si>
  <si>
    <t>25265</t>
  </si>
  <si>
    <t>21445</t>
  </si>
  <si>
    <t>10686</t>
  </si>
  <si>
    <t>1071</t>
  </si>
  <si>
    <t>12154</t>
  </si>
  <si>
    <t>1073</t>
  </si>
  <si>
    <t>8858</t>
  </si>
  <si>
    <t>15669</t>
  </si>
  <si>
    <t>1074</t>
  </si>
  <si>
    <t>16756</t>
  </si>
  <si>
    <t>17323</t>
  </si>
  <si>
    <t>415</t>
  </si>
  <si>
    <t>10798</t>
  </si>
  <si>
    <t>5268</t>
  </si>
  <si>
    <t>1077</t>
  </si>
  <si>
    <t>17205</t>
  </si>
  <si>
    <t>1079</t>
  </si>
  <si>
    <t>17258</t>
  </si>
  <si>
    <t>1080</t>
  </si>
  <si>
    <t>4615</t>
  </si>
  <si>
    <t>21029</t>
  </si>
  <si>
    <t>1081</t>
  </si>
  <si>
    <t>2461</t>
  </si>
  <si>
    <t>10332</t>
  </si>
  <si>
    <t>1366</t>
  </si>
  <si>
    <t>8722</t>
  </si>
  <si>
    <t>12355</t>
  </si>
  <si>
    <t>1083</t>
  </si>
  <si>
    <t>3955</t>
  </si>
  <si>
    <t>11141</t>
  </si>
  <si>
    <t>9957</t>
  </si>
  <si>
    <t>3376</t>
  </si>
  <si>
    <t>18863</t>
  </si>
  <si>
    <t>1088</t>
  </si>
  <si>
    <t>8823</t>
  </si>
  <si>
    <t>24608</t>
  </si>
  <si>
    <t>1492</t>
  </si>
  <si>
    <t>26542</t>
  </si>
  <si>
    <t>4621</t>
  </si>
  <si>
    <t>5869</t>
  </si>
  <si>
    <t>1096</t>
  </si>
  <si>
    <t>10976</t>
  </si>
  <si>
    <t>15813</t>
  </si>
  <si>
    <t>3660</t>
  </si>
  <si>
    <t>7909</t>
  </si>
  <si>
    <t>1098</t>
  </si>
  <si>
    <t>10482</t>
  </si>
  <si>
    <t>7119</t>
  </si>
  <si>
    <t>21214</t>
  </si>
  <si>
    <t>1204</t>
  </si>
  <si>
    <t>1100</t>
  </si>
  <si>
    <t>9582</t>
  </si>
  <si>
    <t>10333</t>
  </si>
  <si>
    <t>1101</t>
  </si>
  <si>
    <t>4508</t>
  </si>
  <si>
    <t>3129</t>
  </si>
  <si>
    <t>2207</t>
  </si>
  <si>
    <t>22482</t>
  </si>
  <si>
    <t>1103</t>
  </si>
  <si>
    <t>7756</t>
  </si>
  <si>
    <t>22266</t>
  </si>
  <si>
    <t>6694</t>
  </si>
  <si>
    <t>24223</t>
  </si>
  <si>
    <t>1106</t>
  </si>
  <si>
    <t>3691</t>
  </si>
  <si>
    <t>4605</t>
  </si>
  <si>
    <t>1330</t>
  </si>
  <si>
    <t>1108</t>
  </si>
  <si>
    <t>2313</t>
  </si>
  <si>
    <t>2993</t>
  </si>
  <si>
    <t>17665</t>
  </si>
  <si>
    <t>14399</t>
  </si>
  <si>
    <t>2596</t>
  </si>
  <si>
    <t>7160</t>
  </si>
  <si>
    <t>1113</t>
  </si>
  <si>
    <t>4728</t>
  </si>
  <si>
    <t>17251</t>
  </si>
  <si>
    <t>1114</t>
  </si>
  <si>
    <t>4302</t>
  </si>
  <si>
    <t>13401</t>
  </si>
  <si>
    <t>697</t>
  </si>
  <si>
    <t>2979</t>
  </si>
  <si>
    <t>22478</t>
  </si>
  <si>
    <t>1262</t>
  </si>
  <si>
    <t>16154</t>
  </si>
  <si>
    <t>5593</t>
  </si>
  <si>
    <t>17970</t>
  </si>
  <si>
    <t>1118</t>
  </si>
  <si>
    <t>10445</t>
  </si>
  <si>
    <t>15322</t>
  </si>
  <si>
    <t>770</t>
  </si>
  <si>
    <t>1119</t>
  </si>
  <si>
    <t>8740</t>
  </si>
  <si>
    <t>5569</t>
  </si>
  <si>
    <t>1120</t>
  </si>
  <si>
    <t>2514</t>
  </si>
  <si>
    <t>26968</t>
  </si>
  <si>
    <t>1121</t>
  </si>
  <si>
    <t>7655</t>
  </si>
  <si>
    <t>8039</t>
  </si>
  <si>
    <t>17465</t>
  </si>
  <si>
    <t>15596</t>
  </si>
  <si>
    <t>7351</t>
  </si>
  <si>
    <t>20619</t>
  </si>
  <si>
    <t>10820</t>
  </si>
  <si>
    <t>11535</t>
  </si>
  <si>
    <t>203</t>
  </si>
  <si>
    <t>12169</t>
  </si>
  <si>
    <t>13547</t>
  </si>
  <si>
    <t>1308</t>
  </si>
  <si>
    <t>1128</t>
  </si>
  <si>
    <t>19626</t>
  </si>
  <si>
    <t>17544</t>
  </si>
  <si>
    <t>1131</t>
  </si>
  <si>
    <t>6782</t>
  </si>
  <si>
    <t>8770</t>
  </si>
  <si>
    <t>1133</t>
  </si>
  <si>
    <t>7779</t>
  </si>
  <si>
    <t>23238</t>
  </si>
  <si>
    <t>1135</t>
  </si>
  <si>
    <t>2791</t>
  </si>
  <si>
    <t>21981</t>
  </si>
  <si>
    <t>1451</t>
  </si>
  <si>
    <t>3201</t>
  </si>
  <si>
    <t>19911</t>
  </si>
  <si>
    <t>1182</t>
  </si>
  <si>
    <t>4968</t>
  </si>
  <si>
    <t>18500</t>
  </si>
  <si>
    <t>1138</t>
  </si>
  <si>
    <t>13120</t>
  </si>
  <si>
    <t>11879</t>
  </si>
  <si>
    <t>1140</t>
  </si>
  <si>
    <t>4033</t>
  </si>
  <si>
    <t>15834</t>
  </si>
  <si>
    <t>490</t>
  </si>
  <si>
    <t>1143</t>
  </si>
  <si>
    <t>3291</t>
  </si>
  <si>
    <t>17940</t>
  </si>
  <si>
    <t>1148</t>
  </si>
  <si>
    <t>4272</t>
  </si>
  <si>
    <t>718</t>
  </si>
  <si>
    <t>5056</t>
  </si>
  <si>
    <t>17689</t>
  </si>
  <si>
    <t>1152</t>
  </si>
  <si>
    <t>2844</t>
  </si>
  <si>
    <t>6004</t>
  </si>
  <si>
    <t>1154</t>
  </si>
  <si>
    <t>22088</t>
  </si>
  <si>
    <t>1156</t>
  </si>
  <si>
    <t>1904</t>
  </si>
  <si>
    <t>13556</t>
  </si>
  <si>
    <t>603</t>
  </si>
  <si>
    <t>8224</t>
  </si>
  <si>
    <t>18385</t>
  </si>
  <si>
    <t>4766</t>
  </si>
  <si>
    <t>9051</t>
  </si>
  <si>
    <t>1160</t>
  </si>
  <si>
    <t>6233</t>
  </si>
  <si>
    <t>1161</t>
  </si>
  <si>
    <t>5731</t>
  </si>
  <si>
    <t>17171</t>
  </si>
  <si>
    <t>7950</t>
  </si>
  <si>
    <t>1163</t>
  </si>
  <si>
    <t>5714</t>
  </si>
  <si>
    <t>5829</t>
  </si>
  <si>
    <t>1164</t>
  </si>
  <si>
    <t>4323</t>
  </si>
  <si>
    <t>7108</t>
  </si>
  <si>
    <t>1165</t>
  </si>
  <si>
    <t>7336</t>
  </si>
  <si>
    <t>1166</t>
  </si>
  <si>
    <t>13499</t>
  </si>
  <si>
    <t>13782</t>
  </si>
  <si>
    <t>1167</t>
  </si>
  <si>
    <t>13758</t>
  </si>
  <si>
    <t>2447</t>
  </si>
  <si>
    <t>5155</t>
  </si>
  <si>
    <t>2253</t>
  </si>
  <si>
    <t>1172</t>
  </si>
  <si>
    <t>16340</t>
  </si>
  <si>
    <t>1173</t>
  </si>
  <si>
    <t>3597</t>
  </si>
  <si>
    <t>6409</t>
  </si>
  <si>
    <t>1175</t>
  </si>
  <si>
    <t>22955</t>
  </si>
  <si>
    <t>1384</t>
  </si>
  <si>
    <t>1177</t>
  </si>
  <si>
    <t>4420</t>
  </si>
  <si>
    <t>13421</t>
  </si>
  <si>
    <t>6578</t>
  </si>
  <si>
    <t>2706</t>
  </si>
  <si>
    <t>4422</t>
  </si>
  <si>
    <t>21203</t>
  </si>
  <si>
    <t>10274</t>
  </si>
  <si>
    <t>19588</t>
  </si>
  <si>
    <t>5343</t>
  </si>
  <si>
    <t>25755</t>
  </si>
  <si>
    <t>1185</t>
  </si>
  <si>
    <t>2376</t>
  </si>
  <si>
    <t>26537</t>
  </si>
  <si>
    <t>5346</t>
  </si>
  <si>
    <t>9489</t>
  </si>
  <si>
    <t>1190</t>
  </si>
  <si>
    <t>2827</t>
  </si>
  <si>
    <t>14947</t>
  </si>
  <si>
    <t>1191</t>
  </si>
  <si>
    <t>19943</t>
  </si>
  <si>
    <t>18575</t>
  </si>
  <si>
    <t>3131</t>
  </si>
  <si>
    <t>26342</t>
  </si>
  <si>
    <t>1193</t>
  </si>
  <si>
    <t>2552</t>
  </si>
  <si>
    <t>7172</t>
  </si>
  <si>
    <t>1457</t>
  </si>
  <si>
    <t>4477</t>
  </si>
  <si>
    <t>20100</t>
  </si>
  <si>
    <t>1196</t>
  </si>
  <si>
    <t>6474</t>
  </si>
  <si>
    <t>9961</t>
  </si>
  <si>
    <t>3033</t>
  </si>
  <si>
    <t>12828</t>
  </si>
  <si>
    <t>2936</t>
  </si>
  <si>
    <t>10826</t>
  </si>
  <si>
    <t>1201</t>
  </si>
  <si>
    <t>18606</t>
  </si>
  <si>
    <t>18640</t>
  </si>
  <si>
    <t>1202</t>
  </si>
  <si>
    <t>2168</t>
  </si>
  <si>
    <t>26933</t>
  </si>
  <si>
    <t>1203</t>
  </si>
  <si>
    <t>2853</t>
  </si>
  <si>
    <t>4223</t>
  </si>
  <si>
    <t>1402</t>
  </si>
  <si>
    <t>17048</t>
  </si>
  <si>
    <t>24097</t>
  </si>
  <si>
    <t>2290</t>
  </si>
  <si>
    <t>4279</t>
  </si>
  <si>
    <t>3600</t>
  </si>
  <si>
    <t>8429</t>
  </si>
  <si>
    <t>2107</t>
  </si>
  <si>
    <t>20293</t>
  </si>
  <si>
    <t>4115</t>
  </si>
  <si>
    <t>13192</t>
  </si>
  <si>
    <t>1212</t>
  </si>
  <si>
    <t>4327</t>
  </si>
  <si>
    <t>25440</t>
  </si>
  <si>
    <t>1421</t>
  </si>
  <si>
    <t>1215</t>
  </si>
  <si>
    <t>17856</t>
  </si>
  <si>
    <t>9490</t>
  </si>
  <si>
    <t>3196</t>
  </si>
  <si>
    <t>12449</t>
  </si>
  <si>
    <t>19081</t>
  </si>
  <si>
    <t>10849</t>
  </si>
  <si>
    <t>1361</t>
  </si>
  <si>
    <t>8966</t>
  </si>
  <si>
    <t>21026</t>
  </si>
  <si>
    <t>2210</t>
  </si>
  <si>
    <t>3372</t>
  </si>
  <si>
    <t>4539</t>
  </si>
  <si>
    <t>4905</t>
  </si>
  <si>
    <t>917</t>
  </si>
  <si>
    <t>1221</t>
  </si>
  <si>
    <t>6865</t>
  </si>
  <si>
    <t>1224</t>
  </si>
  <si>
    <t>3491</t>
  </si>
  <si>
    <t>11309</t>
  </si>
  <si>
    <t>4541</t>
  </si>
  <si>
    <t>1226</t>
  </si>
  <si>
    <t>2678</t>
  </si>
  <si>
    <t>5050</t>
  </si>
  <si>
    <t>1228</t>
  </si>
  <si>
    <t>7379</t>
  </si>
  <si>
    <t>17433</t>
  </si>
  <si>
    <t>12858</t>
  </si>
  <si>
    <t>696</t>
  </si>
  <si>
    <t>1233</t>
  </si>
  <si>
    <t>5220</t>
  </si>
  <si>
    <t>10893</t>
  </si>
  <si>
    <t>7331</t>
  </si>
  <si>
    <t>1235</t>
  </si>
  <si>
    <t>4998</t>
  </si>
  <si>
    <t>2338</t>
  </si>
  <si>
    <t>1237</t>
  </si>
  <si>
    <t>10252</t>
  </si>
  <si>
    <t>4235</t>
  </si>
  <si>
    <t>1238</t>
  </si>
  <si>
    <t>2781</t>
  </si>
  <si>
    <t>6311</t>
  </si>
  <si>
    <t>1239</t>
  </si>
  <si>
    <t>6852</t>
  </si>
  <si>
    <t>11591</t>
  </si>
  <si>
    <t>4950</t>
  </si>
  <si>
    <t>20623</t>
  </si>
  <si>
    <t>1465</t>
  </si>
  <si>
    <t>1241</t>
  </si>
  <si>
    <t>3579</t>
  </si>
  <si>
    <t>9369</t>
  </si>
  <si>
    <t>13191</t>
  </si>
  <si>
    <t>23281</t>
  </si>
  <si>
    <t>10377</t>
  </si>
  <si>
    <t>13755</t>
  </si>
  <si>
    <t>1244</t>
  </si>
  <si>
    <t>2235</t>
  </si>
  <si>
    <t>14377</t>
  </si>
  <si>
    <t>10502</t>
  </si>
  <si>
    <t>9659</t>
  </si>
  <si>
    <t>2011</t>
  </si>
  <si>
    <t>19982</t>
  </si>
  <si>
    <t>1248</t>
  </si>
  <si>
    <t>1859</t>
  </si>
  <si>
    <t>6148</t>
  </si>
  <si>
    <t>3760</t>
  </si>
  <si>
    <t>5598</t>
  </si>
  <si>
    <t>1250</t>
  </si>
  <si>
    <t>17779</t>
  </si>
  <si>
    <t>23474</t>
  </si>
  <si>
    <t>1251</t>
  </si>
  <si>
    <t>6833</t>
  </si>
  <si>
    <t>17089</t>
  </si>
  <si>
    <t>17198</t>
  </si>
  <si>
    <t>326</t>
  </si>
  <si>
    <t>1254</t>
  </si>
  <si>
    <t>5171</t>
  </si>
  <si>
    <t>16490</t>
  </si>
  <si>
    <t>1255</t>
  </si>
  <si>
    <t>19740</t>
  </si>
  <si>
    <t>18625</t>
  </si>
  <si>
    <t>18711</t>
  </si>
  <si>
    <t>12124</t>
  </si>
  <si>
    <t>1257</t>
  </si>
  <si>
    <t>3692</t>
  </si>
  <si>
    <t>9256</t>
  </si>
  <si>
    <t>16620</t>
  </si>
  <si>
    <t>1259</t>
  </si>
  <si>
    <t>2517</t>
  </si>
  <si>
    <t>3208</t>
  </si>
  <si>
    <t>1260</t>
  </si>
  <si>
    <t>6623</t>
  </si>
  <si>
    <t>4204</t>
  </si>
  <si>
    <t>1263</t>
  </si>
  <si>
    <t>18265</t>
  </si>
  <si>
    <t>8733</t>
  </si>
  <si>
    <t>694</t>
  </si>
  <si>
    <t>1264</t>
  </si>
  <si>
    <t>16124</t>
  </si>
  <si>
    <t>3423</t>
  </si>
  <si>
    <t>1320</t>
  </si>
  <si>
    <t>2585</t>
  </si>
  <si>
    <t>21643</t>
  </si>
  <si>
    <t>1267</t>
  </si>
  <si>
    <t>18213</t>
  </si>
  <si>
    <t>8751</t>
  </si>
  <si>
    <t>8380</t>
  </si>
  <si>
    <t>21708</t>
  </si>
  <si>
    <t>2994</t>
  </si>
  <si>
    <t>21221</t>
  </si>
  <si>
    <t>1270</t>
  </si>
  <si>
    <t>16901</t>
  </si>
  <si>
    <t>8040</t>
  </si>
  <si>
    <t>2875</t>
  </si>
  <si>
    <t>9973</t>
  </si>
  <si>
    <t>18824</t>
  </si>
  <si>
    <t>2493</t>
  </si>
  <si>
    <t>13577</t>
  </si>
  <si>
    <t>25592</t>
  </si>
  <si>
    <t>251</t>
  </si>
  <si>
    <t>1279</t>
  </si>
  <si>
    <t>2625</t>
  </si>
  <si>
    <t>25308</t>
  </si>
  <si>
    <t>18789</t>
  </si>
  <si>
    <t>9946</t>
  </si>
  <si>
    <t>4538</t>
  </si>
  <si>
    <t>6039</t>
  </si>
  <si>
    <t>237</t>
  </si>
  <si>
    <t>19847</t>
  </si>
  <si>
    <t>19196</t>
  </si>
  <si>
    <t>1429</t>
  </si>
  <si>
    <t>10512</t>
  </si>
  <si>
    <t>20002</t>
  </si>
  <si>
    <t>1285</t>
  </si>
  <si>
    <t>4444</t>
  </si>
  <si>
    <t>22534</t>
  </si>
  <si>
    <t>1286</t>
  </si>
  <si>
    <t>2154</t>
  </si>
  <si>
    <t>6842</t>
  </si>
  <si>
    <t>1288</t>
  </si>
  <si>
    <t>19190</t>
  </si>
  <si>
    <t>17477</t>
  </si>
  <si>
    <t>1289</t>
  </si>
  <si>
    <t>4490</t>
  </si>
  <si>
    <t>21833</t>
  </si>
  <si>
    <t>735</t>
  </si>
  <si>
    <t>1291</t>
  </si>
  <si>
    <t>3506</t>
  </si>
  <si>
    <t>6020</t>
  </si>
  <si>
    <t>1292</t>
  </si>
  <si>
    <t>2372</t>
  </si>
  <si>
    <t>5628</t>
  </si>
  <si>
    <t>1293</t>
  </si>
  <si>
    <t>10231</t>
  </si>
  <si>
    <t>1294</t>
  </si>
  <si>
    <t>5410</t>
  </si>
  <si>
    <t>1295</t>
  </si>
  <si>
    <t>7978</t>
  </si>
  <si>
    <t>14075</t>
  </si>
  <si>
    <t>3867</t>
  </si>
  <si>
    <t>14222</t>
  </si>
  <si>
    <t>968</t>
  </si>
  <si>
    <t>1297</t>
  </si>
  <si>
    <t>2838</t>
  </si>
  <si>
    <t>1298</t>
  </si>
  <si>
    <t>4695</t>
  </si>
  <si>
    <t>17285</t>
  </si>
  <si>
    <t>640</t>
  </si>
  <si>
    <t>1301</t>
  </si>
  <si>
    <t>2080</t>
  </si>
  <si>
    <t>4732</t>
  </si>
  <si>
    <t>18830</t>
  </si>
  <si>
    <t>1304</t>
  </si>
  <si>
    <t>6209</t>
  </si>
  <si>
    <t>11693</t>
  </si>
  <si>
    <t>18061</t>
  </si>
  <si>
    <t>13035</t>
  </si>
  <si>
    <t>1307</t>
  </si>
  <si>
    <t>17123</t>
  </si>
  <si>
    <t>17334</t>
  </si>
  <si>
    <t>26076</t>
  </si>
  <si>
    <t>4883</t>
  </si>
  <si>
    <t>22845</t>
  </si>
  <si>
    <t>360</t>
  </si>
  <si>
    <t>1310</t>
  </si>
  <si>
    <t>3904</t>
  </si>
  <si>
    <t>22154</t>
  </si>
  <si>
    <t>4627</t>
  </si>
  <si>
    <t>23631</t>
  </si>
  <si>
    <t>7094</t>
  </si>
  <si>
    <t>5747</t>
  </si>
  <si>
    <t>1314</t>
  </si>
  <si>
    <t>22957</t>
  </si>
  <si>
    <t>6674</t>
  </si>
  <si>
    <t>16392</t>
  </si>
  <si>
    <t>1322</t>
  </si>
  <si>
    <t>1317</t>
  </si>
  <si>
    <t>16880</t>
  </si>
  <si>
    <t>22422</t>
  </si>
  <si>
    <t>9094</t>
  </si>
  <si>
    <t>17235</t>
  </si>
  <si>
    <t>8446</t>
  </si>
  <si>
    <t>21534</t>
  </si>
  <si>
    <t>1321</t>
  </si>
  <si>
    <t>11916</t>
  </si>
  <si>
    <t>25927</t>
  </si>
  <si>
    <t>4534</t>
  </si>
  <si>
    <t>13352</t>
  </si>
  <si>
    <t>9852</t>
  </si>
  <si>
    <t>8935</t>
  </si>
  <si>
    <t>6151</t>
  </si>
  <si>
    <t>22074</t>
  </si>
  <si>
    <t>1331</t>
  </si>
  <si>
    <t>8319</t>
  </si>
  <si>
    <t>935</t>
  </si>
  <si>
    <t>2362</t>
  </si>
  <si>
    <t>14669</t>
  </si>
  <si>
    <t>26582</t>
  </si>
  <si>
    <t>1336</t>
  </si>
  <si>
    <t>19187</t>
  </si>
  <si>
    <t>6992</t>
  </si>
  <si>
    <t>1338</t>
  </si>
  <si>
    <t>19717</t>
  </si>
  <si>
    <t>4022</t>
  </si>
  <si>
    <t>1340</t>
  </si>
  <si>
    <t>3544</t>
  </si>
  <si>
    <t>8532</t>
  </si>
  <si>
    <t>943</t>
  </si>
  <si>
    <t>8500</t>
  </si>
  <si>
    <t>5494</t>
  </si>
  <si>
    <t>4661</t>
  </si>
  <si>
    <t>22455</t>
  </si>
  <si>
    <t>4103</t>
  </si>
  <si>
    <t>4297</t>
  </si>
  <si>
    <t>1350</t>
  </si>
  <si>
    <t>4249</t>
  </si>
  <si>
    <t>2690</t>
  </si>
  <si>
    <t>1352</t>
  </si>
  <si>
    <t>14026</t>
  </si>
  <si>
    <t>17588</t>
  </si>
  <si>
    <t>6893</t>
  </si>
  <si>
    <t>19461</t>
  </si>
  <si>
    <t>6125</t>
  </si>
  <si>
    <t>23553</t>
  </si>
  <si>
    <t>3669</t>
  </si>
  <si>
    <t>9075</t>
  </si>
  <si>
    <t>10008</t>
  </si>
  <si>
    <t>12023</t>
  </si>
  <si>
    <t>2387</t>
  </si>
  <si>
    <t>6762</t>
  </si>
  <si>
    <t>4639</t>
  </si>
  <si>
    <t>2261</t>
  </si>
  <si>
    <t>1363</t>
  </si>
  <si>
    <t>7898</t>
  </si>
  <si>
    <t>18706</t>
  </si>
  <si>
    <t>1364</t>
  </si>
  <si>
    <t>2534</t>
  </si>
  <si>
    <t>6527</t>
  </si>
  <si>
    <t>1405</t>
  </si>
  <si>
    <t>1367</t>
  </si>
  <si>
    <t>13142</t>
  </si>
  <si>
    <t>24439</t>
  </si>
  <si>
    <t>1611</t>
  </si>
  <si>
    <t>19305</t>
  </si>
  <si>
    <t>1369</t>
  </si>
  <si>
    <t>5363</t>
  </si>
  <si>
    <t>10846</t>
  </si>
  <si>
    <t>5071</t>
  </si>
  <si>
    <t>20392</t>
  </si>
  <si>
    <t>13695</t>
  </si>
  <si>
    <t>9277</t>
  </si>
  <si>
    <t>13402</t>
  </si>
  <si>
    <t>18235</t>
  </si>
  <si>
    <t>1374</t>
  </si>
  <si>
    <t>2029</t>
  </si>
  <si>
    <t>15891</t>
  </si>
  <si>
    <t>1375</t>
  </si>
  <si>
    <t>6377</t>
  </si>
  <si>
    <t>13888</t>
  </si>
  <si>
    <t>285</t>
  </si>
  <si>
    <t>5429</t>
  </si>
  <si>
    <t>17491</t>
  </si>
  <si>
    <t>2785</t>
  </si>
  <si>
    <t>11882</t>
  </si>
  <si>
    <t>4614</t>
  </si>
  <si>
    <t>23288</t>
  </si>
  <si>
    <t>1382</t>
  </si>
  <si>
    <t>15748</t>
  </si>
  <si>
    <t>6687</t>
  </si>
  <si>
    <t>6163</t>
  </si>
  <si>
    <t>736</t>
  </si>
  <si>
    <t>1387</t>
  </si>
  <si>
    <t>4724</t>
  </si>
  <si>
    <t>24232</t>
  </si>
  <si>
    <t>21057</t>
  </si>
  <si>
    <t>1498</t>
  </si>
  <si>
    <t>1390</t>
  </si>
  <si>
    <t>6120</t>
  </si>
  <si>
    <t>3567</t>
  </si>
  <si>
    <t>10596</t>
  </si>
  <si>
    <t>15395</t>
  </si>
  <si>
    <t>5467</t>
  </si>
  <si>
    <t>13953</t>
  </si>
  <si>
    <t>1439</t>
  </si>
  <si>
    <t>1394</t>
  </si>
  <si>
    <t>2996</t>
  </si>
  <si>
    <t>5182</t>
  </si>
  <si>
    <t>9998</t>
  </si>
  <si>
    <t>19293</t>
  </si>
  <si>
    <t>4078</t>
  </si>
  <si>
    <t>20497</t>
  </si>
  <si>
    <t>10920</t>
  </si>
  <si>
    <t>3449</t>
  </si>
  <si>
    <t>1399</t>
  </si>
  <si>
    <t>6232</t>
  </si>
  <si>
    <t>12477</t>
  </si>
  <si>
    <t>13247</t>
  </si>
  <si>
    <t>9731</t>
  </si>
  <si>
    <t>4081</t>
  </si>
  <si>
    <t>20003</t>
  </si>
  <si>
    <t>5769</t>
  </si>
  <si>
    <t>7100</t>
  </si>
  <si>
    <t>2394</t>
  </si>
  <si>
    <t>25681</t>
  </si>
  <si>
    <t>1407</t>
  </si>
  <si>
    <t>4050</t>
  </si>
  <si>
    <t>1408</t>
  </si>
  <si>
    <t>16799</t>
  </si>
  <si>
    <t>16616</t>
  </si>
  <si>
    <t>1409</t>
  </si>
  <si>
    <t>2950</t>
  </si>
  <si>
    <t>17363</t>
  </si>
  <si>
    <t>1462</t>
  </si>
  <si>
    <t>3629</t>
  </si>
  <si>
    <t>19106</t>
  </si>
  <si>
    <t>1412</t>
  </si>
  <si>
    <t>9362</t>
  </si>
  <si>
    <t>19944</t>
  </si>
  <si>
    <t>1415</t>
  </si>
  <si>
    <t>3229</t>
  </si>
  <si>
    <t>4910</t>
  </si>
  <si>
    <t>1417</t>
  </si>
  <si>
    <t>3578</t>
  </si>
  <si>
    <t>23577</t>
  </si>
  <si>
    <t>1419</t>
  </si>
  <si>
    <t>7988</t>
  </si>
  <si>
    <t>9769</t>
  </si>
  <si>
    <t>1475</t>
  </si>
  <si>
    <t>22710</t>
  </si>
  <si>
    <t>7553</t>
  </si>
  <si>
    <t>22930</t>
  </si>
  <si>
    <t>971</t>
  </si>
  <si>
    <t>1422</t>
  </si>
  <si>
    <t>5652</t>
  </si>
  <si>
    <t>1423</t>
  </si>
  <si>
    <t>19701</t>
  </si>
  <si>
    <t>22456</t>
  </si>
  <si>
    <t>1424</t>
  </si>
  <si>
    <t>14732</t>
  </si>
  <si>
    <t>12414</t>
  </si>
  <si>
    <t>1174</t>
  </si>
  <si>
    <t>20763</t>
  </si>
  <si>
    <t>1359</t>
  </si>
  <si>
    <t>1428</t>
  </si>
  <si>
    <t>12761</t>
  </si>
  <si>
    <t>1430</t>
  </si>
  <si>
    <t>16422</t>
  </si>
  <si>
    <t>1433</t>
  </si>
  <si>
    <t>22262</t>
  </si>
  <si>
    <t>2099</t>
  </si>
  <si>
    <t>7679</t>
  </si>
  <si>
    <t>172</t>
  </si>
  <si>
    <t>5810</t>
  </si>
  <si>
    <t>22604</t>
  </si>
  <si>
    <t>5647</t>
  </si>
  <si>
    <t>13494</t>
  </si>
  <si>
    <t>1438</t>
  </si>
  <si>
    <t>3420</t>
  </si>
  <si>
    <t>10205</t>
  </si>
  <si>
    <t>383</t>
  </si>
  <si>
    <t>4400</t>
  </si>
  <si>
    <t>15182</t>
  </si>
  <si>
    <t>1440</t>
  </si>
  <si>
    <t>3500</t>
  </si>
  <si>
    <t>25470</t>
  </si>
  <si>
    <t>2066</t>
  </si>
  <si>
    <t>10494</t>
  </si>
  <si>
    <t>17169</t>
  </si>
  <si>
    <t>26703</t>
  </si>
  <si>
    <t>1445</t>
  </si>
  <si>
    <t>4162</t>
  </si>
  <si>
    <t>15211</t>
  </si>
  <si>
    <t>1446</t>
  </si>
  <si>
    <t>9204</t>
  </si>
  <si>
    <t>23343</t>
  </si>
  <si>
    <t>1447</t>
  </si>
  <si>
    <t>3975</t>
  </si>
  <si>
    <t>23099</t>
  </si>
  <si>
    <t>1453</t>
  </si>
  <si>
    <t>10793</t>
  </si>
  <si>
    <t>8386</t>
  </si>
  <si>
    <t>1458</t>
  </si>
  <si>
    <t>3646</t>
  </si>
  <si>
    <t>7446</t>
  </si>
  <si>
    <t>8931</t>
  </si>
  <si>
    <t>1460</t>
  </si>
  <si>
    <t>10851</t>
  </si>
  <si>
    <t>19863</t>
  </si>
  <si>
    <t>1461</t>
  </si>
  <si>
    <t>2109</t>
  </si>
  <si>
    <t>24609</t>
  </si>
  <si>
    <t>3722</t>
  </si>
  <si>
    <t>21081</t>
  </si>
  <si>
    <t>9380</t>
  </si>
  <si>
    <t>14720</t>
  </si>
  <si>
    <t>1466</t>
  </si>
  <si>
    <t>5486</t>
  </si>
  <si>
    <t>24795</t>
  </si>
  <si>
    <t>2742</t>
  </si>
  <si>
    <t>1468</t>
  </si>
  <si>
    <t>13757</t>
  </si>
  <si>
    <t>25178</t>
  </si>
  <si>
    <t>866</t>
  </si>
  <si>
    <t>8463</t>
  </si>
  <si>
    <t>23490</t>
  </si>
  <si>
    <t>1471</t>
  </si>
  <si>
    <t>7973</t>
  </si>
  <si>
    <t>1472</t>
  </si>
  <si>
    <t>16598</t>
  </si>
  <si>
    <t>19764</t>
  </si>
  <si>
    <t>6651</t>
  </si>
  <si>
    <t>2345</t>
  </si>
  <si>
    <t>8045</t>
  </si>
  <si>
    <t>21158</t>
  </si>
  <si>
    <t>1477</t>
  </si>
  <si>
    <t>4373</t>
  </si>
  <si>
    <t>17456</t>
  </si>
  <si>
    <t>1326</t>
  </si>
  <si>
    <t>1478</t>
  </si>
  <si>
    <t>5301</t>
  </si>
  <si>
    <t>2939</t>
  </si>
  <si>
    <t>748</t>
  </si>
  <si>
    <t>3673</t>
  </si>
  <si>
    <t>16458</t>
  </si>
  <si>
    <t>1481</t>
  </si>
  <si>
    <t>4768</t>
  </si>
  <si>
    <t>9282</t>
  </si>
  <si>
    <t>7152</t>
  </si>
  <si>
    <t>4900</t>
  </si>
  <si>
    <t>2721</t>
  </si>
  <si>
    <t>1484</t>
  </si>
  <si>
    <t>10466</t>
  </si>
  <si>
    <t>20948</t>
  </si>
  <si>
    <t>17007</t>
  </si>
  <si>
    <t>11929</t>
  </si>
  <si>
    <t>1486</t>
  </si>
  <si>
    <t>15747</t>
  </si>
  <si>
    <t>115</t>
  </si>
  <si>
    <t>1487</t>
  </si>
  <si>
    <t>5765</t>
  </si>
  <si>
    <t>17485</t>
  </si>
  <si>
    <t>790</t>
  </si>
  <si>
    <t>1489</t>
  </si>
  <si>
    <t>4599</t>
  </si>
  <si>
    <t>7815</t>
  </si>
  <si>
    <t>16192</t>
  </si>
  <si>
    <t>1494</t>
  </si>
  <si>
    <t>3172</t>
  </si>
  <si>
    <t>16998</t>
  </si>
  <si>
    <t>7103</t>
  </si>
  <si>
    <t>10209</t>
  </si>
  <si>
    <t>19719</t>
  </si>
  <si>
    <t>1497</t>
  </si>
  <si>
    <t>8620</t>
  </si>
  <si>
    <t>23757</t>
  </si>
  <si>
    <t>2064</t>
  </si>
  <si>
    <t>15428</t>
  </si>
  <si>
    <t>1501</t>
  </si>
  <si>
    <t>4035</t>
  </si>
  <si>
    <t>16143</t>
  </si>
  <si>
    <t>1502</t>
  </si>
  <si>
    <t>3838</t>
  </si>
  <si>
    <t>8192</t>
  </si>
  <si>
    <t>1503</t>
  </si>
  <si>
    <t>4591</t>
  </si>
  <si>
    <t>24200</t>
  </si>
  <si>
    <t>1504</t>
  </si>
  <si>
    <t>1506</t>
  </si>
  <si>
    <t>1563</t>
  </si>
  <si>
    <t>12530</t>
  </si>
  <si>
    <t>1507</t>
  </si>
  <si>
    <t>11827</t>
  </si>
  <si>
    <t>1509</t>
  </si>
  <si>
    <t>4789</t>
  </si>
  <si>
    <t>23070</t>
  </si>
  <si>
    <t>1513</t>
  </si>
  <si>
    <t>3180</t>
  </si>
  <si>
    <t>1514</t>
  </si>
  <si>
    <t>6549</t>
  </si>
  <si>
    <t>3173</t>
  </si>
  <si>
    <t>1515</t>
  </si>
  <si>
    <t>6388</t>
  </si>
  <si>
    <t>22049</t>
  </si>
  <si>
    <t>1516</t>
  </si>
  <si>
    <t>11244</t>
  </si>
  <si>
    <t>21072</t>
  </si>
  <si>
    <t>1520</t>
  </si>
  <si>
    <t>16032</t>
  </si>
  <si>
    <t>24456</t>
  </si>
  <si>
    <t>1522</t>
  </si>
  <si>
    <t>7568</t>
  </si>
  <si>
    <t>136</t>
  </si>
  <si>
    <t>1523</t>
  </si>
  <si>
    <t>16328</t>
  </si>
  <si>
    <t>1525</t>
  </si>
  <si>
    <t>8376</t>
  </si>
  <si>
    <t>1527</t>
  </si>
  <si>
    <t>16606</t>
  </si>
  <si>
    <t>11380</t>
  </si>
  <si>
    <t>1529</t>
  </si>
  <si>
    <t>8606</t>
  </si>
  <si>
    <t>21195</t>
  </si>
  <si>
    <t>1533</t>
  </si>
  <si>
    <t>2272</t>
  </si>
  <si>
    <t>24812</t>
  </si>
  <si>
    <t>1534</t>
  </si>
  <si>
    <t>2018</t>
  </si>
  <si>
    <t>21831</t>
  </si>
  <si>
    <t>1535</t>
  </si>
  <si>
    <t>7083</t>
  </si>
  <si>
    <t>12288</t>
  </si>
  <si>
    <t>1537</t>
  </si>
  <si>
    <t>4084</t>
  </si>
  <si>
    <t>1539</t>
  </si>
  <si>
    <t>14411</t>
  </si>
  <si>
    <t>24450</t>
  </si>
  <si>
    <t>1541</t>
  </si>
  <si>
    <t>2308</t>
  </si>
  <si>
    <t>4944</t>
  </si>
  <si>
    <t>1542</t>
  </si>
  <si>
    <t>4841</t>
  </si>
  <si>
    <t>24052</t>
  </si>
  <si>
    <t>674</t>
  </si>
  <si>
    <t>1543</t>
  </si>
  <si>
    <t>4285</t>
  </si>
  <si>
    <t>3031</t>
  </si>
  <si>
    <t>1544</t>
  </si>
  <si>
    <t>9715</t>
  </si>
  <si>
    <t>7288</t>
  </si>
  <si>
    <t>1545</t>
  </si>
  <si>
    <t>4320</t>
  </si>
  <si>
    <t>24152</t>
  </si>
  <si>
    <t>1546</t>
  </si>
  <si>
    <t>4585</t>
  </si>
  <si>
    <t>1547</t>
  </si>
  <si>
    <t>10124</t>
  </si>
  <si>
    <t>18611</t>
  </si>
  <si>
    <t>1342</t>
  </si>
  <si>
    <t>1548</t>
  </si>
  <si>
    <t>19345</t>
  </si>
  <si>
    <t>1549</t>
  </si>
  <si>
    <t>22949</t>
  </si>
  <si>
    <t>898</t>
  </si>
  <si>
    <t>1550</t>
  </si>
  <si>
    <t>16437</t>
  </si>
  <si>
    <t>17381</t>
  </si>
  <si>
    <t>1551</t>
  </si>
  <si>
    <t>2296</t>
  </si>
  <si>
    <t>10036</t>
  </si>
  <si>
    <t>1552</t>
  </si>
  <si>
    <t>4069</t>
  </si>
  <si>
    <t>8841</t>
  </si>
  <si>
    <t>1553</t>
  </si>
  <si>
    <t>7441</t>
  </si>
  <si>
    <t>20933</t>
  </si>
  <si>
    <t>1554</t>
  </si>
  <si>
    <t>2430</t>
  </si>
  <si>
    <t>26204</t>
  </si>
  <si>
    <t>1555</t>
  </si>
  <si>
    <t>5878</t>
  </si>
  <si>
    <t>15624</t>
  </si>
  <si>
    <t>1556</t>
  </si>
  <si>
    <t>2644</t>
  </si>
  <si>
    <t>1557</t>
  </si>
  <si>
    <t>6439</t>
  </si>
  <si>
    <t>13693</t>
  </si>
  <si>
    <t>598</t>
  </si>
  <si>
    <t>1558</t>
  </si>
  <si>
    <t>22376</t>
  </si>
  <si>
    <t>1560</t>
  </si>
  <si>
    <t>6392</t>
  </si>
  <si>
    <t>10589</t>
  </si>
  <si>
    <t>740</t>
  </si>
  <si>
    <t>1562</t>
  </si>
  <si>
    <t>9714</t>
  </si>
  <si>
    <t>5323</t>
  </si>
  <si>
    <t>6077</t>
  </si>
  <si>
    <t>1564</t>
  </si>
  <si>
    <t>21731</t>
  </si>
  <si>
    <t>1568</t>
  </si>
  <si>
    <t>17799</t>
  </si>
  <si>
    <t>1569</t>
  </si>
  <si>
    <t>2074</t>
  </si>
  <si>
    <t>26619</t>
  </si>
  <si>
    <t>1572</t>
  </si>
  <si>
    <t>10169</t>
  </si>
  <si>
    <t>14618</t>
  </si>
  <si>
    <t>1573</t>
  </si>
  <si>
    <t>4855</t>
  </si>
  <si>
    <t>7653</t>
  </si>
  <si>
    <t>1574</t>
  </si>
  <si>
    <t>4087</t>
  </si>
  <si>
    <t>25174</t>
  </si>
  <si>
    <t>1576</t>
  </si>
  <si>
    <t>2367</t>
  </si>
  <si>
    <t>16530</t>
  </si>
  <si>
    <t>1577</t>
  </si>
  <si>
    <t>2972</t>
  </si>
  <si>
    <t>22061</t>
  </si>
  <si>
    <t>1578</t>
  </si>
  <si>
    <t>19586</t>
  </si>
  <si>
    <t>23037</t>
  </si>
  <si>
    <t>1351</t>
  </si>
  <si>
    <t>1580</t>
  </si>
  <si>
    <t>1581</t>
  </si>
  <si>
    <t>2061</t>
  </si>
  <si>
    <t>11133</t>
  </si>
  <si>
    <t>1582</t>
  </si>
  <si>
    <t>9924</t>
  </si>
  <si>
    <t>1583</t>
  </si>
  <si>
    <t>4198</t>
  </si>
  <si>
    <t>16379</t>
  </si>
  <si>
    <t>884</t>
  </si>
  <si>
    <t>1585</t>
  </si>
  <si>
    <t>6815</t>
  </si>
  <si>
    <t>21447</t>
  </si>
  <si>
    <t>1370</t>
  </si>
  <si>
    <t>1586</t>
  </si>
  <si>
    <t>4723</t>
  </si>
  <si>
    <t>16213</t>
  </si>
  <si>
    <t>1587</t>
  </si>
  <si>
    <t>1588</t>
  </si>
  <si>
    <t>8237</t>
  </si>
  <si>
    <t>1590</t>
  </si>
  <si>
    <t>8853</t>
  </si>
  <si>
    <t>24483</t>
  </si>
  <si>
    <t>1591</t>
  </si>
  <si>
    <t>19331</t>
  </si>
  <si>
    <t>19519</t>
  </si>
  <si>
    <t>1592</t>
  </si>
  <si>
    <t>12826</t>
  </si>
  <si>
    <t>1594</t>
  </si>
  <si>
    <t>19711</t>
  </si>
  <si>
    <t>1059</t>
  </si>
  <si>
    <t>1595</t>
  </si>
  <si>
    <t>19613</t>
  </si>
  <si>
    <t>26362</t>
  </si>
  <si>
    <t>1596</t>
  </si>
  <si>
    <t>25348</t>
  </si>
  <si>
    <t>1597</t>
  </si>
  <si>
    <t>5063</t>
  </si>
  <si>
    <t>15332</t>
  </si>
  <si>
    <t>1598</t>
  </si>
  <si>
    <t>11262</t>
  </si>
  <si>
    <t>1599</t>
  </si>
  <si>
    <t>7713</t>
  </si>
  <si>
    <t>563</t>
  </si>
  <si>
    <t>1602</t>
  </si>
  <si>
    <t>17567</t>
  </si>
  <si>
    <t>3156</t>
  </si>
  <si>
    <t>1604</t>
  </si>
  <si>
    <t>2408</t>
  </si>
  <si>
    <t>457</t>
  </si>
  <si>
    <t>1605</t>
  </si>
  <si>
    <t>2814</t>
  </si>
  <si>
    <t>10293</t>
  </si>
  <si>
    <t>1606</t>
  </si>
  <si>
    <t>11245</t>
  </si>
  <si>
    <t>20689</t>
  </si>
  <si>
    <t>1607</t>
  </si>
  <si>
    <t>3312</t>
  </si>
  <si>
    <t>18783</t>
  </si>
  <si>
    <t>1313</t>
  </si>
  <si>
    <t>1608</t>
  </si>
  <si>
    <t>19049</t>
  </si>
  <si>
    <t>3549</t>
  </si>
  <si>
    <t>1609</t>
  </si>
  <si>
    <t>2141</t>
  </si>
  <si>
    <t>5348</t>
  </si>
  <si>
    <t>23447</t>
  </si>
  <si>
    <t>1612</t>
  </si>
  <si>
    <t>4385</t>
  </si>
  <si>
    <t>24162</t>
  </si>
  <si>
    <t>1613</t>
  </si>
  <si>
    <t>5332</t>
  </si>
  <si>
    <t>21602</t>
  </si>
  <si>
    <t>1614</t>
  </si>
  <si>
    <t>4663</t>
  </si>
  <si>
    <t>12421</t>
  </si>
  <si>
    <t>1615</t>
  </si>
  <si>
    <t>17000</t>
  </si>
  <si>
    <t>1617</t>
  </si>
  <si>
    <t>3211</t>
  </si>
  <si>
    <t>1618</t>
  </si>
  <si>
    <t>5377</t>
  </si>
  <si>
    <t>3835</t>
  </si>
  <si>
    <t>1619</t>
  </si>
  <si>
    <t>4066</t>
  </si>
  <si>
    <t>16290</t>
  </si>
  <si>
    <t>1621</t>
  </si>
  <si>
    <t>5208</t>
  </si>
  <si>
    <t>26312</t>
  </si>
  <si>
    <t>1622</t>
  </si>
  <si>
    <t>4877</t>
  </si>
  <si>
    <t>20460</t>
  </si>
  <si>
    <t>1623</t>
  </si>
  <si>
    <t>3117</t>
  </si>
  <si>
    <t>26009</t>
  </si>
  <si>
    <t>1624</t>
  </si>
  <si>
    <t>18420</t>
  </si>
  <si>
    <t>1625</t>
  </si>
  <si>
    <t>1627</t>
  </si>
  <si>
    <t>3069</t>
  </si>
  <si>
    <t>10302</t>
  </si>
  <si>
    <t>1628</t>
  </si>
  <si>
    <t>10435</t>
  </si>
  <si>
    <t>25800</t>
  </si>
  <si>
    <t>1630</t>
  </si>
  <si>
    <t>12250</t>
  </si>
  <si>
    <t>1631</t>
  </si>
  <si>
    <t>5768</t>
  </si>
  <si>
    <t>26493</t>
  </si>
  <si>
    <t>711</t>
  </si>
  <si>
    <t>1633</t>
  </si>
  <si>
    <t>5042</t>
  </si>
  <si>
    <t>1635</t>
  </si>
  <si>
    <t>5770</t>
  </si>
  <si>
    <t>5388</t>
  </si>
  <si>
    <t>1638</t>
  </si>
  <si>
    <t>14199</t>
  </si>
  <si>
    <t>737</t>
  </si>
  <si>
    <t>1639</t>
  </si>
  <si>
    <t>10306</t>
  </si>
  <si>
    <t>21530</t>
  </si>
  <si>
    <t>1470</t>
  </si>
  <si>
    <t>1640</t>
  </si>
  <si>
    <t>3936</t>
  </si>
  <si>
    <t>9953</t>
  </si>
  <si>
    <t>1641</t>
  </si>
  <si>
    <t>7945</t>
  </si>
  <si>
    <t>19948</t>
  </si>
  <si>
    <t>1642</t>
  </si>
  <si>
    <t>5743</t>
  </si>
  <si>
    <t>10503</t>
  </si>
  <si>
    <t>365</t>
  </si>
  <si>
    <t>1644</t>
  </si>
  <si>
    <t>15202</t>
  </si>
  <si>
    <t>5602</t>
  </si>
  <si>
    <t>1645</t>
  </si>
  <si>
    <t>5440</t>
  </si>
  <si>
    <t>22098</t>
  </si>
  <si>
    <t>1646</t>
  </si>
  <si>
    <t>17218</t>
  </si>
  <si>
    <t>1647</t>
  </si>
  <si>
    <t>3517</t>
  </si>
  <si>
    <t>22490</t>
  </si>
  <si>
    <t>1648</t>
  </si>
  <si>
    <t>2580</t>
  </si>
  <si>
    <t>6297</t>
  </si>
  <si>
    <t>1649</t>
  </si>
  <si>
    <t>2166</t>
  </si>
  <si>
    <t>1650</t>
  </si>
  <si>
    <t>23413</t>
  </si>
  <si>
    <t>1651</t>
  </si>
  <si>
    <t>8008</t>
  </si>
  <si>
    <t>22792</t>
  </si>
  <si>
    <t>1653</t>
  </si>
  <si>
    <t>5206</t>
  </si>
  <si>
    <t>4973</t>
  </si>
  <si>
    <t>1654</t>
  </si>
  <si>
    <t>5295</t>
  </si>
  <si>
    <t>7693</t>
  </si>
  <si>
    <t>301</t>
  </si>
  <si>
    <t>1655</t>
  </si>
  <si>
    <t>16413</t>
  </si>
  <si>
    <t>3498</t>
  </si>
  <si>
    <t>1656</t>
  </si>
  <si>
    <t>13269</t>
  </si>
  <si>
    <t>1657</t>
  </si>
  <si>
    <t>2783</t>
  </si>
  <si>
    <t>13251</t>
  </si>
  <si>
    <t>1658</t>
  </si>
  <si>
    <t>5433</t>
  </si>
  <si>
    <t>19332</t>
  </si>
  <si>
    <t>1659</t>
  </si>
  <si>
    <t>2013</t>
  </si>
  <si>
    <t>10950</t>
  </si>
  <si>
    <t>1661</t>
  </si>
  <si>
    <t>13966</t>
  </si>
  <si>
    <t>1662</t>
  </si>
  <si>
    <t>4374</t>
  </si>
  <si>
    <t>15411</t>
  </si>
  <si>
    <t>1664</t>
  </si>
  <si>
    <t>26308</t>
  </si>
  <si>
    <t>1665</t>
  </si>
  <si>
    <t>17426</t>
  </si>
  <si>
    <t>18685</t>
  </si>
  <si>
    <t>1666</t>
  </si>
  <si>
    <t>17603</t>
  </si>
  <si>
    <t>3525</t>
  </si>
  <si>
    <t>1667</t>
  </si>
  <si>
    <t>4581</t>
  </si>
  <si>
    <t>10414</t>
  </si>
  <si>
    <t>1668</t>
  </si>
  <si>
    <t>4735</t>
  </si>
  <si>
    <t>9867</t>
  </si>
  <si>
    <t>1669</t>
  </si>
  <si>
    <t>3356</t>
  </si>
  <si>
    <t>1670</t>
  </si>
  <si>
    <t>5505</t>
  </si>
  <si>
    <t>3921</t>
  </si>
  <si>
    <t>1671</t>
  </si>
  <si>
    <t>5470</t>
  </si>
  <si>
    <t>25518</t>
  </si>
  <si>
    <t>1673</t>
  </si>
  <si>
    <t>5476</t>
  </si>
  <si>
    <t>22589</t>
  </si>
  <si>
    <t>1674</t>
  </si>
  <si>
    <t>2587</t>
  </si>
  <si>
    <t>24941</t>
  </si>
  <si>
    <t>2440</t>
  </si>
  <si>
    <t>23826</t>
  </si>
  <si>
    <t>1676</t>
  </si>
  <si>
    <t>21086</t>
  </si>
  <si>
    <t>1677</t>
  </si>
  <si>
    <t>15379</t>
  </si>
  <si>
    <t>22384</t>
  </si>
  <si>
    <t>1678</t>
  </si>
  <si>
    <t>7082</t>
  </si>
  <si>
    <t>1680</t>
  </si>
  <si>
    <t>2728</t>
  </si>
  <si>
    <t>21082</t>
  </si>
  <si>
    <t>1681</t>
  </si>
  <si>
    <t>5368</t>
  </si>
  <si>
    <t>16130</t>
  </si>
  <si>
    <t>1682</t>
  </si>
  <si>
    <t>5347</t>
  </si>
  <si>
    <t>7419</t>
  </si>
  <si>
    <t>1683</t>
  </si>
  <si>
    <t>3195</t>
  </si>
  <si>
    <t>4167</t>
  </si>
  <si>
    <t>1684</t>
  </si>
  <si>
    <t>3989</t>
  </si>
  <si>
    <t>20586</t>
  </si>
  <si>
    <t>1687</t>
  </si>
  <si>
    <t>3306</t>
  </si>
  <si>
    <t>26176</t>
  </si>
  <si>
    <t>1689</t>
  </si>
  <si>
    <t>7005</t>
  </si>
  <si>
    <t>3458</t>
  </si>
  <si>
    <t>708</t>
  </si>
  <si>
    <t>1691</t>
  </si>
  <si>
    <t>2655</t>
  </si>
  <si>
    <t>11740</t>
  </si>
  <si>
    <t>1692</t>
  </si>
  <si>
    <t>1393</t>
  </si>
  <si>
    <t>24852</t>
  </si>
  <si>
    <t>1693</t>
  </si>
  <si>
    <t>2570</t>
  </si>
  <si>
    <t>11925</t>
  </si>
  <si>
    <t>1694</t>
  </si>
  <si>
    <t>3537</t>
  </si>
  <si>
    <t>23737</t>
  </si>
  <si>
    <t>1696</t>
  </si>
  <si>
    <t>3986</t>
  </si>
  <si>
    <t>11912</t>
  </si>
  <si>
    <t>370</t>
  </si>
  <si>
    <t>1697</t>
  </si>
  <si>
    <t>10883</t>
  </si>
  <si>
    <t>20467</t>
  </si>
  <si>
    <t>1698</t>
  </si>
  <si>
    <t>13637</t>
  </si>
  <si>
    <t>1700</t>
  </si>
  <si>
    <t>9525</t>
  </si>
  <si>
    <t>7677</t>
  </si>
  <si>
    <t>678</t>
  </si>
  <si>
    <t>1701</t>
  </si>
  <si>
    <t>2929</t>
  </si>
  <si>
    <t>20338</t>
  </si>
  <si>
    <t>2275</t>
  </si>
  <si>
    <t>25103</t>
  </si>
  <si>
    <t>1703</t>
  </si>
  <si>
    <t>7879</t>
  </si>
  <si>
    <t>14810</t>
  </si>
  <si>
    <t>146</t>
  </si>
  <si>
    <t>1704</t>
  </si>
  <si>
    <t>4930</t>
  </si>
  <si>
    <t>13970</t>
  </si>
  <si>
    <t>7847</t>
  </si>
  <si>
    <t>1707</t>
  </si>
  <si>
    <t>4401</t>
  </si>
  <si>
    <t>17616</t>
  </si>
  <si>
    <t>1708</t>
  </si>
  <si>
    <t>15869</t>
  </si>
  <si>
    <t>1709</t>
  </si>
  <si>
    <t>2974</t>
  </si>
  <si>
    <t>25412</t>
  </si>
  <si>
    <t>1710</t>
  </si>
  <si>
    <t>4502</t>
  </si>
  <si>
    <t>7439</t>
  </si>
  <si>
    <t>1712</t>
  </si>
  <si>
    <t>10748</t>
  </si>
  <si>
    <t>3395</t>
  </si>
  <si>
    <t>1714</t>
  </si>
  <si>
    <t>11585</t>
  </si>
  <si>
    <t>1716</t>
  </si>
  <si>
    <t>12936</t>
  </si>
  <si>
    <t>24164</t>
  </si>
  <si>
    <t>1718</t>
  </si>
  <si>
    <t>2305</t>
  </si>
  <si>
    <t>6217</t>
  </si>
  <si>
    <t>1719</t>
  </si>
  <si>
    <t>16704</t>
  </si>
  <si>
    <t>17119</t>
  </si>
  <si>
    <t>1720</t>
  </si>
  <si>
    <t>3433</t>
  </si>
  <si>
    <t>17360</t>
  </si>
  <si>
    <t>1721</t>
  </si>
  <si>
    <t>3477</t>
  </si>
  <si>
    <t>18103</t>
  </si>
  <si>
    <t>552</t>
  </si>
  <si>
    <t>1722</t>
  </si>
  <si>
    <t>6430</t>
  </si>
  <si>
    <t>20794</t>
  </si>
  <si>
    <t>1724</t>
  </si>
  <si>
    <t>6516</t>
  </si>
  <si>
    <t>5041</t>
  </si>
  <si>
    <t>1725</t>
  </si>
  <si>
    <t>3907</t>
  </si>
  <si>
    <t>1727</t>
  </si>
  <si>
    <t>9697</t>
  </si>
  <si>
    <t>1728</t>
  </si>
  <si>
    <t>6883</t>
  </si>
  <si>
    <t>5151</t>
  </si>
  <si>
    <t>1729</t>
  </si>
  <si>
    <t>2862</t>
  </si>
  <si>
    <t>3811</t>
  </si>
  <si>
    <t>1731</t>
  </si>
  <si>
    <t>4978</t>
  </si>
  <si>
    <t>3536</t>
  </si>
  <si>
    <t>1732</t>
  </si>
  <si>
    <t>10368</t>
  </si>
  <si>
    <t>5596</t>
  </si>
  <si>
    <t>1733</t>
  </si>
  <si>
    <t>6134</t>
  </si>
  <si>
    <t>8658</t>
  </si>
  <si>
    <t>1734</t>
  </si>
  <si>
    <t>6735</t>
  </si>
  <si>
    <t>12147</t>
  </si>
  <si>
    <t>1735</t>
  </si>
  <si>
    <t>3295</t>
  </si>
  <si>
    <t>12862</t>
  </si>
  <si>
    <t>1736</t>
  </si>
  <si>
    <t>1737</t>
  </si>
  <si>
    <t>6472</t>
  </si>
  <si>
    <t>8989</t>
  </si>
  <si>
    <t>1739</t>
  </si>
  <si>
    <t>9610</t>
  </si>
  <si>
    <t>3840</t>
  </si>
  <si>
    <t>1740</t>
  </si>
  <si>
    <t>19833</t>
  </si>
  <si>
    <t>4349</t>
  </si>
  <si>
    <t>1744</t>
  </si>
  <si>
    <t>9756</t>
  </si>
  <si>
    <t>6595</t>
  </si>
  <si>
    <t>1745</t>
  </si>
  <si>
    <t>26427</t>
  </si>
  <si>
    <t>1746</t>
  </si>
  <si>
    <t>2145</t>
  </si>
  <si>
    <t>1747</t>
  </si>
  <si>
    <t>2180</t>
  </si>
  <si>
    <t>9732</t>
  </si>
  <si>
    <t>1749</t>
  </si>
  <si>
    <t>20943</t>
  </si>
  <si>
    <t>1054</t>
  </si>
  <si>
    <t>1751</t>
  </si>
  <si>
    <t>6152</t>
  </si>
  <si>
    <t>1752</t>
  </si>
  <si>
    <t>2760</t>
  </si>
  <si>
    <t>14630</t>
  </si>
  <si>
    <t>1753</t>
  </si>
  <si>
    <t>6294</t>
  </si>
  <si>
    <t>23060</t>
  </si>
  <si>
    <t>1754</t>
  </si>
  <si>
    <t>7140</t>
  </si>
  <si>
    <t>3088</t>
  </si>
  <si>
    <t>181</t>
  </si>
  <si>
    <t>1755</t>
  </si>
  <si>
    <t>2932</t>
  </si>
  <si>
    <t>5586</t>
  </si>
  <si>
    <t>1756</t>
  </si>
  <si>
    <t>5147</t>
  </si>
  <si>
    <t>10697</t>
  </si>
  <si>
    <t>1757</t>
  </si>
  <si>
    <t>4507</t>
  </si>
  <si>
    <t>8191</t>
  </si>
  <si>
    <t>1758</t>
  </si>
  <si>
    <t>8564</t>
  </si>
  <si>
    <t>10092</t>
  </si>
  <si>
    <t>1760</t>
  </si>
  <si>
    <t>2468</t>
  </si>
  <si>
    <t>15963</t>
  </si>
  <si>
    <t>1761</t>
  </si>
  <si>
    <t>8161</t>
  </si>
  <si>
    <t>19002</t>
  </si>
  <si>
    <t>1762</t>
  </si>
  <si>
    <t>10007</t>
  </si>
  <si>
    <t>1763</t>
  </si>
  <si>
    <t>5294</t>
  </si>
  <si>
    <t>9128</t>
  </si>
  <si>
    <t>953</t>
  </si>
  <si>
    <t>1764</t>
  </si>
  <si>
    <t>2718</t>
  </si>
  <si>
    <t>17674</t>
  </si>
  <si>
    <t>1766</t>
  </si>
  <si>
    <t>5811</t>
  </si>
  <si>
    <t>24539</t>
  </si>
  <si>
    <t>1767</t>
  </si>
  <si>
    <t>2437</t>
  </si>
  <si>
    <t>15587</t>
  </si>
  <si>
    <t>1768</t>
  </si>
  <si>
    <t>2766</t>
  </si>
  <si>
    <t>8952</t>
  </si>
  <si>
    <t>1770</t>
  </si>
  <si>
    <t>19038</t>
  </si>
  <si>
    <t>19805</t>
  </si>
  <si>
    <t>1771</t>
  </si>
  <si>
    <t>3055</t>
  </si>
  <si>
    <t>6194</t>
  </si>
  <si>
    <t>1772</t>
  </si>
  <si>
    <t>2289</t>
  </si>
  <si>
    <t>20520</t>
  </si>
  <si>
    <t>1774</t>
  </si>
  <si>
    <t>4001</t>
  </si>
  <si>
    <t>12313</t>
  </si>
  <si>
    <t>1775</t>
  </si>
  <si>
    <t>12965</t>
  </si>
  <si>
    <t>22308</t>
  </si>
  <si>
    <t>1778</t>
  </si>
  <si>
    <t>3539</t>
  </si>
  <si>
    <t>5033</t>
  </si>
  <si>
    <t>1779</t>
  </si>
  <si>
    <t>6029</t>
  </si>
  <si>
    <t>25353</t>
  </si>
  <si>
    <t>1780</t>
  </si>
  <si>
    <t>2679</t>
  </si>
  <si>
    <t>4567</t>
  </si>
  <si>
    <t>1782</t>
  </si>
  <si>
    <t>3702</t>
  </si>
  <si>
    <t>16376</t>
  </si>
  <si>
    <t>1783</t>
  </si>
  <si>
    <t>2398</t>
  </si>
  <si>
    <t>15999</t>
  </si>
  <si>
    <t>196</t>
  </si>
  <si>
    <t>1784</t>
  </si>
  <si>
    <t>5468</t>
  </si>
  <si>
    <t>1786</t>
  </si>
  <si>
    <t>13116</t>
  </si>
  <si>
    <t>22984</t>
  </si>
  <si>
    <t>1787</t>
  </si>
  <si>
    <t>4189</t>
  </si>
  <si>
    <t>8800</t>
  </si>
  <si>
    <t>1789</t>
  </si>
  <si>
    <t>19328</t>
  </si>
  <si>
    <t>14218</t>
  </si>
  <si>
    <t>1790</t>
  </si>
  <si>
    <t>8321</t>
  </si>
  <si>
    <t>25949</t>
  </si>
  <si>
    <t>1792</t>
  </si>
  <si>
    <t>11092</t>
  </si>
  <si>
    <t>1794</t>
  </si>
  <si>
    <t>4071</t>
  </si>
  <si>
    <t>12832</t>
  </si>
  <si>
    <t>1797</t>
  </si>
  <si>
    <t>5813</t>
  </si>
  <si>
    <t>13492</t>
  </si>
  <si>
    <t>1798</t>
  </si>
  <si>
    <t>3143</t>
  </si>
  <si>
    <t>6076</t>
  </si>
  <si>
    <t>1799</t>
  </si>
  <si>
    <t>5531</t>
  </si>
  <si>
    <t>1253</t>
  </si>
  <si>
    <t>1800</t>
  </si>
  <si>
    <t>13464</t>
  </si>
  <si>
    <t>7914</t>
  </si>
  <si>
    <t>1801</t>
  </si>
  <si>
    <t>7991</t>
  </si>
  <si>
    <t>25166</t>
  </si>
  <si>
    <t>1802</t>
  </si>
  <si>
    <t>3377</t>
  </si>
  <si>
    <t>25605</t>
  </si>
  <si>
    <t>1803</t>
  </si>
  <si>
    <t>5538</t>
  </si>
  <si>
    <t>5696</t>
  </si>
  <si>
    <t>1804</t>
  </si>
  <si>
    <t>5762</t>
  </si>
  <si>
    <t>24442</t>
  </si>
  <si>
    <t>1805</t>
  </si>
  <si>
    <t>2592</t>
  </si>
  <si>
    <t>7129</t>
  </si>
  <si>
    <t>234</t>
  </si>
  <si>
    <t>1807</t>
  </si>
  <si>
    <t>6208</t>
  </si>
  <si>
    <t>1809</t>
  </si>
  <si>
    <t>4213</t>
  </si>
  <si>
    <t>4992</t>
  </si>
  <si>
    <t>1812</t>
  </si>
  <si>
    <t>4127</t>
  </si>
  <si>
    <t>19188</t>
  </si>
  <si>
    <t>1813</t>
  </si>
  <si>
    <t>2438</t>
  </si>
  <si>
    <t>24978</t>
  </si>
  <si>
    <t>1814</t>
  </si>
  <si>
    <t>6870</t>
  </si>
  <si>
    <t>15530</t>
  </si>
  <si>
    <t>1815</t>
  </si>
  <si>
    <t>10447</t>
  </si>
  <si>
    <t>26458</t>
  </si>
  <si>
    <t>1816</t>
  </si>
  <si>
    <t>9667</t>
  </si>
  <si>
    <t>2739</t>
  </si>
  <si>
    <t>1818</t>
  </si>
  <si>
    <t>2148</t>
  </si>
  <si>
    <t>6889</t>
  </si>
  <si>
    <t>1821</t>
  </si>
  <si>
    <t>8926</t>
  </si>
  <si>
    <t>10842</t>
  </si>
  <si>
    <t>1194</t>
  </si>
  <si>
    <t>1822</t>
  </si>
  <si>
    <t>6513</t>
  </si>
  <si>
    <t>9060</t>
  </si>
  <si>
    <t>1823</t>
  </si>
  <si>
    <t>6799</t>
  </si>
  <si>
    <t>22128</t>
  </si>
  <si>
    <t>1824</t>
  </si>
  <si>
    <t>16291</t>
  </si>
  <si>
    <t>22577</t>
  </si>
  <si>
    <t>1826</t>
  </si>
  <si>
    <t>2705</t>
  </si>
  <si>
    <t>9696</t>
  </si>
  <si>
    <t>1827</t>
  </si>
  <si>
    <t>19271</t>
  </si>
  <si>
    <t>1829</t>
  </si>
  <si>
    <t>4448</t>
  </si>
  <si>
    <t>1830</t>
  </si>
  <si>
    <t>6854</t>
  </si>
  <si>
    <t>15696</t>
  </si>
  <si>
    <t>1833</t>
  </si>
  <si>
    <t>9637</t>
  </si>
  <si>
    <t>8277</t>
  </si>
  <si>
    <t>1834</t>
  </si>
  <si>
    <t>3591</t>
  </si>
  <si>
    <t>12719</t>
  </si>
  <si>
    <t>1835</t>
  </si>
  <si>
    <t>572</t>
  </si>
  <si>
    <t>1836</t>
  </si>
  <si>
    <t>4684</t>
  </si>
  <si>
    <t>9125</t>
  </si>
  <si>
    <t>1837</t>
  </si>
  <si>
    <t>15787</t>
  </si>
  <si>
    <t>21624</t>
  </si>
  <si>
    <t>1839</t>
  </si>
  <si>
    <t>8018</t>
  </si>
  <si>
    <t>1842</t>
  </si>
  <si>
    <t>21495</t>
  </si>
  <si>
    <t>1844</t>
  </si>
  <si>
    <t>2335</t>
  </si>
  <si>
    <t>3157</t>
  </si>
  <si>
    <t>1845</t>
  </si>
  <si>
    <t>5154</t>
  </si>
  <si>
    <t>19665</t>
  </si>
  <si>
    <t>1847</t>
  </si>
  <si>
    <t>6962</t>
  </si>
  <si>
    <t>19573</t>
  </si>
  <si>
    <t>1849</t>
  </si>
  <si>
    <t>5675</t>
  </si>
  <si>
    <t>1850</t>
  </si>
  <si>
    <t>2379</t>
  </si>
  <si>
    <t>19826</t>
  </si>
  <si>
    <t>1852</t>
  </si>
  <si>
    <t>3812</t>
  </si>
  <si>
    <t>7003</t>
  </si>
  <si>
    <t>1853</t>
  </si>
  <si>
    <t>4648</t>
  </si>
  <si>
    <t>26075</t>
  </si>
  <si>
    <t>1854</t>
  </si>
  <si>
    <t>6161</t>
  </si>
  <si>
    <t>1856</t>
  </si>
  <si>
    <t>2105</t>
  </si>
  <si>
    <t>5411</t>
  </si>
  <si>
    <t>706</t>
  </si>
  <si>
    <t>1857</t>
  </si>
  <si>
    <t>8578</t>
  </si>
  <si>
    <t>19989</t>
  </si>
  <si>
    <t>280</t>
  </si>
  <si>
    <t>1858</t>
  </si>
  <si>
    <t>726</t>
  </si>
  <si>
    <t>6384</t>
  </si>
  <si>
    <t>21143</t>
  </si>
  <si>
    <t>1860</t>
  </si>
  <si>
    <t>3968</t>
  </si>
  <si>
    <t>13624</t>
  </si>
  <si>
    <t>414</t>
  </si>
  <si>
    <t>1862</t>
  </si>
  <si>
    <t>9907</t>
  </si>
  <si>
    <t>26186</t>
  </si>
  <si>
    <t>1863</t>
  </si>
  <si>
    <t>13225</t>
  </si>
  <si>
    <t>7739</t>
  </si>
  <si>
    <t>1864</t>
  </si>
  <si>
    <t>3540</t>
  </si>
  <si>
    <t>7018</t>
  </si>
  <si>
    <t>1865</t>
  </si>
  <si>
    <t>2804</t>
  </si>
  <si>
    <t>15434</t>
  </si>
  <si>
    <t>1866</t>
  </si>
  <si>
    <t>19392</t>
  </si>
  <si>
    <t>22539</t>
  </si>
  <si>
    <t>1867</t>
  </si>
  <si>
    <t>13583</t>
  </si>
  <si>
    <t>459</t>
  </si>
  <si>
    <t>1868</t>
  </si>
  <si>
    <t>2439</t>
  </si>
  <si>
    <t>14753</t>
  </si>
  <si>
    <t>1869</t>
  </si>
  <si>
    <t>7314</t>
  </si>
  <si>
    <t>14011</t>
  </si>
  <si>
    <t>1870</t>
  </si>
  <si>
    <t>4774</t>
  </si>
  <si>
    <t>23844</t>
  </si>
  <si>
    <t>835</t>
  </si>
  <si>
    <t>1871</t>
  </si>
  <si>
    <t>3902</t>
  </si>
  <si>
    <t>5141</t>
  </si>
  <si>
    <t>1873</t>
  </si>
  <si>
    <t>2662</t>
  </si>
  <si>
    <t>7975</t>
  </si>
  <si>
    <t>1875</t>
  </si>
  <si>
    <t>2856</t>
  </si>
  <si>
    <t>1876</t>
  </si>
  <si>
    <t>16019</t>
  </si>
  <si>
    <t>2472</t>
  </si>
  <si>
    <t>26092</t>
  </si>
  <si>
    <t>1266</t>
  </si>
  <si>
    <t>1880</t>
  </si>
  <si>
    <t>5673</t>
  </si>
  <si>
    <t>6060</t>
  </si>
  <si>
    <t>1881</t>
  </si>
  <si>
    <t>18624</t>
  </si>
  <si>
    <t>1882</t>
  </si>
  <si>
    <t>9713</t>
  </si>
  <si>
    <t>1883</t>
  </si>
  <si>
    <t>2062</t>
  </si>
  <si>
    <t>19384</t>
  </si>
  <si>
    <t>1885</t>
  </si>
  <si>
    <t>13588</t>
  </si>
  <si>
    <t>219</t>
  </si>
  <si>
    <t>1886</t>
  </si>
  <si>
    <t>4788</t>
  </si>
  <si>
    <t>25388</t>
  </si>
  <si>
    <t>1888</t>
  </si>
  <si>
    <t>5906</t>
  </si>
  <si>
    <t>23888</t>
  </si>
  <si>
    <t>1213</t>
  </si>
  <si>
    <t>1890</t>
  </si>
  <si>
    <t>3886</t>
  </si>
  <si>
    <t>1892</t>
  </si>
  <si>
    <t>16823</t>
  </si>
  <si>
    <t>18991</t>
  </si>
  <si>
    <t>1893</t>
  </si>
  <si>
    <t>2933</t>
  </si>
  <si>
    <t>14908</t>
  </si>
  <si>
    <t>1898</t>
  </si>
  <si>
    <t>26997</t>
  </si>
  <si>
    <t>1900</t>
  </si>
  <si>
    <t>17174</t>
  </si>
  <si>
    <t>1903</t>
  </si>
  <si>
    <t>9364</t>
  </si>
  <si>
    <t>1905</t>
  </si>
  <si>
    <t>2307</t>
  </si>
  <si>
    <t>14460</t>
  </si>
  <si>
    <t>1907</t>
  </si>
  <si>
    <t>10261</t>
  </si>
  <si>
    <t>1908</t>
  </si>
  <si>
    <t>5507</t>
  </si>
  <si>
    <t>16822</t>
  </si>
  <si>
    <t>1909</t>
  </si>
  <si>
    <t>4393</t>
  </si>
  <si>
    <t>26841</t>
  </si>
  <si>
    <t>1911</t>
  </si>
  <si>
    <t>13348</t>
  </si>
  <si>
    <t>14842</t>
  </si>
  <si>
    <t>1912</t>
  </si>
  <si>
    <t>6583</t>
  </si>
  <si>
    <t>20115</t>
  </si>
  <si>
    <t>1915</t>
  </si>
  <si>
    <t>8103</t>
  </si>
  <si>
    <t>16495</t>
  </si>
  <si>
    <t>1916</t>
  </si>
  <si>
    <t>3978</t>
  </si>
  <si>
    <t>16031</t>
  </si>
  <si>
    <t>1918</t>
  </si>
  <si>
    <t>2544</t>
  </si>
  <si>
    <t>7102</t>
  </si>
  <si>
    <t>1922</t>
  </si>
  <si>
    <t>5399</t>
  </si>
  <si>
    <t>14511</t>
  </si>
  <si>
    <t>1924</t>
  </si>
  <si>
    <t>5487</t>
  </si>
  <si>
    <t>10410</t>
  </si>
  <si>
    <t>1927</t>
  </si>
  <si>
    <t>6834</t>
  </si>
  <si>
    <t>19255</t>
  </si>
  <si>
    <t>1928</t>
  </si>
  <si>
    <t>10642</t>
  </si>
  <si>
    <t>1929</t>
  </si>
  <si>
    <t>5736</t>
  </si>
  <si>
    <t>3987</t>
  </si>
  <si>
    <t>1931</t>
  </si>
  <si>
    <t>2226</t>
  </si>
  <si>
    <t>6073</t>
  </si>
  <si>
    <t>1932</t>
  </si>
  <si>
    <t>26496</t>
  </si>
  <si>
    <t>1933</t>
  </si>
  <si>
    <t>9854</t>
  </si>
  <si>
    <t>23352</t>
  </si>
  <si>
    <t>1934</t>
  </si>
  <si>
    <t>1935</t>
  </si>
  <si>
    <t>5380</t>
  </si>
  <si>
    <t>20328</t>
  </si>
  <si>
    <t>1936</t>
  </si>
  <si>
    <t>12315</t>
  </si>
  <si>
    <t>1937</t>
  </si>
  <si>
    <t>2133</t>
  </si>
  <si>
    <t>18115</t>
  </si>
  <si>
    <t>1938</t>
  </si>
  <si>
    <t>17875</t>
  </si>
  <si>
    <t>11761</t>
  </si>
  <si>
    <t>1939</t>
  </si>
  <si>
    <t>2432</t>
  </si>
  <si>
    <t>1940</t>
  </si>
  <si>
    <t>4771</t>
  </si>
  <si>
    <t>14293</t>
  </si>
  <si>
    <t>1064</t>
  </si>
  <si>
    <t>1941</t>
  </si>
  <si>
    <t>19161</t>
  </si>
  <si>
    <t>13738</t>
  </si>
  <si>
    <t>1943</t>
  </si>
  <si>
    <t>5087</t>
  </si>
  <si>
    <t>2900</t>
  </si>
  <si>
    <t>1337</t>
  </si>
  <si>
    <t>1944</t>
  </si>
  <si>
    <t>2863</t>
  </si>
  <si>
    <t>19555</t>
  </si>
  <si>
    <t>1945</t>
  </si>
  <si>
    <t>15975</t>
  </si>
  <si>
    <t>1947</t>
  </si>
  <si>
    <t>2144</t>
  </si>
  <si>
    <t>2122</t>
  </si>
  <si>
    <t>1948</t>
  </si>
  <si>
    <t>3065</t>
  </si>
  <si>
    <t>3995</t>
  </si>
  <si>
    <t>1949</t>
  </si>
  <si>
    <t>2810</t>
  </si>
  <si>
    <t>9238</t>
  </si>
  <si>
    <t>937</t>
  </si>
  <si>
    <t>1950</t>
  </si>
  <si>
    <t>9888</t>
  </si>
  <si>
    <t>6770</t>
  </si>
  <si>
    <t>8628</t>
  </si>
  <si>
    <t>22914</t>
  </si>
  <si>
    <t>157</t>
  </si>
  <si>
    <t>1952</t>
  </si>
  <si>
    <t>2867</t>
  </si>
  <si>
    <t>20006</t>
  </si>
  <si>
    <t>1954</t>
  </si>
  <si>
    <t>5373</t>
  </si>
  <si>
    <t>6225</t>
  </si>
  <si>
    <t>1955</t>
  </si>
  <si>
    <t>6667</t>
  </si>
  <si>
    <t>16542</t>
  </si>
  <si>
    <t>1956</t>
  </si>
  <si>
    <t>5771</t>
  </si>
  <si>
    <t>1960</t>
  </si>
  <si>
    <t>18779</t>
  </si>
  <si>
    <t>1961</t>
  </si>
  <si>
    <t>2858</t>
  </si>
  <si>
    <t>11473</t>
  </si>
  <si>
    <t>1962</t>
  </si>
  <si>
    <t>13586</t>
  </si>
  <si>
    <t>1965</t>
  </si>
  <si>
    <t>4105</t>
  </si>
  <si>
    <t>5099</t>
  </si>
  <si>
    <t>1966</t>
  </si>
  <si>
    <t>10138</t>
  </si>
  <si>
    <t>1967</t>
  </si>
  <si>
    <t>5617</t>
  </si>
  <si>
    <t>21075</t>
  </si>
  <si>
    <t>1168</t>
  </si>
  <si>
    <t>1968</t>
  </si>
  <si>
    <t>10448</t>
  </si>
  <si>
    <t>5843</t>
  </si>
  <si>
    <t>1969</t>
  </si>
  <si>
    <t>2897</t>
  </si>
  <si>
    <t>22474</t>
  </si>
  <si>
    <t>1970</t>
  </si>
  <si>
    <t>5968</t>
  </si>
  <si>
    <t>18079</t>
  </si>
  <si>
    <t>1971</t>
  </si>
  <si>
    <t>7510</t>
  </si>
  <si>
    <t>16873</t>
  </si>
  <si>
    <t>1444</t>
  </si>
  <si>
    <t>1972</t>
  </si>
  <si>
    <t>2991</t>
  </si>
  <si>
    <t>5224</t>
  </si>
  <si>
    <t>189</t>
  </si>
  <si>
    <t>1973</t>
  </si>
  <si>
    <t>19636</t>
  </si>
  <si>
    <t>25811</t>
  </si>
  <si>
    <t>1974</t>
  </si>
  <si>
    <t>1129</t>
  </si>
  <si>
    <t>17536</t>
  </si>
  <si>
    <t>1975</t>
  </si>
  <si>
    <t>13341</t>
  </si>
  <si>
    <t>25098</t>
  </si>
  <si>
    <t>1976</t>
  </si>
  <si>
    <t>4332</t>
  </si>
  <si>
    <t>14811</t>
  </si>
  <si>
    <t>1979</t>
  </si>
  <si>
    <t>26862</t>
  </si>
  <si>
    <t>1980</t>
  </si>
  <si>
    <t>4440</t>
  </si>
  <si>
    <t>25198</t>
  </si>
  <si>
    <t>1981</t>
  </si>
  <si>
    <t>4617</t>
  </si>
  <si>
    <t>14120</t>
  </si>
  <si>
    <t>1982</t>
  </si>
  <si>
    <t>2647</t>
  </si>
  <si>
    <t>13672</t>
  </si>
  <si>
    <t>1985</t>
  </si>
  <si>
    <t>6323</t>
  </si>
  <si>
    <t>26849</t>
  </si>
  <si>
    <t>1986</t>
  </si>
  <si>
    <t>5677</t>
  </si>
  <si>
    <t>1987</t>
  </si>
  <si>
    <t>19655</t>
  </si>
  <si>
    <t>1989</t>
  </si>
  <si>
    <t>3748</t>
  </si>
  <si>
    <t>4077</t>
  </si>
  <si>
    <t>1992</t>
  </si>
  <si>
    <t>3977</t>
  </si>
  <si>
    <t>7298</t>
  </si>
  <si>
    <t>1993</t>
  </si>
  <si>
    <t>8633</t>
  </si>
  <si>
    <t>13084</t>
  </si>
  <si>
    <t>1994</t>
  </si>
  <si>
    <t>20439</t>
  </si>
  <si>
    <t>1995</t>
  </si>
  <si>
    <t>7636</t>
  </si>
  <si>
    <t>1996</t>
  </si>
  <si>
    <t>3067</t>
  </si>
  <si>
    <t>6393</t>
  </si>
  <si>
    <t>1997</t>
  </si>
  <si>
    <t>5321</t>
  </si>
  <si>
    <t>14284</t>
  </si>
  <si>
    <t>557</t>
  </si>
  <si>
    <t>1998</t>
  </si>
  <si>
    <t>11189</t>
  </si>
  <si>
    <t>642</t>
  </si>
  <si>
    <t>1999</t>
  </si>
  <si>
    <t>21412</t>
  </si>
  <si>
    <t>2000</t>
  </si>
  <si>
    <t>11957</t>
  </si>
  <si>
    <t>17231</t>
  </si>
  <si>
    <t>2003</t>
  </si>
  <si>
    <t>2660</t>
  </si>
  <si>
    <t>20232</t>
  </si>
  <si>
    <t>3375</t>
  </si>
  <si>
    <t>17624</t>
  </si>
  <si>
    <t>5098</t>
  </si>
  <si>
    <t>18698</t>
  </si>
  <si>
    <t>2009</t>
  </si>
  <si>
    <t>4878</t>
  </si>
  <si>
    <t>21653</t>
  </si>
  <si>
    <t>2010</t>
  </si>
  <si>
    <t>2837</t>
  </si>
  <si>
    <t>15919</t>
  </si>
  <si>
    <t>2012</t>
  </si>
  <si>
    <t>4060</t>
  </si>
  <si>
    <t>18024</t>
  </si>
  <si>
    <t>4108</t>
  </si>
  <si>
    <t>5340</t>
  </si>
  <si>
    <t>2015</t>
  </si>
  <si>
    <t>13206</t>
  </si>
  <si>
    <t>801</t>
  </si>
  <si>
    <t>2016</t>
  </si>
  <si>
    <t>10422</t>
  </si>
  <si>
    <t>24032</t>
  </si>
  <si>
    <t>2017</t>
  </si>
  <si>
    <t>13744</t>
  </si>
  <si>
    <t>15471</t>
  </si>
  <si>
    <t>13684</t>
  </si>
  <si>
    <t>2019</t>
  </si>
  <si>
    <t>3482</t>
  </si>
  <si>
    <t>19788</t>
  </si>
  <si>
    <t>2020</t>
  </si>
  <si>
    <t>13422</t>
  </si>
  <si>
    <t>2021</t>
  </si>
  <si>
    <t>25479</t>
  </si>
  <si>
    <t>19431</t>
  </si>
  <si>
    <t>15302</t>
  </si>
  <si>
    <t>2023</t>
  </si>
  <si>
    <t>26956</t>
  </si>
  <si>
    <t>7644</t>
  </si>
  <si>
    <t>12695</t>
  </si>
  <si>
    <t>2025</t>
  </si>
  <si>
    <t>5131</t>
  </si>
  <si>
    <t>9192</t>
  </si>
  <si>
    <t>2026</t>
  </si>
  <si>
    <t>6306</t>
  </si>
  <si>
    <t>26236</t>
  </si>
  <si>
    <t>2027</t>
  </si>
  <si>
    <t>4787</t>
  </si>
  <si>
    <t>26124</t>
  </si>
  <si>
    <t>2031</t>
  </si>
  <si>
    <t>18880</t>
  </si>
  <si>
    <t>17312</t>
  </si>
  <si>
    <t>2032</t>
  </si>
  <si>
    <t>2339</t>
  </si>
  <si>
    <t>3666</t>
  </si>
  <si>
    <t>2034</t>
  </si>
  <si>
    <t>13570</t>
  </si>
  <si>
    <t>5640</t>
  </si>
  <si>
    <t>2035</t>
  </si>
  <si>
    <t>6712</t>
  </si>
  <si>
    <t>8978</t>
  </si>
  <si>
    <t>2036</t>
  </si>
  <si>
    <t>5406</t>
  </si>
  <si>
    <t>10436</t>
  </si>
  <si>
    <t>2037</t>
  </si>
  <si>
    <t>8938</t>
  </si>
  <si>
    <t>12227</t>
  </si>
  <si>
    <t>2038</t>
  </si>
  <si>
    <t>11288</t>
  </si>
  <si>
    <t>2040</t>
  </si>
  <si>
    <t>8837</t>
  </si>
  <si>
    <t>16642</t>
  </si>
  <si>
    <t>345</t>
  </si>
  <si>
    <t>2041</t>
  </si>
  <si>
    <t>5982</t>
  </si>
  <si>
    <t>6728</t>
  </si>
  <si>
    <t>14255</t>
  </si>
  <si>
    <t>6652</t>
  </si>
  <si>
    <t>14369</t>
  </si>
  <si>
    <t>2046</t>
  </si>
  <si>
    <t>4850</t>
  </si>
  <si>
    <t>23333</t>
  </si>
  <si>
    <t>2048</t>
  </si>
  <si>
    <t>2809</t>
  </si>
  <si>
    <t>2049</t>
  </si>
  <si>
    <t>5689</t>
  </si>
  <si>
    <t>24594</t>
  </si>
  <si>
    <t>2051</t>
  </si>
  <si>
    <t>2001</t>
  </si>
  <si>
    <t>12549</t>
  </si>
  <si>
    <t>2052</t>
  </si>
  <si>
    <t>2977</t>
  </si>
  <si>
    <t>1378</t>
  </si>
  <si>
    <t>2053</t>
  </si>
  <si>
    <t>23679</t>
  </si>
  <si>
    <t>2054</t>
  </si>
  <si>
    <t>3785</t>
  </si>
  <si>
    <t>8489</t>
  </si>
  <si>
    <t>2055</t>
  </si>
  <si>
    <t>10854</t>
  </si>
  <si>
    <t>16586</t>
  </si>
  <si>
    <t>2056</t>
  </si>
  <si>
    <t>12031</t>
  </si>
  <si>
    <t>8828</t>
  </si>
  <si>
    <t>2057</t>
  </si>
  <si>
    <t>9936</t>
  </si>
  <si>
    <t>3787</t>
  </si>
  <si>
    <t>2060</t>
  </si>
  <si>
    <t>2966</t>
  </si>
  <si>
    <t>21378</t>
  </si>
  <si>
    <t>2571</t>
  </si>
  <si>
    <t>12290</t>
  </si>
  <si>
    <t>9991</t>
  </si>
  <si>
    <t>21457</t>
  </si>
  <si>
    <t>5174</t>
  </si>
  <si>
    <t>1023</t>
  </si>
  <si>
    <t>2065</t>
  </si>
  <si>
    <t>5390</t>
  </si>
  <si>
    <t>13243</t>
  </si>
  <si>
    <t>628</t>
  </si>
  <si>
    <t>2068</t>
  </si>
  <si>
    <t>4404</t>
  </si>
  <si>
    <t>10228</t>
  </si>
  <si>
    <t>HELPER OUTPUT (references 02_Clean_Data)</t>
  </si>
  <si>
    <t>Age Group</t>
  </si>
  <si>
    <t>Income Group</t>
  </si>
  <si>
    <t>Attrition Flag</t>
  </si>
  <si>
    <t>Overtime Flag</t>
  </si>
  <si>
    <t>Education Label</t>
  </si>
  <si>
    <t>Tenure Band</t>
  </si>
  <si>
    <t>Work Life Risk</t>
  </si>
  <si>
    <t>Age Score</t>
  </si>
  <si>
    <t>Salary Score</t>
  </si>
  <si>
    <t>Overtime Score</t>
  </si>
  <si>
    <t>Satisfaction Score</t>
  </si>
  <si>
    <t>Tenure Score</t>
  </si>
  <si>
    <t>Risk Score</t>
  </si>
  <si>
    <t>Risk Category</t>
  </si>
  <si>
    <t>WORKFORCE KPI ENGINE</t>
  </si>
  <si>
    <t>KPI</t>
  </si>
  <si>
    <t>Value</t>
  </si>
  <si>
    <t>Total Employees</t>
  </si>
  <si>
    <t>Attrition Count</t>
  </si>
  <si>
    <t>Attrition Rate</t>
  </si>
  <si>
    <t>Average Salary</t>
  </si>
  <si>
    <t>Average Tenure (Years)</t>
  </si>
  <si>
    <t>High Risk Employees</t>
  </si>
  <si>
    <t>Medium Risk Employees</t>
  </si>
  <si>
    <t>Low Risk Employees</t>
  </si>
  <si>
    <t>Overtime Percentage</t>
  </si>
  <si>
    <t>Average Risk Score</t>
  </si>
  <si>
    <t>Employees on Overtime</t>
  </si>
  <si>
    <t>ATTRITION ANALYSIS</t>
  </si>
  <si>
    <t>SALARY ANALYSIS</t>
  </si>
  <si>
    <t>RISK MODEL SUMMARY</t>
  </si>
  <si>
    <t>WORKFORCE INTELLIGENCE &amp; ATTRITION ANALYTICS DASHBOARD</t>
  </si>
  <si>
    <t>IBM HR Analytics | Executive View</t>
  </si>
  <si>
    <t>[CHART: Avg Salary by Job Role]
Insert Bar Chart from 06_Salary_Analysis</t>
  </si>
  <si>
    <t>EXECUTIVE SUMMARY</t>
  </si>
  <si>
    <t>This analysis covers 1,470 employees across Sales, Research &amp; Development, and Human Resources. Overall attrition stands at 16.1% (237 departures), materially above typical industry benchmarks for knowledge workers. Overtime, early-career tenure, and frontline sales roles emerge as the strongest statistical drivers of voluntary turnover.</t>
  </si>
  <si>
    <t>KEY FINDINGS</t>
  </si>
  <si>
    <t>1. Overtime employees attrit at 30.5% vs 10.4% for non-overtime—a 3x differential.
2. Employees under 30 show 27.9% attrition vs 9.7% for ages 40–49.
3. Sales department attrition (20.6%) exceeds R&amp;D (13.8%).
4. Sales Representative role shows highest role-level attrition at 39.8%.
5. Average monthly compensation is $6,503 with meaningful variation by department.</t>
  </si>
  <si>
    <t>ATTRITION DRIVERS</t>
  </si>
  <si>
    <t>Primary drivers: OverTime (Yes), younger age cohorts, Sales-facing roles, low tenure (0–2 years), and below-median compensation bands. Job Satisfaction and Work-Life Balance correlate with elevated risk scores in the risk model.</t>
  </si>
  <si>
    <t>SALARY INSIGHTS</t>
  </si>
  <si>
    <t>Sales averages $6,959/month; HR $6,655; R&amp;D $6,281. Low-income band (≤$3,596) concentrates Laboratory Technicians and Sales Representatives—roles with above-average attrition. Compensation alone does not explain all turnover; role design and workload matter.</t>
  </si>
  <si>
    <t>RECOMMENDATIONS</t>
  </si>
  <si>
    <t>1. Pilot overtime reduction in highest-risk departments.
2. Launch retention program for employees with &lt;2 years tenure.
3. Redesign Sales Representative career path and compensation.
4. Manager training on satisfaction and work-life balance conversations.
5. Monthly HR dashboard review with department heads.</t>
  </si>
  <si>
    <t>ACTION PLAN (90 DAYS)</t>
  </si>
  <si>
    <t>Days 1–30: Identify top 50 high-risk employees; conduct stay interviews.
Days 31–60: Implement overtime policy review; adjust scheduling in Sales.
Days 61–90: Measure attrition rate delta; refine risk model weights; report to leadership.</t>
  </si>
  <si>
    <t>Sum of Attrition Flag</t>
  </si>
  <si>
    <t>Attrition by Department</t>
  </si>
  <si>
    <t>Attrition by Gender</t>
  </si>
  <si>
    <t>30-39</t>
  </si>
  <si>
    <t>40-49</t>
  </si>
  <si>
    <t>50+</t>
  </si>
  <si>
    <t>Under 30</t>
  </si>
  <si>
    <t>Attrition by Age</t>
  </si>
  <si>
    <t>Attrition by Job Role</t>
  </si>
  <si>
    <t>Bachelor</t>
  </si>
  <si>
    <t>Below College</t>
  </si>
  <si>
    <t>College</t>
  </si>
  <si>
    <t>Doctor</t>
  </si>
  <si>
    <t>Master</t>
  </si>
  <si>
    <t>Attrition by Education</t>
  </si>
  <si>
    <t>High Income</t>
  </si>
  <si>
    <t>Low Income</t>
  </si>
  <si>
    <t>Medium Income</t>
  </si>
  <si>
    <t>Attrition by Income</t>
  </si>
  <si>
    <t>Attrition by OverTime</t>
  </si>
  <si>
    <t>High Risk</t>
  </si>
  <si>
    <t>Grand Total</t>
  </si>
  <si>
    <t>Salary by Department</t>
  </si>
  <si>
    <t>Salary by Job Role</t>
  </si>
  <si>
    <t>Column Labels</t>
  </si>
  <si>
    <t>Attrition rate by Salary Bracket</t>
  </si>
  <si>
    <t>Salary by Attrition</t>
  </si>
  <si>
    <t>Salary Distribution</t>
  </si>
  <si>
    <t>Low Risk</t>
  </si>
  <si>
    <t>Medium Risk</t>
  </si>
  <si>
    <t>Salary by Risk level</t>
  </si>
  <si>
    <t>Income group</t>
  </si>
  <si>
    <t>Employees</t>
  </si>
  <si>
    <t>Avg Income</t>
  </si>
  <si>
    <t>Dept</t>
  </si>
  <si>
    <t>Roles</t>
  </si>
  <si>
    <t>Risk</t>
  </si>
  <si>
    <t>Attrtion</t>
  </si>
  <si>
    <t>Empployees</t>
  </si>
  <si>
    <t xml:space="preserve">income </t>
  </si>
  <si>
    <t>income group</t>
  </si>
  <si>
    <t>Income grp</t>
  </si>
  <si>
    <t xml:space="preserve">Attrition </t>
  </si>
  <si>
    <t>Age grp</t>
  </si>
  <si>
    <t>Risk category</t>
  </si>
  <si>
    <t>Avag Risk score</t>
  </si>
  <si>
    <t>Employee Count by Risk Category and Department</t>
  </si>
  <si>
    <t>Risk rate by Job Roles</t>
  </si>
  <si>
    <t>Employees by Risk Category</t>
  </si>
  <si>
    <t>Attrition rate</t>
  </si>
  <si>
    <t>Average Tenure</t>
  </si>
  <si>
    <t>Average of Attrition Flag</t>
  </si>
  <si>
    <t>0-2 Years</t>
  </si>
  <si>
    <t>10+ Years</t>
  </si>
  <si>
    <t>3-5 Years</t>
  </si>
  <si>
    <t>6-10 Years</t>
  </si>
  <si>
    <t>Attrition by YearsAtCompany</t>
  </si>
  <si>
    <t>Tenure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</si>
</sst>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164" formatCode="0.0%"/>
    <numFmt numFmtId="165" formatCode="0.0"/>
    <numFmt numFmtId="166" formatCode="0_ ;\-0\ "/>
    <numFmt numFmtId="167" formatCode="[$$-409]#,##0_ ;\-[$$-409]#,##0\ "/>
    <numFmt numFmtId="168" formatCode="_-[$$-409]* #,##0.00_ ;_-[$$-409]* \-#,##0.00\ ;_-[$$-409]* &quot;-&quot;??_ ;_-@_ "/>
    <numFmt numFmtId="169" formatCode="[$$-409]#,##0.00"/>
  </numFmts>
  <fonts count="20" x14ac:knownFonts="1">
    <font>
      <sz val="11"/>
      <color theme="1"/>
      <name val="Calibri"/>
      <family val="2"/>
      <scheme val="minor"/>
    </font>
    <font>
      <b/>
      <sz val="10"/>
      <color rgb="FFFFFFFF"/>
      <name val="Segoe UI"/>
    </font>
    <font>
      <b/>
      <sz val="12"/>
      <color rgb="FF1F3864"/>
      <name val="Segoe UI"/>
    </font>
    <font>
      <b/>
      <sz val="11"/>
      <name val="Segoe UI"/>
    </font>
    <font>
      <b/>
      <sz val="14"/>
      <color rgb="FF1F3864"/>
      <name val="Segoe UI"/>
    </font>
    <font>
      <sz val="10"/>
      <name val="Segoe UI"/>
    </font>
    <font>
      <b/>
      <sz val="10"/>
      <color rgb="FF2E75B6"/>
      <name val="Segoe UI"/>
    </font>
    <font>
      <i/>
      <sz val="11"/>
      <color rgb="FF666666"/>
      <name val="Segoe UI"/>
    </font>
    <font>
      <b/>
      <sz val="18"/>
      <color rgb="FF1F3864"/>
      <name val="Segoe UI"/>
    </font>
    <font>
      <i/>
      <sz val="9"/>
      <color rgb="FF666666"/>
      <name val="Segoe UI"/>
    </font>
    <font>
      <b/>
      <sz val="14"/>
      <color theme="1"/>
      <name val="Calibri"/>
      <family val="2"/>
      <scheme val="minor"/>
    </font>
    <font>
      <sz val="11"/>
      <color theme="1"/>
      <name val="Calibri"/>
      <family val="2"/>
      <scheme val="minor"/>
    </font>
    <font>
      <b/>
      <sz val="14"/>
      <color theme="4" tint="0.39997558519241921"/>
      <name val="Segoe UI"/>
      <family val="2"/>
    </font>
    <font>
      <b/>
      <sz val="12"/>
      <color theme="1"/>
      <name val="Calibri"/>
      <family val="2"/>
      <scheme val="minor"/>
    </font>
    <font>
      <b/>
      <sz val="10"/>
      <color theme="1"/>
      <name val="Calibri"/>
      <family val="2"/>
      <scheme val="minor"/>
    </font>
    <font>
      <sz val="11"/>
      <color rgb="FF868686"/>
      <name val="Calibri"/>
      <family val="2"/>
      <scheme val="minor"/>
    </font>
    <font>
      <b/>
      <sz val="16"/>
      <color rgb="FF000080"/>
      <name val="Segoe UI"/>
      <family val="2"/>
    </font>
    <font>
      <b/>
      <sz val="16"/>
      <color theme="1" tint="0.34998626667073579"/>
      <name val="Segoe UI"/>
      <family val="2"/>
    </font>
    <font>
      <sz val="10"/>
      <color theme="1" tint="0.34998626667073579"/>
      <name val="Segoe UI"/>
      <family val="2"/>
    </font>
    <font>
      <sz val="10"/>
      <color theme="1" tint="0.34998626667073579"/>
      <name val="Calibri"/>
      <family val="2"/>
      <scheme val="minor"/>
    </font>
  </fonts>
  <fills count="11">
    <fill>
      <patternFill patternType="none"/>
    </fill>
    <fill>
      <patternFill patternType="gray125"/>
    </fill>
    <fill>
      <patternFill patternType="solid">
        <fgColor rgb="FF1F38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3"/>
        <bgColor indexed="64"/>
      </patternFill>
    </fill>
    <fill>
      <patternFill patternType="solid">
        <fgColor theme="0"/>
        <bgColor indexed="64"/>
      </patternFill>
    </fill>
    <fill>
      <patternFill patternType="solid">
        <fgColor rgb="FFF5F7FA"/>
        <bgColor indexed="64"/>
      </patternFill>
    </fill>
    <fill>
      <patternFill patternType="solid">
        <fgColor rgb="FF2E75B6"/>
        <bgColor indexed="64"/>
      </patternFill>
    </fill>
    <fill>
      <patternFill patternType="solid">
        <fgColor theme="3" tint="0.79998168889431442"/>
        <bgColor indexed="64"/>
      </patternFill>
    </fill>
    <fill>
      <patternFill patternType="solid">
        <fgColor rgb="FF5E8ED4"/>
        <bgColor indexed="64"/>
      </patternFill>
    </fill>
  </fills>
  <borders count="9">
    <border>
      <left/>
      <right/>
      <top/>
      <bottom/>
      <diagonal/>
    </border>
    <border>
      <left style="thin">
        <color rgb="FFD9E2F3"/>
      </left>
      <right/>
      <top style="thin">
        <color rgb="FFD9E2F3"/>
      </top>
      <bottom/>
      <diagonal/>
    </border>
    <border>
      <left/>
      <right/>
      <top style="thin">
        <color rgb="FFD9E2F3"/>
      </top>
      <bottom/>
      <diagonal/>
    </border>
    <border>
      <left/>
      <right style="thin">
        <color rgb="FFD9E2F3"/>
      </right>
      <top style="thin">
        <color rgb="FFD9E2F3"/>
      </top>
      <bottom/>
      <diagonal/>
    </border>
    <border>
      <left style="thin">
        <color rgb="FFD9E2F3"/>
      </left>
      <right/>
      <top/>
      <bottom/>
      <diagonal/>
    </border>
    <border>
      <left/>
      <right style="thin">
        <color rgb="FFD9E2F3"/>
      </right>
      <top/>
      <bottom/>
      <diagonal/>
    </border>
    <border>
      <left style="thin">
        <color rgb="FFD9E2F3"/>
      </left>
      <right/>
      <top/>
      <bottom style="thin">
        <color rgb="FFD9E2F3"/>
      </bottom>
      <diagonal/>
    </border>
    <border>
      <left/>
      <right/>
      <top/>
      <bottom style="thin">
        <color rgb="FFD9E2F3"/>
      </bottom>
      <diagonal/>
    </border>
    <border>
      <left/>
      <right style="thin">
        <color rgb="FFD9E2F3"/>
      </right>
      <top/>
      <bottom style="thin">
        <color rgb="FFD9E2F3"/>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68">
    <xf numFmtId="0" fontId="0" fillId="0" borderId="0" xfId="0"/>
    <xf numFmtId="0" fontId="1" fillId="2" borderId="0" xfId="0" applyFont="1" applyFill="1" applyAlignment="1">
      <alignment horizontal="center" vertical="center" wrapText="1"/>
    </xf>
    <xf numFmtId="0" fontId="2" fillId="0" borderId="0" xfId="0" applyFont="1"/>
    <xf numFmtId="0" fontId="3" fillId="0" borderId="0" xfId="0" applyFont="1"/>
    <xf numFmtId="0" fontId="5" fillId="0" borderId="0" xfId="0" applyFont="1"/>
    <xf numFmtId="0" fontId="6" fillId="0" borderId="0" xfId="0" applyFont="1"/>
    <xf numFmtId="164" fontId="6" fillId="0" borderId="0" xfId="0" applyNumberFormat="1" applyFont="1"/>
    <xf numFmtId="165" fontId="6" fillId="0" borderId="0" xfId="0" applyNumberFormat="1" applyFont="1"/>
    <xf numFmtId="0" fontId="7" fillId="0" borderId="0" xfId="0" applyFont="1"/>
    <xf numFmtId="0" fontId="5" fillId="0" borderId="0" xfId="0" applyFont="1" applyAlignment="1">
      <alignment vertical="top" wrapText="1"/>
    </xf>
    <xf numFmtId="2" fontId="0" fillId="0" borderId="0" xfId="0" applyNumberFormat="1"/>
    <xf numFmtId="0" fontId="1" fillId="2" borderId="0" xfId="0" applyFont="1" applyFill="1" applyAlignment="1">
      <alignment horizontal="left" vertical="center" wrapText="1"/>
    </xf>
    <xf numFmtId="2" fontId="1" fillId="2" borderId="0" xfId="0" applyNumberFormat="1" applyFont="1" applyFill="1" applyAlignment="1">
      <alignment horizontal="left" vertical="center" wrapText="1"/>
    </xf>
    <xf numFmtId="0" fontId="0" fillId="0" borderId="0" xfId="0" applyAlignment="1">
      <alignment horizontal="left"/>
    </xf>
    <xf numFmtId="2" fontId="0" fillId="0" borderId="0" xfId="0" applyNumberFormat="1" applyAlignment="1">
      <alignment horizontal="left"/>
    </xf>
    <xf numFmtId="0" fontId="0" fillId="0" borderId="0" xfId="0" pivotButton="1"/>
    <xf numFmtId="0" fontId="10" fillId="3" borderId="0" xfId="0" applyFont="1" applyFill="1" applyAlignment="1">
      <alignment vertical="center"/>
    </xf>
    <xf numFmtId="0" fontId="0" fillId="3" borderId="0" xfId="0" applyFill="1"/>
    <xf numFmtId="0" fontId="0" fillId="3" borderId="0" xfId="0" applyFill="1" applyAlignment="1">
      <alignment vertical="center"/>
    </xf>
    <xf numFmtId="167" fontId="1" fillId="2" borderId="0" xfId="0" applyNumberFormat="1" applyFont="1" applyFill="1" applyAlignment="1">
      <alignment horizontal="left" vertical="center" wrapText="1"/>
    </xf>
    <xf numFmtId="167" fontId="0" fillId="0" borderId="0" xfId="0" applyNumberFormat="1" applyAlignment="1">
      <alignment horizontal="left"/>
    </xf>
    <xf numFmtId="167" fontId="0" fillId="0" borderId="0" xfId="0" applyNumberFormat="1"/>
    <xf numFmtId="168" fontId="6" fillId="0" borderId="0" xfId="1" applyNumberFormat="1" applyFont="1"/>
    <xf numFmtId="168" fontId="0" fillId="0" borderId="0" xfId="0" applyNumberFormat="1"/>
    <xf numFmtId="169" fontId="0" fillId="0" borderId="0" xfId="0" applyNumberFormat="1"/>
    <xf numFmtId="0" fontId="4" fillId="0" borderId="0" xfId="0" applyFont="1"/>
    <xf numFmtId="0" fontId="0" fillId="6" borderId="0" xfId="0" applyFill="1"/>
    <xf numFmtId="0" fontId="7" fillId="6" borderId="0" xfId="0" applyFont="1" applyFill="1"/>
    <xf numFmtId="0" fontId="5" fillId="6" borderId="0" xfId="0" applyFont="1" applyFill="1"/>
    <xf numFmtId="0" fontId="4" fillId="6" borderId="0" xfId="0" applyFont="1" applyFill="1"/>
    <xf numFmtId="0" fontId="0" fillId="6" borderId="0" xfId="0" applyFill="1" applyAlignment="1">
      <alignment horizontal="left"/>
    </xf>
    <xf numFmtId="0" fontId="0" fillId="7" borderId="0" xfId="0" applyFill="1"/>
    <xf numFmtId="9" fontId="0" fillId="0" borderId="0" xfId="0" applyNumberFormat="1"/>
    <xf numFmtId="0" fontId="15" fillId="8" borderId="0" xfId="0" applyFont="1" applyFill="1" applyAlignment="1">
      <alignment vertical="top"/>
    </xf>
    <xf numFmtId="0" fontId="15" fillId="8" borderId="4" xfId="0" applyFont="1" applyFill="1" applyBorder="1" applyAlignment="1">
      <alignment vertical="top"/>
    </xf>
    <xf numFmtId="0" fontId="15" fillId="8" borderId="5" xfId="0" applyFont="1" applyFill="1" applyBorder="1" applyAlignment="1">
      <alignment vertical="top"/>
    </xf>
    <xf numFmtId="0" fontId="5" fillId="0" borderId="0" xfId="0" applyFont="1" applyAlignment="1">
      <alignment horizontal="center" vertical="center" wrapText="1"/>
    </xf>
    <xf numFmtId="0" fontId="5" fillId="0" borderId="0" xfId="0" applyFont="1" applyAlignment="1">
      <alignment horizontal="left" vertical="center" wrapText="1"/>
    </xf>
    <xf numFmtId="0" fontId="2" fillId="0" borderId="0" xfId="0" applyFont="1" applyAlignment="1">
      <alignment horizontal="center"/>
    </xf>
    <xf numFmtId="0" fontId="2" fillId="0" borderId="0" xfId="0" applyFont="1" applyAlignment="1">
      <alignment horizontal="center" vertical="center"/>
    </xf>
    <xf numFmtId="0" fontId="4" fillId="3" borderId="0" xfId="0" applyFont="1" applyFill="1" applyAlignment="1">
      <alignment horizontal="center" vertical="center"/>
    </xf>
    <xf numFmtId="0" fontId="10" fillId="3" borderId="0" xfId="0" applyFont="1" applyFill="1" applyAlignment="1">
      <alignment horizontal="center" vertical="center"/>
    </xf>
    <xf numFmtId="0" fontId="4" fillId="3" borderId="0" xfId="0" applyFont="1" applyFill="1" applyAlignment="1">
      <alignment horizontal="center"/>
    </xf>
    <xf numFmtId="0" fontId="0" fillId="3" borderId="0" xfId="0" applyFill="1" applyAlignment="1">
      <alignment horizontal="center" vertical="center"/>
    </xf>
    <xf numFmtId="0" fontId="4" fillId="4" borderId="0" xfId="0" applyFont="1" applyFill="1" applyAlignment="1">
      <alignment horizontal="center"/>
    </xf>
    <xf numFmtId="0" fontId="12" fillId="5" borderId="0" xfId="0" applyFont="1" applyFill="1" applyAlignment="1">
      <alignment horizontal="center"/>
    </xf>
    <xf numFmtId="0" fontId="13" fillId="3" borderId="0" xfId="0" applyFont="1" applyFill="1" applyAlignment="1">
      <alignment horizontal="center" vertical="center"/>
    </xf>
    <xf numFmtId="0" fontId="14" fillId="3" borderId="0" xfId="0" applyFont="1" applyFill="1" applyAlignment="1">
      <alignment horizontal="center" vertical="center"/>
    </xf>
    <xf numFmtId="0" fontId="0" fillId="7" borderId="0" xfId="0" applyFill="1"/>
    <xf numFmtId="0" fontId="9" fillId="7" borderId="0" xfId="0" applyFont="1" applyFill="1"/>
    <xf numFmtId="0" fontId="8" fillId="7" borderId="0" xfId="0" applyFont="1" applyFill="1" applyAlignment="1">
      <alignment horizontal="center"/>
    </xf>
    <xf numFmtId="0" fontId="18" fillId="7" borderId="0" xfId="0" applyFont="1" applyFill="1" applyAlignment="1">
      <alignment horizontal="center"/>
    </xf>
    <xf numFmtId="0" fontId="19" fillId="7" borderId="0" xfId="0" applyFont="1" applyFill="1"/>
    <xf numFmtId="0" fontId="17" fillId="10" borderId="1" xfId="0" applyFont="1" applyFill="1" applyBorder="1" applyAlignment="1">
      <alignment horizontal="center" wrapText="1"/>
    </xf>
    <xf numFmtId="0" fontId="17" fillId="10" borderId="2" xfId="0" applyFont="1" applyFill="1" applyBorder="1" applyAlignment="1">
      <alignment horizontal="center" wrapText="1"/>
    </xf>
    <xf numFmtId="0" fontId="17" fillId="10" borderId="3" xfId="0" applyFont="1" applyFill="1" applyBorder="1" applyAlignment="1">
      <alignment horizontal="center" wrapText="1"/>
    </xf>
    <xf numFmtId="0" fontId="16" fillId="9" borderId="6" xfId="0" applyFont="1" applyFill="1" applyBorder="1" applyAlignment="1">
      <alignment horizontal="center" vertical="top" wrapText="1"/>
    </xf>
    <xf numFmtId="0" fontId="16" fillId="9" borderId="7" xfId="0" applyFont="1" applyFill="1" applyBorder="1" applyAlignment="1">
      <alignment horizontal="center" vertical="top" wrapText="1"/>
    </xf>
    <xf numFmtId="0" fontId="16" fillId="9" borderId="8" xfId="0" applyFont="1" applyFill="1" applyBorder="1" applyAlignment="1">
      <alignment horizontal="center" vertical="top" wrapText="1"/>
    </xf>
    <xf numFmtId="164" fontId="16" fillId="9" borderId="6" xfId="2" applyNumberFormat="1" applyFont="1" applyFill="1" applyBorder="1" applyAlignment="1">
      <alignment horizontal="center" vertical="top" wrapText="1"/>
    </xf>
    <xf numFmtId="164" fontId="16" fillId="9" borderId="7" xfId="2" applyNumberFormat="1" applyFont="1" applyFill="1" applyBorder="1" applyAlignment="1">
      <alignment horizontal="center" vertical="top" wrapText="1"/>
    </xf>
    <xf numFmtId="164" fontId="16" fillId="9" borderId="8" xfId="2" applyNumberFormat="1" applyFont="1" applyFill="1" applyBorder="1" applyAlignment="1">
      <alignment horizontal="center" vertical="top" wrapText="1"/>
    </xf>
    <xf numFmtId="169" fontId="16" fillId="9" borderId="6" xfId="0" applyNumberFormat="1" applyFont="1" applyFill="1" applyBorder="1" applyAlignment="1">
      <alignment horizontal="center" vertical="top" wrapText="1"/>
    </xf>
    <xf numFmtId="169" fontId="16" fillId="9" borderId="7" xfId="0" applyNumberFormat="1" applyFont="1" applyFill="1" applyBorder="1" applyAlignment="1">
      <alignment horizontal="center" vertical="top" wrapText="1"/>
    </xf>
    <xf numFmtId="169" fontId="16" fillId="9" borderId="8" xfId="0" applyNumberFormat="1" applyFont="1" applyFill="1" applyBorder="1" applyAlignment="1">
      <alignment horizontal="center" vertical="top" wrapText="1"/>
    </xf>
    <xf numFmtId="2" fontId="16" fillId="9" borderId="6" xfId="0" applyNumberFormat="1" applyFont="1" applyFill="1" applyBorder="1" applyAlignment="1">
      <alignment horizontal="center" vertical="top" wrapText="1"/>
    </xf>
    <xf numFmtId="2" fontId="16" fillId="9" borderId="7" xfId="0" applyNumberFormat="1" applyFont="1" applyFill="1" applyBorder="1" applyAlignment="1">
      <alignment horizontal="center" vertical="top" wrapText="1"/>
    </xf>
    <xf numFmtId="2" fontId="16" fillId="9" borderId="8" xfId="0" applyNumberFormat="1" applyFont="1" applyFill="1" applyBorder="1" applyAlignment="1">
      <alignment horizontal="center" vertical="top" wrapText="1"/>
    </xf>
  </cellXfs>
  <cellStyles count="3">
    <cellStyle name="Currency" xfId="1" builtinId="4"/>
    <cellStyle name="Normal" xfId="0" builtinId="0"/>
    <cellStyle name="Percent" xfId="2" builtinId="5"/>
  </cellStyles>
  <dxfs count="60">
    <dxf>
      <fill>
        <patternFill patternType="solid">
          <bgColor theme="0"/>
        </patternFill>
      </fill>
    </dxf>
    <dxf>
      <fill>
        <patternFill patternType="solid">
          <bgColor theme="0"/>
        </patternFill>
      </fill>
    </dxf>
    <dxf>
      <numFmt numFmtId="169" formatCode="[$$-409]#,##0.00"/>
    </dxf>
    <dxf>
      <numFmt numFmtId="169" formatCode="[$$-409]#,##0.00"/>
    </dxf>
    <dxf>
      <numFmt numFmtId="169" formatCode="[$$-409]#,##0.00"/>
    </dxf>
    <dxf>
      <numFmt numFmtId="168" formatCode="_-[$$-409]* #,##0.00_ ;_-[$$-409]* \-#,##0.00\ ;_-[$$-409]* &quot;-&quot;??_ ;_-@_ "/>
    </dxf>
    <dxf>
      <numFmt numFmtId="13" formatCode="0%"/>
    </dxf>
    <dxf>
      <numFmt numFmtId="13" formatCode="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numFmt numFmtId="2" formatCode="0.00"/>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numFmt numFmtId="167" formatCode="[$$-409]#,##0_ ;\-[$$-409]#,##0\ "/>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s>
  <tableStyles count="0" defaultTableStyle="TableStyleMedium9" defaultPivotStyle="PivotStyleLight16"/>
  <colors>
    <mruColors>
      <color rgb="FF84C6D8"/>
      <color rgb="FF3898B2"/>
      <color rgb="FFDEF6DE"/>
      <color rgb="FF5E8ED4"/>
      <color rgb="FF2E75B6"/>
      <color rgb="FFF5F7FA"/>
      <color rgb="FFD9E2F3"/>
      <color rgb="FF7A7A7A"/>
      <color rgb="FF000080"/>
      <color rgb="FF86868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[Workforce_Attrition_Dashboard.xlsx]06_Salary_Analysis!PivotTable2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335201343075362"/>
          <c:y val="0.29614783929191735"/>
          <c:w val="0.47134023787567092"/>
          <c:h val="0.57580802521015384"/>
        </c:manualLayout>
      </c:layout>
      <c:barChart>
        <c:barDir val="bar"/>
        <c:grouping val="clustered"/>
        <c:varyColors val="0"/>
        <c:ser>
          <c:idx val="0"/>
          <c:order val="0"/>
          <c:tx>
            <c:strRef>
              <c:f>'06_Salary_Analysis'!$C$12</c:f>
              <c:strCache>
                <c:ptCount val="1"/>
                <c:pt idx="0">
                  <c:v>Total</c:v>
                </c:pt>
              </c:strCache>
            </c:strRef>
          </c:tx>
          <c:spPr>
            <a:solidFill>
              <a:schemeClr val="accent1"/>
            </a:solidFill>
            <a:ln>
              <a:noFill/>
            </a:ln>
            <a:effectLst/>
          </c:spPr>
          <c:invertIfNegative val="0"/>
          <c:cat>
            <c:strRef>
              <c:f>'06_Salary_Analysis'!$B$13:$B$21</c:f>
              <c:strCache>
                <c:ptCount val="9"/>
                <c:pt idx="0">
                  <c:v>Research Director</c:v>
                </c:pt>
                <c:pt idx="1">
                  <c:v>Manager</c:v>
                </c:pt>
                <c:pt idx="2">
                  <c:v>Healthcare Representative</c:v>
                </c:pt>
                <c:pt idx="3">
                  <c:v>Sales Executive</c:v>
                </c:pt>
                <c:pt idx="4">
                  <c:v>Manufacturing Director</c:v>
                </c:pt>
                <c:pt idx="5">
                  <c:v>Human Resources</c:v>
                </c:pt>
                <c:pt idx="6">
                  <c:v>Laboratory Technician</c:v>
                </c:pt>
                <c:pt idx="7">
                  <c:v>Research Scientist</c:v>
                </c:pt>
                <c:pt idx="8">
                  <c:v>Sales Representative</c:v>
                </c:pt>
              </c:strCache>
            </c:strRef>
          </c:cat>
          <c:val>
            <c:numRef>
              <c:f>'06_Salary_Analysis'!$C$13:$C$21</c:f>
              <c:numCache>
                <c:formatCode>[$$-409]#,##0.00</c:formatCode>
                <c:ptCount val="9"/>
                <c:pt idx="0">
                  <c:v>19395.5</c:v>
                </c:pt>
                <c:pt idx="1">
                  <c:v>16797.400000000001</c:v>
                </c:pt>
                <c:pt idx="2">
                  <c:v>8548.2222222222226</c:v>
                </c:pt>
                <c:pt idx="3">
                  <c:v>7489</c:v>
                </c:pt>
                <c:pt idx="4">
                  <c:v>7365.5</c:v>
                </c:pt>
                <c:pt idx="5">
                  <c:v>3715.75</c:v>
                </c:pt>
                <c:pt idx="6">
                  <c:v>2919.2580645161293</c:v>
                </c:pt>
                <c:pt idx="7">
                  <c:v>2780.4680851063831</c:v>
                </c:pt>
                <c:pt idx="8">
                  <c:v>2364.7272727272725</c:v>
                </c:pt>
              </c:numCache>
            </c:numRef>
          </c:val>
          <c:extLst>
            <c:ext xmlns:c16="http://schemas.microsoft.com/office/drawing/2014/chart" uri="{C3380CC4-5D6E-409C-BE32-E72D297353CC}">
              <c16:uniqueId val="{00000000-B7E7-4ED6-8E46-AC3D70699BDE}"/>
            </c:ext>
          </c:extLst>
        </c:ser>
        <c:dLbls>
          <c:showLegendKey val="0"/>
          <c:showVal val="0"/>
          <c:showCatName val="0"/>
          <c:showSerName val="0"/>
          <c:showPercent val="0"/>
          <c:showBubbleSize val="0"/>
        </c:dLbls>
        <c:gapWidth val="182"/>
        <c:axId val="535781640"/>
        <c:axId val="535783080"/>
      </c:barChart>
      <c:catAx>
        <c:axId val="535781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783080"/>
        <c:crosses val="autoZero"/>
        <c:auto val="1"/>
        <c:lblAlgn val="ctr"/>
        <c:lblOffset val="100"/>
        <c:noMultiLvlLbl val="0"/>
      </c:catAx>
      <c:valAx>
        <c:axId val="535783080"/>
        <c:scaling>
          <c:orientation val="minMax"/>
        </c:scaling>
        <c:delete val="0"/>
        <c:axPos val="b"/>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781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[Workforce_Attrition_Dashboard.xlsx]05_Attrition_Analysis!PivotTable1</c:name>
    <c:fmtId val="5"/>
  </c:pivotSource>
  <c:chart>
    <c:title>
      <c:tx>
        <c:rich>
          <a:bodyPr rot="0" spcFirstLastPara="1" vertOverflow="ellipsis" vert="horz" wrap="square" anchor="ctr" anchorCtr="1"/>
          <a:lstStyle/>
          <a:p>
            <a:pPr>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a:t>Attrition by Department</a:t>
            </a:r>
          </a:p>
        </c:rich>
      </c:tx>
      <c:layout>
        <c:manualLayout>
          <c:xMode val="edge"/>
          <c:yMode val="edge"/>
          <c:x val="0.34336797900262467"/>
          <c:y val="4.7573637434520755E-2"/>
        </c:manualLayout>
      </c:layout>
      <c:overlay val="0"/>
      <c:spPr>
        <a:noFill/>
        <a:ln>
          <a:noFill/>
        </a:ln>
        <a:effectLst>
          <a:outerShdw blurRad="50800" dist="50800" dir="5400000" algn="ctr" rotWithShape="0">
            <a:srgbClr val="000000">
              <a:alpha val="17000"/>
            </a:srgbClr>
          </a:outerShdw>
        </a:effectLst>
      </c:spPr>
      <c:txPr>
        <a:bodyPr rot="0" spcFirstLastPara="1" vertOverflow="ellipsis" vert="horz" wrap="square" anchor="ctr" anchorCtr="1"/>
        <a:lstStyle/>
        <a:p>
          <a:pPr>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31000">
                <a:srgbClr val="2E75B6"/>
              </a:gs>
              <a:gs pos="0">
                <a:schemeClr val="tx2">
                  <a:lumMod val="7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w="2540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398075240594931E-2"/>
          <c:y val="0.16642947037861192"/>
          <c:w val="0.8356981627296588"/>
          <c:h val="0.72947574909390778"/>
        </c:manualLayout>
      </c:layout>
      <c:barChart>
        <c:barDir val="col"/>
        <c:grouping val="clustered"/>
        <c:varyColors val="0"/>
        <c:ser>
          <c:idx val="0"/>
          <c:order val="0"/>
          <c:tx>
            <c:strRef>
              <c:f>'05_Attrition_Analysis'!$C$5</c:f>
              <c:strCache>
                <c:ptCount val="1"/>
                <c:pt idx="0">
                  <c:v>Total</c:v>
                </c:pt>
              </c:strCache>
            </c:strRef>
          </c:tx>
          <c:spPr>
            <a:gradFill>
              <a:gsLst>
                <a:gs pos="31000">
                  <a:srgbClr val="2E75B6"/>
                </a:gs>
                <a:gs pos="0">
                  <a:schemeClr val="tx2">
                    <a:lumMod val="7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w="25400">
              <a:solidFill>
                <a:schemeClr val="accent1"/>
              </a:solidFill>
            </a:ln>
            <a:effectLst/>
          </c:spPr>
          <c:invertIfNegative val="0"/>
          <c:cat>
            <c:strRef>
              <c:f>'05_Attrition_Analysis'!$B$6:$B$8</c:f>
              <c:strCache>
                <c:ptCount val="3"/>
                <c:pt idx="0">
                  <c:v>Human Resources</c:v>
                </c:pt>
                <c:pt idx="1">
                  <c:v>Research &amp; Development</c:v>
                </c:pt>
                <c:pt idx="2">
                  <c:v>Sales</c:v>
                </c:pt>
              </c:strCache>
            </c:strRef>
          </c:cat>
          <c:val>
            <c:numRef>
              <c:f>'05_Attrition_Analysis'!$C$6:$C$8</c:f>
              <c:numCache>
                <c:formatCode>General</c:formatCode>
                <c:ptCount val="3"/>
                <c:pt idx="0">
                  <c:v>12</c:v>
                </c:pt>
                <c:pt idx="1">
                  <c:v>133</c:v>
                </c:pt>
                <c:pt idx="2">
                  <c:v>92</c:v>
                </c:pt>
              </c:numCache>
            </c:numRef>
          </c:val>
          <c:extLst>
            <c:ext xmlns:c16="http://schemas.microsoft.com/office/drawing/2014/chart" uri="{C3380CC4-5D6E-409C-BE32-E72D297353CC}">
              <c16:uniqueId val="{00000000-B8C5-4E18-817E-83209C9E2D4D}"/>
            </c:ext>
          </c:extLst>
        </c:ser>
        <c:dLbls>
          <c:showLegendKey val="0"/>
          <c:showVal val="0"/>
          <c:showCatName val="0"/>
          <c:showSerName val="0"/>
          <c:showPercent val="0"/>
          <c:showBubbleSize val="0"/>
        </c:dLbls>
        <c:gapWidth val="219"/>
        <c:overlap val="-27"/>
        <c:axId val="430907416"/>
        <c:axId val="524634560"/>
      </c:barChart>
      <c:catAx>
        <c:axId val="430907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24634560"/>
        <c:crosses val="autoZero"/>
        <c:auto val="1"/>
        <c:lblAlgn val="ctr"/>
        <c:lblOffset val="100"/>
        <c:noMultiLvlLbl val="0"/>
      </c:catAx>
      <c:valAx>
        <c:axId val="524634560"/>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430907416"/>
        <c:crosses val="autoZero"/>
        <c:crossBetween val="between"/>
      </c:valAx>
      <c:spPr>
        <a:gradFill>
          <a:gsLst>
            <a:gs pos="0">
              <a:schemeClr val="accent1">
                <a:lumMod val="5000"/>
                <a:lumOff val="95000"/>
                <a:alpha val="29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plotArea>
    <c:legend>
      <c:legendPos val="r"/>
      <c:overlay val="0"/>
      <c:spPr>
        <a:noFill/>
        <a:ln>
          <a:noFill/>
        </a:ln>
        <a:effectLst/>
      </c:spPr>
      <c:txPr>
        <a:bodyPr rot="-5400000" spcFirstLastPara="1" vertOverflow="ellipsis"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0">
          <a:schemeClr val="accent1">
            <a:lumMod val="5000"/>
            <a:lumOff val="95000"/>
            <a:alpha val="2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[Workforce_Attrition_Dashboard.xlsx]06_Salary_Analysis!PivotTable2</c:name>
    <c:fmtId val="12"/>
  </c:pivotSource>
  <c:chart>
    <c:title>
      <c:tx>
        <c:rich>
          <a:bodyPr rot="0" spcFirstLastPara="1" vertOverflow="ellipsis" vert="horz" wrap="square" anchor="ctr" anchorCtr="1"/>
          <a:lstStyle/>
          <a:p>
            <a:pPr algn="ctr" rtl="0">
              <a:defRPr lang="en-US" sz="1600" b="1" i="0" u="none" strike="noStrike" kern="1200" spc="0" baseline="0">
                <a:ln>
                  <a:noFill/>
                </a:ln>
                <a:solidFill>
                  <a:schemeClr val="tx1">
                    <a:lumMod val="75000"/>
                    <a:lumOff val="25000"/>
                  </a:schemeClr>
                </a:solidFill>
                <a:effectLst>
                  <a:outerShdw blurRad="50800" dist="50800" dir="5400000" algn="ctr" rotWithShape="0">
                    <a:srgbClr val="F5F7FA">
                      <a:alpha val="42000"/>
                    </a:srgbClr>
                  </a:outerShdw>
                </a:effectLst>
                <a:latin typeface="+mn-lt"/>
                <a:ea typeface="+mn-ea"/>
                <a:cs typeface="+mn-cs"/>
              </a:defRPr>
            </a:pPr>
            <a:r>
              <a:rPr lang="en-US" sz="1600" b="1" i="0" u="none" strike="noStrike" kern="1200" spc="0" baseline="0">
                <a:ln>
                  <a:noFill/>
                </a:ln>
                <a:solidFill>
                  <a:schemeClr val="tx1">
                    <a:lumMod val="75000"/>
                    <a:lumOff val="25000"/>
                  </a:schemeClr>
                </a:solidFill>
                <a:effectLst>
                  <a:outerShdw blurRad="50800" dist="50800" dir="5400000" algn="ctr" rotWithShape="0">
                    <a:srgbClr val="F5F7FA">
                      <a:alpha val="42000"/>
                    </a:srgbClr>
                  </a:outerShdw>
                </a:effectLst>
                <a:latin typeface="+mn-lt"/>
                <a:ea typeface="+mn-ea"/>
                <a:cs typeface="+mn-cs"/>
              </a:rPr>
              <a:t>Salary by Job Role</a:t>
            </a:r>
          </a:p>
        </c:rich>
      </c:tx>
      <c:overlay val="0"/>
      <c:spPr>
        <a:noFill/>
        <a:ln>
          <a:noFill/>
        </a:ln>
        <a:effectLst>
          <a:outerShdw blurRad="50800" dist="50800" dir="5400000" algn="ctr" rotWithShape="0">
            <a:srgbClr val="000000">
              <a:alpha val="21000"/>
            </a:srgbClr>
          </a:outerShdw>
        </a:effectLst>
      </c:spPr>
      <c:txPr>
        <a:bodyPr rot="0" spcFirstLastPara="1" vertOverflow="ellipsis" vert="horz" wrap="square" anchor="ctr" anchorCtr="1"/>
        <a:lstStyle/>
        <a:p>
          <a:pPr algn="ctr" rtl="0">
            <a:defRPr lang="en-US" sz="1600" b="1" i="0" u="none" strike="noStrike" kern="1200" spc="0" baseline="0">
              <a:ln>
                <a:noFill/>
              </a:ln>
              <a:solidFill>
                <a:schemeClr val="tx1">
                  <a:lumMod val="75000"/>
                  <a:lumOff val="25000"/>
                </a:schemeClr>
              </a:solidFill>
              <a:effectLst>
                <a:outerShdw blurRad="50800" dist="50800" dir="5400000" algn="ctr" rotWithShape="0">
                  <a:srgbClr val="F5F7FA">
                    <a:alpha val="42000"/>
                  </a:srgbClr>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
                <a:schemeClr val="tx2">
                  <a:lumMod val="75000"/>
                </a:schemeClr>
              </a:gs>
              <a:gs pos="0">
                <a:schemeClr val="tx2">
                  <a:lumMod val="75000"/>
                </a:schemeClr>
              </a:gs>
              <a:gs pos="0">
                <a:schemeClr val="accent1">
                  <a:lumMod val="45000"/>
                  <a:lumOff val="55000"/>
                </a:schemeClr>
              </a:gs>
              <a:gs pos="18000">
                <a:schemeClr val="accent1">
                  <a:lumMod val="45000"/>
                  <a:lumOff val="55000"/>
                </a:schemeClr>
              </a:gs>
              <a:gs pos="85000">
                <a:schemeClr val="tx2">
                  <a:lumMod val="60000"/>
                  <a:lumOff val="40000"/>
                </a:schemeClr>
              </a:gs>
            </a:gsLst>
            <a:lin ang="27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980314978525783"/>
          <c:y val="0.14594037493030737"/>
          <c:w val="0.66104694249734186"/>
          <c:h val="0.69917960570052406"/>
        </c:manualLayout>
      </c:layout>
      <c:barChart>
        <c:barDir val="bar"/>
        <c:grouping val="clustered"/>
        <c:varyColors val="0"/>
        <c:ser>
          <c:idx val="0"/>
          <c:order val="0"/>
          <c:tx>
            <c:strRef>
              <c:f>'06_Salary_Analysis'!$C$12</c:f>
              <c:strCache>
                <c:ptCount val="1"/>
                <c:pt idx="0">
                  <c:v>Total</c:v>
                </c:pt>
              </c:strCache>
            </c:strRef>
          </c:tx>
          <c:spPr>
            <a:gradFill flip="none" rotWithShape="1">
              <a:gsLst>
                <a:gs pos="1000">
                  <a:schemeClr val="tx2">
                    <a:lumMod val="75000"/>
                  </a:schemeClr>
                </a:gs>
                <a:gs pos="0">
                  <a:schemeClr val="tx2">
                    <a:lumMod val="75000"/>
                  </a:schemeClr>
                </a:gs>
                <a:gs pos="0">
                  <a:schemeClr val="accent1">
                    <a:lumMod val="45000"/>
                    <a:lumOff val="55000"/>
                  </a:schemeClr>
                </a:gs>
                <a:gs pos="18000">
                  <a:schemeClr val="accent1">
                    <a:lumMod val="45000"/>
                    <a:lumOff val="55000"/>
                  </a:schemeClr>
                </a:gs>
                <a:gs pos="85000">
                  <a:schemeClr val="tx2">
                    <a:lumMod val="60000"/>
                    <a:lumOff val="40000"/>
                  </a:schemeClr>
                </a:gs>
              </a:gsLst>
              <a:lin ang="2700000" scaled="1"/>
              <a:tileRect/>
            </a:gradFill>
            <a:ln>
              <a:noFill/>
            </a:ln>
            <a:effectLst/>
          </c:spPr>
          <c:invertIfNegative val="0"/>
          <c:cat>
            <c:strRef>
              <c:f>'06_Salary_Analysis'!$B$13:$B$21</c:f>
              <c:strCache>
                <c:ptCount val="9"/>
                <c:pt idx="0">
                  <c:v>Research Director</c:v>
                </c:pt>
                <c:pt idx="1">
                  <c:v>Manager</c:v>
                </c:pt>
                <c:pt idx="2">
                  <c:v>Healthcare Representative</c:v>
                </c:pt>
                <c:pt idx="3">
                  <c:v>Sales Executive</c:v>
                </c:pt>
                <c:pt idx="4">
                  <c:v>Manufacturing Director</c:v>
                </c:pt>
                <c:pt idx="5">
                  <c:v>Human Resources</c:v>
                </c:pt>
                <c:pt idx="6">
                  <c:v>Laboratory Technician</c:v>
                </c:pt>
                <c:pt idx="7">
                  <c:v>Research Scientist</c:v>
                </c:pt>
                <c:pt idx="8">
                  <c:v>Sales Representative</c:v>
                </c:pt>
              </c:strCache>
            </c:strRef>
          </c:cat>
          <c:val>
            <c:numRef>
              <c:f>'06_Salary_Analysis'!$C$13:$C$21</c:f>
              <c:numCache>
                <c:formatCode>[$$-409]#,##0.00</c:formatCode>
                <c:ptCount val="9"/>
                <c:pt idx="0">
                  <c:v>19395.5</c:v>
                </c:pt>
                <c:pt idx="1">
                  <c:v>16797.400000000001</c:v>
                </c:pt>
                <c:pt idx="2">
                  <c:v>8548.2222222222226</c:v>
                </c:pt>
                <c:pt idx="3">
                  <c:v>7489</c:v>
                </c:pt>
                <c:pt idx="4">
                  <c:v>7365.5</c:v>
                </c:pt>
                <c:pt idx="5">
                  <c:v>3715.75</c:v>
                </c:pt>
                <c:pt idx="6">
                  <c:v>2919.2580645161293</c:v>
                </c:pt>
                <c:pt idx="7">
                  <c:v>2780.4680851063831</c:v>
                </c:pt>
                <c:pt idx="8">
                  <c:v>2364.7272727272725</c:v>
                </c:pt>
              </c:numCache>
            </c:numRef>
          </c:val>
          <c:extLst>
            <c:ext xmlns:c16="http://schemas.microsoft.com/office/drawing/2014/chart" uri="{C3380CC4-5D6E-409C-BE32-E72D297353CC}">
              <c16:uniqueId val="{00000000-8B57-4A64-B395-E87F46DFDAE4}"/>
            </c:ext>
          </c:extLst>
        </c:ser>
        <c:dLbls>
          <c:showLegendKey val="0"/>
          <c:showVal val="0"/>
          <c:showCatName val="0"/>
          <c:showSerName val="0"/>
          <c:showPercent val="0"/>
          <c:showBubbleSize val="0"/>
        </c:dLbls>
        <c:gapWidth val="182"/>
        <c:axId val="535781640"/>
        <c:axId val="535783080"/>
      </c:barChart>
      <c:catAx>
        <c:axId val="535781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35783080"/>
        <c:crosses val="autoZero"/>
        <c:auto val="1"/>
        <c:lblAlgn val="ctr"/>
        <c:lblOffset val="100"/>
        <c:noMultiLvlLbl val="0"/>
      </c:catAx>
      <c:valAx>
        <c:axId val="535783080"/>
        <c:scaling>
          <c:orientation val="minMax"/>
        </c:scaling>
        <c:delete val="0"/>
        <c:axPos val="b"/>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535781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1" i="0" u="none" strike="noStrike" kern="1200" baseline="0">
              <a:ln>
                <a:noFill/>
              </a:ln>
              <a:solidFill>
                <a:schemeClr val="tx1">
                  <a:lumMod val="85000"/>
                  <a:lumOff val="1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
          <a:srgbClr val="2E75B6">
            <a:alpha val="4000"/>
          </a:srgbClr>
        </a:gs>
        <a:gs pos="0">
          <a:schemeClr val="tx2">
            <a:lumMod val="75000"/>
          </a:schemeClr>
        </a:gs>
        <a:gs pos="0">
          <a:schemeClr val="accent1">
            <a:lumMod val="45000"/>
            <a:lumOff val="55000"/>
          </a:schemeClr>
        </a:gs>
        <a:gs pos="93000">
          <a:schemeClr val="accent1">
            <a:lumMod val="45000"/>
            <a:lumOff val="55000"/>
          </a:schemeClr>
        </a:gs>
        <a:gs pos="100000">
          <a:schemeClr val="accent1">
            <a:lumMod val="30000"/>
            <a:lumOff val="70000"/>
          </a:schemeClr>
        </a:gs>
      </a:gsLst>
      <a:lin ang="5400000" scaled="0"/>
    </a:gra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[Workforce_Attrition_Dashboard.xlsx]07_Risk_Model!PivotTable1</c:name>
    <c:fmtId val="7"/>
  </c:pivotSource>
  <c:chart>
    <c:title>
      <c:tx>
        <c:rich>
          <a:bodyPr rot="0" spcFirstLastPara="1" vertOverflow="ellipsis" vert="horz" wrap="square" anchor="ctr" anchorCtr="1"/>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rPr>
              <a:t>Risk Distribution by employees</a:t>
            </a:r>
          </a:p>
        </c:rich>
      </c:tx>
      <c:overlay val="0"/>
      <c:spPr>
        <a:noFill/>
        <a:ln>
          <a:noFill/>
        </a:ln>
        <a:effectLst>
          <a:outerShdw blurRad="50800" dist="50800" dir="5400000" algn="ctr" rotWithShape="0">
            <a:srgbClr val="000000">
              <a:alpha val="15000"/>
            </a:srgbClr>
          </a:outerShdw>
        </a:effectLst>
      </c:spPr>
      <c:txPr>
        <a:bodyPr rot="0" spcFirstLastPara="1" vertOverflow="ellipsis" vert="horz" wrap="square" anchor="ctr" anchorCtr="1"/>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rgbClr val="00B050"/>
          </a:solidFill>
          <a:ln>
            <a:noFill/>
          </a:ln>
          <a:effectLst>
            <a:outerShdw blurRad="254000" sx="102000" sy="102000" algn="ctr" rotWithShape="0">
              <a:prstClr val="black">
                <a:alpha val="20000"/>
              </a:prstClr>
            </a:outerShdw>
          </a:effectLst>
        </c:spPr>
      </c:pivotFmt>
      <c:pivotFmt>
        <c:idx val="8"/>
        <c:spPr>
          <a:solidFill>
            <a:schemeClr val="accent5">
              <a:lumMod val="75000"/>
            </a:schemeClr>
          </a:solidFill>
          <a:ln>
            <a:noFill/>
          </a:ln>
          <a:effectLst>
            <a:outerShdw blurRad="254000" sx="102000" sy="102000" algn="ctr" rotWithShape="0">
              <a:prstClr val="black">
                <a:alpha val="13000"/>
              </a:prstClr>
            </a:outerShdw>
          </a:effectLst>
        </c:spPr>
      </c:pivotFmt>
    </c:pivotFmts>
    <c:plotArea>
      <c:layout>
        <c:manualLayout>
          <c:layoutTarget val="inner"/>
          <c:xMode val="edge"/>
          <c:yMode val="edge"/>
          <c:x val="0.29289538843379925"/>
          <c:y val="0.15319444444444447"/>
          <c:w val="0.43108059016957573"/>
          <c:h val="0.82828703703703699"/>
        </c:manualLayout>
      </c:layout>
      <c:doughnutChart>
        <c:varyColors val="1"/>
        <c:ser>
          <c:idx val="0"/>
          <c:order val="0"/>
          <c:tx>
            <c:strRef>
              <c:f>'07_Risk_Model'!$J$15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484-4A7C-8EDE-5213F867EBFF}"/>
              </c:ext>
            </c:extLst>
          </c:dPt>
          <c:dPt>
            <c:idx val="1"/>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484-4A7C-8EDE-5213F867EBFF}"/>
              </c:ext>
            </c:extLst>
          </c:dPt>
          <c:dPt>
            <c:idx val="2"/>
            <c:bubble3D val="0"/>
            <c:spPr>
              <a:solidFill>
                <a:schemeClr val="accent5">
                  <a:lumMod val="75000"/>
                </a:schemeClr>
              </a:solidFill>
              <a:ln>
                <a:noFill/>
              </a:ln>
              <a:effectLst>
                <a:outerShdw blurRad="254000" sx="102000" sy="102000" algn="ctr" rotWithShape="0">
                  <a:prstClr val="black">
                    <a:alpha val="13000"/>
                  </a:prstClr>
                </a:outerShdw>
              </a:effectLst>
            </c:spPr>
            <c:extLst>
              <c:ext xmlns:c16="http://schemas.microsoft.com/office/drawing/2014/chart" uri="{C3380CC4-5D6E-409C-BE32-E72D297353CC}">
                <c16:uniqueId val="{00000005-8484-4A7C-8EDE-5213F867EBF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'07_Risk_Model'!$I$16:$I$18</c:f>
              <c:strCache>
                <c:ptCount val="3"/>
                <c:pt idx="0">
                  <c:v>High Risk</c:v>
                </c:pt>
                <c:pt idx="1">
                  <c:v>Low Risk</c:v>
                </c:pt>
                <c:pt idx="2">
                  <c:v>Medium Risk</c:v>
                </c:pt>
              </c:strCache>
            </c:strRef>
          </c:cat>
          <c:val>
            <c:numRef>
              <c:f>'07_Risk_Model'!$J$16:$J$18</c:f>
              <c:numCache>
                <c:formatCode>General</c:formatCode>
                <c:ptCount val="3"/>
                <c:pt idx="0">
                  <c:v>202</c:v>
                </c:pt>
                <c:pt idx="1">
                  <c:v>12</c:v>
                </c:pt>
                <c:pt idx="2">
                  <c:v>23</c:v>
                </c:pt>
              </c:numCache>
            </c:numRef>
          </c:val>
          <c:extLst>
            <c:ext xmlns:c16="http://schemas.microsoft.com/office/drawing/2014/chart" uri="{C3380CC4-5D6E-409C-BE32-E72D297353CC}">
              <c16:uniqueId val="{00000006-8484-4A7C-8EDE-5213F867EBFF}"/>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1000">
          <a:schemeClr val="accent1">
            <a:lumMod val="75000"/>
          </a:schemeClr>
        </a:gs>
        <a:gs pos="45000">
          <a:schemeClr val="accent1">
            <a:lumMod val="45000"/>
            <a:lumOff val="55000"/>
          </a:schemeClr>
        </a:gs>
        <a:gs pos="1000">
          <a:schemeClr val="accent1">
            <a:lumMod val="45000"/>
            <a:lumOff val="55000"/>
          </a:schemeClr>
        </a:gs>
        <a:gs pos="68000">
          <a:schemeClr val="accent1">
            <a:lumMod val="30000"/>
            <a:lumOff val="70000"/>
          </a:schemeClr>
        </a:gs>
      </a:gsLst>
      <a:lin ang="18000000" scaled="0"/>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[Workforce_Attrition_Dashboard.xlsx]05_Attrition_Analysis!PivotTable8</c:name>
    <c:fmtId val="56"/>
  </c:pivotSource>
  <c:chart>
    <c:title>
      <c:tx>
        <c:rich>
          <a:bodyPr rot="0" spcFirstLastPara="1" vertOverflow="ellipsis" vert="horz" wrap="square" anchor="ctr" anchorCtr="1"/>
          <a:lstStyle/>
          <a:p>
            <a:pPr algn="ctr" rtl="0">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a:t>Attrition by Overtime</a:t>
            </a:r>
          </a:p>
        </c:rich>
      </c:tx>
      <c:overlay val="0"/>
      <c:spPr>
        <a:noFill/>
        <a:ln>
          <a:noFill/>
        </a:ln>
        <a:effectLst>
          <a:outerShdw blurRad="50800" dist="50800" dir="5400000" algn="ctr" rotWithShape="0">
            <a:srgbClr val="000000">
              <a:alpha val="14000"/>
            </a:srgbClr>
          </a:outerShdw>
        </a:effectLst>
      </c:spPr>
      <c:txPr>
        <a:bodyPr rot="0" spcFirstLastPara="1" vertOverflow="ellipsis" vert="horz" wrap="square" anchor="ctr" anchorCtr="1"/>
        <a:lstStyle/>
        <a:p>
          <a:pPr algn="ctr" rtl="0">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9000">
                <a:schemeClr val="accent1">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19000">
                <a:schemeClr val="accent1">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noFill/>
          </a:ln>
          <a:effectLst/>
        </c:spPr>
      </c:pivotFmt>
      <c:pivotFmt>
        <c:idx val="4"/>
        <c:spPr>
          <a:gradFill>
            <a:gsLst>
              <a:gs pos="19000">
                <a:schemeClr val="accent1">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gradFill>
              <a:gsLst>
                <a:gs pos="13000">
                  <a:schemeClr val="tx2">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effectLst/>
        </c:spPr>
      </c:pivotFmt>
    </c:pivotFmts>
    <c:plotArea>
      <c:layout/>
      <c:barChart>
        <c:barDir val="col"/>
        <c:grouping val="clustered"/>
        <c:varyColors val="0"/>
        <c:ser>
          <c:idx val="0"/>
          <c:order val="0"/>
          <c:tx>
            <c:strRef>
              <c:f>'05_Attrition_Analysis'!$I$11</c:f>
              <c:strCache>
                <c:ptCount val="1"/>
                <c:pt idx="0">
                  <c:v>Total</c:v>
                </c:pt>
              </c:strCache>
            </c:strRef>
          </c:tx>
          <c:spPr>
            <a:gradFill>
              <a:gsLst>
                <a:gs pos="19000">
                  <a:schemeClr val="accent1">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noFill/>
            </a:ln>
            <a:effectLst/>
          </c:spPr>
          <c:invertIfNegative val="0"/>
          <c:dPt>
            <c:idx val="0"/>
            <c:invertIfNegative val="0"/>
            <c:bubble3D val="0"/>
            <c:spPr>
              <a:gradFill>
                <a:gsLst>
                  <a:gs pos="19000">
                    <a:schemeClr val="accent1">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gradFill>
                  <a:gsLst>
                    <a:gs pos="13000">
                      <a:schemeClr val="tx2">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effectLst/>
            </c:spPr>
            <c:extLst>
              <c:ext xmlns:c16="http://schemas.microsoft.com/office/drawing/2014/chart" uri="{C3380CC4-5D6E-409C-BE32-E72D297353CC}">
                <c16:uniqueId val="{00000001-FD49-4112-9521-B862DFED8055}"/>
              </c:ext>
            </c:extLst>
          </c:dPt>
          <c:cat>
            <c:strRef>
              <c:f>'05_Attrition_Analysis'!$H$12:$H$13</c:f>
              <c:strCache>
                <c:ptCount val="2"/>
                <c:pt idx="0">
                  <c:v>No</c:v>
                </c:pt>
                <c:pt idx="1">
                  <c:v>Yes</c:v>
                </c:pt>
              </c:strCache>
            </c:strRef>
          </c:cat>
          <c:val>
            <c:numRef>
              <c:f>'05_Attrition_Analysis'!$I$12:$I$13</c:f>
              <c:numCache>
                <c:formatCode>General</c:formatCode>
                <c:ptCount val="2"/>
                <c:pt idx="0">
                  <c:v>110</c:v>
                </c:pt>
                <c:pt idx="1">
                  <c:v>127</c:v>
                </c:pt>
              </c:numCache>
            </c:numRef>
          </c:val>
          <c:extLst>
            <c:ext xmlns:c16="http://schemas.microsoft.com/office/drawing/2014/chart" uri="{C3380CC4-5D6E-409C-BE32-E72D297353CC}">
              <c16:uniqueId val="{00000000-DDE9-49F5-B12D-B7877E38103D}"/>
            </c:ext>
          </c:extLst>
        </c:ser>
        <c:dLbls>
          <c:showLegendKey val="0"/>
          <c:showVal val="0"/>
          <c:showCatName val="0"/>
          <c:showSerName val="0"/>
          <c:showPercent val="0"/>
          <c:showBubbleSize val="0"/>
        </c:dLbls>
        <c:gapWidth val="219"/>
        <c:overlap val="-27"/>
        <c:axId val="511727504"/>
        <c:axId val="511728224"/>
      </c:barChart>
      <c:catAx>
        <c:axId val="51172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11728224"/>
        <c:crosses val="autoZero"/>
        <c:auto val="1"/>
        <c:lblAlgn val="ctr"/>
        <c:lblOffset val="100"/>
        <c:noMultiLvlLbl val="0"/>
      </c:catAx>
      <c:valAx>
        <c:axId val="5117282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11727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
          <a:schemeClr val="accent1">
            <a:lumMod val="75000"/>
          </a:schemeClr>
        </a:gs>
        <a:gs pos="2000">
          <a:schemeClr val="accent1">
            <a:lumMod val="45000"/>
            <a:lumOff val="55000"/>
          </a:schemeClr>
        </a:gs>
        <a:gs pos="51000">
          <a:schemeClr val="accent1">
            <a:lumMod val="45000"/>
            <a:lumOff val="55000"/>
          </a:schemeClr>
        </a:gs>
        <a:gs pos="68000">
          <a:schemeClr val="accent1">
            <a:lumMod val="30000"/>
            <a:lumOff val="70000"/>
          </a:schemeClr>
        </a:gs>
      </a:gsLst>
      <a:lin ang="18000000" scaled="0"/>
    </a:gradFill>
    <a:ln w="9525" cap="flat" cmpd="sng" algn="ctr">
      <a:solidFill>
        <a:schemeClr val="tx1">
          <a:lumMod val="15000"/>
          <a:lumOff val="85000"/>
        </a:schemeClr>
      </a:solidFill>
      <a:round/>
    </a:ln>
    <a:effectLst/>
  </c:spPr>
  <c:txPr>
    <a:bodyPr/>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[Workforce_Attrition_Dashboard.xlsx]05_Attrition_Analysis!PivotTable9</c:name>
    <c:fmtId val="6"/>
  </c:pivotSource>
  <c:chart>
    <c:title>
      <c:tx>
        <c:rich>
          <a:bodyPr rot="0" spcFirstLastPara="1" vertOverflow="ellipsis" vert="horz" wrap="square" anchor="ctr" anchorCtr="1"/>
          <a:lstStyle/>
          <a:p>
            <a:pPr algn="ctr" rtl="0">
              <a:defRPr lang="en-IN"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IN"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rPr>
              <a:t>Attrition Trend by Employee Tenure</a:t>
            </a:r>
          </a:p>
        </c:rich>
      </c:tx>
      <c:overlay val="0"/>
      <c:spPr>
        <a:noFill/>
        <a:ln>
          <a:noFill/>
        </a:ln>
        <a:effectLst/>
      </c:spPr>
      <c:txPr>
        <a:bodyPr rot="0" spcFirstLastPara="1" vertOverflow="ellipsis" vert="horz" wrap="square" anchor="ctr" anchorCtr="1"/>
        <a:lstStyle/>
        <a:p>
          <a:pPr algn="ctr" rtl="0">
            <a:defRPr lang="en-IN"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'05_Attrition_Analysis'!$L$5</c:f>
              <c:strCache>
                <c:ptCount val="1"/>
                <c:pt idx="0">
                  <c:v>Total</c:v>
                </c:pt>
              </c:strCache>
            </c:strRef>
          </c:tx>
          <c:spPr>
            <a:ln w="28575" cap="rnd">
              <a:solidFill>
                <a:srgbClr val="00B050"/>
              </a:solidFill>
              <a:round/>
            </a:ln>
            <a:effectLst/>
          </c:spPr>
          <c:marker>
            <c:symbol val="circle"/>
            <c:size val="5"/>
            <c:spPr>
              <a:solidFill>
                <a:schemeClr val="accent1"/>
              </a:solidFill>
              <a:ln w="9525">
                <a:solidFill>
                  <a:schemeClr val="accent1"/>
                </a:solidFill>
              </a:ln>
              <a:effectLst/>
            </c:spPr>
          </c:marker>
          <c:cat>
            <c:strRef>
              <c:f>'05_Attrition_Analysis'!$K$6:$K$10</c:f>
              <c:strCache>
                <c:ptCount val="4"/>
                <c:pt idx="0">
                  <c:v>0-2 Years</c:v>
                </c:pt>
                <c:pt idx="1">
                  <c:v>3-5 Years</c:v>
                </c:pt>
                <c:pt idx="2">
                  <c:v>6-10 Years</c:v>
                </c:pt>
                <c:pt idx="3">
                  <c:v>10+ Years</c:v>
                </c:pt>
              </c:strCache>
            </c:strRef>
          </c:cat>
          <c:val>
            <c:numRef>
              <c:f>'05_Attrition_Analysis'!$L$6:$L$10</c:f>
              <c:numCache>
                <c:formatCode>0%</c:formatCode>
                <c:ptCount val="4"/>
                <c:pt idx="0">
                  <c:v>0.2982456140350877</c:v>
                </c:pt>
                <c:pt idx="1">
                  <c:v>0.13824884792626729</c:v>
                </c:pt>
                <c:pt idx="2">
                  <c:v>0.12276785714285714</c:v>
                </c:pt>
                <c:pt idx="3">
                  <c:v>8.1300813008130079E-2</c:v>
                </c:pt>
              </c:numCache>
            </c:numRef>
          </c:val>
          <c:smooth val="0"/>
          <c:extLst>
            <c:ext xmlns:c16="http://schemas.microsoft.com/office/drawing/2014/chart" uri="{C3380CC4-5D6E-409C-BE32-E72D297353CC}">
              <c16:uniqueId val="{00000000-E54B-4FE2-9E28-010EAAC7A35E}"/>
            </c:ext>
          </c:extLst>
        </c:ser>
        <c:dLbls>
          <c:showLegendKey val="0"/>
          <c:showVal val="0"/>
          <c:showCatName val="0"/>
          <c:showSerName val="0"/>
          <c:showPercent val="0"/>
          <c:showBubbleSize val="0"/>
        </c:dLbls>
        <c:marker val="1"/>
        <c:smooth val="0"/>
        <c:axId val="499554032"/>
        <c:axId val="511725704"/>
      </c:lineChart>
      <c:catAx>
        <c:axId val="499554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4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11725704"/>
        <c:crosses val="autoZero"/>
        <c:auto val="1"/>
        <c:lblAlgn val="ctr"/>
        <c:lblOffset val="100"/>
        <c:noMultiLvlLbl val="0"/>
      </c:catAx>
      <c:valAx>
        <c:axId val="51172570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14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49955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
          <a:schemeClr val="accent1">
            <a:lumMod val="75000"/>
          </a:schemeClr>
        </a:gs>
        <a:gs pos="58000">
          <a:schemeClr val="accent1">
            <a:lumMod val="45000"/>
            <a:lumOff val="55000"/>
          </a:schemeClr>
        </a:gs>
        <a:gs pos="1000">
          <a:schemeClr val="accent1">
            <a:lumMod val="45000"/>
            <a:lumOff val="55000"/>
          </a:schemeClr>
        </a:gs>
        <a:gs pos="76000">
          <a:schemeClr val="accent1">
            <a:lumMod val="30000"/>
            <a:lumOff val="70000"/>
          </a:schemeClr>
        </a:gs>
      </a:gsLst>
      <a:lin ang="18000000" scaled="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Salary Distribution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Salary Distribution</a:t>
          </a:r>
        </a:p>
      </cx:txPr>
    </cx:title>
    <cx:plotArea>
      <cx:plotAreaRegion>
        <cx:series layoutId="clusteredColumn" uniqueId="{2F203C58-FEA1-4075-8BE7-72AFD1DF4D4B}">
          <cx:dataId val="0"/>
          <cx:layoutPr>
            <cx:aggregation/>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Salary Distribution</cx:v>
        </cx:txData>
      </cx:tx>
      <cx:txPr>
        <a:bodyPr spcFirstLastPara="1" vertOverflow="ellipsis" horzOverflow="overflow" wrap="square" lIns="0" tIns="0" rIns="0" bIns="0" anchor="ctr" anchorCtr="1"/>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rPr>
            <a:t>Salary Distribution</a:t>
          </a:r>
        </a:p>
      </cx:txPr>
    </cx:title>
    <cx:plotArea>
      <cx:plotAreaRegion>
        <cx:plotSurface>
          <cx:spPr>
            <a:noFill/>
          </cx:spPr>
        </cx:plotSurface>
        <cx:series layoutId="clusteredColumn" uniqueId="{2F203C58-FEA1-4075-8BE7-72AFD1DF4D4B}">
          <cx:spPr>
            <a:gradFill>
              <a:gsLst>
                <a:gs pos="11000">
                  <a:srgbClr val="00B050"/>
                </a:gs>
                <a:gs pos="84000">
                  <a:schemeClr val="accent1">
                    <a:lumMod val="45000"/>
                    <a:lumOff val="55000"/>
                  </a:schemeClr>
                </a:gs>
                <a:gs pos="78000">
                  <a:schemeClr val="accent1">
                    <a:lumMod val="45000"/>
                    <a:lumOff val="55000"/>
                  </a:schemeClr>
                </a:gs>
                <a:gs pos="96000">
                  <a:schemeClr val="accent1">
                    <a:lumMod val="30000"/>
                    <a:lumOff val="70000"/>
                  </a:schemeClr>
                </a:gs>
              </a:gsLst>
              <a:lin ang="18000000" scaled="0"/>
            </a:gradFill>
            <a:ln>
              <a:noFill/>
            </a:ln>
          </cx:spPr>
          <cx:dataId val="0"/>
          <cx:layoutPr>
            <cx:aggregation/>
          </cx:layoutPr>
        </cx:series>
      </cx:plotAreaRegion>
      <cx:axis id="0">
        <cx:catScaling gapWidth="0"/>
        <cx:tickLabels/>
        <cx:txPr>
          <a:bodyPr vertOverflow="overflow" horzOverflow="overflow" wrap="square" lIns="0" tIns="0" rIns="0" bIns="0"/>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endParaRPr>
          </a:p>
        </cx:txPr>
      </cx:axis>
      <cx:axis id="1">
        <cx:valScaling/>
        <cx:tickLabels/>
        <cx:txPr>
          <a:bodyPr vertOverflow="overflow" horzOverflow="overflow" wrap="square" lIns="0" tIns="0" rIns="0" bIns="0"/>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endParaRPr>
          </a:p>
        </cx:txPr>
      </cx:axis>
    </cx:plotArea>
  </cx:chart>
  <cx:spPr>
    <a:gradFill>
      <a:gsLst>
        <a:gs pos="0">
          <a:schemeClr val="accent1">
            <a:lumMod val="75000"/>
          </a:schemeClr>
        </a:gs>
        <a:gs pos="48000">
          <a:schemeClr val="accent1">
            <a:lumMod val="45000"/>
            <a:lumOff val="55000"/>
          </a:schemeClr>
        </a:gs>
        <a:gs pos="2000">
          <a:schemeClr val="accent1">
            <a:lumMod val="45000"/>
            <a:lumOff val="55000"/>
          </a:schemeClr>
        </a:gs>
        <a:gs pos="86000">
          <a:schemeClr val="accent1">
            <a:lumMod val="30000"/>
            <a:lumOff val="70000"/>
          </a:schemeClr>
        </a:gs>
      </a:gsLst>
      <a:lin ang="18000000" scaled="0"/>
    </a:gra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microsoft.com/office/2014/relationships/chartEx" Target="../charts/chartEx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161924</xdr:colOff>
      <xdr:row>21</xdr:row>
      <xdr:rowOff>123824</xdr:rowOff>
    </xdr:from>
    <xdr:to>
      <xdr:col>6</xdr:col>
      <xdr:colOff>295275</xdr:colOff>
      <xdr:row>31</xdr:row>
      <xdr:rowOff>23811</xdr:rowOff>
    </xdr:to>
    <xdr:graphicFrame macro="">
      <xdr:nvGraphicFramePr>
        <xdr:cNvPr id="2" name="Chart 1">
          <a:extLst>
            <a:ext uri="{FF2B5EF4-FFF2-40B4-BE49-F238E27FC236}">
              <a16:creationId xmlns:a16="http://schemas.microsoft.com/office/drawing/2014/main" id="{C55D665D-707D-4A88-C198-647C7D3ED3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85725</xdr:colOff>
      <xdr:row>17</xdr:row>
      <xdr:rowOff>38101</xdr:rowOff>
    </xdr:from>
    <xdr:to>
      <xdr:col>11</xdr:col>
      <xdr:colOff>657225</xdr:colOff>
      <xdr:row>31</xdr:row>
      <xdr:rowOff>52387</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5682E7B9-FBA8-9CB9-2D82-FB4D5B900EF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496050" y="3505201"/>
              <a:ext cx="3905250" cy="268128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27213</xdr:colOff>
      <xdr:row>3</xdr:row>
      <xdr:rowOff>176892</xdr:rowOff>
    </xdr:from>
    <xdr:to>
      <xdr:col>19</xdr:col>
      <xdr:colOff>68036</xdr:colOff>
      <xdr:row>54</xdr:row>
      <xdr:rowOff>122464</xdr:rowOff>
    </xdr:to>
    <xdr:sp macro="" textlink="">
      <xdr:nvSpPr>
        <xdr:cNvPr id="14" name="Flowchart: Alternate Process 13">
          <a:extLst>
            <a:ext uri="{FF2B5EF4-FFF2-40B4-BE49-F238E27FC236}">
              <a16:creationId xmlns:a16="http://schemas.microsoft.com/office/drawing/2014/main" id="{17842356-3A95-04CA-324E-BAC997D01FC4}"/>
            </a:ext>
          </a:extLst>
        </xdr:cNvPr>
        <xdr:cNvSpPr/>
      </xdr:nvSpPr>
      <xdr:spPr>
        <a:xfrm>
          <a:off x="12273642" y="898071"/>
          <a:ext cx="2000251" cy="9837964"/>
        </a:xfrm>
        <a:prstGeom prst="flowChartAlternateProcess">
          <a:avLst/>
        </a:prstGeom>
        <a:solidFill>
          <a:srgbClr val="3898B2">
            <a:alpha val="49804"/>
          </a:srgb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9</xdr:row>
      <xdr:rowOff>13607</xdr:rowOff>
    </xdr:from>
    <xdr:to>
      <xdr:col>8</xdr:col>
      <xdr:colOff>0</xdr:colOff>
      <xdr:row>23</xdr:row>
      <xdr:rowOff>176893</xdr:rowOff>
    </xdr:to>
    <xdr:graphicFrame macro="">
      <xdr:nvGraphicFramePr>
        <xdr:cNvPr id="2" name="Chart 1">
          <a:extLst>
            <a:ext uri="{FF2B5EF4-FFF2-40B4-BE49-F238E27FC236}">
              <a16:creationId xmlns:a16="http://schemas.microsoft.com/office/drawing/2014/main" id="{927FFED4-6B1F-45E7-B44A-FBD1A2EE44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108858</xdr:colOff>
      <xdr:row>9</xdr:row>
      <xdr:rowOff>13608</xdr:rowOff>
    </xdr:from>
    <xdr:to>
      <xdr:col>15</xdr:col>
      <xdr:colOff>694765</xdr:colOff>
      <xdr:row>23</xdr:row>
      <xdr:rowOff>176894</xdr:rowOff>
    </xdr:to>
    <xdr:graphicFrame macro="">
      <xdr:nvGraphicFramePr>
        <xdr:cNvPr id="3" name="Chart 2">
          <a:extLst>
            <a:ext uri="{FF2B5EF4-FFF2-40B4-BE49-F238E27FC236}">
              <a16:creationId xmlns:a16="http://schemas.microsoft.com/office/drawing/2014/main" id="{CEE6D51C-6B11-435B-8533-AB2AFAD67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108858</xdr:colOff>
      <xdr:row>24</xdr:row>
      <xdr:rowOff>68036</xdr:rowOff>
    </xdr:from>
    <xdr:to>
      <xdr:col>15</xdr:col>
      <xdr:colOff>707572</xdr:colOff>
      <xdr:row>38</xdr:row>
      <xdr:rowOff>144236</xdr:rowOff>
    </xdr:to>
    <xdr:graphicFrame macro="">
      <xdr:nvGraphicFramePr>
        <xdr:cNvPr id="5" name="Chart 4">
          <a:extLst>
            <a:ext uri="{FF2B5EF4-FFF2-40B4-BE49-F238E27FC236}">
              <a16:creationId xmlns:a16="http://schemas.microsoft.com/office/drawing/2014/main" id="{401B41A0-5FDB-452D-A6D8-A09DEEEC05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598714</xdr:colOff>
      <xdr:row>24</xdr:row>
      <xdr:rowOff>54428</xdr:rowOff>
    </xdr:from>
    <xdr:to>
      <xdr:col>8</xdr:col>
      <xdr:colOff>13607</xdr:colOff>
      <xdr:row>38</xdr:row>
      <xdr:rowOff>149679</xdr:rowOff>
    </xdr:to>
    <xdr:graphicFrame macro="">
      <xdr:nvGraphicFramePr>
        <xdr:cNvPr id="6" name="Chart 5">
          <a:extLst>
            <a:ext uri="{FF2B5EF4-FFF2-40B4-BE49-F238E27FC236}">
              <a16:creationId xmlns:a16="http://schemas.microsoft.com/office/drawing/2014/main" id="{583BC787-F171-4D9A-BABA-B25C2D0E09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598714</xdr:colOff>
      <xdr:row>39</xdr:row>
      <xdr:rowOff>13607</xdr:rowOff>
    </xdr:from>
    <xdr:to>
      <xdr:col>8</xdr:col>
      <xdr:colOff>13607</xdr:colOff>
      <xdr:row>54</xdr:row>
      <xdr:rowOff>108857</xdr:rowOff>
    </xdr:to>
    <xdr:graphicFrame macro="">
      <xdr:nvGraphicFramePr>
        <xdr:cNvPr id="9" name="Chart 8">
          <a:extLst>
            <a:ext uri="{FF2B5EF4-FFF2-40B4-BE49-F238E27FC236}">
              <a16:creationId xmlns:a16="http://schemas.microsoft.com/office/drawing/2014/main" id="{16067728-8E85-4531-B6FC-878DECD5D1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108857</xdr:colOff>
      <xdr:row>39</xdr:row>
      <xdr:rowOff>27214</xdr:rowOff>
    </xdr:from>
    <xdr:to>
      <xdr:col>15</xdr:col>
      <xdr:colOff>721178</xdr:colOff>
      <xdr:row>54</xdr:row>
      <xdr:rowOff>108857</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3F30D14C-2FF7-47ED-9826-F757C41EF0B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462032" y="7780564"/>
              <a:ext cx="5746296" cy="293914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16</xdr:col>
      <xdr:colOff>75197</xdr:colOff>
      <xdr:row>18</xdr:row>
      <xdr:rowOff>33585</xdr:rowOff>
    </xdr:from>
    <xdr:to>
      <xdr:col>18</xdr:col>
      <xdr:colOff>605457</xdr:colOff>
      <xdr:row>22</xdr:row>
      <xdr:rowOff>150606</xdr:rowOff>
    </xdr:to>
    <mc:AlternateContent xmlns:mc="http://schemas.openxmlformats.org/markup-compatibility/2006" xmlns:a14="http://schemas.microsoft.com/office/drawing/2010/main">
      <mc:Choice Requires="a14">
        <xdr:graphicFrame macro="">
          <xdr:nvGraphicFramePr>
            <xdr:cNvPr id="7" name="Attrition">
              <a:extLst>
                <a:ext uri="{FF2B5EF4-FFF2-40B4-BE49-F238E27FC236}">
                  <a16:creationId xmlns:a16="http://schemas.microsoft.com/office/drawing/2014/main" id="{523537DE-2126-F0EE-3CA6-BC979BD4BDCA}"/>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12378322" y="3711293"/>
              <a:ext cx="1879635" cy="8578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113497</xdr:colOff>
      <xdr:row>34</xdr:row>
      <xdr:rowOff>103167</xdr:rowOff>
    </xdr:from>
    <xdr:to>
      <xdr:col>18</xdr:col>
      <xdr:colOff>595190</xdr:colOff>
      <xdr:row>41</xdr:row>
      <xdr:rowOff>29689</xdr:rowOff>
    </xdr:to>
    <mc:AlternateContent xmlns:mc="http://schemas.openxmlformats.org/markup-compatibility/2006" xmlns:a14="http://schemas.microsoft.com/office/drawing/2010/main">
      <mc:Choice Requires="a14">
        <xdr:graphicFrame macro="">
          <xdr:nvGraphicFramePr>
            <xdr:cNvPr id="8" name="Department">
              <a:extLst>
                <a:ext uri="{FF2B5EF4-FFF2-40B4-BE49-F238E27FC236}">
                  <a16:creationId xmlns:a16="http://schemas.microsoft.com/office/drawing/2014/main" id="{21369E2B-F884-C607-A731-785311E2A40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416622" y="6744209"/>
              <a:ext cx="1831068" cy="1222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83500</xdr:colOff>
      <xdr:row>26</xdr:row>
      <xdr:rowOff>135639</xdr:rowOff>
    </xdr:from>
    <xdr:to>
      <xdr:col>18</xdr:col>
      <xdr:colOff>598714</xdr:colOff>
      <xdr:row>32</xdr:row>
      <xdr:rowOff>10205</xdr:rowOff>
    </xdr:to>
    <mc:AlternateContent xmlns:mc="http://schemas.openxmlformats.org/markup-compatibility/2006" xmlns:a14="http://schemas.microsoft.com/office/drawing/2010/main">
      <mc:Choice Requires="a14">
        <xdr:graphicFrame macro="">
          <xdr:nvGraphicFramePr>
            <xdr:cNvPr id="10" name="Gender">
              <a:extLst>
                <a:ext uri="{FF2B5EF4-FFF2-40B4-BE49-F238E27FC236}">
                  <a16:creationId xmlns:a16="http://schemas.microsoft.com/office/drawing/2014/main" id="{C95A148A-8ABF-9885-2F5F-460BDFF50DE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386625" y="5295014"/>
              <a:ext cx="1864589" cy="9858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74772</xdr:colOff>
      <xdr:row>44</xdr:row>
      <xdr:rowOff>131515</xdr:rowOff>
    </xdr:from>
    <xdr:to>
      <xdr:col>18</xdr:col>
      <xdr:colOff>522641</xdr:colOff>
      <xdr:row>49</xdr:row>
      <xdr:rowOff>79355</xdr:rowOff>
    </xdr:to>
    <mc:AlternateContent xmlns:mc="http://schemas.openxmlformats.org/markup-compatibility/2006" xmlns:a14="http://schemas.microsoft.com/office/drawing/2010/main">
      <mc:Choice Requires="a14">
        <xdr:graphicFrame macro="">
          <xdr:nvGraphicFramePr>
            <xdr:cNvPr id="12" name="OverTime">
              <a:extLst>
                <a:ext uri="{FF2B5EF4-FFF2-40B4-BE49-F238E27FC236}">
                  <a16:creationId xmlns:a16="http://schemas.microsoft.com/office/drawing/2014/main" id="{5EB9F325-7882-E59D-7BA5-529F6E217DE7}"/>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2377897" y="8624640"/>
              <a:ext cx="1797244" cy="8738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109476</xdr:colOff>
      <xdr:row>9</xdr:row>
      <xdr:rowOff>31421</xdr:rowOff>
    </xdr:from>
    <xdr:to>
      <xdr:col>18</xdr:col>
      <xdr:colOff>591169</xdr:colOff>
      <xdr:row>15</xdr:row>
      <xdr:rowOff>94014</xdr:rowOff>
    </xdr:to>
    <mc:AlternateContent xmlns:mc="http://schemas.openxmlformats.org/markup-compatibility/2006" xmlns:a14="http://schemas.microsoft.com/office/drawing/2010/main">
      <mc:Choice Requires="a14">
        <xdr:graphicFrame macro="">
          <xdr:nvGraphicFramePr>
            <xdr:cNvPr id="13" name="Risk Category">
              <a:extLst>
                <a:ext uri="{FF2B5EF4-FFF2-40B4-BE49-F238E27FC236}">
                  <a16:creationId xmlns:a16="http://schemas.microsoft.com/office/drawing/2014/main" id="{27AA06B8-022D-92B9-6E8C-8F446A0634BF}"/>
                </a:ext>
              </a:extLst>
            </xdr:cNvPr>
            <xdr:cNvGraphicFramePr/>
          </xdr:nvGraphicFramePr>
          <xdr:xfrm>
            <a:off x="0" y="0"/>
            <a:ext cx="0" cy="0"/>
          </xdr:xfrm>
          <a:graphic>
            <a:graphicData uri="http://schemas.microsoft.com/office/drawing/2010/slicer">
              <sle:slicer xmlns:sle="http://schemas.microsoft.com/office/drawing/2010/slicer" name="Risk Category"/>
            </a:graphicData>
          </a:graphic>
        </xdr:graphicFrame>
      </mc:Choice>
      <mc:Fallback xmlns="">
        <xdr:sp macro="" textlink="">
          <xdr:nvSpPr>
            <xdr:cNvPr id="0" name=""/>
            <xdr:cNvSpPr>
              <a:spLocks noTextEdit="1"/>
            </xdr:cNvSpPr>
          </xdr:nvSpPr>
          <xdr:spPr>
            <a:xfrm>
              <a:off x="12412601" y="2042254"/>
              <a:ext cx="1831068" cy="11738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204107</xdr:colOff>
      <xdr:row>4</xdr:row>
      <xdr:rowOff>258534</xdr:rowOff>
    </xdr:from>
    <xdr:to>
      <xdr:col>18</xdr:col>
      <xdr:colOff>449035</xdr:colOff>
      <xdr:row>7</xdr:row>
      <xdr:rowOff>81643</xdr:rowOff>
    </xdr:to>
    <xdr:sp macro="" textlink="">
      <xdr:nvSpPr>
        <xdr:cNvPr id="15" name="TextBox 14">
          <a:extLst>
            <a:ext uri="{FF2B5EF4-FFF2-40B4-BE49-F238E27FC236}">
              <a16:creationId xmlns:a16="http://schemas.microsoft.com/office/drawing/2014/main" id="{B99B13C9-7BA8-91ED-13C4-209ED7DE4290}"/>
            </a:ext>
          </a:extLst>
        </xdr:cNvPr>
        <xdr:cNvSpPr txBox="1"/>
      </xdr:nvSpPr>
      <xdr:spPr>
        <a:xfrm>
          <a:off x="12450536" y="1170213"/>
          <a:ext cx="1592035" cy="571501"/>
        </a:xfrm>
        <a:prstGeom prst="rect">
          <a:avLst/>
        </a:prstGeom>
        <a:solidFill>
          <a:srgbClr val="84C6D8"/>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tx1">
                  <a:lumMod val="65000"/>
                  <a:lumOff val="35000"/>
                </a:schemeClr>
              </a:solidFill>
            </a:rPr>
            <a:t>FILTER PANE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hel" refreshedDate="46182.339662847226" createdVersion="8" refreshedVersion="8" minRefreshableVersion="3" recordCount="1470" xr:uid="{D9889FFB-0B31-4D82-B4BB-FCF7CD446BC2}">
  <cacheSource type="worksheet">
    <worksheetSource name="tblCleanData"/>
  </cacheSource>
  <cacheFields count="42">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167">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2">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 Group" numFmtId="0">
      <sharedItems count="4">
        <s v="40-49"/>
        <s v="30-39"/>
        <s v="Under 30"/>
        <s v="50+"/>
      </sharedItems>
    </cacheField>
    <cacheField name="Income Group" numFmtId="0">
      <sharedItems count="3">
        <s v="Medium Income"/>
        <s v="Low Income"/>
        <s v="High Income"/>
      </sharedItems>
    </cacheField>
    <cacheField name="Attrition Flag" numFmtId="0">
      <sharedItems containsSemiMixedTypes="0" containsString="0" containsNumber="1" containsInteger="1" minValue="0" maxValue="1"/>
    </cacheField>
    <cacheField name="Overtime Flag" numFmtId="0">
      <sharedItems containsSemiMixedTypes="0" containsString="0" containsNumber="1" containsInteger="1" minValue="0" maxValue="1"/>
    </cacheField>
    <cacheField name="Education Label" numFmtId="0">
      <sharedItems count="5">
        <s v="College"/>
        <s v="Below College"/>
        <s v="Master"/>
        <s v="Bachelor"/>
        <s v="Doctor"/>
      </sharedItems>
    </cacheField>
    <cacheField name="Risk Category" numFmtId="0">
      <sharedItems count="3">
        <s v="Medium Risk"/>
        <s v="High Risk"/>
        <s v="Low Risk"/>
      </sharedItems>
    </cacheField>
    <cacheField name="Risk Score" numFmtId="0">
      <sharedItems containsSemiMixedTypes="0" containsString="0" containsNumber="1" containsInteger="1" minValue="24" maxValue="110"/>
    </cacheField>
  </cacheFields>
  <extLst>
    <ext xmlns:x14="http://schemas.microsoft.com/office/spreadsheetml/2009/9/main" uri="{725AE2AE-9491-48be-B2B4-4EB974FC3084}">
      <x14:pivotCacheDefinition pivotCacheId="16022082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hel" refreshedDate="46182.339665624997" createdVersion="8" refreshedVersion="8" minRefreshableVersion="3" recordCount="1470" xr:uid="{B5AAC626-5955-4236-B70D-509D6B7D2DDE}">
  <cacheSource type="worksheet">
    <worksheetSource name="tblHelpers"/>
  </cacheSource>
  <cacheFields count="15">
    <cacheField name="EmployeeNumber" numFmtId="0">
      <sharedItems containsSemiMixedTypes="0" containsString="0" containsNumber="1" containsInteger="1" minValue="1" maxValue="2068"/>
    </cacheField>
    <cacheField name="Age Group" numFmtId="0">
      <sharedItems/>
    </cacheField>
    <cacheField name="Income Group" numFmtId="0">
      <sharedItems/>
    </cacheField>
    <cacheField name="Attrition Flag" numFmtId="0">
      <sharedItems containsSemiMixedTypes="0" containsString="0" containsNumber="1" containsInteger="1" minValue="0" maxValue="1"/>
    </cacheField>
    <cacheField name="Overtime Flag" numFmtId="0">
      <sharedItems containsSemiMixedTypes="0" containsString="0" containsNumber="1" containsInteger="1" minValue="0" maxValue="1"/>
    </cacheField>
    <cacheField name="Education Label" numFmtId="0">
      <sharedItems/>
    </cacheField>
    <cacheField name="Tenure Band" numFmtId="0">
      <sharedItems count="4">
        <s v="6-10 Years"/>
        <s v="0-2 Years"/>
        <s v="3-5 Years"/>
        <s v="10+ Years"/>
      </sharedItems>
    </cacheField>
    <cacheField name="Work Life Risk" numFmtId="0">
      <sharedItems/>
    </cacheField>
    <cacheField name="Age Score" numFmtId="0">
      <sharedItems containsSemiMixedTypes="0" containsString="0" containsNumber="1" containsInteger="1" minValue="10" maxValue="30"/>
    </cacheField>
    <cacheField name="Salary Score" numFmtId="0">
      <sharedItems containsSemiMixedTypes="0" containsString="0" containsNumber="1" containsInteger="1" minValue="5" maxValue="5"/>
    </cacheField>
    <cacheField name="Overtime Score" numFmtId="0">
      <sharedItems containsSemiMixedTypes="0" containsString="0" containsNumber="1" containsInteger="1" minValue="0" maxValue="25"/>
    </cacheField>
    <cacheField name="Satisfaction Score" numFmtId="0">
      <sharedItems containsSemiMixedTypes="0" containsString="0" containsNumber="1" minValue="6.25" maxValue="25"/>
    </cacheField>
    <cacheField name="Tenure Score" numFmtId="0">
      <sharedItems containsSemiMixedTypes="0" containsString="0" containsNumber="1" containsInteger="1" minValue="3" maxValue="25"/>
    </cacheField>
    <cacheField name="Risk Score" numFmtId="0">
      <sharedItems containsSemiMixedTypes="0" containsString="0" containsNumber="1" containsInteger="1" minValue="24" maxValue="110"/>
    </cacheField>
    <cacheField name="Risk Category"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n v="1"/>
    <n v="2"/>
    <x v="0"/>
    <n v="94"/>
    <n v="3"/>
    <n v="2"/>
    <x v="0"/>
    <n v="4"/>
    <s v="Single"/>
    <n v="5993"/>
    <n v="19479"/>
    <n v="8"/>
    <s v="Y"/>
    <x v="0"/>
    <n v="11"/>
    <n v="3"/>
    <n v="1"/>
    <n v="80"/>
    <n v="0"/>
    <n v="8"/>
    <n v="0"/>
    <n v="1"/>
    <n v="6"/>
    <n v="4"/>
    <n v="0"/>
    <n v="5"/>
    <x v="0"/>
    <x v="0"/>
    <n v="1"/>
    <n v="1"/>
    <x v="0"/>
    <x v="0"/>
    <n v="54"/>
  </r>
  <r>
    <n v="49"/>
    <x v="1"/>
    <s v="Travel_Frequently"/>
    <n v="279"/>
    <x v="1"/>
    <n v="8"/>
    <n v="1"/>
    <s v="Life Sciences"/>
    <n v="1"/>
    <n v="2"/>
    <n v="3"/>
    <x v="1"/>
    <n v="61"/>
    <n v="2"/>
    <n v="2"/>
    <x v="1"/>
    <n v="2"/>
    <s v="Married"/>
    <n v="5130"/>
    <n v="24907"/>
    <n v="1"/>
    <s v="Y"/>
    <x v="1"/>
    <n v="23"/>
    <n v="4"/>
    <n v="4"/>
    <n v="80"/>
    <n v="1"/>
    <n v="10"/>
    <n v="3"/>
    <n v="3"/>
    <n v="10"/>
    <n v="7"/>
    <n v="1"/>
    <n v="7"/>
    <x v="0"/>
    <x v="0"/>
    <n v="0"/>
    <n v="0"/>
    <x v="1"/>
    <x v="0"/>
    <n v="42"/>
  </r>
  <r>
    <n v="37"/>
    <x v="0"/>
    <s v="Travel_Rarely"/>
    <n v="1373"/>
    <x v="1"/>
    <n v="2"/>
    <n v="2"/>
    <s v="Other"/>
    <n v="1"/>
    <n v="4"/>
    <n v="4"/>
    <x v="1"/>
    <n v="92"/>
    <n v="2"/>
    <n v="1"/>
    <x v="2"/>
    <n v="3"/>
    <s v="Single"/>
    <n v="2090"/>
    <n v="2396"/>
    <n v="6"/>
    <s v="Y"/>
    <x v="0"/>
    <n v="15"/>
    <n v="3"/>
    <n v="2"/>
    <n v="80"/>
    <n v="0"/>
    <n v="7"/>
    <n v="3"/>
    <n v="3"/>
    <n v="0"/>
    <n v="0"/>
    <n v="0"/>
    <n v="0"/>
    <x v="1"/>
    <x v="1"/>
    <n v="1"/>
    <n v="1"/>
    <x v="0"/>
    <x v="1"/>
    <n v="88"/>
  </r>
  <r>
    <n v="33"/>
    <x v="1"/>
    <s v="Travel_Frequently"/>
    <n v="1392"/>
    <x v="1"/>
    <n v="3"/>
    <n v="4"/>
    <s v="Life Sciences"/>
    <n v="1"/>
    <n v="5"/>
    <n v="4"/>
    <x v="0"/>
    <n v="56"/>
    <n v="3"/>
    <n v="1"/>
    <x v="1"/>
    <n v="3"/>
    <s v="Married"/>
    <n v="2909"/>
    <n v="23159"/>
    <n v="1"/>
    <s v="Y"/>
    <x v="0"/>
    <n v="11"/>
    <n v="3"/>
    <n v="3"/>
    <n v="80"/>
    <n v="0"/>
    <n v="8"/>
    <n v="3"/>
    <n v="3"/>
    <n v="8"/>
    <n v="7"/>
    <n v="3"/>
    <n v="0"/>
    <x v="1"/>
    <x v="1"/>
    <n v="0"/>
    <n v="1"/>
    <x v="2"/>
    <x v="1"/>
    <n v="71"/>
  </r>
  <r>
    <n v="27"/>
    <x v="1"/>
    <s v="Travel_Rarely"/>
    <n v="591"/>
    <x v="1"/>
    <n v="2"/>
    <n v="1"/>
    <s v="Medical"/>
    <n v="1"/>
    <n v="7"/>
    <n v="1"/>
    <x v="1"/>
    <n v="40"/>
    <n v="3"/>
    <n v="1"/>
    <x v="2"/>
    <n v="2"/>
    <s v="Married"/>
    <n v="3468"/>
    <n v="16632"/>
    <n v="9"/>
    <s v="Y"/>
    <x v="1"/>
    <n v="12"/>
    <n v="3"/>
    <n v="4"/>
    <n v="80"/>
    <n v="1"/>
    <n v="6"/>
    <n v="3"/>
    <n v="3"/>
    <n v="2"/>
    <n v="2"/>
    <n v="2"/>
    <n v="2"/>
    <x v="2"/>
    <x v="1"/>
    <n v="0"/>
    <n v="0"/>
    <x v="1"/>
    <x v="1"/>
    <n v="79"/>
  </r>
  <r>
    <n v="32"/>
    <x v="1"/>
    <s v="Travel_Frequently"/>
    <n v="1005"/>
    <x v="1"/>
    <n v="2"/>
    <n v="2"/>
    <s v="Life Sciences"/>
    <n v="1"/>
    <n v="8"/>
    <n v="4"/>
    <x v="1"/>
    <n v="79"/>
    <n v="3"/>
    <n v="1"/>
    <x v="2"/>
    <n v="4"/>
    <s v="Single"/>
    <n v="3068"/>
    <n v="11864"/>
    <n v="0"/>
    <s v="Y"/>
    <x v="1"/>
    <n v="13"/>
    <n v="3"/>
    <n v="3"/>
    <n v="80"/>
    <n v="0"/>
    <n v="8"/>
    <n v="2"/>
    <n v="2"/>
    <n v="7"/>
    <n v="7"/>
    <n v="3"/>
    <n v="6"/>
    <x v="1"/>
    <x v="1"/>
    <n v="0"/>
    <n v="0"/>
    <x v="0"/>
    <x v="0"/>
    <n v="39"/>
  </r>
  <r>
    <n v="59"/>
    <x v="1"/>
    <s v="Travel_Rarely"/>
    <n v="1324"/>
    <x v="1"/>
    <n v="3"/>
    <n v="3"/>
    <s v="Medical"/>
    <n v="1"/>
    <n v="10"/>
    <n v="3"/>
    <x v="0"/>
    <n v="81"/>
    <n v="4"/>
    <n v="1"/>
    <x v="2"/>
    <n v="1"/>
    <s v="Married"/>
    <n v="2670"/>
    <n v="9964"/>
    <n v="4"/>
    <s v="Y"/>
    <x v="0"/>
    <n v="20"/>
    <n v="4"/>
    <n v="1"/>
    <n v="80"/>
    <n v="3"/>
    <n v="12"/>
    <n v="3"/>
    <n v="2"/>
    <n v="1"/>
    <n v="0"/>
    <n v="0"/>
    <n v="0"/>
    <x v="3"/>
    <x v="1"/>
    <n v="0"/>
    <n v="1"/>
    <x v="3"/>
    <x v="1"/>
    <n v="95"/>
  </r>
  <r>
    <n v="30"/>
    <x v="1"/>
    <s v="Travel_Rarely"/>
    <n v="1358"/>
    <x v="1"/>
    <n v="24"/>
    <n v="1"/>
    <s v="Life Sciences"/>
    <n v="1"/>
    <n v="11"/>
    <n v="4"/>
    <x v="1"/>
    <n v="67"/>
    <n v="3"/>
    <n v="1"/>
    <x v="2"/>
    <n v="3"/>
    <s v="Divorced"/>
    <n v="2693"/>
    <n v="13335"/>
    <n v="1"/>
    <s v="Y"/>
    <x v="1"/>
    <n v="22"/>
    <n v="4"/>
    <n v="2"/>
    <n v="80"/>
    <n v="1"/>
    <n v="1"/>
    <n v="2"/>
    <n v="3"/>
    <n v="1"/>
    <n v="0"/>
    <n v="0"/>
    <n v="0"/>
    <x v="1"/>
    <x v="1"/>
    <n v="0"/>
    <n v="0"/>
    <x v="1"/>
    <x v="1"/>
    <n v="63"/>
  </r>
  <r>
    <n v="38"/>
    <x v="1"/>
    <s v="Travel_Frequently"/>
    <n v="216"/>
    <x v="1"/>
    <n v="23"/>
    <n v="3"/>
    <s v="Life Sciences"/>
    <n v="1"/>
    <n v="12"/>
    <n v="4"/>
    <x v="1"/>
    <n v="44"/>
    <n v="2"/>
    <n v="3"/>
    <x v="3"/>
    <n v="3"/>
    <s v="Single"/>
    <n v="9526"/>
    <n v="8787"/>
    <n v="0"/>
    <s v="Y"/>
    <x v="1"/>
    <n v="21"/>
    <n v="4"/>
    <n v="2"/>
    <n v="80"/>
    <n v="0"/>
    <n v="10"/>
    <n v="2"/>
    <n v="3"/>
    <n v="9"/>
    <n v="7"/>
    <n v="1"/>
    <n v="8"/>
    <x v="1"/>
    <x v="0"/>
    <n v="0"/>
    <n v="0"/>
    <x v="3"/>
    <x v="0"/>
    <n v="46"/>
  </r>
  <r>
    <n v="36"/>
    <x v="1"/>
    <s v="Travel_Rarely"/>
    <n v="1299"/>
    <x v="1"/>
    <n v="27"/>
    <n v="3"/>
    <s v="Medical"/>
    <n v="1"/>
    <n v="13"/>
    <n v="3"/>
    <x v="1"/>
    <n v="94"/>
    <n v="3"/>
    <n v="2"/>
    <x v="4"/>
    <n v="3"/>
    <s v="Married"/>
    <n v="5237"/>
    <n v="16577"/>
    <n v="6"/>
    <s v="Y"/>
    <x v="1"/>
    <n v="13"/>
    <n v="3"/>
    <n v="2"/>
    <n v="80"/>
    <n v="2"/>
    <n v="17"/>
    <n v="3"/>
    <n v="2"/>
    <n v="7"/>
    <n v="7"/>
    <n v="7"/>
    <n v="7"/>
    <x v="1"/>
    <x v="0"/>
    <n v="0"/>
    <n v="0"/>
    <x v="3"/>
    <x v="0"/>
    <n v="46"/>
  </r>
  <r>
    <n v="35"/>
    <x v="1"/>
    <s v="Travel_Rarely"/>
    <n v="809"/>
    <x v="1"/>
    <n v="16"/>
    <n v="3"/>
    <s v="Medical"/>
    <n v="1"/>
    <n v="14"/>
    <n v="1"/>
    <x v="1"/>
    <n v="84"/>
    <n v="4"/>
    <n v="1"/>
    <x v="2"/>
    <n v="2"/>
    <s v="Married"/>
    <n v="2426"/>
    <n v="16479"/>
    <n v="0"/>
    <s v="Y"/>
    <x v="1"/>
    <n v="13"/>
    <n v="3"/>
    <n v="3"/>
    <n v="80"/>
    <n v="1"/>
    <n v="6"/>
    <n v="5"/>
    <n v="3"/>
    <n v="5"/>
    <n v="4"/>
    <n v="0"/>
    <n v="3"/>
    <x v="1"/>
    <x v="1"/>
    <n v="0"/>
    <n v="0"/>
    <x v="3"/>
    <x v="1"/>
    <n v="59"/>
  </r>
  <r>
    <n v="29"/>
    <x v="1"/>
    <s v="Travel_Rarely"/>
    <n v="153"/>
    <x v="1"/>
    <n v="15"/>
    <n v="2"/>
    <s v="Life Sciences"/>
    <n v="1"/>
    <n v="15"/>
    <n v="4"/>
    <x v="0"/>
    <n v="49"/>
    <n v="2"/>
    <n v="2"/>
    <x v="2"/>
    <n v="3"/>
    <s v="Single"/>
    <n v="4193"/>
    <n v="12682"/>
    <n v="0"/>
    <s v="Y"/>
    <x v="0"/>
    <n v="12"/>
    <n v="3"/>
    <n v="4"/>
    <n v="80"/>
    <n v="0"/>
    <n v="10"/>
    <n v="3"/>
    <n v="3"/>
    <n v="9"/>
    <n v="5"/>
    <n v="0"/>
    <n v="8"/>
    <x v="2"/>
    <x v="1"/>
    <n v="0"/>
    <n v="1"/>
    <x v="0"/>
    <x v="1"/>
    <n v="81"/>
  </r>
  <r>
    <n v="31"/>
    <x v="1"/>
    <s v="Travel_Rarely"/>
    <n v="670"/>
    <x v="1"/>
    <n v="26"/>
    <n v="1"/>
    <s v="Life Sciences"/>
    <n v="1"/>
    <n v="16"/>
    <n v="1"/>
    <x v="1"/>
    <n v="31"/>
    <n v="3"/>
    <n v="1"/>
    <x v="1"/>
    <n v="3"/>
    <s v="Divorced"/>
    <n v="2911"/>
    <n v="15170"/>
    <n v="1"/>
    <s v="Y"/>
    <x v="1"/>
    <n v="17"/>
    <n v="3"/>
    <n v="4"/>
    <n v="80"/>
    <n v="1"/>
    <n v="5"/>
    <n v="1"/>
    <n v="2"/>
    <n v="5"/>
    <n v="2"/>
    <n v="4"/>
    <n v="3"/>
    <x v="1"/>
    <x v="1"/>
    <n v="0"/>
    <n v="0"/>
    <x v="1"/>
    <x v="0"/>
    <n v="53"/>
  </r>
  <r>
    <n v="34"/>
    <x v="1"/>
    <s v="Travel_Rarely"/>
    <n v="1346"/>
    <x v="1"/>
    <n v="19"/>
    <n v="2"/>
    <s v="Medical"/>
    <n v="1"/>
    <n v="18"/>
    <n v="2"/>
    <x v="1"/>
    <n v="93"/>
    <n v="3"/>
    <n v="1"/>
    <x v="2"/>
    <n v="4"/>
    <s v="Divorced"/>
    <n v="2661"/>
    <n v="8758"/>
    <n v="0"/>
    <s v="Y"/>
    <x v="1"/>
    <n v="11"/>
    <n v="3"/>
    <n v="3"/>
    <n v="80"/>
    <n v="1"/>
    <n v="3"/>
    <n v="2"/>
    <n v="3"/>
    <n v="2"/>
    <n v="2"/>
    <n v="1"/>
    <n v="2"/>
    <x v="1"/>
    <x v="1"/>
    <n v="0"/>
    <n v="0"/>
    <x v="0"/>
    <x v="1"/>
    <n v="56"/>
  </r>
  <r>
    <n v="28"/>
    <x v="0"/>
    <s v="Travel_Rarely"/>
    <n v="103"/>
    <x v="1"/>
    <n v="24"/>
    <n v="3"/>
    <s v="Life Sciences"/>
    <n v="1"/>
    <n v="19"/>
    <n v="3"/>
    <x v="1"/>
    <n v="50"/>
    <n v="2"/>
    <n v="1"/>
    <x v="2"/>
    <n v="3"/>
    <s v="Single"/>
    <n v="2028"/>
    <n v="12947"/>
    <n v="5"/>
    <s v="Y"/>
    <x v="0"/>
    <n v="14"/>
    <n v="3"/>
    <n v="2"/>
    <n v="80"/>
    <n v="0"/>
    <n v="6"/>
    <n v="4"/>
    <n v="3"/>
    <n v="4"/>
    <n v="2"/>
    <n v="0"/>
    <n v="3"/>
    <x v="2"/>
    <x v="1"/>
    <n v="1"/>
    <n v="1"/>
    <x v="3"/>
    <x v="1"/>
    <n v="88"/>
  </r>
  <r>
    <n v="29"/>
    <x v="1"/>
    <s v="Travel_Rarely"/>
    <n v="1389"/>
    <x v="1"/>
    <n v="21"/>
    <n v="4"/>
    <s v="Life Sciences"/>
    <n v="1"/>
    <n v="20"/>
    <n v="2"/>
    <x v="0"/>
    <n v="51"/>
    <n v="4"/>
    <n v="3"/>
    <x v="3"/>
    <n v="1"/>
    <s v="Divorced"/>
    <n v="9980"/>
    <n v="10195"/>
    <n v="1"/>
    <s v="Y"/>
    <x v="1"/>
    <n v="11"/>
    <n v="3"/>
    <n v="3"/>
    <n v="80"/>
    <n v="1"/>
    <n v="10"/>
    <n v="1"/>
    <n v="3"/>
    <n v="10"/>
    <n v="9"/>
    <n v="8"/>
    <n v="8"/>
    <x v="2"/>
    <x v="0"/>
    <n v="0"/>
    <n v="0"/>
    <x v="2"/>
    <x v="1"/>
    <n v="68"/>
  </r>
  <r>
    <n v="32"/>
    <x v="1"/>
    <s v="Travel_Rarely"/>
    <n v="334"/>
    <x v="1"/>
    <n v="5"/>
    <n v="2"/>
    <s v="Life Sciences"/>
    <n v="1"/>
    <n v="21"/>
    <n v="1"/>
    <x v="1"/>
    <n v="80"/>
    <n v="4"/>
    <n v="1"/>
    <x v="1"/>
    <n v="2"/>
    <s v="Divorced"/>
    <n v="3298"/>
    <n v="15053"/>
    <n v="0"/>
    <s v="Y"/>
    <x v="0"/>
    <n v="12"/>
    <n v="3"/>
    <n v="4"/>
    <n v="80"/>
    <n v="2"/>
    <n v="7"/>
    <n v="5"/>
    <n v="2"/>
    <n v="6"/>
    <n v="2"/>
    <n v="0"/>
    <n v="5"/>
    <x v="1"/>
    <x v="1"/>
    <n v="0"/>
    <n v="1"/>
    <x v="0"/>
    <x v="1"/>
    <n v="77"/>
  </r>
  <r>
    <n v="22"/>
    <x v="1"/>
    <s v="Non-Travel"/>
    <n v="1123"/>
    <x v="1"/>
    <n v="16"/>
    <n v="2"/>
    <s v="Medical"/>
    <n v="1"/>
    <n v="22"/>
    <n v="4"/>
    <x v="1"/>
    <n v="96"/>
    <n v="4"/>
    <n v="1"/>
    <x v="2"/>
    <n v="4"/>
    <s v="Divorced"/>
    <n v="2935"/>
    <n v="7324"/>
    <n v="1"/>
    <s v="Y"/>
    <x v="0"/>
    <n v="13"/>
    <n v="3"/>
    <n v="2"/>
    <n v="80"/>
    <n v="2"/>
    <n v="1"/>
    <n v="2"/>
    <n v="2"/>
    <n v="1"/>
    <n v="0"/>
    <n v="0"/>
    <n v="0"/>
    <x v="2"/>
    <x v="1"/>
    <n v="0"/>
    <n v="1"/>
    <x v="0"/>
    <x v="1"/>
    <n v="91"/>
  </r>
  <r>
    <n v="53"/>
    <x v="1"/>
    <s v="Travel_Rarely"/>
    <n v="1219"/>
    <x v="0"/>
    <n v="2"/>
    <n v="4"/>
    <s v="Life Sciences"/>
    <n v="1"/>
    <n v="23"/>
    <n v="1"/>
    <x v="0"/>
    <n v="78"/>
    <n v="2"/>
    <n v="4"/>
    <x v="5"/>
    <n v="4"/>
    <s v="Married"/>
    <n v="15427"/>
    <n v="22021"/>
    <n v="2"/>
    <s v="Y"/>
    <x v="1"/>
    <n v="16"/>
    <n v="3"/>
    <n v="3"/>
    <n v="80"/>
    <n v="0"/>
    <n v="31"/>
    <n v="3"/>
    <n v="3"/>
    <n v="25"/>
    <n v="8"/>
    <n v="3"/>
    <n v="7"/>
    <x v="3"/>
    <x v="2"/>
    <n v="0"/>
    <n v="0"/>
    <x v="2"/>
    <x v="2"/>
    <n v="29"/>
  </r>
  <r>
    <n v="38"/>
    <x v="1"/>
    <s v="Travel_Rarely"/>
    <n v="371"/>
    <x v="1"/>
    <n v="2"/>
    <n v="3"/>
    <s v="Life Sciences"/>
    <n v="1"/>
    <n v="24"/>
    <n v="4"/>
    <x v="1"/>
    <n v="45"/>
    <n v="3"/>
    <n v="1"/>
    <x v="1"/>
    <n v="4"/>
    <s v="Single"/>
    <n v="3944"/>
    <n v="4306"/>
    <n v="5"/>
    <s v="Y"/>
    <x v="0"/>
    <n v="11"/>
    <n v="3"/>
    <n v="3"/>
    <n v="80"/>
    <n v="0"/>
    <n v="6"/>
    <n v="3"/>
    <n v="3"/>
    <n v="3"/>
    <n v="2"/>
    <n v="1"/>
    <n v="2"/>
    <x v="1"/>
    <x v="1"/>
    <n v="0"/>
    <n v="1"/>
    <x v="3"/>
    <x v="1"/>
    <n v="71"/>
  </r>
  <r>
    <n v="24"/>
    <x v="1"/>
    <s v="Non-Travel"/>
    <n v="673"/>
    <x v="1"/>
    <n v="11"/>
    <n v="2"/>
    <s v="Other"/>
    <n v="1"/>
    <n v="26"/>
    <n v="1"/>
    <x v="0"/>
    <n v="96"/>
    <n v="4"/>
    <n v="2"/>
    <x v="3"/>
    <n v="3"/>
    <s v="Divorced"/>
    <n v="4011"/>
    <n v="8232"/>
    <n v="0"/>
    <s v="Y"/>
    <x v="1"/>
    <n v="18"/>
    <n v="3"/>
    <n v="4"/>
    <n v="80"/>
    <n v="1"/>
    <n v="5"/>
    <n v="5"/>
    <n v="2"/>
    <n v="4"/>
    <n v="2"/>
    <n v="1"/>
    <n v="3"/>
    <x v="2"/>
    <x v="1"/>
    <n v="0"/>
    <n v="0"/>
    <x v="0"/>
    <x v="1"/>
    <n v="63"/>
  </r>
  <r>
    <n v="36"/>
    <x v="0"/>
    <s v="Travel_Rarely"/>
    <n v="1218"/>
    <x v="0"/>
    <n v="9"/>
    <n v="4"/>
    <s v="Life Sciences"/>
    <n v="1"/>
    <n v="27"/>
    <n v="3"/>
    <x v="1"/>
    <n v="82"/>
    <n v="2"/>
    <n v="1"/>
    <x v="6"/>
    <n v="1"/>
    <s v="Single"/>
    <n v="3407"/>
    <n v="6986"/>
    <n v="7"/>
    <s v="Y"/>
    <x v="1"/>
    <n v="23"/>
    <n v="4"/>
    <n v="2"/>
    <n v="80"/>
    <n v="0"/>
    <n v="10"/>
    <n v="4"/>
    <n v="3"/>
    <n v="5"/>
    <n v="3"/>
    <n v="0"/>
    <n v="3"/>
    <x v="1"/>
    <x v="1"/>
    <n v="1"/>
    <n v="0"/>
    <x v="2"/>
    <x v="1"/>
    <n v="65"/>
  </r>
  <r>
    <n v="34"/>
    <x v="1"/>
    <s v="Travel_Rarely"/>
    <n v="419"/>
    <x v="1"/>
    <n v="7"/>
    <n v="4"/>
    <s v="Life Sciences"/>
    <n v="1"/>
    <n v="28"/>
    <n v="1"/>
    <x v="0"/>
    <n v="53"/>
    <n v="3"/>
    <n v="3"/>
    <x v="7"/>
    <n v="2"/>
    <s v="Single"/>
    <n v="11994"/>
    <n v="21293"/>
    <n v="0"/>
    <s v="Y"/>
    <x v="1"/>
    <n v="11"/>
    <n v="3"/>
    <n v="3"/>
    <n v="80"/>
    <n v="0"/>
    <n v="13"/>
    <n v="4"/>
    <n v="3"/>
    <n v="12"/>
    <n v="6"/>
    <n v="2"/>
    <n v="11"/>
    <x v="1"/>
    <x v="0"/>
    <n v="0"/>
    <n v="0"/>
    <x v="2"/>
    <x v="0"/>
    <n v="47"/>
  </r>
  <r>
    <n v="21"/>
    <x v="1"/>
    <s v="Travel_Rarely"/>
    <n v="391"/>
    <x v="1"/>
    <n v="15"/>
    <n v="2"/>
    <s v="Life Sciences"/>
    <n v="1"/>
    <n v="30"/>
    <n v="3"/>
    <x v="1"/>
    <n v="96"/>
    <n v="3"/>
    <n v="1"/>
    <x v="1"/>
    <n v="4"/>
    <s v="Single"/>
    <n v="1232"/>
    <n v="19281"/>
    <n v="1"/>
    <s v="Y"/>
    <x v="1"/>
    <n v="14"/>
    <n v="3"/>
    <n v="4"/>
    <n v="80"/>
    <n v="0"/>
    <n v="0"/>
    <n v="6"/>
    <n v="3"/>
    <n v="0"/>
    <n v="0"/>
    <n v="0"/>
    <n v="0"/>
    <x v="2"/>
    <x v="1"/>
    <n v="0"/>
    <n v="0"/>
    <x v="0"/>
    <x v="1"/>
    <n v="66"/>
  </r>
  <r>
    <n v="34"/>
    <x v="0"/>
    <s v="Travel_Rarely"/>
    <n v="699"/>
    <x v="1"/>
    <n v="6"/>
    <n v="1"/>
    <s v="Medical"/>
    <n v="1"/>
    <n v="31"/>
    <n v="2"/>
    <x v="1"/>
    <n v="83"/>
    <n v="3"/>
    <n v="1"/>
    <x v="1"/>
    <n v="1"/>
    <s v="Single"/>
    <n v="2960"/>
    <n v="17102"/>
    <n v="2"/>
    <s v="Y"/>
    <x v="1"/>
    <n v="11"/>
    <n v="3"/>
    <n v="3"/>
    <n v="80"/>
    <n v="0"/>
    <n v="8"/>
    <n v="2"/>
    <n v="3"/>
    <n v="4"/>
    <n v="2"/>
    <n v="1"/>
    <n v="3"/>
    <x v="1"/>
    <x v="1"/>
    <n v="1"/>
    <n v="0"/>
    <x v="1"/>
    <x v="1"/>
    <n v="65"/>
  </r>
  <r>
    <n v="53"/>
    <x v="1"/>
    <s v="Travel_Rarely"/>
    <n v="1282"/>
    <x v="1"/>
    <n v="5"/>
    <n v="3"/>
    <s v="Other"/>
    <n v="1"/>
    <n v="32"/>
    <n v="3"/>
    <x v="0"/>
    <n v="58"/>
    <n v="3"/>
    <n v="5"/>
    <x v="5"/>
    <n v="3"/>
    <s v="Divorced"/>
    <n v="19094"/>
    <n v="10735"/>
    <n v="4"/>
    <s v="Y"/>
    <x v="1"/>
    <n v="11"/>
    <n v="3"/>
    <n v="4"/>
    <n v="80"/>
    <n v="1"/>
    <n v="26"/>
    <n v="3"/>
    <n v="2"/>
    <n v="14"/>
    <n v="13"/>
    <n v="4"/>
    <n v="8"/>
    <x v="3"/>
    <x v="2"/>
    <n v="0"/>
    <n v="0"/>
    <x v="3"/>
    <x v="0"/>
    <n v="36"/>
  </r>
  <r>
    <n v="32"/>
    <x v="0"/>
    <s v="Travel_Frequently"/>
    <n v="1125"/>
    <x v="1"/>
    <n v="16"/>
    <n v="1"/>
    <s v="Life Sciences"/>
    <n v="1"/>
    <n v="33"/>
    <n v="2"/>
    <x v="0"/>
    <n v="72"/>
    <n v="1"/>
    <n v="1"/>
    <x v="1"/>
    <n v="1"/>
    <s v="Single"/>
    <n v="3919"/>
    <n v="4681"/>
    <n v="1"/>
    <s v="Y"/>
    <x v="0"/>
    <n v="22"/>
    <n v="4"/>
    <n v="2"/>
    <n v="80"/>
    <n v="0"/>
    <n v="10"/>
    <n v="5"/>
    <n v="3"/>
    <n v="10"/>
    <n v="2"/>
    <n v="6"/>
    <n v="7"/>
    <x v="1"/>
    <x v="1"/>
    <n v="1"/>
    <n v="1"/>
    <x v="1"/>
    <x v="1"/>
    <n v="83"/>
  </r>
  <r>
    <n v="42"/>
    <x v="1"/>
    <s v="Travel_Rarely"/>
    <n v="691"/>
    <x v="0"/>
    <n v="8"/>
    <n v="4"/>
    <s v="Marketing"/>
    <n v="1"/>
    <n v="35"/>
    <n v="3"/>
    <x v="1"/>
    <n v="48"/>
    <n v="3"/>
    <n v="2"/>
    <x v="0"/>
    <n v="2"/>
    <s v="Married"/>
    <n v="6825"/>
    <n v="21173"/>
    <n v="0"/>
    <s v="Y"/>
    <x v="1"/>
    <n v="11"/>
    <n v="3"/>
    <n v="4"/>
    <n v="80"/>
    <n v="1"/>
    <n v="10"/>
    <n v="2"/>
    <n v="3"/>
    <n v="9"/>
    <n v="7"/>
    <n v="4"/>
    <n v="2"/>
    <x v="0"/>
    <x v="0"/>
    <n v="0"/>
    <n v="0"/>
    <x v="2"/>
    <x v="0"/>
    <n v="42"/>
  </r>
  <r>
    <n v="44"/>
    <x v="1"/>
    <s v="Travel_Rarely"/>
    <n v="477"/>
    <x v="1"/>
    <n v="7"/>
    <n v="4"/>
    <s v="Medical"/>
    <n v="1"/>
    <n v="36"/>
    <n v="1"/>
    <x v="0"/>
    <n v="42"/>
    <n v="2"/>
    <n v="3"/>
    <x v="4"/>
    <n v="4"/>
    <s v="Married"/>
    <n v="10248"/>
    <n v="2094"/>
    <n v="3"/>
    <s v="Y"/>
    <x v="1"/>
    <n v="14"/>
    <n v="3"/>
    <n v="4"/>
    <n v="80"/>
    <n v="1"/>
    <n v="24"/>
    <n v="4"/>
    <n v="3"/>
    <n v="22"/>
    <n v="6"/>
    <n v="5"/>
    <n v="17"/>
    <x v="0"/>
    <x v="0"/>
    <n v="0"/>
    <n v="0"/>
    <x v="2"/>
    <x v="2"/>
    <n v="24"/>
  </r>
  <r>
    <n v="46"/>
    <x v="1"/>
    <s v="Travel_Rarely"/>
    <n v="705"/>
    <x v="0"/>
    <n v="2"/>
    <n v="4"/>
    <s v="Marketing"/>
    <n v="1"/>
    <n v="38"/>
    <n v="2"/>
    <x v="0"/>
    <n v="83"/>
    <n v="3"/>
    <n v="5"/>
    <x v="5"/>
    <n v="1"/>
    <s v="Single"/>
    <n v="18947"/>
    <n v="22822"/>
    <n v="3"/>
    <s v="Y"/>
    <x v="1"/>
    <n v="12"/>
    <n v="3"/>
    <n v="4"/>
    <n v="80"/>
    <n v="0"/>
    <n v="22"/>
    <n v="2"/>
    <n v="2"/>
    <n v="2"/>
    <n v="2"/>
    <n v="2"/>
    <n v="1"/>
    <x v="0"/>
    <x v="2"/>
    <n v="0"/>
    <n v="0"/>
    <x v="2"/>
    <x v="1"/>
    <n v="65"/>
  </r>
  <r>
    <n v="33"/>
    <x v="1"/>
    <s v="Travel_Rarely"/>
    <n v="924"/>
    <x v="1"/>
    <n v="2"/>
    <n v="3"/>
    <s v="Medical"/>
    <n v="1"/>
    <n v="39"/>
    <n v="3"/>
    <x v="1"/>
    <n v="78"/>
    <n v="3"/>
    <n v="1"/>
    <x v="2"/>
    <n v="4"/>
    <s v="Single"/>
    <n v="2496"/>
    <n v="6670"/>
    <n v="4"/>
    <s v="Y"/>
    <x v="1"/>
    <n v="11"/>
    <n v="3"/>
    <n v="4"/>
    <n v="80"/>
    <n v="0"/>
    <n v="7"/>
    <n v="3"/>
    <n v="3"/>
    <n v="1"/>
    <n v="1"/>
    <n v="0"/>
    <n v="0"/>
    <x v="1"/>
    <x v="1"/>
    <n v="0"/>
    <n v="0"/>
    <x v="3"/>
    <x v="1"/>
    <n v="56"/>
  </r>
  <r>
    <n v="44"/>
    <x v="1"/>
    <s v="Travel_Rarely"/>
    <n v="1459"/>
    <x v="1"/>
    <n v="10"/>
    <n v="4"/>
    <s v="Other"/>
    <n v="1"/>
    <n v="40"/>
    <n v="4"/>
    <x v="1"/>
    <n v="41"/>
    <n v="3"/>
    <n v="2"/>
    <x v="4"/>
    <n v="4"/>
    <s v="Married"/>
    <n v="6465"/>
    <n v="19121"/>
    <n v="2"/>
    <s v="Y"/>
    <x v="0"/>
    <n v="13"/>
    <n v="3"/>
    <n v="4"/>
    <n v="80"/>
    <n v="0"/>
    <n v="9"/>
    <n v="5"/>
    <n v="4"/>
    <n v="4"/>
    <n v="2"/>
    <n v="1"/>
    <n v="3"/>
    <x v="0"/>
    <x v="0"/>
    <n v="0"/>
    <n v="1"/>
    <x v="2"/>
    <x v="1"/>
    <n v="61"/>
  </r>
  <r>
    <n v="30"/>
    <x v="1"/>
    <s v="Travel_Rarely"/>
    <n v="125"/>
    <x v="1"/>
    <n v="9"/>
    <n v="2"/>
    <s v="Medical"/>
    <n v="1"/>
    <n v="41"/>
    <n v="4"/>
    <x v="1"/>
    <n v="83"/>
    <n v="2"/>
    <n v="1"/>
    <x v="2"/>
    <n v="3"/>
    <s v="Single"/>
    <n v="2206"/>
    <n v="16117"/>
    <n v="1"/>
    <s v="Y"/>
    <x v="1"/>
    <n v="13"/>
    <n v="3"/>
    <n v="1"/>
    <n v="80"/>
    <n v="0"/>
    <n v="10"/>
    <n v="5"/>
    <n v="3"/>
    <n v="10"/>
    <n v="0"/>
    <n v="1"/>
    <n v="8"/>
    <x v="1"/>
    <x v="1"/>
    <n v="0"/>
    <n v="0"/>
    <x v="0"/>
    <x v="0"/>
    <n v="46"/>
  </r>
  <r>
    <n v="39"/>
    <x v="0"/>
    <s v="Travel_Rarely"/>
    <n v="895"/>
    <x v="0"/>
    <n v="5"/>
    <n v="3"/>
    <s v="Technical Degree"/>
    <n v="1"/>
    <n v="42"/>
    <n v="4"/>
    <x v="1"/>
    <n v="56"/>
    <n v="3"/>
    <n v="2"/>
    <x v="6"/>
    <n v="4"/>
    <s v="Married"/>
    <n v="2086"/>
    <n v="3335"/>
    <n v="3"/>
    <s v="Y"/>
    <x v="1"/>
    <n v="14"/>
    <n v="3"/>
    <n v="3"/>
    <n v="80"/>
    <n v="1"/>
    <n v="19"/>
    <n v="6"/>
    <n v="4"/>
    <n v="1"/>
    <n v="0"/>
    <n v="0"/>
    <n v="0"/>
    <x v="1"/>
    <x v="1"/>
    <n v="1"/>
    <n v="0"/>
    <x v="3"/>
    <x v="1"/>
    <n v="56"/>
  </r>
  <r>
    <n v="24"/>
    <x v="0"/>
    <s v="Travel_Rarely"/>
    <n v="813"/>
    <x v="1"/>
    <n v="1"/>
    <n v="3"/>
    <s v="Medical"/>
    <n v="1"/>
    <n v="45"/>
    <n v="2"/>
    <x v="1"/>
    <n v="61"/>
    <n v="3"/>
    <n v="1"/>
    <x v="1"/>
    <n v="4"/>
    <s v="Married"/>
    <n v="2293"/>
    <n v="3020"/>
    <n v="2"/>
    <s v="Y"/>
    <x v="0"/>
    <n v="16"/>
    <n v="3"/>
    <n v="1"/>
    <n v="80"/>
    <n v="1"/>
    <n v="6"/>
    <n v="2"/>
    <n v="2"/>
    <n v="2"/>
    <n v="0"/>
    <n v="2"/>
    <n v="0"/>
    <x v="2"/>
    <x v="1"/>
    <n v="1"/>
    <n v="1"/>
    <x v="3"/>
    <x v="1"/>
    <n v="91"/>
  </r>
  <r>
    <n v="43"/>
    <x v="1"/>
    <s v="Travel_Rarely"/>
    <n v="1273"/>
    <x v="1"/>
    <n v="2"/>
    <n v="2"/>
    <s v="Medical"/>
    <n v="1"/>
    <n v="46"/>
    <n v="4"/>
    <x v="0"/>
    <n v="72"/>
    <n v="4"/>
    <n v="1"/>
    <x v="1"/>
    <n v="3"/>
    <s v="Divorced"/>
    <n v="2645"/>
    <n v="21923"/>
    <n v="1"/>
    <s v="Y"/>
    <x v="1"/>
    <n v="12"/>
    <n v="3"/>
    <n v="4"/>
    <n v="80"/>
    <n v="2"/>
    <n v="6"/>
    <n v="3"/>
    <n v="2"/>
    <n v="5"/>
    <n v="3"/>
    <n v="1"/>
    <n v="4"/>
    <x v="0"/>
    <x v="1"/>
    <n v="0"/>
    <n v="0"/>
    <x v="0"/>
    <x v="0"/>
    <n v="43"/>
  </r>
  <r>
    <n v="50"/>
    <x v="0"/>
    <s v="Travel_Rarely"/>
    <n v="869"/>
    <x v="0"/>
    <n v="3"/>
    <n v="2"/>
    <s v="Marketing"/>
    <n v="1"/>
    <n v="47"/>
    <n v="1"/>
    <x v="1"/>
    <n v="86"/>
    <n v="2"/>
    <n v="1"/>
    <x v="6"/>
    <n v="3"/>
    <s v="Married"/>
    <n v="2683"/>
    <n v="3810"/>
    <n v="1"/>
    <s v="Y"/>
    <x v="0"/>
    <n v="14"/>
    <n v="3"/>
    <n v="3"/>
    <n v="80"/>
    <n v="0"/>
    <n v="3"/>
    <n v="2"/>
    <n v="3"/>
    <n v="3"/>
    <n v="2"/>
    <n v="0"/>
    <n v="2"/>
    <x v="3"/>
    <x v="1"/>
    <n v="1"/>
    <n v="1"/>
    <x v="0"/>
    <x v="1"/>
    <n v="73"/>
  </r>
  <r>
    <n v="35"/>
    <x v="1"/>
    <s v="Travel_Rarely"/>
    <n v="890"/>
    <x v="0"/>
    <n v="2"/>
    <n v="3"/>
    <s v="Marketing"/>
    <n v="1"/>
    <n v="49"/>
    <n v="4"/>
    <x v="0"/>
    <n v="97"/>
    <n v="3"/>
    <n v="1"/>
    <x v="6"/>
    <n v="4"/>
    <s v="Married"/>
    <n v="2014"/>
    <n v="9687"/>
    <n v="1"/>
    <s v="Y"/>
    <x v="1"/>
    <n v="13"/>
    <n v="3"/>
    <n v="1"/>
    <n v="80"/>
    <n v="0"/>
    <n v="2"/>
    <n v="3"/>
    <n v="3"/>
    <n v="2"/>
    <n v="2"/>
    <n v="2"/>
    <n v="2"/>
    <x v="1"/>
    <x v="1"/>
    <n v="0"/>
    <n v="0"/>
    <x v="3"/>
    <x v="1"/>
    <n v="56"/>
  </r>
  <r>
    <n v="36"/>
    <x v="1"/>
    <s v="Travel_Rarely"/>
    <n v="852"/>
    <x v="1"/>
    <n v="5"/>
    <n v="4"/>
    <s v="Life Sciences"/>
    <n v="1"/>
    <n v="51"/>
    <n v="2"/>
    <x v="0"/>
    <n v="82"/>
    <n v="2"/>
    <n v="1"/>
    <x v="1"/>
    <n v="1"/>
    <s v="Married"/>
    <n v="3419"/>
    <n v="13072"/>
    <n v="9"/>
    <s v="Y"/>
    <x v="0"/>
    <n v="14"/>
    <n v="3"/>
    <n v="4"/>
    <n v="80"/>
    <n v="1"/>
    <n v="6"/>
    <n v="3"/>
    <n v="4"/>
    <n v="1"/>
    <n v="1"/>
    <n v="0"/>
    <n v="0"/>
    <x v="1"/>
    <x v="1"/>
    <n v="0"/>
    <n v="1"/>
    <x v="2"/>
    <x v="1"/>
    <n v="100"/>
  </r>
  <r>
    <n v="33"/>
    <x v="1"/>
    <s v="Travel_Frequently"/>
    <n v="1141"/>
    <x v="0"/>
    <n v="1"/>
    <n v="3"/>
    <s v="Life Sciences"/>
    <n v="1"/>
    <n v="52"/>
    <n v="3"/>
    <x v="0"/>
    <n v="42"/>
    <n v="4"/>
    <n v="2"/>
    <x v="0"/>
    <n v="1"/>
    <s v="Married"/>
    <n v="5376"/>
    <n v="3193"/>
    <n v="2"/>
    <s v="Y"/>
    <x v="1"/>
    <n v="19"/>
    <n v="3"/>
    <n v="1"/>
    <n v="80"/>
    <n v="2"/>
    <n v="10"/>
    <n v="3"/>
    <n v="3"/>
    <n v="5"/>
    <n v="3"/>
    <n v="1"/>
    <n v="3"/>
    <x v="1"/>
    <x v="0"/>
    <n v="0"/>
    <n v="0"/>
    <x v="3"/>
    <x v="1"/>
    <n v="65"/>
  </r>
  <r>
    <n v="35"/>
    <x v="1"/>
    <s v="Travel_Rarely"/>
    <n v="464"/>
    <x v="1"/>
    <n v="4"/>
    <n v="2"/>
    <s v="Other"/>
    <n v="1"/>
    <n v="53"/>
    <n v="3"/>
    <x v="1"/>
    <n v="75"/>
    <n v="3"/>
    <n v="1"/>
    <x v="2"/>
    <n v="4"/>
    <s v="Divorced"/>
    <n v="1951"/>
    <n v="10910"/>
    <n v="1"/>
    <s v="Y"/>
    <x v="1"/>
    <n v="12"/>
    <n v="3"/>
    <n v="3"/>
    <n v="80"/>
    <n v="1"/>
    <n v="1"/>
    <n v="3"/>
    <n v="3"/>
    <n v="1"/>
    <n v="0"/>
    <n v="0"/>
    <n v="0"/>
    <x v="1"/>
    <x v="1"/>
    <n v="0"/>
    <n v="0"/>
    <x v="0"/>
    <x v="1"/>
    <n v="56"/>
  </r>
  <r>
    <n v="27"/>
    <x v="1"/>
    <s v="Travel_Rarely"/>
    <n v="1240"/>
    <x v="1"/>
    <n v="2"/>
    <n v="4"/>
    <s v="Life Sciences"/>
    <n v="1"/>
    <n v="54"/>
    <n v="4"/>
    <x v="0"/>
    <n v="33"/>
    <n v="3"/>
    <n v="1"/>
    <x v="2"/>
    <n v="1"/>
    <s v="Divorced"/>
    <n v="2341"/>
    <n v="19715"/>
    <n v="1"/>
    <s v="Y"/>
    <x v="1"/>
    <n v="13"/>
    <n v="3"/>
    <n v="4"/>
    <n v="80"/>
    <n v="1"/>
    <n v="1"/>
    <n v="6"/>
    <n v="3"/>
    <n v="1"/>
    <n v="0"/>
    <n v="0"/>
    <n v="0"/>
    <x v="2"/>
    <x v="1"/>
    <n v="0"/>
    <n v="0"/>
    <x v="2"/>
    <x v="1"/>
    <n v="85"/>
  </r>
  <r>
    <n v="26"/>
    <x v="0"/>
    <s v="Travel_Rarely"/>
    <n v="1357"/>
    <x v="1"/>
    <n v="25"/>
    <n v="3"/>
    <s v="Life Sciences"/>
    <n v="1"/>
    <n v="55"/>
    <n v="1"/>
    <x v="1"/>
    <n v="48"/>
    <n v="1"/>
    <n v="1"/>
    <x v="2"/>
    <n v="3"/>
    <s v="Single"/>
    <n v="2293"/>
    <n v="10558"/>
    <n v="1"/>
    <s v="Y"/>
    <x v="1"/>
    <n v="12"/>
    <n v="3"/>
    <n v="3"/>
    <n v="80"/>
    <n v="0"/>
    <n v="1"/>
    <n v="2"/>
    <n v="2"/>
    <n v="1"/>
    <n v="0"/>
    <n v="0"/>
    <n v="1"/>
    <x v="2"/>
    <x v="1"/>
    <n v="1"/>
    <n v="0"/>
    <x v="3"/>
    <x v="1"/>
    <n v="73"/>
  </r>
  <r>
    <n v="27"/>
    <x v="1"/>
    <s v="Travel_Frequently"/>
    <n v="994"/>
    <x v="0"/>
    <n v="8"/>
    <n v="3"/>
    <s v="Life Sciences"/>
    <n v="1"/>
    <n v="56"/>
    <n v="4"/>
    <x v="1"/>
    <n v="37"/>
    <n v="3"/>
    <n v="3"/>
    <x v="0"/>
    <n v="3"/>
    <s v="Single"/>
    <n v="8726"/>
    <n v="2975"/>
    <n v="1"/>
    <s v="Y"/>
    <x v="1"/>
    <n v="15"/>
    <n v="3"/>
    <n v="4"/>
    <n v="80"/>
    <n v="0"/>
    <n v="9"/>
    <n v="0"/>
    <n v="3"/>
    <n v="9"/>
    <n v="8"/>
    <n v="1"/>
    <n v="7"/>
    <x v="2"/>
    <x v="0"/>
    <n v="0"/>
    <n v="0"/>
    <x v="3"/>
    <x v="1"/>
    <n v="56"/>
  </r>
  <r>
    <n v="30"/>
    <x v="1"/>
    <s v="Travel_Frequently"/>
    <n v="721"/>
    <x v="1"/>
    <n v="1"/>
    <n v="2"/>
    <s v="Medical"/>
    <n v="1"/>
    <n v="57"/>
    <n v="3"/>
    <x v="0"/>
    <n v="58"/>
    <n v="3"/>
    <n v="2"/>
    <x v="2"/>
    <n v="4"/>
    <s v="Single"/>
    <n v="4011"/>
    <n v="10781"/>
    <n v="1"/>
    <s v="Y"/>
    <x v="1"/>
    <n v="23"/>
    <n v="4"/>
    <n v="4"/>
    <n v="80"/>
    <n v="0"/>
    <n v="12"/>
    <n v="2"/>
    <n v="3"/>
    <n v="12"/>
    <n v="8"/>
    <n v="3"/>
    <n v="7"/>
    <x v="1"/>
    <x v="1"/>
    <n v="0"/>
    <n v="0"/>
    <x v="0"/>
    <x v="2"/>
    <n v="34"/>
  </r>
  <r>
    <n v="41"/>
    <x v="0"/>
    <s v="Travel_Rarely"/>
    <n v="1360"/>
    <x v="1"/>
    <n v="12"/>
    <n v="3"/>
    <s v="Technical Degree"/>
    <n v="1"/>
    <n v="58"/>
    <n v="2"/>
    <x v="0"/>
    <n v="49"/>
    <n v="3"/>
    <n v="5"/>
    <x v="7"/>
    <n v="3"/>
    <s v="Married"/>
    <n v="19545"/>
    <n v="16280"/>
    <n v="1"/>
    <s v="Y"/>
    <x v="1"/>
    <n v="12"/>
    <n v="3"/>
    <n v="4"/>
    <n v="80"/>
    <n v="0"/>
    <n v="23"/>
    <n v="0"/>
    <n v="3"/>
    <n v="22"/>
    <n v="15"/>
    <n v="15"/>
    <n v="8"/>
    <x v="0"/>
    <x v="2"/>
    <n v="1"/>
    <n v="0"/>
    <x v="3"/>
    <x v="2"/>
    <n v="31"/>
  </r>
  <r>
    <n v="34"/>
    <x v="1"/>
    <s v="Non-Travel"/>
    <n v="1065"/>
    <x v="0"/>
    <n v="23"/>
    <n v="4"/>
    <s v="Marketing"/>
    <n v="1"/>
    <n v="60"/>
    <n v="2"/>
    <x v="1"/>
    <n v="72"/>
    <n v="3"/>
    <n v="2"/>
    <x v="0"/>
    <n v="3"/>
    <s v="Single"/>
    <n v="4568"/>
    <n v="10034"/>
    <n v="0"/>
    <s v="Y"/>
    <x v="1"/>
    <n v="20"/>
    <n v="4"/>
    <n v="3"/>
    <n v="80"/>
    <n v="0"/>
    <n v="10"/>
    <n v="2"/>
    <n v="3"/>
    <n v="9"/>
    <n v="5"/>
    <n v="8"/>
    <n v="7"/>
    <x v="1"/>
    <x v="1"/>
    <n v="0"/>
    <n v="0"/>
    <x v="2"/>
    <x v="0"/>
    <n v="46"/>
  </r>
  <r>
    <n v="37"/>
    <x v="1"/>
    <s v="Travel_Rarely"/>
    <n v="408"/>
    <x v="1"/>
    <n v="19"/>
    <n v="2"/>
    <s v="Life Sciences"/>
    <n v="1"/>
    <n v="61"/>
    <n v="2"/>
    <x v="1"/>
    <n v="73"/>
    <n v="3"/>
    <n v="1"/>
    <x v="1"/>
    <n v="2"/>
    <s v="Married"/>
    <n v="3022"/>
    <n v="10227"/>
    <n v="4"/>
    <s v="Y"/>
    <x v="1"/>
    <n v="21"/>
    <n v="4"/>
    <n v="1"/>
    <n v="80"/>
    <n v="0"/>
    <n v="8"/>
    <n v="1"/>
    <n v="3"/>
    <n v="1"/>
    <n v="0"/>
    <n v="0"/>
    <n v="0"/>
    <x v="1"/>
    <x v="1"/>
    <n v="0"/>
    <n v="0"/>
    <x v="0"/>
    <x v="1"/>
    <n v="69"/>
  </r>
  <r>
    <n v="46"/>
    <x v="1"/>
    <s v="Travel_Frequently"/>
    <n v="1211"/>
    <x v="0"/>
    <n v="5"/>
    <n v="4"/>
    <s v="Marketing"/>
    <n v="1"/>
    <n v="62"/>
    <n v="1"/>
    <x v="1"/>
    <n v="98"/>
    <n v="3"/>
    <n v="2"/>
    <x v="0"/>
    <n v="4"/>
    <s v="Single"/>
    <n v="5772"/>
    <n v="20445"/>
    <n v="4"/>
    <s v="Y"/>
    <x v="0"/>
    <n v="21"/>
    <n v="4"/>
    <n v="3"/>
    <n v="80"/>
    <n v="0"/>
    <n v="14"/>
    <n v="4"/>
    <n v="3"/>
    <n v="9"/>
    <n v="6"/>
    <n v="0"/>
    <n v="8"/>
    <x v="0"/>
    <x v="0"/>
    <n v="0"/>
    <n v="1"/>
    <x v="2"/>
    <x v="0"/>
    <n v="54"/>
  </r>
  <r>
    <n v="35"/>
    <x v="1"/>
    <s v="Travel_Rarely"/>
    <n v="1229"/>
    <x v="1"/>
    <n v="8"/>
    <n v="1"/>
    <s v="Life Sciences"/>
    <n v="1"/>
    <n v="63"/>
    <n v="4"/>
    <x v="1"/>
    <n v="36"/>
    <n v="4"/>
    <n v="1"/>
    <x v="2"/>
    <n v="4"/>
    <s v="Married"/>
    <n v="2269"/>
    <n v="4892"/>
    <n v="1"/>
    <s v="Y"/>
    <x v="1"/>
    <n v="19"/>
    <n v="3"/>
    <n v="4"/>
    <n v="80"/>
    <n v="0"/>
    <n v="1"/>
    <n v="2"/>
    <n v="3"/>
    <n v="1"/>
    <n v="0"/>
    <n v="0"/>
    <n v="1"/>
    <x v="1"/>
    <x v="1"/>
    <n v="0"/>
    <n v="0"/>
    <x v="1"/>
    <x v="1"/>
    <n v="56"/>
  </r>
  <r>
    <n v="48"/>
    <x v="0"/>
    <s v="Travel_Rarely"/>
    <n v="626"/>
    <x v="1"/>
    <n v="1"/>
    <n v="2"/>
    <s v="Life Sciences"/>
    <n v="1"/>
    <n v="64"/>
    <n v="1"/>
    <x v="1"/>
    <n v="98"/>
    <n v="2"/>
    <n v="3"/>
    <x v="2"/>
    <n v="3"/>
    <s v="Single"/>
    <n v="5381"/>
    <n v="19294"/>
    <n v="9"/>
    <s v="Y"/>
    <x v="0"/>
    <n v="13"/>
    <n v="3"/>
    <n v="4"/>
    <n v="80"/>
    <n v="0"/>
    <n v="23"/>
    <n v="2"/>
    <n v="3"/>
    <n v="1"/>
    <n v="0"/>
    <n v="0"/>
    <n v="0"/>
    <x v="0"/>
    <x v="0"/>
    <n v="1"/>
    <n v="1"/>
    <x v="0"/>
    <x v="1"/>
    <n v="78"/>
  </r>
  <r>
    <n v="28"/>
    <x v="0"/>
    <s v="Travel_Rarely"/>
    <n v="1434"/>
    <x v="1"/>
    <n v="5"/>
    <n v="4"/>
    <s v="Technical Degree"/>
    <n v="1"/>
    <n v="65"/>
    <n v="3"/>
    <x v="1"/>
    <n v="50"/>
    <n v="3"/>
    <n v="1"/>
    <x v="2"/>
    <n v="3"/>
    <s v="Single"/>
    <n v="3441"/>
    <n v="11179"/>
    <n v="1"/>
    <s v="Y"/>
    <x v="0"/>
    <n v="13"/>
    <n v="3"/>
    <n v="3"/>
    <n v="80"/>
    <n v="0"/>
    <n v="2"/>
    <n v="3"/>
    <n v="2"/>
    <n v="2"/>
    <n v="2"/>
    <n v="2"/>
    <n v="2"/>
    <x v="2"/>
    <x v="1"/>
    <n v="1"/>
    <n v="1"/>
    <x v="2"/>
    <x v="1"/>
    <n v="98"/>
  </r>
  <r>
    <n v="44"/>
    <x v="1"/>
    <s v="Travel_Rarely"/>
    <n v="1488"/>
    <x v="0"/>
    <n v="1"/>
    <n v="5"/>
    <s v="Marketing"/>
    <n v="1"/>
    <n v="68"/>
    <n v="2"/>
    <x v="0"/>
    <n v="75"/>
    <n v="3"/>
    <n v="2"/>
    <x v="0"/>
    <n v="1"/>
    <s v="Divorced"/>
    <n v="5454"/>
    <n v="4009"/>
    <n v="5"/>
    <s v="Y"/>
    <x v="0"/>
    <n v="21"/>
    <n v="4"/>
    <n v="3"/>
    <n v="80"/>
    <n v="1"/>
    <n v="9"/>
    <n v="2"/>
    <n v="2"/>
    <n v="4"/>
    <n v="3"/>
    <n v="1"/>
    <n v="3"/>
    <x v="0"/>
    <x v="0"/>
    <n v="0"/>
    <n v="1"/>
    <x v="4"/>
    <x v="1"/>
    <n v="80"/>
  </r>
  <r>
    <n v="35"/>
    <x v="1"/>
    <s v="Non-Travel"/>
    <n v="1097"/>
    <x v="1"/>
    <n v="11"/>
    <n v="2"/>
    <s v="Medical"/>
    <n v="1"/>
    <n v="70"/>
    <n v="3"/>
    <x v="1"/>
    <n v="79"/>
    <n v="2"/>
    <n v="3"/>
    <x v="4"/>
    <n v="1"/>
    <s v="Married"/>
    <n v="9884"/>
    <n v="8302"/>
    <n v="2"/>
    <s v="Y"/>
    <x v="0"/>
    <n v="13"/>
    <n v="3"/>
    <n v="3"/>
    <n v="80"/>
    <n v="1"/>
    <n v="10"/>
    <n v="3"/>
    <n v="3"/>
    <n v="4"/>
    <n v="0"/>
    <n v="2"/>
    <n v="3"/>
    <x v="1"/>
    <x v="0"/>
    <n v="0"/>
    <n v="1"/>
    <x v="0"/>
    <x v="1"/>
    <n v="90"/>
  </r>
  <r>
    <n v="26"/>
    <x v="1"/>
    <s v="Travel_Rarely"/>
    <n v="1443"/>
    <x v="0"/>
    <n v="23"/>
    <n v="3"/>
    <s v="Marketing"/>
    <n v="1"/>
    <n v="72"/>
    <n v="3"/>
    <x v="0"/>
    <n v="47"/>
    <n v="2"/>
    <n v="2"/>
    <x v="0"/>
    <n v="4"/>
    <s v="Married"/>
    <n v="4157"/>
    <n v="21436"/>
    <n v="7"/>
    <s v="Y"/>
    <x v="0"/>
    <n v="19"/>
    <n v="3"/>
    <n v="3"/>
    <n v="80"/>
    <n v="1"/>
    <n v="5"/>
    <n v="2"/>
    <n v="2"/>
    <n v="2"/>
    <n v="2"/>
    <n v="0"/>
    <n v="0"/>
    <x v="2"/>
    <x v="1"/>
    <n v="0"/>
    <n v="1"/>
    <x v="3"/>
    <x v="1"/>
    <n v="91"/>
  </r>
  <r>
    <n v="33"/>
    <x v="1"/>
    <s v="Travel_Frequently"/>
    <n v="515"/>
    <x v="1"/>
    <n v="1"/>
    <n v="2"/>
    <s v="Life Sciences"/>
    <n v="1"/>
    <n v="73"/>
    <n v="1"/>
    <x v="0"/>
    <n v="98"/>
    <n v="3"/>
    <n v="3"/>
    <x v="7"/>
    <n v="4"/>
    <s v="Single"/>
    <n v="13458"/>
    <n v="15146"/>
    <n v="1"/>
    <s v="Y"/>
    <x v="0"/>
    <n v="12"/>
    <n v="3"/>
    <n v="3"/>
    <n v="80"/>
    <n v="0"/>
    <n v="15"/>
    <n v="1"/>
    <n v="3"/>
    <n v="15"/>
    <n v="14"/>
    <n v="8"/>
    <n v="12"/>
    <x v="1"/>
    <x v="0"/>
    <n v="0"/>
    <n v="1"/>
    <x v="0"/>
    <x v="1"/>
    <n v="59"/>
  </r>
  <r>
    <n v="35"/>
    <x v="1"/>
    <s v="Travel_Frequently"/>
    <n v="853"/>
    <x v="0"/>
    <n v="18"/>
    <n v="5"/>
    <s v="Life Sciences"/>
    <n v="1"/>
    <n v="74"/>
    <n v="2"/>
    <x v="1"/>
    <n v="71"/>
    <n v="3"/>
    <n v="3"/>
    <x v="0"/>
    <n v="1"/>
    <s v="Married"/>
    <n v="9069"/>
    <n v="11031"/>
    <n v="1"/>
    <s v="Y"/>
    <x v="1"/>
    <n v="22"/>
    <n v="4"/>
    <n v="4"/>
    <n v="80"/>
    <n v="1"/>
    <n v="9"/>
    <n v="3"/>
    <n v="2"/>
    <n v="9"/>
    <n v="8"/>
    <n v="1"/>
    <n v="8"/>
    <x v="1"/>
    <x v="0"/>
    <n v="0"/>
    <n v="0"/>
    <x v="4"/>
    <x v="1"/>
    <n v="58"/>
  </r>
  <r>
    <n v="35"/>
    <x v="1"/>
    <s v="Travel_Rarely"/>
    <n v="1142"/>
    <x v="1"/>
    <n v="23"/>
    <n v="4"/>
    <s v="Medical"/>
    <n v="1"/>
    <n v="75"/>
    <n v="3"/>
    <x v="0"/>
    <n v="30"/>
    <n v="3"/>
    <n v="1"/>
    <x v="2"/>
    <n v="1"/>
    <s v="Married"/>
    <n v="4014"/>
    <n v="16002"/>
    <n v="3"/>
    <s v="Y"/>
    <x v="0"/>
    <n v="15"/>
    <n v="3"/>
    <n v="3"/>
    <n v="80"/>
    <n v="1"/>
    <n v="4"/>
    <n v="3"/>
    <n v="3"/>
    <n v="2"/>
    <n v="2"/>
    <n v="2"/>
    <n v="2"/>
    <x v="1"/>
    <x v="1"/>
    <n v="0"/>
    <n v="1"/>
    <x v="2"/>
    <x v="1"/>
    <n v="100"/>
  </r>
  <r>
    <n v="31"/>
    <x v="1"/>
    <s v="Travel_Rarely"/>
    <n v="655"/>
    <x v="1"/>
    <n v="7"/>
    <n v="4"/>
    <s v="Life Sciences"/>
    <n v="1"/>
    <n v="76"/>
    <n v="4"/>
    <x v="1"/>
    <n v="48"/>
    <n v="3"/>
    <n v="2"/>
    <x v="2"/>
    <n v="4"/>
    <s v="Divorced"/>
    <n v="5915"/>
    <n v="9528"/>
    <n v="3"/>
    <s v="Y"/>
    <x v="1"/>
    <n v="22"/>
    <n v="4"/>
    <n v="4"/>
    <n v="80"/>
    <n v="1"/>
    <n v="10"/>
    <n v="3"/>
    <n v="2"/>
    <n v="7"/>
    <n v="7"/>
    <n v="1"/>
    <n v="7"/>
    <x v="1"/>
    <x v="0"/>
    <n v="0"/>
    <n v="0"/>
    <x v="2"/>
    <x v="0"/>
    <n v="39"/>
  </r>
  <r>
    <n v="37"/>
    <x v="1"/>
    <s v="Travel_Rarely"/>
    <n v="1115"/>
    <x v="1"/>
    <n v="1"/>
    <n v="4"/>
    <s v="Life Sciences"/>
    <n v="1"/>
    <n v="77"/>
    <n v="1"/>
    <x v="1"/>
    <n v="51"/>
    <n v="2"/>
    <n v="2"/>
    <x v="3"/>
    <n v="3"/>
    <s v="Divorced"/>
    <n v="5993"/>
    <n v="2689"/>
    <n v="1"/>
    <s v="Y"/>
    <x v="1"/>
    <n v="18"/>
    <n v="3"/>
    <n v="3"/>
    <n v="80"/>
    <n v="1"/>
    <n v="7"/>
    <n v="2"/>
    <n v="4"/>
    <n v="7"/>
    <n v="5"/>
    <n v="0"/>
    <n v="7"/>
    <x v="1"/>
    <x v="0"/>
    <n v="0"/>
    <n v="0"/>
    <x v="2"/>
    <x v="0"/>
    <n v="46"/>
  </r>
  <r>
    <n v="32"/>
    <x v="1"/>
    <s v="Travel_Rarely"/>
    <n v="427"/>
    <x v="1"/>
    <n v="1"/>
    <n v="3"/>
    <s v="Medical"/>
    <n v="1"/>
    <n v="78"/>
    <n v="1"/>
    <x v="1"/>
    <n v="33"/>
    <n v="3"/>
    <n v="2"/>
    <x v="3"/>
    <n v="4"/>
    <s v="Married"/>
    <n v="6162"/>
    <n v="10877"/>
    <n v="1"/>
    <s v="Y"/>
    <x v="0"/>
    <n v="22"/>
    <n v="4"/>
    <n v="2"/>
    <n v="80"/>
    <n v="1"/>
    <n v="9"/>
    <n v="3"/>
    <n v="3"/>
    <n v="9"/>
    <n v="8"/>
    <n v="7"/>
    <n v="8"/>
    <x v="1"/>
    <x v="0"/>
    <n v="0"/>
    <n v="1"/>
    <x v="3"/>
    <x v="1"/>
    <n v="64"/>
  </r>
  <r>
    <n v="38"/>
    <x v="1"/>
    <s v="Travel_Frequently"/>
    <n v="653"/>
    <x v="1"/>
    <n v="29"/>
    <n v="5"/>
    <s v="Life Sciences"/>
    <n v="1"/>
    <n v="79"/>
    <n v="4"/>
    <x v="0"/>
    <n v="50"/>
    <n v="3"/>
    <n v="2"/>
    <x v="2"/>
    <n v="4"/>
    <s v="Single"/>
    <n v="2406"/>
    <n v="5456"/>
    <n v="1"/>
    <s v="Y"/>
    <x v="1"/>
    <n v="11"/>
    <n v="3"/>
    <n v="4"/>
    <n v="80"/>
    <n v="0"/>
    <n v="10"/>
    <n v="2"/>
    <n v="3"/>
    <n v="10"/>
    <n v="3"/>
    <n v="9"/>
    <n v="9"/>
    <x v="1"/>
    <x v="1"/>
    <n v="0"/>
    <n v="0"/>
    <x v="4"/>
    <x v="0"/>
    <n v="39"/>
  </r>
  <r>
    <n v="50"/>
    <x v="1"/>
    <s v="Travel_Rarely"/>
    <n v="989"/>
    <x v="1"/>
    <n v="7"/>
    <n v="2"/>
    <s v="Medical"/>
    <n v="1"/>
    <n v="80"/>
    <n v="2"/>
    <x v="0"/>
    <n v="43"/>
    <n v="2"/>
    <n v="5"/>
    <x v="7"/>
    <n v="3"/>
    <s v="Divorced"/>
    <n v="18740"/>
    <n v="16701"/>
    <n v="5"/>
    <s v="Y"/>
    <x v="0"/>
    <n v="12"/>
    <n v="3"/>
    <n v="4"/>
    <n v="80"/>
    <n v="1"/>
    <n v="29"/>
    <n v="2"/>
    <n v="2"/>
    <n v="27"/>
    <n v="3"/>
    <n v="13"/>
    <n v="8"/>
    <x v="3"/>
    <x v="2"/>
    <n v="0"/>
    <n v="1"/>
    <x v="0"/>
    <x v="1"/>
    <n v="61"/>
  </r>
  <r>
    <n v="59"/>
    <x v="1"/>
    <s v="Travel_Rarely"/>
    <n v="1435"/>
    <x v="0"/>
    <n v="25"/>
    <n v="3"/>
    <s v="Life Sciences"/>
    <n v="1"/>
    <n v="81"/>
    <n v="1"/>
    <x v="0"/>
    <n v="99"/>
    <n v="3"/>
    <n v="3"/>
    <x v="0"/>
    <n v="1"/>
    <s v="Single"/>
    <n v="7637"/>
    <n v="2354"/>
    <n v="7"/>
    <s v="Y"/>
    <x v="1"/>
    <n v="11"/>
    <n v="3"/>
    <n v="4"/>
    <n v="80"/>
    <n v="0"/>
    <n v="28"/>
    <n v="3"/>
    <n v="2"/>
    <n v="21"/>
    <n v="16"/>
    <n v="7"/>
    <n v="9"/>
    <x v="3"/>
    <x v="0"/>
    <n v="0"/>
    <n v="0"/>
    <x v="3"/>
    <x v="0"/>
    <n v="48"/>
  </r>
  <r>
    <n v="36"/>
    <x v="1"/>
    <s v="Travel_Rarely"/>
    <n v="1223"/>
    <x v="1"/>
    <n v="8"/>
    <n v="3"/>
    <s v="Technical Degree"/>
    <n v="1"/>
    <n v="83"/>
    <n v="3"/>
    <x v="0"/>
    <n v="59"/>
    <n v="3"/>
    <n v="3"/>
    <x v="4"/>
    <n v="3"/>
    <s v="Divorced"/>
    <n v="10096"/>
    <n v="8202"/>
    <n v="1"/>
    <s v="Y"/>
    <x v="1"/>
    <n v="13"/>
    <n v="3"/>
    <n v="2"/>
    <n v="80"/>
    <n v="3"/>
    <n v="17"/>
    <n v="2"/>
    <n v="3"/>
    <n v="17"/>
    <n v="14"/>
    <n v="12"/>
    <n v="8"/>
    <x v="1"/>
    <x v="0"/>
    <n v="0"/>
    <n v="0"/>
    <x v="3"/>
    <x v="0"/>
    <n v="41"/>
  </r>
  <r>
    <n v="55"/>
    <x v="1"/>
    <s v="Travel_Rarely"/>
    <n v="836"/>
    <x v="1"/>
    <n v="8"/>
    <n v="3"/>
    <s v="Medical"/>
    <n v="1"/>
    <n v="84"/>
    <n v="4"/>
    <x v="0"/>
    <n v="33"/>
    <n v="3"/>
    <n v="4"/>
    <x v="5"/>
    <n v="3"/>
    <s v="Divorced"/>
    <n v="14756"/>
    <n v="19730"/>
    <n v="2"/>
    <s v="Y"/>
    <x v="0"/>
    <n v="14"/>
    <n v="3"/>
    <n v="3"/>
    <n v="80"/>
    <n v="3"/>
    <n v="21"/>
    <n v="2"/>
    <n v="3"/>
    <n v="5"/>
    <n v="0"/>
    <n v="0"/>
    <n v="2"/>
    <x v="3"/>
    <x v="0"/>
    <n v="0"/>
    <n v="1"/>
    <x v="3"/>
    <x v="1"/>
    <n v="73"/>
  </r>
  <r>
    <n v="36"/>
    <x v="1"/>
    <s v="Travel_Frequently"/>
    <n v="1195"/>
    <x v="1"/>
    <n v="11"/>
    <n v="3"/>
    <s v="Life Sciences"/>
    <n v="1"/>
    <n v="85"/>
    <n v="2"/>
    <x v="1"/>
    <n v="95"/>
    <n v="2"/>
    <n v="2"/>
    <x v="3"/>
    <n v="2"/>
    <s v="Single"/>
    <n v="6499"/>
    <n v="22656"/>
    <n v="1"/>
    <s v="Y"/>
    <x v="1"/>
    <n v="13"/>
    <n v="3"/>
    <n v="3"/>
    <n v="80"/>
    <n v="0"/>
    <n v="6"/>
    <n v="3"/>
    <n v="3"/>
    <n v="6"/>
    <n v="5"/>
    <n v="0"/>
    <n v="3"/>
    <x v="1"/>
    <x v="0"/>
    <n v="0"/>
    <n v="0"/>
    <x v="3"/>
    <x v="0"/>
    <n v="52"/>
  </r>
  <r>
    <n v="45"/>
    <x v="1"/>
    <s v="Travel_Rarely"/>
    <n v="1339"/>
    <x v="1"/>
    <n v="7"/>
    <n v="3"/>
    <s v="Life Sciences"/>
    <n v="1"/>
    <n v="86"/>
    <n v="2"/>
    <x v="1"/>
    <n v="59"/>
    <n v="3"/>
    <n v="3"/>
    <x v="1"/>
    <n v="1"/>
    <s v="Divorced"/>
    <n v="9724"/>
    <n v="18787"/>
    <n v="2"/>
    <s v="Y"/>
    <x v="1"/>
    <n v="17"/>
    <n v="3"/>
    <n v="3"/>
    <n v="80"/>
    <n v="1"/>
    <n v="25"/>
    <n v="2"/>
    <n v="3"/>
    <n v="1"/>
    <n v="0"/>
    <n v="0"/>
    <n v="0"/>
    <x v="0"/>
    <x v="0"/>
    <n v="0"/>
    <n v="0"/>
    <x v="3"/>
    <x v="1"/>
    <n v="65"/>
  </r>
  <r>
    <n v="35"/>
    <x v="1"/>
    <s v="Travel_Frequently"/>
    <n v="664"/>
    <x v="1"/>
    <n v="1"/>
    <n v="3"/>
    <s v="Medical"/>
    <n v="1"/>
    <n v="88"/>
    <n v="2"/>
    <x v="1"/>
    <n v="79"/>
    <n v="3"/>
    <n v="1"/>
    <x v="1"/>
    <n v="1"/>
    <s v="Married"/>
    <n v="2194"/>
    <n v="5868"/>
    <n v="4"/>
    <s v="Y"/>
    <x v="1"/>
    <n v="13"/>
    <n v="3"/>
    <n v="4"/>
    <n v="80"/>
    <n v="1"/>
    <n v="5"/>
    <n v="2"/>
    <n v="2"/>
    <n v="3"/>
    <n v="2"/>
    <n v="1"/>
    <n v="2"/>
    <x v="1"/>
    <x v="1"/>
    <n v="0"/>
    <n v="0"/>
    <x v="3"/>
    <x v="1"/>
    <n v="65"/>
  </r>
  <r>
    <n v="36"/>
    <x v="0"/>
    <s v="Travel_Rarely"/>
    <n v="318"/>
    <x v="1"/>
    <n v="9"/>
    <n v="3"/>
    <s v="Medical"/>
    <n v="1"/>
    <n v="90"/>
    <n v="4"/>
    <x v="1"/>
    <n v="79"/>
    <n v="2"/>
    <n v="1"/>
    <x v="1"/>
    <n v="3"/>
    <s v="Married"/>
    <n v="3388"/>
    <n v="21777"/>
    <n v="0"/>
    <s v="Y"/>
    <x v="0"/>
    <n v="17"/>
    <n v="3"/>
    <n v="1"/>
    <n v="80"/>
    <n v="1"/>
    <n v="2"/>
    <n v="0"/>
    <n v="2"/>
    <n v="1"/>
    <n v="0"/>
    <n v="0"/>
    <n v="0"/>
    <x v="1"/>
    <x v="1"/>
    <n v="1"/>
    <n v="1"/>
    <x v="3"/>
    <x v="1"/>
    <n v="88"/>
  </r>
  <r>
    <n v="59"/>
    <x v="1"/>
    <s v="Travel_Frequently"/>
    <n v="1225"/>
    <x v="0"/>
    <n v="1"/>
    <n v="1"/>
    <s v="Life Sciences"/>
    <n v="1"/>
    <n v="91"/>
    <n v="1"/>
    <x v="0"/>
    <n v="57"/>
    <n v="2"/>
    <n v="2"/>
    <x v="0"/>
    <n v="3"/>
    <s v="Single"/>
    <n v="5473"/>
    <n v="24668"/>
    <n v="7"/>
    <s v="Y"/>
    <x v="1"/>
    <n v="11"/>
    <n v="3"/>
    <n v="4"/>
    <n v="80"/>
    <n v="0"/>
    <n v="20"/>
    <n v="2"/>
    <n v="2"/>
    <n v="4"/>
    <n v="3"/>
    <n v="1"/>
    <n v="3"/>
    <x v="3"/>
    <x v="0"/>
    <n v="0"/>
    <n v="0"/>
    <x v="1"/>
    <x v="0"/>
    <n v="48"/>
  </r>
  <r>
    <n v="29"/>
    <x v="1"/>
    <s v="Travel_Rarely"/>
    <n v="1328"/>
    <x v="1"/>
    <n v="2"/>
    <n v="3"/>
    <s v="Life Sciences"/>
    <n v="1"/>
    <n v="94"/>
    <n v="3"/>
    <x v="1"/>
    <n v="76"/>
    <n v="3"/>
    <n v="1"/>
    <x v="1"/>
    <n v="2"/>
    <s v="Married"/>
    <n v="2703"/>
    <n v="4956"/>
    <n v="0"/>
    <s v="Y"/>
    <x v="1"/>
    <n v="23"/>
    <n v="4"/>
    <n v="4"/>
    <n v="80"/>
    <n v="1"/>
    <n v="6"/>
    <n v="3"/>
    <n v="3"/>
    <n v="5"/>
    <n v="4"/>
    <n v="0"/>
    <n v="4"/>
    <x v="2"/>
    <x v="1"/>
    <n v="0"/>
    <n v="0"/>
    <x v="3"/>
    <x v="1"/>
    <n v="69"/>
  </r>
  <r>
    <n v="31"/>
    <x v="1"/>
    <s v="Travel_Rarely"/>
    <n v="1082"/>
    <x v="1"/>
    <n v="1"/>
    <n v="4"/>
    <s v="Medical"/>
    <n v="1"/>
    <n v="95"/>
    <n v="3"/>
    <x v="1"/>
    <n v="87"/>
    <n v="3"/>
    <n v="1"/>
    <x v="1"/>
    <n v="2"/>
    <s v="Single"/>
    <n v="2501"/>
    <n v="18775"/>
    <n v="1"/>
    <s v="Y"/>
    <x v="1"/>
    <n v="17"/>
    <n v="3"/>
    <n v="2"/>
    <n v="80"/>
    <n v="0"/>
    <n v="1"/>
    <n v="4"/>
    <n v="3"/>
    <n v="1"/>
    <n v="1"/>
    <n v="1"/>
    <n v="0"/>
    <x v="1"/>
    <x v="1"/>
    <n v="0"/>
    <n v="0"/>
    <x v="2"/>
    <x v="1"/>
    <n v="69"/>
  </r>
  <r>
    <n v="32"/>
    <x v="1"/>
    <s v="Travel_Rarely"/>
    <n v="548"/>
    <x v="1"/>
    <n v="1"/>
    <n v="3"/>
    <s v="Life Sciences"/>
    <n v="1"/>
    <n v="96"/>
    <n v="2"/>
    <x v="1"/>
    <n v="66"/>
    <n v="3"/>
    <n v="2"/>
    <x v="1"/>
    <n v="2"/>
    <s v="Married"/>
    <n v="6220"/>
    <n v="7346"/>
    <n v="1"/>
    <s v="Y"/>
    <x v="1"/>
    <n v="17"/>
    <n v="3"/>
    <n v="2"/>
    <n v="80"/>
    <n v="2"/>
    <n v="10"/>
    <n v="3"/>
    <n v="3"/>
    <n v="10"/>
    <n v="4"/>
    <n v="0"/>
    <n v="9"/>
    <x v="1"/>
    <x v="0"/>
    <n v="0"/>
    <n v="0"/>
    <x v="3"/>
    <x v="0"/>
    <n v="52"/>
  </r>
  <r>
    <n v="36"/>
    <x v="1"/>
    <s v="Travel_Rarely"/>
    <n v="132"/>
    <x v="1"/>
    <n v="6"/>
    <n v="3"/>
    <s v="Life Sciences"/>
    <n v="1"/>
    <n v="97"/>
    <n v="2"/>
    <x v="0"/>
    <n v="55"/>
    <n v="4"/>
    <n v="1"/>
    <x v="2"/>
    <n v="4"/>
    <s v="Married"/>
    <n v="3038"/>
    <n v="22002"/>
    <n v="3"/>
    <s v="Y"/>
    <x v="1"/>
    <n v="12"/>
    <n v="3"/>
    <n v="2"/>
    <n v="80"/>
    <n v="0"/>
    <n v="5"/>
    <n v="3"/>
    <n v="3"/>
    <n v="1"/>
    <n v="0"/>
    <n v="0"/>
    <n v="0"/>
    <x v="1"/>
    <x v="1"/>
    <n v="0"/>
    <n v="0"/>
    <x v="3"/>
    <x v="1"/>
    <n v="56"/>
  </r>
  <r>
    <n v="31"/>
    <x v="1"/>
    <s v="Travel_Rarely"/>
    <n v="746"/>
    <x v="1"/>
    <n v="8"/>
    <n v="4"/>
    <s v="Life Sciences"/>
    <n v="1"/>
    <n v="98"/>
    <n v="3"/>
    <x v="0"/>
    <n v="61"/>
    <n v="3"/>
    <n v="2"/>
    <x v="3"/>
    <n v="4"/>
    <s v="Single"/>
    <n v="4424"/>
    <n v="20682"/>
    <n v="1"/>
    <s v="Y"/>
    <x v="1"/>
    <n v="23"/>
    <n v="4"/>
    <n v="4"/>
    <n v="80"/>
    <n v="0"/>
    <n v="11"/>
    <n v="2"/>
    <n v="3"/>
    <n v="11"/>
    <n v="7"/>
    <n v="1"/>
    <n v="8"/>
    <x v="1"/>
    <x v="1"/>
    <n v="0"/>
    <n v="0"/>
    <x v="2"/>
    <x v="2"/>
    <n v="34"/>
  </r>
  <r>
    <n v="35"/>
    <x v="1"/>
    <s v="Travel_Rarely"/>
    <n v="776"/>
    <x v="0"/>
    <n v="1"/>
    <n v="4"/>
    <s v="Marketing"/>
    <n v="1"/>
    <n v="100"/>
    <n v="3"/>
    <x v="1"/>
    <n v="32"/>
    <n v="2"/>
    <n v="2"/>
    <x v="0"/>
    <n v="1"/>
    <s v="Single"/>
    <n v="4312"/>
    <n v="23016"/>
    <n v="0"/>
    <s v="Y"/>
    <x v="1"/>
    <n v="14"/>
    <n v="3"/>
    <n v="2"/>
    <n v="80"/>
    <n v="0"/>
    <n v="16"/>
    <n v="2"/>
    <n v="3"/>
    <n v="15"/>
    <n v="13"/>
    <n v="2"/>
    <n v="8"/>
    <x v="1"/>
    <x v="1"/>
    <n v="0"/>
    <n v="0"/>
    <x v="2"/>
    <x v="0"/>
    <n v="53"/>
  </r>
  <r>
    <n v="45"/>
    <x v="1"/>
    <s v="Travel_Rarely"/>
    <n v="193"/>
    <x v="1"/>
    <n v="6"/>
    <n v="4"/>
    <s v="Other"/>
    <n v="1"/>
    <n v="101"/>
    <n v="4"/>
    <x v="1"/>
    <n v="52"/>
    <n v="3"/>
    <n v="3"/>
    <x v="7"/>
    <n v="1"/>
    <s v="Married"/>
    <n v="13245"/>
    <n v="15067"/>
    <n v="4"/>
    <s v="Y"/>
    <x v="0"/>
    <n v="14"/>
    <n v="3"/>
    <n v="2"/>
    <n v="80"/>
    <n v="0"/>
    <n v="17"/>
    <n v="3"/>
    <n v="4"/>
    <n v="0"/>
    <n v="0"/>
    <n v="0"/>
    <n v="0"/>
    <x v="0"/>
    <x v="0"/>
    <n v="0"/>
    <n v="1"/>
    <x v="2"/>
    <x v="1"/>
    <n v="90"/>
  </r>
  <r>
    <n v="37"/>
    <x v="1"/>
    <s v="Travel_Rarely"/>
    <n v="397"/>
    <x v="1"/>
    <n v="7"/>
    <n v="4"/>
    <s v="Medical"/>
    <n v="1"/>
    <n v="102"/>
    <n v="1"/>
    <x v="1"/>
    <n v="30"/>
    <n v="3"/>
    <n v="3"/>
    <x v="7"/>
    <n v="3"/>
    <s v="Single"/>
    <n v="13664"/>
    <n v="25258"/>
    <n v="4"/>
    <s v="Y"/>
    <x v="1"/>
    <n v="13"/>
    <n v="3"/>
    <n v="1"/>
    <n v="80"/>
    <n v="0"/>
    <n v="16"/>
    <n v="3"/>
    <n v="4"/>
    <n v="5"/>
    <n v="2"/>
    <n v="0"/>
    <n v="2"/>
    <x v="1"/>
    <x v="0"/>
    <n v="0"/>
    <n v="0"/>
    <x v="2"/>
    <x v="0"/>
    <n v="53"/>
  </r>
  <r>
    <n v="46"/>
    <x v="1"/>
    <s v="Travel_Rarely"/>
    <n v="945"/>
    <x v="2"/>
    <n v="5"/>
    <n v="2"/>
    <s v="Medical"/>
    <n v="1"/>
    <n v="103"/>
    <n v="2"/>
    <x v="1"/>
    <n v="80"/>
    <n v="3"/>
    <n v="2"/>
    <x v="8"/>
    <n v="2"/>
    <s v="Divorced"/>
    <n v="5021"/>
    <n v="10425"/>
    <n v="8"/>
    <s v="Y"/>
    <x v="0"/>
    <n v="22"/>
    <n v="4"/>
    <n v="4"/>
    <n v="80"/>
    <n v="1"/>
    <n v="16"/>
    <n v="2"/>
    <n v="3"/>
    <n v="4"/>
    <n v="2"/>
    <n v="0"/>
    <n v="2"/>
    <x v="0"/>
    <x v="0"/>
    <n v="0"/>
    <n v="1"/>
    <x v="0"/>
    <x v="1"/>
    <n v="74"/>
  </r>
  <r>
    <n v="30"/>
    <x v="1"/>
    <s v="Travel_Rarely"/>
    <n v="852"/>
    <x v="1"/>
    <n v="1"/>
    <n v="1"/>
    <s v="Life Sciences"/>
    <n v="1"/>
    <n v="104"/>
    <n v="4"/>
    <x v="1"/>
    <n v="55"/>
    <n v="2"/>
    <n v="2"/>
    <x v="2"/>
    <n v="4"/>
    <s v="Married"/>
    <n v="5126"/>
    <n v="15998"/>
    <n v="1"/>
    <s v="Y"/>
    <x v="0"/>
    <n v="12"/>
    <n v="3"/>
    <n v="3"/>
    <n v="80"/>
    <n v="2"/>
    <n v="10"/>
    <n v="1"/>
    <n v="2"/>
    <n v="10"/>
    <n v="8"/>
    <n v="3"/>
    <n v="0"/>
    <x v="1"/>
    <x v="0"/>
    <n v="0"/>
    <n v="1"/>
    <x v="1"/>
    <x v="1"/>
    <n v="64"/>
  </r>
  <r>
    <n v="35"/>
    <x v="1"/>
    <s v="Travel_Rarely"/>
    <n v="1214"/>
    <x v="1"/>
    <n v="1"/>
    <n v="3"/>
    <s v="Medical"/>
    <n v="1"/>
    <n v="105"/>
    <n v="2"/>
    <x v="1"/>
    <n v="30"/>
    <n v="2"/>
    <n v="1"/>
    <x v="1"/>
    <n v="3"/>
    <s v="Single"/>
    <n v="2859"/>
    <n v="26278"/>
    <n v="1"/>
    <s v="Y"/>
    <x v="1"/>
    <n v="18"/>
    <n v="3"/>
    <n v="1"/>
    <n v="80"/>
    <n v="0"/>
    <n v="6"/>
    <n v="3"/>
    <n v="3"/>
    <n v="6"/>
    <n v="4"/>
    <n v="0"/>
    <n v="4"/>
    <x v="1"/>
    <x v="1"/>
    <n v="0"/>
    <n v="0"/>
    <x v="3"/>
    <x v="0"/>
    <n v="46"/>
  </r>
  <r>
    <n v="55"/>
    <x v="1"/>
    <s v="Travel_Rarely"/>
    <n v="111"/>
    <x v="0"/>
    <n v="1"/>
    <n v="2"/>
    <s v="Life Sciences"/>
    <n v="1"/>
    <n v="106"/>
    <n v="1"/>
    <x v="1"/>
    <n v="70"/>
    <n v="3"/>
    <n v="3"/>
    <x v="0"/>
    <n v="4"/>
    <s v="Married"/>
    <n v="10239"/>
    <n v="18092"/>
    <n v="3"/>
    <s v="Y"/>
    <x v="1"/>
    <n v="14"/>
    <n v="3"/>
    <n v="4"/>
    <n v="80"/>
    <n v="1"/>
    <n v="24"/>
    <n v="4"/>
    <n v="3"/>
    <n v="1"/>
    <n v="0"/>
    <n v="1"/>
    <n v="0"/>
    <x v="3"/>
    <x v="0"/>
    <n v="0"/>
    <n v="0"/>
    <x v="0"/>
    <x v="0"/>
    <n v="51"/>
  </r>
  <r>
    <n v="38"/>
    <x v="1"/>
    <s v="Non-Travel"/>
    <n v="573"/>
    <x v="1"/>
    <n v="6"/>
    <n v="3"/>
    <s v="Medical"/>
    <n v="1"/>
    <n v="107"/>
    <n v="2"/>
    <x v="0"/>
    <n v="79"/>
    <n v="1"/>
    <n v="2"/>
    <x v="1"/>
    <n v="4"/>
    <s v="Divorced"/>
    <n v="5329"/>
    <n v="15717"/>
    <n v="7"/>
    <s v="Y"/>
    <x v="0"/>
    <n v="12"/>
    <n v="3"/>
    <n v="4"/>
    <n v="80"/>
    <n v="3"/>
    <n v="17"/>
    <n v="3"/>
    <n v="3"/>
    <n v="13"/>
    <n v="11"/>
    <n v="1"/>
    <n v="9"/>
    <x v="1"/>
    <x v="0"/>
    <n v="0"/>
    <n v="1"/>
    <x v="3"/>
    <x v="1"/>
    <n v="59"/>
  </r>
  <r>
    <n v="34"/>
    <x v="1"/>
    <s v="Travel_Rarely"/>
    <n v="1153"/>
    <x v="1"/>
    <n v="1"/>
    <n v="2"/>
    <s v="Medical"/>
    <n v="1"/>
    <n v="110"/>
    <n v="1"/>
    <x v="1"/>
    <n v="94"/>
    <n v="3"/>
    <n v="2"/>
    <x v="3"/>
    <n v="2"/>
    <s v="Married"/>
    <n v="4325"/>
    <n v="17736"/>
    <n v="1"/>
    <s v="Y"/>
    <x v="1"/>
    <n v="15"/>
    <n v="3"/>
    <n v="3"/>
    <n v="80"/>
    <n v="0"/>
    <n v="5"/>
    <n v="2"/>
    <n v="3"/>
    <n v="5"/>
    <n v="2"/>
    <n v="1"/>
    <n v="3"/>
    <x v="1"/>
    <x v="1"/>
    <n v="0"/>
    <n v="0"/>
    <x v="0"/>
    <x v="1"/>
    <n v="59"/>
  </r>
  <r>
    <n v="56"/>
    <x v="1"/>
    <s v="Travel_Rarely"/>
    <n v="1400"/>
    <x v="1"/>
    <n v="7"/>
    <n v="3"/>
    <s v="Life Sciences"/>
    <n v="1"/>
    <n v="112"/>
    <n v="4"/>
    <x v="1"/>
    <n v="49"/>
    <n v="1"/>
    <n v="3"/>
    <x v="3"/>
    <n v="4"/>
    <s v="Single"/>
    <n v="7260"/>
    <n v="21698"/>
    <n v="4"/>
    <s v="Y"/>
    <x v="1"/>
    <n v="11"/>
    <n v="3"/>
    <n v="1"/>
    <n v="80"/>
    <n v="0"/>
    <n v="37"/>
    <n v="3"/>
    <n v="2"/>
    <n v="6"/>
    <n v="4"/>
    <n v="0"/>
    <n v="2"/>
    <x v="3"/>
    <x v="0"/>
    <n v="0"/>
    <n v="0"/>
    <x v="3"/>
    <x v="2"/>
    <n v="34"/>
  </r>
  <r>
    <n v="23"/>
    <x v="1"/>
    <s v="Travel_Rarely"/>
    <n v="541"/>
    <x v="0"/>
    <n v="2"/>
    <n v="1"/>
    <s v="Technical Degree"/>
    <n v="1"/>
    <n v="113"/>
    <n v="3"/>
    <x v="1"/>
    <n v="62"/>
    <n v="3"/>
    <n v="1"/>
    <x v="6"/>
    <n v="1"/>
    <s v="Divorced"/>
    <n v="2322"/>
    <n v="9518"/>
    <n v="3"/>
    <s v="Y"/>
    <x v="1"/>
    <n v="13"/>
    <n v="3"/>
    <n v="3"/>
    <n v="80"/>
    <n v="1"/>
    <n v="3"/>
    <n v="3"/>
    <n v="3"/>
    <n v="0"/>
    <n v="0"/>
    <n v="0"/>
    <n v="0"/>
    <x v="2"/>
    <x v="1"/>
    <n v="0"/>
    <n v="0"/>
    <x v="1"/>
    <x v="1"/>
    <n v="85"/>
  </r>
  <r>
    <n v="51"/>
    <x v="1"/>
    <s v="Travel_Rarely"/>
    <n v="432"/>
    <x v="1"/>
    <n v="9"/>
    <n v="4"/>
    <s v="Life Sciences"/>
    <n v="1"/>
    <n v="116"/>
    <n v="4"/>
    <x v="1"/>
    <n v="96"/>
    <n v="3"/>
    <n v="1"/>
    <x v="2"/>
    <n v="4"/>
    <s v="Married"/>
    <n v="2075"/>
    <n v="18725"/>
    <n v="3"/>
    <s v="Y"/>
    <x v="1"/>
    <n v="23"/>
    <n v="4"/>
    <n v="2"/>
    <n v="80"/>
    <n v="2"/>
    <n v="10"/>
    <n v="4"/>
    <n v="3"/>
    <n v="4"/>
    <n v="2"/>
    <n v="0"/>
    <n v="3"/>
    <x v="3"/>
    <x v="1"/>
    <n v="0"/>
    <n v="0"/>
    <x v="2"/>
    <x v="0"/>
    <n v="41"/>
  </r>
  <r>
    <n v="30"/>
    <x v="1"/>
    <s v="Travel_Rarely"/>
    <n v="288"/>
    <x v="1"/>
    <n v="2"/>
    <n v="3"/>
    <s v="Life Sciences"/>
    <n v="1"/>
    <n v="117"/>
    <n v="3"/>
    <x v="1"/>
    <n v="99"/>
    <n v="2"/>
    <n v="2"/>
    <x v="4"/>
    <n v="4"/>
    <s v="Married"/>
    <n v="4152"/>
    <n v="15830"/>
    <n v="1"/>
    <s v="Y"/>
    <x v="1"/>
    <n v="19"/>
    <n v="3"/>
    <n v="1"/>
    <n v="80"/>
    <n v="3"/>
    <n v="11"/>
    <n v="3"/>
    <n v="3"/>
    <n v="11"/>
    <n v="10"/>
    <n v="10"/>
    <n v="8"/>
    <x v="1"/>
    <x v="1"/>
    <n v="0"/>
    <n v="0"/>
    <x v="3"/>
    <x v="2"/>
    <n v="34"/>
  </r>
  <r>
    <n v="46"/>
    <x v="0"/>
    <s v="Travel_Rarely"/>
    <n v="669"/>
    <x v="0"/>
    <n v="9"/>
    <n v="2"/>
    <s v="Medical"/>
    <n v="1"/>
    <n v="118"/>
    <n v="3"/>
    <x v="1"/>
    <n v="64"/>
    <n v="2"/>
    <n v="3"/>
    <x v="0"/>
    <n v="4"/>
    <s v="Single"/>
    <n v="9619"/>
    <n v="13596"/>
    <n v="1"/>
    <s v="Y"/>
    <x v="1"/>
    <n v="16"/>
    <n v="3"/>
    <n v="4"/>
    <n v="80"/>
    <n v="0"/>
    <n v="9"/>
    <n v="3"/>
    <n v="3"/>
    <n v="9"/>
    <n v="8"/>
    <n v="4"/>
    <n v="7"/>
    <x v="0"/>
    <x v="0"/>
    <n v="1"/>
    <n v="0"/>
    <x v="0"/>
    <x v="2"/>
    <n v="29"/>
  </r>
  <r>
    <n v="40"/>
    <x v="1"/>
    <s v="Travel_Frequently"/>
    <n v="530"/>
    <x v="1"/>
    <n v="1"/>
    <n v="4"/>
    <s v="Life Sciences"/>
    <n v="1"/>
    <n v="119"/>
    <n v="3"/>
    <x v="1"/>
    <n v="78"/>
    <n v="2"/>
    <n v="4"/>
    <x v="4"/>
    <n v="2"/>
    <s v="Married"/>
    <n v="13503"/>
    <n v="14115"/>
    <n v="1"/>
    <s v="Y"/>
    <x v="1"/>
    <n v="22"/>
    <n v="4"/>
    <n v="4"/>
    <n v="80"/>
    <n v="1"/>
    <n v="22"/>
    <n v="3"/>
    <n v="2"/>
    <n v="22"/>
    <n v="3"/>
    <n v="11"/>
    <n v="11"/>
    <x v="0"/>
    <x v="0"/>
    <n v="0"/>
    <n v="0"/>
    <x v="2"/>
    <x v="0"/>
    <n v="37"/>
  </r>
  <r>
    <n v="51"/>
    <x v="1"/>
    <s v="Travel_Rarely"/>
    <n v="632"/>
    <x v="0"/>
    <n v="21"/>
    <n v="4"/>
    <s v="Marketing"/>
    <n v="1"/>
    <n v="120"/>
    <n v="3"/>
    <x v="1"/>
    <n v="71"/>
    <n v="3"/>
    <n v="2"/>
    <x v="0"/>
    <n v="4"/>
    <s v="Single"/>
    <n v="5441"/>
    <n v="8423"/>
    <n v="0"/>
    <s v="Y"/>
    <x v="0"/>
    <n v="22"/>
    <n v="4"/>
    <n v="4"/>
    <n v="80"/>
    <n v="0"/>
    <n v="11"/>
    <n v="2"/>
    <n v="1"/>
    <n v="10"/>
    <n v="7"/>
    <n v="1"/>
    <n v="0"/>
    <x v="3"/>
    <x v="0"/>
    <n v="0"/>
    <n v="1"/>
    <x v="2"/>
    <x v="1"/>
    <n v="59"/>
  </r>
  <r>
    <n v="30"/>
    <x v="1"/>
    <s v="Travel_Rarely"/>
    <n v="1334"/>
    <x v="0"/>
    <n v="4"/>
    <n v="2"/>
    <s v="Medical"/>
    <n v="1"/>
    <n v="121"/>
    <n v="3"/>
    <x v="0"/>
    <n v="63"/>
    <n v="2"/>
    <n v="2"/>
    <x v="0"/>
    <n v="2"/>
    <s v="Divorced"/>
    <n v="5209"/>
    <n v="19760"/>
    <n v="1"/>
    <s v="Y"/>
    <x v="0"/>
    <n v="12"/>
    <n v="3"/>
    <n v="2"/>
    <n v="80"/>
    <n v="3"/>
    <n v="11"/>
    <n v="4"/>
    <n v="2"/>
    <n v="11"/>
    <n v="8"/>
    <n v="2"/>
    <n v="7"/>
    <x v="1"/>
    <x v="0"/>
    <n v="0"/>
    <n v="1"/>
    <x v="0"/>
    <x v="1"/>
    <n v="72"/>
  </r>
  <r>
    <n v="46"/>
    <x v="1"/>
    <s v="Travel_Frequently"/>
    <n v="638"/>
    <x v="1"/>
    <n v="1"/>
    <n v="3"/>
    <s v="Medical"/>
    <n v="1"/>
    <n v="124"/>
    <n v="3"/>
    <x v="1"/>
    <n v="40"/>
    <n v="2"/>
    <n v="3"/>
    <x v="4"/>
    <n v="1"/>
    <s v="Married"/>
    <n v="10673"/>
    <n v="3142"/>
    <n v="2"/>
    <s v="Y"/>
    <x v="0"/>
    <n v="13"/>
    <n v="3"/>
    <n v="3"/>
    <n v="80"/>
    <n v="1"/>
    <n v="21"/>
    <n v="5"/>
    <n v="2"/>
    <n v="10"/>
    <n v="9"/>
    <n v="9"/>
    <n v="5"/>
    <x v="0"/>
    <x v="0"/>
    <n v="0"/>
    <n v="1"/>
    <x v="3"/>
    <x v="1"/>
    <n v="73"/>
  </r>
  <r>
    <n v="32"/>
    <x v="1"/>
    <s v="Travel_Rarely"/>
    <n v="1093"/>
    <x v="0"/>
    <n v="6"/>
    <n v="4"/>
    <s v="Medical"/>
    <n v="1"/>
    <n v="125"/>
    <n v="2"/>
    <x v="1"/>
    <n v="87"/>
    <n v="3"/>
    <n v="2"/>
    <x v="0"/>
    <n v="3"/>
    <s v="Single"/>
    <n v="5010"/>
    <n v="24301"/>
    <n v="1"/>
    <s v="Y"/>
    <x v="1"/>
    <n v="16"/>
    <n v="3"/>
    <n v="1"/>
    <n v="80"/>
    <n v="0"/>
    <n v="12"/>
    <n v="0"/>
    <n v="3"/>
    <n v="11"/>
    <n v="8"/>
    <n v="5"/>
    <n v="7"/>
    <x v="1"/>
    <x v="0"/>
    <n v="0"/>
    <n v="0"/>
    <x v="2"/>
    <x v="0"/>
    <n v="41"/>
  </r>
  <r>
    <n v="54"/>
    <x v="1"/>
    <s v="Travel_Rarely"/>
    <n v="1217"/>
    <x v="1"/>
    <n v="2"/>
    <n v="4"/>
    <s v="Technical Degree"/>
    <n v="1"/>
    <n v="126"/>
    <n v="1"/>
    <x v="0"/>
    <n v="60"/>
    <n v="3"/>
    <n v="3"/>
    <x v="7"/>
    <n v="3"/>
    <s v="Married"/>
    <n v="13549"/>
    <n v="24001"/>
    <n v="9"/>
    <s v="Y"/>
    <x v="1"/>
    <n v="12"/>
    <n v="3"/>
    <n v="1"/>
    <n v="80"/>
    <n v="1"/>
    <n v="16"/>
    <n v="5"/>
    <n v="1"/>
    <n v="4"/>
    <n v="3"/>
    <n v="0"/>
    <n v="3"/>
    <x v="3"/>
    <x v="0"/>
    <n v="0"/>
    <n v="0"/>
    <x v="2"/>
    <x v="0"/>
    <n v="48"/>
  </r>
  <r>
    <n v="24"/>
    <x v="1"/>
    <s v="Travel_Rarely"/>
    <n v="1353"/>
    <x v="0"/>
    <n v="3"/>
    <n v="2"/>
    <s v="Other"/>
    <n v="1"/>
    <n v="128"/>
    <n v="1"/>
    <x v="0"/>
    <n v="33"/>
    <n v="3"/>
    <n v="2"/>
    <x v="0"/>
    <n v="3"/>
    <s v="Married"/>
    <n v="4999"/>
    <n v="17519"/>
    <n v="0"/>
    <s v="Y"/>
    <x v="1"/>
    <n v="21"/>
    <n v="4"/>
    <n v="1"/>
    <n v="80"/>
    <n v="1"/>
    <n v="4"/>
    <n v="2"/>
    <n v="2"/>
    <n v="3"/>
    <n v="2"/>
    <n v="0"/>
    <n v="2"/>
    <x v="2"/>
    <x v="1"/>
    <n v="0"/>
    <n v="0"/>
    <x v="0"/>
    <x v="1"/>
    <n v="63"/>
  </r>
  <r>
    <n v="28"/>
    <x v="1"/>
    <s v="Non-Travel"/>
    <n v="120"/>
    <x v="0"/>
    <n v="4"/>
    <n v="3"/>
    <s v="Medical"/>
    <n v="1"/>
    <n v="129"/>
    <n v="2"/>
    <x v="1"/>
    <n v="43"/>
    <n v="3"/>
    <n v="2"/>
    <x v="0"/>
    <n v="3"/>
    <s v="Married"/>
    <n v="4221"/>
    <n v="8863"/>
    <n v="1"/>
    <s v="Y"/>
    <x v="1"/>
    <n v="15"/>
    <n v="3"/>
    <n v="2"/>
    <n v="80"/>
    <n v="0"/>
    <n v="5"/>
    <n v="3"/>
    <n v="4"/>
    <n v="5"/>
    <n v="4"/>
    <n v="0"/>
    <n v="4"/>
    <x v="2"/>
    <x v="1"/>
    <n v="0"/>
    <n v="0"/>
    <x v="3"/>
    <x v="1"/>
    <n v="63"/>
  </r>
  <r>
    <n v="58"/>
    <x v="1"/>
    <s v="Travel_Rarely"/>
    <n v="682"/>
    <x v="0"/>
    <n v="10"/>
    <n v="4"/>
    <s v="Medical"/>
    <n v="1"/>
    <n v="131"/>
    <n v="4"/>
    <x v="1"/>
    <n v="37"/>
    <n v="3"/>
    <n v="4"/>
    <x v="0"/>
    <n v="3"/>
    <s v="Single"/>
    <n v="13872"/>
    <n v="24409"/>
    <n v="0"/>
    <s v="Y"/>
    <x v="1"/>
    <n v="13"/>
    <n v="3"/>
    <n v="3"/>
    <n v="80"/>
    <n v="0"/>
    <n v="38"/>
    <n v="1"/>
    <n v="2"/>
    <n v="37"/>
    <n v="10"/>
    <n v="1"/>
    <n v="8"/>
    <x v="3"/>
    <x v="0"/>
    <n v="0"/>
    <n v="0"/>
    <x v="2"/>
    <x v="0"/>
    <n v="36"/>
  </r>
  <r>
    <n v="44"/>
    <x v="1"/>
    <s v="Non-Travel"/>
    <n v="489"/>
    <x v="1"/>
    <n v="23"/>
    <n v="3"/>
    <s v="Medical"/>
    <n v="1"/>
    <n v="132"/>
    <n v="2"/>
    <x v="1"/>
    <n v="67"/>
    <n v="3"/>
    <n v="2"/>
    <x v="2"/>
    <n v="2"/>
    <s v="Married"/>
    <n v="2042"/>
    <n v="25043"/>
    <n v="4"/>
    <s v="Y"/>
    <x v="1"/>
    <n v="12"/>
    <n v="3"/>
    <n v="3"/>
    <n v="80"/>
    <n v="1"/>
    <n v="17"/>
    <n v="3"/>
    <n v="4"/>
    <n v="3"/>
    <n v="2"/>
    <n v="1"/>
    <n v="2"/>
    <x v="0"/>
    <x v="1"/>
    <n v="0"/>
    <n v="0"/>
    <x v="3"/>
    <x v="0"/>
    <n v="49"/>
  </r>
  <r>
    <n v="37"/>
    <x v="0"/>
    <s v="Travel_Rarely"/>
    <n v="807"/>
    <x v="2"/>
    <n v="6"/>
    <n v="4"/>
    <s v="Human Resources"/>
    <n v="1"/>
    <n v="133"/>
    <n v="3"/>
    <x v="1"/>
    <n v="63"/>
    <n v="3"/>
    <n v="1"/>
    <x v="8"/>
    <n v="1"/>
    <s v="Divorced"/>
    <n v="2073"/>
    <n v="23648"/>
    <n v="4"/>
    <s v="Y"/>
    <x v="0"/>
    <n v="22"/>
    <n v="4"/>
    <n v="4"/>
    <n v="80"/>
    <n v="0"/>
    <n v="7"/>
    <n v="3"/>
    <n v="3"/>
    <n v="3"/>
    <n v="2"/>
    <n v="0"/>
    <n v="2"/>
    <x v="1"/>
    <x v="1"/>
    <n v="1"/>
    <n v="1"/>
    <x v="2"/>
    <x v="1"/>
    <n v="90"/>
  </r>
  <r>
    <n v="32"/>
    <x v="1"/>
    <s v="Travel_Rarely"/>
    <n v="827"/>
    <x v="1"/>
    <n v="1"/>
    <n v="1"/>
    <s v="Life Sciences"/>
    <n v="1"/>
    <n v="134"/>
    <n v="4"/>
    <x v="1"/>
    <n v="71"/>
    <n v="3"/>
    <n v="1"/>
    <x v="1"/>
    <n v="1"/>
    <s v="Single"/>
    <n v="2956"/>
    <n v="15178"/>
    <n v="1"/>
    <s v="Y"/>
    <x v="1"/>
    <n v="13"/>
    <n v="3"/>
    <n v="4"/>
    <n v="80"/>
    <n v="0"/>
    <n v="1"/>
    <n v="2"/>
    <n v="3"/>
    <n v="1"/>
    <n v="0"/>
    <n v="0"/>
    <n v="0"/>
    <x v="1"/>
    <x v="1"/>
    <n v="0"/>
    <n v="0"/>
    <x v="1"/>
    <x v="1"/>
    <n v="75"/>
  </r>
  <r>
    <n v="20"/>
    <x v="0"/>
    <s v="Travel_Frequently"/>
    <n v="871"/>
    <x v="1"/>
    <n v="6"/>
    <n v="3"/>
    <s v="Life Sciences"/>
    <n v="1"/>
    <n v="137"/>
    <n v="4"/>
    <x v="0"/>
    <n v="66"/>
    <n v="2"/>
    <n v="1"/>
    <x v="2"/>
    <n v="4"/>
    <s v="Single"/>
    <n v="2926"/>
    <n v="19783"/>
    <n v="1"/>
    <s v="Y"/>
    <x v="0"/>
    <n v="18"/>
    <n v="3"/>
    <n v="2"/>
    <n v="80"/>
    <n v="0"/>
    <n v="1"/>
    <n v="5"/>
    <n v="3"/>
    <n v="1"/>
    <n v="0"/>
    <n v="1"/>
    <n v="0"/>
    <x v="2"/>
    <x v="1"/>
    <n v="1"/>
    <n v="1"/>
    <x v="3"/>
    <x v="1"/>
    <n v="91"/>
  </r>
  <r>
    <n v="34"/>
    <x v="1"/>
    <s v="Travel_Rarely"/>
    <n v="665"/>
    <x v="1"/>
    <n v="6"/>
    <n v="4"/>
    <s v="Other"/>
    <n v="1"/>
    <n v="138"/>
    <n v="1"/>
    <x v="0"/>
    <n v="41"/>
    <n v="3"/>
    <n v="2"/>
    <x v="1"/>
    <n v="3"/>
    <s v="Single"/>
    <n v="4809"/>
    <n v="12482"/>
    <n v="1"/>
    <s v="Y"/>
    <x v="1"/>
    <n v="14"/>
    <n v="3"/>
    <n v="3"/>
    <n v="80"/>
    <n v="0"/>
    <n v="16"/>
    <n v="3"/>
    <n v="3"/>
    <n v="16"/>
    <n v="13"/>
    <n v="2"/>
    <n v="10"/>
    <x v="1"/>
    <x v="1"/>
    <n v="0"/>
    <n v="0"/>
    <x v="2"/>
    <x v="0"/>
    <n v="41"/>
  </r>
  <r>
    <n v="37"/>
    <x v="1"/>
    <s v="Non-Travel"/>
    <n v="1040"/>
    <x v="1"/>
    <n v="2"/>
    <n v="2"/>
    <s v="Life Sciences"/>
    <n v="1"/>
    <n v="139"/>
    <n v="3"/>
    <x v="1"/>
    <n v="100"/>
    <n v="2"/>
    <n v="2"/>
    <x v="4"/>
    <n v="4"/>
    <s v="Divorced"/>
    <n v="5163"/>
    <n v="15850"/>
    <n v="5"/>
    <s v="Y"/>
    <x v="1"/>
    <n v="14"/>
    <n v="3"/>
    <n v="4"/>
    <n v="80"/>
    <n v="1"/>
    <n v="17"/>
    <n v="2"/>
    <n v="4"/>
    <n v="1"/>
    <n v="0"/>
    <n v="0"/>
    <n v="0"/>
    <x v="1"/>
    <x v="0"/>
    <n v="0"/>
    <n v="0"/>
    <x v="0"/>
    <x v="1"/>
    <n v="56"/>
  </r>
  <r>
    <n v="59"/>
    <x v="1"/>
    <s v="Non-Travel"/>
    <n v="1420"/>
    <x v="2"/>
    <n v="2"/>
    <n v="4"/>
    <s v="Human Resources"/>
    <n v="1"/>
    <n v="140"/>
    <n v="3"/>
    <x v="0"/>
    <n v="32"/>
    <n v="2"/>
    <n v="5"/>
    <x v="5"/>
    <n v="4"/>
    <s v="Married"/>
    <n v="18844"/>
    <n v="21922"/>
    <n v="9"/>
    <s v="Y"/>
    <x v="1"/>
    <n v="21"/>
    <n v="4"/>
    <n v="4"/>
    <n v="80"/>
    <n v="1"/>
    <n v="30"/>
    <n v="3"/>
    <n v="3"/>
    <n v="3"/>
    <n v="2"/>
    <n v="2"/>
    <n v="2"/>
    <x v="3"/>
    <x v="2"/>
    <n v="0"/>
    <n v="0"/>
    <x v="2"/>
    <x v="0"/>
    <n v="41"/>
  </r>
  <r>
    <n v="50"/>
    <x v="1"/>
    <s v="Travel_Frequently"/>
    <n v="1115"/>
    <x v="1"/>
    <n v="1"/>
    <n v="3"/>
    <s v="Life Sciences"/>
    <n v="1"/>
    <n v="141"/>
    <n v="1"/>
    <x v="0"/>
    <n v="73"/>
    <n v="3"/>
    <n v="5"/>
    <x v="7"/>
    <n v="2"/>
    <s v="Married"/>
    <n v="18172"/>
    <n v="9755"/>
    <n v="3"/>
    <s v="Y"/>
    <x v="0"/>
    <n v="19"/>
    <n v="3"/>
    <n v="1"/>
    <n v="80"/>
    <n v="0"/>
    <n v="28"/>
    <n v="1"/>
    <n v="2"/>
    <n v="8"/>
    <n v="3"/>
    <n v="0"/>
    <n v="7"/>
    <x v="3"/>
    <x v="2"/>
    <n v="0"/>
    <n v="1"/>
    <x v="3"/>
    <x v="1"/>
    <n v="72"/>
  </r>
  <r>
    <n v="25"/>
    <x v="0"/>
    <s v="Travel_Rarely"/>
    <n v="240"/>
    <x v="0"/>
    <n v="5"/>
    <n v="3"/>
    <s v="Marketing"/>
    <n v="1"/>
    <n v="142"/>
    <n v="3"/>
    <x v="1"/>
    <n v="46"/>
    <n v="2"/>
    <n v="2"/>
    <x v="0"/>
    <n v="3"/>
    <s v="Single"/>
    <n v="5744"/>
    <n v="26959"/>
    <n v="1"/>
    <s v="Y"/>
    <x v="0"/>
    <n v="11"/>
    <n v="3"/>
    <n v="4"/>
    <n v="80"/>
    <n v="0"/>
    <n v="6"/>
    <n v="1"/>
    <n v="3"/>
    <n v="6"/>
    <n v="4"/>
    <n v="0"/>
    <n v="3"/>
    <x v="2"/>
    <x v="0"/>
    <n v="1"/>
    <n v="1"/>
    <x v="3"/>
    <x v="1"/>
    <n v="81"/>
  </r>
  <r>
    <n v="25"/>
    <x v="1"/>
    <s v="Travel_Rarely"/>
    <n v="1280"/>
    <x v="1"/>
    <n v="7"/>
    <n v="1"/>
    <s v="Medical"/>
    <n v="1"/>
    <n v="143"/>
    <n v="4"/>
    <x v="1"/>
    <n v="64"/>
    <n v="2"/>
    <n v="1"/>
    <x v="1"/>
    <n v="4"/>
    <s v="Married"/>
    <n v="2889"/>
    <n v="26897"/>
    <n v="1"/>
    <s v="Y"/>
    <x v="1"/>
    <n v="11"/>
    <n v="3"/>
    <n v="3"/>
    <n v="80"/>
    <n v="2"/>
    <n v="2"/>
    <n v="2"/>
    <n v="3"/>
    <n v="2"/>
    <n v="2"/>
    <n v="2"/>
    <n v="1"/>
    <x v="2"/>
    <x v="1"/>
    <n v="0"/>
    <n v="0"/>
    <x v="1"/>
    <x v="1"/>
    <n v="66"/>
  </r>
  <r>
    <n v="22"/>
    <x v="1"/>
    <s v="Travel_Rarely"/>
    <n v="534"/>
    <x v="1"/>
    <n v="15"/>
    <n v="3"/>
    <s v="Medical"/>
    <n v="1"/>
    <n v="144"/>
    <n v="2"/>
    <x v="0"/>
    <n v="59"/>
    <n v="3"/>
    <n v="1"/>
    <x v="2"/>
    <n v="4"/>
    <s v="Single"/>
    <n v="2871"/>
    <n v="23785"/>
    <n v="1"/>
    <s v="Y"/>
    <x v="1"/>
    <n v="15"/>
    <n v="3"/>
    <n v="3"/>
    <n v="80"/>
    <n v="0"/>
    <n v="1"/>
    <n v="5"/>
    <n v="3"/>
    <n v="0"/>
    <n v="0"/>
    <n v="0"/>
    <n v="0"/>
    <x v="2"/>
    <x v="1"/>
    <n v="0"/>
    <n v="0"/>
    <x v="3"/>
    <x v="1"/>
    <n v="66"/>
  </r>
  <r>
    <n v="51"/>
    <x v="1"/>
    <s v="Travel_Frequently"/>
    <n v="1456"/>
    <x v="1"/>
    <n v="1"/>
    <n v="4"/>
    <s v="Medical"/>
    <n v="1"/>
    <n v="145"/>
    <n v="1"/>
    <x v="0"/>
    <n v="30"/>
    <n v="2"/>
    <n v="3"/>
    <x v="4"/>
    <n v="1"/>
    <s v="Single"/>
    <n v="7484"/>
    <n v="25796"/>
    <n v="3"/>
    <s v="Y"/>
    <x v="1"/>
    <n v="20"/>
    <n v="4"/>
    <n v="3"/>
    <n v="80"/>
    <n v="0"/>
    <n v="23"/>
    <n v="1"/>
    <n v="2"/>
    <n v="13"/>
    <n v="12"/>
    <n v="12"/>
    <n v="8"/>
    <x v="3"/>
    <x v="0"/>
    <n v="0"/>
    <n v="0"/>
    <x v="2"/>
    <x v="0"/>
    <n v="48"/>
  </r>
  <r>
    <n v="34"/>
    <x v="0"/>
    <s v="Travel_Frequently"/>
    <n v="658"/>
    <x v="1"/>
    <n v="7"/>
    <n v="3"/>
    <s v="Life Sciences"/>
    <n v="1"/>
    <n v="147"/>
    <n v="1"/>
    <x v="1"/>
    <n v="66"/>
    <n v="1"/>
    <n v="2"/>
    <x v="2"/>
    <n v="3"/>
    <s v="Single"/>
    <n v="6074"/>
    <n v="22887"/>
    <n v="1"/>
    <s v="Y"/>
    <x v="0"/>
    <n v="24"/>
    <n v="4"/>
    <n v="4"/>
    <n v="80"/>
    <n v="0"/>
    <n v="9"/>
    <n v="3"/>
    <n v="3"/>
    <n v="9"/>
    <n v="7"/>
    <n v="0"/>
    <n v="6"/>
    <x v="1"/>
    <x v="0"/>
    <n v="1"/>
    <n v="1"/>
    <x v="3"/>
    <x v="1"/>
    <n v="71"/>
  </r>
  <r>
    <n v="54"/>
    <x v="1"/>
    <s v="Non-Travel"/>
    <n v="142"/>
    <x v="2"/>
    <n v="26"/>
    <n v="3"/>
    <s v="Human Resources"/>
    <n v="1"/>
    <n v="148"/>
    <n v="4"/>
    <x v="0"/>
    <n v="30"/>
    <n v="4"/>
    <n v="4"/>
    <x v="5"/>
    <n v="4"/>
    <s v="Single"/>
    <n v="17328"/>
    <n v="13871"/>
    <n v="2"/>
    <s v="Y"/>
    <x v="0"/>
    <n v="12"/>
    <n v="3"/>
    <n v="3"/>
    <n v="80"/>
    <n v="0"/>
    <n v="23"/>
    <n v="3"/>
    <n v="3"/>
    <n v="5"/>
    <n v="3"/>
    <n v="4"/>
    <n v="4"/>
    <x v="3"/>
    <x v="2"/>
    <n v="0"/>
    <n v="1"/>
    <x v="3"/>
    <x v="1"/>
    <n v="66"/>
  </r>
  <r>
    <n v="24"/>
    <x v="1"/>
    <s v="Travel_Rarely"/>
    <n v="1127"/>
    <x v="1"/>
    <n v="18"/>
    <n v="1"/>
    <s v="Life Sciences"/>
    <n v="1"/>
    <n v="150"/>
    <n v="2"/>
    <x v="1"/>
    <n v="52"/>
    <n v="3"/>
    <n v="1"/>
    <x v="2"/>
    <n v="3"/>
    <s v="Married"/>
    <n v="2774"/>
    <n v="13257"/>
    <n v="0"/>
    <s v="Y"/>
    <x v="1"/>
    <n v="12"/>
    <n v="3"/>
    <n v="3"/>
    <n v="80"/>
    <n v="1"/>
    <n v="6"/>
    <n v="2"/>
    <n v="3"/>
    <n v="5"/>
    <n v="3"/>
    <n v="1"/>
    <n v="2"/>
    <x v="2"/>
    <x v="1"/>
    <n v="0"/>
    <n v="0"/>
    <x v="1"/>
    <x v="1"/>
    <n v="63"/>
  </r>
  <r>
    <n v="34"/>
    <x v="1"/>
    <s v="Travel_Rarely"/>
    <n v="1031"/>
    <x v="1"/>
    <n v="6"/>
    <n v="4"/>
    <s v="Life Sciences"/>
    <n v="1"/>
    <n v="151"/>
    <n v="3"/>
    <x v="0"/>
    <n v="45"/>
    <n v="2"/>
    <n v="2"/>
    <x v="1"/>
    <n v="2"/>
    <s v="Divorced"/>
    <n v="4505"/>
    <n v="15000"/>
    <n v="6"/>
    <s v="Y"/>
    <x v="1"/>
    <n v="15"/>
    <n v="3"/>
    <n v="3"/>
    <n v="80"/>
    <n v="1"/>
    <n v="12"/>
    <n v="3"/>
    <n v="3"/>
    <n v="1"/>
    <n v="0"/>
    <n v="0"/>
    <n v="0"/>
    <x v="1"/>
    <x v="1"/>
    <n v="0"/>
    <n v="0"/>
    <x v="2"/>
    <x v="1"/>
    <n v="69"/>
  </r>
  <r>
    <n v="37"/>
    <x v="1"/>
    <s v="Travel_Rarely"/>
    <n v="1189"/>
    <x v="0"/>
    <n v="3"/>
    <n v="3"/>
    <s v="Life Sciences"/>
    <n v="1"/>
    <n v="152"/>
    <n v="3"/>
    <x v="1"/>
    <n v="87"/>
    <n v="3"/>
    <n v="3"/>
    <x v="0"/>
    <n v="4"/>
    <s v="Single"/>
    <n v="7428"/>
    <n v="14506"/>
    <n v="2"/>
    <s v="Y"/>
    <x v="1"/>
    <n v="12"/>
    <n v="3"/>
    <n v="1"/>
    <n v="80"/>
    <n v="0"/>
    <n v="12"/>
    <n v="3"/>
    <n v="3"/>
    <n v="5"/>
    <n v="3"/>
    <n v="1"/>
    <n v="3"/>
    <x v="1"/>
    <x v="0"/>
    <n v="0"/>
    <n v="0"/>
    <x v="3"/>
    <x v="0"/>
    <n v="46"/>
  </r>
  <r>
    <n v="34"/>
    <x v="1"/>
    <s v="Travel_Rarely"/>
    <n v="1354"/>
    <x v="1"/>
    <n v="5"/>
    <n v="3"/>
    <s v="Medical"/>
    <n v="1"/>
    <n v="153"/>
    <n v="3"/>
    <x v="0"/>
    <n v="45"/>
    <n v="2"/>
    <n v="3"/>
    <x v="5"/>
    <n v="1"/>
    <s v="Single"/>
    <n v="11631"/>
    <n v="5615"/>
    <n v="2"/>
    <s v="Y"/>
    <x v="1"/>
    <n v="12"/>
    <n v="3"/>
    <n v="4"/>
    <n v="80"/>
    <n v="0"/>
    <n v="14"/>
    <n v="6"/>
    <n v="3"/>
    <n v="11"/>
    <n v="10"/>
    <n v="5"/>
    <n v="8"/>
    <x v="1"/>
    <x v="0"/>
    <n v="0"/>
    <n v="0"/>
    <x v="3"/>
    <x v="0"/>
    <n v="53"/>
  </r>
  <r>
    <n v="36"/>
    <x v="1"/>
    <s v="Travel_Frequently"/>
    <n v="1467"/>
    <x v="0"/>
    <n v="11"/>
    <n v="2"/>
    <s v="Technical Degree"/>
    <n v="1"/>
    <n v="154"/>
    <n v="2"/>
    <x v="0"/>
    <n v="92"/>
    <n v="3"/>
    <n v="3"/>
    <x v="0"/>
    <n v="4"/>
    <s v="Married"/>
    <n v="9738"/>
    <n v="22952"/>
    <n v="0"/>
    <s v="Y"/>
    <x v="1"/>
    <n v="14"/>
    <n v="3"/>
    <n v="3"/>
    <n v="80"/>
    <n v="1"/>
    <n v="10"/>
    <n v="6"/>
    <n v="3"/>
    <n v="9"/>
    <n v="7"/>
    <n v="2"/>
    <n v="8"/>
    <x v="1"/>
    <x v="0"/>
    <n v="0"/>
    <n v="0"/>
    <x v="0"/>
    <x v="0"/>
    <n v="39"/>
  </r>
  <r>
    <n v="36"/>
    <x v="1"/>
    <s v="Travel_Rarely"/>
    <n v="922"/>
    <x v="1"/>
    <n v="3"/>
    <n v="2"/>
    <s v="Life Sciences"/>
    <n v="1"/>
    <n v="155"/>
    <n v="1"/>
    <x v="0"/>
    <n v="39"/>
    <n v="3"/>
    <n v="1"/>
    <x v="2"/>
    <n v="4"/>
    <s v="Divorced"/>
    <n v="2835"/>
    <n v="2561"/>
    <n v="5"/>
    <s v="Y"/>
    <x v="1"/>
    <n v="22"/>
    <n v="4"/>
    <n v="1"/>
    <n v="80"/>
    <n v="1"/>
    <n v="7"/>
    <n v="2"/>
    <n v="3"/>
    <n v="1"/>
    <n v="0"/>
    <n v="0"/>
    <n v="0"/>
    <x v="1"/>
    <x v="1"/>
    <n v="0"/>
    <n v="0"/>
    <x v="0"/>
    <x v="1"/>
    <n v="56"/>
  </r>
  <r>
    <n v="43"/>
    <x v="1"/>
    <s v="Travel_Frequently"/>
    <n v="394"/>
    <x v="0"/>
    <n v="26"/>
    <n v="2"/>
    <s v="Life Sciences"/>
    <n v="1"/>
    <n v="158"/>
    <n v="3"/>
    <x v="1"/>
    <n v="92"/>
    <n v="3"/>
    <n v="4"/>
    <x v="5"/>
    <n v="4"/>
    <s v="Married"/>
    <n v="16959"/>
    <n v="19494"/>
    <n v="1"/>
    <s v="Y"/>
    <x v="0"/>
    <n v="12"/>
    <n v="3"/>
    <n v="4"/>
    <n v="80"/>
    <n v="2"/>
    <n v="25"/>
    <n v="3"/>
    <n v="4"/>
    <n v="25"/>
    <n v="12"/>
    <n v="4"/>
    <n v="12"/>
    <x v="0"/>
    <x v="2"/>
    <n v="0"/>
    <n v="1"/>
    <x v="0"/>
    <x v="0"/>
    <n v="49"/>
  </r>
  <r>
    <n v="30"/>
    <x v="1"/>
    <s v="Travel_Frequently"/>
    <n v="1312"/>
    <x v="1"/>
    <n v="23"/>
    <n v="3"/>
    <s v="Life Sciences"/>
    <n v="1"/>
    <n v="159"/>
    <n v="1"/>
    <x v="1"/>
    <n v="96"/>
    <n v="1"/>
    <n v="1"/>
    <x v="1"/>
    <n v="3"/>
    <s v="Divorced"/>
    <n v="2613"/>
    <n v="22310"/>
    <n v="1"/>
    <s v="Y"/>
    <x v="1"/>
    <n v="25"/>
    <n v="4"/>
    <n v="3"/>
    <n v="80"/>
    <n v="3"/>
    <n v="10"/>
    <n v="2"/>
    <n v="2"/>
    <n v="10"/>
    <n v="7"/>
    <n v="0"/>
    <n v="9"/>
    <x v="1"/>
    <x v="1"/>
    <n v="0"/>
    <n v="0"/>
    <x v="3"/>
    <x v="0"/>
    <n v="46"/>
  </r>
  <r>
    <n v="33"/>
    <x v="1"/>
    <s v="Non-Travel"/>
    <n v="750"/>
    <x v="0"/>
    <n v="22"/>
    <n v="2"/>
    <s v="Marketing"/>
    <n v="1"/>
    <n v="160"/>
    <n v="3"/>
    <x v="1"/>
    <n v="95"/>
    <n v="3"/>
    <n v="2"/>
    <x v="0"/>
    <n v="2"/>
    <s v="Married"/>
    <n v="6146"/>
    <n v="15480"/>
    <n v="0"/>
    <s v="Y"/>
    <x v="1"/>
    <n v="13"/>
    <n v="3"/>
    <n v="1"/>
    <n v="80"/>
    <n v="1"/>
    <n v="8"/>
    <n v="2"/>
    <n v="4"/>
    <n v="7"/>
    <n v="7"/>
    <n v="0"/>
    <n v="7"/>
    <x v="1"/>
    <x v="0"/>
    <n v="0"/>
    <n v="0"/>
    <x v="0"/>
    <x v="0"/>
    <n v="52"/>
  </r>
  <r>
    <n v="56"/>
    <x v="0"/>
    <s v="Travel_Rarely"/>
    <n v="441"/>
    <x v="1"/>
    <n v="14"/>
    <n v="4"/>
    <s v="Life Sciences"/>
    <n v="1"/>
    <n v="161"/>
    <n v="2"/>
    <x v="0"/>
    <n v="72"/>
    <n v="3"/>
    <n v="1"/>
    <x v="1"/>
    <n v="2"/>
    <s v="Married"/>
    <n v="4963"/>
    <n v="4510"/>
    <n v="9"/>
    <s v="Y"/>
    <x v="0"/>
    <n v="18"/>
    <n v="3"/>
    <n v="1"/>
    <n v="80"/>
    <n v="3"/>
    <n v="7"/>
    <n v="2"/>
    <n v="3"/>
    <n v="5"/>
    <n v="4"/>
    <n v="4"/>
    <n v="3"/>
    <x v="3"/>
    <x v="1"/>
    <n v="1"/>
    <n v="1"/>
    <x v="2"/>
    <x v="1"/>
    <n v="79"/>
  </r>
  <r>
    <n v="51"/>
    <x v="1"/>
    <s v="Travel_Rarely"/>
    <n v="684"/>
    <x v="1"/>
    <n v="6"/>
    <n v="3"/>
    <s v="Life Sciences"/>
    <n v="1"/>
    <n v="162"/>
    <n v="1"/>
    <x v="1"/>
    <n v="51"/>
    <n v="3"/>
    <n v="5"/>
    <x v="7"/>
    <n v="3"/>
    <s v="Single"/>
    <n v="19537"/>
    <n v="6462"/>
    <n v="7"/>
    <s v="Y"/>
    <x v="1"/>
    <n v="13"/>
    <n v="3"/>
    <n v="3"/>
    <n v="80"/>
    <n v="0"/>
    <n v="23"/>
    <n v="5"/>
    <n v="3"/>
    <n v="20"/>
    <n v="18"/>
    <n v="15"/>
    <n v="15"/>
    <x v="3"/>
    <x v="2"/>
    <n v="0"/>
    <n v="0"/>
    <x v="3"/>
    <x v="0"/>
    <n v="36"/>
  </r>
  <r>
    <n v="31"/>
    <x v="0"/>
    <s v="Travel_Rarely"/>
    <n v="249"/>
    <x v="0"/>
    <n v="6"/>
    <n v="4"/>
    <s v="Life Sciences"/>
    <n v="1"/>
    <n v="163"/>
    <n v="2"/>
    <x v="1"/>
    <n v="76"/>
    <n v="1"/>
    <n v="2"/>
    <x v="0"/>
    <n v="3"/>
    <s v="Married"/>
    <n v="6172"/>
    <n v="20739"/>
    <n v="4"/>
    <s v="Y"/>
    <x v="0"/>
    <n v="18"/>
    <n v="3"/>
    <n v="2"/>
    <n v="80"/>
    <n v="0"/>
    <n v="12"/>
    <n v="3"/>
    <n v="2"/>
    <n v="7"/>
    <n v="7"/>
    <n v="7"/>
    <n v="7"/>
    <x v="1"/>
    <x v="0"/>
    <n v="1"/>
    <n v="1"/>
    <x v="2"/>
    <x v="1"/>
    <n v="71"/>
  </r>
  <r>
    <n v="26"/>
    <x v="1"/>
    <s v="Travel_Rarely"/>
    <n v="841"/>
    <x v="1"/>
    <n v="6"/>
    <n v="3"/>
    <s v="Other"/>
    <n v="1"/>
    <n v="164"/>
    <n v="3"/>
    <x v="0"/>
    <n v="46"/>
    <n v="2"/>
    <n v="1"/>
    <x v="1"/>
    <n v="2"/>
    <s v="Married"/>
    <n v="2368"/>
    <n v="23300"/>
    <n v="1"/>
    <s v="Y"/>
    <x v="1"/>
    <n v="19"/>
    <n v="3"/>
    <n v="3"/>
    <n v="80"/>
    <n v="0"/>
    <n v="5"/>
    <n v="3"/>
    <n v="2"/>
    <n v="5"/>
    <n v="4"/>
    <n v="4"/>
    <n v="3"/>
    <x v="2"/>
    <x v="1"/>
    <n v="0"/>
    <n v="0"/>
    <x v="3"/>
    <x v="1"/>
    <n v="69"/>
  </r>
  <r>
    <n v="58"/>
    <x v="0"/>
    <s v="Travel_Rarely"/>
    <n v="147"/>
    <x v="1"/>
    <n v="23"/>
    <n v="4"/>
    <s v="Medical"/>
    <n v="1"/>
    <n v="165"/>
    <n v="4"/>
    <x v="0"/>
    <n v="94"/>
    <n v="3"/>
    <n v="3"/>
    <x v="4"/>
    <n v="4"/>
    <s v="Married"/>
    <n v="10312"/>
    <n v="3465"/>
    <n v="1"/>
    <s v="Y"/>
    <x v="1"/>
    <n v="12"/>
    <n v="3"/>
    <n v="4"/>
    <n v="80"/>
    <n v="1"/>
    <n v="40"/>
    <n v="3"/>
    <n v="2"/>
    <n v="40"/>
    <n v="10"/>
    <n v="15"/>
    <n v="6"/>
    <x v="3"/>
    <x v="0"/>
    <n v="1"/>
    <n v="0"/>
    <x v="2"/>
    <x v="2"/>
    <n v="29"/>
  </r>
  <r>
    <n v="19"/>
    <x v="0"/>
    <s v="Travel_Rarely"/>
    <n v="528"/>
    <x v="0"/>
    <n v="22"/>
    <n v="1"/>
    <s v="Marketing"/>
    <n v="1"/>
    <n v="167"/>
    <n v="4"/>
    <x v="1"/>
    <n v="50"/>
    <n v="3"/>
    <n v="1"/>
    <x v="6"/>
    <n v="3"/>
    <s v="Single"/>
    <n v="1675"/>
    <n v="26820"/>
    <n v="1"/>
    <s v="Y"/>
    <x v="0"/>
    <n v="19"/>
    <n v="3"/>
    <n v="4"/>
    <n v="80"/>
    <n v="0"/>
    <n v="0"/>
    <n v="2"/>
    <n v="2"/>
    <n v="0"/>
    <n v="0"/>
    <n v="0"/>
    <n v="0"/>
    <x v="2"/>
    <x v="1"/>
    <n v="1"/>
    <n v="1"/>
    <x v="1"/>
    <x v="1"/>
    <n v="98"/>
  </r>
  <r>
    <n v="22"/>
    <x v="1"/>
    <s v="Travel_Rarely"/>
    <n v="594"/>
    <x v="1"/>
    <n v="2"/>
    <n v="1"/>
    <s v="Technical Degree"/>
    <n v="1"/>
    <n v="169"/>
    <n v="3"/>
    <x v="1"/>
    <n v="100"/>
    <n v="3"/>
    <n v="1"/>
    <x v="2"/>
    <n v="4"/>
    <s v="Married"/>
    <n v="2523"/>
    <n v="19299"/>
    <n v="0"/>
    <s v="Y"/>
    <x v="1"/>
    <n v="14"/>
    <n v="3"/>
    <n v="3"/>
    <n v="80"/>
    <n v="1"/>
    <n v="3"/>
    <n v="2"/>
    <n v="3"/>
    <n v="2"/>
    <n v="1"/>
    <n v="2"/>
    <n v="1"/>
    <x v="2"/>
    <x v="1"/>
    <n v="0"/>
    <n v="0"/>
    <x v="1"/>
    <x v="1"/>
    <n v="66"/>
  </r>
  <r>
    <n v="49"/>
    <x v="1"/>
    <s v="Travel_Rarely"/>
    <n v="470"/>
    <x v="1"/>
    <n v="20"/>
    <n v="4"/>
    <s v="Medical"/>
    <n v="1"/>
    <n v="170"/>
    <n v="3"/>
    <x v="0"/>
    <n v="96"/>
    <n v="3"/>
    <n v="2"/>
    <x v="3"/>
    <n v="1"/>
    <s v="Married"/>
    <n v="6567"/>
    <n v="5549"/>
    <n v="1"/>
    <s v="Y"/>
    <x v="1"/>
    <n v="14"/>
    <n v="3"/>
    <n v="3"/>
    <n v="80"/>
    <n v="0"/>
    <n v="16"/>
    <n v="2"/>
    <n v="2"/>
    <n v="15"/>
    <n v="11"/>
    <n v="5"/>
    <n v="11"/>
    <x v="0"/>
    <x v="0"/>
    <n v="0"/>
    <n v="0"/>
    <x v="2"/>
    <x v="0"/>
    <n v="43"/>
  </r>
  <r>
    <n v="43"/>
    <x v="1"/>
    <s v="Travel_Frequently"/>
    <n v="957"/>
    <x v="1"/>
    <n v="28"/>
    <n v="3"/>
    <s v="Medical"/>
    <n v="1"/>
    <n v="171"/>
    <n v="2"/>
    <x v="0"/>
    <n v="72"/>
    <n v="4"/>
    <n v="1"/>
    <x v="1"/>
    <n v="3"/>
    <s v="Single"/>
    <n v="4739"/>
    <n v="16090"/>
    <n v="4"/>
    <s v="Y"/>
    <x v="1"/>
    <n v="12"/>
    <n v="3"/>
    <n v="4"/>
    <n v="80"/>
    <n v="0"/>
    <n v="18"/>
    <n v="2"/>
    <n v="3"/>
    <n v="3"/>
    <n v="2"/>
    <n v="1"/>
    <n v="2"/>
    <x v="0"/>
    <x v="1"/>
    <n v="0"/>
    <n v="0"/>
    <x v="3"/>
    <x v="0"/>
    <n v="43"/>
  </r>
  <r>
    <n v="50"/>
    <x v="1"/>
    <s v="Travel_Frequently"/>
    <n v="809"/>
    <x v="0"/>
    <n v="12"/>
    <n v="3"/>
    <s v="Marketing"/>
    <n v="1"/>
    <n v="174"/>
    <n v="3"/>
    <x v="0"/>
    <n v="77"/>
    <n v="3"/>
    <n v="3"/>
    <x v="0"/>
    <n v="4"/>
    <s v="Single"/>
    <n v="9208"/>
    <n v="6645"/>
    <n v="4"/>
    <s v="Y"/>
    <x v="1"/>
    <n v="11"/>
    <n v="3"/>
    <n v="4"/>
    <n v="80"/>
    <n v="0"/>
    <n v="16"/>
    <n v="3"/>
    <n v="3"/>
    <n v="2"/>
    <n v="2"/>
    <n v="2"/>
    <n v="1"/>
    <x v="3"/>
    <x v="0"/>
    <n v="0"/>
    <n v="0"/>
    <x v="3"/>
    <x v="0"/>
    <n v="51"/>
  </r>
  <r>
    <n v="31"/>
    <x v="0"/>
    <s v="Travel_Rarely"/>
    <n v="542"/>
    <x v="0"/>
    <n v="20"/>
    <n v="3"/>
    <s v="Life Sciences"/>
    <n v="1"/>
    <n v="175"/>
    <n v="2"/>
    <x v="0"/>
    <n v="71"/>
    <n v="1"/>
    <n v="2"/>
    <x v="0"/>
    <n v="3"/>
    <s v="Married"/>
    <n v="4559"/>
    <n v="24788"/>
    <n v="3"/>
    <s v="Y"/>
    <x v="0"/>
    <n v="11"/>
    <n v="3"/>
    <n v="3"/>
    <n v="80"/>
    <n v="1"/>
    <n v="4"/>
    <n v="2"/>
    <n v="3"/>
    <n v="2"/>
    <n v="2"/>
    <n v="2"/>
    <n v="2"/>
    <x v="1"/>
    <x v="1"/>
    <n v="1"/>
    <n v="1"/>
    <x v="3"/>
    <x v="1"/>
    <n v="88"/>
  </r>
  <r>
    <n v="41"/>
    <x v="1"/>
    <s v="Travel_Rarely"/>
    <n v="802"/>
    <x v="0"/>
    <n v="9"/>
    <n v="1"/>
    <s v="Life Sciences"/>
    <n v="1"/>
    <n v="176"/>
    <n v="3"/>
    <x v="1"/>
    <n v="96"/>
    <n v="3"/>
    <n v="3"/>
    <x v="0"/>
    <n v="3"/>
    <s v="Divorced"/>
    <n v="8189"/>
    <n v="21196"/>
    <n v="3"/>
    <s v="Y"/>
    <x v="0"/>
    <n v="13"/>
    <n v="3"/>
    <n v="3"/>
    <n v="80"/>
    <n v="1"/>
    <n v="12"/>
    <n v="2"/>
    <n v="3"/>
    <n v="9"/>
    <n v="7"/>
    <n v="0"/>
    <n v="7"/>
    <x v="0"/>
    <x v="0"/>
    <n v="0"/>
    <n v="1"/>
    <x v="1"/>
    <x v="1"/>
    <n v="61"/>
  </r>
  <r>
    <n v="26"/>
    <x v="1"/>
    <s v="Travel_Rarely"/>
    <n v="1355"/>
    <x v="2"/>
    <n v="25"/>
    <n v="1"/>
    <s v="Life Sciences"/>
    <n v="1"/>
    <n v="177"/>
    <n v="3"/>
    <x v="0"/>
    <n v="61"/>
    <n v="3"/>
    <n v="1"/>
    <x v="8"/>
    <n v="3"/>
    <s v="Married"/>
    <n v="2942"/>
    <n v="8916"/>
    <n v="1"/>
    <s v="Y"/>
    <x v="1"/>
    <n v="23"/>
    <n v="4"/>
    <n v="4"/>
    <n v="80"/>
    <n v="1"/>
    <n v="8"/>
    <n v="3"/>
    <n v="3"/>
    <n v="8"/>
    <n v="7"/>
    <n v="5"/>
    <n v="7"/>
    <x v="2"/>
    <x v="1"/>
    <n v="0"/>
    <n v="0"/>
    <x v="1"/>
    <x v="1"/>
    <n v="56"/>
  </r>
  <r>
    <n v="36"/>
    <x v="1"/>
    <s v="Travel_Rarely"/>
    <n v="216"/>
    <x v="1"/>
    <n v="6"/>
    <n v="2"/>
    <s v="Medical"/>
    <n v="1"/>
    <n v="178"/>
    <n v="2"/>
    <x v="1"/>
    <n v="84"/>
    <n v="3"/>
    <n v="2"/>
    <x v="3"/>
    <n v="2"/>
    <s v="Divorced"/>
    <n v="4941"/>
    <n v="2819"/>
    <n v="6"/>
    <s v="Y"/>
    <x v="1"/>
    <n v="20"/>
    <n v="4"/>
    <n v="4"/>
    <n v="80"/>
    <n v="2"/>
    <n v="7"/>
    <n v="0"/>
    <n v="3"/>
    <n v="3"/>
    <n v="2"/>
    <n v="0"/>
    <n v="1"/>
    <x v="1"/>
    <x v="1"/>
    <n v="0"/>
    <n v="0"/>
    <x v="0"/>
    <x v="1"/>
    <n v="59"/>
  </r>
  <r>
    <n v="51"/>
    <x v="0"/>
    <s v="Travel_Frequently"/>
    <n v="1150"/>
    <x v="1"/>
    <n v="8"/>
    <n v="4"/>
    <s v="Life Sciences"/>
    <n v="1"/>
    <n v="179"/>
    <n v="1"/>
    <x v="1"/>
    <n v="53"/>
    <n v="1"/>
    <n v="3"/>
    <x v="3"/>
    <n v="4"/>
    <s v="Single"/>
    <n v="10650"/>
    <n v="25150"/>
    <n v="2"/>
    <s v="Y"/>
    <x v="1"/>
    <n v="15"/>
    <n v="3"/>
    <n v="4"/>
    <n v="80"/>
    <n v="0"/>
    <n v="18"/>
    <n v="2"/>
    <n v="3"/>
    <n v="4"/>
    <n v="2"/>
    <n v="0"/>
    <n v="3"/>
    <x v="3"/>
    <x v="0"/>
    <n v="1"/>
    <n v="0"/>
    <x v="2"/>
    <x v="0"/>
    <n v="41"/>
  </r>
  <r>
    <n v="39"/>
    <x v="1"/>
    <s v="Travel_Rarely"/>
    <n v="1329"/>
    <x v="0"/>
    <n v="4"/>
    <n v="4"/>
    <s v="Life Sciences"/>
    <n v="1"/>
    <n v="182"/>
    <n v="4"/>
    <x v="0"/>
    <n v="47"/>
    <n v="2"/>
    <n v="2"/>
    <x v="0"/>
    <n v="3"/>
    <s v="Married"/>
    <n v="5902"/>
    <n v="14590"/>
    <n v="4"/>
    <s v="Y"/>
    <x v="1"/>
    <n v="14"/>
    <n v="3"/>
    <n v="3"/>
    <n v="80"/>
    <n v="1"/>
    <n v="17"/>
    <n v="1"/>
    <n v="4"/>
    <n v="15"/>
    <n v="11"/>
    <n v="5"/>
    <n v="9"/>
    <x v="1"/>
    <x v="0"/>
    <n v="0"/>
    <n v="0"/>
    <x v="2"/>
    <x v="0"/>
    <n v="41"/>
  </r>
  <r>
    <n v="25"/>
    <x v="1"/>
    <s v="Travel_Rarely"/>
    <n v="959"/>
    <x v="0"/>
    <n v="28"/>
    <n v="3"/>
    <s v="Life Sciences"/>
    <n v="1"/>
    <n v="183"/>
    <n v="1"/>
    <x v="1"/>
    <n v="41"/>
    <n v="2"/>
    <n v="2"/>
    <x v="0"/>
    <n v="3"/>
    <s v="Married"/>
    <n v="8639"/>
    <n v="24835"/>
    <n v="2"/>
    <s v="Y"/>
    <x v="1"/>
    <n v="18"/>
    <n v="3"/>
    <n v="4"/>
    <n v="80"/>
    <n v="0"/>
    <n v="6"/>
    <n v="3"/>
    <n v="3"/>
    <n v="2"/>
    <n v="2"/>
    <n v="2"/>
    <n v="2"/>
    <x v="2"/>
    <x v="0"/>
    <n v="0"/>
    <n v="0"/>
    <x v="3"/>
    <x v="1"/>
    <n v="73"/>
  </r>
  <r>
    <n v="30"/>
    <x v="1"/>
    <s v="Travel_Rarely"/>
    <n v="1240"/>
    <x v="2"/>
    <n v="9"/>
    <n v="3"/>
    <s v="Human Resources"/>
    <n v="1"/>
    <n v="184"/>
    <n v="3"/>
    <x v="1"/>
    <n v="48"/>
    <n v="3"/>
    <n v="2"/>
    <x v="8"/>
    <n v="4"/>
    <s v="Married"/>
    <n v="6347"/>
    <n v="13982"/>
    <n v="0"/>
    <s v="Y"/>
    <x v="0"/>
    <n v="19"/>
    <n v="3"/>
    <n v="4"/>
    <n v="80"/>
    <n v="0"/>
    <n v="12"/>
    <n v="2"/>
    <n v="1"/>
    <n v="11"/>
    <n v="9"/>
    <n v="4"/>
    <n v="7"/>
    <x v="1"/>
    <x v="0"/>
    <n v="0"/>
    <n v="1"/>
    <x v="3"/>
    <x v="1"/>
    <n v="59"/>
  </r>
  <r>
    <n v="32"/>
    <x v="0"/>
    <s v="Travel_Rarely"/>
    <n v="1033"/>
    <x v="1"/>
    <n v="9"/>
    <n v="3"/>
    <s v="Medical"/>
    <n v="1"/>
    <n v="190"/>
    <n v="1"/>
    <x v="0"/>
    <n v="41"/>
    <n v="3"/>
    <n v="1"/>
    <x v="2"/>
    <n v="1"/>
    <s v="Single"/>
    <n v="4200"/>
    <n v="10224"/>
    <n v="7"/>
    <s v="Y"/>
    <x v="1"/>
    <n v="22"/>
    <n v="4"/>
    <n v="1"/>
    <n v="80"/>
    <n v="0"/>
    <n v="10"/>
    <n v="2"/>
    <n v="4"/>
    <n v="5"/>
    <n v="4"/>
    <n v="0"/>
    <n v="4"/>
    <x v="1"/>
    <x v="1"/>
    <n v="1"/>
    <n v="0"/>
    <x v="3"/>
    <x v="1"/>
    <n v="65"/>
  </r>
  <r>
    <n v="45"/>
    <x v="1"/>
    <s v="Travel_Rarely"/>
    <n v="1316"/>
    <x v="1"/>
    <n v="29"/>
    <n v="3"/>
    <s v="Medical"/>
    <n v="1"/>
    <n v="192"/>
    <n v="3"/>
    <x v="1"/>
    <n v="83"/>
    <n v="3"/>
    <n v="1"/>
    <x v="1"/>
    <n v="4"/>
    <s v="Single"/>
    <n v="3452"/>
    <n v="9752"/>
    <n v="5"/>
    <s v="Y"/>
    <x v="1"/>
    <n v="13"/>
    <n v="3"/>
    <n v="2"/>
    <n v="80"/>
    <n v="0"/>
    <n v="9"/>
    <n v="2"/>
    <n v="2"/>
    <n v="6"/>
    <n v="5"/>
    <n v="0"/>
    <n v="3"/>
    <x v="0"/>
    <x v="1"/>
    <n v="0"/>
    <n v="0"/>
    <x v="3"/>
    <x v="2"/>
    <n v="29"/>
  </r>
  <r>
    <n v="38"/>
    <x v="1"/>
    <s v="Travel_Rarely"/>
    <n v="364"/>
    <x v="1"/>
    <n v="3"/>
    <n v="5"/>
    <s v="Technical Degree"/>
    <n v="1"/>
    <n v="193"/>
    <n v="4"/>
    <x v="0"/>
    <n v="32"/>
    <n v="3"/>
    <n v="2"/>
    <x v="1"/>
    <n v="3"/>
    <s v="Single"/>
    <n v="4317"/>
    <n v="2302"/>
    <n v="3"/>
    <s v="Y"/>
    <x v="0"/>
    <n v="20"/>
    <n v="4"/>
    <n v="2"/>
    <n v="80"/>
    <n v="0"/>
    <n v="19"/>
    <n v="2"/>
    <n v="3"/>
    <n v="3"/>
    <n v="2"/>
    <n v="2"/>
    <n v="2"/>
    <x v="1"/>
    <x v="1"/>
    <n v="0"/>
    <n v="1"/>
    <x v="4"/>
    <x v="1"/>
    <n v="78"/>
  </r>
  <r>
    <n v="30"/>
    <x v="1"/>
    <s v="Travel_Rarely"/>
    <n v="438"/>
    <x v="1"/>
    <n v="18"/>
    <n v="3"/>
    <s v="Life Sciences"/>
    <n v="1"/>
    <n v="194"/>
    <n v="1"/>
    <x v="0"/>
    <n v="75"/>
    <n v="3"/>
    <n v="1"/>
    <x v="1"/>
    <n v="3"/>
    <s v="Single"/>
    <n v="2632"/>
    <n v="23910"/>
    <n v="1"/>
    <s v="Y"/>
    <x v="1"/>
    <n v="14"/>
    <n v="3"/>
    <n v="3"/>
    <n v="80"/>
    <n v="0"/>
    <n v="5"/>
    <n v="4"/>
    <n v="2"/>
    <n v="5"/>
    <n v="4"/>
    <n v="0"/>
    <n v="4"/>
    <x v="1"/>
    <x v="1"/>
    <n v="0"/>
    <n v="0"/>
    <x v="3"/>
    <x v="0"/>
    <n v="53"/>
  </r>
  <r>
    <n v="32"/>
    <x v="1"/>
    <s v="Travel_Frequently"/>
    <n v="689"/>
    <x v="0"/>
    <n v="9"/>
    <n v="2"/>
    <s v="Medical"/>
    <n v="1"/>
    <n v="195"/>
    <n v="4"/>
    <x v="1"/>
    <n v="35"/>
    <n v="1"/>
    <n v="2"/>
    <x v="0"/>
    <n v="4"/>
    <s v="Divorced"/>
    <n v="4668"/>
    <n v="22812"/>
    <n v="0"/>
    <s v="Y"/>
    <x v="1"/>
    <n v="17"/>
    <n v="3"/>
    <n v="4"/>
    <n v="80"/>
    <n v="3"/>
    <n v="9"/>
    <n v="2"/>
    <n v="4"/>
    <n v="8"/>
    <n v="7"/>
    <n v="0"/>
    <n v="7"/>
    <x v="1"/>
    <x v="1"/>
    <n v="0"/>
    <n v="0"/>
    <x v="0"/>
    <x v="0"/>
    <n v="39"/>
  </r>
  <r>
    <n v="30"/>
    <x v="1"/>
    <s v="Travel_Rarely"/>
    <n v="201"/>
    <x v="1"/>
    <n v="5"/>
    <n v="3"/>
    <s v="Technical Degree"/>
    <n v="1"/>
    <n v="197"/>
    <n v="4"/>
    <x v="0"/>
    <n v="84"/>
    <n v="3"/>
    <n v="1"/>
    <x v="1"/>
    <n v="1"/>
    <s v="Divorced"/>
    <n v="3204"/>
    <n v="10415"/>
    <n v="5"/>
    <s v="Y"/>
    <x v="1"/>
    <n v="14"/>
    <n v="3"/>
    <n v="4"/>
    <n v="80"/>
    <n v="1"/>
    <n v="8"/>
    <n v="3"/>
    <n v="3"/>
    <n v="3"/>
    <n v="2"/>
    <n v="2"/>
    <n v="2"/>
    <x v="1"/>
    <x v="1"/>
    <n v="0"/>
    <n v="0"/>
    <x v="3"/>
    <x v="1"/>
    <n v="65"/>
  </r>
  <r>
    <n v="30"/>
    <x v="1"/>
    <s v="Travel_Rarely"/>
    <n v="1427"/>
    <x v="1"/>
    <n v="2"/>
    <n v="1"/>
    <s v="Medical"/>
    <n v="1"/>
    <n v="198"/>
    <n v="2"/>
    <x v="1"/>
    <n v="35"/>
    <n v="2"/>
    <n v="1"/>
    <x v="2"/>
    <n v="4"/>
    <s v="Single"/>
    <n v="2720"/>
    <n v="11162"/>
    <n v="0"/>
    <s v="Y"/>
    <x v="1"/>
    <n v="13"/>
    <n v="3"/>
    <n v="4"/>
    <n v="80"/>
    <n v="0"/>
    <n v="6"/>
    <n v="3"/>
    <n v="3"/>
    <n v="5"/>
    <n v="3"/>
    <n v="1"/>
    <n v="2"/>
    <x v="1"/>
    <x v="1"/>
    <n v="0"/>
    <n v="0"/>
    <x v="1"/>
    <x v="0"/>
    <n v="46"/>
  </r>
  <r>
    <n v="41"/>
    <x v="1"/>
    <s v="Travel_Frequently"/>
    <n v="857"/>
    <x v="1"/>
    <n v="10"/>
    <n v="3"/>
    <s v="Life Sciences"/>
    <n v="1"/>
    <n v="199"/>
    <n v="4"/>
    <x v="1"/>
    <n v="91"/>
    <n v="2"/>
    <n v="4"/>
    <x v="5"/>
    <n v="1"/>
    <s v="Divorced"/>
    <n v="17181"/>
    <n v="12888"/>
    <n v="4"/>
    <s v="Y"/>
    <x v="1"/>
    <n v="13"/>
    <n v="3"/>
    <n v="2"/>
    <n v="80"/>
    <n v="1"/>
    <n v="21"/>
    <n v="2"/>
    <n v="2"/>
    <n v="7"/>
    <n v="6"/>
    <n v="7"/>
    <n v="7"/>
    <x v="0"/>
    <x v="2"/>
    <n v="0"/>
    <n v="0"/>
    <x v="3"/>
    <x v="0"/>
    <n v="48"/>
  </r>
  <r>
    <n v="41"/>
    <x v="1"/>
    <s v="Travel_Rarely"/>
    <n v="933"/>
    <x v="1"/>
    <n v="9"/>
    <n v="4"/>
    <s v="Life Sciences"/>
    <n v="1"/>
    <n v="200"/>
    <n v="3"/>
    <x v="1"/>
    <n v="94"/>
    <n v="3"/>
    <n v="1"/>
    <x v="2"/>
    <n v="1"/>
    <s v="Married"/>
    <n v="2238"/>
    <n v="6961"/>
    <n v="2"/>
    <s v="Y"/>
    <x v="1"/>
    <n v="21"/>
    <n v="4"/>
    <n v="4"/>
    <n v="80"/>
    <n v="1"/>
    <n v="7"/>
    <n v="2"/>
    <n v="3"/>
    <n v="5"/>
    <n v="0"/>
    <n v="1"/>
    <n v="4"/>
    <x v="0"/>
    <x v="1"/>
    <n v="0"/>
    <n v="0"/>
    <x v="2"/>
    <x v="1"/>
    <n v="55"/>
  </r>
  <r>
    <n v="19"/>
    <x v="1"/>
    <s v="Travel_Rarely"/>
    <n v="1181"/>
    <x v="1"/>
    <n v="3"/>
    <n v="1"/>
    <s v="Medical"/>
    <n v="1"/>
    <n v="201"/>
    <n v="2"/>
    <x v="0"/>
    <n v="79"/>
    <n v="3"/>
    <n v="1"/>
    <x v="2"/>
    <n v="2"/>
    <s v="Single"/>
    <n v="1483"/>
    <n v="16102"/>
    <n v="1"/>
    <s v="Y"/>
    <x v="1"/>
    <n v="14"/>
    <n v="3"/>
    <n v="4"/>
    <n v="80"/>
    <n v="0"/>
    <n v="1"/>
    <n v="3"/>
    <n v="3"/>
    <n v="1"/>
    <n v="0"/>
    <n v="0"/>
    <n v="0"/>
    <x v="2"/>
    <x v="1"/>
    <n v="0"/>
    <n v="0"/>
    <x v="1"/>
    <x v="1"/>
    <n v="79"/>
  </r>
  <r>
    <n v="40"/>
    <x v="1"/>
    <s v="Travel_Frequently"/>
    <n v="1395"/>
    <x v="1"/>
    <n v="26"/>
    <n v="3"/>
    <s v="Medical"/>
    <n v="1"/>
    <n v="202"/>
    <n v="2"/>
    <x v="0"/>
    <n v="54"/>
    <n v="3"/>
    <n v="2"/>
    <x v="1"/>
    <n v="2"/>
    <s v="Divorced"/>
    <n v="5605"/>
    <n v="8504"/>
    <n v="1"/>
    <s v="Y"/>
    <x v="1"/>
    <n v="11"/>
    <n v="3"/>
    <n v="1"/>
    <n v="80"/>
    <n v="1"/>
    <n v="20"/>
    <n v="2"/>
    <n v="3"/>
    <n v="20"/>
    <n v="7"/>
    <n v="2"/>
    <n v="13"/>
    <x v="0"/>
    <x v="0"/>
    <n v="0"/>
    <n v="0"/>
    <x v="3"/>
    <x v="0"/>
    <n v="37"/>
  </r>
  <r>
    <n v="35"/>
    <x v="1"/>
    <s v="Travel_Rarely"/>
    <n v="662"/>
    <x v="0"/>
    <n v="1"/>
    <n v="5"/>
    <s v="Marketing"/>
    <n v="1"/>
    <n v="204"/>
    <n v="3"/>
    <x v="1"/>
    <n v="94"/>
    <n v="3"/>
    <n v="3"/>
    <x v="0"/>
    <n v="2"/>
    <s v="Married"/>
    <n v="7295"/>
    <n v="11439"/>
    <n v="1"/>
    <s v="Y"/>
    <x v="1"/>
    <n v="13"/>
    <n v="3"/>
    <n v="1"/>
    <n v="80"/>
    <n v="2"/>
    <n v="10"/>
    <n v="3"/>
    <n v="3"/>
    <n v="10"/>
    <n v="8"/>
    <n v="0"/>
    <n v="6"/>
    <x v="1"/>
    <x v="0"/>
    <n v="0"/>
    <n v="0"/>
    <x v="4"/>
    <x v="0"/>
    <n v="52"/>
  </r>
  <r>
    <n v="53"/>
    <x v="1"/>
    <s v="Travel_Rarely"/>
    <n v="1436"/>
    <x v="0"/>
    <n v="6"/>
    <n v="2"/>
    <s v="Marketing"/>
    <n v="1"/>
    <n v="205"/>
    <n v="2"/>
    <x v="1"/>
    <n v="34"/>
    <n v="3"/>
    <n v="2"/>
    <x v="6"/>
    <n v="3"/>
    <s v="Married"/>
    <n v="2306"/>
    <n v="16047"/>
    <n v="2"/>
    <s v="Y"/>
    <x v="0"/>
    <n v="20"/>
    <n v="4"/>
    <n v="4"/>
    <n v="80"/>
    <n v="1"/>
    <n v="13"/>
    <n v="3"/>
    <n v="1"/>
    <n v="7"/>
    <n v="7"/>
    <n v="4"/>
    <n v="5"/>
    <x v="3"/>
    <x v="1"/>
    <n v="0"/>
    <n v="1"/>
    <x v="0"/>
    <x v="1"/>
    <n v="66"/>
  </r>
  <r>
    <n v="45"/>
    <x v="1"/>
    <s v="Travel_Rarely"/>
    <n v="194"/>
    <x v="1"/>
    <n v="9"/>
    <n v="3"/>
    <s v="Life Sciences"/>
    <n v="1"/>
    <n v="206"/>
    <n v="2"/>
    <x v="1"/>
    <n v="60"/>
    <n v="3"/>
    <n v="2"/>
    <x v="2"/>
    <n v="2"/>
    <s v="Divorced"/>
    <n v="2348"/>
    <n v="10901"/>
    <n v="8"/>
    <s v="Y"/>
    <x v="1"/>
    <n v="18"/>
    <n v="3"/>
    <n v="3"/>
    <n v="80"/>
    <n v="1"/>
    <n v="20"/>
    <n v="2"/>
    <n v="1"/>
    <n v="17"/>
    <n v="9"/>
    <n v="0"/>
    <n v="15"/>
    <x v="0"/>
    <x v="1"/>
    <n v="0"/>
    <n v="0"/>
    <x v="3"/>
    <x v="0"/>
    <n v="37"/>
  </r>
  <r>
    <n v="32"/>
    <x v="1"/>
    <s v="Travel_Frequently"/>
    <n v="967"/>
    <x v="0"/>
    <n v="8"/>
    <n v="3"/>
    <s v="Marketing"/>
    <n v="1"/>
    <n v="207"/>
    <n v="2"/>
    <x v="0"/>
    <n v="43"/>
    <n v="3"/>
    <n v="3"/>
    <x v="0"/>
    <n v="4"/>
    <s v="Single"/>
    <n v="8998"/>
    <n v="15589"/>
    <n v="1"/>
    <s v="Y"/>
    <x v="1"/>
    <n v="14"/>
    <n v="3"/>
    <n v="4"/>
    <n v="80"/>
    <n v="0"/>
    <n v="9"/>
    <n v="2"/>
    <n v="3"/>
    <n v="9"/>
    <n v="8"/>
    <n v="3"/>
    <n v="7"/>
    <x v="1"/>
    <x v="0"/>
    <n v="0"/>
    <n v="0"/>
    <x v="3"/>
    <x v="0"/>
    <n v="39"/>
  </r>
  <r>
    <n v="29"/>
    <x v="1"/>
    <s v="Non-Travel"/>
    <n v="1496"/>
    <x v="1"/>
    <n v="1"/>
    <n v="1"/>
    <s v="Technical Degree"/>
    <n v="1"/>
    <n v="208"/>
    <n v="4"/>
    <x v="1"/>
    <n v="41"/>
    <n v="3"/>
    <n v="2"/>
    <x v="3"/>
    <n v="3"/>
    <s v="Married"/>
    <n v="4319"/>
    <n v="26283"/>
    <n v="1"/>
    <s v="Y"/>
    <x v="1"/>
    <n v="13"/>
    <n v="3"/>
    <n v="1"/>
    <n v="80"/>
    <n v="1"/>
    <n v="10"/>
    <n v="1"/>
    <n v="3"/>
    <n v="10"/>
    <n v="7"/>
    <n v="0"/>
    <n v="9"/>
    <x v="2"/>
    <x v="1"/>
    <n v="0"/>
    <n v="0"/>
    <x v="1"/>
    <x v="1"/>
    <n v="56"/>
  </r>
  <r>
    <n v="51"/>
    <x v="1"/>
    <s v="Travel_Rarely"/>
    <n v="1169"/>
    <x v="1"/>
    <n v="7"/>
    <n v="4"/>
    <s v="Medical"/>
    <n v="1"/>
    <n v="211"/>
    <n v="2"/>
    <x v="1"/>
    <n v="34"/>
    <n v="2"/>
    <n v="2"/>
    <x v="3"/>
    <n v="3"/>
    <s v="Married"/>
    <n v="6132"/>
    <n v="13983"/>
    <n v="2"/>
    <s v="Y"/>
    <x v="1"/>
    <n v="17"/>
    <n v="3"/>
    <n v="3"/>
    <n v="80"/>
    <n v="0"/>
    <n v="10"/>
    <n v="2"/>
    <n v="3"/>
    <n v="1"/>
    <n v="0"/>
    <n v="0"/>
    <n v="0"/>
    <x v="3"/>
    <x v="0"/>
    <n v="0"/>
    <n v="0"/>
    <x v="2"/>
    <x v="1"/>
    <n v="58"/>
  </r>
  <r>
    <n v="58"/>
    <x v="1"/>
    <s v="Travel_Rarely"/>
    <n v="1145"/>
    <x v="1"/>
    <n v="9"/>
    <n v="3"/>
    <s v="Medical"/>
    <n v="1"/>
    <n v="214"/>
    <n v="2"/>
    <x v="0"/>
    <n v="75"/>
    <n v="2"/>
    <n v="1"/>
    <x v="1"/>
    <n v="2"/>
    <s v="Married"/>
    <n v="3346"/>
    <n v="11873"/>
    <n v="4"/>
    <s v="Y"/>
    <x v="0"/>
    <n v="20"/>
    <n v="4"/>
    <n v="2"/>
    <n v="80"/>
    <n v="1"/>
    <n v="9"/>
    <n v="3"/>
    <n v="2"/>
    <n v="1"/>
    <n v="0"/>
    <n v="0"/>
    <n v="0"/>
    <x v="3"/>
    <x v="1"/>
    <n v="0"/>
    <n v="1"/>
    <x v="3"/>
    <x v="1"/>
    <n v="89"/>
  </r>
  <r>
    <n v="40"/>
    <x v="1"/>
    <s v="Travel_Rarely"/>
    <n v="630"/>
    <x v="0"/>
    <n v="4"/>
    <n v="4"/>
    <s v="Marketing"/>
    <n v="1"/>
    <n v="215"/>
    <n v="3"/>
    <x v="1"/>
    <n v="67"/>
    <n v="2"/>
    <n v="3"/>
    <x v="0"/>
    <n v="4"/>
    <s v="Married"/>
    <n v="10855"/>
    <n v="8552"/>
    <n v="7"/>
    <s v="Y"/>
    <x v="1"/>
    <n v="11"/>
    <n v="3"/>
    <n v="1"/>
    <n v="80"/>
    <n v="1"/>
    <n v="15"/>
    <n v="2"/>
    <n v="2"/>
    <n v="12"/>
    <n v="11"/>
    <n v="2"/>
    <n v="11"/>
    <x v="0"/>
    <x v="0"/>
    <n v="0"/>
    <n v="0"/>
    <x v="2"/>
    <x v="2"/>
    <n v="24"/>
  </r>
  <r>
    <n v="34"/>
    <x v="1"/>
    <s v="Travel_Frequently"/>
    <n v="303"/>
    <x v="0"/>
    <n v="2"/>
    <n v="4"/>
    <s v="Marketing"/>
    <n v="1"/>
    <n v="216"/>
    <n v="3"/>
    <x v="0"/>
    <n v="75"/>
    <n v="3"/>
    <n v="1"/>
    <x v="6"/>
    <n v="3"/>
    <s v="Married"/>
    <n v="2231"/>
    <n v="11314"/>
    <n v="6"/>
    <s v="Y"/>
    <x v="1"/>
    <n v="18"/>
    <n v="3"/>
    <n v="4"/>
    <n v="80"/>
    <n v="1"/>
    <n v="6"/>
    <n v="3"/>
    <n v="3"/>
    <n v="4"/>
    <n v="3"/>
    <n v="1"/>
    <n v="2"/>
    <x v="1"/>
    <x v="1"/>
    <n v="0"/>
    <n v="0"/>
    <x v="2"/>
    <x v="0"/>
    <n v="53"/>
  </r>
  <r>
    <n v="22"/>
    <x v="1"/>
    <s v="Travel_Rarely"/>
    <n v="1256"/>
    <x v="1"/>
    <n v="19"/>
    <n v="1"/>
    <s v="Medical"/>
    <n v="1"/>
    <n v="217"/>
    <n v="3"/>
    <x v="1"/>
    <n v="80"/>
    <n v="3"/>
    <n v="1"/>
    <x v="1"/>
    <n v="4"/>
    <s v="Married"/>
    <n v="2323"/>
    <n v="11992"/>
    <n v="1"/>
    <s v="Y"/>
    <x v="1"/>
    <n v="24"/>
    <n v="4"/>
    <n v="1"/>
    <n v="80"/>
    <n v="2"/>
    <n v="2"/>
    <n v="6"/>
    <n v="3"/>
    <n v="2"/>
    <n v="2"/>
    <n v="2"/>
    <n v="2"/>
    <x v="2"/>
    <x v="1"/>
    <n v="0"/>
    <n v="0"/>
    <x v="1"/>
    <x v="1"/>
    <n v="66"/>
  </r>
  <r>
    <n v="27"/>
    <x v="1"/>
    <s v="Non-Travel"/>
    <n v="691"/>
    <x v="1"/>
    <n v="9"/>
    <n v="3"/>
    <s v="Medical"/>
    <n v="1"/>
    <n v="218"/>
    <n v="4"/>
    <x v="1"/>
    <n v="57"/>
    <n v="3"/>
    <n v="1"/>
    <x v="1"/>
    <n v="2"/>
    <s v="Divorced"/>
    <n v="2024"/>
    <n v="5970"/>
    <n v="6"/>
    <s v="Y"/>
    <x v="1"/>
    <n v="18"/>
    <n v="3"/>
    <n v="4"/>
    <n v="80"/>
    <n v="1"/>
    <n v="6"/>
    <n v="1"/>
    <n v="1"/>
    <n v="2"/>
    <n v="2"/>
    <n v="2"/>
    <n v="2"/>
    <x v="2"/>
    <x v="1"/>
    <n v="0"/>
    <n v="0"/>
    <x v="3"/>
    <x v="1"/>
    <n v="79"/>
  </r>
  <r>
    <n v="28"/>
    <x v="1"/>
    <s v="Travel_Rarely"/>
    <n v="440"/>
    <x v="1"/>
    <n v="21"/>
    <n v="3"/>
    <s v="Medical"/>
    <n v="1"/>
    <n v="221"/>
    <n v="3"/>
    <x v="1"/>
    <n v="42"/>
    <n v="3"/>
    <n v="1"/>
    <x v="1"/>
    <n v="4"/>
    <s v="Married"/>
    <n v="2713"/>
    <n v="6672"/>
    <n v="1"/>
    <s v="Y"/>
    <x v="1"/>
    <n v="11"/>
    <n v="3"/>
    <n v="3"/>
    <n v="80"/>
    <n v="1"/>
    <n v="5"/>
    <n v="2"/>
    <n v="1"/>
    <n v="5"/>
    <n v="2"/>
    <n v="0"/>
    <n v="2"/>
    <x v="2"/>
    <x v="1"/>
    <n v="0"/>
    <n v="0"/>
    <x v="3"/>
    <x v="1"/>
    <n v="56"/>
  </r>
  <r>
    <n v="57"/>
    <x v="1"/>
    <s v="Travel_Rarely"/>
    <n v="334"/>
    <x v="1"/>
    <n v="24"/>
    <n v="2"/>
    <s v="Life Sciences"/>
    <n v="1"/>
    <n v="223"/>
    <n v="3"/>
    <x v="1"/>
    <n v="83"/>
    <n v="4"/>
    <n v="3"/>
    <x v="4"/>
    <n v="4"/>
    <s v="Divorced"/>
    <n v="9439"/>
    <n v="23402"/>
    <n v="3"/>
    <s v="Y"/>
    <x v="0"/>
    <n v="16"/>
    <n v="3"/>
    <n v="2"/>
    <n v="80"/>
    <n v="1"/>
    <n v="12"/>
    <n v="2"/>
    <n v="1"/>
    <n v="5"/>
    <n v="3"/>
    <n v="1"/>
    <n v="4"/>
    <x v="3"/>
    <x v="0"/>
    <n v="0"/>
    <n v="1"/>
    <x v="0"/>
    <x v="1"/>
    <n v="66"/>
  </r>
  <r>
    <n v="27"/>
    <x v="1"/>
    <s v="Non-Travel"/>
    <n v="1450"/>
    <x v="1"/>
    <n v="3"/>
    <n v="3"/>
    <s v="Medical"/>
    <n v="1"/>
    <n v="224"/>
    <n v="3"/>
    <x v="1"/>
    <n v="79"/>
    <n v="2"/>
    <n v="1"/>
    <x v="1"/>
    <n v="3"/>
    <s v="Divorced"/>
    <n v="2566"/>
    <n v="25326"/>
    <n v="1"/>
    <s v="Y"/>
    <x v="0"/>
    <n v="15"/>
    <n v="3"/>
    <n v="4"/>
    <n v="80"/>
    <n v="1"/>
    <n v="1"/>
    <n v="2"/>
    <n v="2"/>
    <n v="1"/>
    <n v="1"/>
    <n v="0"/>
    <n v="1"/>
    <x v="2"/>
    <x v="1"/>
    <n v="0"/>
    <n v="1"/>
    <x v="3"/>
    <x v="1"/>
    <n v="98"/>
  </r>
  <r>
    <n v="50"/>
    <x v="1"/>
    <s v="Travel_Rarely"/>
    <n v="1452"/>
    <x v="1"/>
    <n v="11"/>
    <n v="3"/>
    <s v="Life Sciences"/>
    <n v="1"/>
    <n v="226"/>
    <n v="3"/>
    <x v="0"/>
    <n v="53"/>
    <n v="3"/>
    <n v="5"/>
    <x v="5"/>
    <n v="2"/>
    <s v="Single"/>
    <n v="19926"/>
    <n v="17053"/>
    <n v="3"/>
    <s v="Y"/>
    <x v="1"/>
    <n v="15"/>
    <n v="3"/>
    <n v="2"/>
    <n v="80"/>
    <n v="0"/>
    <n v="21"/>
    <n v="5"/>
    <n v="3"/>
    <n v="5"/>
    <n v="4"/>
    <n v="4"/>
    <n v="4"/>
    <x v="3"/>
    <x v="2"/>
    <n v="0"/>
    <n v="0"/>
    <x v="3"/>
    <x v="0"/>
    <n v="54"/>
  </r>
  <r>
    <n v="41"/>
    <x v="1"/>
    <s v="Travel_Rarely"/>
    <n v="465"/>
    <x v="1"/>
    <n v="14"/>
    <n v="3"/>
    <s v="Life Sciences"/>
    <n v="1"/>
    <n v="227"/>
    <n v="1"/>
    <x v="1"/>
    <n v="56"/>
    <n v="3"/>
    <n v="1"/>
    <x v="1"/>
    <n v="3"/>
    <s v="Divorced"/>
    <n v="2451"/>
    <n v="4609"/>
    <n v="4"/>
    <s v="Y"/>
    <x v="1"/>
    <n v="12"/>
    <n v="3"/>
    <n v="1"/>
    <n v="80"/>
    <n v="1"/>
    <n v="13"/>
    <n v="2"/>
    <n v="3"/>
    <n v="9"/>
    <n v="8"/>
    <n v="1"/>
    <n v="8"/>
    <x v="0"/>
    <x v="1"/>
    <n v="0"/>
    <n v="0"/>
    <x v="3"/>
    <x v="0"/>
    <n v="36"/>
  </r>
  <r>
    <n v="30"/>
    <x v="1"/>
    <s v="Travel_Rarely"/>
    <n v="1339"/>
    <x v="0"/>
    <n v="5"/>
    <n v="3"/>
    <s v="Life Sciences"/>
    <n v="1"/>
    <n v="228"/>
    <n v="2"/>
    <x v="0"/>
    <n v="41"/>
    <n v="3"/>
    <n v="3"/>
    <x v="0"/>
    <n v="4"/>
    <s v="Married"/>
    <n v="9419"/>
    <n v="8053"/>
    <n v="2"/>
    <s v="Y"/>
    <x v="1"/>
    <n v="12"/>
    <n v="3"/>
    <n v="3"/>
    <n v="80"/>
    <n v="1"/>
    <n v="12"/>
    <n v="2"/>
    <n v="3"/>
    <n v="10"/>
    <n v="9"/>
    <n v="7"/>
    <n v="4"/>
    <x v="1"/>
    <x v="0"/>
    <n v="0"/>
    <n v="0"/>
    <x v="3"/>
    <x v="0"/>
    <n v="39"/>
  </r>
  <r>
    <n v="38"/>
    <x v="1"/>
    <s v="Travel_Rarely"/>
    <n v="702"/>
    <x v="0"/>
    <n v="1"/>
    <n v="4"/>
    <s v="Life Sciences"/>
    <n v="1"/>
    <n v="230"/>
    <n v="1"/>
    <x v="0"/>
    <n v="59"/>
    <n v="2"/>
    <n v="2"/>
    <x v="0"/>
    <n v="4"/>
    <s v="Single"/>
    <n v="8686"/>
    <n v="12930"/>
    <n v="4"/>
    <s v="Y"/>
    <x v="1"/>
    <n v="22"/>
    <n v="4"/>
    <n v="3"/>
    <n v="80"/>
    <n v="0"/>
    <n v="12"/>
    <n v="2"/>
    <n v="4"/>
    <n v="8"/>
    <n v="3"/>
    <n v="0"/>
    <n v="7"/>
    <x v="1"/>
    <x v="0"/>
    <n v="0"/>
    <n v="0"/>
    <x v="2"/>
    <x v="0"/>
    <n v="39"/>
  </r>
  <r>
    <n v="32"/>
    <x v="1"/>
    <s v="Travel_Rarely"/>
    <n v="120"/>
    <x v="1"/>
    <n v="6"/>
    <n v="5"/>
    <s v="Life Sciences"/>
    <n v="1"/>
    <n v="231"/>
    <n v="3"/>
    <x v="1"/>
    <n v="43"/>
    <n v="3"/>
    <n v="1"/>
    <x v="1"/>
    <n v="3"/>
    <s v="Single"/>
    <n v="3038"/>
    <n v="12430"/>
    <n v="3"/>
    <s v="Y"/>
    <x v="1"/>
    <n v="20"/>
    <n v="4"/>
    <n v="1"/>
    <n v="80"/>
    <n v="0"/>
    <n v="8"/>
    <n v="2"/>
    <n v="3"/>
    <n v="5"/>
    <n v="4"/>
    <n v="1"/>
    <n v="4"/>
    <x v="1"/>
    <x v="1"/>
    <n v="0"/>
    <n v="0"/>
    <x v="4"/>
    <x v="0"/>
    <n v="53"/>
  </r>
  <r>
    <n v="27"/>
    <x v="1"/>
    <s v="Travel_Rarely"/>
    <n v="1157"/>
    <x v="1"/>
    <n v="17"/>
    <n v="3"/>
    <s v="Technical Degree"/>
    <n v="1"/>
    <n v="233"/>
    <n v="3"/>
    <x v="1"/>
    <n v="51"/>
    <n v="3"/>
    <n v="1"/>
    <x v="1"/>
    <n v="2"/>
    <s v="Married"/>
    <n v="3058"/>
    <n v="13364"/>
    <n v="0"/>
    <s v="Y"/>
    <x v="0"/>
    <n v="16"/>
    <n v="3"/>
    <n v="4"/>
    <n v="80"/>
    <n v="1"/>
    <n v="6"/>
    <n v="3"/>
    <n v="2"/>
    <n v="5"/>
    <n v="2"/>
    <n v="1"/>
    <n v="1"/>
    <x v="2"/>
    <x v="1"/>
    <n v="0"/>
    <n v="1"/>
    <x v="3"/>
    <x v="1"/>
    <n v="94"/>
  </r>
  <r>
    <n v="19"/>
    <x v="0"/>
    <s v="Travel_Frequently"/>
    <n v="602"/>
    <x v="0"/>
    <n v="1"/>
    <n v="1"/>
    <s v="Technical Degree"/>
    <n v="1"/>
    <n v="235"/>
    <n v="3"/>
    <x v="0"/>
    <n v="100"/>
    <n v="1"/>
    <n v="1"/>
    <x v="6"/>
    <n v="1"/>
    <s v="Single"/>
    <n v="2325"/>
    <n v="20989"/>
    <n v="0"/>
    <s v="Y"/>
    <x v="1"/>
    <n v="21"/>
    <n v="4"/>
    <n v="1"/>
    <n v="80"/>
    <n v="0"/>
    <n v="1"/>
    <n v="5"/>
    <n v="4"/>
    <n v="0"/>
    <n v="0"/>
    <n v="0"/>
    <n v="0"/>
    <x v="2"/>
    <x v="1"/>
    <n v="1"/>
    <n v="0"/>
    <x v="1"/>
    <x v="1"/>
    <n v="85"/>
  </r>
  <r>
    <n v="36"/>
    <x v="1"/>
    <s v="Travel_Frequently"/>
    <n v="1480"/>
    <x v="1"/>
    <n v="3"/>
    <n v="2"/>
    <s v="Medical"/>
    <n v="1"/>
    <n v="238"/>
    <n v="4"/>
    <x v="1"/>
    <n v="30"/>
    <n v="3"/>
    <n v="1"/>
    <x v="2"/>
    <n v="2"/>
    <s v="Single"/>
    <n v="2088"/>
    <n v="15062"/>
    <n v="4"/>
    <s v="Y"/>
    <x v="1"/>
    <n v="12"/>
    <n v="3"/>
    <n v="3"/>
    <n v="80"/>
    <n v="0"/>
    <n v="13"/>
    <n v="3"/>
    <n v="2"/>
    <n v="8"/>
    <n v="7"/>
    <n v="7"/>
    <n v="2"/>
    <x v="1"/>
    <x v="1"/>
    <n v="0"/>
    <n v="0"/>
    <x v="0"/>
    <x v="0"/>
    <n v="52"/>
  </r>
  <r>
    <n v="30"/>
    <x v="1"/>
    <s v="Non-Travel"/>
    <n v="111"/>
    <x v="1"/>
    <n v="9"/>
    <n v="3"/>
    <s v="Medical"/>
    <n v="1"/>
    <n v="239"/>
    <n v="3"/>
    <x v="1"/>
    <n v="66"/>
    <n v="3"/>
    <n v="2"/>
    <x v="2"/>
    <n v="1"/>
    <s v="Divorced"/>
    <n v="3072"/>
    <n v="11012"/>
    <n v="1"/>
    <s v="Y"/>
    <x v="1"/>
    <n v="11"/>
    <n v="3"/>
    <n v="3"/>
    <n v="80"/>
    <n v="2"/>
    <n v="12"/>
    <n v="4"/>
    <n v="3"/>
    <n v="12"/>
    <n v="9"/>
    <n v="6"/>
    <n v="10"/>
    <x v="1"/>
    <x v="1"/>
    <n v="0"/>
    <n v="0"/>
    <x v="3"/>
    <x v="0"/>
    <n v="53"/>
  </r>
  <r>
    <n v="45"/>
    <x v="1"/>
    <s v="Travel_Rarely"/>
    <n v="1268"/>
    <x v="0"/>
    <n v="4"/>
    <n v="2"/>
    <s v="Life Sciences"/>
    <n v="1"/>
    <n v="240"/>
    <n v="3"/>
    <x v="0"/>
    <n v="30"/>
    <n v="3"/>
    <n v="2"/>
    <x v="0"/>
    <n v="1"/>
    <s v="Divorced"/>
    <n v="5006"/>
    <n v="6319"/>
    <n v="4"/>
    <s v="Y"/>
    <x v="0"/>
    <n v="11"/>
    <n v="3"/>
    <n v="1"/>
    <n v="80"/>
    <n v="1"/>
    <n v="9"/>
    <n v="3"/>
    <n v="4"/>
    <n v="5"/>
    <n v="4"/>
    <n v="0"/>
    <n v="3"/>
    <x v="0"/>
    <x v="0"/>
    <n v="0"/>
    <n v="1"/>
    <x v="0"/>
    <x v="1"/>
    <n v="80"/>
  </r>
  <r>
    <n v="56"/>
    <x v="1"/>
    <s v="Travel_Rarely"/>
    <n v="713"/>
    <x v="1"/>
    <n v="8"/>
    <n v="3"/>
    <s v="Life Sciences"/>
    <n v="1"/>
    <n v="241"/>
    <n v="3"/>
    <x v="0"/>
    <n v="67"/>
    <n v="3"/>
    <n v="1"/>
    <x v="1"/>
    <n v="1"/>
    <s v="Divorced"/>
    <n v="4257"/>
    <n v="13939"/>
    <n v="4"/>
    <s v="Y"/>
    <x v="0"/>
    <n v="18"/>
    <n v="3"/>
    <n v="3"/>
    <n v="80"/>
    <n v="1"/>
    <n v="19"/>
    <n v="3"/>
    <n v="3"/>
    <n v="2"/>
    <n v="2"/>
    <n v="2"/>
    <n v="2"/>
    <x v="3"/>
    <x v="1"/>
    <n v="0"/>
    <n v="1"/>
    <x v="3"/>
    <x v="1"/>
    <n v="95"/>
  </r>
  <r>
    <n v="33"/>
    <x v="1"/>
    <s v="Travel_Rarely"/>
    <n v="134"/>
    <x v="1"/>
    <n v="2"/>
    <n v="3"/>
    <s v="Life Sciences"/>
    <n v="1"/>
    <n v="242"/>
    <n v="3"/>
    <x v="1"/>
    <n v="90"/>
    <n v="3"/>
    <n v="1"/>
    <x v="1"/>
    <n v="4"/>
    <s v="Single"/>
    <n v="2500"/>
    <n v="10515"/>
    <n v="0"/>
    <s v="Y"/>
    <x v="1"/>
    <n v="14"/>
    <n v="3"/>
    <n v="1"/>
    <n v="80"/>
    <n v="0"/>
    <n v="4"/>
    <n v="2"/>
    <n v="4"/>
    <n v="3"/>
    <n v="1"/>
    <n v="0"/>
    <n v="2"/>
    <x v="1"/>
    <x v="1"/>
    <n v="0"/>
    <n v="0"/>
    <x v="3"/>
    <x v="0"/>
    <n v="46"/>
  </r>
  <r>
    <n v="19"/>
    <x v="0"/>
    <s v="Travel_Rarely"/>
    <n v="303"/>
    <x v="1"/>
    <n v="2"/>
    <n v="3"/>
    <s v="Life Sciences"/>
    <n v="1"/>
    <n v="243"/>
    <n v="2"/>
    <x v="1"/>
    <n v="47"/>
    <n v="2"/>
    <n v="1"/>
    <x v="2"/>
    <n v="4"/>
    <s v="Single"/>
    <n v="1102"/>
    <n v="9241"/>
    <n v="1"/>
    <s v="Y"/>
    <x v="1"/>
    <n v="22"/>
    <n v="4"/>
    <n v="3"/>
    <n v="80"/>
    <n v="0"/>
    <n v="1"/>
    <n v="3"/>
    <n v="2"/>
    <n v="1"/>
    <n v="0"/>
    <n v="1"/>
    <n v="0"/>
    <x v="2"/>
    <x v="1"/>
    <n v="1"/>
    <n v="0"/>
    <x v="3"/>
    <x v="1"/>
    <n v="66"/>
  </r>
  <r>
    <n v="46"/>
    <x v="1"/>
    <s v="Travel_Rarely"/>
    <n v="526"/>
    <x v="0"/>
    <n v="1"/>
    <n v="2"/>
    <s v="Marketing"/>
    <n v="1"/>
    <n v="244"/>
    <n v="2"/>
    <x v="0"/>
    <n v="92"/>
    <n v="3"/>
    <n v="3"/>
    <x v="0"/>
    <n v="1"/>
    <s v="Divorced"/>
    <n v="10453"/>
    <n v="2137"/>
    <n v="1"/>
    <s v="Y"/>
    <x v="1"/>
    <n v="25"/>
    <n v="4"/>
    <n v="3"/>
    <n v="80"/>
    <n v="3"/>
    <n v="24"/>
    <n v="2"/>
    <n v="3"/>
    <n v="24"/>
    <n v="13"/>
    <n v="15"/>
    <n v="7"/>
    <x v="0"/>
    <x v="0"/>
    <n v="0"/>
    <n v="0"/>
    <x v="0"/>
    <x v="0"/>
    <n v="43"/>
  </r>
  <r>
    <n v="38"/>
    <x v="1"/>
    <s v="Travel_Rarely"/>
    <n v="1380"/>
    <x v="1"/>
    <n v="9"/>
    <n v="2"/>
    <s v="Life Sciences"/>
    <n v="1"/>
    <n v="245"/>
    <n v="3"/>
    <x v="0"/>
    <n v="75"/>
    <n v="3"/>
    <n v="1"/>
    <x v="2"/>
    <n v="4"/>
    <s v="Single"/>
    <n v="2288"/>
    <n v="6319"/>
    <n v="1"/>
    <s v="Y"/>
    <x v="1"/>
    <n v="12"/>
    <n v="3"/>
    <n v="3"/>
    <n v="80"/>
    <n v="0"/>
    <n v="2"/>
    <n v="3"/>
    <n v="3"/>
    <n v="2"/>
    <n v="2"/>
    <n v="2"/>
    <n v="1"/>
    <x v="1"/>
    <x v="1"/>
    <n v="0"/>
    <n v="0"/>
    <x v="0"/>
    <x v="1"/>
    <n v="56"/>
  </r>
  <r>
    <n v="31"/>
    <x v="1"/>
    <s v="Travel_Rarely"/>
    <n v="140"/>
    <x v="1"/>
    <n v="12"/>
    <n v="1"/>
    <s v="Medical"/>
    <n v="1"/>
    <n v="246"/>
    <n v="3"/>
    <x v="0"/>
    <n v="95"/>
    <n v="3"/>
    <n v="1"/>
    <x v="1"/>
    <n v="4"/>
    <s v="Married"/>
    <n v="3929"/>
    <n v="6984"/>
    <n v="8"/>
    <s v="Y"/>
    <x v="0"/>
    <n v="23"/>
    <n v="4"/>
    <n v="3"/>
    <n v="80"/>
    <n v="1"/>
    <n v="7"/>
    <n v="0"/>
    <n v="3"/>
    <n v="4"/>
    <n v="2"/>
    <n v="0"/>
    <n v="2"/>
    <x v="1"/>
    <x v="1"/>
    <n v="0"/>
    <n v="1"/>
    <x v="1"/>
    <x v="1"/>
    <n v="71"/>
  </r>
  <r>
    <n v="34"/>
    <x v="1"/>
    <s v="Travel_Rarely"/>
    <n v="629"/>
    <x v="1"/>
    <n v="27"/>
    <n v="2"/>
    <s v="Medical"/>
    <n v="1"/>
    <n v="247"/>
    <n v="4"/>
    <x v="0"/>
    <n v="95"/>
    <n v="3"/>
    <n v="1"/>
    <x v="1"/>
    <n v="2"/>
    <s v="Single"/>
    <n v="2311"/>
    <n v="5711"/>
    <n v="2"/>
    <s v="Y"/>
    <x v="1"/>
    <n v="15"/>
    <n v="3"/>
    <n v="4"/>
    <n v="80"/>
    <n v="0"/>
    <n v="9"/>
    <n v="3"/>
    <n v="3"/>
    <n v="3"/>
    <n v="2"/>
    <n v="1"/>
    <n v="2"/>
    <x v="1"/>
    <x v="1"/>
    <n v="0"/>
    <n v="0"/>
    <x v="0"/>
    <x v="1"/>
    <n v="59"/>
  </r>
  <r>
    <n v="41"/>
    <x v="0"/>
    <s v="Travel_Rarely"/>
    <n v="1356"/>
    <x v="0"/>
    <n v="20"/>
    <n v="2"/>
    <s v="Marketing"/>
    <n v="1"/>
    <n v="248"/>
    <n v="2"/>
    <x v="0"/>
    <n v="70"/>
    <n v="3"/>
    <n v="1"/>
    <x v="6"/>
    <n v="2"/>
    <s v="Single"/>
    <n v="3140"/>
    <n v="21728"/>
    <n v="1"/>
    <s v="Y"/>
    <x v="0"/>
    <n v="22"/>
    <n v="4"/>
    <n v="4"/>
    <n v="80"/>
    <n v="0"/>
    <n v="4"/>
    <n v="5"/>
    <n v="2"/>
    <n v="4"/>
    <n v="3"/>
    <n v="0"/>
    <n v="2"/>
    <x v="0"/>
    <x v="1"/>
    <n v="1"/>
    <n v="1"/>
    <x v="0"/>
    <x v="1"/>
    <n v="74"/>
  </r>
  <r>
    <n v="50"/>
    <x v="1"/>
    <s v="Travel_Rarely"/>
    <n v="328"/>
    <x v="1"/>
    <n v="1"/>
    <n v="3"/>
    <s v="Medical"/>
    <n v="1"/>
    <n v="249"/>
    <n v="3"/>
    <x v="1"/>
    <n v="86"/>
    <n v="2"/>
    <n v="1"/>
    <x v="2"/>
    <n v="3"/>
    <s v="Married"/>
    <n v="3690"/>
    <n v="3425"/>
    <n v="2"/>
    <s v="Y"/>
    <x v="1"/>
    <n v="15"/>
    <n v="3"/>
    <n v="4"/>
    <n v="80"/>
    <n v="1"/>
    <n v="5"/>
    <n v="2"/>
    <n v="2"/>
    <n v="3"/>
    <n v="2"/>
    <n v="0"/>
    <n v="2"/>
    <x v="3"/>
    <x v="1"/>
    <n v="0"/>
    <n v="0"/>
    <x v="3"/>
    <x v="0"/>
    <n v="48"/>
  </r>
  <r>
    <n v="53"/>
    <x v="1"/>
    <s v="Travel_Rarely"/>
    <n v="1084"/>
    <x v="1"/>
    <n v="13"/>
    <n v="2"/>
    <s v="Medical"/>
    <n v="1"/>
    <n v="250"/>
    <n v="4"/>
    <x v="0"/>
    <n v="57"/>
    <n v="4"/>
    <n v="2"/>
    <x v="3"/>
    <n v="1"/>
    <s v="Divorced"/>
    <n v="4450"/>
    <n v="26250"/>
    <n v="1"/>
    <s v="Y"/>
    <x v="1"/>
    <n v="11"/>
    <n v="3"/>
    <n v="3"/>
    <n v="80"/>
    <n v="2"/>
    <n v="5"/>
    <n v="3"/>
    <n v="3"/>
    <n v="4"/>
    <n v="2"/>
    <n v="1"/>
    <n v="3"/>
    <x v="3"/>
    <x v="1"/>
    <n v="0"/>
    <n v="0"/>
    <x v="0"/>
    <x v="1"/>
    <n v="60"/>
  </r>
  <r>
    <n v="33"/>
    <x v="1"/>
    <s v="Travel_Rarely"/>
    <n v="931"/>
    <x v="1"/>
    <n v="14"/>
    <n v="3"/>
    <s v="Medical"/>
    <n v="1"/>
    <n v="252"/>
    <n v="4"/>
    <x v="0"/>
    <n v="72"/>
    <n v="3"/>
    <n v="1"/>
    <x v="1"/>
    <n v="2"/>
    <s v="Married"/>
    <n v="2756"/>
    <n v="4673"/>
    <n v="1"/>
    <s v="Y"/>
    <x v="1"/>
    <n v="13"/>
    <n v="3"/>
    <n v="4"/>
    <n v="80"/>
    <n v="1"/>
    <n v="8"/>
    <n v="5"/>
    <n v="3"/>
    <n v="8"/>
    <n v="7"/>
    <n v="1"/>
    <n v="6"/>
    <x v="1"/>
    <x v="1"/>
    <n v="0"/>
    <n v="0"/>
    <x v="3"/>
    <x v="0"/>
    <n v="52"/>
  </r>
  <r>
    <n v="40"/>
    <x v="1"/>
    <s v="Travel_Rarely"/>
    <n v="989"/>
    <x v="1"/>
    <n v="4"/>
    <n v="1"/>
    <s v="Medical"/>
    <n v="1"/>
    <n v="253"/>
    <n v="4"/>
    <x v="0"/>
    <n v="46"/>
    <n v="3"/>
    <n v="5"/>
    <x v="5"/>
    <n v="3"/>
    <s v="Married"/>
    <n v="19033"/>
    <n v="6499"/>
    <n v="1"/>
    <s v="Y"/>
    <x v="1"/>
    <n v="14"/>
    <n v="3"/>
    <n v="2"/>
    <n v="80"/>
    <n v="1"/>
    <n v="21"/>
    <n v="2"/>
    <n v="3"/>
    <n v="20"/>
    <n v="8"/>
    <n v="9"/>
    <n v="9"/>
    <x v="0"/>
    <x v="2"/>
    <n v="0"/>
    <n v="0"/>
    <x v="1"/>
    <x v="2"/>
    <n v="31"/>
  </r>
  <r>
    <n v="55"/>
    <x v="1"/>
    <s v="Travel_Rarely"/>
    <n v="692"/>
    <x v="1"/>
    <n v="14"/>
    <n v="4"/>
    <s v="Medical"/>
    <n v="1"/>
    <n v="254"/>
    <n v="3"/>
    <x v="1"/>
    <n v="61"/>
    <n v="4"/>
    <n v="5"/>
    <x v="7"/>
    <n v="2"/>
    <s v="Single"/>
    <n v="18722"/>
    <n v="13339"/>
    <n v="8"/>
    <s v="Y"/>
    <x v="1"/>
    <n v="11"/>
    <n v="3"/>
    <n v="4"/>
    <n v="80"/>
    <n v="0"/>
    <n v="36"/>
    <n v="3"/>
    <n v="3"/>
    <n v="24"/>
    <n v="15"/>
    <n v="2"/>
    <n v="15"/>
    <x v="3"/>
    <x v="2"/>
    <n v="0"/>
    <n v="0"/>
    <x v="2"/>
    <x v="0"/>
    <n v="42"/>
  </r>
  <r>
    <n v="34"/>
    <x v="1"/>
    <s v="Travel_Frequently"/>
    <n v="1069"/>
    <x v="1"/>
    <n v="2"/>
    <n v="1"/>
    <s v="Life Sciences"/>
    <n v="1"/>
    <n v="256"/>
    <n v="4"/>
    <x v="1"/>
    <n v="45"/>
    <n v="2"/>
    <n v="2"/>
    <x v="3"/>
    <n v="3"/>
    <s v="Married"/>
    <n v="9547"/>
    <n v="14074"/>
    <n v="1"/>
    <s v="Y"/>
    <x v="1"/>
    <n v="17"/>
    <n v="3"/>
    <n v="3"/>
    <n v="80"/>
    <n v="0"/>
    <n v="10"/>
    <n v="2"/>
    <n v="2"/>
    <n v="10"/>
    <n v="9"/>
    <n v="1"/>
    <n v="9"/>
    <x v="1"/>
    <x v="0"/>
    <n v="0"/>
    <n v="0"/>
    <x v="1"/>
    <x v="0"/>
    <n v="46"/>
  </r>
  <r>
    <n v="51"/>
    <x v="1"/>
    <s v="Travel_Rarely"/>
    <n v="313"/>
    <x v="1"/>
    <n v="3"/>
    <n v="3"/>
    <s v="Medical"/>
    <n v="1"/>
    <n v="258"/>
    <n v="4"/>
    <x v="0"/>
    <n v="98"/>
    <n v="3"/>
    <n v="4"/>
    <x v="4"/>
    <n v="2"/>
    <s v="Single"/>
    <n v="13734"/>
    <n v="7192"/>
    <n v="3"/>
    <s v="Y"/>
    <x v="1"/>
    <n v="18"/>
    <n v="3"/>
    <n v="3"/>
    <n v="80"/>
    <n v="0"/>
    <n v="21"/>
    <n v="6"/>
    <n v="3"/>
    <n v="7"/>
    <n v="7"/>
    <n v="1"/>
    <n v="0"/>
    <x v="3"/>
    <x v="0"/>
    <n v="0"/>
    <n v="0"/>
    <x v="3"/>
    <x v="0"/>
    <n v="47"/>
  </r>
  <r>
    <n v="52"/>
    <x v="1"/>
    <s v="Travel_Rarely"/>
    <n v="699"/>
    <x v="1"/>
    <n v="1"/>
    <n v="4"/>
    <s v="Life Sciences"/>
    <n v="1"/>
    <n v="259"/>
    <n v="3"/>
    <x v="1"/>
    <n v="65"/>
    <n v="2"/>
    <n v="5"/>
    <x v="5"/>
    <n v="3"/>
    <s v="Married"/>
    <n v="19999"/>
    <n v="5678"/>
    <n v="0"/>
    <s v="Y"/>
    <x v="1"/>
    <n v="14"/>
    <n v="3"/>
    <n v="1"/>
    <n v="80"/>
    <n v="1"/>
    <n v="34"/>
    <n v="5"/>
    <n v="3"/>
    <n v="33"/>
    <n v="18"/>
    <n v="11"/>
    <n v="9"/>
    <x v="3"/>
    <x v="2"/>
    <n v="0"/>
    <n v="0"/>
    <x v="2"/>
    <x v="0"/>
    <n v="36"/>
  </r>
  <r>
    <n v="27"/>
    <x v="1"/>
    <s v="Travel_Rarely"/>
    <n v="894"/>
    <x v="1"/>
    <n v="9"/>
    <n v="3"/>
    <s v="Medical"/>
    <n v="1"/>
    <n v="260"/>
    <n v="4"/>
    <x v="0"/>
    <n v="99"/>
    <n v="3"/>
    <n v="1"/>
    <x v="1"/>
    <n v="2"/>
    <s v="Single"/>
    <n v="2279"/>
    <n v="11781"/>
    <n v="1"/>
    <s v="Y"/>
    <x v="1"/>
    <n v="16"/>
    <n v="3"/>
    <n v="4"/>
    <n v="80"/>
    <n v="0"/>
    <n v="7"/>
    <n v="2"/>
    <n v="2"/>
    <n v="7"/>
    <n v="7"/>
    <n v="0"/>
    <n v="3"/>
    <x v="2"/>
    <x v="1"/>
    <n v="0"/>
    <n v="0"/>
    <x v="3"/>
    <x v="1"/>
    <n v="62"/>
  </r>
  <r>
    <n v="35"/>
    <x v="0"/>
    <s v="Travel_Rarely"/>
    <n v="556"/>
    <x v="1"/>
    <n v="23"/>
    <n v="2"/>
    <s v="Life Sciences"/>
    <n v="1"/>
    <n v="261"/>
    <n v="2"/>
    <x v="1"/>
    <n v="50"/>
    <n v="2"/>
    <n v="2"/>
    <x v="3"/>
    <n v="3"/>
    <s v="Married"/>
    <n v="5916"/>
    <n v="15497"/>
    <n v="3"/>
    <s v="Y"/>
    <x v="0"/>
    <n v="13"/>
    <n v="3"/>
    <n v="1"/>
    <n v="80"/>
    <n v="0"/>
    <n v="8"/>
    <n v="1"/>
    <n v="3"/>
    <n v="1"/>
    <n v="0"/>
    <n v="0"/>
    <n v="1"/>
    <x v="1"/>
    <x v="0"/>
    <n v="1"/>
    <n v="1"/>
    <x v="0"/>
    <x v="1"/>
    <n v="88"/>
  </r>
  <r>
    <n v="43"/>
    <x v="1"/>
    <s v="Non-Travel"/>
    <n v="1344"/>
    <x v="1"/>
    <n v="7"/>
    <n v="3"/>
    <s v="Medical"/>
    <n v="1"/>
    <n v="262"/>
    <n v="4"/>
    <x v="1"/>
    <n v="37"/>
    <n v="4"/>
    <n v="1"/>
    <x v="1"/>
    <n v="4"/>
    <s v="Divorced"/>
    <n v="2089"/>
    <n v="5228"/>
    <n v="4"/>
    <s v="Y"/>
    <x v="1"/>
    <n v="14"/>
    <n v="3"/>
    <n v="4"/>
    <n v="80"/>
    <n v="3"/>
    <n v="7"/>
    <n v="3"/>
    <n v="4"/>
    <n v="5"/>
    <n v="4"/>
    <n v="2"/>
    <n v="2"/>
    <x v="0"/>
    <x v="1"/>
    <n v="0"/>
    <n v="0"/>
    <x v="3"/>
    <x v="0"/>
    <n v="36"/>
  </r>
  <r>
    <n v="45"/>
    <x v="1"/>
    <s v="Non-Travel"/>
    <n v="1195"/>
    <x v="1"/>
    <n v="2"/>
    <n v="2"/>
    <s v="Medical"/>
    <n v="1"/>
    <n v="264"/>
    <n v="1"/>
    <x v="1"/>
    <n v="65"/>
    <n v="2"/>
    <n v="4"/>
    <x v="5"/>
    <n v="4"/>
    <s v="Married"/>
    <n v="16792"/>
    <n v="20462"/>
    <n v="9"/>
    <s v="Y"/>
    <x v="1"/>
    <n v="23"/>
    <n v="4"/>
    <n v="4"/>
    <n v="80"/>
    <n v="1"/>
    <n v="22"/>
    <n v="1"/>
    <n v="3"/>
    <n v="20"/>
    <n v="8"/>
    <n v="11"/>
    <n v="8"/>
    <x v="0"/>
    <x v="2"/>
    <n v="0"/>
    <n v="0"/>
    <x v="0"/>
    <x v="2"/>
    <n v="24"/>
  </r>
  <r>
    <n v="37"/>
    <x v="1"/>
    <s v="Travel_Rarely"/>
    <n v="290"/>
    <x v="1"/>
    <n v="21"/>
    <n v="3"/>
    <s v="Life Sciences"/>
    <n v="1"/>
    <n v="267"/>
    <n v="2"/>
    <x v="1"/>
    <n v="65"/>
    <n v="4"/>
    <n v="1"/>
    <x v="1"/>
    <n v="1"/>
    <s v="Married"/>
    <n v="3564"/>
    <n v="22977"/>
    <n v="1"/>
    <s v="Y"/>
    <x v="0"/>
    <n v="12"/>
    <n v="3"/>
    <n v="1"/>
    <n v="80"/>
    <n v="1"/>
    <n v="8"/>
    <n v="3"/>
    <n v="2"/>
    <n v="8"/>
    <n v="7"/>
    <n v="1"/>
    <n v="7"/>
    <x v="1"/>
    <x v="1"/>
    <n v="0"/>
    <n v="1"/>
    <x v="3"/>
    <x v="1"/>
    <n v="83"/>
  </r>
  <r>
    <n v="35"/>
    <x v="1"/>
    <s v="Travel_Frequently"/>
    <n v="138"/>
    <x v="1"/>
    <n v="2"/>
    <n v="3"/>
    <s v="Medical"/>
    <n v="1"/>
    <n v="269"/>
    <n v="2"/>
    <x v="0"/>
    <n v="37"/>
    <n v="3"/>
    <n v="2"/>
    <x v="2"/>
    <n v="2"/>
    <s v="Single"/>
    <n v="4425"/>
    <n v="15986"/>
    <n v="5"/>
    <s v="Y"/>
    <x v="1"/>
    <n v="11"/>
    <n v="3"/>
    <n v="4"/>
    <n v="80"/>
    <n v="0"/>
    <n v="10"/>
    <n v="5"/>
    <n v="3"/>
    <n v="6"/>
    <n v="2"/>
    <n v="1"/>
    <n v="2"/>
    <x v="1"/>
    <x v="1"/>
    <n v="0"/>
    <n v="0"/>
    <x v="3"/>
    <x v="0"/>
    <n v="52"/>
  </r>
  <r>
    <n v="42"/>
    <x v="1"/>
    <s v="Non-Travel"/>
    <n v="926"/>
    <x v="1"/>
    <n v="21"/>
    <n v="2"/>
    <s v="Medical"/>
    <n v="1"/>
    <n v="270"/>
    <n v="3"/>
    <x v="0"/>
    <n v="36"/>
    <n v="3"/>
    <n v="2"/>
    <x v="3"/>
    <n v="3"/>
    <s v="Divorced"/>
    <n v="5265"/>
    <n v="16439"/>
    <n v="2"/>
    <s v="Y"/>
    <x v="1"/>
    <n v="16"/>
    <n v="3"/>
    <n v="2"/>
    <n v="80"/>
    <n v="1"/>
    <n v="11"/>
    <n v="5"/>
    <n v="3"/>
    <n v="5"/>
    <n v="3"/>
    <n v="0"/>
    <n v="2"/>
    <x v="0"/>
    <x v="0"/>
    <n v="0"/>
    <n v="0"/>
    <x v="0"/>
    <x v="0"/>
    <n v="43"/>
  </r>
  <r>
    <n v="38"/>
    <x v="1"/>
    <s v="Travel_Rarely"/>
    <n v="1261"/>
    <x v="1"/>
    <n v="2"/>
    <n v="4"/>
    <s v="Life Sciences"/>
    <n v="1"/>
    <n v="271"/>
    <n v="4"/>
    <x v="1"/>
    <n v="88"/>
    <n v="3"/>
    <n v="2"/>
    <x v="3"/>
    <n v="3"/>
    <s v="Married"/>
    <n v="6553"/>
    <n v="7259"/>
    <n v="9"/>
    <s v="Y"/>
    <x v="1"/>
    <n v="14"/>
    <n v="3"/>
    <n v="2"/>
    <n v="80"/>
    <n v="0"/>
    <n v="14"/>
    <n v="3"/>
    <n v="3"/>
    <n v="1"/>
    <n v="0"/>
    <n v="0"/>
    <n v="0"/>
    <x v="1"/>
    <x v="0"/>
    <n v="0"/>
    <n v="0"/>
    <x v="2"/>
    <x v="1"/>
    <n v="63"/>
  </r>
  <r>
    <n v="38"/>
    <x v="1"/>
    <s v="Travel_Rarely"/>
    <n v="1084"/>
    <x v="1"/>
    <n v="29"/>
    <n v="3"/>
    <s v="Technical Degree"/>
    <n v="1"/>
    <n v="273"/>
    <n v="4"/>
    <x v="1"/>
    <n v="54"/>
    <n v="3"/>
    <n v="2"/>
    <x v="3"/>
    <n v="4"/>
    <s v="Married"/>
    <n v="6261"/>
    <n v="4185"/>
    <n v="3"/>
    <s v="Y"/>
    <x v="1"/>
    <n v="18"/>
    <n v="3"/>
    <n v="1"/>
    <n v="80"/>
    <n v="1"/>
    <n v="9"/>
    <n v="3"/>
    <n v="1"/>
    <n v="7"/>
    <n v="7"/>
    <n v="1"/>
    <n v="7"/>
    <x v="1"/>
    <x v="0"/>
    <n v="0"/>
    <n v="0"/>
    <x v="3"/>
    <x v="0"/>
    <n v="39"/>
  </r>
  <r>
    <n v="27"/>
    <x v="1"/>
    <s v="Travel_Frequently"/>
    <n v="472"/>
    <x v="1"/>
    <n v="1"/>
    <n v="1"/>
    <s v="Technical Degree"/>
    <n v="1"/>
    <n v="274"/>
    <n v="3"/>
    <x v="1"/>
    <n v="60"/>
    <n v="2"/>
    <n v="2"/>
    <x v="3"/>
    <n v="1"/>
    <s v="Married"/>
    <n v="4298"/>
    <n v="9679"/>
    <n v="5"/>
    <s v="Y"/>
    <x v="1"/>
    <n v="19"/>
    <n v="3"/>
    <n v="3"/>
    <n v="80"/>
    <n v="1"/>
    <n v="6"/>
    <n v="1"/>
    <n v="3"/>
    <n v="2"/>
    <n v="2"/>
    <n v="2"/>
    <n v="0"/>
    <x v="2"/>
    <x v="1"/>
    <n v="0"/>
    <n v="0"/>
    <x v="1"/>
    <x v="1"/>
    <n v="85"/>
  </r>
  <r>
    <n v="49"/>
    <x v="1"/>
    <s v="Non-Travel"/>
    <n v="1002"/>
    <x v="1"/>
    <n v="18"/>
    <n v="4"/>
    <s v="Life Sciences"/>
    <n v="1"/>
    <n v="275"/>
    <n v="4"/>
    <x v="1"/>
    <n v="92"/>
    <n v="3"/>
    <n v="2"/>
    <x v="3"/>
    <n v="4"/>
    <s v="Divorced"/>
    <n v="6804"/>
    <n v="23793"/>
    <n v="1"/>
    <s v="Y"/>
    <x v="0"/>
    <n v="15"/>
    <n v="3"/>
    <n v="1"/>
    <n v="80"/>
    <n v="2"/>
    <n v="7"/>
    <n v="0"/>
    <n v="3"/>
    <n v="7"/>
    <n v="7"/>
    <n v="1"/>
    <n v="7"/>
    <x v="0"/>
    <x v="0"/>
    <n v="0"/>
    <n v="1"/>
    <x v="2"/>
    <x v="0"/>
    <n v="54"/>
  </r>
  <r>
    <n v="34"/>
    <x v="1"/>
    <s v="Travel_Frequently"/>
    <n v="878"/>
    <x v="1"/>
    <n v="10"/>
    <n v="4"/>
    <s v="Medical"/>
    <n v="1"/>
    <n v="277"/>
    <n v="4"/>
    <x v="1"/>
    <n v="43"/>
    <n v="3"/>
    <n v="1"/>
    <x v="1"/>
    <n v="3"/>
    <s v="Divorced"/>
    <n v="3815"/>
    <n v="5972"/>
    <n v="1"/>
    <s v="Y"/>
    <x v="0"/>
    <n v="17"/>
    <n v="3"/>
    <n v="4"/>
    <n v="80"/>
    <n v="1"/>
    <n v="5"/>
    <n v="4"/>
    <n v="4"/>
    <n v="5"/>
    <n v="3"/>
    <n v="2"/>
    <n v="0"/>
    <x v="1"/>
    <x v="1"/>
    <n v="0"/>
    <n v="1"/>
    <x v="2"/>
    <x v="1"/>
    <n v="78"/>
  </r>
  <r>
    <n v="40"/>
    <x v="1"/>
    <s v="Travel_Rarely"/>
    <n v="905"/>
    <x v="1"/>
    <n v="19"/>
    <n v="2"/>
    <s v="Medical"/>
    <n v="1"/>
    <n v="281"/>
    <n v="3"/>
    <x v="1"/>
    <n v="99"/>
    <n v="3"/>
    <n v="2"/>
    <x v="2"/>
    <n v="4"/>
    <s v="Married"/>
    <n v="2741"/>
    <n v="16523"/>
    <n v="8"/>
    <s v="Y"/>
    <x v="0"/>
    <n v="15"/>
    <n v="3"/>
    <n v="3"/>
    <n v="80"/>
    <n v="1"/>
    <n v="15"/>
    <n v="2"/>
    <n v="4"/>
    <n v="7"/>
    <n v="2"/>
    <n v="3"/>
    <n v="7"/>
    <x v="0"/>
    <x v="1"/>
    <n v="0"/>
    <n v="1"/>
    <x v="0"/>
    <x v="0"/>
    <n v="54"/>
  </r>
  <r>
    <n v="38"/>
    <x v="0"/>
    <s v="Travel_Rarely"/>
    <n v="1180"/>
    <x v="1"/>
    <n v="29"/>
    <n v="1"/>
    <s v="Medical"/>
    <n v="1"/>
    <n v="282"/>
    <n v="2"/>
    <x v="1"/>
    <n v="70"/>
    <n v="3"/>
    <n v="2"/>
    <x v="4"/>
    <n v="1"/>
    <s v="Married"/>
    <n v="6673"/>
    <n v="11354"/>
    <n v="7"/>
    <s v="Y"/>
    <x v="0"/>
    <n v="19"/>
    <n v="3"/>
    <n v="2"/>
    <n v="80"/>
    <n v="0"/>
    <n v="17"/>
    <n v="2"/>
    <n v="3"/>
    <n v="1"/>
    <n v="0"/>
    <n v="0"/>
    <n v="0"/>
    <x v="1"/>
    <x v="0"/>
    <n v="1"/>
    <n v="1"/>
    <x v="1"/>
    <x v="1"/>
    <n v="100"/>
  </r>
  <r>
    <n v="29"/>
    <x v="0"/>
    <s v="Travel_Rarely"/>
    <n v="121"/>
    <x v="0"/>
    <n v="27"/>
    <n v="3"/>
    <s v="Marketing"/>
    <n v="1"/>
    <n v="283"/>
    <n v="2"/>
    <x v="0"/>
    <n v="35"/>
    <n v="3"/>
    <n v="3"/>
    <x v="0"/>
    <n v="4"/>
    <s v="Married"/>
    <n v="7639"/>
    <n v="24525"/>
    <n v="1"/>
    <s v="Y"/>
    <x v="1"/>
    <n v="22"/>
    <n v="4"/>
    <n v="4"/>
    <n v="80"/>
    <n v="3"/>
    <n v="10"/>
    <n v="3"/>
    <n v="2"/>
    <n v="10"/>
    <n v="4"/>
    <n v="1"/>
    <n v="9"/>
    <x v="2"/>
    <x v="0"/>
    <n v="1"/>
    <n v="0"/>
    <x v="3"/>
    <x v="0"/>
    <n v="49"/>
  </r>
  <r>
    <n v="22"/>
    <x v="1"/>
    <s v="Travel_Rarely"/>
    <n v="1136"/>
    <x v="1"/>
    <n v="5"/>
    <n v="3"/>
    <s v="Life Sciences"/>
    <n v="1"/>
    <n v="284"/>
    <n v="4"/>
    <x v="1"/>
    <n v="60"/>
    <n v="4"/>
    <n v="1"/>
    <x v="1"/>
    <n v="2"/>
    <s v="Divorced"/>
    <n v="2328"/>
    <n v="12392"/>
    <n v="1"/>
    <s v="Y"/>
    <x v="0"/>
    <n v="16"/>
    <n v="3"/>
    <n v="1"/>
    <n v="80"/>
    <n v="1"/>
    <n v="4"/>
    <n v="2"/>
    <n v="2"/>
    <n v="4"/>
    <n v="2"/>
    <n v="2"/>
    <n v="2"/>
    <x v="2"/>
    <x v="1"/>
    <n v="0"/>
    <n v="1"/>
    <x v="3"/>
    <x v="1"/>
    <n v="94"/>
  </r>
  <r>
    <n v="36"/>
    <x v="1"/>
    <s v="Travel_Frequently"/>
    <n v="635"/>
    <x v="1"/>
    <n v="18"/>
    <n v="1"/>
    <s v="Medical"/>
    <n v="1"/>
    <n v="286"/>
    <n v="2"/>
    <x v="0"/>
    <n v="73"/>
    <n v="3"/>
    <n v="1"/>
    <x v="2"/>
    <n v="4"/>
    <s v="Single"/>
    <n v="2153"/>
    <n v="7703"/>
    <n v="1"/>
    <s v="Y"/>
    <x v="1"/>
    <n v="13"/>
    <n v="3"/>
    <n v="1"/>
    <n v="80"/>
    <n v="0"/>
    <n v="8"/>
    <n v="2"/>
    <n v="3"/>
    <n v="8"/>
    <n v="1"/>
    <n v="1"/>
    <n v="7"/>
    <x v="1"/>
    <x v="1"/>
    <n v="0"/>
    <n v="0"/>
    <x v="1"/>
    <x v="0"/>
    <n v="39"/>
  </r>
  <r>
    <n v="40"/>
    <x v="1"/>
    <s v="Non-Travel"/>
    <n v="1151"/>
    <x v="1"/>
    <n v="9"/>
    <n v="5"/>
    <s v="Life Sciences"/>
    <n v="1"/>
    <n v="287"/>
    <n v="4"/>
    <x v="1"/>
    <n v="63"/>
    <n v="2"/>
    <n v="2"/>
    <x v="4"/>
    <n v="4"/>
    <s v="Married"/>
    <n v="4876"/>
    <n v="14242"/>
    <n v="9"/>
    <s v="Y"/>
    <x v="1"/>
    <n v="14"/>
    <n v="3"/>
    <n v="4"/>
    <n v="80"/>
    <n v="1"/>
    <n v="5"/>
    <n v="5"/>
    <n v="1"/>
    <n v="3"/>
    <n v="2"/>
    <n v="0"/>
    <n v="2"/>
    <x v="0"/>
    <x v="1"/>
    <n v="0"/>
    <n v="0"/>
    <x v="4"/>
    <x v="0"/>
    <n v="36"/>
  </r>
  <r>
    <n v="46"/>
    <x v="1"/>
    <s v="Travel_Rarely"/>
    <n v="644"/>
    <x v="1"/>
    <n v="1"/>
    <n v="4"/>
    <s v="Medical"/>
    <n v="1"/>
    <n v="288"/>
    <n v="4"/>
    <x v="1"/>
    <n v="97"/>
    <n v="3"/>
    <n v="3"/>
    <x v="4"/>
    <n v="1"/>
    <s v="Divorced"/>
    <n v="9396"/>
    <n v="12368"/>
    <n v="7"/>
    <s v="Y"/>
    <x v="1"/>
    <n v="16"/>
    <n v="3"/>
    <n v="3"/>
    <n v="80"/>
    <n v="1"/>
    <n v="17"/>
    <n v="3"/>
    <n v="3"/>
    <n v="4"/>
    <n v="2"/>
    <n v="0"/>
    <n v="3"/>
    <x v="0"/>
    <x v="0"/>
    <n v="0"/>
    <n v="0"/>
    <x v="2"/>
    <x v="1"/>
    <n v="55"/>
  </r>
  <r>
    <n v="32"/>
    <x v="0"/>
    <s v="Travel_Rarely"/>
    <n v="1045"/>
    <x v="0"/>
    <n v="4"/>
    <n v="4"/>
    <s v="Medical"/>
    <n v="1"/>
    <n v="291"/>
    <n v="4"/>
    <x v="1"/>
    <n v="32"/>
    <n v="1"/>
    <n v="3"/>
    <x v="0"/>
    <n v="4"/>
    <s v="Married"/>
    <n v="10400"/>
    <n v="25812"/>
    <n v="1"/>
    <s v="Y"/>
    <x v="1"/>
    <n v="11"/>
    <n v="3"/>
    <n v="3"/>
    <n v="80"/>
    <n v="0"/>
    <n v="14"/>
    <n v="2"/>
    <n v="2"/>
    <n v="14"/>
    <n v="8"/>
    <n v="9"/>
    <n v="8"/>
    <x v="1"/>
    <x v="0"/>
    <n v="1"/>
    <n v="0"/>
    <x v="2"/>
    <x v="2"/>
    <n v="34"/>
  </r>
  <r>
    <n v="30"/>
    <x v="1"/>
    <s v="Non-Travel"/>
    <n v="829"/>
    <x v="1"/>
    <n v="1"/>
    <n v="1"/>
    <s v="Life Sciences"/>
    <n v="1"/>
    <n v="292"/>
    <n v="3"/>
    <x v="1"/>
    <n v="88"/>
    <n v="2"/>
    <n v="3"/>
    <x v="3"/>
    <n v="3"/>
    <s v="Single"/>
    <n v="8474"/>
    <n v="20925"/>
    <n v="1"/>
    <s v="Y"/>
    <x v="1"/>
    <n v="22"/>
    <n v="4"/>
    <n v="3"/>
    <n v="80"/>
    <n v="0"/>
    <n v="12"/>
    <n v="2"/>
    <n v="3"/>
    <n v="11"/>
    <n v="8"/>
    <n v="5"/>
    <n v="8"/>
    <x v="1"/>
    <x v="0"/>
    <n v="0"/>
    <n v="0"/>
    <x v="1"/>
    <x v="0"/>
    <n v="41"/>
  </r>
  <r>
    <n v="27"/>
    <x v="1"/>
    <s v="Travel_Frequently"/>
    <n v="1242"/>
    <x v="0"/>
    <n v="20"/>
    <n v="3"/>
    <s v="Life Sciences"/>
    <n v="1"/>
    <n v="293"/>
    <n v="4"/>
    <x v="0"/>
    <n v="90"/>
    <n v="3"/>
    <n v="2"/>
    <x v="0"/>
    <n v="3"/>
    <s v="Single"/>
    <n v="9981"/>
    <n v="12916"/>
    <n v="1"/>
    <s v="Y"/>
    <x v="1"/>
    <n v="14"/>
    <n v="3"/>
    <n v="4"/>
    <n v="80"/>
    <n v="0"/>
    <n v="7"/>
    <n v="2"/>
    <n v="3"/>
    <n v="7"/>
    <n v="7"/>
    <n v="0"/>
    <n v="7"/>
    <x v="2"/>
    <x v="0"/>
    <n v="0"/>
    <n v="0"/>
    <x v="3"/>
    <x v="1"/>
    <n v="56"/>
  </r>
  <r>
    <n v="51"/>
    <x v="1"/>
    <s v="Travel_Rarely"/>
    <n v="1469"/>
    <x v="1"/>
    <n v="8"/>
    <n v="4"/>
    <s v="Life Sciences"/>
    <n v="1"/>
    <n v="296"/>
    <n v="2"/>
    <x v="1"/>
    <n v="81"/>
    <n v="2"/>
    <n v="3"/>
    <x v="7"/>
    <n v="2"/>
    <s v="Married"/>
    <n v="12490"/>
    <n v="15736"/>
    <n v="5"/>
    <s v="Y"/>
    <x v="1"/>
    <n v="16"/>
    <n v="3"/>
    <n v="4"/>
    <n v="80"/>
    <n v="2"/>
    <n v="16"/>
    <n v="5"/>
    <n v="1"/>
    <n v="10"/>
    <n v="9"/>
    <n v="4"/>
    <n v="7"/>
    <x v="3"/>
    <x v="0"/>
    <n v="0"/>
    <n v="0"/>
    <x v="2"/>
    <x v="0"/>
    <n v="47"/>
  </r>
  <r>
    <n v="30"/>
    <x v="0"/>
    <s v="Travel_Rarely"/>
    <n v="1005"/>
    <x v="1"/>
    <n v="3"/>
    <n v="3"/>
    <s v="Technical Degree"/>
    <n v="1"/>
    <n v="297"/>
    <n v="4"/>
    <x v="0"/>
    <n v="88"/>
    <n v="3"/>
    <n v="1"/>
    <x v="1"/>
    <n v="1"/>
    <s v="Single"/>
    <n v="2657"/>
    <n v="8556"/>
    <n v="5"/>
    <s v="Y"/>
    <x v="0"/>
    <n v="11"/>
    <n v="3"/>
    <n v="3"/>
    <n v="80"/>
    <n v="0"/>
    <n v="8"/>
    <n v="5"/>
    <n v="3"/>
    <n v="5"/>
    <n v="2"/>
    <n v="0"/>
    <n v="4"/>
    <x v="1"/>
    <x v="1"/>
    <n v="1"/>
    <n v="1"/>
    <x v="3"/>
    <x v="1"/>
    <n v="90"/>
  </r>
  <r>
    <n v="41"/>
    <x v="1"/>
    <s v="Travel_Rarely"/>
    <n v="896"/>
    <x v="0"/>
    <n v="6"/>
    <n v="3"/>
    <s v="Life Sciences"/>
    <n v="1"/>
    <n v="298"/>
    <n v="4"/>
    <x v="0"/>
    <n v="75"/>
    <n v="3"/>
    <n v="3"/>
    <x v="5"/>
    <n v="4"/>
    <s v="Single"/>
    <n v="13591"/>
    <n v="14674"/>
    <n v="3"/>
    <s v="Y"/>
    <x v="0"/>
    <n v="18"/>
    <n v="3"/>
    <n v="3"/>
    <n v="80"/>
    <n v="0"/>
    <n v="16"/>
    <n v="3"/>
    <n v="3"/>
    <n v="1"/>
    <n v="0"/>
    <n v="0"/>
    <n v="0"/>
    <x v="0"/>
    <x v="0"/>
    <n v="0"/>
    <n v="1"/>
    <x v="3"/>
    <x v="1"/>
    <n v="71"/>
  </r>
  <r>
    <n v="30"/>
    <x v="0"/>
    <s v="Travel_Frequently"/>
    <n v="334"/>
    <x v="0"/>
    <n v="26"/>
    <n v="4"/>
    <s v="Marketing"/>
    <n v="1"/>
    <n v="299"/>
    <n v="3"/>
    <x v="0"/>
    <n v="52"/>
    <n v="2"/>
    <n v="2"/>
    <x v="0"/>
    <n v="1"/>
    <s v="Single"/>
    <n v="6696"/>
    <n v="22967"/>
    <n v="5"/>
    <s v="Y"/>
    <x v="1"/>
    <n v="15"/>
    <n v="3"/>
    <n v="3"/>
    <n v="80"/>
    <n v="0"/>
    <n v="9"/>
    <n v="5"/>
    <n v="2"/>
    <n v="6"/>
    <n v="3"/>
    <n v="0"/>
    <n v="1"/>
    <x v="1"/>
    <x v="0"/>
    <n v="1"/>
    <n v="0"/>
    <x v="2"/>
    <x v="1"/>
    <n v="58"/>
  </r>
  <r>
    <n v="29"/>
    <x v="0"/>
    <s v="Travel_Rarely"/>
    <n v="992"/>
    <x v="1"/>
    <n v="1"/>
    <n v="3"/>
    <s v="Technical Degree"/>
    <n v="1"/>
    <n v="300"/>
    <n v="3"/>
    <x v="1"/>
    <n v="85"/>
    <n v="3"/>
    <n v="1"/>
    <x v="1"/>
    <n v="3"/>
    <s v="Single"/>
    <n v="2058"/>
    <n v="19757"/>
    <n v="0"/>
    <s v="Y"/>
    <x v="1"/>
    <n v="14"/>
    <n v="3"/>
    <n v="4"/>
    <n v="80"/>
    <n v="0"/>
    <n v="7"/>
    <n v="1"/>
    <n v="2"/>
    <n v="6"/>
    <n v="2"/>
    <n v="1"/>
    <n v="5"/>
    <x v="2"/>
    <x v="1"/>
    <n v="1"/>
    <n v="0"/>
    <x v="3"/>
    <x v="1"/>
    <n v="56"/>
  </r>
  <r>
    <n v="45"/>
    <x v="1"/>
    <s v="Non-Travel"/>
    <n v="1052"/>
    <x v="0"/>
    <n v="6"/>
    <n v="3"/>
    <s v="Medical"/>
    <n v="1"/>
    <n v="302"/>
    <n v="4"/>
    <x v="0"/>
    <n v="57"/>
    <n v="2"/>
    <n v="3"/>
    <x v="0"/>
    <n v="4"/>
    <s v="Single"/>
    <n v="8865"/>
    <n v="16840"/>
    <n v="6"/>
    <s v="Y"/>
    <x v="1"/>
    <n v="12"/>
    <n v="3"/>
    <n v="4"/>
    <n v="80"/>
    <n v="0"/>
    <n v="23"/>
    <n v="2"/>
    <n v="3"/>
    <n v="19"/>
    <n v="7"/>
    <n v="12"/>
    <n v="8"/>
    <x v="0"/>
    <x v="0"/>
    <n v="0"/>
    <n v="0"/>
    <x v="3"/>
    <x v="2"/>
    <n v="24"/>
  </r>
  <r>
    <n v="54"/>
    <x v="1"/>
    <s v="Travel_Rarely"/>
    <n v="1147"/>
    <x v="0"/>
    <n v="3"/>
    <n v="3"/>
    <s v="Marketing"/>
    <n v="1"/>
    <n v="303"/>
    <n v="4"/>
    <x v="0"/>
    <n v="52"/>
    <n v="3"/>
    <n v="2"/>
    <x v="0"/>
    <n v="1"/>
    <s v="Married"/>
    <n v="5940"/>
    <n v="17011"/>
    <n v="2"/>
    <s v="Y"/>
    <x v="1"/>
    <n v="14"/>
    <n v="3"/>
    <n v="4"/>
    <n v="80"/>
    <n v="1"/>
    <n v="16"/>
    <n v="4"/>
    <n v="3"/>
    <n v="6"/>
    <n v="2"/>
    <n v="0"/>
    <n v="5"/>
    <x v="3"/>
    <x v="0"/>
    <n v="0"/>
    <n v="0"/>
    <x v="3"/>
    <x v="0"/>
    <n v="53"/>
  </r>
  <r>
    <n v="36"/>
    <x v="1"/>
    <s v="Travel_Rarely"/>
    <n v="1396"/>
    <x v="1"/>
    <n v="5"/>
    <n v="2"/>
    <s v="Life Sciences"/>
    <n v="1"/>
    <n v="304"/>
    <n v="4"/>
    <x v="1"/>
    <n v="62"/>
    <n v="3"/>
    <n v="2"/>
    <x v="2"/>
    <n v="2"/>
    <s v="Single"/>
    <n v="5914"/>
    <n v="9945"/>
    <n v="8"/>
    <s v="Y"/>
    <x v="1"/>
    <n v="16"/>
    <n v="3"/>
    <n v="4"/>
    <n v="80"/>
    <n v="0"/>
    <n v="16"/>
    <n v="3"/>
    <n v="4"/>
    <n v="13"/>
    <n v="11"/>
    <n v="3"/>
    <n v="7"/>
    <x v="1"/>
    <x v="0"/>
    <n v="0"/>
    <n v="0"/>
    <x v="0"/>
    <x v="0"/>
    <n v="47"/>
  </r>
  <r>
    <n v="33"/>
    <x v="1"/>
    <s v="Travel_Rarely"/>
    <n v="147"/>
    <x v="1"/>
    <n v="4"/>
    <n v="4"/>
    <s v="Medical"/>
    <n v="1"/>
    <n v="305"/>
    <n v="3"/>
    <x v="0"/>
    <n v="47"/>
    <n v="2"/>
    <n v="1"/>
    <x v="1"/>
    <n v="2"/>
    <s v="Married"/>
    <n v="2622"/>
    <n v="13248"/>
    <n v="6"/>
    <s v="Y"/>
    <x v="1"/>
    <n v="21"/>
    <n v="4"/>
    <n v="4"/>
    <n v="80"/>
    <n v="0"/>
    <n v="7"/>
    <n v="3"/>
    <n v="3"/>
    <n v="3"/>
    <n v="2"/>
    <n v="1"/>
    <n v="1"/>
    <x v="1"/>
    <x v="1"/>
    <n v="0"/>
    <n v="0"/>
    <x v="2"/>
    <x v="1"/>
    <n v="59"/>
  </r>
  <r>
    <n v="37"/>
    <x v="1"/>
    <s v="Travel_Frequently"/>
    <n v="663"/>
    <x v="1"/>
    <n v="11"/>
    <n v="3"/>
    <s v="Other"/>
    <n v="1"/>
    <n v="306"/>
    <n v="2"/>
    <x v="1"/>
    <n v="47"/>
    <n v="3"/>
    <n v="3"/>
    <x v="7"/>
    <n v="4"/>
    <s v="Divorced"/>
    <n v="12185"/>
    <n v="10056"/>
    <n v="1"/>
    <s v="Y"/>
    <x v="0"/>
    <n v="14"/>
    <n v="3"/>
    <n v="3"/>
    <n v="80"/>
    <n v="3"/>
    <n v="10"/>
    <n v="1"/>
    <n v="3"/>
    <n v="10"/>
    <n v="8"/>
    <n v="0"/>
    <n v="7"/>
    <x v="1"/>
    <x v="0"/>
    <n v="0"/>
    <n v="1"/>
    <x v="3"/>
    <x v="1"/>
    <n v="64"/>
  </r>
  <r>
    <n v="38"/>
    <x v="1"/>
    <s v="Travel_Rarely"/>
    <n v="119"/>
    <x v="0"/>
    <n v="3"/>
    <n v="3"/>
    <s v="Life Sciences"/>
    <n v="1"/>
    <n v="307"/>
    <n v="1"/>
    <x v="1"/>
    <n v="76"/>
    <n v="3"/>
    <n v="3"/>
    <x v="0"/>
    <n v="3"/>
    <s v="Divorced"/>
    <n v="10609"/>
    <n v="9647"/>
    <n v="0"/>
    <s v="Y"/>
    <x v="1"/>
    <n v="12"/>
    <n v="3"/>
    <n v="3"/>
    <n v="80"/>
    <n v="2"/>
    <n v="17"/>
    <n v="6"/>
    <n v="2"/>
    <n v="16"/>
    <n v="10"/>
    <n v="5"/>
    <n v="13"/>
    <x v="1"/>
    <x v="0"/>
    <n v="0"/>
    <n v="0"/>
    <x v="3"/>
    <x v="0"/>
    <n v="41"/>
  </r>
  <r>
    <n v="31"/>
    <x v="1"/>
    <s v="Non-Travel"/>
    <n v="979"/>
    <x v="1"/>
    <n v="1"/>
    <n v="4"/>
    <s v="Medical"/>
    <n v="1"/>
    <n v="308"/>
    <n v="3"/>
    <x v="1"/>
    <n v="90"/>
    <n v="1"/>
    <n v="2"/>
    <x v="3"/>
    <n v="3"/>
    <s v="Married"/>
    <n v="4345"/>
    <n v="4381"/>
    <n v="0"/>
    <s v="Y"/>
    <x v="1"/>
    <n v="12"/>
    <n v="3"/>
    <n v="4"/>
    <n v="80"/>
    <n v="1"/>
    <n v="6"/>
    <n v="2"/>
    <n v="3"/>
    <n v="5"/>
    <n v="4"/>
    <n v="1"/>
    <n v="4"/>
    <x v="1"/>
    <x v="1"/>
    <n v="0"/>
    <n v="0"/>
    <x v="2"/>
    <x v="0"/>
    <n v="53"/>
  </r>
  <r>
    <n v="59"/>
    <x v="1"/>
    <s v="Travel_Rarely"/>
    <n v="142"/>
    <x v="1"/>
    <n v="3"/>
    <n v="3"/>
    <s v="Life Sciences"/>
    <n v="1"/>
    <n v="309"/>
    <n v="3"/>
    <x v="1"/>
    <n v="70"/>
    <n v="2"/>
    <n v="1"/>
    <x v="1"/>
    <n v="4"/>
    <s v="Married"/>
    <n v="2177"/>
    <n v="8456"/>
    <n v="3"/>
    <s v="Y"/>
    <x v="1"/>
    <n v="17"/>
    <n v="3"/>
    <n v="1"/>
    <n v="80"/>
    <n v="1"/>
    <n v="7"/>
    <n v="6"/>
    <n v="3"/>
    <n v="1"/>
    <n v="0"/>
    <n v="0"/>
    <n v="0"/>
    <x v="3"/>
    <x v="1"/>
    <n v="0"/>
    <n v="0"/>
    <x v="3"/>
    <x v="0"/>
    <n v="51"/>
  </r>
  <r>
    <n v="37"/>
    <x v="1"/>
    <s v="Travel_Frequently"/>
    <n v="319"/>
    <x v="0"/>
    <n v="4"/>
    <n v="4"/>
    <s v="Marketing"/>
    <n v="1"/>
    <n v="311"/>
    <n v="1"/>
    <x v="1"/>
    <n v="41"/>
    <n v="3"/>
    <n v="1"/>
    <x v="6"/>
    <n v="4"/>
    <s v="Divorced"/>
    <n v="2793"/>
    <n v="2539"/>
    <n v="4"/>
    <s v="Y"/>
    <x v="1"/>
    <n v="17"/>
    <n v="3"/>
    <n v="3"/>
    <n v="80"/>
    <n v="1"/>
    <n v="13"/>
    <n v="2"/>
    <n v="3"/>
    <n v="9"/>
    <n v="8"/>
    <n v="5"/>
    <n v="8"/>
    <x v="1"/>
    <x v="1"/>
    <n v="0"/>
    <n v="0"/>
    <x v="2"/>
    <x v="0"/>
    <n v="39"/>
  </r>
  <r>
    <n v="29"/>
    <x v="1"/>
    <s v="Travel_Frequently"/>
    <n v="1413"/>
    <x v="0"/>
    <n v="1"/>
    <n v="1"/>
    <s v="Medical"/>
    <n v="1"/>
    <n v="312"/>
    <n v="2"/>
    <x v="0"/>
    <n v="42"/>
    <n v="3"/>
    <n v="3"/>
    <x v="0"/>
    <n v="4"/>
    <s v="Married"/>
    <n v="7918"/>
    <n v="6599"/>
    <n v="1"/>
    <s v="Y"/>
    <x v="1"/>
    <n v="14"/>
    <n v="3"/>
    <n v="4"/>
    <n v="80"/>
    <n v="1"/>
    <n v="11"/>
    <n v="5"/>
    <n v="3"/>
    <n v="11"/>
    <n v="10"/>
    <n v="4"/>
    <n v="1"/>
    <x v="2"/>
    <x v="0"/>
    <n v="0"/>
    <n v="0"/>
    <x v="1"/>
    <x v="0"/>
    <n v="44"/>
  </r>
  <r>
    <n v="35"/>
    <x v="1"/>
    <s v="Travel_Frequently"/>
    <n v="944"/>
    <x v="0"/>
    <n v="1"/>
    <n v="3"/>
    <s v="Marketing"/>
    <n v="1"/>
    <n v="314"/>
    <n v="3"/>
    <x v="0"/>
    <n v="92"/>
    <n v="3"/>
    <n v="3"/>
    <x v="0"/>
    <n v="3"/>
    <s v="Single"/>
    <n v="8789"/>
    <n v="9096"/>
    <n v="1"/>
    <s v="Y"/>
    <x v="1"/>
    <n v="14"/>
    <n v="3"/>
    <n v="1"/>
    <n v="80"/>
    <n v="0"/>
    <n v="10"/>
    <n v="3"/>
    <n v="4"/>
    <n v="10"/>
    <n v="7"/>
    <n v="0"/>
    <n v="8"/>
    <x v="1"/>
    <x v="0"/>
    <n v="0"/>
    <n v="0"/>
    <x v="3"/>
    <x v="0"/>
    <n v="46"/>
  </r>
  <r>
    <n v="29"/>
    <x v="0"/>
    <s v="Travel_Rarely"/>
    <n v="896"/>
    <x v="1"/>
    <n v="18"/>
    <n v="1"/>
    <s v="Medical"/>
    <n v="1"/>
    <n v="315"/>
    <n v="3"/>
    <x v="1"/>
    <n v="86"/>
    <n v="2"/>
    <n v="1"/>
    <x v="1"/>
    <n v="4"/>
    <s v="Single"/>
    <n v="2389"/>
    <n v="14961"/>
    <n v="1"/>
    <s v="Y"/>
    <x v="0"/>
    <n v="13"/>
    <n v="3"/>
    <n v="3"/>
    <n v="80"/>
    <n v="0"/>
    <n v="4"/>
    <n v="3"/>
    <n v="2"/>
    <n v="4"/>
    <n v="3"/>
    <n v="0"/>
    <n v="1"/>
    <x v="2"/>
    <x v="1"/>
    <n v="1"/>
    <n v="1"/>
    <x v="1"/>
    <x v="1"/>
    <n v="81"/>
  </r>
  <r>
    <n v="52"/>
    <x v="1"/>
    <s v="Travel_Rarely"/>
    <n v="1323"/>
    <x v="1"/>
    <n v="2"/>
    <n v="3"/>
    <s v="Life Sciences"/>
    <n v="1"/>
    <n v="316"/>
    <n v="3"/>
    <x v="0"/>
    <n v="89"/>
    <n v="2"/>
    <n v="1"/>
    <x v="2"/>
    <n v="4"/>
    <s v="Single"/>
    <n v="3212"/>
    <n v="3300"/>
    <n v="7"/>
    <s v="Y"/>
    <x v="1"/>
    <n v="15"/>
    <n v="3"/>
    <n v="2"/>
    <n v="80"/>
    <n v="0"/>
    <n v="6"/>
    <n v="3"/>
    <n v="2"/>
    <n v="2"/>
    <n v="2"/>
    <n v="2"/>
    <n v="2"/>
    <x v="3"/>
    <x v="1"/>
    <n v="0"/>
    <n v="0"/>
    <x v="3"/>
    <x v="0"/>
    <n v="51"/>
  </r>
  <r>
    <n v="42"/>
    <x v="1"/>
    <s v="Travel_Rarely"/>
    <n v="532"/>
    <x v="1"/>
    <n v="4"/>
    <n v="2"/>
    <s v="Technical Degree"/>
    <n v="1"/>
    <n v="319"/>
    <n v="3"/>
    <x v="1"/>
    <n v="58"/>
    <n v="3"/>
    <n v="5"/>
    <x v="5"/>
    <n v="4"/>
    <s v="Married"/>
    <n v="19232"/>
    <n v="4933"/>
    <n v="1"/>
    <s v="Y"/>
    <x v="1"/>
    <n v="11"/>
    <n v="3"/>
    <n v="4"/>
    <n v="80"/>
    <n v="0"/>
    <n v="22"/>
    <n v="3"/>
    <n v="3"/>
    <n v="22"/>
    <n v="17"/>
    <n v="11"/>
    <n v="15"/>
    <x v="0"/>
    <x v="2"/>
    <n v="0"/>
    <n v="0"/>
    <x v="0"/>
    <x v="2"/>
    <n v="24"/>
  </r>
  <r>
    <n v="59"/>
    <x v="1"/>
    <s v="Travel_Rarely"/>
    <n v="818"/>
    <x v="2"/>
    <n v="6"/>
    <n v="2"/>
    <s v="Medical"/>
    <n v="1"/>
    <n v="321"/>
    <n v="2"/>
    <x v="1"/>
    <n v="52"/>
    <n v="3"/>
    <n v="1"/>
    <x v="8"/>
    <n v="3"/>
    <s v="Married"/>
    <n v="2267"/>
    <n v="25657"/>
    <n v="8"/>
    <s v="Y"/>
    <x v="1"/>
    <n v="17"/>
    <n v="3"/>
    <n v="4"/>
    <n v="80"/>
    <n v="0"/>
    <n v="7"/>
    <n v="2"/>
    <n v="2"/>
    <n v="2"/>
    <n v="2"/>
    <n v="2"/>
    <n v="2"/>
    <x v="3"/>
    <x v="1"/>
    <n v="0"/>
    <n v="0"/>
    <x v="0"/>
    <x v="1"/>
    <n v="58"/>
  </r>
  <r>
    <n v="50"/>
    <x v="1"/>
    <s v="Travel_Rarely"/>
    <n v="854"/>
    <x v="0"/>
    <n v="1"/>
    <n v="4"/>
    <s v="Medical"/>
    <n v="1"/>
    <n v="323"/>
    <n v="4"/>
    <x v="0"/>
    <n v="68"/>
    <n v="3"/>
    <n v="5"/>
    <x v="5"/>
    <n v="4"/>
    <s v="Divorced"/>
    <n v="19517"/>
    <n v="24118"/>
    <n v="3"/>
    <s v="Y"/>
    <x v="1"/>
    <n v="11"/>
    <n v="3"/>
    <n v="3"/>
    <n v="80"/>
    <n v="1"/>
    <n v="32"/>
    <n v="3"/>
    <n v="2"/>
    <n v="7"/>
    <n v="0"/>
    <n v="0"/>
    <n v="6"/>
    <x v="3"/>
    <x v="2"/>
    <n v="0"/>
    <n v="0"/>
    <x v="2"/>
    <x v="2"/>
    <n v="34"/>
  </r>
  <r>
    <n v="33"/>
    <x v="0"/>
    <s v="Travel_Rarely"/>
    <n v="813"/>
    <x v="1"/>
    <n v="14"/>
    <n v="3"/>
    <s v="Medical"/>
    <n v="1"/>
    <n v="325"/>
    <n v="3"/>
    <x v="1"/>
    <n v="58"/>
    <n v="3"/>
    <n v="1"/>
    <x v="2"/>
    <n v="4"/>
    <s v="Married"/>
    <n v="2436"/>
    <n v="22149"/>
    <n v="5"/>
    <s v="Y"/>
    <x v="0"/>
    <n v="13"/>
    <n v="3"/>
    <n v="3"/>
    <n v="80"/>
    <n v="1"/>
    <n v="8"/>
    <n v="2"/>
    <n v="1"/>
    <n v="5"/>
    <n v="4"/>
    <n v="0"/>
    <n v="4"/>
    <x v="1"/>
    <x v="1"/>
    <n v="1"/>
    <n v="1"/>
    <x v="3"/>
    <x v="1"/>
    <n v="71"/>
  </r>
  <r>
    <n v="43"/>
    <x v="1"/>
    <s v="Travel_Rarely"/>
    <n v="1034"/>
    <x v="0"/>
    <n v="16"/>
    <n v="3"/>
    <s v="Marketing"/>
    <n v="1"/>
    <n v="327"/>
    <n v="4"/>
    <x v="0"/>
    <n v="80"/>
    <n v="3"/>
    <n v="4"/>
    <x v="5"/>
    <n v="4"/>
    <s v="Married"/>
    <n v="16064"/>
    <n v="7744"/>
    <n v="5"/>
    <s v="Y"/>
    <x v="0"/>
    <n v="22"/>
    <n v="4"/>
    <n v="3"/>
    <n v="80"/>
    <n v="1"/>
    <n v="22"/>
    <n v="3"/>
    <n v="3"/>
    <n v="17"/>
    <n v="13"/>
    <n v="1"/>
    <n v="9"/>
    <x v="0"/>
    <x v="2"/>
    <n v="0"/>
    <n v="1"/>
    <x v="3"/>
    <x v="0"/>
    <n v="49"/>
  </r>
  <r>
    <n v="33"/>
    <x v="0"/>
    <s v="Travel_Rarely"/>
    <n v="465"/>
    <x v="1"/>
    <n v="2"/>
    <n v="2"/>
    <s v="Life Sciences"/>
    <n v="1"/>
    <n v="328"/>
    <n v="1"/>
    <x v="0"/>
    <n v="39"/>
    <n v="3"/>
    <n v="1"/>
    <x v="2"/>
    <n v="1"/>
    <s v="Married"/>
    <n v="2707"/>
    <n v="21509"/>
    <n v="7"/>
    <s v="Y"/>
    <x v="1"/>
    <n v="20"/>
    <n v="4"/>
    <n v="1"/>
    <n v="80"/>
    <n v="0"/>
    <n v="13"/>
    <n v="3"/>
    <n v="4"/>
    <n v="9"/>
    <n v="7"/>
    <n v="1"/>
    <n v="7"/>
    <x v="1"/>
    <x v="1"/>
    <n v="1"/>
    <n v="0"/>
    <x v="0"/>
    <x v="1"/>
    <n v="58"/>
  </r>
  <r>
    <n v="52"/>
    <x v="1"/>
    <s v="Non-Travel"/>
    <n v="771"/>
    <x v="0"/>
    <n v="2"/>
    <n v="4"/>
    <s v="Life Sciences"/>
    <n v="1"/>
    <n v="329"/>
    <n v="1"/>
    <x v="1"/>
    <n v="79"/>
    <n v="2"/>
    <n v="5"/>
    <x v="5"/>
    <n v="3"/>
    <s v="Single"/>
    <n v="19068"/>
    <n v="21030"/>
    <n v="1"/>
    <s v="Y"/>
    <x v="0"/>
    <n v="18"/>
    <n v="3"/>
    <n v="4"/>
    <n v="80"/>
    <n v="0"/>
    <n v="33"/>
    <n v="2"/>
    <n v="4"/>
    <n v="33"/>
    <n v="7"/>
    <n v="15"/>
    <n v="12"/>
    <x v="3"/>
    <x v="2"/>
    <n v="0"/>
    <n v="1"/>
    <x v="2"/>
    <x v="1"/>
    <n v="61"/>
  </r>
  <r>
    <n v="32"/>
    <x v="1"/>
    <s v="Travel_Rarely"/>
    <n v="1401"/>
    <x v="0"/>
    <n v="4"/>
    <n v="2"/>
    <s v="Life Sciences"/>
    <n v="1"/>
    <n v="330"/>
    <n v="3"/>
    <x v="0"/>
    <n v="56"/>
    <n v="3"/>
    <n v="1"/>
    <x v="6"/>
    <n v="2"/>
    <s v="Married"/>
    <n v="3931"/>
    <n v="20990"/>
    <n v="2"/>
    <s v="Y"/>
    <x v="1"/>
    <n v="11"/>
    <n v="3"/>
    <n v="1"/>
    <n v="80"/>
    <n v="1"/>
    <n v="6"/>
    <n v="5"/>
    <n v="3"/>
    <n v="4"/>
    <n v="3"/>
    <n v="1"/>
    <n v="2"/>
    <x v="1"/>
    <x v="1"/>
    <n v="0"/>
    <n v="0"/>
    <x v="0"/>
    <x v="1"/>
    <n v="59"/>
  </r>
  <r>
    <n v="32"/>
    <x v="0"/>
    <s v="Travel_Rarely"/>
    <n v="515"/>
    <x v="1"/>
    <n v="1"/>
    <n v="3"/>
    <s v="Life Sciences"/>
    <n v="1"/>
    <n v="331"/>
    <n v="4"/>
    <x v="1"/>
    <n v="62"/>
    <n v="2"/>
    <n v="1"/>
    <x v="2"/>
    <n v="3"/>
    <s v="Single"/>
    <n v="3730"/>
    <n v="9571"/>
    <n v="0"/>
    <s v="Y"/>
    <x v="0"/>
    <n v="14"/>
    <n v="3"/>
    <n v="4"/>
    <n v="80"/>
    <n v="0"/>
    <n v="4"/>
    <n v="2"/>
    <n v="1"/>
    <n v="3"/>
    <n v="2"/>
    <n v="1"/>
    <n v="2"/>
    <x v="1"/>
    <x v="1"/>
    <n v="1"/>
    <n v="1"/>
    <x v="3"/>
    <x v="1"/>
    <n v="78"/>
  </r>
  <r>
    <n v="39"/>
    <x v="1"/>
    <s v="Travel_Rarely"/>
    <n v="1431"/>
    <x v="1"/>
    <n v="1"/>
    <n v="4"/>
    <s v="Medical"/>
    <n v="1"/>
    <n v="332"/>
    <n v="3"/>
    <x v="0"/>
    <n v="96"/>
    <n v="3"/>
    <n v="1"/>
    <x v="2"/>
    <n v="3"/>
    <s v="Divorced"/>
    <n v="2232"/>
    <n v="15417"/>
    <n v="7"/>
    <s v="Y"/>
    <x v="1"/>
    <n v="14"/>
    <n v="3"/>
    <n v="3"/>
    <n v="80"/>
    <n v="3"/>
    <n v="7"/>
    <n v="1"/>
    <n v="3"/>
    <n v="3"/>
    <n v="2"/>
    <n v="1"/>
    <n v="2"/>
    <x v="1"/>
    <x v="1"/>
    <n v="0"/>
    <n v="0"/>
    <x v="2"/>
    <x v="0"/>
    <n v="53"/>
  </r>
  <r>
    <n v="32"/>
    <x v="1"/>
    <s v="Non-Travel"/>
    <n v="976"/>
    <x v="0"/>
    <n v="26"/>
    <n v="4"/>
    <s v="Marketing"/>
    <n v="1"/>
    <n v="333"/>
    <n v="3"/>
    <x v="1"/>
    <n v="100"/>
    <n v="3"/>
    <n v="2"/>
    <x v="0"/>
    <n v="4"/>
    <s v="Married"/>
    <n v="4465"/>
    <n v="12069"/>
    <n v="0"/>
    <s v="Y"/>
    <x v="1"/>
    <n v="18"/>
    <n v="3"/>
    <n v="1"/>
    <n v="80"/>
    <n v="0"/>
    <n v="4"/>
    <n v="2"/>
    <n v="3"/>
    <n v="3"/>
    <n v="2"/>
    <n v="2"/>
    <n v="2"/>
    <x v="1"/>
    <x v="1"/>
    <n v="0"/>
    <n v="0"/>
    <x v="2"/>
    <x v="0"/>
    <n v="46"/>
  </r>
  <r>
    <n v="41"/>
    <x v="1"/>
    <s v="Travel_Rarely"/>
    <n v="1411"/>
    <x v="1"/>
    <n v="19"/>
    <n v="2"/>
    <s v="Life Sciences"/>
    <n v="1"/>
    <n v="334"/>
    <n v="3"/>
    <x v="1"/>
    <n v="36"/>
    <n v="3"/>
    <n v="2"/>
    <x v="1"/>
    <n v="1"/>
    <s v="Divorced"/>
    <n v="3072"/>
    <n v="19877"/>
    <n v="2"/>
    <s v="Y"/>
    <x v="1"/>
    <n v="16"/>
    <n v="3"/>
    <n v="1"/>
    <n v="80"/>
    <n v="2"/>
    <n v="17"/>
    <n v="2"/>
    <n v="2"/>
    <n v="1"/>
    <n v="0"/>
    <n v="0"/>
    <n v="0"/>
    <x v="0"/>
    <x v="1"/>
    <n v="0"/>
    <n v="0"/>
    <x v="0"/>
    <x v="1"/>
    <n v="65"/>
  </r>
  <r>
    <n v="40"/>
    <x v="1"/>
    <s v="Travel_Rarely"/>
    <n v="1300"/>
    <x v="1"/>
    <n v="24"/>
    <n v="2"/>
    <s v="Technical Degree"/>
    <n v="1"/>
    <n v="335"/>
    <n v="1"/>
    <x v="1"/>
    <n v="62"/>
    <n v="3"/>
    <n v="2"/>
    <x v="1"/>
    <n v="4"/>
    <s v="Divorced"/>
    <n v="3319"/>
    <n v="24447"/>
    <n v="1"/>
    <s v="Y"/>
    <x v="1"/>
    <n v="17"/>
    <n v="3"/>
    <n v="1"/>
    <n v="80"/>
    <n v="2"/>
    <n v="9"/>
    <n v="3"/>
    <n v="3"/>
    <n v="9"/>
    <n v="8"/>
    <n v="4"/>
    <n v="7"/>
    <x v="0"/>
    <x v="1"/>
    <n v="0"/>
    <n v="0"/>
    <x v="0"/>
    <x v="2"/>
    <n v="29"/>
  </r>
  <r>
    <n v="45"/>
    <x v="1"/>
    <s v="Travel_Rarely"/>
    <n v="252"/>
    <x v="1"/>
    <n v="1"/>
    <n v="3"/>
    <s v="Other"/>
    <n v="1"/>
    <n v="336"/>
    <n v="3"/>
    <x v="1"/>
    <n v="70"/>
    <n v="4"/>
    <n v="5"/>
    <x v="5"/>
    <n v="4"/>
    <s v="Married"/>
    <n v="19202"/>
    <n v="15970"/>
    <n v="0"/>
    <s v="Y"/>
    <x v="1"/>
    <n v="11"/>
    <n v="3"/>
    <n v="3"/>
    <n v="80"/>
    <n v="1"/>
    <n v="25"/>
    <n v="2"/>
    <n v="3"/>
    <n v="24"/>
    <n v="0"/>
    <n v="1"/>
    <n v="7"/>
    <x v="0"/>
    <x v="2"/>
    <n v="0"/>
    <n v="0"/>
    <x v="3"/>
    <x v="2"/>
    <n v="24"/>
  </r>
  <r>
    <n v="31"/>
    <x v="1"/>
    <s v="Travel_Frequently"/>
    <n v="1327"/>
    <x v="1"/>
    <n v="3"/>
    <n v="4"/>
    <s v="Medical"/>
    <n v="1"/>
    <n v="337"/>
    <n v="2"/>
    <x v="1"/>
    <n v="73"/>
    <n v="3"/>
    <n v="3"/>
    <x v="7"/>
    <n v="3"/>
    <s v="Divorced"/>
    <n v="13675"/>
    <n v="13523"/>
    <n v="9"/>
    <s v="Y"/>
    <x v="1"/>
    <n v="12"/>
    <n v="3"/>
    <n v="1"/>
    <n v="80"/>
    <n v="1"/>
    <n v="9"/>
    <n v="3"/>
    <n v="3"/>
    <n v="2"/>
    <n v="2"/>
    <n v="2"/>
    <n v="2"/>
    <x v="1"/>
    <x v="0"/>
    <n v="0"/>
    <n v="0"/>
    <x v="2"/>
    <x v="1"/>
    <n v="63"/>
  </r>
  <r>
    <n v="33"/>
    <x v="1"/>
    <s v="Travel_Rarely"/>
    <n v="832"/>
    <x v="1"/>
    <n v="5"/>
    <n v="4"/>
    <s v="Life Sciences"/>
    <n v="1"/>
    <n v="338"/>
    <n v="3"/>
    <x v="0"/>
    <n v="63"/>
    <n v="2"/>
    <n v="1"/>
    <x v="1"/>
    <n v="4"/>
    <s v="Married"/>
    <n v="2911"/>
    <n v="14776"/>
    <n v="1"/>
    <s v="Y"/>
    <x v="1"/>
    <n v="13"/>
    <n v="3"/>
    <n v="3"/>
    <n v="80"/>
    <n v="1"/>
    <n v="2"/>
    <n v="2"/>
    <n v="2"/>
    <n v="2"/>
    <n v="2"/>
    <n v="0"/>
    <n v="2"/>
    <x v="1"/>
    <x v="1"/>
    <n v="0"/>
    <n v="0"/>
    <x v="2"/>
    <x v="1"/>
    <n v="56"/>
  </r>
  <r>
    <n v="34"/>
    <x v="1"/>
    <s v="Travel_Rarely"/>
    <n v="470"/>
    <x v="1"/>
    <n v="2"/>
    <n v="4"/>
    <s v="Life Sciences"/>
    <n v="1"/>
    <n v="339"/>
    <n v="4"/>
    <x v="1"/>
    <n v="84"/>
    <n v="2"/>
    <n v="2"/>
    <x v="3"/>
    <n v="1"/>
    <s v="Married"/>
    <n v="5957"/>
    <n v="23687"/>
    <n v="6"/>
    <s v="Y"/>
    <x v="1"/>
    <n v="13"/>
    <n v="3"/>
    <n v="2"/>
    <n v="80"/>
    <n v="1"/>
    <n v="13"/>
    <n v="3"/>
    <n v="3"/>
    <n v="11"/>
    <n v="9"/>
    <n v="5"/>
    <n v="9"/>
    <x v="1"/>
    <x v="0"/>
    <n v="0"/>
    <n v="0"/>
    <x v="2"/>
    <x v="0"/>
    <n v="53"/>
  </r>
  <r>
    <n v="37"/>
    <x v="1"/>
    <s v="Travel_Rarely"/>
    <n v="1017"/>
    <x v="1"/>
    <n v="1"/>
    <n v="2"/>
    <s v="Medical"/>
    <n v="1"/>
    <n v="340"/>
    <n v="3"/>
    <x v="0"/>
    <n v="83"/>
    <n v="2"/>
    <n v="1"/>
    <x v="1"/>
    <n v="1"/>
    <s v="Married"/>
    <n v="3920"/>
    <n v="18697"/>
    <n v="2"/>
    <s v="Y"/>
    <x v="1"/>
    <n v="14"/>
    <n v="3"/>
    <n v="1"/>
    <n v="80"/>
    <n v="1"/>
    <n v="17"/>
    <n v="2"/>
    <n v="2"/>
    <n v="3"/>
    <n v="1"/>
    <n v="0"/>
    <n v="2"/>
    <x v="1"/>
    <x v="1"/>
    <n v="0"/>
    <n v="0"/>
    <x v="0"/>
    <x v="1"/>
    <n v="65"/>
  </r>
  <r>
    <n v="45"/>
    <x v="1"/>
    <s v="Travel_Frequently"/>
    <n v="1199"/>
    <x v="1"/>
    <n v="7"/>
    <n v="4"/>
    <s v="Life Sciences"/>
    <n v="1"/>
    <n v="341"/>
    <n v="1"/>
    <x v="1"/>
    <n v="77"/>
    <n v="4"/>
    <n v="2"/>
    <x v="3"/>
    <n v="3"/>
    <s v="Married"/>
    <n v="6434"/>
    <n v="5118"/>
    <n v="4"/>
    <s v="Y"/>
    <x v="1"/>
    <n v="17"/>
    <n v="3"/>
    <n v="4"/>
    <n v="80"/>
    <n v="1"/>
    <n v="9"/>
    <n v="1"/>
    <n v="3"/>
    <n v="3"/>
    <n v="2"/>
    <n v="0"/>
    <n v="2"/>
    <x v="0"/>
    <x v="0"/>
    <n v="0"/>
    <n v="0"/>
    <x v="2"/>
    <x v="0"/>
    <n v="43"/>
  </r>
  <r>
    <n v="37"/>
    <x v="0"/>
    <s v="Travel_Frequently"/>
    <n v="504"/>
    <x v="1"/>
    <n v="10"/>
    <n v="3"/>
    <s v="Medical"/>
    <n v="1"/>
    <n v="342"/>
    <n v="1"/>
    <x v="1"/>
    <n v="61"/>
    <n v="3"/>
    <n v="3"/>
    <x v="3"/>
    <n v="3"/>
    <s v="Divorced"/>
    <n v="10048"/>
    <n v="22573"/>
    <n v="6"/>
    <s v="Y"/>
    <x v="1"/>
    <n v="11"/>
    <n v="3"/>
    <n v="2"/>
    <n v="80"/>
    <n v="2"/>
    <n v="17"/>
    <n v="5"/>
    <n v="3"/>
    <n v="1"/>
    <n v="0"/>
    <n v="0"/>
    <n v="0"/>
    <x v="1"/>
    <x v="0"/>
    <n v="1"/>
    <n v="0"/>
    <x v="3"/>
    <x v="1"/>
    <n v="63"/>
  </r>
  <r>
    <n v="39"/>
    <x v="1"/>
    <s v="Travel_Frequently"/>
    <n v="505"/>
    <x v="1"/>
    <n v="2"/>
    <n v="4"/>
    <s v="Technical Degree"/>
    <n v="1"/>
    <n v="343"/>
    <n v="3"/>
    <x v="0"/>
    <n v="64"/>
    <n v="3"/>
    <n v="3"/>
    <x v="4"/>
    <n v="3"/>
    <s v="Single"/>
    <n v="10938"/>
    <n v="6420"/>
    <n v="0"/>
    <s v="Y"/>
    <x v="1"/>
    <n v="25"/>
    <n v="4"/>
    <n v="4"/>
    <n v="80"/>
    <n v="0"/>
    <n v="20"/>
    <n v="1"/>
    <n v="3"/>
    <n v="19"/>
    <n v="6"/>
    <n v="11"/>
    <n v="8"/>
    <x v="1"/>
    <x v="0"/>
    <n v="0"/>
    <n v="0"/>
    <x v="2"/>
    <x v="0"/>
    <n v="41"/>
  </r>
  <r>
    <n v="29"/>
    <x v="1"/>
    <s v="Travel_Rarely"/>
    <n v="665"/>
    <x v="1"/>
    <n v="15"/>
    <n v="3"/>
    <s v="Life Sciences"/>
    <n v="1"/>
    <n v="346"/>
    <n v="3"/>
    <x v="1"/>
    <n v="60"/>
    <n v="3"/>
    <n v="1"/>
    <x v="1"/>
    <n v="4"/>
    <s v="Single"/>
    <n v="2340"/>
    <n v="22673"/>
    <n v="1"/>
    <s v="Y"/>
    <x v="1"/>
    <n v="19"/>
    <n v="3"/>
    <n v="1"/>
    <n v="80"/>
    <n v="0"/>
    <n v="6"/>
    <n v="1"/>
    <n v="3"/>
    <n v="6"/>
    <n v="5"/>
    <n v="1"/>
    <n v="5"/>
    <x v="2"/>
    <x v="1"/>
    <n v="0"/>
    <n v="0"/>
    <x v="3"/>
    <x v="0"/>
    <n v="49"/>
  </r>
  <r>
    <n v="42"/>
    <x v="1"/>
    <s v="Travel_Rarely"/>
    <n v="916"/>
    <x v="1"/>
    <n v="17"/>
    <n v="2"/>
    <s v="Life Sciences"/>
    <n v="1"/>
    <n v="347"/>
    <n v="4"/>
    <x v="0"/>
    <n v="82"/>
    <n v="4"/>
    <n v="2"/>
    <x v="1"/>
    <n v="1"/>
    <s v="Single"/>
    <n v="6545"/>
    <n v="23016"/>
    <n v="3"/>
    <s v="Y"/>
    <x v="0"/>
    <n v="13"/>
    <n v="3"/>
    <n v="3"/>
    <n v="80"/>
    <n v="0"/>
    <n v="10"/>
    <n v="1"/>
    <n v="3"/>
    <n v="3"/>
    <n v="2"/>
    <n v="0"/>
    <n v="2"/>
    <x v="0"/>
    <x v="0"/>
    <n v="0"/>
    <n v="1"/>
    <x v="0"/>
    <x v="1"/>
    <n v="80"/>
  </r>
  <r>
    <n v="29"/>
    <x v="1"/>
    <s v="Travel_Rarely"/>
    <n v="1247"/>
    <x v="0"/>
    <n v="20"/>
    <n v="2"/>
    <s v="Marketing"/>
    <n v="1"/>
    <n v="349"/>
    <n v="4"/>
    <x v="1"/>
    <n v="45"/>
    <n v="3"/>
    <n v="2"/>
    <x v="0"/>
    <n v="4"/>
    <s v="Divorced"/>
    <n v="6931"/>
    <n v="10732"/>
    <n v="2"/>
    <s v="Y"/>
    <x v="1"/>
    <n v="14"/>
    <n v="3"/>
    <n v="4"/>
    <n v="80"/>
    <n v="1"/>
    <n v="10"/>
    <n v="2"/>
    <n v="3"/>
    <n v="3"/>
    <n v="2"/>
    <n v="0"/>
    <n v="2"/>
    <x v="2"/>
    <x v="0"/>
    <n v="0"/>
    <n v="0"/>
    <x v="0"/>
    <x v="1"/>
    <n v="56"/>
  </r>
  <r>
    <n v="25"/>
    <x v="1"/>
    <s v="Travel_Rarely"/>
    <n v="685"/>
    <x v="1"/>
    <n v="1"/>
    <n v="3"/>
    <s v="Life Sciences"/>
    <n v="1"/>
    <n v="350"/>
    <n v="1"/>
    <x v="0"/>
    <n v="62"/>
    <n v="3"/>
    <n v="2"/>
    <x v="3"/>
    <n v="3"/>
    <s v="Married"/>
    <n v="4898"/>
    <n v="7505"/>
    <n v="0"/>
    <s v="Y"/>
    <x v="1"/>
    <n v="12"/>
    <n v="3"/>
    <n v="4"/>
    <n v="80"/>
    <n v="2"/>
    <n v="5"/>
    <n v="3"/>
    <n v="3"/>
    <n v="4"/>
    <n v="2"/>
    <n v="1"/>
    <n v="2"/>
    <x v="2"/>
    <x v="1"/>
    <n v="0"/>
    <n v="0"/>
    <x v="3"/>
    <x v="1"/>
    <n v="63"/>
  </r>
  <r>
    <n v="42"/>
    <x v="1"/>
    <s v="Travel_Rarely"/>
    <n v="269"/>
    <x v="1"/>
    <n v="2"/>
    <n v="3"/>
    <s v="Medical"/>
    <n v="1"/>
    <n v="351"/>
    <n v="4"/>
    <x v="0"/>
    <n v="56"/>
    <n v="2"/>
    <n v="1"/>
    <x v="2"/>
    <n v="1"/>
    <s v="Divorced"/>
    <n v="2593"/>
    <n v="8007"/>
    <n v="0"/>
    <s v="Y"/>
    <x v="0"/>
    <n v="11"/>
    <n v="3"/>
    <n v="3"/>
    <n v="80"/>
    <n v="1"/>
    <n v="10"/>
    <n v="4"/>
    <n v="3"/>
    <n v="9"/>
    <n v="6"/>
    <n v="7"/>
    <n v="8"/>
    <x v="0"/>
    <x v="1"/>
    <n v="0"/>
    <n v="1"/>
    <x v="3"/>
    <x v="1"/>
    <n v="73"/>
  </r>
  <r>
    <n v="40"/>
    <x v="1"/>
    <s v="Travel_Rarely"/>
    <n v="1416"/>
    <x v="1"/>
    <n v="2"/>
    <n v="2"/>
    <s v="Medical"/>
    <n v="1"/>
    <n v="352"/>
    <n v="1"/>
    <x v="1"/>
    <n v="49"/>
    <n v="3"/>
    <n v="5"/>
    <x v="7"/>
    <n v="3"/>
    <s v="Divorced"/>
    <n v="19436"/>
    <n v="5949"/>
    <n v="0"/>
    <s v="Y"/>
    <x v="1"/>
    <n v="19"/>
    <n v="3"/>
    <n v="4"/>
    <n v="80"/>
    <n v="1"/>
    <n v="22"/>
    <n v="5"/>
    <n v="3"/>
    <n v="21"/>
    <n v="7"/>
    <n v="3"/>
    <n v="9"/>
    <x v="0"/>
    <x v="2"/>
    <n v="0"/>
    <n v="0"/>
    <x v="0"/>
    <x v="2"/>
    <n v="31"/>
  </r>
  <r>
    <n v="51"/>
    <x v="1"/>
    <s v="Travel_Rarely"/>
    <n v="833"/>
    <x v="1"/>
    <n v="1"/>
    <n v="3"/>
    <s v="Life Sciences"/>
    <n v="1"/>
    <n v="353"/>
    <n v="3"/>
    <x v="1"/>
    <n v="96"/>
    <n v="3"/>
    <n v="1"/>
    <x v="1"/>
    <n v="4"/>
    <s v="Married"/>
    <n v="2723"/>
    <n v="23231"/>
    <n v="1"/>
    <s v="Y"/>
    <x v="1"/>
    <n v="11"/>
    <n v="3"/>
    <n v="2"/>
    <n v="80"/>
    <n v="0"/>
    <n v="1"/>
    <n v="0"/>
    <n v="2"/>
    <n v="1"/>
    <n v="0"/>
    <n v="0"/>
    <n v="0"/>
    <x v="3"/>
    <x v="1"/>
    <n v="0"/>
    <n v="0"/>
    <x v="3"/>
    <x v="0"/>
    <n v="51"/>
  </r>
  <r>
    <n v="31"/>
    <x v="0"/>
    <s v="Travel_Frequently"/>
    <n v="307"/>
    <x v="1"/>
    <n v="29"/>
    <n v="2"/>
    <s v="Medical"/>
    <n v="1"/>
    <n v="355"/>
    <n v="3"/>
    <x v="1"/>
    <n v="71"/>
    <n v="2"/>
    <n v="1"/>
    <x v="2"/>
    <n v="2"/>
    <s v="Single"/>
    <n v="3479"/>
    <n v="11652"/>
    <n v="0"/>
    <s v="Y"/>
    <x v="1"/>
    <n v="11"/>
    <n v="3"/>
    <n v="2"/>
    <n v="80"/>
    <n v="0"/>
    <n v="6"/>
    <n v="2"/>
    <n v="4"/>
    <n v="5"/>
    <n v="4"/>
    <n v="1"/>
    <n v="4"/>
    <x v="1"/>
    <x v="1"/>
    <n v="1"/>
    <n v="0"/>
    <x v="0"/>
    <x v="1"/>
    <n v="59"/>
  </r>
  <r>
    <n v="32"/>
    <x v="1"/>
    <s v="Travel_Frequently"/>
    <n v="1311"/>
    <x v="1"/>
    <n v="7"/>
    <n v="3"/>
    <s v="Life Sciences"/>
    <n v="1"/>
    <n v="359"/>
    <n v="2"/>
    <x v="1"/>
    <n v="100"/>
    <n v="4"/>
    <n v="1"/>
    <x v="2"/>
    <n v="2"/>
    <s v="Married"/>
    <n v="2794"/>
    <n v="26062"/>
    <n v="1"/>
    <s v="Y"/>
    <x v="1"/>
    <n v="20"/>
    <n v="4"/>
    <n v="3"/>
    <n v="80"/>
    <n v="0"/>
    <n v="5"/>
    <n v="3"/>
    <n v="1"/>
    <n v="5"/>
    <n v="1"/>
    <n v="0"/>
    <n v="3"/>
    <x v="1"/>
    <x v="1"/>
    <n v="0"/>
    <n v="0"/>
    <x v="3"/>
    <x v="1"/>
    <n v="59"/>
  </r>
  <r>
    <n v="38"/>
    <x v="1"/>
    <s v="Non-Travel"/>
    <n v="1327"/>
    <x v="0"/>
    <n v="2"/>
    <n v="2"/>
    <s v="Life Sciences"/>
    <n v="1"/>
    <n v="361"/>
    <n v="4"/>
    <x v="1"/>
    <n v="39"/>
    <n v="2"/>
    <n v="2"/>
    <x v="0"/>
    <n v="4"/>
    <s v="Married"/>
    <n v="5249"/>
    <n v="19682"/>
    <n v="3"/>
    <s v="Y"/>
    <x v="1"/>
    <n v="18"/>
    <n v="3"/>
    <n v="4"/>
    <n v="80"/>
    <n v="1"/>
    <n v="13"/>
    <n v="0"/>
    <n v="3"/>
    <n v="8"/>
    <n v="7"/>
    <n v="7"/>
    <n v="5"/>
    <x v="1"/>
    <x v="0"/>
    <n v="0"/>
    <n v="0"/>
    <x v="0"/>
    <x v="0"/>
    <n v="39"/>
  </r>
  <r>
    <n v="32"/>
    <x v="1"/>
    <s v="Travel_Rarely"/>
    <n v="128"/>
    <x v="1"/>
    <n v="2"/>
    <n v="1"/>
    <s v="Technical Degree"/>
    <n v="1"/>
    <n v="362"/>
    <n v="4"/>
    <x v="1"/>
    <n v="84"/>
    <n v="2"/>
    <n v="2"/>
    <x v="2"/>
    <n v="1"/>
    <s v="Single"/>
    <n v="2176"/>
    <n v="19737"/>
    <n v="4"/>
    <s v="Y"/>
    <x v="1"/>
    <n v="13"/>
    <n v="3"/>
    <n v="4"/>
    <n v="80"/>
    <n v="0"/>
    <n v="9"/>
    <n v="5"/>
    <n v="3"/>
    <n v="6"/>
    <n v="2"/>
    <n v="0"/>
    <n v="4"/>
    <x v="1"/>
    <x v="1"/>
    <n v="0"/>
    <n v="0"/>
    <x v="1"/>
    <x v="1"/>
    <n v="58"/>
  </r>
  <r>
    <n v="46"/>
    <x v="1"/>
    <s v="Travel_Rarely"/>
    <n v="488"/>
    <x v="0"/>
    <n v="2"/>
    <n v="3"/>
    <s v="Technical Degree"/>
    <n v="1"/>
    <n v="363"/>
    <n v="3"/>
    <x v="0"/>
    <n v="75"/>
    <n v="1"/>
    <n v="4"/>
    <x v="5"/>
    <n v="2"/>
    <s v="Married"/>
    <n v="16872"/>
    <n v="14977"/>
    <n v="3"/>
    <s v="Y"/>
    <x v="0"/>
    <n v="12"/>
    <n v="3"/>
    <n v="2"/>
    <n v="80"/>
    <n v="1"/>
    <n v="28"/>
    <n v="2"/>
    <n v="2"/>
    <n v="7"/>
    <n v="7"/>
    <n v="7"/>
    <n v="7"/>
    <x v="0"/>
    <x v="2"/>
    <n v="0"/>
    <n v="1"/>
    <x v="3"/>
    <x v="1"/>
    <n v="67"/>
  </r>
  <r>
    <n v="28"/>
    <x v="0"/>
    <s v="Travel_Rarely"/>
    <n v="529"/>
    <x v="1"/>
    <n v="2"/>
    <n v="4"/>
    <s v="Life Sciences"/>
    <n v="1"/>
    <n v="364"/>
    <n v="1"/>
    <x v="1"/>
    <n v="79"/>
    <n v="3"/>
    <n v="1"/>
    <x v="2"/>
    <n v="3"/>
    <s v="Single"/>
    <n v="3485"/>
    <n v="14935"/>
    <n v="2"/>
    <s v="Y"/>
    <x v="1"/>
    <n v="11"/>
    <n v="3"/>
    <n v="3"/>
    <n v="80"/>
    <n v="0"/>
    <n v="5"/>
    <n v="5"/>
    <n v="1"/>
    <n v="0"/>
    <n v="0"/>
    <n v="0"/>
    <n v="0"/>
    <x v="2"/>
    <x v="1"/>
    <n v="1"/>
    <n v="0"/>
    <x v="2"/>
    <x v="1"/>
    <n v="73"/>
  </r>
  <r>
    <n v="29"/>
    <x v="1"/>
    <s v="Travel_Rarely"/>
    <n v="1210"/>
    <x v="0"/>
    <n v="2"/>
    <n v="3"/>
    <s v="Medical"/>
    <n v="1"/>
    <n v="366"/>
    <n v="1"/>
    <x v="1"/>
    <n v="78"/>
    <n v="2"/>
    <n v="2"/>
    <x v="0"/>
    <n v="2"/>
    <s v="Married"/>
    <n v="6644"/>
    <n v="3687"/>
    <n v="2"/>
    <s v="Y"/>
    <x v="1"/>
    <n v="19"/>
    <n v="3"/>
    <n v="2"/>
    <n v="80"/>
    <n v="2"/>
    <n v="10"/>
    <n v="2"/>
    <n v="3"/>
    <n v="0"/>
    <n v="0"/>
    <n v="0"/>
    <n v="0"/>
    <x v="2"/>
    <x v="0"/>
    <n v="0"/>
    <n v="0"/>
    <x v="3"/>
    <x v="1"/>
    <n v="79"/>
  </r>
  <r>
    <n v="31"/>
    <x v="1"/>
    <s v="Travel_Rarely"/>
    <n v="1463"/>
    <x v="1"/>
    <n v="23"/>
    <n v="3"/>
    <s v="Medical"/>
    <n v="1"/>
    <n v="367"/>
    <n v="2"/>
    <x v="1"/>
    <n v="64"/>
    <n v="2"/>
    <n v="2"/>
    <x v="4"/>
    <n v="4"/>
    <s v="Married"/>
    <n v="5582"/>
    <n v="14408"/>
    <n v="0"/>
    <s v="Y"/>
    <x v="1"/>
    <n v="21"/>
    <n v="4"/>
    <n v="2"/>
    <n v="80"/>
    <n v="1"/>
    <n v="10"/>
    <n v="2"/>
    <n v="3"/>
    <n v="9"/>
    <n v="0"/>
    <n v="7"/>
    <n v="8"/>
    <x v="1"/>
    <x v="0"/>
    <n v="0"/>
    <n v="0"/>
    <x v="3"/>
    <x v="0"/>
    <n v="39"/>
  </r>
  <r>
    <n v="25"/>
    <x v="1"/>
    <s v="Non-Travel"/>
    <n v="675"/>
    <x v="1"/>
    <n v="5"/>
    <n v="2"/>
    <s v="Life Sciences"/>
    <n v="1"/>
    <n v="369"/>
    <n v="2"/>
    <x v="1"/>
    <n v="85"/>
    <n v="4"/>
    <n v="2"/>
    <x v="4"/>
    <n v="1"/>
    <s v="Divorced"/>
    <n v="4000"/>
    <n v="18384"/>
    <n v="1"/>
    <s v="Y"/>
    <x v="1"/>
    <n v="12"/>
    <n v="3"/>
    <n v="4"/>
    <n v="80"/>
    <n v="2"/>
    <n v="6"/>
    <n v="2"/>
    <n v="3"/>
    <n v="6"/>
    <n v="3"/>
    <n v="1"/>
    <n v="5"/>
    <x v="2"/>
    <x v="1"/>
    <n v="0"/>
    <n v="0"/>
    <x v="0"/>
    <x v="1"/>
    <n v="68"/>
  </r>
  <r>
    <n v="45"/>
    <x v="1"/>
    <s v="Travel_Rarely"/>
    <n v="1385"/>
    <x v="1"/>
    <n v="20"/>
    <n v="2"/>
    <s v="Medical"/>
    <n v="1"/>
    <n v="372"/>
    <n v="3"/>
    <x v="1"/>
    <n v="79"/>
    <n v="3"/>
    <n v="4"/>
    <x v="4"/>
    <n v="4"/>
    <s v="Married"/>
    <n v="13496"/>
    <n v="7501"/>
    <n v="0"/>
    <s v="Y"/>
    <x v="0"/>
    <n v="14"/>
    <n v="3"/>
    <n v="2"/>
    <n v="80"/>
    <n v="0"/>
    <n v="21"/>
    <n v="2"/>
    <n v="3"/>
    <n v="20"/>
    <n v="7"/>
    <n v="4"/>
    <n v="10"/>
    <x v="0"/>
    <x v="0"/>
    <n v="0"/>
    <n v="1"/>
    <x v="0"/>
    <x v="0"/>
    <n v="49"/>
  </r>
  <r>
    <n v="36"/>
    <x v="1"/>
    <s v="Travel_Rarely"/>
    <n v="1403"/>
    <x v="1"/>
    <n v="6"/>
    <n v="3"/>
    <s v="Life Sciences"/>
    <n v="1"/>
    <n v="373"/>
    <n v="4"/>
    <x v="1"/>
    <n v="47"/>
    <n v="3"/>
    <n v="1"/>
    <x v="2"/>
    <n v="4"/>
    <s v="Married"/>
    <n v="3210"/>
    <n v="20251"/>
    <n v="0"/>
    <s v="Y"/>
    <x v="1"/>
    <n v="11"/>
    <n v="3"/>
    <n v="3"/>
    <n v="80"/>
    <n v="1"/>
    <n v="16"/>
    <n v="4"/>
    <n v="3"/>
    <n v="15"/>
    <n v="13"/>
    <n v="10"/>
    <n v="11"/>
    <x v="1"/>
    <x v="1"/>
    <n v="0"/>
    <n v="0"/>
    <x v="3"/>
    <x v="2"/>
    <n v="34"/>
  </r>
  <r>
    <n v="55"/>
    <x v="1"/>
    <s v="Travel_Rarely"/>
    <n v="452"/>
    <x v="1"/>
    <n v="1"/>
    <n v="3"/>
    <s v="Medical"/>
    <n v="1"/>
    <n v="374"/>
    <n v="4"/>
    <x v="1"/>
    <n v="81"/>
    <n v="3"/>
    <n v="5"/>
    <x v="5"/>
    <n v="1"/>
    <s v="Single"/>
    <n v="19045"/>
    <n v="18938"/>
    <n v="0"/>
    <s v="Y"/>
    <x v="0"/>
    <n v="14"/>
    <n v="3"/>
    <n v="3"/>
    <n v="80"/>
    <n v="0"/>
    <n v="37"/>
    <n v="2"/>
    <n v="3"/>
    <n v="36"/>
    <n v="10"/>
    <n v="4"/>
    <n v="13"/>
    <x v="3"/>
    <x v="2"/>
    <n v="0"/>
    <n v="1"/>
    <x v="3"/>
    <x v="1"/>
    <n v="73"/>
  </r>
  <r>
    <n v="47"/>
    <x v="0"/>
    <s v="Non-Travel"/>
    <n v="666"/>
    <x v="1"/>
    <n v="29"/>
    <n v="4"/>
    <s v="Life Sciences"/>
    <n v="1"/>
    <n v="376"/>
    <n v="1"/>
    <x v="1"/>
    <n v="88"/>
    <n v="3"/>
    <n v="3"/>
    <x v="5"/>
    <n v="2"/>
    <s v="Married"/>
    <n v="11849"/>
    <n v="10268"/>
    <n v="1"/>
    <s v="Y"/>
    <x v="0"/>
    <n v="12"/>
    <n v="3"/>
    <n v="4"/>
    <n v="80"/>
    <n v="1"/>
    <n v="10"/>
    <n v="2"/>
    <n v="2"/>
    <n v="10"/>
    <n v="7"/>
    <n v="9"/>
    <n v="9"/>
    <x v="0"/>
    <x v="0"/>
    <n v="1"/>
    <n v="1"/>
    <x v="2"/>
    <x v="1"/>
    <n v="67"/>
  </r>
  <r>
    <n v="28"/>
    <x v="1"/>
    <s v="Travel_Rarely"/>
    <n v="1158"/>
    <x v="1"/>
    <n v="9"/>
    <n v="3"/>
    <s v="Medical"/>
    <n v="1"/>
    <n v="377"/>
    <n v="4"/>
    <x v="1"/>
    <n v="94"/>
    <n v="3"/>
    <n v="1"/>
    <x v="1"/>
    <n v="4"/>
    <s v="Married"/>
    <n v="2070"/>
    <n v="2613"/>
    <n v="1"/>
    <s v="Y"/>
    <x v="1"/>
    <n v="23"/>
    <n v="4"/>
    <n v="4"/>
    <n v="80"/>
    <n v="1"/>
    <n v="5"/>
    <n v="3"/>
    <n v="2"/>
    <n v="5"/>
    <n v="2"/>
    <n v="0"/>
    <n v="4"/>
    <x v="2"/>
    <x v="1"/>
    <n v="0"/>
    <n v="0"/>
    <x v="3"/>
    <x v="1"/>
    <n v="56"/>
  </r>
  <r>
    <n v="37"/>
    <x v="1"/>
    <s v="Travel_Rarely"/>
    <n v="228"/>
    <x v="0"/>
    <n v="6"/>
    <n v="4"/>
    <s v="Medical"/>
    <n v="1"/>
    <n v="378"/>
    <n v="3"/>
    <x v="1"/>
    <n v="98"/>
    <n v="3"/>
    <n v="2"/>
    <x v="0"/>
    <n v="4"/>
    <s v="Married"/>
    <n v="6502"/>
    <n v="22825"/>
    <n v="4"/>
    <s v="Y"/>
    <x v="1"/>
    <n v="14"/>
    <n v="3"/>
    <n v="2"/>
    <n v="80"/>
    <n v="1"/>
    <n v="7"/>
    <n v="5"/>
    <n v="4"/>
    <n v="5"/>
    <n v="4"/>
    <n v="0"/>
    <n v="1"/>
    <x v="1"/>
    <x v="0"/>
    <n v="0"/>
    <n v="0"/>
    <x v="2"/>
    <x v="0"/>
    <n v="46"/>
  </r>
  <r>
    <n v="21"/>
    <x v="1"/>
    <s v="Travel_Rarely"/>
    <n v="996"/>
    <x v="1"/>
    <n v="3"/>
    <n v="2"/>
    <s v="Medical"/>
    <n v="1"/>
    <n v="379"/>
    <n v="4"/>
    <x v="1"/>
    <n v="100"/>
    <n v="2"/>
    <n v="1"/>
    <x v="1"/>
    <n v="3"/>
    <s v="Single"/>
    <n v="3230"/>
    <n v="10531"/>
    <n v="1"/>
    <s v="Y"/>
    <x v="1"/>
    <n v="17"/>
    <n v="3"/>
    <n v="1"/>
    <n v="80"/>
    <n v="0"/>
    <n v="3"/>
    <n v="4"/>
    <n v="4"/>
    <n v="3"/>
    <n v="2"/>
    <n v="1"/>
    <n v="0"/>
    <x v="2"/>
    <x v="1"/>
    <n v="0"/>
    <n v="0"/>
    <x v="0"/>
    <x v="1"/>
    <n v="63"/>
  </r>
  <r>
    <n v="37"/>
    <x v="1"/>
    <s v="Non-Travel"/>
    <n v="728"/>
    <x v="1"/>
    <n v="1"/>
    <n v="4"/>
    <s v="Medical"/>
    <n v="1"/>
    <n v="380"/>
    <n v="1"/>
    <x v="0"/>
    <n v="80"/>
    <n v="3"/>
    <n v="3"/>
    <x v="7"/>
    <n v="4"/>
    <s v="Divorced"/>
    <n v="13603"/>
    <n v="11677"/>
    <n v="2"/>
    <s v="Y"/>
    <x v="0"/>
    <n v="18"/>
    <n v="3"/>
    <n v="1"/>
    <n v="80"/>
    <n v="2"/>
    <n v="15"/>
    <n v="2"/>
    <n v="3"/>
    <n v="5"/>
    <n v="2"/>
    <n v="0"/>
    <n v="2"/>
    <x v="1"/>
    <x v="0"/>
    <n v="0"/>
    <n v="1"/>
    <x v="2"/>
    <x v="1"/>
    <n v="71"/>
  </r>
  <r>
    <n v="35"/>
    <x v="1"/>
    <s v="Travel_Rarely"/>
    <n v="1315"/>
    <x v="1"/>
    <n v="22"/>
    <n v="3"/>
    <s v="Life Sciences"/>
    <n v="1"/>
    <n v="381"/>
    <n v="2"/>
    <x v="0"/>
    <n v="71"/>
    <n v="4"/>
    <n v="3"/>
    <x v="5"/>
    <n v="2"/>
    <s v="Divorced"/>
    <n v="11996"/>
    <n v="19100"/>
    <n v="7"/>
    <s v="Y"/>
    <x v="1"/>
    <n v="18"/>
    <n v="3"/>
    <n v="2"/>
    <n v="80"/>
    <n v="1"/>
    <n v="10"/>
    <n v="6"/>
    <n v="2"/>
    <n v="7"/>
    <n v="7"/>
    <n v="6"/>
    <n v="2"/>
    <x v="1"/>
    <x v="0"/>
    <n v="0"/>
    <n v="0"/>
    <x v="3"/>
    <x v="0"/>
    <n v="52"/>
  </r>
  <r>
    <n v="38"/>
    <x v="1"/>
    <s v="Travel_Rarely"/>
    <n v="322"/>
    <x v="0"/>
    <n v="7"/>
    <n v="2"/>
    <s v="Medical"/>
    <n v="1"/>
    <n v="382"/>
    <n v="1"/>
    <x v="0"/>
    <n v="44"/>
    <n v="4"/>
    <n v="2"/>
    <x v="0"/>
    <n v="1"/>
    <s v="Divorced"/>
    <n v="5605"/>
    <n v="19191"/>
    <n v="1"/>
    <s v="Y"/>
    <x v="0"/>
    <n v="24"/>
    <n v="4"/>
    <n v="3"/>
    <n v="80"/>
    <n v="1"/>
    <n v="8"/>
    <n v="3"/>
    <n v="3"/>
    <n v="8"/>
    <n v="0"/>
    <n v="7"/>
    <n v="7"/>
    <x v="1"/>
    <x v="0"/>
    <n v="0"/>
    <n v="1"/>
    <x v="0"/>
    <x v="1"/>
    <n v="83"/>
  </r>
  <r>
    <n v="26"/>
    <x v="1"/>
    <s v="Travel_Frequently"/>
    <n v="1479"/>
    <x v="1"/>
    <n v="1"/>
    <n v="3"/>
    <s v="Life Sciences"/>
    <n v="1"/>
    <n v="384"/>
    <n v="3"/>
    <x v="0"/>
    <n v="84"/>
    <n v="3"/>
    <n v="2"/>
    <x v="3"/>
    <n v="2"/>
    <s v="Divorced"/>
    <n v="6397"/>
    <n v="26767"/>
    <n v="1"/>
    <s v="Y"/>
    <x v="1"/>
    <n v="20"/>
    <n v="4"/>
    <n v="1"/>
    <n v="80"/>
    <n v="1"/>
    <n v="6"/>
    <n v="6"/>
    <n v="1"/>
    <n v="6"/>
    <n v="5"/>
    <n v="1"/>
    <n v="4"/>
    <x v="2"/>
    <x v="0"/>
    <n v="0"/>
    <n v="0"/>
    <x v="3"/>
    <x v="1"/>
    <n v="62"/>
  </r>
  <r>
    <n v="50"/>
    <x v="1"/>
    <s v="Travel_Rarely"/>
    <n v="797"/>
    <x v="1"/>
    <n v="4"/>
    <n v="1"/>
    <s v="Life Sciences"/>
    <n v="1"/>
    <n v="385"/>
    <n v="1"/>
    <x v="1"/>
    <n v="96"/>
    <n v="3"/>
    <n v="5"/>
    <x v="7"/>
    <n v="2"/>
    <s v="Divorced"/>
    <n v="19144"/>
    <n v="15815"/>
    <n v="3"/>
    <s v="Y"/>
    <x v="1"/>
    <n v="14"/>
    <n v="3"/>
    <n v="1"/>
    <n v="80"/>
    <n v="2"/>
    <n v="28"/>
    <n v="4"/>
    <n v="2"/>
    <n v="10"/>
    <n v="4"/>
    <n v="1"/>
    <n v="6"/>
    <x v="3"/>
    <x v="2"/>
    <n v="0"/>
    <n v="0"/>
    <x v="1"/>
    <x v="0"/>
    <n v="47"/>
  </r>
  <r>
    <n v="53"/>
    <x v="1"/>
    <s v="Travel_Rarely"/>
    <n v="1070"/>
    <x v="1"/>
    <n v="3"/>
    <n v="4"/>
    <s v="Medical"/>
    <n v="1"/>
    <n v="386"/>
    <n v="3"/>
    <x v="1"/>
    <n v="45"/>
    <n v="3"/>
    <n v="4"/>
    <x v="7"/>
    <n v="3"/>
    <s v="Married"/>
    <n v="17584"/>
    <n v="21016"/>
    <n v="3"/>
    <s v="Y"/>
    <x v="0"/>
    <n v="16"/>
    <n v="3"/>
    <n v="4"/>
    <n v="80"/>
    <n v="3"/>
    <n v="21"/>
    <n v="5"/>
    <n v="2"/>
    <n v="5"/>
    <n v="3"/>
    <n v="1"/>
    <n v="3"/>
    <x v="3"/>
    <x v="2"/>
    <n v="0"/>
    <n v="1"/>
    <x v="2"/>
    <x v="1"/>
    <n v="73"/>
  </r>
  <r>
    <n v="42"/>
    <x v="1"/>
    <s v="Travel_Rarely"/>
    <n v="635"/>
    <x v="0"/>
    <n v="1"/>
    <n v="1"/>
    <s v="Life Sciences"/>
    <n v="1"/>
    <n v="387"/>
    <n v="2"/>
    <x v="1"/>
    <n v="99"/>
    <n v="3"/>
    <n v="2"/>
    <x v="0"/>
    <n v="3"/>
    <s v="Married"/>
    <n v="4907"/>
    <n v="24532"/>
    <n v="1"/>
    <s v="Y"/>
    <x v="1"/>
    <n v="25"/>
    <n v="4"/>
    <n v="3"/>
    <n v="80"/>
    <n v="0"/>
    <n v="20"/>
    <n v="3"/>
    <n v="3"/>
    <n v="20"/>
    <n v="16"/>
    <n v="11"/>
    <n v="6"/>
    <x v="0"/>
    <x v="1"/>
    <n v="0"/>
    <n v="0"/>
    <x v="1"/>
    <x v="2"/>
    <n v="31"/>
  </r>
  <r>
    <n v="29"/>
    <x v="1"/>
    <s v="Travel_Frequently"/>
    <n v="442"/>
    <x v="0"/>
    <n v="2"/>
    <n v="2"/>
    <s v="Life Sciences"/>
    <n v="1"/>
    <n v="388"/>
    <n v="2"/>
    <x v="1"/>
    <n v="44"/>
    <n v="3"/>
    <n v="2"/>
    <x v="0"/>
    <n v="4"/>
    <s v="Single"/>
    <n v="4554"/>
    <n v="20260"/>
    <n v="1"/>
    <s v="Y"/>
    <x v="1"/>
    <n v="18"/>
    <n v="3"/>
    <n v="1"/>
    <n v="80"/>
    <n v="0"/>
    <n v="10"/>
    <n v="3"/>
    <n v="2"/>
    <n v="10"/>
    <n v="7"/>
    <n v="0"/>
    <n v="9"/>
    <x v="2"/>
    <x v="1"/>
    <n v="0"/>
    <n v="0"/>
    <x v="0"/>
    <x v="0"/>
    <n v="49"/>
  </r>
  <r>
    <n v="55"/>
    <x v="1"/>
    <s v="Travel_Rarely"/>
    <n v="147"/>
    <x v="1"/>
    <n v="20"/>
    <n v="2"/>
    <s v="Technical Degree"/>
    <n v="1"/>
    <n v="389"/>
    <n v="2"/>
    <x v="1"/>
    <n v="37"/>
    <n v="3"/>
    <n v="2"/>
    <x v="2"/>
    <n v="4"/>
    <s v="Married"/>
    <n v="5415"/>
    <n v="15972"/>
    <n v="3"/>
    <s v="Y"/>
    <x v="0"/>
    <n v="19"/>
    <n v="3"/>
    <n v="4"/>
    <n v="80"/>
    <n v="1"/>
    <n v="12"/>
    <n v="4"/>
    <n v="3"/>
    <n v="10"/>
    <n v="7"/>
    <n v="0"/>
    <n v="8"/>
    <x v="3"/>
    <x v="0"/>
    <n v="0"/>
    <n v="1"/>
    <x v="0"/>
    <x v="1"/>
    <n v="59"/>
  </r>
  <r>
    <n v="26"/>
    <x v="1"/>
    <s v="Travel_Frequently"/>
    <n v="496"/>
    <x v="1"/>
    <n v="11"/>
    <n v="2"/>
    <s v="Medical"/>
    <n v="1"/>
    <n v="390"/>
    <n v="1"/>
    <x v="1"/>
    <n v="60"/>
    <n v="3"/>
    <n v="2"/>
    <x v="4"/>
    <n v="1"/>
    <s v="Married"/>
    <n v="4741"/>
    <n v="22722"/>
    <n v="1"/>
    <s v="Y"/>
    <x v="0"/>
    <n v="13"/>
    <n v="3"/>
    <n v="3"/>
    <n v="80"/>
    <n v="1"/>
    <n v="5"/>
    <n v="3"/>
    <n v="3"/>
    <n v="5"/>
    <n v="3"/>
    <n v="3"/>
    <n v="3"/>
    <x v="2"/>
    <x v="1"/>
    <n v="0"/>
    <n v="1"/>
    <x v="0"/>
    <x v="1"/>
    <n v="100"/>
  </r>
  <r>
    <n v="37"/>
    <x v="1"/>
    <s v="Travel_Rarely"/>
    <n v="1372"/>
    <x v="1"/>
    <n v="1"/>
    <n v="3"/>
    <s v="Life Sciences"/>
    <n v="1"/>
    <n v="391"/>
    <n v="4"/>
    <x v="0"/>
    <n v="42"/>
    <n v="3"/>
    <n v="1"/>
    <x v="1"/>
    <n v="4"/>
    <s v="Single"/>
    <n v="2115"/>
    <n v="15881"/>
    <n v="1"/>
    <s v="Y"/>
    <x v="1"/>
    <n v="12"/>
    <n v="3"/>
    <n v="2"/>
    <n v="80"/>
    <n v="0"/>
    <n v="17"/>
    <n v="3"/>
    <n v="3"/>
    <n v="17"/>
    <n v="12"/>
    <n v="5"/>
    <n v="7"/>
    <x v="1"/>
    <x v="1"/>
    <n v="0"/>
    <n v="0"/>
    <x v="3"/>
    <x v="2"/>
    <n v="34"/>
  </r>
  <r>
    <n v="44"/>
    <x v="0"/>
    <s v="Travel_Frequently"/>
    <n v="920"/>
    <x v="1"/>
    <n v="24"/>
    <n v="3"/>
    <s v="Life Sciences"/>
    <n v="1"/>
    <n v="392"/>
    <n v="4"/>
    <x v="1"/>
    <n v="43"/>
    <n v="3"/>
    <n v="1"/>
    <x v="2"/>
    <n v="3"/>
    <s v="Divorced"/>
    <n v="3161"/>
    <n v="19920"/>
    <n v="3"/>
    <s v="Y"/>
    <x v="0"/>
    <n v="22"/>
    <n v="4"/>
    <n v="4"/>
    <n v="80"/>
    <n v="1"/>
    <n v="19"/>
    <n v="0"/>
    <n v="1"/>
    <n v="1"/>
    <n v="0"/>
    <n v="0"/>
    <n v="0"/>
    <x v="0"/>
    <x v="1"/>
    <n v="1"/>
    <n v="1"/>
    <x v="3"/>
    <x v="1"/>
    <n v="78"/>
  </r>
  <r>
    <n v="38"/>
    <x v="1"/>
    <s v="Travel_Rarely"/>
    <n v="688"/>
    <x v="1"/>
    <n v="23"/>
    <n v="4"/>
    <s v="Life Sciences"/>
    <n v="1"/>
    <n v="393"/>
    <n v="4"/>
    <x v="1"/>
    <n v="82"/>
    <n v="3"/>
    <n v="2"/>
    <x v="4"/>
    <n v="4"/>
    <s v="Divorced"/>
    <n v="5745"/>
    <n v="18899"/>
    <n v="9"/>
    <s v="Y"/>
    <x v="1"/>
    <n v="14"/>
    <n v="3"/>
    <n v="2"/>
    <n v="80"/>
    <n v="1"/>
    <n v="10"/>
    <n v="2"/>
    <n v="3"/>
    <n v="2"/>
    <n v="2"/>
    <n v="1"/>
    <n v="2"/>
    <x v="1"/>
    <x v="0"/>
    <n v="0"/>
    <n v="0"/>
    <x v="2"/>
    <x v="1"/>
    <n v="56"/>
  </r>
  <r>
    <n v="26"/>
    <x v="0"/>
    <s v="Travel_Rarely"/>
    <n v="1449"/>
    <x v="1"/>
    <n v="16"/>
    <n v="4"/>
    <s v="Medical"/>
    <n v="1"/>
    <n v="394"/>
    <n v="1"/>
    <x v="1"/>
    <n v="45"/>
    <n v="3"/>
    <n v="1"/>
    <x v="2"/>
    <n v="2"/>
    <s v="Divorced"/>
    <n v="2373"/>
    <n v="14180"/>
    <n v="2"/>
    <s v="Y"/>
    <x v="0"/>
    <n v="13"/>
    <n v="3"/>
    <n v="4"/>
    <n v="80"/>
    <n v="1"/>
    <n v="5"/>
    <n v="2"/>
    <n v="3"/>
    <n v="3"/>
    <n v="2"/>
    <n v="0"/>
    <n v="2"/>
    <x v="2"/>
    <x v="1"/>
    <n v="1"/>
    <n v="1"/>
    <x v="2"/>
    <x v="1"/>
    <n v="94"/>
  </r>
  <r>
    <n v="28"/>
    <x v="1"/>
    <s v="Travel_Rarely"/>
    <n v="1117"/>
    <x v="1"/>
    <n v="8"/>
    <n v="2"/>
    <s v="Life Sciences"/>
    <n v="1"/>
    <n v="395"/>
    <n v="4"/>
    <x v="0"/>
    <n v="66"/>
    <n v="3"/>
    <n v="1"/>
    <x v="1"/>
    <n v="4"/>
    <s v="Single"/>
    <n v="3310"/>
    <n v="4488"/>
    <n v="1"/>
    <s v="Y"/>
    <x v="1"/>
    <n v="21"/>
    <n v="4"/>
    <n v="4"/>
    <n v="80"/>
    <n v="0"/>
    <n v="5"/>
    <n v="3"/>
    <n v="3"/>
    <n v="5"/>
    <n v="3"/>
    <n v="0"/>
    <n v="2"/>
    <x v="2"/>
    <x v="1"/>
    <n v="0"/>
    <n v="0"/>
    <x v="0"/>
    <x v="1"/>
    <n v="56"/>
  </r>
  <r>
    <n v="49"/>
    <x v="1"/>
    <s v="Travel_Frequently"/>
    <n v="636"/>
    <x v="1"/>
    <n v="10"/>
    <n v="4"/>
    <s v="Life Sciences"/>
    <n v="1"/>
    <n v="396"/>
    <n v="3"/>
    <x v="0"/>
    <n v="35"/>
    <n v="3"/>
    <n v="5"/>
    <x v="7"/>
    <n v="1"/>
    <s v="Single"/>
    <n v="18665"/>
    <n v="25594"/>
    <n v="9"/>
    <s v="Y"/>
    <x v="0"/>
    <n v="11"/>
    <n v="3"/>
    <n v="4"/>
    <n v="80"/>
    <n v="0"/>
    <n v="22"/>
    <n v="4"/>
    <n v="3"/>
    <n v="3"/>
    <n v="2"/>
    <n v="1"/>
    <n v="2"/>
    <x v="0"/>
    <x v="2"/>
    <n v="0"/>
    <n v="1"/>
    <x v="2"/>
    <x v="1"/>
    <n v="80"/>
  </r>
  <r>
    <n v="36"/>
    <x v="1"/>
    <s v="Travel_Rarely"/>
    <n v="506"/>
    <x v="1"/>
    <n v="3"/>
    <n v="3"/>
    <s v="Technical Degree"/>
    <n v="1"/>
    <n v="397"/>
    <n v="3"/>
    <x v="1"/>
    <n v="30"/>
    <n v="3"/>
    <n v="2"/>
    <x v="1"/>
    <n v="2"/>
    <s v="Single"/>
    <n v="4485"/>
    <n v="26285"/>
    <n v="4"/>
    <s v="Y"/>
    <x v="1"/>
    <n v="12"/>
    <n v="3"/>
    <n v="4"/>
    <n v="80"/>
    <n v="0"/>
    <n v="10"/>
    <n v="2"/>
    <n v="3"/>
    <n v="8"/>
    <n v="0"/>
    <n v="7"/>
    <n v="7"/>
    <x v="1"/>
    <x v="1"/>
    <n v="0"/>
    <n v="0"/>
    <x v="3"/>
    <x v="0"/>
    <n v="52"/>
  </r>
  <r>
    <n v="31"/>
    <x v="1"/>
    <s v="Travel_Frequently"/>
    <n v="444"/>
    <x v="0"/>
    <n v="5"/>
    <n v="3"/>
    <s v="Marketing"/>
    <n v="1"/>
    <n v="399"/>
    <n v="4"/>
    <x v="0"/>
    <n v="84"/>
    <n v="3"/>
    <n v="1"/>
    <x v="6"/>
    <n v="2"/>
    <s v="Divorced"/>
    <n v="2789"/>
    <n v="3909"/>
    <n v="1"/>
    <s v="Y"/>
    <x v="1"/>
    <n v="11"/>
    <n v="3"/>
    <n v="3"/>
    <n v="80"/>
    <n v="1"/>
    <n v="2"/>
    <n v="5"/>
    <n v="2"/>
    <n v="2"/>
    <n v="2"/>
    <n v="2"/>
    <n v="2"/>
    <x v="1"/>
    <x v="1"/>
    <n v="0"/>
    <n v="0"/>
    <x v="3"/>
    <x v="1"/>
    <n v="69"/>
  </r>
  <r>
    <n v="26"/>
    <x v="0"/>
    <s v="Travel_Rarely"/>
    <n v="950"/>
    <x v="0"/>
    <n v="4"/>
    <n v="4"/>
    <s v="Marketing"/>
    <n v="1"/>
    <n v="401"/>
    <n v="4"/>
    <x v="1"/>
    <n v="48"/>
    <n v="2"/>
    <n v="2"/>
    <x v="0"/>
    <n v="4"/>
    <s v="Single"/>
    <n v="5828"/>
    <n v="8450"/>
    <n v="1"/>
    <s v="Y"/>
    <x v="0"/>
    <n v="12"/>
    <n v="3"/>
    <n v="2"/>
    <n v="80"/>
    <n v="0"/>
    <n v="8"/>
    <n v="0"/>
    <n v="3"/>
    <n v="8"/>
    <n v="7"/>
    <n v="7"/>
    <n v="4"/>
    <x v="2"/>
    <x v="0"/>
    <n v="1"/>
    <n v="1"/>
    <x v="2"/>
    <x v="1"/>
    <n v="74"/>
  </r>
  <r>
    <n v="37"/>
    <x v="1"/>
    <s v="Travel_Frequently"/>
    <n v="889"/>
    <x v="1"/>
    <n v="9"/>
    <n v="3"/>
    <s v="Medical"/>
    <n v="1"/>
    <n v="403"/>
    <n v="2"/>
    <x v="1"/>
    <n v="53"/>
    <n v="3"/>
    <n v="1"/>
    <x v="1"/>
    <n v="4"/>
    <s v="Married"/>
    <n v="2326"/>
    <n v="11411"/>
    <n v="1"/>
    <s v="Y"/>
    <x v="0"/>
    <n v="12"/>
    <n v="3"/>
    <n v="3"/>
    <n v="80"/>
    <n v="3"/>
    <n v="4"/>
    <n v="3"/>
    <n v="2"/>
    <n v="4"/>
    <n v="2"/>
    <n v="1"/>
    <n v="2"/>
    <x v="1"/>
    <x v="1"/>
    <n v="0"/>
    <n v="1"/>
    <x v="3"/>
    <x v="1"/>
    <n v="71"/>
  </r>
  <r>
    <n v="42"/>
    <x v="1"/>
    <s v="Travel_Frequently"/>
    <n v="555"/>
    <x v="0"/>
    <n v="26"/>
    <n v="3"/>
    <s v="Marketing"/>
    <n v="1"/>
    <n v="404"/>
    <n v="3"/>
    <x v="0"/>
    <n v="77"/>
    <n v="3"/>
    <n v="4"/>
    <x v="0"/>
    <n v="2"/>
    <s v="Married"/>
    <n v="13525"/>
    <n v="14864"/>
    <n v="5"/>
    <s v="Y"/>
    <x v="1"/>
    <n v="14"/>
    <n v="3"/>
    <n v="4"/>
    <n v="80"/>
    <n v="1"/>
    <n v="23"/>
    <n v="2"/>
    <n v="4"/>
    <n v="20"/>
    <n v="4"/>
    <n v="4"/>
    <n v="8"/>
    <x v="0"/>
    <x v="0"/>
    <n v="0"/>
    <n v="0"/>
    <x v="3"/>
    <x v="0"/>
    <n v="37"/>
  </r>
  <r>
    <n v="18"/>
    <x v="0"/>
    <s v="Travel_Rarely"/>
    <n v="230"/>
    <x v="1"/>
    <n v="3"/>
    <n v="3"/>
    <s v="Life Sciences"/>
    <n v="1"/>
    <n v="405"/>
    <n v="3"/>
    <x v="1"/>
    <n v="54"/>
    <n v="3"/>
    <n v="1"/>
    <x v="2"/>
    <n v="3"/>
    <s v="Single"/>
    <n v="1420"/>
    <n v="25233"/>
    <n v="1"/>
    <s v="Y"/>
    <x v="1"/>
    <n v="13"/>
    <n v="3"/>
    <n v="3"/>
    <n v="80"/>
    <n v="0"/>
    <n v="0"/>
    <n v="2"/>
    <n v="3"/>
    <n v="0"/>
    <n v="0"/>
    <n v="0"/>
    <n v="0"/>
    <x v="2"/>
    <x v="1"/>
    <n v="1"/>
    <n v="0"/>
    <x v="3"/>
    <x v="1"/>
    <n v="73"/>
  </r>
  <r>
    <n v="35"/>
    <x v="1"/>
    <s v="Travel_Rarely"/>
    <n v="1232"/>
    <x v="0"/>
    <n v="16"/>
    <n v="3"/>
    <s v="Marketing"/>
    <n v="1"/>
    <n v="406"/>
    <n v="3"/>
    <x v="1"/>
    <n v="96"/>
    <n v="3"/>
    <n v="3"/>
    <x v="0"/>
    <n v="2"/>
    <s v="Married"/>
    <n v="8020"/>
    <n v="5100"/>
    <n v="0"/>
    <s v="Y"/>
    <x v="1"/>
    <n v="15"/>
    <n v="3"/>
    <n v="3"/>
    <n v="80"/>
    <n v="2"/>
    <n v="12"/>
    <n v="3"/>
    <n v="2"/>
    <n v="11"/>
    <n v="9"/>
    <n v="6"/>
    <n v="9"/>
    <x v="1"/>
    <x v="0"/>
    <n v="0"/>
    <n v="0"/>
    <x v="3"/>
    <x v="0"/>
    <n v="47"/>
  </r>
  <r>
    <n v="36"/>
    <x v="1"/>
    <s v="Travel_Frequently"/>
    <n v="566"/>
    <x v="1"/>
    <n v="18"/>
    <n v="4"/>
    <s v="Life Sciences"/>
    <n v="1"/>
    <n v="407"/>
    <n v="3"/>
    <x v="1"/>
    <n v="81"/>
    <n v="4"/>
    <n v="1"/>
    <x v="2"/>
    <n v="4"/>
    <s v="Married"/>
    <n v="3688"/>
    <n v="7122"/>
    <n v="4"/>
    <s v="Y"/>
    <x v="1"/>
    <n v="18"/>
    <n v="3"/>
    <n v="4"/>
    <n v="80"/>
    <n v="2"/>
    <n v="4"/>
    <n v="2"/>
    <n v="3"/>
    <n v="1"/>
    <n v="0"/>
    <n v="0"/>
    <n v="0"/>
    <x v="1"/>
    <x v="1"/>
    <n v="0"/>
    <n v="0"/>
    <x v="2"/>
    <x v="1"/>
    <n v="56"/>
  </r>
  <r>
    <n v="51"/>
    <x v="1"/>
    <s v="Travel_Rarely"/>
    <n v="1302"/>
    <x v="1"/>
    <n v="2"/>
    <n v="3"/>
    <s v="Medical"/>
    <n v="1"/>
    <n v="408"/>
    <n v="4"/>
    <x v="1"/>
    <n v="84"/>
    <n v="1"/>
    <n v="2"/>
    <x v="3"/>
    <n v="2"/>
    <s v="Divorced"/>
    <n v="5482"/>
    <n v="16321"/>
    <n v="5"/>
    <s v="Y"/>
    <x v="1"/>
    <n v="18"/>
    <n v="3"/>
    <n v="4"/>
    <n v="80"/>
    <n v="1"/>
    <n v="13"/>
    <n v="3"/>
    <n v="3"/>
    <n v="4"/>
    <n v="1"/>
    <n v="1"/>
    <n v="2"/>
    <x v="3"/>
    <x v="0"/>
    <n v="0"/>
    <n v="0"/>
    <x v="3"/>
    <x v="0"/>
    <n v="54"/>
  </r>
  <r>
    <n v="41"/>
    <x v="1"/>
    <s v="Travel_Rarely"/>
    <n v="334"/>
    <x v="0"/>
    <n v="2"/>
    <n v="4"/>
    <s v="Life Sciences"/>
    <n v="1"/>
    <n v="410"/>
    <n v="4"/>
    <x v="1"/>
    <n v="88"/>
    <n v="3"/>
    <n v="4"/>
    <x v="5"/>
    <n v="2"/>
    <s v="Single"/>
    <n v="16015"/>
    <n v="15896"/>
    <n v="1"/>
    <s v="Y"/>
    <x v="1"/>
    <n v="19"/>
    <n v="3"/>
    <n v="2"/>
    <n v="80"/>
    <n v="0"/>
    <n v="22"/>
    <n v="2"/>
    <n v="3"/>
    <n v="22"/>
    <n v="10"/>
    <n v="0"/>
    <n v="4"/>
    <x v="0"/>
    <x v="2"/>
    <n v="0"/>
    <n v="0"/>
    <x v="2"/>
    <x v="0"/>
    <n v="37"/>
  </r>
  <r>
    <n v="18"/>
    <x v="1"/>
    <s v="Travel_Rarely"/>
    <n v="812"/>
    <x v="0"/>
    <n v="10"/>
    <n v="3"/>
    <s v="Medical"/>
    <n v="1"/>
    <n v="411"/>
    <n v="4"/>
    <x v="0"/>
    <n v="69"/>
    <n v="2"/>
    <n v="1"/>
    <x v="6"/>
    <n v="3"/>
    <s v="Single"/>
    <n v="1200"/>
    <n v="9724"/>
    <n v="1"/>
    <s v="Y"/>
    <x v="1"/>
    <n v="12"/>
    <n v="3"/>
    <n v="1"/>
    <n v="80"/>
    <n v="0"/>
    <n v="0"/>
    <n v="2"/>
    <n v="3"/>
    <n v="0"/>
    <n v="0"/>
    <n v="0"/>
    <n v="0"/>
    <x v="2"/>
    <x v="1"/>
    <n v="0"/>
    <n v="0"/>
    <x v="3"/>
    <x v="1"/>
    <n v="73"/>
  </r>
  <r>
    <n v="28"/>
    <x v="1"/>
    <s v="Travel_Rarely"/>
    <n v="1476"/>
    <x v="1"/>
    <n v="16"/>
    <n v="2"/>
    <s v="Medical"/>
    <n v="1"/>
    <n v="412"/>
    <n v="2"/>
    <x v="1"/>
    <n v="68"/>
    <n v="4"/>
    <n v="2"/>
    <x v="4"/>
    <n v="1"/>
    <s v="Single"/>
    <n v="5661"/>
    <n v="4824"/>
    <n v="0"/>
    <s v="Y"/>
    <x v="1"/>
    <n v="19"/>
    <n v="3"/>
    <n v="3"/>
    <n v="80"/>
    <n v="0"/>
    <n v="9"/>
    <n v="2"/>
    <n v="3"/>
    <n v="8"/>
    <n v="3"/>
    <n v="0"/>
    <n v="7"/>
    <x v="2"/>
    <x v="0"/>
    <n v="0"/>
    <n v="0"/>
    <x v="0"/>
    <x v="1"/>
    <n v="68"/>
  </r>
  <r>
    <n v="31"/>
    <x v="1"/>
    <s v="Travel_Rarely"/>
    <n v="218"/>
    <x v="0"/>
    <n v="7"/>
    <n v="3"/>
    <s v="Technical Degree"/>
    <n v="1"/>
    <n v="416"/>
    <n v="2"/>
    <x v="1"/>
    <n v="100"/>
    <n v="4"/>
    <n v="2"/>
    <x v="0"/>
    <n v="4"/>
    <s v="Married"/>
    <n v="6929"/>
    <n v="12241"/>
    <n v="4"/>
    <s v="Y"/>
    <x v="1"/>
    <n v="11"/>
    <n v="3"/>
    <n v="2"/>
    <n v="80"/>
    <n v="1"/>
    <n v="10"/>
    <n v="3"/>
    <n v="2"/>
    <n v="8"/>
    <n v="7"/>
    <n v="7"/>
    <n v="7"/>
    <x v="1"/>
    <x v="0"/>
    <n v="0"/>
    <n v="0"/>
    <x v="3"/>
    <x v="0"/>
    <n v="39"/>
  </r>
  <r>
    <n v="39"/>
    <x v="1"/>
    <s v="Travel_Rarely"/>
    <n v="1132"/>
    <x v="1"/>
    <n v="1"/>
    <n v="3"/>
    <s v="Medical"/>
    <n v="1"/>
    <n v="417"/>
    <n v="3"/>
    <x v="1"/>
    <n v="48"/>
    <n v="4"/>
    <n v="3"/>
    <x v="4"/>
    <n v="4"/>
    <s v="Divorced"/>
    <n v="9613"/>
    <n v="10942"/>
    <n v="0"/>
    <s v="Y"/>
    <x v="1"/>
    <n v="17"/>
    <n v="3"/>
    <n v="1"/>
    <n v="80"/>
    <n v="3"/>
    <n v="19"/>
    <n v="5"/>
    <n v="2"/>
    <n v="18"/>
    <n v="10"/>
    <n v="3"/>
    <n v="7"/>
    <x v="1"/>
    <x v="0"/>
    <n v="0"/>
    <n v="0"/>
    <x v="3"/>
    <x v="2"/>
    <n v="34"/>
  </r>
  <r>
    <n v="36"/>
    <x v="1"/>
    <s v="Non-Travel"/>
    <n v="1105"/>
    <x v="1"/>
    <n v="24"/>
    <n v="4"/>
    <s v="Life Sciences"/>
    <n v="1"/>
    <n v="419"/>
    <n v="2"/>
    <x v="0"/>
    <n v="47"/>
    <n v="3"/>
    <n v="2"/>
    <x v="2"/>
    <n v="2"/>
    <s v="Married"/>
    <n v="5674"/>
    <n v="6927"/>
    <n v="7"/>
    <s v="Y"/>
    <x v="1"/>
    <n v="15"/>
    <n v="3"/>
    <n v="3"/>
    <n v="80"/>
    <n v="1"/>
    <n v="11"/>
    <n v="3"/>
    <n v="3"/>
    <n v="9"/>
    <n v="8"/>
    <n v="0"/>
    <n v="8"/>
    <x v="1"/>
    <x v="0"/>
    <n v="0"/>
    <n v="0"/>
    <x v="2"/>
    <x v="0"/>
    <n v="52"/>
  </r>
  <r>
    <n v="32"/>
    <x v="1"/>
    <s v="Travel_Rarely"/>
    <n v="906"/>
    <x v="0"/>
    <n v="7"/>
    <n v="3"/>
    <s v="Life Sciences"/>
    <n v="1"/>
    <n v="420"/>
    <n v="4"/>
    <x v="1"/>
    <n v="91"/>
    <n v="2"/>
    <n v="2"/>
    <x v="0"/>
    <n v="3"/>
    <s v="Married"/>
    <n v="5484"/>
    <n v="16985"/>
    <n v="1"/>
    <s v="Y"/>
    <x v="1"/>
    <n v="14"/>
    <n v="3"/>
    <n v="3"/>
    <n v="80"/>
    <n v="1"/>
    <n v="13"/>
    <n v="3"/>
    <n v="2"/>
    <n v="13"/>
    <n v="8"/>
    <n v="4"/>
    <n v="8"/>
    <x v="1"/>
    <x v="0"/>
    <n v="0"/>
    <n v="0"/>
    <x v="3"/>
    <x v="0"/>
    <n v="41"/>
  </r>
  <r>
    <n v="38"/>
    <x v="1"/>
    <s v="Travel_Rarely"/>
    <n v="849"/>
    <x v="1"/>
    <n v="25"/>
    <n v="2"/>
    <s v="Life Sciences"/>
    <n v="1"/>
    <n v="421"/>
    <n v="1"/>
    <x v="0"/>
    <n v="81"/>
    <n v="2"/>
    <n v="3"/>
    <x v="7"/>
    <n v="2"/>
    <s v="Married"/>
    <n v="12061"/>
    <n v="26707"/>
    <n v="3"/>
    <s v="Y"/>
    <x v="1"/>
    <n v="17"/>
    <n v="3"/>
    <n v="3"/>
    <n v="80"/>
    <n v="1"/>
    <n v="19"/>
    <n v="2"/>
    <n v="3"/>
    <n v="10"/>
    <n v="8"/>
    <n v="0"/>
    <n v="1"/>
    <x v="1"/>
    <x v="0"/>
    <n v="0"/>
    <n v="0"/>
    <x v="0"/>
    <x v="0"/>
    <n v="52"/>
  </r>
  <r>
    <n v="58"/>
    <x v="1"/>
    <s v="Non-Travel"/>
    <n v="390"/>
    <x v="1"/>
    <n v="1"/>
    <n v="4"/>
    <s v="Life Sciences"/>
    <n v="1"/>
    <n v="422"/>
    <n v="4"/>
    <x v="1"/>
    <n v="32"/>
    <n v="1"/>
    <n v="2"/>
    <x v="4"/>
    <n v="3"/>
    <s v="Divorced"/>
    <n v="5660"/>
    <n v="17056"/>
    <n v="2"/>
    <s v="Y"/>
    <x v="0"/>
    <n v="13"/>
    <n v="3"/>
    <n v="4"/>
    <n v="80"/>
    <n v="1"/>
    <n v="12"/>
    <n v="2"/>
    <n v="3"/>
    <n v="5"/>
    <n v="3"/>
    <n v="1"/>
    <n v="2"/>
    <x v="3"/>
    <x v="0"/>
    <n v="0"/>
    <n v="1"/>
    <x v="2"/>
    <x v="1"/>
    <n v="73"/>
  </r>
  <r>
    <n v="31"/>
    <x v="1"/>
    <s v="Travel_Rarely"/>
    <n v="691"/>
    <x v="1"/>
    <n v="5"/>
    <n v="4"/>
    <s v="Technical Degree"/>
    <n v="1"/>
    <n v="423"/>
    <n v="3"/>
    <x v="1"/>
    <n v="86"/>
    <n v="3"/>
    <n v="1"/>
    <x v="1"/>
    <n v="4"/>
    <s v="Married"/>
    <n v="4821"/>
    <n v="10077"/>
    <n v="0"/>
    <s v="Y"/>
    <x v="0"/>
    <n v="12"/>
    <n v="3"/>
    <n v="3"/>
    <n v="80"/>
    <n v="1"/>
    <n v="6"/>
    <n v="4"/>
    <n v="3"/>
    <n v="5"/>
    <n v="2"/>
    <n v="0"/>
    <n v="3"/>
    <x v="1"/>
    <x v="1"/>
    <n v="0"/>
    <n v="1"/>
    <x v="2"/>
    <x v="1"/>
    <n v="71"/>
  </r>
  <r>
    <n v="31"/>
    <x v="1"/>
    <s v="Travel_Rarely"/>
    <n v="106"/>
    <x v="2"/>
    <n v="2"/>
    <n v="3"/>
    <s v="Human Resources"/>
    <n v="1"/>
    <n v="424"/>
    <n v="1"/>
    <x v="1"/>
    <n v="62"/>
    <n v="2"/>
    <n v="2"/>
    <x v="8"/>
    <n v="1"/>
    <s v="Married"/>
    <n v="6410"/>
    <n v="17822"/>
    <n v="3"/>
    <s v="Y"/>
    <x v="1"/>
    <n v="12"/>
    <n v="3"/>
    <n v="4"/>
    <n v="80"/>
    <n v="0"/>
    <n v="9"/>
    <n v="1"/>
    <n v="3"/>
    <n v="2"/>
    <n v="2"/>
    <n v="1"/>
    <n v="0"/>
    <x v="1"/>
    <x v="0"/>
    <n v="0"/>
    <n v="0"/>
    <x v="3"/>
    <x v="1"/>
    <n v="75"/>
  </r>
  <r>
    <n v="45"/>
    <x v="1"/>
    <s v="Travel_Frequently"/>
    <n v="1249"/>
    <x v="1"/>
    <n v="7"/>
    <n v="3"/>
    <s v="Life Sciences"/>
    <n v="1"/>
    <n v="425"/>
    <n v="1"/>
    <x v="1"/>
    <n v="97"/>
    <n v="3"/>
    <n v="3"/>
    <x v="2"/>
    <n v="1"/>
    <s v="Divorced"/>
    <n v="5210"/>
    <n v="20308"/>
    <n v="1"/>
    <s v="Y"/>
    <x v="1"/>
    <n v="18"/>
    <n v="3"/>
    <n v="1"/>
    <n v="80"/>
    <n v="1"/>
    <n v="24"/>
    <n v="2"/>
    <n v="3"/>
    <n v="24"/>
    <n v="9"/>
    <n v="9"/>
    <n v="11"/>
    <x v="0"/>
    <x v="0"/>
    <n v="0"/>
    <n v="0"/>
    <x v="3"/>
    <x v="0"/>
    <n v="43"/>
  </r>
  <r>
    <n v="31"/>
    <x v="1"/>
    <s v="Travel_Rarely"/>
    <n v="192"/>
    <x v="1"/>
    <n v="2"/>
    <n v="4"/>
    <s v="Life Sciences"/>
    <n v="1"/>
    <n v="426"/>
    <n v="3"/>
    <x v="1"/>
    <n v="32"/>
    <n v="3"/>
    <n v="1"/>
    <x v="1"/>
    <n v="4"/>
    <s v="Divorced"/>
    <n v="2695"/>
    <n v="7747"/>
    <n v="0"/>
    <s v="Y"/>
    <x v="0"/>
    <n v="18"/>
    <n v="3"/>
    <n v="2"/>
    <n v="80"/>
    <n v="1"/>
    <n v="3"/>
    <n v="2"/>
    <n v="1"/>
    <n v="2"/>
    <n v="2"/>
    <n v="2"/>
    <n v="2"/>
    <x v="1"/>
    <x v="1"/>
    <n v="0"/>
    <n v="1"/>
    <x v="2"/>
    <x v="1"/>
    <n v="81"/>
  </r>
  <r>
    <n v="33"/>
    <x v="1"/>
    <s v="Travel_Frequently"/>
    <n v="553"/>
    <x v="1"/>
    <n v="5"/>
    <n v="4"/>
    <s v="Life Sciences"/>
    <n v="1"/>
    <n v="428"/>
    <n v="4"/>
    <x v="0"/>
    <n v="74"/>
    <n v="3"/>
    <n v="3"/>
    <x v="5"/>
    <n v="2"/>
    <s v="Married"/>
    <n v="11878"/>
    <n v="23364"/>
    <n v="6"/>
    <s v="Y"/>
    <x v="1"/>
    <n v="11"/>
    <n v="3"/>
    <n v="2"/>
    <n v="80"/>
    <n v="2"/>
    <n v="12"/>
    <n v="2"/>
    <n v="3"/>
    <n v="10"/>
    <n v="6"/>
    <n v="8"/>
    <n v="8"/>
    <x v="1"/>
    <x v="0"/>
    <n v="0"/>
    <n v="0"/>
    <x v="2"/>
    <x v="0"/>
    <n v="52"/>
  </r>
  <r>
    <n v="39"/>
    <x v="1"/>
    <s v="Travel_Rarely"/>
    <n v="117"/>
    <x v="1"/>
    <n v="10"/>
    <n v="1"/>
    <s v="Medical"/>
    <n v="1"/>
    <n v="429"/>
    <n v="3"/>
    <x v="1"/>
    <n v="99"/>
    <n v="3"/>
    <n v="4"/>
    <x v="5"/>
    <n v="1"/>
    <s v="Married"/>
    <n v="17068"/>
    <n v="5355"/>
    <n v="1"/>
    <s v="Y"/>
    <x v="0"/>
    <n v="14"/>
    <n v="3"/>
    <n v="4"/>
    <n v="80"/>
    <n v="0"/>
    <n v="21"/>
    <n v="3"/>
    <n v="3"/>
    <n v="21"/>
    <n v="9"/>
    <n v="11"/>
    <n v="10"/>
    <x v="1"/>
    <x v="2"/>
    <n v="0"/>
    <n v="1"/>
    <x v="1"/>
    <x v="1"/>
    <n v="78"/>
  </r>
  <r>
    <n v="43"/>
    <x v="1"/>
    <s v="Travel_Frequently"/>
    <n v="185"/>
    <x v="1"/>
    <n v="10"/>
    <n v="4"/>
    <s v="Life Sciences"/>
    <n v="1"/>
    <n v="430"/>
    <n v="3"/>
    <x v="0"/>
    <n v="33"/>
    <n v="3"/>
    <n v="1"/>
    <x v="2"/>
    <n v="4"/>
    <s v="Single"/>
    <n v="2455"/>
    <n v="10675"/>
    <n v="0"/>
    <s v="Y"/>
    <x v="1"/>
    <n v="19"/>
    <n v="3"/>
    <n v="1"/>
    <n v="80"/>
    <n v="0"/>
    <n v="9"/>
    <n v="5"/>
    <n v="3"/>
    <n v="8"/>
    <n v="7"/>
    <n v="1"/>
    <n v="7"/>
    <x v="0"/>
    <x v="1"/>
    <n v="0"/>
    <n v="0"/>
    <x v="2"/>
    <x v="2"/>
    <n v="29"/>
  </r>
  <r>
    <n v="49"/>
    <x v="1"/>
    <s v="Travel_Rarely"/>
    <n v="1091"/>
    <x v="1"/>
    <n v="1"/>
    <n v="2"/>
    <s v="Technical Degree"/>
    <n v="1"/>
    <n v="431"/>
    <n v="3"/>
    <x v="0"/>
    <n v="90"/>
    <n v="2"/>
    <n v="4"/>
    <x v="4"/>
    <n v="3"/>
    <s v="Single"/>
    <n v="13964"/>
    <n v="17810"/>
    <n v="7"/>
    <s v="Y"/>
    <x v="0"/>
    <n v="12"/>
    <n v="3"/>
    <n v="4"/>
    <n v="80"/>
    <n v="0"/>
    <n v="25"/>
    <n v="2"/>
    <n v="3"/>
    <n v="7"/>
    <n v="1"/>
    <n v="0"/>
    <n v="7"/>
    <x v="0"/>
    <x v="0"/>
    <n v="0"/>
    <n v="1"/>
    <x v="0"/>
    <x v="1"/>
    <n v="61"/>
  </r>
  <r>
    <n v="52"/>
    <x v="0"/>
    <s v="Travel_Rarely"/>
    <n v="723"/>
    <x v="1"/>
    <n v="8"/>
    <n v="4"/>
    <s v="Medical"/>
    <n v="1"/>
    <n v="433"/>
    <n v="3"/>
    <x v="1"/>
    <n v="85"/>
    <n v="2"/>
    <n v="2"/>
    <x v="1"/>
    <n v="2"/>
    <s v="Married"/>
    <n v="4941"/>
    <n v="17747"/>
    <n v="2"/>
    <s v="Y"/>
    <x v="1"/>
    <n v="15"/>
    <n v="3"/>
    <n v="1"/>
    <n v="80"/>
    <n v="0"/>
    <n v="11"/>
    <n v="3"/>
    <n v="2"/>
    <n v="8"/>
    <n v="2"/>
    <n v="7"/>
    <n v="7"/>
    <x v="3"/>
    <x v="1"/>
    <n v="1"/>
    <n v="0"/>
    <x v="2"/>
    <x v="0"/>
    <n v="47"/>
  </r>
  <r>
    <n v="27"/>
    <x v="1"/>
    <s v="Travel_Rarely"/>
    <n v="1220"/>
    <x v="1"/>
    <n v="5"/>
    <n v="3"/>
    <s v="Life Sciences"/>
    <n v="1"/>
    <n v="434"/>
    <n v="3"/>
    <x v="0"/>
    <n v="85"/>
    <n v="3"/>
    <n v="1"/>
    <x v="1"/>
    <n v="2"/>
    <s v="Single"/>
    <n v="2478"/>
    <n v="20938"/>
    <n v="1"/>
    <s v="Y"/>
    <x v="0"/>
    <n v="12"/>
    <n v="3"/>
    <n v="2"/>
    <n v="80"/>
    <n v="0"/>
    <n v="4"/>
    <n v="2"/>
    <n v="2"/>
    <n v="4"/>
    <n v="3"/>
    <n v="1"/>
    <n v="2"/>
    <x v="2"/>
    <x v="1"/>
    <n v="0"/>
    <n v="1"/>
    <x v="3"/>
    <x v="1"/>
    <n v="94"/>
  </r>
  <r>
    <n v="32"/>
    <x v="1"/>
    <s v="Travel_Rarely"/>
    <n v="588"/>
    <x v="0"/>
    <n v="8"/>
    <n v="2"/>
    <s v="Technical Degree"/>
    <n v="1"/>
    <n v="436"/>
    <n v="3"/>
    <x v="0"/>
    <n v="65"/>
    <n v="2"/>
    <n v="2"/>
    <x v="0"/>
    <n v="2"/>
    <s v="Married"/>
    <n v="5228"/>
    <n v="24624"/>
    <n v="1"/>
    <s v="Y"/>
    <x v="0"/>
    <n v="11"/>
    <n v="3"/>
    <n v="4"/>
    <n v="80"/>
    <n v="0"/>
    <n v="13"/>
    <n v="2"/>
    <n v="3"/>
    <n v="13"/>
    <n v="12"/>
    <n v="11"/>
    <n v="9"/>
    <x v="1"/>
    <x v="0"/>
    <n v="0"/>
    <n v="1"/>
    <x v="0"/>
    <x v="1"/>
    <n v="72"/>
  </r>
  <r>
    <n v="27"/>
    <x v="1"/>
    <s v="Travel_Rarely"/>
    <n v="1377"/>
    <x v="0"/>
    <n v="2"/>
    <n v="3"/>
    <s v="Life Sciences"/>
    <n v="1"/>
    <n v="437"/>
    <n v="4"/>
    <x v="1"/>
    <n v="74"/>
    <n v="3"/>
    <n v="2"/>
    <x v="0"/>
    <n v="3"/>
    <s v="Single"/>
    <n v="4478"/>
    <n v="5242"/>
    <n v="1"/>
    <s v="Y"/>
    <x v="0"/>
    <n v="11"/>
    <n v="3"/>
    <n v="1"/>
    <n v="80"/>
    <n v="0"/>
    <n v="5"/>
    <n v="3"/>
    <n v="3"/>
    <n v="5"/>
    <n v="4"/>
    <n v="0"/>
    <n v="4"/>
    <x v="2"/>
    <x v="1"/>
    <n v="0"/>
    <n v="1"/>
    <x v="3"/>
    <x v="1"/>
    <n v="88"/>
  </r>
  <r>
    <n v="31"/>
    <x v="1"/>
    <s v="Travel_Rarely"/>
    <n v="691"/>
    <x v="0"/>
    <n v="7"/>
    <n v="3"/>
    <s v="Marketing"/>
    <n v="1"/>
    <n v="438"/>
    <n v="4"/>
    <x v="1"/>
    <n v="73"/>
    <n v="3"/>
    <n v="2"/>
    <x v="0"/>
    <n v="4"/>
    <s v="Divorced"/>
    <n v="7547"/>
    <n v="7143"/>
    <n v="4"/>
    <s v="Y"/>
    <x v="1"/>
    <n v="12"/>
    <n v="3"/>
    <n v="4"/>
    <n v="80"/>
    <n v="3"/>
    <n v="13"/>
    <n v="3"/>
    <n v="3"/>
    <n v="7"/>
    <n v="7"/>
    <n v="1"/>
    <n v="7"/>
    <x v="1"/>
    <x v="0"/>
    <n v="0"/>
    <n v="0"/>
    <x v="3"/>
    <x v="0"/>
    <n v="39"/>
  </r>
  <r>
    <n v="32"/>
    <x v="1"/>
    <s v="Travel_Rarely"/>
    <n v="1018"/>
    <x v="1"/>
    <n v="2"/>
    <n v="4"/>
    <s v="Medical"/>
    <n v="1"/>
    <n v="439"/>
    <n v="1"/>
    <x v="0"/>
    <n v="74"/>
    <n v="4"/>
    <n v="2"/>
    <x v="1"/>
    <n v="4"/>
    <s v="Single"/>
    <n v="5055"/>
    <n v="10557"/>
    <n v="7"/>
    <s v="Y"/>
    <x v="1"/>
    <n v="16"/>
    <n v="3"/>
    <n v="3"/>
    <n v="80"/>
    <n v="0"/>
    <n v="10"/>
    <n v="0"/>
    <n v="2"/>
    <n v="7"/>
    <n v="7"/>
    <n v="0"/>
    <n v="7"/>
    <x v="1"/>
    <x v="0"/>
    <n v="0"/>
    <n v="0"/>
    <x v="2"/>
    <x v="0"/>
    <n v="39"/>
  </r>
  <r>
    <n v="28"/>
    <x v="0"/>
    <s v="Travel_Rarely"/>
    <n v="1157"/>
    <x v="1"/>
    <n v="2"/>
    <n v="4"/>
    <s v="Medical"/>
    <n v="1"/>
    <n v="440"/>
    <n v="1"/>
    <x v="1"/>
    <n v="84"/>
    <n v="1"/>
    <n v="1"/>
    <x v="1"/>
    <n v="4"/>
    <s v="Married"/>
    <n v="3464"/>
    <n v="24737"/>
    <n v="5"/>
    <s v="Y"/>
    <x v="0"/>
    <n v="13"/>
    <n v="3"/>
    <n v="4"/>
    <n v="80"/>
    <n v="0"/>
    <n v="5"/>
    <n v="4"/>
    <n v="2"/>
    <n v="3"/>
    <n v="2"/>
    <n v="2"/>
    <n v="2"/>
    <x v="2"/>
    <x v="1"/>
    <n v="1"/>
    <n v="1"/>
    <x v="2"/>
    <x v="1"/>
    <n v="81"/>
  </r>
  <r>
    <n v="30"/>
    <x v="1"/>
    <s v="Travel_Rarely"/>
    <n v="1275"/>
    <x v="1"/>
    <n v="28"/>
    <n v="2"/>
    <s v="Medical"/>
    <n v="1"/>
    <n v="441"/>
    <n v="4"/>
    <x v="0"/>
    <n v="64"/>
    <n v="3"/>
    <n v="2"/>
    <x v="1"/>
    <n v="4"/>
    <s v="Married"/>
    <n v="5775"/>
    <n v="11934"/>
    <n v="1"/>
    <s v="Y"/>
    <x v="1"/>
    <n v="13"/>
    <n v="3"/>
    <n v="4"/>
    <n v="80"/>
    <n v="2"/>
    <n v="11"/>
    <n v="2"/>
    <n v="3"/>
    <n v="10"/>
    <n v="8"/>
    <n v="1"/>
    <n v="9"/>
    <x v="1"/>
    <x v="0"/>
    <n v="0"/>
    <n v="0"/>
    <x v="0"/>
    <x v="0"/>
    <n v="39"/>
  </r>
  <r>
    <n v="31"/>
    <x v="1"/>
    <s v="Travel_Frequently"/>
    <n v="798"/>
    <x v="1"/>
    <n v="7"/>
    <n v="2"/>
    <s v="Life Sciences"/>
    <n v="1"/>
    <n v="442"/>
    <n v="3"/>
    <x v="0"/>
    <n v="48"/>
    <n v="2"/>
    <n v="3"/>
    <x v="3"/>
    <n v="3"/>
    <s v="Married"/>
    <n v="8943"/>
    <n v="14034"/>
    <n v="1"/>
    <s v="Y"/>
    <x v="1"/>
    <n v="24"/>
    <n v="4"/>
    <n v="1"/>
    <n v="80"/>
    <n v="1"/>
    <n v="10"/>
    <n v="2"/>
    <n v="3"/>
    <n v="10"/>
    <n v="9"/>
    <n v="8"/>
    <n v="9"/>
    <x v="1"/>
    <x v="0"/>
    <n v="0"/>
    <n v="0"/>
    <x v="0"/>
    <x v="0"/>
    <n v="46"/>
  </r>
  <r>
    <n v="39"/>
    <x v="1"/>
    <s v="Travel_Frequently"/>
    <n v="672"/>
    <x v="1"/>
    <n v="7"/>
    <n v="2"/>
    <s v="Medical"/>
    <n v="1"/>
    <n v="444"/>
    <n v="3"/>
    <x v="1"/>
    <n v="54"/>
    <n v="2"/>
    <n v="5"/>
    <x v="5"/>
    <n v="4"/>
    <s v="Married"/>
    <n v="19272"/>
    <n v="21141"/>
    <n v="1"/>
    <s v="Y"/>
    <x v="1"/>
    <n v="15"/>
    <n v="3"/>
    <n v="1"/>
    <n v="80"/>
    <n v="1"/>
    <n v="21"/>
    <n v="2"/>
    <n v="3"/>
    <n v="21"/>
    <n v="9"/>
    <n v="13"/>
    <n v="3"/>
    <x v="1"/>
    <x v="2"/>
    <n v="0"/>
    <n v="0"/>
    <x v="0"/>
    <x v="2"/>
    <n v="34"/>
  </r>
  <r>
    <n v="39"/>
    <x v="0"/>
    <s v="Travel_Rarely"/>
    <n v="1162"/>
    <x v="0"/>
    <n v="3"/>
    <n v="2"/>
    <s v="Medical"/>
    <n v="1"/>
    <n v="445"/>
    <n v="4"/>
    <x v="0"/>
    <n v="41"/>
    <n v="3"/>
    <n v="2"/>
    <x v="0"/>
    <n v="3"/>
    <s v="Married"/>
    <n v="5238"/>
    <n v="17778"/>
    <n v="4"/>
    <s v="Y"/>
    <x v="0"/>
    <n v="18"/>
    <n v="3"/>
    <n v="1"/>
    <n v="80"/>
    <n v="0"/>
    <n v="12"/>
    <n v="3"/>
    <n v="2"/>
    <n v="1"/>
    <n v="0"/>
    <n v="0"/>
    <n v="0"/>
    <x v="1"/>
    <x v="0"/>
    <n v="1"/>
    <n v="1"/>
    <x v="0"/>
    <x v="1"/>
    <n v="88"/>
  </r>
  <r>
    <n v="33"/>
    <x v="1"/>
    <s v="Travel_Frequently"/>
    <n v="508"/>
    <x v="0"/>
    <n v="10"/>
    <n v="3"/>
    <s v="Marketing"/>
    <n v="1"/>
    <n v="446"/>
    <n v="2"/>
    <x v="1"/>
    <n v="46"/>
    <n v="2"/>
    <n v="2"/>
    <x v="0"/>
    <n v="4"/>
    <s v="Single"/>
    <n v="4682"/>
    <n v="4317"/>
    <n v="3"/>
    <s v="Y"/>
    <x v="1"/>
    <n v="14"/>
    <n v="3"/>
    <n v="3"/>
    <n v="80"/>
    <n v="0"/>
    <n v="9"/>
    <n v="6"/>
    <n v="2"/>
    <n v="7"/>
    <n v="7"/>
    <n v="0"/>
    <n v="1"/>
    <x v="1"/>
    <x v="1"/>
    <n v="0"/>
    <n v="0"/>
    <x v="3"/>
    <x v="0"/>
    <n v="39"/>
  </r>
  <r>
    <n v="47"/>
    <x v="1"/>
    <s v="Travel_Rarely"/>
    <n v="1482"/>
    <x v="1"/>
    <n v="5"/>
    <n v="5"/>
    <s v="Life Sciences"/>
    <n v="1"/>
    <n v="447"/>
    <n v="4"/>
    <x v="1"/>
    <n v="42"/>
    <n v="3"/>
    <n v="5"/>
    <x v="7"/>
    <n v="3"/>
    <s v="Married"/>
    <n v="18300"/>
    <n v="16375"/>
    <n v="4"/>
    <s v="Y"/>
    <x v="1"/>
    <n v="11"/>
    <n v="3"/>
    <n v="2"/>
    <n v="80"/>
    <n v="1"/>
    <n v="21"/>
    <n v="2"/>
    <n v="3"/>
    <n v="3"/>
    <n v="2"/>
    <n v="1"/>
    <n v="1"/>
    <x v="0"/>
    <x v="2"/>
    <n v="0"/>
    <n v="0"/>
    <x v="4"/>
    <x v="0"/>
    <n v="43"/>
  </r>
  <r>
    <n v="43"/>
    <x v="1"/>
    <s v="Travel_Frequently"/>
    <n v="559"/>
    <x v="1"/>
    <n v="10"/>
    <n v="4"/>
    <s v="Life Sciences"/>
    <n v="1"/>
    <n v="448"/>
    <n v="3"/>
    <x v="0"/>
    <n v="82"/>
    <n v="2"/>
    <n v="2"/>
    <x v="2"/>
    <n v="3"/>
    <s v="Divorced"/>
    <n v="5257"/>
    <n v="6227"/>
    <n v="1"/>
    <s v="Y"/>
    <x v="1"/>
    <n v="11"/>
    <n v="3"/>
    <n v="2"/>
    <n v="80"/>
    <n v="1"/>
    <n v="9"/>
    <n v="3"/>
    <n v="4"/>
    <n v="9"/>
    <n v="7"/>
    <n v="0"/>
    <n v="0"/>
    <x v="0"/>
    <x v="0"/>
    <n v="0"/>
    <n v="0"/>
    <x v="2"/>
    <x v="0"/>
    <n v="36"/>
  </r>
  <r>
    <n v="27"/>
    <x v="1"/>
    <s v="Non-Travel"/>
    <n v="210"/>
    <x v="0"/>
    <n v="1"/>
    <n v="1"/>
    <s v="Marketing"/>
    <n v="1"/>
    <n v="449"/>
    <n v="3"/>
    <x v="1"/>
    <n v="73"/>
    <n v="3"/>
    <n v="2"/>
    <x v="0"/>
    <n v="2"/>
    <s v="Married"/>
    <n v="6349"/>
    <n v="22107"/>
    <n v="0"/>
    <s v="Y"/>
    <x v="0"/>
    <n v="13"/>
    <n v="3"/>
    <n v="4"/>
    <n v="80"/>
    <n v="1"/>
    <n v="6"/>
    <n v="0"/>
    <n v="3"/>
    <n v="5"/>
    <n v="4"/>
    <n v="1"/>
    <n v="4"/>
    <x v="2"/>
    <x v="0"/>
    <n v="0"/>
    <n v="1"/>
    <x v="1"/>
    <x v="1"/>
    <n v="94"/>
  </r>
  <r>
    <n v="54"/>
    <x v="1"/>
    <s v="Travel_Frequently"/>
    <n v="928"/>
    <x v="1"/>
    <n v="20"/>
    <n v="4"/>
    <s v="Life Sciences"/>
    <n v="1"/>
    <n v="450"/>
    <n v="4"/>
    <x v="0"/>
    <n v="31"/>
    <n v="3"/>
    <n v="2"/>
    <x v="1"/>
    <n v="3"/>
    <s v="Single"/>
    <n v="4869"/>
    <n v="16885"/>
    <n v="3"/>
    <s v="Y"/>
    <x v="1"/>
    <n v="12"/>
    <n v="3"/>
    <n v="4"/>
    <n v="80"/>
    <n v="0"/>
    <n v="20"/>
    <n v="4"/>
    <n v="2"/>
    <n v="4"/>
    <n v="3"/>
    <n v="0"/>
    <n v="3"/>
    <x v="3"/>
    <x v="1"/>
    <n v="0"/>
    <n v="0"/>
    <x v="2"/>
    <x v="0"/>
    <n v="48"/>
  </r>
  <r>
    <n v="43"/>
    <x v="1"/>
    <s v="Travel_Rarely"/>
    <n v="1001"/>
    <x v="1"/>
    <n v="7"/>
    <n v="3"/>
    <s v="Life Sciences"/>
    <n v="1"/>
    <n v="451"/>
    <n v="3"/>
    <x v="0"/>
    <n v="43"/>
    <n v="3"/>
    <n v="3"/>
    <x v="4"/>
    <n v="1"/>
    <s v="Married"/>
    <n v="9985"/>
    <n v="9262"/>
    <n v="8"/>
    <s v="Y"/>
    <x v="1"/>
    <n v="16"/>
    <n v="3"/>
    <n v="1"/>
    <n v="80"/>
    <n v="1"/>
    <n v="10"/>
    <n v="1"/>
    <n v="2"/>
    <n v="1"/>
    <n v="0"/>
    <n v="0"/>
    <n v="0"/>
    <x v="0"/>
    <x v="0"/>
    <n v="0"/>
    <n v="0"/>
    <x v="3"/>
    <x v="1"/>
    <n v="65"/>
  </r>
  <r>
    <n v="45"/>
    <x v="1"/>
    <s v="Travel_Rarely"/>
    <n v="549"/>
    <x v="1"/>
    <n v="8"/>
    <n v="4"/>
    <s v="Other"/>
    <n v="1"/>
    <n v="452"/>
    <n v="4"/>
    <x v="1"/>
    <n v="75"/>
    <n v="3"/>
    <n v="2"/>
    <x v="1"/>
    <n v="4"/>
    <s v="Married"/>
    <n v="3697"/>
    <n v="9278"/>
    <n v="9"/>
    <s v="Y"/>
    <x v="1"/>
    <n v="14"/>
    <n v="3"/>
    <n v="1"/>
    <n v="80"/>
    <n v="2"/>
    <n v="12"/>
    <n v="3"/>
    <n v="3"/>
    <n v="10"/>
    <n v="9"/>
    <n v="9"/>
    <n v="8"/>
    <x v="0"/>
    <x v="1"/>
    <n v="0"/>
    <n v="0"/>
    <x v="2"/>
    <x v="2"/>
    <n v="29"/>
  </r>
  <r>
    <n v="40"/>
    <x v="1"/>
    <s v="Travel_Rarely"/>
    <n v="1124"/>
    <x v="0"/>
    <n v="1"/>
    <n v="2"/>
    <s v="Medical"/>
    <n v="1"/>
    <n v="453"/>
    <n v="2"/>
    <x v="1"/>
    <n v="57"/>
    <n v="1"/>
    <n v="2"/>
    <x v="0"/>
    <n v="4"/>
    <s v="Married"/>
    <n v="7457"/>
    <n v="13273"/>
    <n v="2"/>
    <s v="Y"/>
    <x v="0"/>
    <n v="22"/>
    <n v="4"/>
    <n v="3"/>
    <n v="80"/>
    <n v="3"/>
    <n v="6"/>
    <n v="2"/>
    <n v="2"/>
    <n v="4"/>
    <n v="3"/>
    <n v="0"/>
    <n v="2"/>
    <x v="0"/>
    <x v="0"/>
    <n v="0"/>
    <n v="1"/>
    <x v="0"/>
    <x v="1"/>
    <n v="61"/>
  </r>
  <r>
    <n v="29"/>
    <x v="0"/>
    <s v="Travel_Rarely"/>
    <n v="318"/>
    <x v="1"/>
    <n v="8"/>
    <n v="4"/>
    <s v="Other"/>
    <n v="1"/>
    <n v="454"/>
    <n v="2"/>
    <x v="1"/>
    <n v="77"/>
    <n v="1"/>
    <n v="1"/>
    <x v="2"/>
    <n v="1"/>
    <s v="Married"/>
    <n v="2119"/>
    <n v="4759"/>
    <n v="1"/>
    <s v="Y"/>
    <x v="0"/>
    <n v="11"/>
    <n v="3"/>
    <n v="4"/>
    <n v="80"/>
    <n v="0"/>
    <n v="7"/>
    <n v="4"/>
    <n v="2"/>
    <n v="7"/>
    <n v="7"/>
    <n v="0"/>
    <n v="7"/>
    <x v="2"/>
    <x v="1"/>
    <n v="1"/>
    <n v="1"/>
    <x v="2"/>
    <x v="1"/>
    <n v="93"/>
  </r>
  <r>
    <n v="29"/>
    <x v="1"/>
    <s v="Travel_Rarely"/>
    <n v="738"/>
    <x v="1"/>
    <n v="9"/>
    <n v="5"/>
    <s v="Other"/>
    <n v="1"/>
    <n v="455"/>
    <n v="2"/>
    <x v="1"/>
    <n v="30"/>
    <n v="2"/>
    <n v="1"/>
    <x v="2"/>
    <n v="4"/>
    <s v="Single"/>
    <n v="3983"/>
    <n v="7621"/>
    <n v="0"/>
    <s v="Y"/>
    <x v="1"/>
    <n v="17"/>
    <n v="3"/>
    <n v="3"/>
    <n v="80"/>
    <n v="0"/>
    <n v="4"/>
    <n v="2"/>
    <n v="3"/>
    <n v="3"/>
    <n v="2"/>
    <n v="2"/>
    <n v="2"/>
    <x v="2"/>
    <x v="1"/>
    <n v="0"/>
    <n v="0"/>
    <x v="4"/>
    <x v="1"/>
    <n v="56"/>
  </r>
  <r>
    <n v="30"/>
    <x v="1"/>
    <s v="Travel_Rarely"/>
    <n v="570"/>
    <x v="0"/>
    <n v="5"/>
    <n v="3"/>
    <s v="Marketing"/>
    <n v="1"/>
    <n v="456"/>
    <n v="4"/>
    <x v="0"/>
    <n v="30"/>
    <n v="2"/>
    <n v="2"/>
    <x v="0"/>
    <n v="3"/>
    <s v="Divorced"/>
    <n v="6118"/>
    <n v="5431"/>
    <n v="1"/>
    <s v="Y"/>
    <x v="1"/>
    <n v="13"/>
    <n v="3"/>
    <n v="3"/>
    <n v="80"/>
    <n v="3"/>
    <n v="10"/>
    <n v="2"/>
    <n v="3"/>
    <n v="10"/>
    <n v="9"/>
    <n v="1"/>
    <n v="2"/>
    <x v="1"/>
    <x v="0"/>
    <n v="0"/>
    <n v="0"/>
    <x v="3"/>
    <x v="0"/>
    <n v="46"/>
  </r>
  <r>
    <n v="27"/>
    <x v="1"/>
    <s v="Travel_Rarely"/>
    <n v="1130"/>
    <x v="0"/>
    <n v="8"/>
    <n v="4"/>
    <s v="Marketing"/>
    <n v="1"/>
    <n v="458"/>
    <n v="2"/>
    <x v="0"/>
    <n v="56"/>
    <n v="3"/>
    <n v="2"/>
    <x v="0"/>
    <n v="2"/>
    <s v="Married"/>
    <n v="6214"/>
    <n v="3415"/>
    <n v="1"/>
    <s v="Y"/>
    <x v="1"/>
    <n v="18"/>
    <n v="3"/>
    <n v="1"/>
    <n v="80"/>
    <n v="1"/>
    <n v="8"/>
    <n v="3"/>
    <n v="3"/>
    <n v="8"/>
    <n v="7"/>
    <n v="0"/>
    <n v="7"/>
    <x v="2"/>
    <x v="0"/>
    <n v="0"/>
    <n v="0"/>
    <x v="2"/>
    <x v="1"/>
    <n v="62"/>
  </r>
  <r>
    <n v="37"/>
    <x v="1"/>
    <s v="Travel_Rarely"/>
    <n v="1192"/>
    <x v="1"/>
    <n v="5"/>
    <n v="2"/>
    <s v="Medical"/>
    <n v="1"/>
    <n v="460"/>
    <n v="4"/>
    <x v="1"/>
    <n v="61"/>
    <n v="3"/>
    <n v="2"/>
    <x v="3"/>
    <n v="4"/>
    <s v="Divorced"/>
    <n v="6347"/>
    <n v="23177"/>
    <n v="7"/>
    <s v="Y"/>
    <x v="1"/>
    <n v="16"/>
    <n v="3"/>
    <n v="3"/>
    <n v="80"/>
    <n v="2"/>
    <n v="8"/>
    <n v="2"/>
    <n v="2"/>
    <n v="6"/>
    <n v="2"/>
    <n v="0"/>
    <n v="4"/>
    <x v="1"/>
    <x v="0"/>
    <n v="0"/>
    <n v="0"/>
    <x v="0"/>
    <x v="0"/>
    <n v="39"/>
  </r>
  <r>
    <n v="38"/>
    <x v="1"/>
    <s v="Travel_Rarely"/>
    <n v="343"/>
    <x v="1"/>
    <n v="15"/>
    <n v="2"/>
    <s v="Life Sciences"/>
    <n v="1"/>
    <n v="461"/>
    <n v="3"/>
    <x v="1"/>
    <n v="92"/>
    <n v="2"/>
    <n v="3"/>
    <x v="7"/>
    <n v="4"/>
    <s v="Divorced"/>
    <n v="11510"/>
    <n v="15682"/>
    <n v="0"/>
    <s v="Y"/>
    <x v="0"/>
    <n v="14"/>
    <n v="3"/>
    <n v="2"/>
    <n v="80"/>
    <n v="1"/>
    <n v="12"/>
    <n v="3"/>
    <n v="3"/>
    <n v="11"/>
    <n v="10"/>
    <n v="2"/>
    <n v="9"/>
    <x v="1"/>
    <x v="0"/>
    <n v="0"/>
    <n v="1"/>
    <x v="0"/>
    <x v="1"/>
    <n v="59"/>
  </r>
  <r>
    <n v="31"/>
    <x v="1"/>
    <s v="Travel_Rarely"/>
    <n v="1232"/>
    <x v="1"/>
    <n v="7"/>
    <n v="4"/>
    <s v="Medical"/>
    <n v="1"/>
    <n v="462"/>
    <n v="3"/>
    <x v="0"/>
    <n v="39"/>
    <n v="3"/>
    <n v="3"/>
    <x v="3"/>
    <n v="4"/>
    <s v="Single"/>
    <n v="7143"/>
    <n v="25713"/>
    <n v="1"/>
    <s v="Y"/>
    <x v="0"/>
    <n v="14"/>
    <n v="3"/>
    <n v="3"/>
    <n v="80"/>
    <n v="0"/>
    <n v="11"/>
    <n v="2"/>
    <n v="2"/>
    <n v="11"/>
    <n v="9"/>
    <n v="4"/>
    <n v="10"/>
    <x v="1"/>
    <x v="0"/>
    <n v="0"/>
    <n v="1"/>
    <x v="2"/>
    <x v="1"/>
    <n v="59"/>
  </r>
  <r>
    <n v="29"/>
    <x v="1"/>
    <s v="Travel_Rarely"/>
    <n v="144"/>
    <x v="0"/>
    <n v="10"/>
    <n v="1"/>
    <s v="Marketing"/>
    <n v="1"/>
    <n v="463"/>
    <n v="4"/>
    <x v="0"/>
    <n v="39"/>
    <n v="2"/>
    <n v="2"/>
    <x v="0"/>
    <n v="2"/>
    <s v="Divorced"/>
    <n v="8268"/>
    <n v="11866"/>
    <n v="1"/>
    <s v="Y"/>
    <x v="0"/>
    <n v="14"/>
    <n v="3"/>
    <n v="1"/>
    <n v="80"/>
    <n v="2"/>
    <n v="7"/>
    <n v="2"/>
    <n v="3"/>
    <n v="7"/>
    <n v="7"/>
    <n v="1"/>
    <n v="7"/>
    <x v="2"/>
    <x v="0"/>
    <n v="0"/>
    <n v="1"/>
    <x v="1"/>
    <x v="1"/>
    <n v="87"/>
  </r>
  <r>
    <n v="35"/>
    <x v="1"/>
    <s v="Travel_Rarely"/>
    <n v="1296"/>
    <x v="1"/>
    <n v="5"/>
    <n v="4"/>
    <s v="Technical Degree"/>
    <n v="1"/>
    <n v="464"/>
    <n v="3"/>
    <x v="1"/>
    <n v="62"/>
    <n v="3"/>
    <n v="3"/>
    <x v="3"/>
    <n v="2"/>
    <s v="Single"/>
    <n v="8095"/>
    <n v="18264"/>
    <n v="0"/>
    <s v="Y"/>
    <x v="1"/>
    <n v="13"/>
    <n v="3"/>
    <n v="4"/>
    <n v="80"/>
    <n v="0"/>
    <n v="17"/>
    <n v="5"/>
    <n v="3"/>
    <n v="16"/>
    <n v="6"/>
    <n v="0"/>
    <n v="13"/>
    <x v="1"/>
    <x v="0"/>
    <n v="0"/>
    <n v="0"/>
    <x v="2"/>
    <x v="0"/>
    <n v="47"/>
  </r>
  <r>
    <n v="23"/>
    <x v="1"/>
    <s v="Travel_Rarely"/>
    <n v="1309"/>
    <x v="1"/>
    <n v="26"/>
    <n v="1"/>
    <s v="Life Sciences"/>
    <n v="1"/>
    <n v="465"/>
    <n v="3"/>
    <x v="1"/>
    <n v="83"/>
    <n v="3"/>
    <n v="1"/>
    <x v="1"/>
    <n v="4"/>
    <s v="Divorced"/>
    <n v="2904"/>
    <n v="16092"/>
    <n v="1"/>
    <s v="Y"/>
    <x v="1"/>
    <n v="12"/>
    <n v="3"/>
    <n v="3"/>
    <n v="80"/>
    <n v="2"/>
    <n v="4"/>
    <n v="2"/>
    <n v="2"/>
    <n v="4"/>
    <n v="2"/>
    <n v="0"/>
    <n v="2"/>
    <x v="2"/>
    <x v="1"/>
    <n v="0"/>
    <n v="0"/>
    <x v="1"/>
    <x v="1"/>
    <n v="56"/>
  </r>
  <r>
    <n v="41"/>
    <x v="1"/>
    <s v="Travel_Rarely"/>
    <n v="483"/>
    <x v="1"/>
    <n v="6"/>
    <n v="3"/>
    <s v="Medical"/>
    <n v="1"/>
    <n v="466"/>
    <n v="4"/>
    <x v="1"/>
    <n v="95"/>
    <n v="2"/>
    <n v="2"/>
    <x v="3"/>
    <n v="2"/>
    <s v="Single"/>
    <n v="6032"/>
    <n v="10110"/>
    <n v="6"/>
    <s v="Y"/>
    <x v="0"/>
    <n v="15"/>
    <n v="3"/>
    <n v="4"/>
    <n v="80"/>
    <n v="0"/>
    <n v="8"/>
    <n v="3"/>
    <n v="3"/>
    <n v="5"/>
    <n v="4"/>
    <n v="1"/>
    <n v="2"/>
    <x v="0"/>
    <x v="0"/>
    <n v="0"/>
    <n v="1"/>
    <x v="3"/>
    <x v="1"/>
    <n v="74"/>
  </r>
  <r>
    <n v="47"/>
    <x v="1"/>
    <s v="Travel_Frequently"/>
    <n v="1309"/>
    <x v="0"/>
    <n v="4"/>
    <n v="1"/>
    <s v="Medical"/>
    <n v="1"/>
    <n v="467"/>
    <n v="2"/>
    <x v="1"/>
    <n v="99"/>
    <n v="3"/>
    <n v="2"/>
    <x v="6"/>
    <n v="3"/>
    <s v="Single"/>
    <n v="2976"/>
    <n v="25751"/>
    <n v="3"/>
    <s v="Y"/>
    <x v="1"/>
    <n v="19"/>
    <n v="3"/>
    <n v="1"/>
    <n v="80"/>
    <n v="0"/>
    <n v="5"/>
    <n v="3"/>
    <n v="3"/>
    <n v="0"/>
    <n v="0"/>
    <n v="0"/>
    <n v="0"/>
    <x v="0"/>
    <x v="1"/>
    <n v="0"/>
    <n v="0"/>
    <x v="1"/>
    <x v="0"/>
    <n v="53"/>
  </r>
  <r>
    <n v="42"/>
    <x v="1"/>
    <s v="Travel_Rarely"/>
    <n v="810"/>
    <x v="1"/>
    <n v="23"/>
    <n v="5"/>
    <s v="Life Sciences"/>
    <n v="1"/>
    <n v="468"/>
    <n v="1"/>
    <x v="0"/>
    <n v="44"/>
    <n v="3"/>
    <n v="4"/>
    <x v="7"/>
    <n v="4"/>
    <s v="Single"/>
    <n v="15992"/>
    <n v="15901"/>
    <n v="2"/>
    <s v="Y"/>
    <x v="1"/>
    <n v="14"/>
    <n v="3"/>
    <n v="2"/>
    <n v="80"/>
    <n v="0"/>
    <n v="16"/>
    <n v="2"/>
    <n v="3"/>
    <n v="1"/>
    <n v="0"/>
    <n v="0"/>
    <n v="0"/>
    <x v="0"/>
    <x v="2"/>
    <n v="0"/>
    <n v="0"/>
    <x v="4"/>
    <x v="0"/>
    <n v="46"/>
  </r>
  <r>
    <n v="29"/>
    <x v="1"/>
    <s v="Non-Travel"/>
    <n v="746"/>
    <x v="0"/>
    <n v="2"/>
    <n v="3"/>
    <s v="Life Sciences"/>
    <n v="1"/>
    <n v="469"/>
    <n v="4"/>
    <x v="1"/>
    <n v="61"/>
    <n v="3"/>
    <n v="2"/>
    <x v="0"/>
    <n v="3"/>
    <s v="Married"/>
    <n v="4649"/>
    <n v="16928"/>
    <n v="1"/>
    <s v="Y"/>
    <x v="1"/>
    <n v="14"/>
    <n v="3"/>
    <n v="1"/>
    <n v="80"/>
    <n v="1"/>
    <n v="4"/>
    <n v="3"/>
    <n v="2"/>
    <n v="4"/>
    <n v="3"/>
    <n v="0"/>
    <n v="2"/>
    <x v="2"/>
    <x v="1"/>
    <n v="0"/>
    <n v="0"/>
    <x v="3"/>
    <x v="1"/>
    <n v="63"/>
  </r>
  <r>
    <n v="42"/>
    <x v="1"/>
    <s v="Travel_Rarely"/>
    <n v="544"/>
    <x v="2"/>
    <n v="2"/>
    <n v="1"/>
    <s v="Technical Degree"/>
    <n v="1"/>
    <n v="470"/>
    <n v="3"/>
    <x v="1"/>
    <n v="52"/>
    <n v="3"/>
    <n v="1"/>
    <x v="8"/>
    <n v="3"/>
    <s v="Divorced"/>
    <n v="2696"/>
    <n v="24017"/>
    <n v="0"/>
    <s v="Y"/>
    <x v="0"/>
    <n v="11"/>
    <n v="3"/>
    <n v="3"/>
    <n v="80"/>
    <n v="1"/>
    <n v="4"/>
    <n v="5"/>
    <n v="3"/>
    <n v="3"/>
    <n v="2"/>
    <n v="1"/>
    <n v="0"/>
    <x v="0"/>
    <x v="1"/>
    <n v="0"/>
    <n v="1"/>
    <x v="1"/>
    <x v="1"/>
    <n v="68"/>
  </r>
  <r>
    <n v="32"/>
    <x v="1"/>
    <s v="Travel_Rarely"/>
    <n v="1062"/>
    <x v="1"/>
    <n v="2"/>
    <n v="3"/>
    <s v="Medical"/>
    <n v="1"/>
    <n v="471"/>
    <n v="3"/>
    <x v="0"/>
    <n v="75"/>
    <n v="3"/>
    <n v="1"/>
    <x v="2"/>
    <n v="2"/>
    <s v="Married"/>
    <n v="2370"/>
    <n v="3956"/>
    <n v="1"/>
    <s v="Y"/>
    <x v="1"/>
    <n v="13"/>
    <n v="3"/>
    <n v="3"/>
    <n v="80"/>
    <n v="1"/>
    <n v="8"/>
    <n v="4"/>
    <n v="3"/>
    <n v="8"/>
    <n v="0"/>
    <n v="0"/>
    <n v="7"/>
    <x v="1"/>
    <x v="1"/>
    <n v="0"/>
    <n v="0"/>
    <x v="3"/>
    <x v="0"/>
    <n v="52"/>
  </r>
  <r>
    <n v="48"/>
    <x v="1"/>
    <s v="Travel_Rarely"/>
    <n v="530"/>
    <x v="0"/>
    <n v="29"/>
    <n v="1"/>
    <s v="Medical"/>
    <n v="1"/>
    <n v="473"/>
    <n v="1"/>
    <x v="0"/>
    <n v="91"/>
    <n v="3"/>
    <n v="3"/>
    <x v="5"/>
    <n v="3"/>
    <s v="Married"/>
    <n v="12504"/>
    <n v="23978"/>
    <n v="3"/>
    <s v="Y"/>
    <x v="1"/>
    <n v="21"/>
    <n v="4"/>
    <n v="2"/>
    <n v="80"/>
    <n v="1"/>
    <n v="15"/>
    <n v="3"/>
    <n v="1"/>
    <n v="0"/>
    <n v="0"/>
    <n v="0"/>
    <n v="0"/>
    <x v="0"/>
    <x v="0"/>
    <n v="0"/>
    <n v="0"/>
    <x v="1"/>
    <x v="0"/>
    <n v="53"/>
  </r>
  <r>
    <n v="37"/>
    <x v="1"/>
    <s v="Travel_Rarely"/>
    <n v="1319"/>
    <x v="1"/>
    <n v="6"/>
    <n v="3"/>
    <s v="Medical"/>
    <n v="1"/>
    <n v="474"/>
    <n v="3"/>
    <x v="1"/>
    <n v="51"/>
    <n v="4"/>
    <n v="2"/>
    <x v="1"/>
    <n v="1"/>
    <s v="Divorced"/>
    <n v="5974"/>
    <n v="17001"/>
    <n v="4"/>
    <s v="Y"/>
    <x v="0"/>
    <n v="13"/>
    <n v="3"/>
    <n v="1"/>
    <n v="80"/>
    <n v="2"/>
    <n v="13"/>
    <n v="2"/>
    <n v="3"/>
    <n v="7"/>
    <n v="7"/>
    <n v="6"/>
    <n v="7"/>
    <x v="1"/>
    <x v="0"/>
    <n v="0"/>
    <n v="1"/>
    <x v="3"/>
    <x v="1"/>
    <n v="83"/>
  </r>
  <r>
    <n v="30"/>
    <x v="1"/>
    <s v="Non-Travel"/>
    <n v="641"/>
    <x v="0"/>
    <n v="25"/>
    <n v="2"/>
    <s v="Technical Degree"/>
    <n v="1"/>
    <n v="475"/>
    <n v="4"/>
    <x v="0"/>
    <n v="85"/>
    <n v="3"/>
    <n v="2"/>
    <x v="0"/>
    <n v="3"/>
    <s v="Married"/>
    <n v="4736"/>
    <n v="6069"/>
    <n v="7"/>
    <s v="Y"/>
    <x v="0"/>
    <n v="12"/>
    <n v="3"/>
    <n v="2"/>
    <n v="80"/>
    <n v="1"/>
    <n v="4"/>
    <n v="2"/>
    <n v="4"/>
    <n v="2"/>
    <n v="2"/>
    <n v="2"/>
    <n v="2"/>
    <x v="1"/>
    <x v="1"/>
    <n v="0"/>
    <n v="1"/>
    <x v="0"/>
    <x v="1"/>
    <n v="88"/>
  </r>
  <r>
    <n v="26"/>
    <x v="1"/>
    <s v="Travel_Rarely"/>
    <n v="933"/>
    <x v="0"/>
    <n v="1"/>
    <n v="3"/>
    <s v="Life Sciences"/>
    <n v="1"/>
    <n v="476"/>
    <n v="3"/>
    <x v="1"/>
    <n v="57"/>
    <n v="3"/>
    <n v="2"/>
    <x v="0"/>
    <n v="3"/>
    <s v="Married"/>
    <n v="5296"/>
    <n v="20156"/>
    <n v="1"/>
    <s v="Y"/>
    <x v="1"/>
    <n v="17"/>
    <n v="3"/>
    <n v="2"/>
    <n v="80"/>
    <n v="1"/>
    <n v="8"/>
    <n v="3"/>
    <n v="3"/>
    <n v="8"/>
    <n v="7"/>
    <n v="7"/>
    <n v="7"/>
    <x v="2"/>
    <x v="0"/>
    <n v="0"/>
    <n v="0"/>
    <x v="3"/>
    <x v="1"/>
    <n v="56"/>
  </r>
  <r>
    <n v="42"/>
    <x v="1"/>
    <s v="Travel_Rarely"/>
    <n v="1332"/>
    <x v="1"/>
    <n v="2"/>
    <n v="4"/>
    <s v="Other"/>
    <n v="1"/>
    <n v="477"/>
    <n v="1"/>
    <x v="1"/>
    <n v="98"/>
    <n v="2"/>
    <n v="2"/>
    <x v="4"/>
    <n v="4"/>
    <s v="Single"/>
    <n v="6781"/>
    <n v="17078"/>
    <n v="3"/>
    <s v="Y"/>
    <x v="1"/>
    <n v="23"/>
    <n v="4"/>
    <n v="2"/>
    <n v="80"/>
    <n v="0"/>
    <n v="14"/>
    <n v="6"/>
    <n v="3"/>
    <n v="1"/>
    <n v="0"/>
    <n v="0"/>
    <n v="0"/>
    <x v="0"/>
    <x v="0"/>
    <n v="0"/>
    <n v="0"/>
    <x v="2"/>
    <x v="0"/>
    <n v="46"/>
  </r>
  <r>
    <n v="21"/>
    <x v="0"/>
    <s v="Travel_Frequently"/>
    <n v="756"/>
    <x v="0"/>
    <n v="1"/>
    <n v="1"/>
    <s v="Technical Degree"/>
    <n v="1"/>
    <n v="478"/>
    <n v="1"/>
    <x v="0"/>
    <n v="99"/>
    <n v="2"/>
    <n v="1"/>
    <x v="6"/>
    <n v="2"/>
    <s v="Single"/>
    <n v="2174"/>
    <n v="9150"/>
    <n v="1"/>
    <s v="Y"/>
    <x v="0"/>
    <n v="11"/>
    <n v="3"/>
    <n v="3"/>
    <n v="80"/>
    <n v="0"/>
    <n v="3"/>
    <n v="3"/>
    <n v="3"/>
    <n v="3"/>
    <n v="2"/>
    <n v="1"/>
    <n v="2"/>
    <x v="2"/>
    <x v="1"/>
    <n v="1"/>
    <n v="1"/>
    <x v="1"/>
    <x v="1"/>
    <n v="94"/>
  </r>
  <r>
    <n v="36"/>
    <x v="1"/>
    <s v="Non-Travel"/>
    <n v="845"/>
    <x v="0"/>
    <n v="1"/>
    <n v="5"/>
    <s v="Medical"/>
    <n v="1"/>
    <n v="479"/>
    <n v="4"/>
    <x v="0"/>
    <n v="45"/>
    <n v="3"/>
    <n v="2"/>
    <x v="0"/>
    <n v="4"/>
    <s v="Single"/>
    <n v="6653"/>
    <n v="15276"/>
    <n v="4"/>
    <s v="Y"/>
    <x v="1"/>
    <n v="15"/>
    <n v="3"/>
    <n v="2"/>
    <n v="80"/>
    <n v="0"/>
    <n v="7"/>
    <n v="6"/>
    <n v="3"/>
    <n v="1"/>
    <n v="0"/>
    <n v="0"/>
    <n v="0"/>
    <x v="1"/>
    <x v="0"/>
    <n v="0"/>
    <n v="0"/>
    <x v="4"/>
    <x v="1"/>
    <n v="56"/>
  </r>
  <r>
    <n v="36"/>
    <x v="1"/>
    <s v="Travel_Frequently"/>
    <n v="541"/>
    <x v="0"/>
    <n v="3"/>
    <n v="4"/>
    <s v="Medical"/>
    <n v="1"/>
    <n v="481"/>
    <n v="1"/>
    <x v="1"/>
    <n v="48"/>
    <n v="2"/>
    <n v="3"/>
    <x v="0"/>
    <n v="4"/>
    <s v="Married"/>
    <n v="9699"/>
    <n v="7246"/>
    <n v="4"/>
    <s v="Y"/>
    <x v="1"/>
    <n v="11"/>
    <n v="3"/>
    <n v="1"/>
    <n v="80"/>
    <n v="1"/>
    <n v="16"/>
    <n v="2"/>
    <n v="3"/>
    <n v="13"/>
    <n v="9"/>
    <n v="1"/>
    <n v="12"/>
    <x v="1"/>
    <x v="0"/>
    <n v="0"/>
    <n v="0"/>
    <x v="2"/>
    <x v="2"/>
    <n v="34"/>
  </r>
  <r>
    <n v="57"/>
    <x v="1"/>
    <s v="Travel_Rarely"/>
    <n v="593"/>
    <x v="1"/>
    <n v="1"/>
    <n v="4"/>
    <s v="Medical"/>
    <n v="1"/>
    <n v="482"/>
    <n v="4"/>
    <x v="1"/>
    <n v="88"/>
    <n v="3"/>
    <n v="2"/>
    <x v="4"/>
    <n v="3"/>
    <s v="Married"/>
    <n v="6755"/>
    <n v="2967"/>
    <n v="2"/>
    <s v="Y"/>
    <x v="1"/>
    <n v="11"/>
    <n v="3"/>
    <n v="3"/>
    <n v="80"/>
    <n v="0"/>
    <n v="15"/>
    <n v="2"/>
    <n v="3"/>
    <n v="3"/>
    <n v="2"/>
    <n v="1"/>
    <n v="2"/>
    <x v="3"/>
    <x v="0"/>
    <n v="0"/>
    <n v="0"/>
    <x v="2"/>
    <x v="0"/>
    <n v="48"/>
  </r>
  <r>
    <n v="40"/>
    <x v="1"/>
    <s v="Travel_Rarely"/>
    <n v="1171"/>
    <x v="1"/>
    <n v="10"/>
    <n v="4"/>
    <s v="Life Sciences"/>
    <n v="1"/>
    <n v="483"/>
    <n v="4"/>
    <x v="0"/>
    <n v="46"/>
    <n v="4"/>
    <n v="1"/>
    <x v="2"/>
    <n v="3"/>
    <s v="Married"/>
    <n v="2213"/>
    <n v="22495"/>
    <n v="3"/>
    <s v="Y"/>
    <x v="0"/>
    <n v="13"/>
    <n v="3"/>
    <n v="3"/>
    <n v="80"/>
    <n v="1"/>
    <n v="10"/>
    <n v="3"/>
    <n v="3"/>
    <n v="7"/>
    <n v="7"/>
    <n v="1"/>
    <n v="7"/>
    <x v="0"/>
    <x v="1"/>
    <n v="0"/>
    <n v="1"/>
    <x v="2"/>
    <x v="1"/>
    <n v="61"/>
  </r>
  <r>
    <n v="21"/>
    <x v="1"/>
    <s v="Non-Travel"/>
    <n v="895"/>
    <x v="0"/>
    <n v="9"/>
    <n v="2"/>
    <s v="Medical"/>
    <n v="1"/>
    <n v="484"/>
    <n v="1"/>
    <x v="1"/>
    <n v="39"/>
    <n v="3"/>
    <n v="1"/>
    <x v="6"/>
    <n v="4"/>
    <s v="Single"/>
    <n v="2610"/>
    <n v="2851"/>
    <n v="1"/>
    <s v="Y"/>
    <x v="1"/>
    <n v="24"/>
    <n v="4"/>
    <n v="3"/>
    <n v="80"/>
    <n v="0"/>
    <n v="3"/>
    <n v="3"/>
    <n v="2"/>
    <n v="3"/>
    <n v="2"/>
    <n v="2"/>
    <n v="2"/>
    <x v="2"/>
    <x v="1"/>
    <n v="0"/>
    <n v="0"/>
    <x v="0"/>
    <x v="1"/>
    <n v="56"/>
  </r>
  <r>
    <n v="33"/>
    <x v="0"/>
    <s v="Travel_Rarely"/>
    <n v="350"/>
    <x v="0"/>
    <n v="5"/>
    <n v="3"/>
    <s v="Marketing"/>
    <n v="1"/>
    <n v="485"/>
    <n v="4"/>
    <x v="0"/>
    <n v="34"/>
    <n v="3"/>
    <n v="1"/>
    <x v="6"/>
    <n v="3"/>
    <s v="Single"/>
    <n v="2851"/>
    <n v="9150"/>
    <n v="1"/>
    <s v="Y"/>
    <x v="0"/>
    <n v="13"/>
    <n v="3"/>
    <n v="2"/>
    <n v="80"/>
    <n v="0"/>
    <n v="1"/>
    <n v="2"/>
    <n v="3"/>
    <n v="1"/>
    <n v="0"/>
    <n v="0"/>
    <n v="0"/>
    <x v="1"/>
    <x v="1"/>
    <n v="1"/>
    <n v="1"/>
    <x v="3"/>
    <x v="1"/>
    <n v="88"/>
  </r>
  <r>
    <n v="37"/>
    <x v="1"/>
    <s v="Travel_Rarely"/>
    <n v="921"/>
    <x v="1"/>
    <n v="10"/>
    <n v="3"/>
    <s v="Medical"/>
    <n v="1"/>
    <n v="486"/>
    <n v="3"/>
    <x v="0"/>
    <n v="98"/>
    <n v="3"/>
    <n v="1"/>
    <x v="2"/>
    <n v="1"/>
    <s v="Married"/>
    <n v="3452"/>
    <n v="17663"/>
    <n v="6"/>
    <s v="Y"/>
    <x v="1"/>
    <n v="20"/>
    <n v="4"/>
    <n v="2"/>
    <n v="80"/>
    <n v="1"/>
    <n v="17"/>
    <n v="3"/>
    <n v="3"/>
    <n v="5"/>
    <n v="4"/>
    <n v="0"/>
    <n v="3"/>
    <x v="1"/>
    <x v="1"/>
    <n v="0"/>
    <n v="0"/>
    <x v="3"/>
    <x v="1"/>
    <n v="65"/>
  </r>
  <r>
    <n v="46"/>
    <x v="1"/>
    <s v="Non-Travel"/>
    <n v="1144"/>
    <x v="1"/>
    <n v="7"/>
    <n v="4"/>
    <s v="Medical"/>
    <n v="1"/>
    <n v="487"/>
    <n v="3"/>
    <x v="0"/>
    <n v="30"/>
    <n v="3"/>
    <n v="2"/>
    <x v="3"/>
    <n v="3"/>
    <s v="Married"/>
    <n v="5258"/>
    <n v="16044"/>
    <n v="2"/>
    <s v="Y"/>
    <x v="1"/>
    <n v="14"/>
    <n v="3"/>
    <n v="3"/>
    <n v="80"/>
    <n v="0"/>
    <n v="7"/>
    <n v="2"/>
    <n v="4"/>
    <n v="1"/>
    <n v="0"/>
    <n v="0"/>
    <n v="0"/>
    <x v="0"/>
    <x v="0"/>
    <n v="0"/>
    <n v="0"/>
    <x v="2"/>
    <x v="0"/>
    <n v="53"/>
  </r>
  <r>
    <n v="41"/>
    <x v="0"/>
    <s v="Travel_Frequently"/>
    <n v="143"/>
    <x v="0"/>
    <n v="4"/>
    <n v="3"/>
    <s v="Marketing"/>
    <n v="1"/>
    <n v="488"/>
    <n v="1"/>
    <x v="1"/>
    <n v="56"/>
    <n v="3"/>
    <n v="2"/>
    <x v="0"/>
    <n v="2"/>
    <s v="Single"/>
    <n v="9355"/>
    <n v="9558"/>
    <n v="1"/>
    <s v="Y"/>
    <x v="1"/>
    <n v="18"/>
    <n v="3"/>
    <n v="3"/>
    <n v="80"/>
    <n v="0"/>
    <n v="8"/>
    <n v="5"/>
    <n v="3"/>
    <n v="8"/>
    <n v="7"/>
    <n v="7"/>
    <n v="7"/>
    <x v="0"/>
    <x v="0"/>
    <n v="1"/>
    <n v="0"/>
    <x v="3"/>
    <x v="0"/>
    <n v="42"/>
  </r>
  <r>
    <n v="50"/>
    <x v="1"/>
    <s v="Travel_Rarely"/>
    <n v="1046"/>
    <x v="1"/>
    <n v="10"/>
    <n v="3"/>
    <s v="Technical Degree"/>
    <n v="1"/>
    <n v="491"/>
    <n v="4"/>
    <x v="1"/>
    <n v="100"/>
    <n v="2"/>
    <n v="3"/>
    <x v="4"/>
    <n v="4"/>
    <s v="Single"/>
    <n v="10496"/>
    <n v="2755"/>
    <n v="6"/>
    <s v="Y"/>
    <x v="1"/>
    <n v="15"/>
    <n v="3"/>
    <n v="4"/>
    <n v="80"/>
    <n v="0"/>
    <n v="20"/>
    <n v="2"/>
    <n v="3"/>
    <n v="4"/>
    <n v="3"/>
    <n v="1"/>
    <n v="3"/>
    <x v="3"/>
    <x v="0"/>
    <n v="0"/>
    <n v="0"/>
    <x v="3"/>
    <x v="0"/>
    <n v="41"/>
  </r>
  <r>
    <n v="40"/>
    <x v="0"/>
    <s v="Travel_Rarely"/>
    <n v="575"/>
    <x v="0"/>
    <n v="22"/>
    <n v="2"/>
    <s v="Marketing"/>
    <n v="1"/>
    <n v="492"/>
    <n v="3"/>
    <x v="1"/>
    <n v="68"/>
    <n v="2"/>
    <n v="2"/>
    <x v="0"/>
    <n v="3"/>
    <s v="Married"/>
    <n v="6380"/>
    <n v="6110"/>
    <n v="2"/>
    <s v="Y"/>
    <x v="0"/>
    <n v="12"/>
    <n v="3"/>
    <n v="1"/>
    <n v="80"/>
    <n v="2"/>
    <n v="8"/>
    <n v="6"/>
    <n v="3"/>
    <n v="6"/>
    <n v="4"/>
    <n v="1"/>
    <n v="0"/>
    <x v="0"/>
    <x v="0"/>
    <n v="1"/>
    <n v="1"/>
    <x v="0"/>
    <x v="1"/>
    <n v="61"/>
  </r>
  <r>
    <n v="31"/>
    <x v="1"/>
    <s v="Travel_Rarely"/>
    <n v="408"/>
    <x v="1"/>
    <n v="9"/>
    <n v="4"/>
    <s v="Life Sciences"/>
    <n v="1"/>
    <n v="493"/>
    <n v="3"/>
    <x v="1"/>
    <n v="42"/>
    <n v="2"/>
    <n v="1"/>
    <x v="1"/>
    <n v="2"/>
    <s v="Single"/>
    <n v="2657"/>
    <n v="7551"/>
    <n v="0"/>
    <s v="Y"/>
    <x v="0"/>
    <n v="16"/>
    <n v="3"/>
    <n v="4"/>
    <n v="80"/>
    <n v="0"/>
    <n v="3"/>
    <n v="5"/>
    <n v="3"/>
    <n v="2"/>
    <n v="2"/>
    <n v="2"/>
    <n v="2"/>
    <x v="1"/>
    <x v="1"/>
    <n v="0"/>
    <n v="1"/>
    <x v="2"/>
    <x v="1"/>
    <n v="94"/>
  </r>
  <r>
    <n v="21"/>
    <x v="0"/>
    <s v="Travel_Rarely"/>
    <n v="156"/>
    <x v="0"/>
    <n v="12"/>
    <n v="3"/>
    <s v="Life Sciences"/>
    <n v="1"/>
    <n v="494"/>
    <n v="3"/>
    <x v="0"/>
    <n v="90"/>
    <n v="4"/>
    <n v="1"/>
    <x v="6"/>
    <n v="2"/>
    <s v="Single"/>
    <n v="2716"/>
    <n v="25422"/>
    <n v="1"/>
    <s v="Y"/>
    <x v="1"/>
    <n v="15"/>
    <n v="3"/>
    <n v="4"/>
    <n v="80"/>
    <n v="0"/>
    <n v="1"/>
    <n v="0"/>
    <n v="3"/>
    <n v="1"/>
    <n v="0"/>
    <n v="0"/>
    <n v="0"/>
    <x v="2"/>
    <x v="1"/>
    <n v="1"/>
    <n v="0"/>
    <x v="3"/>
    <x v="1"/>
    <n v="79"/>
  </r>
  <r>
    <n v="29"/>
    <x v="1"/>
    <s v="Travel_Rarely"/>
    <n v="1283"/>
    <x v="1"/>
    <n v="23"/>
    <n v="3"/>
    <s v="Life Sciences"/>
    <n v="1"/>
    <n v="495"/>
    <n v="4"/>
    <x v="1"/>
    <n v="54"/>
    <n v="3"/>
    <n v="1"/>
    <x v="1"/>
    <n v="4"/>
    <s v="Single"/>
    <n v="2201"/>
    <n v="18168"/>
    <n v="9"/>
    <s v="Y"/>
    <x v="1"/>
    <n v="16"/>
    <n v="3"/>
    <n v="4"/>
    <n v="80"/>
    <n v="0"/>
    <n v="6"/>
    <n v="4"/>
    <n v="3"/>
    <n v="3"/>
    <n v="2"/>
    <n v="1"/>
    <n v="2"/>
    <x v="2"/>
    <x v="1"/>
    <n v="0"/>
    <n v="0"/>
    <x v="3"/>
    <x v="1"/>
    <n v="56"/>
  </r>
  <r>
    <n v="35"/>
    <x v="1"/>
    <s v="Travel_Rarely"/>
    <n v="755"/>
    <x v="1"/>
    <n v="9"/>
    <n v="4"/>
    <s v="Life Sciences"/>
    <n v="1"/>
    <n v="496"/>
    <n v="3"/>
    <x v="1"/>
    <n v="97"/>
    <n v="2"/>
    <n v="2"/>
    <x v="4"/>
    <n v="2"/>
    <s v="Single"/>
    <n v="6540"/>
    <n v="19394"/>
    <n v="9"/>
    <s v="Y"/>
    <x v="1"/>
    <n v="19"/>
    <n v="3"/>
    <n v="3"/>
    <n v="80"/>
    <n v="0"/>
    <n v="10"/>
    <n v="5"/>
    <n v="3"/>
    <n v="1"/>
    <n v="1"/>
    <n v="0"/>
    <n v="0"/>
    <x v="1"/>
    <x v="0"/>
    <n v="0"/>
    <n v="0"/>
    <x v="2"/>
    <x v="1"/>
    <n v="69"/>
  </r>
  <r>
    <n v="27"/>
    <x v="1"/>
    <s v="Travel_Rarely"/>
    <n v="1469"/>
    <x v="1"/>
    <n v="1"/>
    <n v="2"/>
    <s v="Medical"/>
    <n v="1"/>
    <n v="497"/>
    <n v="4"/>
    <x v="1"/>
    <n v="82"/>
    <n v="3"/>
    <n v="1"/>
    <x v="2"/>
    <n v="2"/>
    <s v="Divorced"/>
    <n v="3816"/>
    <n v="17881"/>
    <n v="1"/>
    <s v="Y"/>
    <x v="1"/>
    <n v="11"/>
    <n v="3"/>
    <n v="2"/>
    <n v="80"/>
    <n v="1"/>
    <n v="5"/>
    <n v="2"/>
    <n v="3"/>
    <n v="5"/>
    <n v="2"/>
    <n v="0"/>
    <n v="4"/>
    <x v="2"/>
    <x v="1"/>
    <n v="0"/>
    <n v="0"/>
    <x v="0"/>
    <x v="1"/>
    <n v="69"/>
  </r>
  <r>
    <n v="28"/>
    <x v="1"/>
    <s v="Travel_Rarely"/>
    <n v="304"/>
    <x v="0"/>
    <n v="9"/>
    <n v="4"/>
    <s v="Life Sciences"/>
    <n v="1"/>
    <n v="498"/>
    <n v="2"/>
    <x v="1"/>
    <n v="92"/>
    <n v="3"/>
    <n v="2"/>
    <x v="0"/>
    <n v="4"/>
    <s v="Single"/>
    <n v="5253"/>
    <n v="20750"/>
    <n v="1"/>
    <s v="Y"/>
    <x v="1"/>
    <n v="16"/>
    <n v="3"/>
    <n v="4"/>
    <n v="80"/>
    <n v="0"/>
    <n v="7"/>
    <n v="1"/>
    <n v="3"/>
    <n v="7"/>
    <n v="5"/>
    <n v="0"/>
    <n v="7"/>
    <x v="2"/>
    <x v="0"/>
    <n v="0"/>
    <n v="0"/>
    <x v="2"/>
    <x v="0"/>
    <n v="49"/>
  </r>
  <r>
    <n v="49"/>
    <x v="1"/>
    <s v="Travel_Rarely"/>
    <n v="1261"/>
    <x v="1"/>
    <n v="7"/>
    <n v="3"/>
    <s v="Other"/>
    <n v="1"/>
    <n v="499"/>
    <n v="2"/>
    <x v="1"/>
    <n v="31"/>
    <n v="2"/>
    <n v="3"/>
    <x v="4"/>
    <n v="3"/>
    <s v="Single"/>
    <n v="10965"/>
    <n v="12066"/>
    <n v="8"/>
    <s v="Y"/>
    <x v="1"/>
    <n v="24"/>
    <n v="4"/>
    <n v="3"/>
    <n v="80"/>
    <n v="0"/>
    <n v="26"/>
    <n v="2"/>
    <n v="3"/>
    <n v="5"/>
    <n v="2"/>
    <n v="0"/>
    <n v="0"/>
    <x v="0"/>
    <x v="0"/>
    <n v="0"/>
    <n v="0"/>
    <x v="3"/>
    <x v="0"/>
    <n v="43"/>
  </r>
  <r>
    <n v="51"/>
    <x v="1"/>
    <s v="Travel_Rarely"/>
    <n v="1178"/>
    <x v="0"/>
    <n v="14"/>
    <n v="2"/>
    <s v="Life Sciences"/>
    <n v="1"/>
    <n v="500"/>
    <n v="3"/>
    <x v="0"/>
    <n v="87"/>
    <n v="3"/>
    <n v="2"/>
    <x v="0"/>
    <n v="4"/>
    <s v="Married"/>
    <n v="4936"/>
    <n v="14862"/>
    <n v="4"/>
    <s v="Y"/>
    <x v="1"/>
    <n v="11"/>
    <n v="3"/>
    <n v="3"/>
    <n v="80"/>
    <n v="1"/>
    <n v="18"/>
    <n v="2"/>
    <n v="2"/>
    <n v="7"/>
    <n v="7"/>
    <n v="0"/>
    <n v="7"/>
    <x v="3"/>
    <x v="1"/>
    <n v="0"/>
    <n v="0"/>
    <x v="0"/>
    <x v="2"/>
    <n v="34"/>
  </r>
  <r>
    <n v="36"/>
    <x v="1"/>
    <s v="Travel_Rarely"/>
    <n v="329"/>
    <x v="1"/>
    <n v="2"/>
    <n v="3"/>
    <s v="Life Sciences"/>
    <n v="1"/>
    <n v="501"/>
    <n v="4"/>
    <x v="0"/>
    <n v="96"/>
    <n v="3"/>
    <n v="1"/>
    <x v="1"/>
    <n v="3"/>
    <s v="Married"/>
    <n v="2543"/>
    <n v="11868"/>
    <n v="4"/>
    <s v="Y"/>
    <x v="1"/>
    <n v="13"/>
    <n v="3"/>
    <n v="2"/>
    <n v="80"/>
    <n v="1"/>
    <n v="6"/>
    <n v="3"/>
    <n v="3"/>
    <n v="2"/>
    <n v="2"/>
    <n v="2"/>
    <n v="2"/>
    <x v="1"/>
    <x v="1"/>
    <n v="0"/>
    <n v="0"/>
    <x v="3"/>
    <x v="1"/>
    <n v="63"/>
  </r>
  <r>
    <n v="34"/>
    <x v="0"/>
    <s v="Non-Travel"/>
    <n v="1362"/>
    <x v="0"/>
    <n v="19"/>
    <n v="3"/>
    <s v="Marketing"/>
    <n v="1"/>
    <n v="502"/>
    <n v="1"/>
    <x v="1"/>
    <n v="67"/>
    <n v="4"/>
    <n v="2"/>
    <x v="0"/>
    <n v="4"/>
    <s v="Single"/>
    <n v="5304"/>
    <n v="4652"/>
    <n v="8"/>
    <s v="Y"/>
    <x v="0"/>
    <n v="13"/>
    <n v="3"/>
    <n v="2"/>
    <n v="80"/>
    <n v="0"/>
    <n v="9"/>
    <n v="3"/>
    <n v="2"/>
    <n v="5"/>
    <n v="2"/>
    <n v="0"/>
    <n v="4"/>
    <x v="1"/>
    <x v="0"/>
    <n v="1"/>
    <n v="1"/>
    <x v="3"/>
    <x v="1"/>
    <n v="71"/>
  </r>
  <r>
    <n v="55"/>
    <x v="1"/>
    <s v="Travel_Rarely"/>
    <n v="1311"/>
    <x v="1"/>
    <n v="2"/>
    <n v="3"/>
    <s v="Life Sciences"/>
    <n v="1"/>
    <n v="505"/>
    <n v="3"/>
    <x v="0"/>
    <n v="97"/>
    <n v="3"/>
    <n v="4"/>
    <x v="5"/>
    <n v="4"/>
    <s v="Single"/>
    <n v="16659"/>
    <n v="23258"/>
    <n v="2"/>
    <s v="Y"/>
    <x v="0"/>
    <n v="13"/>
    <n v="3"/>
    <n v="3"/>
    <n v="80"/>
    <n v="0"/>
    <n v="30"/>
    <n v="2"/>
    <n v="3"/>
    <n v="5"/>
    <n v="4"/>
    <n v="1"/>
    <n v="2"/>
    <x v="3"/>
    <x v="2"/>
    <n v="0"/>
    <n v="1"/>
    <x v="3"/>
    <x v="1"/>
    <n v="66"/>
  </r>
  <r>
    <n v="24"/>
    <x v="1"/>
    <s v="Travel_Rarely"/>
    <n v="1371"/>
    <x v="0"/>
    <n v="10"/>
    <n v="4"/>
    <s v="Marketing"/>
    <n v="1"/>
    <n v="507"/>
    <n v="4"/>
    <x v="0"/>
    <n v="77"/>
    <n v="3"/>
    <n v="2"/>
    <x v="0"/>
    <n v="3"/>
    <s v="Divorced"/>
    <n v="4260"/>
    <n v="5915"/>
    <n v="1"/>
    <s v="Y"/>
    <x v="0"/>
    <n v="12"/>
    <n v="3"/>
    <n v="4"/>
    <n v="80"/>
    <n v="1"/>
    <n v="5"/>
    <n v="2"/>
    <n v="4"/>
    <n v="5"/>
    <n v="2"/>
    <n v="0"/>
    <n v="3"/>
    <x v="2"/>
    <x v="1"/>
    <n v="0"/>
    <n v="1"/>
    <x v="2"/>
    <x v="1"/>
    <n v="88"/>
  </r>
  <r>
    <n v="30"/>
    <x v="1"/>
    <s v="Travel_Rarely"/>
    <n v="202"/>
    <x v="0"/>
    <n v="2"/>
    <n v="1"/>
    <s v="Technical Degree"/>
    <n v="1"/>
    <n v="508"/>
    <n v="3"/>
    <x v="1"/>
    <n v="72"/>
    <n v="3"/>
    <n v="1"/>
    <x v="6"/>
    <n v="2"/>
    <s v="Married"/>
    <n v="2476"/>
    <n v="17434"/>
    <n v="1"/>
    <s v="Y"/>
    <x v="1"/>
    <n v="18"/>
    <n v="3"/>
    <n v="1"/>
    <n v="80"/>
    <n v="1"/>
    <n v="1"/>
    <n v="3"/>
    <n v="3"/>
    <n v="1"/>
    <n v="0"/>
    <n v="0"/>
    <n v="0"/>
    <x v="1"/>
    <x v="1"/>
    <n v="0"/>
    <n v="0"/>
    <x v="1"/>
    <x v="1"/>
    <n v="69"/>
  </r>
  <r>
    <n v="26"/>
    <x v="0"/>
    <s v="Travel_Frequently"/>
    <n v="575"/>
    <x v="1"/>
    <n v="3"/>
    <n v="1"/>
    <s v="Technical Degree"/>
    <n v="1"/>
    <n v="510"/>
    <n v="3"/>
    <x v="1"/>
    <n v="73"/>
    <n v="3"/>
    <n v="1"/>
    <x v="1"/>
    <n v="1"/>
    <s v="Single"/>
    <n v="3102"/>
    <n v="6582"/>
    <n v="0"/>
    <s v="Y"/>
    <x v="1"/>
    <n v="22"/>
    <n v="4"/>
    <n v="3"/>
    <n v="80"/>
    <n v="0"/>
    <n v="7"/>
    <n v="2"/>
    <n v="3"/>
    <n v="6"/>
    <n v="4"/>
    <n v="0"/>
    <n v="4"/>
    <x v="2"/>
    <x v="1"/>
    <n v="1"/>
    <n v="0"/>
    <x v="1"/>
    <x v="1"/>
    <n v="68"/>
  </r>
  <r>
    <n v="22"/>
    <x v="1"/>
    <s v="Travel_Rarely"/>
    <n v="253"/>
    <x v="1"/>
    <n v="11"/>
    <n v="3"/>
    <s v="Medical"/>
    <n v="1"/>
    <n v="511"/>
    <n v="1"/>
    <x v="0"/>
    <n v="43"/>
    <n v="3"/>
    <n v="1"/>
    <x v="1"/>
    <n v="2"/>
    <s v="Married"/>
    <n v="2244"/>
    <n v="24440"/>
    <n v="1"/>
    <s v="Y"/>
    <x v="1"/>
    <n v="13"/>
    <n v="3"/>
    <n v="4"/>
    <n v="80"/>
    <n v="1"/>
    <n v="2"/>
    <n v="1"/>
    <n v="3"/>
    <n v="2"/>
    <n v="1"/>
    <n v="1"/>
    <n v="2"/>
    <x v="2"/>
    <x v="1"/>
    <n v="0"/>
    <n v="0"/>
    <x v="3"/>
    <x v="1"/>
    <n v="79"/>
  </r>
  <r>
    <n v="36"/>
    <x v="1"/>
    <s v="Travel_Rarely"/>
    <n v="164"/>
    <x v="0"/>
    <n v="2"/>
    <n v="2"/>
    <s v="Medical"/>
    <n v="1"/>
    <n v="513"/>
    <n v="2"/>
    <x v="1"/>
    <n v="61"/>
    <n v="2"/>
    <n v="3"/>
    <x v="0"/>
    <n v="3"/>
    <s v="Married"/>
    <n v="7596"/>
    <n v="3809"/>
    <n v="1"/>
    <s v="Y"/>
    <x v="1"/>
    <n v="13"/>
    <n v="3"/>
    <n v="2"/>
    <n v="80"/>
    <n v="2"/>
    <n v="10"/>
    <n v="2"/>
    <n v="3"/>
    <n v="10"/>
    <n v="9"/>
    <n v="9"/>
    <n v="0"/>
    <x v="1"/>
    <x v="0"/>
    <n v="0"/>
    <n v="0"/>
    <x v="0"/>
    <x v="0"/>
    <n v="46"/>
  </r>
  <r>
    <n v="30"/>
    <x v="0"/>
    <s v="Travel_Frequently"/>
    <n v="464"/>
    <x v="1"/>
    <n v="4"/>
    <n v="3"/>
    <s v="Technical Degree"/>
    <n v="1"/>
    <n v="514"/>
    <n v="3"/>
    <x v="1"/>
    <n v="40"/>
    <n v="3"/>
    <n v="1"/>
    <x v="1"/>
    <n v="4"/>
    <s v="Single"/>
    <n v="2285"/>
    <n v="3427"/>
    <n v="9"/>
    <s v="Y"/>
    <x v="0"/>
    <n v="23"/>
    <n v="4"/>
    <n v="3"/>
    <n v="80"/>
    <n v="0"/>
    <n v="3"/>
    <n v="4"/>
    <n v="3"/>
    <n v="1"/>
    <n v="0"/>
    <n v="0"/>
    <n v="0"/>
    <x v="1"/>
    <x v="1"/>
    <n v="1"/>
    <n v="1"/>
    <x v="3"/>
    <x v="1"/>
    <n v="81"/>
  </r>
  <r>
    <n v="37"/>
    <x v="1"/>
    <s v="Travel_Rarely"/>
    <n v="1107"/>
    <x v="1"/>
    <n v="14"/>
    <n v="3"/>
    <s v="Life Sciences"/>
    <n v="1"/>
    <n v="515"/>
    <n v="4"/>
    <x v="0"/>
    <n v="95"/>
    <n v="3"/>
    <n v="1"/>
    <x v="2"/>
    <n v="1"/>
    <s v="Divorced"/>
    <n v="3034"/>
    <n v="26914"/>
    <n v="1"/>
    <s v="Y"/>
    <x v="1"/>
    <n v="12"/>
    <n v="3"/>
    <n v="3"/>
    <n v="80"/>
    <n v="1"/>
    <n v="18"/>
    <n v="2"/>
    <n v="2"/>
    <n v="18"/>
    <n v="7"/>
    <n v="12"/>
    <n v="17"/>
    <x v="1"/>
    <x v="1"/>
    <n v="0"/>
    <n v="0"/>
    <x v="3"/>
    <x v="0"/>
    <n v="53"/>
  </r>
  <r>
    <n v="40"/>
    <x v="1"/>
    <s v="Travel_Rarely"/>
    <n v="759"/>
    <x v="0"/>
    <n v="2"/>
    <n v="2"/>
    <s v="Marketing"/>
    <n v="1"/>
    <n v="516"/>
    <n v="4"/>
    <x v="0"/>
    <n v="46"/>
    <n v="3"/>
    <n v="2"/>
    <x v="0"/>
    <n v="2"/>
    <s v="Divorced"/>
    <n v="5715"/>
    <n v="22553"/>
    <n v="7"/>
    <s v="Y"/>
    <x v="1"/>
    <n v="12"/>
    <n v="3"/>
    <n v="3"/>
    <n v="80"/>
    <n v="2"/>
    <n v="8"/>
    <n v="5"/>
    <n v="3"/>
    <n v="5"/>
    <n v="4"/>
    <n v="1"/>
    <n v="3"/>
    <x v="0"/>
    <x v="0"/>
    <n v="0"/>
    <n v="0"/>
    <x v="0"/>
    <x v="0"/>
    <n v="49"/>
  </r>
  <r>
    <n v="42"/>
    <x v="1"/>
    <s v="Travel_Rarely"/>
    <n v="201"/>
    <x v="1"/>
    <n v="1"/>
    <n v="4"/>
    <s v="Life Sciences"/>
    <n v="1"/>
    <n v="517"/>
    <n v="2"/>
    <x v="0"/>
    <n v="95"/>
    <n v="3"/>
    <n v="1"/>
    <x v="2"/>
    <n v="1"/>
    <s v="Divorced"/>
    <n v="2576"/>
    <n v="20490"/>
    <n v="3"/>
    <s v="Y"/>
    <x v="1"/>
    <n v="16"/>
    <n v="3"/>
    <n v="2"/>
    <n v="80"/>
    <n v="1"/>
    <n v="8"/>
    <n v="5"/>
    <n v="3"/>
    <n v="5"/>
    <n v="2"/>
    <n v="1"/>
    <n v="2"/>
    <x v="0"/>
    <x v="1"/>
    <n v="0"/>
    <n v="0"/>
    <x v="2"/>
    <x v="1"/>
    <n v="55"/>
  </r>
  <r>
    <n v="37"/>
    <x v="1"/>
    <s v="Travel_Rarely"/>
    <n v="1305"/>
    <x v="1"/>
    <n v="10"/>
    <n v="4"/>
    <s v="Life Sciences"/>
    <n v="1"/>
    <n v="518"/>
    <n v="3"/>
    <x v="1"/>
    <n v="49"/>
    <n v="3"/>
    <n v="2"/>
    <x v="3"/>
    <n v="2"/>
    <s v="Single"/>
    <n v="4197"/>
    <n v="21123"/>
    <n v="2"/>
    <s v="Y"/>
    <x v="0"/>
    <n v="12"/>
    <n v="3"/>
    <n v="4"/>
    <n v="80"/>
    <n v="0"/>
    <n v="18"/>
    <n v="2"/>
    <n v="2"/>
    <n v="1"/>
    <n v="0"/>
    <n v="0"/>
    <n v="1"/>
    <x v="1"/>
    <x v="1"/>
    <n v="0"/>
    <n v="1"/>
    <x v="2"/>
    <x v="1"/>
    <n v="94"/>
  </r>
  <r>
    <n v="43"/>
    <x v="1"/>
    <s v="Travel_Rarely"/>
    <n v="982"/>
    <x v="1"/>
    <n v="12"/>
    <n v="3"/>
    <s v="Life Sciences"/>
    <n v="1"/>
    <n v="520"/>
    <n v="1"/>
    <x v="1"/>
    <n v="59"/>
    <n v="2"/>
    <n v="4"/>
    <x v="7"/>
    <n v="2"/>
    <s v="Divorced"/>
    <n v="14336"/>
    <n v="4345"/>
    <n v="1"/>
    <s v="Y"/>
    <x v="1"/>
    <n v="11"/>
    <n v="3"/>
    <n v="3"/>
    <n v="80"/>
    <n v="1"/>
    <n v="25"/>
    <n v="3"/>
    <n v="3"/>
    <n v="25"/>
    <n v="10"/>
    <n v="3"/>
    <n v="9"/>
    <x v="0"/>
    <x v="0"/>
    <n v="0"/>
    <n v="0"/>
    <x v="3"/>
    <x v="0"/>
    <n v="37"/>
  </r>
  <r>
    <n v="40"/>
    <x v="1"/>
    <s v="Travel_Rarely"/>
    <n v="555"/>
    <x v="1"/>
    <n v="2"/>
    <n v="3"/>
    <s v="Medical"/>
    <n v="1"/>
    <n v="521"/>
    <n v="2"/>
    <x v="0"/>
    <n v="78"/>
    <n v="2"/>
    <n v="2"/>
    <x v="2"/>
    <n v="3"/>
    <s v="Married"/>
    <n v="3448"/>
    <n v="13436"/>
    <n v="6"/>
    <s v="Y"/>
    <x v="1"/>
    <n v="22"/>
    <n v="4"/>
    <n v="2"/>
    <n v="80"/>
    <n v="1"/>
    <n v="20"/>
    <n v="3"/>
    <n v="3"/>
    <n v="1"/>
    <n v="0"/>
    <n v="0"/>
    <n v="0"/>
    <x v="0"/>
    <x v="1"/>
    <n v="0"/>
    <n v="0"/>
    <x v="3"/>
    <x v="0"/>
    <n v="53"/>
  </r>
  <r>
    <n v="54"/>
    <x v="1"/>
    <s v="Travel_Rarely"/>
    <n v="821"/>
    <x v="1"/>
    <n v="5"/>
    <n v="2"/>
    <s v="Medical"/>
    <n v="1"/>
    <n v="522"/>
    <n v="1"/>
    <x v="1"/>
    <n v="86"/>
    <n v="3"/>
    <n v="5"/>
    <x v="7"/>
    <n v="1"/>
    <s v="Married"/>
    <n v="19406"/>
    <n v="8509"/>
    <n v="4"/>
    <s v="Y"/>
    <x v="1"/>
    <n v="11"/>
    <n v="3"/>
    <n v="3"/>
    <n v="80"/>
    <n v="1"/>
    <n v="24"/>
    <n v="4"/>
    <n v="2"/>
    <n v="4"/>
    <n v="2"/>
    <n v="1"/>
    <n v="2"/>
    <x v="3"/>
    <x v="2"/>
    <n v="0"/>
    <n v="0"/>
    <x v="0"/>
    <x v="1"/>
    <n v="60"/>
  </r>
  <r>
    <n v="34"/>
    <x v="1"/>
    <s v="Non-Travel"/>
    <n v="1381"/>
    <x v="0"/>
    <n v="4"/>
    <n v="4"/>
    <s v="Marketing"/>
    <n v="1"/>
    <n v="523"/>
    <n v="3"/>
    <x v="0"/>
    <n v="72"/>
    <n v="3"/>
    <n v="2"/>
    <x v="0"/>
    <n v="3"/>
    <s v="Married"/>
    <n v="6538"/>
    <n v="12740"/>
    <n v="9"/>
    <s v="Y"/>
    <x v="1"/>
    <n v="15"/>
    <n v="3"/>
    <n v="1"/>
    <n v="80"/>
    <n v="1"/>
    <n v="6"/>
    <n v="3"/>
    <n v="3"/>
    <n v="3"/>
    <n v="2"/>
    <n v="1"/>
    <n v="2"/>
    <x v="1"/>
    <x v="0"/>
    <n v="0"/>
    <n v="0"/>
    <x v="2"/>
    <x v="0"/>
    <n v="53"/>
  </r>
  <r>
    <n v="31"/>
    <x v="1"/>
    <s v="Travel_Rarely"/>
    <n v="480"/>
    <x v="1"/>
    <n v="7"/>
    <n v="2"/>
    <s v="Medical"/>
    <n v="1"/>
    <n v="524"/>
    <n v="2"/>
    <x v="0"/>
    <n v="31"/>
    <n v="3"/>
    <n v="2"/>
    <x v="3"/>
    <n v="1"/>
    <s v="Married"/>
    <n v="4306"/>
    <n v="4156"/>
    <n v="1"/>
    <s v="Y"/>
    <x v="1"/>
    <n v="12"/>
    <n v="3"/>
    <n v="2"/>
    <n v="80"/>
    <n v="1"/>
    <n v="13"/>
    <n v="5"/>
    <n v="1"/>
    <n v="13"/>
    <n v="10"/>
    <n v="3"/>
    <n v="12"/>
    <x v="1"/>
    <x v="1"/>
    <n v="0"/>
    <n v="0"/>
    <x v="0"/>
    <x v="0"/>
    <n v="53"/>
  </r>
  <r>
    <n v="43"/>
    <x v="1"/>
    <s v="Travel_Frequently"/>
    <n v="313"/>
    <x v="1"/>
    <n v="21"/>
    <n v="3"/>
    <s v="Medical"/>
    <n v="1"/>
    <n v="525"/>
    <n v="4"/>
    <x v="1"/>
    <n v="61"/>
    <n v="3"/>
    <n v="1"/>
    <x v="2"/>
    <n v="4"/>
    <s v="Married"/>
    <n v="2258"/>
    <n v="15238"/>
    <n v="7"/>
    <s v="Y"/>
    <x v="1"/>
    <n v="20"/>
    <n v="4"/>
    <n v="1"/>
    <n v="80"/>
    <n v="1"/>
    <n v="8"/>
    <n v="1"/>
    <n v="3"/>
    <n v="3"/>
    <n v="2"/>
    <n v="1"/>
    <n v="2"/>
    <x v="0"/>
    <x v="1"/>
    <n v="0"/>
    <n v="0"/>
    <x v="3"/>
    <x v="0"/>
    <n v="36"/>
  </r>
  <r>
    <n v="43"/>
    <x v="1"/>
    <s v="Travel_Rarely"/>
    <n v="1473"/>
    <x v="1"/>
    <n v="8"/>
    <n v="4"/>
    <s v="Other"/>
    <n v="1"/>
    <n v="526"/>
    <n v="3"/>
    <x v="0"/>
    <n v="74"/>
    <n v="3"/>
    <n v="2"/>
    <x v="4"/>
    <n v="3"/>
    <s v="Divorced"/>
    <n v="4522"/>
    <n v="2227"/>
    <n v="4"/>
    <s v="Y"/>
    <x v="0"/>
    <n v="14"/>
    <n v="3"/>
    <n v="4"/>
    <n v="80"/>
    <n v="0"/>
    <n v="8"/>
    <n v="3"/>
    <n v="3"/>
    <n v="5"/>
    <n v="2"/>
    <n v="0"/>
    <n v="2"/>
    <x v="0"/>
    <x v="1"/>
    <n v="0"/>
    <n v="1"/>
    <x v="2"/>
    <x v="1"/>
    <n v="68"/>
  </r>
  <r>
    <n v="25"/>
    <x v="1"/>
    <s v="Travel_Rarely"/>
    <n v="891"/>
    <x v="0"/>
    <n v="4"/>
    <n v="2"/>
    <s v="Life Sciences"/>
    <n v="1"/>
    <n v="527"/>
    <n v="2"/>
    <x v="0"/>
    <n v="99"/>
    <n v="2"/>
    <n v="2"/>
    <x v="0"/>
    <n v="4"/>
    <s v="Single"/>
    <n v="4487"/>
    <n v="12090"/>
    <n v="1"/>
    <s v="Y"/>
    <x v="0"/>
    <n v="11"/>
    <n v="3"/>
    <n v="2"/>
    <n v="80"/>
    <n v="0"/>
    <n v="5"/>
    <n v="3"/>
    <n v="3"/>
    <n v="5"/>
    <n v="4"/>
    <n v="1"/>
    <n v="3"/>
    <x v="2"/>
    <x v="1"/>
    <n v="0"/>
    <n v="1"/>
    <x v="0"/>
    <x v="1"/>
    <n v="81"/>
  </r>
  <r>
    <n v="37"/>
    <x v="1"/>
    <s v="Non-Travel"/>
    <n v="1063"/>
    <x v="1"/>
    <n v="25"/>
    <n v="5"/>
    <s v="Medical"/>
    <n v="1"/>
    <n v="529"/>
    <n v="2"/>
    <x v="0"/>
    <n v="72"/>
    <n v="3"/>
    <n v="2"/>
    <x v="1"/>
    <n v="3"/>
    <s v="Married"/>
    <n v="4449"/>
    <n v="23866"/>
    <n v="3"/>
    <s v="Y"/>
    <x v="0"/>
    <n v="15"/>
    <n v="3"/>
    <n v="1"/>
    <n v="80"/>
    <n v="2"/>
    <n v="15"/>
    <n v="2"/>
    <n v="3"/>
    <n v="13"/>
    <n v="11"/>
    <n v="10"/>
    <n v="7"/>
    <x v="1"/>
    <x v="1"/>
    <n v="0"/>
    <n v="1"/>
    <x v="4"/>
    <x v="1"/>
    <n v="66"/>
  </r>
  <r>
    <n v="31"/>
    <x v="1"/>
    <s v="Travel_Rarely"/>
    <n v="329"/>
    <x v="1"/>
    <n v="1"/>
    <n v="2"/>
    <s v="Life Sciences"/>
    <n v="1"/>
    <n v="530"/>
    <n v="4"/>
    <x v="1"/>
    <n v="98"/>
    <n v="2"/>
    <n v="1"/>
    <x v="2"/>
    <n v="1"/>
    <s v="Married"/>
    <n v="2218"/>
    <n v="16193"/>
    <n v="1"/>
    <s v="Y"/>
    <x v="1"/>
    <n v="12"/>
    <n v="3"/>
    <n v="3"/>
    <n v="80"/>
    <n v="1"/>
    <n v="4"/>
    <n v="3"/>
    <n v="3"/>
    <n v="4"/>
    <n v="2"/>
    <n v="3"/>
    <n v="2"/>
    <x v="1"/>
    <x v="1"/>
    <n v="0"/>
    <n v="0"/>
    <x v="0"/>
    <x v="1"/>
    <n v="65"/>
  </r>
  <r>
    <n v="39"/>
    <x v="1"/>
    <s v="Travel_Frequently"/>
    <n v="1218"/>
    <x v="1"/>
    <n v="1"/>
    <n v="1"/>
    <s v="Life Sciences"/>
    <n v="1"/>
    <n v="531"/>
    <n v="2"/>
    <x v="1"/>
    <n v="52"/>
    <n v="3"/>
    <n v="5"/>
    <x v="5"/>
    <n v="3"/>
    <s v="Divorced"/>
    <n v="19197"/>
    <n v="8213"/>
    <n v="1"/>
    <s v="Y"/>
    <x v="0"/>
    <n v="14"/>
    <n v="3"/>
    <n v="3"/>
    <n v="80"/>
    <n v="1"/>
    <n v="21"/>
    <n v="3"/>
    <n v="3"/>
    <n v="21"/>
    <n v="8"/>
    <n v="1"/>
    <n v="6"/>
    <x v="1"/>
    <x v="2"/>
    <n v="0"/>
    <n v="1"/>
    <x v="1"/>
    <x v="1"/>
    <n v="66"/>
  </r>
  <r>
    <n v="56"/>
    <x v="1"/>
    <s v="Travel_Frequently"/>
    <n v="906"/>
    <x v="0"/>
    <n v="6"/>
    <n v="3"/>
    <s v="Life Sciences"/>
    <n v="1"/>
    <n v="532"/>
    <n v="3"/>
    <x v="0"/>
    <n v="86"/>
    <n v="4"/>
    <n v="4"/>
    <x v="0"/>
    <n v="1"/>
    <s v="Married"/>
    <n v="13212"/>
    <n v="18256"/>
    <n v="9"/>
    <s v="Y"/>
    <x v="1"/>
    <n v="11"/>
    <n v="3"/>
    <n v="4"/>
    <n v="80"/>
    <n v="3"/>
    <n v="36"/>
    <n v="0"/>
    <n v="2"/>
    <n v="7"/>
    <n v="7"/>
    <n v="7"/>
    <n v="7"/>
    <x v="3"/>
    <x v="0"/>
    <n v="0"/>
    <n v="0"/>
    <x v="3"/>
    <x v="0"/>
    <n v="53"/>
  </r>
  <r>
    <n v="30"/>
    <x v="1"/>
    <s v="Travel_Rarely"/>
    <n v="1082"/>
    <x v="0"/>
    <n v="12"/>
    <n v="3"/>
    <s v="Technical Degree"/>
    <n v="1"/>
    <n v="533"/>
    <n v="2"/>
    <x v="0"/>
    <n v="83"/>
    <n v="3"/>
    <n v="2"/>
    <x v="0"/>
    <n v="3"/>
    <s v="Single"/>
    <n v="6577"/>
    <n v="19558"/>
    <n v="0"/>
    <s v="Y"/>
    <x v="1"/>
    <n v="11"/>
    <n v="3"/>
    <n v="2"/>
    <n v="80"/>
    <n v="0"/>
    <n v="6"/>
    <n v="6"/>
    <n v="3"/>
    <n v="5"/>
    <n v="4"/>
    <n v="4"/>
    <n v="4"/>
    <x v="1"/>
    <x v="0"/>
    <n v="0"/>
    <n v="0"/>
    <x v="3"/>
    <x v="0"/>
    <n v="53"/>
  </r>
  <r>
    <n v="41"/>
    <x v="1"/>
    <s v="Travel_Rarely"/>
    <n v="645"/>
    <x v="0"/>
    <n v="1"/>
    <n v="3"/>
    <s v="Marketing"/>
    <n v="1"/>
    <n v="534"/>
    <n v="2"/>
    <x v="1"/>
    <n v="49"/>
    <n v="4"/>
    <n v="3"/>
    <x v="0"/>
    <n v="1"/>
    <s v="Married"/>
    <n v="8392"/>
    <n v="19566"/>
    <n v="1"/>
    <s v="Y"/>
    <x v="1"/>
    <n v="16"/>
    <n v="3"/>
    <n v="3"/>
    <n v="80"/>
    <n v="1"/>
    <n v="10"/>
    <n v="2"/>
    <n v="3"/>
    <n v="10"/>
    <n v="7"/>
    <n v="0"/>
    <n v="7"/>
    <x v="0"/>
    <x v="0"/>
    <n v="0"/>
    <n v="0"/>
    <x v="3"/>
    <x v="0"/>
    <n v="48"/>
  </r>
  <r>
    <n v="28"/>
    <x v="1"/>
    <s v="Travel_Rarely"/>
    <n v="1300"/>
    <x v="1"/>
    <n v="17"/>
    <n v="2"/>
    <s v="Medical"/>
    <n v="1"/>
    <n v="536"/>
    <n v="3"/>
    <x v="1"/>
    <n v="79"/>
    <n v="3"/>
    <n v="2"/>
    <x v="2"/>
    <n v="1"/>
    <s v="Divorced"/>
    <n v="4558"/>
    <n v="13535"/>
    <n v="1"/>
    <s v="Y"/>
    <x v="1"/>
    <n v="12"/>
    <n v="3"/>
    <n v="4"/>
    <n v="80"/>
    <n v="1"/>
    <n v="10"/>
    <n v="2"/>
    <n v="3"/>
    <n v="10"/>
    <n v="0"/>
    <n v="1"/>
    <n v="8"/>
    <x v="2"/>
    <x v="1"/>
    <n v="0"/>
    <n v="0"/>
    <x v="0"/>
    <x v="1"/>
    <n v="68"/>
  </r>
  <r>
    <n v="25"/>
    <x v="0"/>
    <s v="Travel_Rarely"/>
    <n v="688"/>
    <x v="1"/>
    <n v="3"/>
    <n v="3"/>
    <s v="Medical"/>
    <n v="1"/>
    <n v="538"/>
    <n v="1"/>
    <x v="1"/>
    <n v="91"/>
    <n v="3"/>
    <n v="1"/>
    <x v="2"/>
    <n v="1"/>
    <s v="Married"/>
    <n v="4031"/>
    <n v="9396"/>
    <n v="5"/>
    <s v="Y"/>
    <x v="1"/>
    <n v="13"/>
    <n v="3"/>
    <n v="3"/>
    <n v="80"/>
    <n v="1"/>
    <n v="6"/>
    <n v="5"/>
    <n v="3"/>
    <n v="2"/>
    <n v="2"/>
    <n v="0"/>
    <n v="2"/>
    <x v="2"/>
    <x v="1"/>
    <n v="1"/>
    <n v="0"/>
    <x v="3"/>
    <x v="1"/>
    <n v="85"/>
  </r>
  <r>
    <n v="52"/>
    <x v="1"/>
    <s v="Travel_Rarely"/>
    <n v="319"/>
    <x v="1"/>
    <n v="3"/>
    <n v="3"/>
    <s v="Medical"/>
    <n v="1"/>
    <n v="543"/>
    <n v="4"/>
    <x v="1"/>
    <n v="39"/>
    <n v="2"/>
    <n v="3"/>
    <x v="3"/>
    <n v="3"/>
    <s v="Married"/>
    <n v="7969"/>
    <n v="19609"/>
    <n v="2"/>
    <s v="Y"/>
    <x v="0"/>
    <n v="14"/>
    <n v="3"/>
    <n v="3"/>
    <n v="80"/>
    <n v="0"/>
    <n v="28"/>
    <n v="4"/>
    <n v="3"/>
    <n v="5"/>
    <n v="4"/>
    <n v="0"/>
    <n v="4"/>
    <x v="3"/>
    <x v="0"/>
    <n v="0"/>
    <n v="1"/>
    <x v="3"/>
    <x v="1"/>
    <n v="73"/>
  </r>
  <r>
    <n v="45"/>
    <x v="1"/>
    <s v="Travel_Rarely"/>
    <n v="192"/>
    <x v="1"/>
    <n v="10"/>
    <n v="2"/>
    <s v="Life Sciences"/>
    <n v="1"/>
    <n v="544"/>
    <n v="1"/>
    <x v="1"/>
    <n v="69"/>
    <n v="3"/>
    <n v="1"/>
    <x v="1"/>
    <n v="4"/>
    <s v="Married"/>
    <n v="2654"/>
    <n v="9655"/>
    <n v="3"/>
    <s v="Y"/>
    <x v="1"/>
    <n v="21"/>
    <n v="4"/>
    <n v="4"/>
    <n v="80"/>
    <n v="2"/>
    <n v="8"/>
    <n v="3"/>
    <n v="2"/>
    <n v="2"/>
    <n v="2"/>
    <n v="0"/>
    <n v="2"/>
    <x v="0"/>
    <x v="1"/>
    <n v="0"/>
    <n v="0"/>
    <x v="0"/>
    <x v="0"/>
    <n v="46"/>
  </r>
  <r>
    <n v="52"/>
    <x v="1"/>
    <s v="Travel_Rarely"/>
    <n v="1490"/>
    <x v="1"/>
    <n v="4"/>
    <n v="2"/>
    <s v="Life Sciences"/>
    <n v="1"/>
    <n v="546"/>
    <n v="4"/>
    <x v="0"/>
    <n v="30"/>
    <n v="3"/>
    <n v="4"/>
    <x v="5"/>
    <n v="4"/>
    <s v="Married"/>
    <n v="16555"/>
    <n v="10310"/>
    <n v="2"/>
    <s v="Y"/>
    <x v="1"/>
    <n v="13"/>
    <n v="3"/>
    <n v="4"/>
    <n v="80"/>
    <n v="0"/>
    <n v="31"/>
    <n v="2"/>
    <n v="1"/>
    <n v="5"/>
    <n v="2"/>
    <n v="1"/>
    <n v="4"/>
    <x v="3"/>
    <x v="2"/>
    <n v="0"/>
    <n v="0"/>
    <x v="0"/>
    <x v="0"/>
    <n v="41"/>
  </r>
  <r>
    <n v="42"/>
    <x v="1"/>
    <s v="Travel_Frequently"/>
    <n v="532"/>
    <x v="1"/>
    <n v="29"/>
    <n v="2"/>
    <s v="Life Sciences"/>
    <n v="1"/>
    <n v="547"/>
    <n v="1"/>
    <x v="0"/>
    <n v="92"/>
    <n v="3"/>
    <n v="2"/>
    <x v="1"/>
    <n v="3"/>
    <s v="Divorced"/>
    <n v="4556"/>
    <n v="12932"/>
    <n v="2"/>
    <s v="Y"/>
    <x v="1"/>
    <n v="11"/>
    <n v="3"/>
    <n v="2"/>
    <n v="80"/>
    <n v="1"/>
    <n v="19"/>
    <n v="3"/>
    <n v="3"/>
    <n v="5"/>
    <n v="4"/>
    <n v="0"/>
    <n v="2"/>
    <x v="0"/>
    <x v="1"/>
    <n v="0"/>
    <n v="0"/>
    <x v="0"/>
    <x v="0"/>
    <n v="43"/>
  </r>
  <r>
    <n v="30"/>
    <x v="1"/>
    <s v="Travel_Rarely"/>
    <n v="317"/>
    <x v="1"/>
    <n v="2"/>
    <n v="3"/>
    <s v="Life Sciences"/>
    <n v="1"/>
    <n v="548"/>
    <n v="3"/>
    <x v="0"/>
    <n v="43"/>
    <n v="1"/>
    <n v="2"/>
    <x v="3"/>
    <n v="4"/>
    <s v="Single"/>
    <n v="6091"/>
    <n v="24793"/>
    <n v="2"/>
    <s v="Y"/>
    <x v="1"/>
    <n v="20"/>
    <n v="4"/>
    <n v="3"/>
    <n v="80"/>
    <n v="0"/>
    <n v="11"/>
    <n v="2"/>
    <n v="3"/>
    <n v="5"/>
    <n v="4"/>
    <n v="0"/>
    <n v="2"/>
    <x v="1"/>
    <x v="0"/>
    <n v="0"/>
    <n v="0"/>
    <x v="3"/>
    <x v="0"/>
    <n v="46"/>
  </r>
  <r>
    <n v="60"/>
    <x v="1"/>
    <s v="Travel_Rarely"/>
    <n v="422"/>
    <x v="1"/>
    <n v="7"/>
    <n v="3"/>
    <s v="Life Sciences"/>
    <n v="1"/>
    <n v="549"/>
    <n v="1"/>
    <x v="0"/>
    <n v="41"/>
    <n v="3"/>
    <n v="5"/>
    <x v="5"/>
    <n v="1"/>
    <s v="Married"/>
    <n v="19566"/>
    <n v="3854"/>
    <n v="5"/>
    <s v="Y"/>
    <x v="1"/>
    <n v="11"/>
    <n v="3"/>
    <n v="4"/>
    <n v="80"/>
    <n v="0"/>
    <n v="33"/>
    <n v="5"/>
    <n v="1"/>
    <n v="29"/>
    <n v="8"/>
    <n v="11"/>
    <n v="10"/>
    <x v="3"/>
    <x v="2"/>
    <n v="0"/>
    <n v="0"/>
    <x v="3"/>
    <x v="0"/>
    <n v="48"/>
  </r>
  <r>
    <n v="46"/>
    <x v="1"/>
    <s v="Travel_Rarely"/>
    <n v="1485"/>
    <x v="1"/>
    <n v="18"/>
    <n v="3"/>
    <s v="Medical"/>
    <n v="1"/>
    <n v="550"/>
    <n v="3"/>
    <x v="0"/>
    <n v="87"/>
    <n v="3"/>
    <n v="2"/>
    <x v="3"/>
    <n v="3"/>
    <s v="Divorced"/>
    <n v="4810"/>
    <n v="26314"/>
    <n v="2"/>
    <s v="Y"/>
    <x v="1"/>
    <n v="14"/>
    <n v="3"/>
    <n v="3"/>
    <n v="80"/>
    <n v="1"/>
    <n v="19"/>
    <n v="5"/>
    <n v="2"/>
    <n v="10"/>
    <n v="7"/>
    <n v="0"/>
    <n v="8"/>
    <x v="0"/>
    <x v="1"/>
    <n v="0"/>
    <n v="0"/>
    <x v="3"/>
    <x v="0"/>
    <n v="36"/>
  </r>
  <r>
    <n v="42"/>
    <x v="1"/>
    <s v="Travel_Frequently"/>
    <n v="1368"/>
    <x v="1"/>
    <n v="28"/>
    <n v="4"/>
    <s v="Technical Degree"/>
    <n v="1"/>
    <n v="551"/>
    <n v="4"/>
    <x v="0"/>
    <n v="88"/>
    <n v="2"/>
    <n v="2"/>
    <x v="4"/>
    <n v="4"/>
    <s v="Married"/>
    <n v="4523"/>
    <n v="4386"/>
    <n v="0"/>
    <s v="Y"/>
    <x v="1"/>
    <n v="11"/>
    <n v="3"/>
    <n v="4"/>
    <n v="80"/>
    <n v="3"/>
    <n v="7"/>
    <n v="4"/>
    <n v="4"/>
    <n v="6"/>
    <n v="5"/>
    <n v="0"/>
    <n v="4"/>
    <x v="0"/>
    <x v="1"/>
    <n v="0"/>
    <n v="0"/>
    <x v="2"/>
    <x v="2"/>
    <n v="29"/>
  </r>
  <r>
    <n v="24"/>
    <x v="0"/>
    <s v="Travel_Rarely"/>
    <n v="1448"/>
    <x v="0"/>
    <n v="1"/>
    <n v="1"/>
    <s v="Technical Degree"/>
    <n v="1"/>
    <n v="554"/>
    <n v="1"/>
    <x v="0"/>
    <n v="62"/>
    <n v="3"/>
    <n v="1"/>
    <x v="6"/>
    <n v="2"/>
    <s v="Single"/>
    <n v="3202"/>
    <n v="21972"/>
    <n v="1"/>
    <s v="Y"/>
    <x v="0"/>
    <n v="16"/>
    <n v="3"/>
    <n v="2"/>
    <n v="80"/>
    <n v="0"/>
    <n v="6"/>
    <n v="4"/>
    <n v="3"/>
    <n v="5"/>
    <n v="3"/>
    <n v="1"/>
    <n v="4"/>
    <x v="2"/>
    <x v="1"/>
    <n v="1"/>
    <n v="1"/>
    <x v="1"/>
    <x v="1"/>
    <n v="94"/>
  </r>
  <r>
    <n v="34"/>
    <x v="0"/>
    <s v="Travel_Frequently"/>
    <n v="296"/>
    <x v="0"/>
    <n v="6"/>
    <n v="2"/>
    <s v="Marketing"/>
    <n v="1"/>
    <n v="555"/>
    <n v="4"/>
    <x v="0"/>
    <n v="33"/>
    <n v="1"/>
    <n v="1"/>
    <x v="6"/>
    <n v="3"/>
    <s v="Divorced"/>
    <n v="2351"/>
    <n v="12253"/>
    <n v="0"/>
    <s v="Y"/>
    <x v="1"/>
    <n v="16"/>
    <n v="3"/>
    <n v="4"/>
    <n v="80"/>
    <n v="1"/>
    <n v="3"/>
    <n v="3"/>
    <n v="2"/>
    <n v="2"/>
    <n v="2"/>
    <n v="1"/>
    <n v="0"/>
    <x v="1"/>
    <x v="1"/>
    <n v="1"/>
    <n v="0"/>
    <x v="0"/>
    <x v="1"/>
    <n v="63"/>
  </r>
  <r>
    <n v="38"/>
    <x v="1"/>
    <s v="Travel_Frequently"/>
    <n v="1490"/>
    <x v="1"/>
    <n v="2"/>
    <n v="2"/>
    <s v="Life Sciences"/>
    <n v="1"/>
    <n v="556"/>
    <n v="4"/>
    <x v="1"/>
    <n v="42"/>
    <n v="3"/>
    <n v="1"/>
    <x v="2"/>
    <n v="4"/>
    <s v="Married"/>
    <n v="1702"/>
    <n v="12106"/>
    <n v="1"/>
    <s v="Y"/>
    <x v="0"/>
    <n v="23"/>
    <n v="4"/>
    <n v="3"/>
    <n v="80"/>
    <n v="1"/>
    <n v="1"/>
    <n v="3"/>
    <n v="3"/>
    <n v="1"/>
    <n v="0"/>
    <n v="0"/>
    <n v="0"/>
    <x v="1"/>
    <x v="1"/>
    <n v="0"/>
    <n v="1"/>
    <x v="0"/>
    <x v="1"/>
    <n v="81"/>
  </r>
  <r>
    <n v="40"/>
    <x v="1"/>
    <s v="Travel_Rarely"/>
    <n v="1398"/>
    <x v="0"/>
    <n v="2"/>
    <n v="4"/>
    <s v="Life Sciences"/>
    <n v="1"/>
    <n v="558"/>
    <n v="3"/>
    <x v="0"/>
    <n v="79"/>
    <n v="3"/>
    <n v="5"/>
    <x v="5"/>
    <n v="3"/>
    <s v="Married"/>
    <n v="18041"/>
    <n v="13022"/>
    <n v="0"/>
    <s v="Y"/>
    <x v="1"/>
    <n v="14"/>
    <n v="3"/>
    <n v="4"/>
    <n v="80"/>
    <n v="0"/>
    <n v="21"/>
    <n v="2"/>
    <n v="3"/>
    <n v="20"/>
    <n v="15"/>
    <n v="1"/>
    <n v="12"/>
    <x v="0"/>
    <x v="2"/>
    <n v="0"/>
    <n v="0"/>
    <x v="2"/>
    <x v="2"/>
    <n v="31"/>
  </r>
  <r>
    <n v="26"/>
    <x v="1"/>
    <s v="Travel_Rarely"/>
    <n v="1349"/>
    <x v="1"/>
    <n v="23"/>
    <n v="3"/>
    <s v="Life Sciences"/>
    <n v="1"/>
    <n v="560"/>
    <n v="1"/>
    <x v="0"/>
    <n v="90"/>
    <n v="3"/>
    <n v="1"/>
    <x v="1"/>
    <n v="4"/>
    <s v="Divorced"/>
    <n v="2886"/>
    <n v="3032"/>
    <n v="1"/>
    <s v="Y"/>
    <x v="1"/>
    <n v="22"/>
    <n v="4"/>
    <n v="2"/>
    <n v="80"/>
    <n v="2"/>
    <n v="3"/>
    <n v="3"/>
    <n v="1"/>
    <n v="3"/>
    <n v="2"/>
    <n v="0"/>
    <n v="2"/>
    <x v="2"/>
    <x v="1"/>
    <n v="0"/>
    <n v="0"/>
    <x v="3"/>
    <x v="1"/>
    <n v="56"/>
  </r>
  <r>
    <n v="30"/>
    <x v="1"/>
    <s v="Non-Travel"/>
    <n v="1400"/>
    <x v="1"/>
    <n v="3"/>
    <n v="3"/>
    <s v="Life Sciences"/>
    <n v="1"/>
    <n v="562"/>
    <n v="3"/>
    <x v="1"/>
    <n v="53"/>
    <n v="3"/>
    <n v="1"/>
    <x v="2"/>
    <n v="4"/>
    <s v="Married"/>
    <n v="2097"/>
    <n v="16734"/>
    <n v="4"/>
    <s v="Y"/>
    <x v="1"/>
    <n v="15"/>
    <n v="3"/>
    <n v="3"/>
    <n v="80"/>
    <n v="1"/>
    <n v="9"/>
    <n v="3"/>
    <n v="1"/>
    <n v="5"/>
    <n v="3"/>
    <n v="1"/>
    <n v="4"/>
    <x v="1"/>
    <x v="1"/>
    <n v="0"/>
    <n v="0"/>
    <x v="3"/>
    <x v="0"/>
    <n v="46"/>
  </r>
  <r>
    <n v="29"/>
    <x v="1"/>
    <s v="Travel_Rarely"/>
    <n v="986"/>
    <x v="1"/>
    <n v="3"/>
    <n v="4"/>
    <s v="Medical"/>
    <n v="1"/>
    <n v="564"/>
    <n v="2"/>
    <x v="1"/>
    <n v="93"/>
    <n v="2"/>
    <n v="3"/>
    <x v="7"/>
    <n v="3"/>
    <s v="Married"/>
    <n v="11935"/>
    <n v="21526"/>
    <n v="1"/>
    <s v="Y"/>
    <x v="1"/>
    <n v="18"/>
    <n v="3"/>
    <n v="3"/>
    <n v="80"/>
    <n v="0"/>
    <n v="10"/>
    <n v="2"/>
    <n v="3"/>
    <n v="10"/>
    <n v="2"/>
    <n v="0"/>
    <n v="7"/>
    <x v="2"/>
    <x v="0"/>
    <n v="0"/>
    <n v="0"/>
    <x v="2"/>
    <x v="1"/>
    <n v="56"/>
  </r>
  <r>
    <n v="29"/>
    <x v="0"/>
    <s v="Travel_Rarely"/>
    <n v="408"/>
    <x v="1"/>
    <n v="25"/>
    <n v="5"/>
    <s v="Technical Degree"/>
    <n v="1"/>
    <n v="565"/>
    <n v="3"/>
    <x v="0"/>
    <n v="71"/>
    <n v="2"/>
    <n v="1"/>
    <x v="1"/>
    <n v="2"/>
    <s v="Married"/>
    <n v="2546"/>
    <n v="18300"/>
    <n v="5"/>
    <s v="Y"/>
    <x v="1"/>
    <n v="16"/>
    <n v="3"/>
    <n v="2"/>
    <n v="80"/>
    <n v="0"/>
    <n v="6"/>
    <n v="2"/>
    <n v="4"/>
    <n v="2"/>
    <n v="2"/>
    <n v="1"/>
    <n v="1"/>
    <x v="2"/>
    <x v="1"/>
    <n v="1"/>
    <n v="0"/>
    <x v="4"/>
    <x v="1"/>
    <n v="79"/>
  </r>
  <r>
    <n v="19"/>
    <x v="0"/>
    <s v="Travel_Rarely"/>
    <n v="489"/>
    <x v="2"/>
    <n v="2"/>
    <n v="2"/>
    <s v="Technical Degree"/>
    <n v="1"/>
    <n v="566"/>
    <n v="1"/>
    <x v="1"/>
    <n v="52"/>
    <n v="2"/>
    <n v="1"/>
    <x v="8"/>
    <n v="4"/>
    <s v="Single"/>
    <n v="2564"/>
    <n v="18437"/>
    <n v="1"/>
    <s v="Y"/>
    <x v="1"/>
    <n v="12"/>
    <n v="3"/>
    <n v="3"/>
    <n v="80"/>
    <n v="0"/>
    <n v="1"/>
    <n v="3"/>
    <n v="4"/>
    <n v="1"/>
    <n v="0"/>
    <n v="0"/>
    <n v="0"/>
    <x v="2"/>
    <x v="1"/>
    <n v="1"/>
    <n v="0"/>
    <x v="0"/>
    <x v="1"/>
    <n v="66"/>
  </r>
  <r>
    <n v="30"/>
    <x v="1"/>
    <s v="Non-Travel"/>
    <n v="1398"/>
    <x v="0"/>
    <n v="22"/>
    <n v="4"/>
    <s v="Other"/>
    <n v="1"/>
    <n v="567"/>
    <n v="3"/>
    <x v="0"/>
    <n v="69"/>
    <n v="3"/>
    <n v="3"/>
    <x v="0"/>
    <n v="1"/>
    <s v="Married"/>
    <n v="8412"/>
    <n v="2890"/>
    <n v="0"/>
    <s v="Y"/>
    <x v="1"/>
    <n v="11"/>
    <n v="3"/>
    <n v="3"/>
    <n v="80"/>
    <n v="0"/>
    <n v="10"/>
    <n v="3"/>
    <n v="3"/>
    <n v="9"/>
    <n v="8"/>
    <n v="7"/>
    <n v="8"/>
    <x v="1"/>
    <x v="0"/>
    <n v="0"/>
    <n v="0"/>
    <x v="2"/>
    <x v="1"/>
    <n v="58"/>
  </r>
  <r>
    <n v="57"/>
    <x v="1"/>
    <s v="Travel_Rarely"/>
    <n v="210"/>
    <x v="0"/>
    <n v="29"/>
    <n v="3"/>
    <s v="Marketing"/>
    <n v="1"/>
    <n v="568"/>
    <n v="1"/>
    <x v="1"/>
    <n v="56"/>
    <n v="2"/>
    <n v="4"/>
    <x v="5"/>
    <n v="4"/>
    <s v="Divorced"/>
    <n v="14118"/>
    <n v="22102"/>
    <n v="3"/>
    <s v="Y"/>
    <x v="1"/>
    <n v="12"/>
    <n v="3"/>
    <n v="3"/>
    <n v="80"/>
    <n v="1"/>
    <n v="32"/>
    <n v="3"/>
    <n v="2"/>
    <n v="1"/>
    <n v="0"/>
    <n v="0"/>
    <n v="0"/>
    <x v="3"/>
    <x v="0"/>
    <n v="0"/>
    <n v="0"/>
    <x v="3"/>
    <x v="0"/>
    <n v="51"/>
  </r>
  <r>
    <n v="50"/>
    <x v="1"/>
    <s v="Travel_Rarely"/>
    <n v="1099"/>
    <x v="1"/>
    <n v="29"/>
    <n v="4"/>
    <s v="Life Sciences"/>
    <n v="1"/>
    <n v="569"/>
    <n v="2"/>
    <x v="1"/>
    <n v="88"/>
    <n v="2"/>
    <n v="4"/>
    <x v="5"/>
    <n v="3"/>
    <s v="Married"/>
    <n v="17046"/>
    <n v="9314"/>
    <n v="0"/>
    <s v="Y"/>
    <x v="1"/>
    <n v="15"/>
    <n v="3"/>
    <n v="2"/>
    <n v="80"/>
    <n v="1"/>
    <n v="28"/>
    <n v="2"/>
    <n v="3"/>
    <n v="27"/>
    <n v="10"/>
    <n v="15"/>
    <n v="7"/>
    <x v="3"/>
    <x v="2"/>
    <n v="0"/>
    <n v="0"/>
    <x v="2"/>
    <x v="0"/>
    <n v="36"/>
  </r>
  <r>
    <n v="30"/>
    <x v="1"/>
    <s v="Non-Travel"/>
    <n v="1116"/>
    <x v="1"/>
    <n v="2"/>
    <n v="3"/>
    <s v="Medical"/>
    <n v="1"/>
    <n v="571"/>
    <n v="3"/>
    <x v="0"/>
    <n v="49"/>
    <n v="3"/>
    <n v="1"/>
    <x v="2"/>
    <n v="4"/>
    <s v="Single"/>
    <n v="2564"/>
    <n v="7181"/>
    <n v="0"/>
    <s v="Y"/>
    <x v="1"/>
    <n v="14"/>
    <n v="3"/>
    <n v="3"/>
    <n v="80"/>
    <n v="0"/>
    <n v="12"/>
    <n v="2"/>
    <n v="2"/>
    <n v="11"/>
    <n v="7"/>
    <n v="6"/>
    <n v="7"/>
    <x v="1"/>
    <x v="1"/>
    <n v="0"/>
    <n v="0"/>
    <x v="3"/>
    <x v="2"/>
    <n v="34"/>
  </r>
  <r>
    <n v="60"/>
    <x v="1"/>
    <s v="Travel_Frequently"/>
    <n v="1499"/>
    <x v="0"/>
    <n v="28"/>
    <n v="3"/>
    <s v="Marketing"/>
    <n v="1"/>
    <n v="573"/>
    <n v="3"/>
    <x v="0"/>
    <n v="80"/>
    <n v="2"/>
    <n v="3"/>
    <x v="0"/>
    <n v="1"/>
    <s v="Married"/>
    <n v="10266"/>
    <n v="2845"/>
    <n v="4"/>
    <s v="Y"/>
    <x v="1"/>
    <n v="19"/>
    <n v="3"/>
    <n v="4"/>
    <n v="80"/>
    <n v="0"/>
    <n v="22"/>
    <n v="5"/>
    <n v="4"/>
    <n v="18"/>
    <n v="13"/>
    <n v="13"/>
    <n v="11"/>
    <x v="3"/>
    <x v="0"/>
    <n v="0"/>
    <n v="0"/>
    <x v="3"/>
    <x v="0"/>
    <n v="48"/>
  </r>
  <r>
    <n v="47"/>
    <x v="1"/>
    <s v="Travel_Rarely"/>
    <n v="983"/>
    <x v="1"/>
    <n v="2"/>
    <n v="2"/>
    <s v="Medical"/>
    <n v="1"/>
    <n v="574"/>
    <n v="1"/>
    <x v="0"/>
    <n v="65"/>
    <n v="3"/>
    <n v="2"/>
    <x v="3"/>
    <n v="4"/>
    <s v="Divorced"/>
    <n v="5070"/>
    <n v="7389"/>
    <n v="5"/>
    <s v="Y"/>
    <x v="1"/>
    <n v="13"/>
    <n v="3"/>
    <n v="3"/>
    <n v="80"/>
    <n v="3"/>
    <n v="20"/>
    <n v="2"/>
    <n v="3"/>
    <n v="5"/>
    <n v="0"/>
    <n v="0"/>
    <n v="4"/>
    <x v="0"/>
    <x v="0"/>
    <n v="0"/>
    <n v="0"/>
    <x v="0"/>
    <x v="0"/>
    <n v="36"/>
  </r>
  <r>
    <n v="46"/>
    <x v="1"/>
    <s v="Travel_Rarely"/>
    <n v="1009"/>
    <x v="1"/>
    <n v="2"/>
    <n v="3"/>
    <s v="Life Sciences"/>
    <n v="1"/>
    <n v="575"/>
    <n v="1"/>
    <x v="1"/>
    <n v="51"/>
    <n v="3"/>
    <n v="4"/>
    <x v="7"/>
    <n v="3"/>
    <s v="Married"/>
    <n v="17861"/>
    <n v="2288"/>
    <n v="6"/>
    <s v="Y"/>
    <x v="1"/>
    <n v="13"/>
    <n v="3"/>
    <n v="3"/>
    <n v="80"/>
    <n v="0"/>
    <n v="26"/>
    <n v="2"/>
    <n v="1"/>
    <n v="3"/>
    <n v="2"/>
    <n v="0"/>
    <n v="1"/>
    <x v="0"/>
    <x v="2"/>
    <n v="0"/>
    <n v="0"/>
    <x v="3"/>
    <x v="0"/>
    <n v="43"/>
  </r>
  <r>
    <n v="35"/>
    <x v="1"/>
    <s v="Travel_Rarely"/>
    <n v="144"/>
    <x v="1"/>
    <n v="22"/>
    <n v="3"/>
    <s v="Life Sciences"/>
    <n v="1"/>
    <n v="577"/>
    <n v="4"/>
    <x v="1"/>
    <n v="46"/>
    <n v="1"/>
    <n v="1"/>
    <x v="2"/>
    <n v="3"/>
    <s v="Single"/>
    <n v="4230"/>
    <n v="19225"/>
    <n v="0"/>
    <s v="Y"/>
    <x v="1"/>
    <n v="15"/>
    <n v="3"/>
    <n v="3"/>
    <n v="80"/>
    <n v="0"/>
    <n v="6"/>
    <n v="2"/>
    <n v="3"/>
    <n v="5"/>
    <n v="4"/>
    <n v="4"/>
    <n v="3"/>
    <x v="1"/>
    <x v="1"/>
    <n v="0"/>
    <n v="0"/>
    <x v="3"/>
    <x v="0"/>
    <n v="53"/>
  </r>
  <r>
    <n v="54"/>
    <x v="1"/>
    <s v="Travel_Rarely"/>
    <n v="548"/>
    <x v="1"/>
    <n v="8"/>
    <n v="4"/>
    <s v="Life Sciences"/>
    <n v="1"/>
    <n v="578"/>
    <n v="3"/>
    <x v="0"/>
    <n v="42"/>
    <n v="3"/>
    <n v="2"/>
    <x v="2"/>
    <n v="3"/>
    <s v="Single"/>
    <n v="3780"/>
    <n v="23428"/>
    <n v="7"/>
    <s v="Y"/>
    <x v="1"/>
    <n v="11"/>
    <n v="3"/>
    <n v="3"/>
    <n v="80"/>
    <n v="0"/>
    <n v="19"/>
    <n v="3"/>
    <n v="3"/>
    <n v="1"/>
    <n v="0"/>
    <n v="0"/>
    <n v="0"/>
    <x v="3"/>
    <x v="1"/>
    <n v="0"/>
    <n v="0"/>
    <x v="2"/>
    <x v="1"/>
    <n v="58"/>
  </r>
  <r>
    <n v="34"/>
    <x v="1"/>
    <s v="Travel_Rarely"/>
    <n v="1303"/>
    <x v="1"/>
    <n v="2"/>
    <n v="4"/>
    <s v="Life Sciences"/>
    <n v="1"/>
    <n v="579"/>
    <n v="4"/>
    <x v="1"/>
    <n v="62"/>
    <n v="2"/>
    <n v="1"/>
    <x v="1"/>
    <n v="3"/>
    <s v="Divorced"/>
    <n v="2768"/>
    <n v="8416"/>
    <n v="3"/>
    <s v="Y"/>
    <x v="1"/>
    <n v="12"/>
    <n v="3"/>
    <n v="3"/>
    <n v="80"/>
    <n v="1"/>
    <n v="14"/>
    <n v="3"/>
    <n v="3"/>
    <n v="7"/>
    <n v="3"/>
    <n v="5"/>
    <n v="7"/>
    <x v="1"/>
    <x v="1"/>
    <n v="0"/>
    <n v="0"/>
    <x v="2"/>
    <x v="0"/>
    <n v="46"/>
  </r>
  <r>
    <n v="46"/>
    <x v="1"/>
    <s v="Travel_Rarely"/>
    <n v="1125"/>
    <x v="0"/>
    <n v="10"/>
    <n v="3"/>
    <s v="Marketing"/>
    <n v="1"/>
    <n v="580"/>
    <n v="3"/>
    <x v="0"/>
    <n v="94"/>
    <n v="2"/>
    <n v="3"/>
    <x v="0"/>
    <n v="4"/>
    <s v="Married"/>
    <n v="9071"/>
    <n v="11563"/>
    <n v="2"/>
    <s v="Y"/>
    <x v="0"/>
    <n v="19"/>
    <n v="3"/>
    <n v="3"/>
    <n v="80"/>
    <n v="1"/>
    <n v="15"/>
    <n v="3"/>
    <n v="3"/>
    <n v="3"/>
    <n v="2"/>
    <n v="1"/>
    <n v="2"/>
    <x v="0"/>
    <x v="0"/>
    <n v="0"/>
    <n v="1"/>
    <x v="3"/>
    <x v="1"/>
    <n v="61"/>
  </r>
  <r>
    <n v="31"/>
    <x v="1"/>
    <s v="Travel_Rarely"/>
    <n v="1274"/>
    <x v="1"/>
    <n v="9"/>
    <n v="1"/>
    <s v="Life Sciences"/>
    <n v="1"/>
    <n v="581"/>
    <n v="3"/>
    <x v="1"/>
    <n v="33"/>
    <n v="3"/>
    <n v="3"/>
    <x v="3"/>
    <n v="2"/>
    <s v="Divorced"/>
    <n v="10648"/>
    <n v="14394"/>
    <n v="1"/>
    <s v="Y"/>
    <x v="1"/>
    <n v="25"/>
    <n v="4"/>
    <n v="4"/>
    <n v="80"/>
    <n v="1"/>
    <n v="13"/>
    <n v="6"/>
    <n v="4"/>
    <n v="13"/>
    <n v="8"/>
    <n v="0"/>
    <n v="8"/>
    <x v="1"/>
    <x v="0"/>
    <n v="0"/>
    <n v="0"/>
    <x v="1"/>
    <x v="0"/>
    <n v="47"/>
  </r>
  <r>
    <n v="33"/>
    <x v="0"/>
    <s v="Travel_Rarely"/>
    <n v="1277"/>
    <x v="1"/>
    <n v="15"/>
    <n v="1"/>
    <s v="Medical"/>
    <n v="1"/>
    <n v="582"/>
    <n v="2"/>
    <x v="1"/>
    <n v="56"/>
    <n v="3"/>
    <n v="3"/>
    <x v="5"/>
    <n v="3"/>
    <s v="Married"/>
    <n v="13610"/>
    <n v="24619"/>
    <n v="7"/>
    <s v="Y"/>
    <x v="0"/>
    <n v="12"/>
    <n v="3"/>
    <n v="4"/>
    <n v="80"/>
    <n v="0"/>
    <n v="15"/>
    <n v="2"/>
    <n v="4"/>
    <n v="7"/>
    <n v="6"/>
    <n v="7"/>
    <n v="7"/>
    <x v="1"/>
    <x v="0"/>
    <n v="1"/>
    <n v="1"/>
    <x v="1"/>
    <x v="1"/>
    <n v="71"/>
  </r>
  <r>
    <n v="33"/>
    <x v="0"/>
    <s v="Travel_Rarely"/>
    <n v="587"/>
    <x v="1"/>
    <n v="10"/>
    <n v="1"/>
    <s v="Medical"/>
    <n v="1"/>
    <n v="584"/>
    <n v="1"/>
    <x v="1"/>
    <n v="38"/>
    <n v="1"/>
    <n v="1"/>
    <x v="2"/>
    <n v="4"/>
    <s v="Divorced"/>
    <n v="3408"/>
    <n v="6705"/>
    <n v="7"/>
    <s v="Y"/>
    <x v="1"/>
    <n v="13"/>
    <n v="3"/>
    <n v="1"/>
    <n v="80"/>
    <n v="3"/>
    <n v="8"/>
    <n v="2"/>
    <n v="3"/>
    <n v="4"/>
    <n v="3"/>
    <n v="1"/>
    <n v="3"/>
    <x v="1"/>
    <x v="1"/>
    <n v="1"/>
    <n v="0"/>
    <x v="1"/>
    <x v="0"/>
    <n v="46"/>
  </r>
  <r>
    <n v="30"/>
    <x v="1"/>
    <s v="Travel_Rarely"/>
    <n v="413"/>
    <x v="0"/>
    <n v="7"/>
    <n v="1"/>
    <s v="Marketing"/>
    <n v="1"/>
    <n v="585"/>
    <n v="4"/>
    <x v="1"/>
    <n v="57"/>
    <n v="3"/>
    <n v="1"/>
    <x v="6"/>
    <n v="2"/>
    <s v="Single"/>
    <n v="2983"/>
    <n v="18398"/>
    <n v="0"/>
    <s v="Y"/>
    <x v="1"/>
    <n v="14"/>
    <n v="3"/>
    <n v="1"/>
    <n v="80"/>
    <n v="0"/>
    <n v="4"/>
    <n v="3"/>
    <n v="3"/>
    <n v="3"/>
    <n v="2"/>
    <n v="1"/>
    <n v="2"/>
    <x v="1"/>
    <x v="1"/>
    <n v="0"/>
    <n v="0"/>
    <x v="1"/>
    <x v="1"/>
    <n v="59"/>
  </r>
  <r>
    <n v="35"/>
    <x v="1"/>
    <s v="Travel_Rarely"/>
    <n v="1276"/>
    <x v="1"/>
    <n v="16"/>
    <n v="3"/>
    <s v="Life Sciences"/>
    <n v="1"/>
    <n v="586"/>
    <n v="4"/>
    <x v="1"/>
    <n v="72"/>
    <n v="3"/>
    <n v="3"/>
    <x v="4"/>
    <n v="3"/>
    <s v="Married"/>
    <n v="7632"/>
    <n v="14295"/>
    <n v="4"/>
    <s v="Y"/>
    <x v="0"/>
    <n v="12"/>
    <n v="3"/>
    <n v="3"/>
    <n v="80"/>
    <n v="0"/>
    <n v="10"/>
    <n v="2"/>
    <n v="3"/>
    <n v="8"/>
    <n v="7"/>
    <n v="0"/>
    <n v="0"/>
    <x v="1"/>
    <x v="0"/>
    <n v="0"/>
    <n v="1"/>
    <x v="3"/>
    <x v="1"/>
    <n v="71"/>
  </r>
  <r>
    <n v="31"/>
    <x v="0"/>
    <s v="Travel_Frequently"/>
    <n v="534"/>
    <x v="1"/>
    <n v="20"/>
    <n v="3"/>
    <s v="Life Sciences"/>
    <n v="1"/>
    <n v="587"/>
    <n v="1"/>
    <x v="1"/>
    <n v="66"/>
    <n v="3"/>
    <n v="3"/>
    <x v="4"/>
    <n v="3"/>
    <s v="Married"/>
    <n v="9824"/>
    <n v="22908"/>
    <n v="3"/>
    <s v="Y"/>
    <x v="1"/>
    <n v="12"/>
    <n v="3"/>
    <n v="1"/>
    <n v="80"/>
    <n v="0"/>
    <n v="12"/>
    <n v="2"/>
    <n v="3"/>
    <n v="1"/>
    <n v="0"/>
    <n v="0"/>
    <n v="0"/>
    <x v="1"/>
    <x v="0"/>
    <n v="1"/>
    <n v="0"/>
    <x v="3"/>
    <x v="1"/>
    <n v="63"/>
  </r>
  <r>
    <n v="34"/>
    <x v="0"/>
    <s v="Travel_Frequently"/>
    <n v="988"/>
    <x v="2"/>
    <n v="23"/>
    <n v="3"/>
    <s v="Human Resources"/>
    <n v="1"/>
    <n v="590"/>
    <n v="2"/>
    <x v="0"/>
    <n v="43"/>
    <n v="3"/>
    <n v="3"/>
    <x v="8"/>
    <n v="1"/>
    <s v="Divorced"/>
    <n v="9950"/>
    <n v="11533"/>
    <n v="9"/>
    <s v="Y"/>
    <x v="0"/>
    <n v="15"/>
    <n v="3"/>
    <n v="3"/>
    <n v="80"/>
    <n v="3"/>
    <n v="11"/>
    <n v="2"/>
    <n v="3"/>
    <n v="3"/>
    <n v="2"/>
    <n v="0"/>
    <n v="2"/>
    <x v="1"/>
    <x v="0"/>
    <n v="1"/>
    <n v="1"/>
    <x v="3"/>
    <x v="1"/>
    <n v="90"/>
  </r>
  <r>
    <n v="42"/>
    <x v="1"/>
    <s v="Travel_Frequently"/>
    <n v="1474"/>
    <x v="1"/>
    <n v="5"/>
    <n v="2"/>
    <s v="Other"/>
    <n v="1"/>
    <n v="591"/>
    <n v="2"/>
    <x v="1"/>
    <n v="97"/>
    <n v="3"/>
    <n v="1"/>
    <x v="2"/>
    <n v="3"/>
    <s v="Married"/>
    <n v="2093"/>
    <n v="9260"/>
    <n v="4"/>
    <s v="Y"/>
    <x v="1"/>
    <n v="17"/>
    <n v="3"/>
    <n v="4"/>
    <n v="80"/>
    <n v="1"/>
    <n v="8"/>
    <n v="4"/>
    <n v="3"/>
    <n v="2"/>
    <n v="2"/>
    <n v="2"/>
    <n v="0"/>
    <x v="0"/>
    <x v="1"/>
    <n v="0"/>
    <n v="0"/>
    <x v="0"/>
    <x v="0"/>
    <n v="53"/>
  </r>
  <r>
    <n v="36"/>
    <x v="1"/>
    <s v="Non-Travel"/>
    <n v="635"/>
    <x v="0"/>
    <n v="10"/>
    <n v="4"/>
    <s v="Medical"/>
    <n v="1"/>
    <n v="592"/>
    <n v="2"/>
    <x v="1"/>
    <n v="32"/>
    <n v="3"/>
    <n v="3"/>
    <x v="0"/>
    <n v="4"/>
    <s v="Single"/>
    <n v="9980"/>
    <n v="15318"/>
    <n v="1"/>
    <s v="Y"/>
    <x v="1"/>
    <n v="14"/>
    <n v="3"/>
    <n v="4"/>
    <n v="80"/>
    <n v="0"/>
    <n v="10"/>
    <n v="3"/>
    <n v="2"/>
    <n v="10"/>
    <n v="3"/>
    <n v="9"/>
    <n v="7"/>
    <x v="1"/>
    <x v="0"/>
    <n v="0"/>
    <n v="0"/>
    <x v="2"/>
    <x v="0"/>
    <n v="39"/>
  </r>
  <r>
    <n v="22"/>
    <x v="0"/>
    <s v="Travel_Frequently"/>
    <n v="1368"/>
    <x v="1"/>
    <n v="4"/>
    <n v="1"/>
    <s v="Technical Degree"/>
    <n v="1"/>
    <n v="593"/>
    <n v="3"/>
    <x v="1"/>
    <n v="99"/>
    <n v="2"/>
    <n v="1"/>
    <x v="2"/>
    <n v="3"/>
    <s v="Single"/>
    <n v="3894"/>
    <n v="9129"/>
    <n v="5"/>
    <s v="Y"/>
    <x v="1"/>
    <n v="16"/>
    <n v="3"/>
    <n v="3"/>
    <n v="80"/>
    <n v="0"/>
    <n v="4"/>
    <n v="3"/>
    <n v="3"/>
    <n v="2"/>
    <n v="2"/>
    <n v="1"/>
    <n v="2"/>
    <x v="2"/>
    <x v="1"/>
    <n v="1"/>
    <n v="0"/>
    <x v="1"/>
    <x v="1"/>
    <n v="73"/>
  </r>
  <r>
    <n v="48"/>
    <x v="1"/>
    <s v="Travel_Rarely"/>
    <n v="163"/>
    <x v="0"/>
    <n v="2"/>
    <n v="5"/>
    <s v="Marketing"/>
    <n v="1"/>
    <n v="595"/>
    <n v="2"/>
    <x v="0"/>
    <n v="37"/>
    <n v="3"/>
    <n v="2"/>
    <x v="0"/>
    <n v="4"/>
    <s v="Married"/>
    <n v="4051"/>
    <n v="19658"/>
    <n v="2"/>
    <s v="Y"/>
    <x v="1"/>
    <n v="14"/>
    <n v="3"/>
    <n v="1"/>
    <n v="80"/>
    <n v="1"/>
    <n v="14"/>
    <n v="2"/>
    <n v="3"/>
    <n v="9"/>
    <n v="7"/>
    <n v="6"/>
    <n v="7"/>
    <x v="0"/>
    <x v="1"/>
    <n v="0"/>
    <n v="0"/>
    <x v="4"/>
    <x v="2"/>
    <n v="29"/>
  </r>
  <r>
    <n v="55"/>
    <x v="1"/>
    <s v="Travel_Rarely"/>
    <n v="1117"/>
    <x v="0"/>
    <n v="18"/>
    <n v="5"/>
    <s v="Life Sciences"/>
    <n v="1"/>
    <n v="597"/>
    <n v="1"/>
    <x v="0"/>
    <n v="83"/>
    <n v="3"/>
    <n v="4"/>
    <x v="5"/>
    <n v="2"/>
    <s v="Single"/>
    <n v="16835"/>
    <n v="9873"/>
    <n v="3"/>
    <s v="Y"/>
    <x v="1"/>
    <n v="23"/>
    <n v="4"/>
    <n v="4"/>
    <n v="80"/>
    <n v="0"/>
    <n v="37"/>
    <n v="2"/>
    <n v="3"/>
    <n v="10"/>
    <n v="9"/>
    <n v="7"/>
    <n v="7"/>
    <x v="3"/>
    <x v="2"/>
    <n v="0"/>
    <n v="0"/>
    <x v="4"/>
    <x v="0"/>
    <n v="47"/>
  </r>
  <r>
    <n v="41"/>
    <x v="1"/>
    <s v="Non-Travel"/>
    <n v="267"/>
    <x v="0"/>
    <n v="10"/>
    <n v="2"/>
    <s v="Life Sciences"/>
    <n v="1"/>
    <n v="599"/>
    <n v="4"/>
    <x v="1"/>
    <n v="56"/>
    <n v="3"/>
    <n v="2"/>
    <x v="0"/>
    <n v="4"/>
    <s v="Single"/>
    <n v="6230"/>
    <n v="13430"/>
    <n v="7"/>
    <s v="Y"/>
    <x v="1"/>
    <n v="14"/>
    <n v="3"/>
    <n v="4"/>
    <n v="80"/>
    <n v="0"/>
    <n v="16"/>
    <n v="3"/>
    <n v="3"/>
    <n v="14"/>
    <n v="3"/>
    <n v="1"/>
    <n v="10"/>
    <x v="0"/>
    <x v="0"/>
    <n v="0"/>
    <n v="0"/>
    <x v="0"/>
    <x v="2"/>
    <n v="24"/>
  </r>
  <r>
    <n v="35"/>
    <x v="1"/>
    <s v="Travel_Rarely"/>
    <n v="619"/>
    <x v="0"/>
    <n v="1"/>
    <n v="3"/>
    <s v="Marketing"/>
    <n v="1"/>
    <n v="600"/>
    <n v="2"/>
    <x v="1"/>
    <n v="85"/>
    <n v="3"/>
    <n v="2"/>
    <x v="0"/>
    <n v="3"/>
    <s v="Married"/>
    <n v="4717"/>
    <n v="18659"/>
    <n v="9"/>
    <s v="Y"/>
    <x v="1"/>
    <n v="11"/>
    <n v="3"/>
    <n v="3"/>
    <n v="80"/>
    <n v="0"/>
    <n v="15"/>
    <n v="2"/>
    <n v="3"/>
    <n v="11"/>
    <n v="9"/>
    <n v="6"/>
    <n v="9"/>
    <x v="1"/>
    <x v="1"/>
    <n v="0"/>
    <n v="0"/>
    <x v="3"/>
    <x v="0"/>
    <n v="41"/>
  </r>
  <r>
    <n v="40"/>
    <x v="1"/>
    <s v="Travel_Rarely"/>
    <n v="302"/>
    <x v="1"/>
    <n v="6"/>
    <n v="3"/>
    <s v="Life Sciences"/>
    <n v="1"/>
    <n v="601"/>
    <n v="2"/>
    <x v="0"/>
    <n v="75"/>
    <n v="3"/>
    <n v="4"/>
    <x v="3"/>
    <n v="3"/>
    <s v="Single"/>
    <n v="13237"/>
    <n v="20364"/>
    <n v="7"/>
    <s v="Y"/>
    <x v="1"/>
    <n v="15"/>
    <n v="3"/>
    <n v="3"/>
    <n v="80"/>
    <n v="0"/>
    <n v="22"/>
    <n v="3"/>
    <n v="3"/>
    <n v="20"/>
    <n v="6"/>
    <n v="5"/>
    <n v="13"/>
    <x v="0"/>
    <x v="0"/>
    <n v="0"/>
    <n v="0"/>
    <x v="3"/>
    <x v="2"/>
    <n v="31"/>
  </r>
  <r>
    <n v="39"/>
    <x v="1"/>
    <s v="Travel_Frequently"/>
    <n v="443"/>
    <x v="1"/>
    <n v="8"/>
    <n v="1"/>
    <s v="Life Sciences"/>
    <n v="1"/>
    <n v="602"/>
    <n v="3"/>
    <x v="0"/>
    <n v="48"/>
    <n v="3"/>
    <n v="1"/>
    <x v="2"/>
    <n v="3"/>
    <s v="Married"/>
    <n v="3755"/>
    <n v="17872"/>
    <n v="1"/>
    <s v="Y"/>
    <x v="1"/>
    <n v="11"/>
    <n v="3"/>
    <n v="1"/>
    <n v="80"/>
    <n v="1"/>
    <n v="8"/>
    <n v="3"/>
    <n v="3"/>
    <n v="8"/>
    <n v="3"/>
    <n v="0"/>
    <n v="7"/>
    <x v="1"/>
    <x v="1"/>
    <n v="0"/>
    <n v="0"/>
    <x v="1"/>
    <x v="0"/>
    <n v="46"/>
  </r>
  <r>
    <n v="31"/>
    <x v="1"/>
    <s v="Travel_Rarely"/>
    <n v="828"/>
    <x v="0"/>
    <n v="2"/>
    <n v="1"/>
    <s v="Life Sciences"/>
    <n v="1"/>
    <n v="604"/>
    <n v="2"/>
    <x v="1"/>
    <n v="77"/>
    <n v="3"/>
    <n v="2"/>
    <x v="0"/>
    <n v="4"/>
    <s v="Single"/>
    <n v="6582"/>
    <n v="8346"/>
    <n v="4"/>
    <s v="Y"/>
    <x v="0"/>
    <n v="13"/>
    <n v="3"/>
    <n v="3"/>
    <n v="80"/>
    <n v="0"/>
    <n v="10"/>
    <n v="2"/>
    <n v="4"/>
    <n v="6"/>
    <n v="5"/>
    <n v="0"/>
    <n v="5"/>
    <x v="1"/>
    <x v="0"/>
    <n v="0"/>
    <n v="1"/>
    <x v="1"/>
    <x v="1"/>
    <n v="64"/>
  </r>
  <r>
    <n v="42"/>
    <x v="1"/>
    <s v="Travel_Rarely"/>
    <n v="319"/>
    <x v="1"/>
    <n v="24"/>
    <n v="3"/>
    <s v="Medical"/>
    <n v="1"/>
    <n v="605"/>
    <n v="4"/>
    <x v="1"/>
    <n v="56"/>
    <n v="3"/>
    <n v="3"/>
    <x v="3"/>
    <n v="1"/>
    <s v="Married"/>
    <n v="7406"/>
    <n v="6950"/>
    <n v="1"/>
    <s v="Y"/>
    <x v="0"/>
    <n v="21"/>
    <n v="4"/>
    <n v="4"/>
    <n v="80"/>
    <n v="1"/>
    <n v="10"/>
    <n v="5"/>
    <n v="2"/>
    <n v="10"/>
    <n v="9"/>
    <n v="5"/>
    <n v="8"/>
    <x v="0"/>
    <x v="0"/>
    <n v="0"/>
    <n v="1"/>
    <x v="3"/>
    <x v="1"/>
    <n v="73"/>
  </r>
  <r>
    <n v="45"/>
    <x v="1"/>
    <s v="Travel_Rarely"/>
    <n v="561"/>
    <x v="0"/>
    <n v="2"/>
    <n v="3"/>
    <s v="Other"/>
    <n v="1"/>
    <n v="606"/>
    <n v="4"/>
    <x v="1"/>
    <n v="61"/>
    <n v="3"/>
    <n v="2"/>
    <x v="0"/>
    <n v="2"/>
    <s v="Married"/>
    <n v="4805"/>
    <n v="16177"/>
    <n v="0"/>
    <s v="Y"/>
    <x v="1"/>
    <n v="19"/>
    <n v="3"/>
    <n v="2"/>
    <n v="80"/>
    <n v="1"/>
    <n v="9"/>
    <n v="3"/>
    <n v="4"/>
    <n v="8"/>
    <n v="7"/>
    <n v="3"/>
    <n v="7"/>
    <x v="0"/>
    <x v="1"/>
    <n v="0"/>
    <n v="0"/>
    <x v="3"/>
    <x v="0"/>
    <n v="42"/>
  </r>
  <r>
    <n v="26"/>
    <x v="0"/>
    <s v="Travel_Frequently"/>
    <n v="426"/>
    <x v="2"/>
    <n v="17"/>
    <n v="4"/>
    <s v="Life Sciences"/>
    <n v="1"/>
    <n v="608"/>
    <n v="2"/>
    <x v="0"/>
    <n v="58"/>
    <n v="3"/>
    <n v="1"/>
    <x v="8"/>
    <n v="3"/>
    <s v="Divorced"/>
    <n v="2741"/>
    <n v="22808"/>
    <n v="0"/>
    <s v="Y"/>
    <x v="0"/>
    <n v="11"/>
    <n v="3"/>
    <n v="2"/>
    <n v="80"/>
    <n v="1"/>
    <n v="8"/>
    <n v="2"/>
    <n v="2"/>
    <n v="7"/>
    <n v="7"/>
    <n v="1"/>
    <n v="0"/>
    <x v="2"/>
    <x v="1"/>
    <n v="1"/>
    <n v="1"/>
    <x v="2"/>
    <x v="1"/>
    <n v="81"/>
  </r>
  <r>
    <n v="29"/>
    <x v="1"/>
    <s v="Travel_Rarely"/>
    <n v="232"/>
    <x v="1"/>
    <n v="19"/>
    <n v="3"/>
    <s v="Technical Degree"/>
    <n v="1"/>
    <n v="611"/>
    <n v="4"/>
    <x v="1"/>
    <n v="34"/>
    <n v="3"/>
    <n v="2"/>
    <x v="3"/>
    <n v="4"/>
    <s v="Divorced"/>
    <n v="4262"/>
    <n v="22645"/>
    <n v="4"/>
    <s v="Y"/>
    <x v="1"/>
    <n v="12"/>
    <n v="3"/>
    <n v="2"/>
    <n v="80"/>
    <n v="2"/>
    <n v="8"/>
    <n v="2"/>
    <n v="4"/>
    <n v="3"/>
    <n v="2"/>
    <n v="1"/>
    <n v="2"/>
    <x v="2"/>
    <x v="1"/>
    <n v="0"/>
    <n v="0"/>
    <x v="3"/>
    <x v="1"/>
    <n v="56"/>
  </r>
  <r>
    <n v="33"/>
    <x v="1"/>
    <s v="Travel_Rarely"/>
    <n v="922"/>
    <x v="1"/>
    <n v="1"/>
    <n v="5"/>
    <s v="Medical"/>
    <n v="1"/>
    <n v="612"/>
    <n v="1"/>
    <x v="0"/>
    <n v="95"/>
    <n v="4"/>
    <n v="4"/>
    <x v="7"/>
    <n v="3"/>
    <s v="Divorced"/>
    <n v="16184"/>
    <n v="22578"/>
    <n v="4"/>
    <s v="Y"/>
    <x v="1"/>
    <n v="19"/>
    <n v="3"/>
    <n v="3"/>
    <n v="80"/>
    <n v="1"/>
    <n v="10"/>
    <n v="2"/>
    <n v="3"/>
    <n v="6"/>
    <n v="1"/>
    <n v="0"/>
    <n v="5"/>
    <x v="1"/>
    <x v="2"/>
    <n v="0"/>
    <n v="0"/>
    <x v="4"/>
    <x v="0"/>
    <n v="46"/>
  </r>
  <r>
    <n v="31"/>
    <x v="1"/>
    <s v="Travel_Rarely"/>
    <n v="688"/>
    <x v="0"/>
    <n v="7"/>
    <n v="3"/>
    <s v="Life Sciences"/>
    <n v="1"/>
    <n v="613"/>
    <n v="3"/>
    <x v="1"/>
    <n v="44"/>
    <n v="2"/>
    <n v="3"/>
    <x v="5"/>
    <n v="4"/>
    <s v="Divorced"/>
    <n v="11557"/>
    <n v="25291"/>
    <n v="9"/>
    <s v="Y"/>
    <x v="1"/>
    <n v="21"/>
    <n v="4"/>
    <n v="3"/>
    <n v="80"/>
    <n v="1"/>
    <n v="10"/>
    <n v="3"/>
    <n v="2"/>
    <n v="5"/>
    <n v="4"/>
    <n v="0"/>
    <n v="1"/>
    <x v="1"/>
    <x v="0"/>
    <n v="0"/>
    <n v="0"/>
    <x v="3"/>
    <x v="0"/>
    <n v="46"/>
  </r>
  <r>
    <n v="18"/>
    <x v="0"/>
    <s v="Travel_Frequently"/>
    <n v="1306"/>
    <x v="0"/>
    <n v="5"/>
    <n v="3"/>
    <s v="Marketing"/>
    <n v="1"/>
    <n v="614"/>
    <n v="2"/>
    <x v="1"/>
    <n v="69"/>
    <n v="3"/>
    <n v="1"/>
    <x v="6"/>
    <n v="2"/>
    <s v="Single"/>
    <n v="1878"/>
    <n v="8059"/>
    <n v="1"/>
    <s v="Y"/>
    <x v="0"/>
    <n v="14"/>
    <n v="3"/>
    <n v="4"/>
    <n v="80"/>
    <n v="0"/>
    <n v="0"/>
    <n v="3"/>
    <n v="3"/>
    <n v="0"/>
    <n v="0"/>
    <n v="0"/>
    <n v="0"/>
    <x v="2"/>
    <x v="1"/>
    <n v="1"/>
    <n v="1"/>
    <x v="3"/>
    <x v="1"/>
    <n v="104"/>
  </r>
  <r>
    <n v="40"/>
    <x v="1"/>
    <s v="Non-Travel"/>
    <n v="1094"/>
    <x v="0"/>
    <n v="28"/>
    <n v="3"/>
    <s v="Other"/>
    <n v="1"/>
    <n v="615"/>
    <n v="3"/>
    <x v="1"/>
    <n v="58"/>
    <n v="1"/>
    <n v="3"/>
    <x v="0"/>
    <n v="1"/>
    <s v="Divorced"/>
    <n v="10932"/>
    <n v="11373"/>
    <n v="3"/>
    <s v="Y"/>
    <x v="1"/>
    <n v="15"/>
    <n v="3"/>
    <n v="3"/>
    <n v="80"/>
    <n v="1"/>
    <n v="20"/>
    <n v="2"/>
    <n v="3"/>
    <n v="1"/>
    <n v="0"/>
    <n v="0"/>
    <n v="1"/>
    <x v="0"/>
    <x v="0"/>
    <n v="0"/>
    <n v="0"/>
    <x v="3"/>
    <x v="1"/>
    <n v="65"/>
  </r>
  <r>
    <n v="41"/>
    <x v="1"/>
    <s v="Non-Travel"/>
    <n v="509"/>
    <x v="1"/>
    <n v="2"/>
    <n v="4"/>
    <s v="Other"/>
    <n v="1"/>
    <n v="616"/>
    <n v="1"/>
    <x v="0"/>
    <n v="62"/>
    <n v="2"/>
    <n v="2"/>
    <x v="4"/>
    <n v="3"/>
    <s v="Single"/>
    <n v="6811"/>
    <n v="2112"/>
    <n v="2"/>
    <s v="Y"/>
    <x v="0"/>
    <n v="17"/>
    <n v="3"/>
    <n v="1"/>
    <n v="80"/>
    <n v="0"/>
    <n v="10"/>
    <n v="3"/>
    <n v="3"/>
    <n v="8"/>
    <n v="7"/>
    <n v="0"/>
    <n v="7"/>
    <x v="0"/>
    <x v="0"/>
    <n v="0"/>
    <n v="1"/>
    <x v="2"/>
    <x v="1"/>
    <n v="61"/>
  </r>
  <r>
    <n v="26"/>
    <x v="1"/>
    <s v="Travel_Rarely"/>
    <n v="775"/>
    <x v="0"/>
    <n v="29"/>
    <n v="2"/>
    <s v="Medical"/>
    <n v="1"/>
    <n v="618"/>
    <n v="1"/>
    <x v="1"/>
    <n v="45"/>
    <n v="3"/>
    <n v="2"/>
    <x v="0"/>
    <n v="3"/>
    <s v="Divorced"/>
    <n v="4306"/>
    <n v="4267"/>
    <n v="5"/>
    <s v="Y"/>
    <x v="1"/>
    <n v="12"/>
    <n v="3"/>
    <n v="1"/>
    <n v="80"/>
    <n v="2"/>
    <n v="8"/>
    <n v="5"/>
    <n v="3"/>
    <n v="0"/>
    <n v="0"/>
    <n v="0"/>
    <n v="0"/>
    <x v="2"/>
    <x v="1"/>
    <n v="0"/>
    <n v="0"/>
    <x v="0"/>
    <x v="1"/>
    <n v="73"/>
  </r>
  <r>
    <n v="35"/>
    <x v="1"/>
    <s v="Travel_Rarely"/>
    <n v="195"/>
    <x v="0"/>
    <n v="1"/>
    <n v="3"/>
    <s v="Medical"/>
    <n v="1"/>
    <n v="620"/>
    <n v="1"/>
    <x v="0"/>
    <n v="80"/>
    <n v="3"/>
    <n v="2"/>
    <x v="0"/>
    <n v="3"/>
    <s v="Single"/>
    <n v="4859"/>
    <n v="6698"/>
    <n v="1"/>
    <s v="Y"/>
    <x v="1"/>
    <n v="16"/>
    <n v="3"/>
    <n v="4"/>
    <n v="80"/>
    <n v="0"/>
    <n v="5"/>
    <n v="3"/>
    <n v="3"/>
    <n v="5"/>
    <n v="4"/>
    <n v="0"/>
    <n v="3"/>
    <x v="1"/>
    <x v="1"/>
    <n v="0"/>
    <n v="0"/>
    <x v="3"/>
    <x v="0"/>
    <n v="53"/>
  </r>
  <r>
    <n v="34"/>
    <x v="1"/>
    <s v="Travel_Rarely"/>
    <n v="258"/>
    <x v="0"/>
    <n v="21"/>
    <n v="4"/>
    <s v="Life Sciences"/>
    <n v="1"/>
    <n v="621"/>
    <n v="4"/>
    <x v="1"/>
    <n v="74"/>
    <n v="4"/>
    <n v="2"/>
    <x v="0"/>
    <n v="4"/>
    <s v="Single"/>
    <n v="5337"/>
    <n v="19921"/>
    <n v="1"/>
    <s v="Y"/>
    <x v="1"/>
    <n v="12"/>
    <n v="3"/>
    <n v="4"/>
    <n v="80"/>
    <n v="0"/>
    <n v="10"/>
    <n v="3"/>
    <n v="3"/>
    <n v="10"/>
    <n v="7"/>
    <n v="5"/>
    <n v="7"/>
    <x v="1"/>
    <x v="0"/>
    <n v="0"/>
    <n v="0"/>
    <x v="2"/>
    <x v="0"/>
    <n v="39"/>
  </r>
  <r>
    <n v="26"/>
    <x v="0"/>
    <s v="Travel_Rarely"/>
    <n v="471"/>
    <x v="1"/>
    <n v="24"/>
    <n v="3"/>
    <s v="Technical Degree"/>
    <n v="1"/>
    <n v="622"/>
    <n v="3"/>
    <x v="1"/>
    <n v="66"/>
    <n v="1"/>
    <n v="1"/>
    <x v="2"/>
    <n v="4"/>
    <s v="Single"/>
    <n v="2340"/>
    <n v="23213"/>
    <n v="1"/>
    <s v="Y"/>
    <x v="0"/>
    <n v="18"/>
    <n v="3"/>
    <n v="2"/>
    <n v="80"/>
    <n v="0"/>
    <n v="1"/>
    <n v="3"/>
    <n v="1"/>
    <n v="1"/>
    <n v="0"/>
    <n v="0"/>
    <n v="0"/>
    <x v="2"/>
    <x v="1"/>
    <n v="1"/>
    <n v="1"/>
    <x v="3"/>
    <x v="1"/>
    <n v="91"/>
  </r>
  <r>
    <n v="37"/>
    <x v="1"/>
    <s v="Travel_Rarely"/>
    <n v="799"/>
    <x v="1"/>
    <n v="1"/>
    <n v="3"/>
    <s v="Technical Degree"/>
    <n v="1"/>
    <n v="623"/>
    <n v="2"/>
    <x v="0"/>
    <n v="59"/>
    <n v="3"/>
    <n v="3"/>
    <x v="3"/>
    <n v="4"/>
    <s v="Single"/>
    <n v="7491"/>
    <n v="23848"/>
    <n v="4"/>
    <s v="Y"/>
    <x v="1"/>
    <n v="17"/>
    <n v="3"/>
    <n v="4"/>
    <n v="80"/>
    <n v="0"/>
    <n v="12"/>
    <n v="3"/>
    <n v="4"/>
    <n v="6"/>
    <n v="5"/>
    <n v="1"/>
    <n v="2"/>
    <x v="1"/>
    <x v="0"/>
    <n v="0"/>
    <n v="0"/>
    <x v="3"/>
    <x v="0"/>
    <n v="39"/>
  </r>
  <r>
    <n v="46"/>
    <x v="1"/>
    <s v="Travel_Frequently"/>
    <n v="1034"/>
    <x v="1"/>
    <n v="18"/>
    <n v="1"/>
    <s v="Medical"/>
    <n v="1"/>
    <n v="624"/>
    <n v="1"/>
    <x v="0"/>
    <n v="86"/>
    <n v="3"/>
    <n v="3"/>
    <x v="4"/>
    <n v="3"/>
    <s v="Married"/>
    <n v="10527"/>
    <n v="8984"/>
    <n v="5"/>
    <s v="Y"/>
    <x v="1"/>
    <n v="11"/>
    <n v="3"/>
    <n v="4"/>
    <n v="80"/>
    <n v="0"/>
    <n v="28"/>
    <n v="3"/>
    <n v="2"/>
    <n v="2"/>
    <n v="2"/>
    <n v="1"/>
    <n v="2"/>
    <x v="0"/>
    <x v="0"/>
    <n v="0"/>
    <n v="0"/>
    <x v="1"/>
    <x v="0"/>
    <n v="53"/>
  </r>
  <r>
    <n v="41"/>
    <x v="1"/>
    <s v="Travel_Rarely"/>
    <n v="1276"/>
    <x v="0"/>
    <n v="2"/>
    <n v="5"/>
    <s v="Life Sciences"/>
    <n v="1"/>
    <n v="625"/>
    <n v="2"/>
    <x v="0"/>
    <n v="91"/>
    <n v="3"/>
    <n v="4"/>
    <x v="5"/>
    <n v="1"/>
    <s v="Married"/>
    <n v="16595"/>
    <n v="5626"/>
    <n v="7"/>
    <s v="Y"/>
    <x v="1"/>
    <n v="16"/>
    <n v="3"/>
    <n v="2"/>
    <n v="80"/>
    <n v="1"/>
    <n v="22"/>
    <n v="2"/>
    <n v="3"/>
    <n v="18"/>
    <n v="16"/>
    <n v="11"/>
    <n v="8"/>
    <x v="0"/>
    <x v="2"/>
    <n v="0"/>
    <n v="0"/>
    <x v="4"/>
    <x v="0"/>
    <n v="43"/>
  </r>
  <r>
    <n v="37"/>
    <x v="1"/>
    <s v="Non-Travel"/>
    <n v="142"/>
    <x v="0"/>
    <n v="9"/>
    <n v="4"/>
    <s v="Medical"/>
    <n v="1"/>
    <n v="626"/>
    <n v="1"/>
    <x v="1"/>
    <n v="69"/>
    <n v="3"/>
    <n v="3"/>
    <x v="0"/>
    <n v="2"/>
    <s v="Divorced"/>
    <n v="8834"/>
    <n v="24666"/>
    <n v="1"/>
    <s v="Y"/>
    <x v="1"/>
    <n v="13"/>
    <n v="3"/>
    <n v="4"/>
    <n v="80"/>
    <n v="1"/>
    <n v="9"/>
    <n v="6"/>
    <n v="3"/>
    <n v="9"/>
    <n v="5"/>
    <n v="7"/>
    <n v="7"/>
    <x v="1"/>
    <x v="0"/>
    <n v="0"/>
    <n v="0"/>
    <x v="2"/>
    <x v="0"/>
    <n v="52"/>
  </r>
  <r>
    <n v="52"/>
    <x v="1"/>
    <s v="Travel_Rarely"/>
    <n v="956"/>
    <x v="1"/>
    <n v="6"/>
    <n v="2"/>
    <s v="Technical Degree"/>
    <n v="1"/>
    <n v="630"/>
    <n v="4"/>
    <x v="1"/>
    <n v="78"/>
    <n v="3"/>
    <n v="2"/>
    <x v="1"/>
    <n v="1"/>
    <s v="Divorced"/>
    <n v="5577"/>
    <n v="22087"/>
    <n v="3"/>
    <s v="Y"/>
    <x v="0"/>
    <n v="12"/>
    <n v="3"/>
    <n v="2"/>
    <n v="80"/>
    <n v="2"/>
    <n v="18"/>
    <n v="3"/>
    <n v="3"/>
    <n v="10"/>
    <n v="9"/>
    <n v="6"/>
    <n v="9"/>
    <x v="3"/>
    <x v="0"/>
    <n v="0"/>
    <n v="1"/>
    <x v="0"/>
    <x v="1"/>
    <n v="78"/>
  </r>
  <r>
    <n v="32"/>
    <x v="0"/>
    <s v="Non-Travel"/>
    <n v="1474"/>
    <x v="0"/>
    <n v="11"/>
    <n v="4"/>
    <s v="Other"/>
    <n v="1"/>
    <n v="631"/>
    <n v="4"/>
    <x v="1"/>
    <n v="60"/>
    <n v="4"/>
    <n v="2"/>
    <x v="0"/>
    <n v="3"/>
    <s v="Married"/>
    <n v="4707"/>
    <n v="23914"/>
    <n v="8"/>
    <s v="Y"/>
    <x v="1"/>
    <n v="12"/>
    <n v="3"/>
    <n v="4"/>
    <n v="80"/>
    <n v="0"/>
    <n v="6"/>
    <n v="2"/>
    <n v="3"/>
    <n v="4"/>
    <n v="2"/>
    <n v="1"/>
    <n v="2"/>
    <x v="1"/>
    <x v="1"/>
    <n v="1"/>
    <n v="0"/>
    <x v="2"/>
    <x v="0"/>
    <n v="53"/>
  </r>
  <r>
    <n v="24"/>
    <x v="1"/>
    <s v="Travel_Frequently"/>
    <n v="535"/>
    <x v="0"/>
    <n v="24"/>
    <n v="3"/>
    <s v="Medical"/>
    <n v="1"/>
    <n v="632"/>
    <n v="4"/>
    <x v="1"/>
    <n v="38"/>
    <n v="3"/>
    <n v="1"/>
    <x v="6"/>
    <n v="4"/>
    <s v="Married"/>
    <n v="2400"/>
    <n v="5530"/>
    <n v="0"/>
    <s v="Y"/>
    <x v="1"/>
    <n v="13"/>
    <n v="3"/>
    <n v="3"/>
    <n v="80"/>
    <n v="2"/>
    <n v="3"/>
    <n v="3"/>
    <n v="3"/>
    <n v="2"/>
    <n v="2"/>
    <n v="2"/>
    <n v="1"/>
    <x v="2"/>
    <x v="1"/>
    <n v="0"/>
    <n v="0"/>
    <x v="3"/>
    <x v="1"/>
    <n v="66"/>
  </r>
  <r>
    <n v="38"/>
    <x v="1"/>
    <s v="Travel_Rarely"/>
    <n v="1495"/>
    <x v="1"/>
    <n v="10"/>
    <n v="3"/>
    <s v="Medical"/>
    <n v="1"/>
    <n v="634"/>
    <n v="3"/>
    <x v="0"/>
    <n v="76"/>
    <n v="3"/>
    <n v="2"/>
    <x v="4"/>
    <n v="3"/>
    <s v="Married"/>
    <n v="9824"/>
    <n v="22174"/>
    <n v="3"/>
    <s v="Y"/>
    <x v="1"/>
    <n v="19"/>
    <n v="3"/>
    <n v="3"/>
    <n v="80"/>
    <n v="1"/>
    <n v="18"/>
    <n v="4"/>
    <n v="3"/>
    <n v="1"/>
    <n v="0"/>
    <n v="0"/>
    <n v="0"/>
    <x v="1"/>
    <x v="0"/>
    <n v="0"/>
    <n v="0"/>
    <x v="3"/>
    <x v="1"/>
    <n v="63"/>
  </r>
  <r>
    <n v="37"/>
    <x v="1"/>
    <s v="Travel_Rarely"/>
    <n v="446"/>
    <x v="1"/>
    <n v="1"/>
    <n v="4"/>
    <s v="Life Sciences"/>
    <n v="1"/>
    <n v="635"/>
    <n v="2"/>
    <x v="0"/>
    <n v="65"/>
    <n v="3"/>
    <n v="2"/>
    <x v="3"/>
    <n v="2"/>
    <s v="Married"/>
    <n v="6447"/>
    <n v="15701"/>
    <n v="6"/>
    <s v="Y"/>
    <x v="1"/>
    <n v="12"/>
    <n v="3"/>
    <n v="2"/>
    <n v="80"/>
    <n v="1"/>
    <n v="8"/>
    <n v="2"/>
    <n v="2"/>
    <n v="6"/>
    <n v="5"/>
    <n v="4"/>
    <n v="3"/>
    <x v="1"/>
    <x v="0"/>
    <n v="0"/>
    <n v="0"/>
    <x v="2"/>
    <x v="0"/>
    <n v="52"/>
  </r>
  <r>
    <n v="49"/>
    <x v="1"/>
    <s v="Travel_Rarely"/>
    <n v="1245"/>
    <x v="1"/>
    <n v="18"/>
    <n v="4"/>
    <s v="Life Sciences"/>
    <n v="1"/>
    <n v="638"/>
    <n v="4"/>
    <x v="1"/>
    <n v="58"/>
    <n v="2"/>
    <n v="5"/>
    <x v="7"/>
    <n v="3"/>
    <s v="Divorced"/>
    <n v="19502"/>
    <n v="2125"/>
    <n v="1"/>
    <s v="Y"/>
    <x v="0"/>
    <n v="17"/>
    <n v="3"/>
    <n v="3"/>
    <n v="80"/>
    <n v="1"/>
    <n v="31"/>
    <n v="5"/>
    <n v="3"/>
    <n v="31"/>
    <n v="9"/>
    <n v="0"/>
    <n v="9"/>
    <x v="0"/>
    <x v="2"/>
    <n v="0"/>
    <n v="1"/>
    <x v="2"/>
    <x v="1"/>
    <n v="56"/>
  </r>
  <r>
    <n v="24"/>
    <x v="1"/>
    <s v="Travel_Rarely"/>
    <n v="691"/>
    <x v="1"/>
    <n v="23"/>
    <n v="3"/>
    <s v="Medical"/>
    <n v="1"/>
    <n v="639"/>
    <n v="2"/>
    <x v="1"/>
    <n v="89"/>
    <n v="4"/>
    <n v="1"/>
    <x v="1"/>
    <n v="4"/>
    <s v="Married"/>
    <n v="2725"/>
    <n v="21630"/>
    <n v="1"/>
    <s v="Y"/>
    <x v="0"/>
    <n v="11"/>
    <n v="3"/>
    <n v="2"/>
    <n v="80"/>
    <n v="2"/>
    <n v="6"/>
    <n v="3"/>
    <n v="3"/>
    <n v="6"/>
    <n v="5"/>
    <n v="1"/>
    <n v="4"/>
    <x v="2"/>
    <x v="1"/>
    <n v="0"/>
    <n v="1"/>
    <x v="3"/>
    <x v="1"/>
    <n v="74"/>
  </r>
  <r>
    <n v="26"/>
    <x v="1"/>
    <s v="Travel_Rarely"/>
    <n v="703"/>
    <x v="0"/>
    <n v="28"/>
    <n v="2"/>
    <s v="Marketing"/>
    <n v="1"/>
    <n v="641"/>
    <n v="1"/>
    <x v="1"/>
    <n v="66"/>
    <n v="3"/>
    <n v="2"/>
    <x v="0"/>
    <n v="2"/>
    <s v="Married"/>
    <n v="6272"/>
    <n v="7428"/>
    <n v="1"/>
    <s v="Y"/>
    <x v="1"/>
    <n v="20"/>
    <n v="4"/>
    <n v="4"/>
    <n v="80"/>
    <n v="2"/>
    <n v="6"/>
    <n v="5"/>
    <n v="4"/>
    <n v="5"/>
    <n v="3"/>
    <n v="1"/>
    <n v="4"/>
    <x v="2"/>
    <x v="0"/>
    <n v="0"/>
    <n v="0"/>
    <x v="0"/>
    <x v="1"/>
    <n v="69"/>
  </r>
  <r>
    <n v="24"/>
    <x v="1"/>
    <s v="Travel_Rarely"/>
    <n v="823"/>
    <x v="1"/>
    <n v="17"/>
    <n v="2"/>
    <s v="Other"/>
    <n v="1"/>
    <n v="643"/>
    <n v="4"/>
    <x v="1"/>
    <n v="94"/>
    <n v="2"/>
    <n v="1"/>
    <x v="2"/>
    <n v="2"/>
    <s v="Married"/>
    <n v="2127"/>
    <n v="9100"/>
    <n v="1"/>
    <s v="Y"/>
    <x v="1"/>
    <n v="21"/>
    <n v="4"/>
    <n v="4"/>
    <n v="80"/>
    <n v="1"/>
    <n v="1"/>
    <n v="2"/>
    <n v="3"/>
    <n v="1"/>
    <n v="0"/>
    <n v="0"/>
    <n v="0"/>
    <x v="2"/>
    <x v="1"/>
    <n v="0"/>
    <n v="0"/>
    <x v="0"/>
    <x v="1"/>
    <n v="79"/>
  </r>
  <r>
    <n v="50"/>
    <x v="1"/>
    <s v="Travel_Frequently"/>
    <n v="1246"/>
    <x v="2"/>
    <n v="3"/>
    <n v="3"/>
    <s v="Medical"/>
    <n v="1"/>
    <n v="644"/>
    <n v="1"/>
    <x v="1"/>
    <n v="99"/>
    <n v="3"/>
    <n v="5"/>
    <x v="5"/>
    <n v="2"/>
    <s v="Married"/>
    <n v="18200"/>
    <n v="7999"/>
    <n v="1"/>
    <s v="Y"/>
    <x v="1"/>
    <n v="11"/>
    <n v="3"/>
    <n v="3"/>
    <n v="80"/>
    <n v="1"/>
    <n v="32"/>
    <n v="2"/>
    <n v="3"/>
    <n v="32"/>
    <n v="5"/>
    <n v="10"/>
    <n v="7"/>
    <x v="3"/>
    <x v="2"/>
    <n v="0"/>
    <n v="0"/>
    <x v="3"/>
    <x v="0"/>
    <n v="42"/>
  </r>
  <r>
    <n v="25"/>
    <x v="1"/>
    <s v="Travel_Rarely"/>
    <n v="622"/>
    <x v="0"/>
    <n v="13"/>
    <n v="1"/>
    <s v="Medical"/>
    <n v="1"/>
    <n v="645"/>
    <n v="2"/>
    <x v="1"/>
    <n v="40"/>
    <n v="3"/>
    <n v="1"/>
    <x v="6"/>
    <n v="3"/>
    <s v="Married"/>
    <n v="2096"/>
    <n v="26376"/>
    <n v="1"/>
    <s v="Y"/>
    <x v="1"/>
    <n v="11"/>
    <n v="3"/>
    <n v="3"/>
    <n v="80"/>
    <n v="0"/>
    <n v="7"/>
    <n v="1"/>
    <n v="3"/>
    <n v="7"/>
    <n v="4"/>
    <n v="0"/>
    <n v="6"/>
    <x v="2"/>
    <x v="1"/>
    <n v="0"/>
    <n v="0"/>
    <x v="1"/>
    <x v="1"/>
    <n v="56"/>
  </r>
  <r>
    <n v="24"/>
    <x v="0"/>
    <s v="Travel_Frequently"/>
    <n v="1287"/>
    <x v="1"/>
    <n v="7"/>
    <n v="3"/>
    <s v="Life Sciences"/>
    <n v="1"/>
    <n v="647"/>
    <n v="1"/>
    <x v="0"/>
    <n v="55"/>
    <n v="3"/>
    <n v="1"/>
    <x v="2"/>
    <n v="3"/>
    <s v="Married"/>
    <n v="2886"/>
    <n v="14168"/>
    <n v="1"/>
    <s v="Y"/>
    <x v="0"/>
    <n v="16"/>
    <n v="3"/>
    <n v="4"/>
    <n v="80"/>
    <n v="1"/>
    <n v="6"/>
    <n v="4"/>
    <n v="3"/>
    <n v="6"/>
    <n v="3"/>
    <n v="1"/>
    <n v="2"/>
    <x v="2"/>
    <x v="1"/>
    <n v="1"/>
    <n v="1"/>
    <x v="3"/>
    <x v="1"/>
    <n v="81"/>
  </r>
  <r>
    <n v="30"/>
    <x v="0"/>
    <s v="Travel_Frequently"/>
    <n v="448"/>
    <x v="0"/>
    <n v="12"/>
    <n v="4"/>
    <s v="Life Sciences"/>
    <n v="1"/>
    <n v="648"/>
    <n v="2"/>
    <x v="1"/>
    <n v="74"/>
    <n v="2"/>
    <n v="1"/>
    <x v="6"/>
    <n v="1"/>
    <s v="Married"/>
    <n v="2033"/>
    <n v="14470"/>
    <n v="1"/>
    <s v="Y"/>
    <x v="1"/>
    <n v="18"/>
    <n v="3"/>
    <n v="3"/>
    <n v="80"/>
    <n v="1"/>
    <n v="1"/>
    <n v="2"/>
    <n v="4"/>
    <n v="1"/>
    <n v="0"/>
    <n v="0"/>
    <n v="0"/>
    <x v="1"/>
    <x v="1"/>
    <n v="1"/>
    <n v="0"/>
    <x v="2"/>
    <x v="1"/>
    <n v="75"/>
  </r>
  <r>
    <n v="34"/>
    <x v="1"/>
    <s v="Travel_Rarely"/>
    <n v="254"/>
    <x v="1"/>
    <n v="1"/>
    <n v="2"/>
    <s v="Life Sciences"/>
    <n v="1"/>
    <n v="649"/>
    <n v="2"/>
    <x v="1"/>
    <n v="83"/>
    <n v="2"/>
    <n v="1"/>
    <x v="1"/>
    <n v="4"/>
    <s v="Married"/>
    <n v="3622"/>
    <n v="22794"/>
    <n v="1"/>
    <s v="Y"/>
    <x v="0"/>
    <n v="13"/>
    <n v="3"/>
    <n v="4"/>
    <n v="80"/>
    <n v="1"/>
    <n v="6"/>
    <n v="3"/>
    <n v="3"/>
    <n v="6"/>
    <n v="5"/>
    <n v="1"/>
    <n v="3"/>
    <x v="1"/>
    <x v="1"/>
    <n v="0"/>
    <n v="1"/>
    <x v="0"/>
    <x v="1"/>
    <n v="64"/>
  </r>
  <r>
    <n v="31"/>
    <x v="0"/>
    <s v="Travel_Rarely"/>
    <n v="1365"/>
    <x v="0"/>
    <n v="13"/>
    <n v="4"/>
    <s v="Medical"/>
    <n v="1"/>
    <n v="650"/>
    <n v="2"/>
    <x v="1"/>
    <n v="46"/>
    <n v="3"/>
    <n v="2"/>
    <x v="0"/>
    <n v="1"/>
    <s v="Divorced"/>
    <n v="4233"/>
    <n v="11512"/>
    <n v="2"/>
    <s v="Y"/>
    <x v="1"/>
    <n v="17"/>
    <n v="3"/>
    <n v="3"/>
    <n v="80"/>
    <n v="0"/>
    <n v="9"/>
    <n v="2"/>
    <n v="1"/>
    <n v="3"/>
    <n v="1"/>
    <n v="1"/>
    <n v="2"/>
    <x v="1"/>
    <x v="1"/>
    <n v="1"/>
    <n v="0"/>
    <x v="2"/>
    <x v="1"/>
    <n v="65"/>
  </r>
  <r>
    <n v="35"/>
    <x v="1"/>
    <s v="Travel_Rarely"/>
    <n v="538"/>
    <x v="1"/>
    <n v="25"/>
    <n v="2"/>
    <s v="Other"/>
    <n v="1"/>
    <n v="652"/>
    <n v="1"/>
    <x v="1"/>
    <n v="54"/>
    <n v="2"/>
    <n v="2"/>
    <x v="2"/>
    <n v="4"/>
    <s v="Single"/>
    <n v="3681"/>
    <n v="14004"/>
    <n v="4"/>
    <s v="Y"/>
    <x v="1"/>
    <n v="14"/>
    <n v="3"/>
    <n v="4"/>
    <n v="80"/>
    <n v="0"/>
    <n v="9"/>
    <n v="3"/>
    <n v="3"/>
    <n v="3"/>
    <n v="2"/>
    <n v="0"/>
    <n v="2"/>
    <x v="1"/>
    <x v="1"/>
    <n v="0"/>
    <n v="0"/>
    <x v="0"/>
    <x v="0"/>
    <n v="46"/>
  </r>
  <r>
    <n v="31"/>
    <x v="1"/>
    <s v="Travel_Rarely"/>
    <n v="525"/>
    <x v="0"/>
    <n v="6"/>
    <n v="4"/>
    <s v="Medical"/>
    <n v="1"/>
    <n v="653"/>
    <n v="1"/>
    <x v="1"/>
    <n v="66"/>
    <n v="4"/>
    <n v="2"/>
    <x v="0"/>
    <n v="4"/>
    <s v="Divorced"/>
    <n v="5460"/>
    <n v="6219"/>
    <n v="4"/>
    <s v="Y"/>
    <x v="1"/>
    <n v="22"/>
    <n v="4"/>
    <n v="4"/>
    <n v="80"/>
    <n v="2"/>
    <n v="13"/>
    <n v="4"/>
    <n v="4"/>
    <n v="7"/>
    <n v="7"/>
    <n v="5"/>
    <n v="7"/>
    <x v="1"/>
    <x v="0"/>
    <n v="0"/>
    <n v="0"/>
    <x v="2"/>
    <x v="0"/>
    <n v="39"/>
  </r>
  <r>
    <n v="27"/>
    <x v="1"/>
    <s v="Travel_Rarely"/>
    <n v="798"/>
    <x v="1"/>
    <n v="6"/>
    <n v="4"/>
    <s v="Medical"/>
    <n v="1"/>
    <n v="655"/>
    <n v="1"/>
    <x v="0"/>
    <n v="66"/>
    <n v="2"/>
    <n v="1"/>
    <x v="1"/>
    <n v="3"/>
    <s v="Divorced"/>
    <n v="2187"/>
    <n v="5013"/>
    <n v="0"/>
    <s v="Y"/>
    <x v="1"/>
    <n v="12"/>
    <n v="3"/>
    <n v="3"/>
    <n v="80"/>
    <n v="2"/>
    <n v="6"/>
    <n v="5"/>
    <n v="2"/>
    <n v="5"/>
    <n v="3"/>
    <n v="0"/>
    <n v="3"/>
    <x v="2"/>
    <x v="1"/>
    <n v="0"/>
    <n v="0"/>
    <x v="2"/>
    <x v="1"/>
    <n v="63"/>
  </r>
  <r>
    <n v="37"/>
    <x v="1"/>
    <s v="Travel_Rarely"/>
    <n v="558"/>
    <x v="0"/>
    <n v="2"/>
    <n v="3"/>
    <s v="Marketing"/>
    <n v="1"/>
    <n v="656"/>
    <n v="4"/>
    <x v="1"/>
    <n v="75"/>
    <n v="3"/>
    <n v="2"/>
    <x v="0"/>
    <n v="3"/>
    <s v="Married"/>
    <n v="9602"/>
    <n v="3010"/>
    <n v="4"/>
    <s v="Y"/>
    <x v="0"/>
    <n v="11"/>
    <n v="3"/>
    <n v="3"/>
    <n v="80"/>
    <n v="1"/>
    <n v="17"/>
    <n v="3"/>
    <n v="2"/>
    <n v="3"/>
    <n v="0"/>
    <n v="1"/>
    <n v="0"/>
    <x v="1"/>
    <x v="0"/>
    <n v="0"/>
    <n v="1"/>
    <x v="3"/>
    <x v="1"/>
    <n v="78"/>
  </r>
  <r>
    <n v="20"/>
    <x v="1"/>
    <s v="Travel_Rarely"/>
    <n v="959"/>
    <x v="1"/>
    <n v="1"/>
    <n v="3"/>
    <s v="Life Sciences"/>
    <n v="1"/>
    <n v="657"/>
    <n v="4"/>
    <x v="0"/>
    <n v="83"/>
    <n v="2"/>
    <n v="1"/>
    <x v="1"/>
    <n v="2"/>
    <s v="Single"/>
    <n v="2836"/>
    <n v="11757"/>
    <n v="1"/>
    <s v="Y"/>
    <x v="1"/>
    <n v="13"/>
    <n v="3"/>
    <n v="4"/>
    <n v="80"/>
    <n v="0"/>
    <n v="1"/>
    <n v="0"/>
    <n v="4"/>
    <n v="1"/>
    <n v="0"/>
    <n v="0"/>
    <n v="0"/>
    <x v="2"/>
    <x v="1"/>
    <n v="0"/>
    <n v="0"/>
    <x v="3"/>
    <x v="1"/>
    <n v="79"/>
  </r>
  <r>
    <n v="42"/>
    <x v="1"/>
    <s v="Travel_Rarely"/>
    <n v="622"/>
    <x v="1"/>
    <n v="2"/>
    <n v="4"/>
    <s v="Life Sciences"/>
    <n v="1"/>
    <n v="659"/>
    <n v="3"/>
    <x v="0"/>
    <n v="81"/>
    <n v="3"/>
    <n v="2"/>
    <x v="4"/>
    <n v="4"/>
    <s v="Married"/>
    <n v="4089"/>
    <n v="5718"/>
    <n v="1"/>
    <s v="Y"/>
    <x v="1"/>
    <n v="13"/>
    <n v="3"/>
    <n v="2"/>
    <n v="80"/>
    <n v="2"/>
    <n v="10"/>
    <n v="4"/>
    <n v="3"/>
    <n v="10"/>
    <n v="2"/>
    <n v="2"/>
    <n v="2"/>
    <x v="0"/>
    <x v="1"/>
    <n v="0"/>
    <n v="0"/>
    <x v="2"/>
    <x v="2"/>
    <n v="29"/>
  </r>
  <r>
    <n v="43"/>
    <x v="1"/>
    <s v="Travel_Rarely"/>
    <n v="782"/>
    <x v="1"/>
    <n v="6"/>
    <n v="4"/>
    <s v="Other"/>
    <n v="1"/>
    <n v="661"/>
    <n v="2"/>
    <x v="1"/>
    <n v="50"/>
    <n v="2"/>
    <n v="4"/>
    <x v="7"/>
    <n v="4"/>
    <s v="Divorced"/>
    <n v="16627"/>
    <n v="2671"/>
    <n v="4"/>
    <s v="Y"/>
    <x v="0"/>
    <n v="14"/>
    <n v="3"/>
    <n v="3"/>
    <n v="80"/>
    <n v="1"/>
    <n v="21"/>
    <n v="3"/>
    <n v="2"/>
    <n v="1"/>
    <n v="0"/>
    <n v="0"/>
    <n v="0"/>
    <x v="0"/>
    <x v="2"/>
    <n v="0"/>
    <n v="1"/>
    <x v="2"/>
    <x v="1"/>
    <n v="71"/>
  </r>
  <r>
    <n v="38"/>
    <x v="1"/>
    <s v="Travel_Rarely"/>
    <n v="362"/>
    <x v="1"/>
    <n v="1"/>
    <n v="1"/>
    <s v="Life Sciences"/>
    <n v="1"/>
    <n v="662"/>
    <n v="3"/>
    <x v="0"/>
    <n v="43"/>
    <n v="3"/>
    <n v="1"/>
    <x v="1"/>
    <n v="1"/>
    <s v="Single"/>
    <n v="2619"/>
    <n v="14561"/>
    <n v="3"/>
    <s v="Y"/>
    <x v="1"/>
    <n v="17"/>
    <n v="3"/>
    <n v="4"/>
    <n v="80"/>
    <n v="0"/>
    <n v="8"/>
    <n v="3"/>
    <n v="2"/>
    <n v="0"/>
    <n v="0"/>
    <n v="0"/>
    <n v="0"/>
    <x v="1"/>
    <x v="1"/>
    <n v="0"/>
    <n v="0"/>
    <x v="1"/>
    <x v="1"/>
    <n v="75"/>
  </r>
  <r>
    <n v="43"/>
    <x v="1"/>
    <s v="Travel_Frequently"/>
    <n v="1001"/>
    <x v="1"/>
    <n v="9"/>
    <n v="5"/>
    <s v="Medical"/>
    <n v="1"/>
    <n v="663"/>
    <n v="4"/>
    <x v="1"/>
    <n v="72"/>
    <n v="3"/>
    <n v="2"/>
    <x v="2"/>
    <n v="3"/>
    <s v="Divorced"/>
    <n v="5679"/>
    <n v="19627"/>
    <n v="3"/>
    <s v="Y"/>
    <x v="0"/>
    <n v="13"/>
    <n v="3"/>
    <n v="2"/>
    <n v="80"/>
    <n v="1"/>
    <n v="10"/>
    <n v="3"/>
    <n v="3"/>
    <n v="8"/>
    <n v="7"/>
    <n v="4"/>
    <n v="7"/>
    <x v="0"/>
    <x v="0"/>
    <n v="0"/>
    <n v="1"/>
    <x v="4"/>
    <x v="1"/>
    <n v="61"/>
  </r>
  <r>
    <n v="48"/>
    <x v="1"/>
    <s v="Travel_Rarely"/>
    <n v="1236"/>
    <x v="1"/>
    <n v="1"/>
    <n v="4"/>
    <s v="Life Sciences"/>
    <n v="1"/>
    <n v="664"/>
    <n v="4"/>
    <x v="0"/>
    <n v="40"/>
    <n v="2"/>
    <n v="4"/>
    <x v="5"/>
    <n v="1"/>
    <s v="Married"/>
    <n v="15402"/>
    <n v="17997"/>
    <n v="7"/>
    <s v="Y"/>
    <x v="1"/>
    <n v="11"/>
    <n v="3"/>
    <n v="1"/>
    <n v="80"/>
    <n v="1"/>
    <n v="21"/>
    <n v="3"/>
    <n v="1"/>
    <n v="3"/>
    <n v="2"/>
    <n v="0"/>
    <n v="2"/>
    <x v="0"/>
    <x v="2"/>
    <n v="0"/>
    <n v="0"/>
    <x v="2"/>
    <x v="1"/>
    <n v="55"/>
  </r>
  <r>
    <n v="44"/>
    <x v="1"/>
    <s v="Travel_Rarely"/>
    <n v="1112"/>
    <x v="2"/>
    <n v="1"/>
    <n v="4"/>
    <s v="Life Sciences"/>
    <n v="1"/>
    <n v="665"/>
    <n v="1"/>
    <x v="0"/>
    <n v="50"/>
    <n v="2"/>
    <n v="2"/>
    <x v="8"/>
    <n v="3"/>
    <s v="Single"/>
    <n v="5985"/>
    <n v="26894"/>
    <n v="4"/>
    <s v="Y"/>
    <x v="1"/>
    <n v="11"/>
    <n v="3"/>
    <n v="2"/>
    <n v="80"/>
    <n v="0"/>
    <n v="10"/>
    <n v="1"/>
    <n v="4"/>
    <n v="2"/>
    <n v="2"/>
    <n v="0"/>
    <n v="2"/>
    <x v="0"/>
    <x v="0"/>
    <n v="0"/>
    <n v="0"/>
    <x v="2"/>
    <x v="0"/>
    <n v="53"/>
  </r>
  <r>
    <n v="34"/>
    <x v="1"/>
    <s v="Travel_Rarely"/>
    <n v="204"/>
    <x v="0"/>
    <n v="14"/>
    <n v="3"/>
    <s v="Technical Degree"/>
    <n v="1"/>
    <n v="666"/>
    <n v="3"/>
    <x v="0"/>
    <n v="31"/>
    <n v="3"/>
    <n v="1"/>
    <x v="6"/>
    <n v="3"/>
    <s v="Divorced"/>
    <n v="2579"/>
    <n v="2912"/>
    <n v="1"/>
    <s v="Y"/>
    <x v="0"/>
    <n v="18"/>
    <n v="3"/>
    <n v="4"/>
    <n v="80"/>
    <n v="2"/>
    <n v="8"/>
    <n v="3"/>
    <n v="3"/>
    <n v="8"/>
    <n v="2"/>
    <n v="0"/>
    <n v="6"/>
    <x v="1"/>
    <x v="1"/>
    <n v="0"/>
    <n v="1"/>
    <x v="3"/>
    <x v="1"/>
    <n v="71"/>
  </r>
  <r>
    <n v="27"/>
    <x v="0"/>
    <s v="Travel_Rarely"/>
    <n v="1420"/>
    <x v="0"/>
    <n v="2"/>
    <n v="1"/>
    <s v="Marketing"/>
    <n v="1"/>
    <n v="667"/>
    <n v="3"/>
    <x v="1"/>
    <n v="85"/>
    <n v="3"/>
    <n v="1"/>
    <x v="6"/>
    <n v="1"/>
    <s v="Divorced"/>
    <n v="3041"/>
    <n v="16346"/>
    <n v="0"/>
    <s v="Y"/>
    <x v="1"/>
    <n v="11"/>
    <n v="3"/>
    <n v="2"/>
    <n v="80"/>
    <n v="1"/>
    <n v="5"/>
    <n v="3"/>
    <n v="3"/>
    <n v="4"/>
    <n v="3"/>
    <n v="0"/>
    <n v="2"/>
    <x v="2"/>
    <x v="1"/>
    <n v="1"/>
    <n v="0"/>
    <x v="1"/>
    <x v="1"/>
    <n v="75"/>
  </r>
  <r>
    <n v="21"/>
    <x v="1"/>
    <s v="Travel_Rarely"/>
    <n v="1343"/>
    <x v="0"/>
    <n v="22"/>
    <n v="1"/>
    <s v="Technical Degree"/>
    <n v="1"/>
    <n v="669"/>
    <n v="3"/>
    <x v="1"/>
    <n v="49"/>
    <n v="3"/>
    <n v="1"/>
    <x v="6"/>
    <n v="3"/>
    <s v="Single"/>
    <n v="3447"/>
    <n v="24444"/>
    <n v="1"/>
    <s v="Y"/>
    <x v="1"/>
    <n v="11"/>
    <n v="3"/>
    <n v="3"/>
    <n v="80"/>
    <n v="0"/>
    <n v="3"/>
    <n v="2"/>
    <n v="3"/>
    <n v="3"/>
    <n v="2"/>
    <n v="1"/>
    <n v="2"/>
    <x v="2"/>
    <x v="1"/>
    <n v="0"/>
    <n v="0"/>
    <x v="1"/>
    <x v="1"/>
    <n v="63"/>
  </r>
  <r>
    <n v="44"/>
    <x v="1"/>
    <s v="Travel_Rarely"/>
    <n v="1315"/>
    <x v="1"/>
    <n v="3"/>
    <n v="4"/>
    <s v="Other"/>
    <n v="1"/>
    <n v="671"/>
    <n v="4"/>
    <x v="1"/>
    <n v="35"/>
    <n v="3"/>
    <n v="5"/>
    <x v="5"/>
    <n v="4"/>
    <s v="Married"/>
    <n v="19513"/>
    <n v="9358"/>
    <n v="4"/>
    <s v="Y"/>
    <x v="0"/>
    <n v="12"/>
    <n v="3"/>
    <n v="1"/>
    <n v="80"/>
    <n v="1"/>
    <n v="26"/>
    <n v="2"/>
    <n v="4"/>
    <n v="2"/>
    <n v="2"/>
    <n v="0"/>
    <n v="1"/>
    <x v="0"/>
    <x v="2"/>
    <n v="0"/>
    <n v="1"/>
    <x v="2"/>
    <x v="1"/>
    <n v="71"/>
  </r>
  <r>
    <n v="22"/>
    <x v="1"/>
    <s v="Travel_Rarely"/>
    <n v="604"/>
    <x v="1"/>
    <n v="6"/>
    <n v="1"/>
    <s v="Medical"/>
    <n v="1"/>
    <n v="675"/>
    <n v="1"/>
    <x v="1"/>
    <n v="69"/>
    <n v="3"/>
    <n v="1"/>
    <x v="1"/>
    <n v="3"/>
    <s v="Married"/>
    <n v="2773"/>
    <n v="12145"/>
    <n v="0"/>
    <s v="Y"/>
    <x v="1"/>
    <n v="20"/>
    <n v="4"/>
    <n v="4"/>
    <n v="80"/>
    <n v="0"/>
    <n v="3"/>
    <n v="3"/>
    <n v="3"/>
    <n v="2"/>
    <n v="2"/>
    <n v="2"/>
    <n v="2"/>
    <x v="2"/>
    <x v="1"/>
    <n v="0"/>
    <n v="0"/>
    <x v="1"/>
    <x v="1"/>
    <n v="73"/>
  </r>
  <r>
    <n v="33"/>
    <x v="1"/>
    <s v="Travel_Rarely"/>
    <n v="1216"/>
    <x v="0"/>
    <n v="8"/>
    <n v="4"/>
    <s v="Marketing"/>
    <n v="1"/>
    <n v="677"/>
    <n v="3"/>
    <x v="1"/>
    <n v="39"/>
    <n v="3"/>
    <n v="2"/>
    <x v="0"/>
    <n v="3"/>
    <s v="Divorced"/>
    <n v="7104"/>
    <n v="20431"/>
    <n v="0"/>
    <s v="Y"/>
    <x v="1"/>
    <n v="12"/>
    <n v="3"/>
    <n v="4"/>
    <n v="80"/>
    <n v="0"/>
    <n v="6"/>
    <n v="3"/>
    <n v="3"/>
    <n v="5"/>
    <n v="0"/>
    <n v="1"/>
    <n v="2"/>
    <x v="1"/>
    <x v="0"/>
    <n v="0"/>
    <n v="0"/>
    <x v="2"/>
    <x v="0"/>
    <n v="53"/>
  </r>
  <r>
    <n v="32"/>
    <x v="1"/>
    <s v="Travel_Rarely"/>
    <n v="646"/>
    <x v="1"/>
    <n v="9"/>
    <n v="4"/>
    <s v="Life Sciences"/>
    <n v="1"/>
    <n v="679"/>
    <n v="1"/>
    <x v="0"/>
    <n v="92"/>
    <n v="3"/>
    <n v="2"/>
    <x v="1"/>
    <n v="4"/>
    <s v="Married"/>
    <n v="6322"/>
    <n v="18089"/>
    <n v="1"/>
    <s v="Y"/>
    <x v="0"/>
    <n v="12"/>
    <n v="3"/>
    <n v="4"/>
    <n v="80"/>
    <n v="1"/>
    <n v="6"/>
    <n v="2"/>
    <n v="2"/>
    <n v="6"/>
    <n v="4"/>
    <n v="0"/>
    <n v="5"/>
    <x v="1"/>
    <x v="0"/>
    <n v="0"/>
    <n v="1"/>
    <x v="2"/>
    <x v="1"/>
    <n v="64"/>
  </r>
  <r>
    <n v="30"/>
    <x v="1"/>
    <s v="Travel_Frequently"/>
    <n v="160"/>
    <x v="1"/>
    <n v="3"/>
    <n v="3"/>
    <s v="Medical"/>
    <n v="1"/>
    <n v="680"/>
    <n v="3"/>
    <x v="0"/>
    <n v="71"/>
    <n v="3"/>
    <n v="1"/>
    <x v="1"/>
    <n v="3"/>
    <s v="Divorced"/>
    <n v="2083"/>
    <n v="22653"/>
    <n v="1"/>
    <s v="Y"/>
    <x v="1"/>
    <n v="20"/>
    <n v="4"/>
    <n v="3"/>
    <n v="80"/>
    <n v="1"/>
    <n v="1"/>
    <n v="2"/>
    <n v="3"/>
    <n v="1"/>
    <n v="0"/>
    <n v="0"/>
    <n v="0"/>
    <x v="1"/>
    <x v="1"/>
    <n v="0"/>
    <n v="0"/>
    <x v="3"/>
    <x v="1"/>
    <n v="63"/>
  </r>
  <r>
    <n v="53"/>
    <x v="1"/>
    <s v="Travel_Rarely"/>
    <n v="238"/>
    <x v="0"/>
    <n v="1"/>
    <n v="1"/>
    <s v="Medical"/>
    <n v="1"/>
    <n v="682"/>
    <n v="4"/>
    <x v="0"/>
    <n v="34"/>
    <n v="3"/>
    <n v="2"/>
    <x v="0"/>
    <n v="1"/>
    <s v="Single"/>
    <n v="8381"/>
    <n v="7507"/>
    <n v="7"/>
    <s v="Y"/>
    <x v="1"/>
    <n v="20"/>
    <n v="4"/>
    <n v="4"/>
    <n v="80"/>
    <n v="0"/>
    <n v="18"/>
    <n v="2"/>
    <n v="4"/>
    <n v="14"/>
    <n v="7"/>
    <n v="8"/>
    <n v="10"/>
    <x v="3"/>
    <x v="0"/>
    <n v="0"/>
    <n v="0"/>
    <x v="1"/>
    <x v="0"/>
    <n v="48"/>
  </r>
  <r>
    <n v="34"/>
    <x v="1"/>
    <s v="Travel_Rarely"/>
    <n v="1397"/>
    <x v="1"/>
    <n v="1"/>
    <n v="5"/>
    <s v="Life Sciences"/>
    <n v="1"/>
    <n v="683"/>
    <n v="2"/>
    <x v="1"/>
    <n v="42"/>
    <n v="3"/>
    <n v="1"/>
    <x v="1"/>
    <n v="4"/>
    <s v="Married"/>
    <n v="2691"/>
    <n v="7660"/>
    <n v="1"/>
    <s v="Y"/>
    <x v="1"/>
    <n v="12"/>
    <n v="3"/>
    <n v="4"/>
    <n v="80"/>
    <n v="1"/>
    <n v="10"/>
    <n v="4"/>
    <n v="2"/>
    <n v="10"/>
    <n v="9"/>
    <n v="8"/>
    <n v="8"/>
    <x v="1"/>
    <x v="1"/>
    <n v="0"/>
    <n v="0"/>
    <x v="4"/>
    <x v="0"/>
    <n v="39"/>
  </r>
  <r>
    <n v="45"/>
    <x v="0"/>
    <s v="Travel_Frequently"/>
    <n v="306"/>
    <x v="0"/>
    <n v="26"/>
    <n v="4"/>
    <s v="Life Sciences"/>
    <n v="1"/>
    <n v="684"/>
    <n v="1"/>
    <x v="0"/>
    <n v="100"/>
    <n v="3"/>
    <n v="2"/>
    <x v="0"/>
    <n v="1"/>
    <s v="Married"/>
    <n v="4286"/>
    <n v="5630"/>
    <n v="2"/>
    <s v="Y"/>
    <x v="1"/>
    <n v="14"/>
    <n v="3"/>
    <n v="4"/>
    <n v="80"/>
    <n v="2"/>
    <n v="5"/>
    <n v="4"/>
    <n v="3"/>
    <n v="1"/>
    <n v="1"/>
    <n v="0"/>
    <n v="0"/>
    <x v="0"/>
    <x v="1"/>
    <n v="1"/>
    <n v="0"/>
    <x v="2"/>
    <x v="1"/>
    <n v="65"/>
  </r>
  <r>
    <n v="26"/>
    <x v="1"/>
    <s v="Travel_Rarely"/>
    <n v="991"/>
    <x v="1"/>
    <n v="6"/>
    <n v="3"/>
    <s v="Life Sciences"/>
    <n v="1"/>
    <n v="686"/>
    <n v="3"/>
    <x v="0"/>
    <n v="71"/>
    <n v="3"/>
    <n v="1"/>
    <x v="2"/>
    <n v="4"/>
    <s v="Married"/>
    <n v="2659"/>
    <n v="17759"/>
    <n v="1"/>
    <s v="Y"/>
    <x v="0"/>
    <n v="13"/>
    <n v="3"/>
    <n v="3"/>
    <n v="80"/>
    <n v="1"/>
    <n v="3"/>
    <n v="2"/>
    <n v="3"/>
    <n v="3"/>
    <n v="2"/>
    <n v="0"/>
    <n v="2"/>
    <x v="2"/>
    <x v="1"/>
    <n v="0"/>
    <n v="1"/>
    <x v="3"/>
    <x v="1"/>
    <n v="81"/>
  </r>
  <r>
    <n v="37"/>
    <x v="1"/>
    <s v="Travel_Rarely"/>
    <n v="482"/>
    <x v="1"/>
    <n v="3"/>
    <n v="3"/>
    <s v="Other"/>
    <n v="1"/>
    <n v="689"/>
    <n v="3"/>
    <x v="1"/>
    <n v="36"/>
    <n v="3"/>
    <n v="3"/>
    <x v="3"/>
    <n v="3"/>
    <s v="Married"/>
    <n v="9434"/>
    <n v="9606"/>
    <n v="1"/>
    <s v="Y"/>
    <x v="1"/>
    <n v="15"/>
    <n v="3"/>
    <n v="3"/>
    <n v="80"/>
    <n v="1"/>
    <n v="10"/>
    <n v="2"/>
    <n v="3"/>
    <n v="10"/>
    <n v="7"/>
    <n v="7"/>
    <n v="8"/>
    <x v="1"/>
    <x v="0"/>
    <n v="0"/>
    <n v="0"/>
    <x v="3"/>
    <x v="0"/>
    <n v="46"/>
  </r>
  <r>
    <n v="29"/>
    <x v="1"/>
    <s v="Travel_Rarely"/>
    <n v="1176"/>
    <x v="0"/>
    <n v="3"/>
    <n v="2"/>
    <s v="Medical"/>
    <n v="1"/>
    <n v="690"/>
    <n v="2"/>
    <x v="0"/>
    <n v="62"/>
    <n v="3"/>
    <n v="2"/>
    <x v="0"/>
    <n v="3"/>
    <s v="Married"/>
    <n v="5561"/>
    <n v="3487"/>
    <n v="1"/>
    <s v="Y"/>
    <x v="1"/>
    <n v="14"/>
    <n v="3"/>
    <n v="1"/>
    <n v="80"/>
    <n v="1"/>
    <n v="6"/>
    <n v="5"/>
    <n v="2"/>
    <n v="6"/>
    <n v="0"/>
    <n v="1"/>
    <n v="2"/>
    <x v="2"/>
    <x v="0"/>
    <n v="0"/>
    <n v="0"/>
    <x v="0"/>
    <x v="1"/>
    <n v="56"/>
  </r>
  <r>
    <n v="35"/>
    <x v="1"/>
    <s v="Travel_Rarely"/>
    <n v="1017"/>
    <x v="1"/>
    <n v="6"/>
    <n v="4"/>
    <s v="Life Sciences"/>
    <n v="1"/>
    <n v="691"/>
    <n v="2"/>
    <x v="1"/>
    <n v="82"/>
    <n v="1"/>
    <n v="2"/>
    <x v="1"/>
    <n v="4"/>
    <s v="Single"/>
    <n v="6646"/>
    <n v="19368"/>
    <n v="1"/>
    <s v="Y"/>
    <x v="1"/>
    <n v="13"/>
    <n v="3"/>
    <n v="2"/>
    <n v="80"/>
    <n v="0"/>
    <n v="17"/>
    <n v="3"/>
    <n v="3"/>
    <n v="17"/>
    <n v="11"/>
    <n v="11"/>
    <n v="8"/>
    <x v="1"/>
    <x v="0"/>
    <n v="0"/>
    <n v="0"/>
    <x v="2"/>
    <x v="2"/>
    <n v="34"/>
  </r>
  <r>
    <n v="33"/>
    <x v="1"/>
    <s v="Travel_Frequently"/>
    <n v="1296"/>
    <x v="1"/>
    <n v="6"/>
    <n v="3"/>
    <s v="Life Sciences"/>
    <n v="1"/>
    <n v="692"/>
    <n v="3"/>
    <x v="1"/>
    <n v="30"/>
    <n v="3"/>
    <n v="2"/>
    <x v="4"/>
    <n v="4"/>
    <s v="Divorced"/>
    <n v="7725"/>
    <n v="5335"/>
    <n v="3"/>
    <s v="Y"/>
    <x v="1"/>
    <n v="23"/>
    <n v="4"/>
    <n v="3"/>
    <n v="80"/>
    <n v="1"/>
    <n v="15"/>
    <n v="2"/>
    <n v="1"/>
    <n v="13"/>
    <n v="11"/>
    <n v="4"/>
    <n v="7"/>
    <x v="1"/>
    <x v="0"/>
    <n v="0"/>
    <n v="0"/>
    <x v="3"/>
    <x v="2"/>
    <n v="34"/>
  </r>
  <r>
    <n v="54"/>
    <x v="1"/>
    <s v="Travel_Rarely"/>
    <n v="397"/>
    <x v="2"/>
    <n v="19"/>
    <n v="4"/>
    <s v="Medical"/>
    <n v="1"/>
    <n v="698"/>
    <n v="3"/>
    <x v="1"/>
    <n v="88"/>
    <n v="3"/>
    <n v="3"/>
    <x v="8"/>
    <n v="2"/>
    <s v="Married"/>
    <n v="10725"/>
    <n v="6729"/>
    <n v="2"/>
    <s v="Y"/>
    <x v="1"/>
    <n v="15"/>
    <n v="3"/>
    <n v="3"/>
    <n v="80"/>
    <n v="1"/>
    <n v="16"/>
    <n v="1"/>
    <n v="4"/>
    <n v="9"/>
    <n v="7"/>
    <n v="7"/>
    <n v="1"/>
    <x v="3"/>
    <x v="0"/>
    <n v="0"/>
    <n v="0"/>
    <x v="2"/>
    <x v="0"/>
    <n v="47"/>
  </r>
  <r>
    <n v="36"/>
    <x v="1"/>
    <s v="Travel_Rarely"/>
    <n v="913"/>
    <x v="1"/>
    <n v="9"/>
    <n v="2"/>
    <s v="Medical"/>
    <n v="1"/>
    <n v="699"/>
    <n v="2"/>
    <x v="1"/>
    <n v="48"/>
    <n v="2"/>
    <n v="2"/>
    <x v="3"/>
    <n v="2"/>
    <s v="Divorced"/>
    <n v="8847"/>
    <n v="13934"/>
    <n v="2"/>
    <s v="Y"/>
    <x v="0"/>
    <n v="11"/>
    <n v="3"/>
    <n v="3"/>
    <n v="80"/>
    <n v="1"/>
    <n v="13"/>
    <n v="2"/>
    <n v="3"/>
    <n v="3"/>
    <n v="2"/>
    <n v="0"/>
    <n v="2"/>
    <x v="1"/>
    <x v="0"/>
    <n v="0"/>
    <n v="1"/>
    <x v="0"/>
    <x v="1"/>
    <n v="84"/>
  </r>
  <r>
    <n v="27"/>
    <x v="1"/>
    <s v="Travel_Rarely"/>
    <n v="1115"/>
    <x v="1"/>
    <n v="3"/>
    <n v="4"/>
    <s v="Medical"/>
    <n v="1"/>
    <n v="700"/>
    <n v="1"/>
    <x v="1"/>
    <n v="54"/>
    <n v="2"/>
    <n v="1"/>
    <x v="1"/>
    <n v="4"/>
    <s v="Single"/>
    <n v="2045"/>
    <n v="15174"/>
    <n v="0"/>
    <s v="Y"/>
    <x v="1"/>
    <n v="13"/>
    <n v="3"/>
    <n v="4"/>
    <n v="80"/>
    <n v="0"/>
    <n v="5"/>
    <n v="0"/>
    <n v="3"/>
    <n v="4"/>
    <n v="2"/>
    <n v="1"/>
    <n v="1"/>
    <x v="2"/>
    <x v="1"/>
    <n v="0"/>
    <n v="0"/>
    <x v="2"/>
    <x v="1"/>
    <n v="56"/>
  </r>
  <r>
    <n v="20"/>
    <x v="0"/>
    <s v="Travel_Rarely"/>
    <n v="1362"/>
    <x v="1"/>
    <n v="10"/>
    <n v="1"/>
    <s v="Medical"/>
    <n v="1"/>
    <n v="701"/>
    <n v="4"/>
    <x v="1"/>
    <n v="32"/>
    <n v="3"/>
    <n v="1"/>
    <x v="1"/>
    <n v="3"/>
    <s v="Single"/>
    <n v="1009"/>
    <n v="26999"/>
    <n v="1"/>
    <s v="Y"/>
    <x v="0"/>
    <n v="11"/>
    <n v="3"/>
    <n v="4"/>
    <n v="80"/>
    <n v="0"/>
    <n v="1"/>
    <n v="5"/>
    <n v="3"/>
    <n v="1"/>
    <n v="0"/>
    <n v="1"/>
    <n v="1"/>
    <x v="2"/>
    <x v="1"/>
    <n v="1"/>
    <n v="1"/>
    <x v="1"/>
    <x v="1"/>
    <n v="98"/>
  </r>
  <r>
    <n v="33"/>
    <x v="0"/>
    <s v="Travel_Frequently"/>
    <n v="1076"/>
    <x v="1"/>
    <n v="3"/>
    <n v="3"/>
    <s v="Life Sciences"/>
    <n v="1"/>
    <n v="702"/>
    <n v="1"/>
    <x v="1"/>
    <n v="70"/>
    <n v="3"/>
    <n v="1"/>
    <x v="1"/>
    <n v="1"/>
    <s v="Single"/>
    <n v="3348"/>
    <n v="3164"/>
    <n v="1"/>
    <s v="Y"/>
    <x v="0"/>
    <n v="11"/>
    <n v="3"/>
    <n v="1"/>
    <n v="80"/>
    <n v="0"/>
    <n v="10"/>
    <n v="3"/>
    <n v="3"/>
    <n v="10"/>
    <n v="8"/>
    <n v="9"/>
    <n v="7"/>
    <x v="1"/>
    <x v="1"/>
    <n v="1"/>
    <n v="1"/>
    <x v="3"/>
    <x v="1"/>
    <n v="83"/>
  </r>
  <r>
    <n v="35"/>
    <x v="1"/>
    <s v="Non-Travel"/>
    <n v="727"/>
    <x v="1"/>
    <n v="3"/>
    <n v="3"/>
    <s v="Life Sciences"/>
    <n v="1"/>
    <n v="704"/>
    <n v="3"/>
    <x v="1"/>
    <n v="41"/>
    <n v="2"/>
    <n v="1"/>
    <x v="2"/>
    <n v="3"/>
    <s v="Married"/>
    <n v="1281"/>
    <n v="16900"/>
    <n v="1"/>
    <s v="Y"/>
    <x v="1"/>
    <n v="18"/>
    <n v="3"/>
    <n v="3"/>
    <n v="80"/>
    <n v="2"/>
    <n v="1"/>
    <n v="3"/>
    <n v="3"/>
    <n v="1"/>
    <n v="0"/>
    <n v="0"/>
    <n v="0"/>
    <x v="1"/>
    <x v="1"/>
    <n v="0"/>
    <n v="0"/>
    <x v="3"/>
    <x v="1"/>
    <n v="63"/>
  </r>
  <r>
    <n v="23"/>
    <x v="1"/>
    <s v="Travel_Rarely"/>
    <n v="885"/>
    <x v="1"/>
    <n v="4"/>
    <n v="3"/>
    <s v="Medical"/>
    <n v="1"/>
    <n v="705"/>
    <n v="1"/>
    <x v="1"/>
    <n v="58"/>
    <n v="4"/>
    <n v="1"/>
    <x v="1"/>
    <n v="1"/>
    <s v="Married"/>
    <n v="2819"/>
    <n v="8544"/>
    <n v="2"/>
    <s v="Y"/>
    <x v="1"/>
    <n v="16"/>
    <n v="3"/>
    <n v="1"/>
    <n v="80"/>
    <n v="1"/>
    <n v="5"/>
    <n v="3"/>
    <n v="4"/>
    <n v="3"/>
    <n v="2"/>
    <n v="0"/>
    <n v="2"/>
    <x v="2"/>
    <x v="1"/>
    <n v="0"/>
    <n v="0"/>
    <x v="3"/>
    <x v="1"/>
    <n v="75"/>
  </r>
  <r>
    <n v="25"/>
    <x v="1"/>
    <s v="Travel_Rarely"/>
    <n v="810"/>
    <x v="0"/>
    <n v="8"/>
    <n v="3"/>
    <s v="Life Sciences"/>
    <n v="1"/>
    <n v="707"/>
    <n v="4"/>
    <x v="1"/>
    <n v="57"/>
    <n v="4"/>
    <n v="2"/>
    <x v="0"/>
    <n v="2"/>
    <s v="Married"/>
    <n v="4851"/>
    <n v="15678"/>
    <n v="0"/>
    <s v="Y"/>
    <x v="1"/>
    <n v="22"/>
    <n v="4"/>
    <n v="3"/>
    <n v="80"/>
    <n v="1"/>
    <n v="4"/>
    <n v="4"/>
    <n v="3"/>
    <n v="3"/>
    <n v="2"/>
    <n v="1"/>
    <n v="2"/>
    <x v="2"/>
    <x v="1"/>
    <n v="0"/>
    <n v="0"/>
    <x v="3"/>
    <x v="1"/>
    <n v="69"/>
  </r>
  <r>
    <n v="38"/>
    <x v="1"/>
    <s v="Travel_Rarely"/>
    <n v="243"/>
    <x v="0"/>
    <n v="7"/>
    <n v="4"/>
    <s v="Marketing"/>
    <n v="1"/>
    <n v="709"/>
    <n v="4"/>
    <x v="0"/>
    <n v="46"/>
    <n v="2"/>
    <n v="2"/>
    <x v="0"/>
    <n v="4"/>
    <s v="Single"/>
    <n v="4028"/>
    <n v="7791"/>
    <n v="0"/>
    <s v="Y"/>
    <x v="1"/>
    <n v="20"/>
    <n v="4"/>
    <n v="1"/>
    <n v="80"/>
    <n v="0"/>
    <n v="8"/>
    <n v="2"/>
    <n v="3"/>
    <n v="7"/>
    <n v="7"/>
    <n v="0"/>
    <n v="5"/>
    <x v="1"/>
    <x v="1"/>
    <n v="0"/>
    <n v="0"/>
    <x v="2"/>
    <x v="0"/>
    <n v="39"/>
  </r>
  <r>
    <n v="29"/>
    <x v="1"/>
    <s v="Travel_Frequently"/>
    <n v="806"/>
    <x v="1"/>
    <n v="1"/>
    <n v="4"/>
    <s v="Life Sciences"/>
    <n v="1"/>
    <n v="710"/>
    <n v="2"/>
    <x v="1"/>
    <n v="76"/>
    <n v="1"/>
    <n v="1"/>
    <x v="1"/>
    <n v="4"/>
    <s v="Divorced"/>
    <n v="2720"/>
    <n v="18959"/>
    <n v="1"/>
    <s v="Y"/>
    <x v="1"/>
    <n v="18"/>
    <n v="3"/>
    <n v="4"/>
    <n v="80"/>
    <n v="1"/>
    <n v="10"/>
    <n v="5"/>
    <n v="3"/>
    <n v="10"/>
    <n v="7"/>
    <n v="2"/>
    <n v="8"/>
    <x v="2"/>
    <x v="1"/>
    <n v="0"/>
    <n v="0"/>
    <x v="2"/>
    <x v="0"/>
    <n v="49"/>
  </r>
  <r>
    <n v="48"/>
    <x v="1"/>
    <s v="Travel_Rarely"/>
    <n v="817"/>
    <x v="0"/>
    <n v="2"/>
    <n v="1"/>
    <s v="Marketing"/>
    <n v="1"/>
    <n v="712"/>
    <n v="2"/>
    <x v="1"/>
    <n v="56"/>
    <n v="4"/>
    <n v="2"/>
    <x v="0"/>
    <n v="2"/>
    <s v="Married"/>
    <n v="8120"/>
    <n v="18597"/>
    <n v="3"/>
    <s v="Y"/>
    <x v="1"/>
    <n v="12"/>
    <n v="3"/>
    <n v="4"/>
    <n v="80"/>
    <n v="0"/>
    <n v="12"/>
    <n v="3"/>
    <n v="3"/>
    <n v="2"/>
    <n v="2"/>
    <n v="2"/>
    <n v="2"/>
    <x v="0"/>
    <x v="0"/>
    <n v="0"/>
    <n v="0"/>
    <x v="1"/>
    <x v="1"/>
    <n v="59"/>
  </r>
  <r>
    <n v="27"/>
    <x v="1"/>
    <s v="Travel_Frequently"/>
    <n v="1410"/>
    <x v="0"/>
    <n v="3"/>
    <n v="1"/>
    <s v="Medical"/>
    <n v="1"/>
    <n v="714"/>
    <n v="4"/>
    <x v="0"/>
    <n v="71"/>
    <n v="4"/>
    <n v="2"/>
    <x v="0"/>
    <n v="4"/>
    <s v="Divorced"/>
    <n v="4647"/>
    <n v="16673"/>
    <n v="1"/>
    <s v="Y"/>
    <x v="0"/>
    <n v="20"/>
    <n v="4"/>
    <n v="2"/>
    <n v="80"/>
    <n v="2"/>
    <n v="6"/>
    <n v="3"/>
    <n v="3"/>
    <n v="6"/>
    <n v="5"/>
    <n v="0"/>
    <n v="4"/>
    <x v="2"/>
    <x v="1"/>
    <n v="0"/>
    <n v="1"/>
    <x v="1"/>
    <x v="1"/>
    <n v="74"/>
  </r>
  <r>
    <n v="37"/>
    <x v="1"/>
    <s v="Travel_Rarely"/>
    <n v="1225"/>
    <x v="1"/>
    <n v="10"/>
    <n v="2"/>
    <s v="Life Sciences"/>
    <n v="1"/>
    <n v="715"/>
    <n v="4"/>
    <x v="1"/>
    <n v="80"/>
    <n v="4"/>
    <n v="1"/>
    <x v="1"/>
    <n v="4"/>
    <s v="Single"/>
    <n v="4680"/>
    <n v="15232"/>
    <n v="3"/>
    <s v="Y"/>
    <x v="1"/>
    <n v="17"/>
    <n v="3"/>
    <n v="1"/>
    <n v="80"/>
    <n v="0"/>
    <n v="4"/>
    <n v="2"/>
    <n v="3"/>
    <n v="1"/>
    <n v="0"/>
    <n v="0"/>
    <n v="0"/>
    <x v="1"/>
    <x v="1"/>
    <n v="0"/>
    <n v="0"/>
    <x v="0"/>
    <x v="1"/>
    <n v="56"/>
  </r>
  <r>
    <n v="50"/>
    <x v="1"/>
    <s v="Travel_Rarely"/>
    <n v="1207"/>
    <x v="1"/>
    <n v="28"/>
    <n v="1"/>
    <s v="Medical"/>
    <n v="1"/>
    <n v="716"/>
    <n v="4"/>
    <x v="1"/>
    <n v="74"/>
    <n v="4"/>
    <n v="1"/>
    <x v="2"/>
    <n v="3"/>
    <s v="Married"/>
    <n v="3221"/>
    <n v="3297"/>
    <n v="1"/>
    <s v="Y"/>
    <x v="0"/>
    <n v="11"/>
    <n v="3"/>
    <n v="3"/>
    <n v="80"/>
    <n v="3"/>
    <n v="20"/>
    <n v="3"/>
    <n v="3"/>
    <n v="20"/>
    <n v="8"/>
    <n v="3"/>
    <n v="8"/>
    <x v="3"/>
    <x v="1"/>
    <n v="0"/>
    <n v="1"/>
    <x v="1"/>
    <x v="1"/>
    <n v="61"/>
  </r>
  <r>
    <n v="34"/>
    <x v="1"/>
    <s v="Travel_Rarely"/>
    <n v="1442"/>
    <x v="1"/>
    <n v="9"/>
    <n v="3"/>
    <s v="Medical"/>
    <n v="1"/>
    <n v="717"/>
    <n v="4"/>
    <x v="0"/>
    <n v="46"/>
    <n v="2"/>
    <n v="3"/>
    <x v="4"/>
    <n v="2"/>
    <s v="Single"/>
    <n v="8621"/>
    <n v="17654"/>
    <n v="1"/>
    <s v="Y"/>
    <x v="1"/>
    <n v="14"/>
    <n v="3"/>
    <n v="2"/>
    <n v="80"/>
    <n v="0"/>
    <n v="9"/>
    <n v="3"/>
    <n v="4"/>
    <n v="8"/>
    <n v="7"/>
    <n v="7"/>
    <n v="7"/>
    <x v="1"/>
    <x v="0"/>
    <n v="0"/>
    <n v="0"/>
    <x v="3"/>
    <x v="0"/>
    <n v="52"/>
  </r>
  <r>
    <n v="24"/>
    <x v="0"/>
    <s v="Travel_Rarely"/>
    <n v="693"/>
    <x v="0"/>
    <n v="3"/>
    <n v="2"/>
    <s v="Life Sciences"/>
    <n v="1"/>
    <n v="720"/>
    <n v="1"/>
    <x v="0"/>
    <n v="65"/>
    <n v="3"/>
    <n v="2"/>
    <x v="0"/>
    <n v="3"/>
    <s v="Single"/>
    <n v="4577"/>
    <n v="24785"/>
    <n v="9"/>
    <s v="Y"/>
    <x v="1"/>
    <n v="14"/>
    <n v="3"/>
    <n v="1"/>
    <n v="80"/>
    <n v="0"/>
    <n v="4"/>
    <n v="3"/>
    <n v="3"/>
    <n v="2"/>
    <n v="2"/>
    <n v="2"/>
    <n v="0"/>
    <x v="2"/>
    <x v="1"/>
    <n v="1"/>
    <n v="0"/>
    <x v="0"/>
    <x v="1"/>
    <n v="73"/>
  </r>
  <r>
    <n v="39"/>
    <x v="1"/>
    <s v="Travel_Rarely"/>
    <n v="408"/>
    <x v="1"/>
    <n v="2"/>
    <n v="4"/>
    <s v="Technical Degree"/>
    <n v="1"/>
    <n v="721"/>
    <n v="4"/>
    <x v="0"/>
    <n v="80"/>
    <n v="2"/>
    <n v="2"/>
    <x v="4"/>
    <n v="3"/>
    <s v="Single"/>
    <n v="4553"/>
    <n v="20978"/>
    <n v="1"/>
    <s v="Y"/>
    <x v="1"/>
    <n v="11"/>
    <n v="3"/>
    <n v="1"/>
    <n v="80"/>
    <n v="0"/>
    <n v="20"/>
    <n v="4"/>
    <n v="3"/>
    <n v="20"/>
    <n v="7"/>
    <n v="11"/>
    <n v="10"/>
    <x v="1"/>
    <x v="1"/>
    <n v="0"/>
    <n v="0"/>
    <x v="2"/>
    <x v="0"/>
    <n v="41"/>
  </r>
  <r>
    <n v="32"/>
    <x v="1"/>
    <s v="Travel_Rarely"/>
    <n v="929"/>
    <x v="0"/>
    <n v="10"/>
    <n v="3"/>
    <s v="Marketing"/>
    <n v="1"/>
    <n v="722"/>
    <n v="4"/>
    <x v="1"/>
    <n v="55"/>
    <n v="3"/>
    <n v="2"/>
    <x v="0"/>
    <n v="4"/>
    <s v="Single"/>
    <n v="5396"/>
    <n v="21703"/>
    <n v="1"/>
    <s v="Y"/>
    <x v="1"/>
    <n v="12"/>
    <n v="3"/>
    <n v="4"/>
    <n v="80"/>
    <n v="0"/>
    <n v="10"/>
    <n v="2"/>
    <n v="2"/>
    <n v="10"/>
    <n v="7"/>
    <n v="0"/>
    <n v="8"/>
    <x v="1"/>
    <x v="0"/>
    <n v="0"/>
    <n v="0"/>
    <x v="3"/>
    <x v="0"/>
    <n v="39"/>
  </r>
  <r>
    <n v="50"/>
    <x v="0"/>
    <s v="Travel_Frequently"/>
    <n v="562"/>
    <x v="0"/>
    <n v="8"/>
    <n v="2"/>
    <s v="Technical Degree"/>
    <n v="1"/>
    <n v="723"/>
    <n v="2"/>
    <x v="1"/>
    <n v="50"/>
    <n v="3"/>
    <n v="2"/>
    <x v="0"/>
    <n v="3"/>
    <s v="Married"/>
    <n v="6796"/>
    <n v="23452"/>
    <n v="3"/>
    <s v="Y"/>
    <x v="0"/>
    <n v="14"/>
    <n v="3"/>
    <n v="1"/>
    <n v="80"/>
    <n v="1"/>
    <n v="18"/>
    <n v="4"/>
    <n v="3"/>
    <n v="4"/>
    <n v="3"/>
    <n v="1"/>
    <n v="3"/>
    <x v="3"/>
    <x v="0"/>
    <n v="1"/>
    <n v="1"/>
    <x v="0"/>
    <x v="1"/>
    <n v="73"/>
  </r>
  <r>
    <n v="38"/>
    <x v="1"/>
    <s v="Travel_Rarely"/>
    <n v="827"/>
    <x v="1"/>
    <n v="1"/>
    <n v="4"/>
    <s v="Life Sciences"/>
    <n v="1"/>
    <n v="724"/>
    <n v="2"/>
    <x v="0"/>
    <n v="33"/>
    <n v="4"/>
    <n v="2"/>
    <x v="4"/>
    <n v="4"/>
    <s v="Single"/>
    <n v="7625"/>
    <n v="19383"/>
    <n v="0"/>
    <s v="Y"/>
    <x v="1"/>
    <n v="13"/>
    <n v="3"/>
    <n v="3"/>
    <n v="80"/>
    <n v="0"/>
    <n v="10"/>
    <n v="4"/>
    <n v="2"/>
    <n v="9"/>
    <n v="7"/>
    <n v="1"/>
    <n v="8"/>
    <x v="1"/>
    <x v="0"/>
    <n v="0"/>
    <n v="0"/>
    <x v="2"/>
    <x v="0"/>
    <n v="39"/>
  </r>
  <r>
    <n v="27"/>
    <x v="1"/>
    <s v="Travel_Rarely"/>
    <n v="608"/>
    <x v="1"/>
    <n v="1"/>
    <n v="2"/>
    <s v="Life Sciences"/>
    <n v="1"/>
    <n v="725"/>
    <n v="3"/>
    <x v="0"/>
    <n v="68"/>
    <n v="3"/>
    <n v="3"/>
    <x v="3"/>
    <n v="1"/>
    <s v="Married"/>
    <n v="7412"/>
    <n v="6009"/>
    <n v="1"/>
    <s v="Y"/>
    <x v="1"/>
    <n v="11"/>
    <n v="3"/>
    <n v="4"/>
    <n v="80"/>
    <n v="0"/>
    <n v="9"/>
    <n v="3"/>
    <n v="3"/>
    <n v="9"/>
    <n v="7"/>
    <n v="0"/>
    <n v="7"/>
    <x v="2"/>
    <x v="0"/>
    <n v="0"/>
    <n v="0"/>
    <x v="0"/>
    <x v="1"/>
    <n v="68"/>
  </r>
  <r>
    <n v="32"/>
    <x v="1"/>
    <s v="Travel_Rarely"/>
    <n v="1018"/>
    <x v="1"/>
    <n v="3"/>
    <n v="2"/>
    <s v="Life Sciences"/>
    <n v="1"/>
    <n v="727"/>
    <n v="3"/>
    <x v="0"/>
    <n v="39"/>
    <n v="3"/>
    <n v="3"/>
    <x v="7"/>
    <n v="4"/>
    <s v="Single"/>
    <n v="11159"/>
    <n v="19373"/>
    <n v="3"/>
    <s v="Y"/>
    <x v="1"/>
    <n v="15"/>
    <n v="3"/>
    <n v="4"/>
    <n v="80"/>
    <n v="0"/>
    <n v="10"/>
    <n v="6"/>
    <n v="3"/>
    <n v="7"/>
    <n v="7"/>
    <n v="7"/>
    <n v="7"/>
    <x v="1"/>
    <x v="0"/>
    <n v="0"/>
    <n v="0"/>
    <x v="0"/>
    <x v="0"/>
    <n v="39"/>
  </r>
  <r>
    <n v="47"/>
    <x v="1"/>
    <s v="Travel_Rarely"/>
    <n v="703"/>
    <x v="0"/>
    <n v="14"/>
    <n v="4"/>
    <s v="Marketing"/>
    <n v="1"/>
    <n v="728"/>
    <n v="4"/>
    <x v="1"/>
    <n v="42"/>
    <n v="3"/>
    <n v="2"/>
    <x v="0"/>
    <n v="1"/>
    <s v="Single"/>
    <n v="4960"/>
    <n v="11825"/>
    <n v="2"/>
    <s v="Y"/>
    <x v="1"/>
    <n v="12"/>
    <n v="3"/>
    <n v="4"/>
    <n v="80"/>
    <n v="0"/>
    <n v="20"/>
    <n v="2"/>
    <n v="3"/>
    <n v="7"/>
    <n v="7"/>
    <n v="1"/>
    <n v="7"/>
    <x v="0"/>
    <x v="1"/>
    <n v="0"/>
    <n v="0"/>
    <x v="2"/>
    <x v="0"/>
    <n v="48"/>
  </r>
  <r>
    <n v="40"/>
    <x v="1"/>
    <s v="Travel_Frequently"/>
    <n v="580"/>
    <x v="0"/>
    <n v="5"/>
    <n v="4"/>
    <s v="Life Sciences"/>
    <n v="1"/>
    <n v="729"/>
    <n v="4"/>
    <x v="1"/>
    <n v="48"/>
    <n v="2"/>
    <n v="3"/>
    <x v="0"/>
    <n v="1"/>
    <s v="Married"/>
    <n v="10475"/>
    <n v="23772"/>
    <n v="5"/>
    <s v="Y"/>
    <x v="0"/>
    <n v="21"/>
    <n v="4"/>
    <n v="3"/>
    <n v="80"/>
    <n v="1"/>
    <n v="20"/>
    <n v="2"/>
    <n v="3"/>
    <n v="18"/>
    <n v="13"/>
    <n v="1"/>
    <n v="12"/>
    <x v="0"/>
    <x v="0"/>
    <n v="0"/>
    <n v="1"/>
    <x v="2"/>
    <x v="1"/>
    <n v="68"/>
  </r>
  <r>
    <n v="53"/>
    <x v="1"/>
    <s v="Travel_Rarely"/>
    <n v="970"/>
    <x v="1"/>
    <n v="7"/>
    <n v="3"/>
    <s v="Life Sciences"/>
    <n v="1"/>
    <n v="730"/>
    <n v="3"/>
    <x v="1"/>
    <n v="59"/>
    <n v="4"/>
    <n v="4"/>
    <x v="7"/>
    <n v="3"/>
    <s v="Married"/>
    <n v="14814"/>
    <n v="13514"/>
    <n v="3"/>
    <s v="Y"/>
    <x v="1"/>
    <n v="19"/>
    <n v="3"/>
    <n v="3"/>
    <n v="80"/>
    <n v="0"/>
    <n v="32"/>
    <n v="3"/>
    <n v="3"/>
    <n v="5"/>
    <n v="1"/>
    <n v="1"/>
    <n v="3"/>
    <x v="3"/>
    <x v="0"/>
    <n v="0"/>
    <n v="0"/>
    <x v="3"/>
    <x v="0"/>
    <n v="48"/>
  </r>
  <r>
    <n v="41"/>
    <x v="1"/>
    <s v="Travel_Rarely"/>
    <n v="427"/>
    <x v="2"/>
    <n v="10"/>
    <n v="4"/>
    <s v="Human Resources"/>
    <n v="1"/>
    <n v="731"/>
    <n v="2"/>
    <x v="1"/>
    <n v="73"/>
    <n v="2"/>
    <n v="5"/>
    <x v="5"/>
    <n v="4"/>
    <s v="Divorced"/>
    <n v="19141"/>
    <n v="8861"/>
    <n v="3"/>
    <s v="Y"/>
    <x v="1"/>
    <n v="15"/>
    <n v="3"/>
    <n v="2"/>
    <n v="80"/>
    <n v="3"/>
    <n v="23"/>
    <n v="2"/>
    <n v="2"/>
    <n v="21"/>
    <n v="6"/>
    <n v="12"/>
    <n v="6"/>
    <x v="0"/>
    <x v="2"/>
    <n v="0"/>
    <n v="0"/>
    <x v="2"/>
    <x v="2"/>
    <n v="24"/>
  </r>
  <r>
    <n v="60"/>
    <x v="1"/>
    <s v="Travel_Rarely"/>
    <n v="1179"/>
    <x v="0"/>
    <n v="16"/>
    <n v="4"/>
    <s v="Marketing"/>
    <n v="1"/>
    <n v="732"/>
    <n v="1"/>
    <x v="1"/>
    <n v="84"/>
    <n v="3"/>
    <n v="2"/>
    <x v="0"/>
    <n v="1"/>
    <s v="Single"/>
    <n v="5405"/>
    <n v="11924"/>
    <n v="8"/>
    <s v="Y"/>
    <x v="1"/>
    <n v="14"/>
    <n v="3"/>
    <n v="4"/>
    <n v="80"/>
    <n v="0"/>
    <n v="10"/>
    <n v="1"/>
    <n v="3"/>
    <n v="2"/>
    <n v="2"/>
    <n v="2"/>
    <n v="2"/>
    <x v="3"/>
    <x v="0"/>
    <n v="0"/>
    <n v="0"/>
    <x v="2"/>
    <x v="1"/>
    <n v="70"/>
  </r>
  <r>
    <n v="27"/>
    <x v="1"/>
    <s v="Travel_Frequently"/>
    <n v="294"/>
    <x v="1"/>
    <n v="10"/>
    <n v="2"/>
    <s v="Life Sciences"/>
    <n v="1"/>
    <n v="733"/>
    <n v="4"/>
    <x v="1"/>
    <n v="32"/>
    <n v="3"/>
    <n v="3"/>
    <x v="3"/>
    <n v="1"/>
    <s v="Divorced"/>
    <n v="8793"/>
    <n v="4809"/>
    <n v="1"/>
    <s v="Y"/>
    <x v="1"/>
    <n v="21"/>
    <n v="4"/>
    <n v="3"/>
    <n v="80"/>
    <n v="2"/>
    <n v="9"/>
    <n v="4"/>
    <n v="2"/>
    <n v="9"/>
    <n v="7"/>
    <n v="1"/>
    <n v="7"/>
    <x v="2"/>
    <x v="0"/>
    <n v="0"/>
    <n v="0"/>
    <x v="0"/>
    <x v="1"/>
    <n v="68"/>
  </r>
  <r>
    <n v="41"/>
    <x v="1"/>
    <s v="Travel_Rarely"/>
    <n v="314"/>
    <x v="2"/>
    <n v="1"/>
    <n v="3"/>
    <s v="Human Resources"/>
    <n v="1"/>
    <n v="734"/>
    <n v="4"/>
    <x v="1"/>
    <n v="59"/>
    <n v="2"/>
    <n v="5"/>
    <x v="5"/>
    <n v="3"/>
    <s v="Married"/>
    <n v="19189"/>
    <n v="19562"/>
    <n v="1"/>
    <s v="Y"/>
    <x v="1"/>
    <n v="12"/>
    <n v="3"/>
    <n v="2"/>
    <n v="80"/>
    <n v="1"/>
    <n v="22"/>
    <n v="3"/>
    <n v="3"/>
    <n v="22"/>
    <n v="7"/>
    <n v="2"/>
    <n v="10"/>
    <x v="0"/>
    <x v="2"/>
    <n v="0"/>
    <n v="0"/>
    <x v="3"/>
    <x v="2"/>
    <n v="31"/>
  </r>
  <r>
    <n v="50"/>
    <x v="1"/>
    <s v="Travel_Rarely"/>
    <n v="316"/>
    <x v="0"/>
    <n v="8"/>
    <n v="4"/>
    <s v="Marketing"/>
    <n v="1"/>
    <n v="738"/>
    <n v="4"/>
    <x v="1"/>
    <n v="54"/>
    <n v="3"/>
    <n v="1"/>
    <x v="6"/>
    <n v="2"/>
    <s v="Married"/>
    <n v="3875"/>
    <n v="9983"/>
    <n v="7"/>
    <s v="Y"/>
    <x v="1"/>
    <n v="15"/>
    <n v="3"/>
    <n v="4"/>
    <n v="80"/>
    <n v="1"/>
    <n v="4"/>
    <n v="2"/>
    <n v="3"/>
    <n v="2"/>
    <n v="2"/>
    <n v="2"/>
    <n v="2"/>
    <x v="3"/>
    <x v="1"/>
    <n v="0"/>
    <n v="0"/>
    <x v="2"/>
    <x v="1"/>
    <n v="64"/>
  </r>
  <r>
    <n v="28"/>
    <x v="0"/>
    <s v="Travel_Rarely"/>
    <n v="654"/>
    <x v="1"/>
    <n v="1"/>
    <n v="2"/>
    <s v="Life Sciences"/>
    <n v="1"/>
    <n v="741"/>
    <n v="1"/>
    <x v="0"/>
    <n v="67"/>
    <n v="1"/>
    <n v="1"/>
    <x v="1"/>
    <n v="2"/>
    <s v="Single"/>
    <n v="2216"/>
    <n v="3872"/>
    <n v="7"/>
    <s v="Y"/>
    <x v="0"/>
    <n v="13"/>
    <n v="3"/>
    <n v="4"/>
    <n v="80"/>
    <n v="0"/>
    <n v="10"/>
    <n v="4"/>
    <n v="3"/>
    <n v="7"/>
    <n v="7"/>
    <n v="3"/>
    <n v="7"/>
    <x v="2"/>
    <x v="1"/>
    <n v="1"/>
    <n v="1"/>
    <x v="0"/>
    <x v="1"/>
    <n v="87"/>
  </r>
  <r>
    <n v="36"/>
    <x v="1"/>
    <s v="Non-Travel"/>
    <n v="427"/>
    <x v="1"/>
    <n v="8"/>
    <n v="3"/>
    <s v="Life Sciences"/>
    <n v="1"/>
    <n v="742"/>
    <n v="1"/>
    <x v="0"/>
    <n v="63"/>
    <n v="4"/>
    <n v="3"/>
    <x v="7"/>
    <n v="1"/>
    <s v="Married"/>
    <n v="11713"/>
    <n v="20335"/>
    <n v="9"/>
    <s v="Y"/>
    <x v="1"/>
    <n v="14"/>
    <n v="3"/>
    <n v="1"/>
    <n v="80"/>
    <n v="1"/>
    <n v="10"/>
    <n v="2"/>
    <n v="3"/>
    <n v="8"/>
    <n v="7"/>
    <n v="0"/>
    <n v="5"/>
    <x v="1"/>
    <x v="0"/>
    <n v="0"/>
    <n v="0"/>
    <x v="3"/>
    <x v="1"/>
    <n v="58"/>
  </r>
  <r>
    <n v="38"/>
    <x v="1"/>
    <s v="Travel_Rarely"/>
    <n v="168"/>
    <x v="1"/>
    <n v="1"/>
    <n v="3"/>
    <s v="Life Sciences"/>
    <n v="1"/>
    <n v="743"/>
    <n v="3"/>
    <x v="0"/>
    <n v="81"/>
    <n v="3"/>
    <n v="3"/>
    <x v="3"/>
    <n v="3"/>
    <s v="Single"/>
    <n v="7861"/>
    <n v="15397"/>
    <n v="4"/>
    <s v="Y"/>
    <x v="0"/>
    <n v="14"/>
    <n v="3"/>
    <n v="4"/>
    <n v="80"/>
    <n v="0"/>
    <n v="10"/>
    <n v="4"/>
    <n v="4"/>
    <n v="1"/>
    <n v="0"/>
    <n v="0"/>
    <n v="0"/>
    <x v="1"/>
    <x v="0"/>
    <n v="0"/>
    <n v="1"/>
    <x v="3"/>
    <x v="1"/>
    <n v="88"/>
  </r>
  <r>
    <n v="44"/>
    <x v="1"/>
    <s v="Non-Travel"/>
    <n v="381"/>
    <x v="1"/>
    <n v="24"/>
    <n v="3"/>
    <s v="Medical"/>
    <n v="1"/>
    <n v="744"/>
    <n v="1"/>
    <x v="1"/>
    <n v="49"/>
    <n v="1"/>
    <n v="1"/>
    <x v="2"/>
    <n v="3"/>
    <s v="Single"/>
    <n v="3708"/>
    <n v="2104"/>
    <n v="2"/>
    <s v="Y"/>
    <x v="1"/>
    <n v="14"/>
    <n v="3"/>
    <n v="3"/>
    <n v="80"/>
    <n v="0"/>
    <n v="9"/>
    <n v="5"/>
    <n v="3"/>
    <n v="5"/>
    <n v="2"/>
    <n v="1"/>
    <n v="4"/>
    <x v="0"/>
    <x v="1"/>
    <n v="0"/>
    <n v="0"/>
    <x v="3"/>
    <x v="0"/>
    <n v="43"/>
  </r>
  <r>
    <n v="47"/>
    <x v="1"/>
    <s v="Travel_Frequently"/>
    <n v="217"/>
    <x v="0"/>
    <n v="3"/>
    <n v="3"/>
    <s v="Medical"/>
    <n v="1"/>
    <n v="746"/>
    <n v="4"/>
    <x v="0"/>
    <n v="49"/>
    <n v="3"/>
    <n v="4"/>
    <x v="0"/>
    <n v="3"/>
    <s v="Divorced"/>
    <n v="13770"/>
    <n v="10225"/>
    <n v="9"/>
    <s v="Y"/>
    <x v="0"/>
    <n v="12"/>
    <n v="3"/>
    <n v="4"/>
    <n v="80"/>
    <n v="2"/>
    <n v="28"/>
    <n v="2"/>
    <n v="2"/>
    <n v="22"/>
    <n v="2"/>
    <n v="11"/>
    <n v="13"/>
    <x v="0"/>
    <x v="0"/>
    <n v="0"/>
    <n v="1"/>
    <x v="3"/>
    <x v="1"/>
    <n v="56"/>
  </r>
  <r>
    <n v="30"/>
    <x v="1"/>
    <s v="Travel_Rarely"/>
    <n v="501"/>
    <x v="0"/>
    <n v="27"/>
    <n v="5"/>
    <s v="Marketing"/>
    <n v="1"/>
    <n v="747"/>
    <n v="3"/>
    <x v="1"/>
    <n v="99"/>
    <n v="3"/>
    <n v="2"/>
    <x v="0"/>
    <n v="4"/>
    <s v="Divorced"/>
    <n v="5304"/>
    <n v="25275"/>
    <n v="7"/>
    <s v="Y"/>
    <x v="1"/>
    <n v="23"/>
    <n v="4"/>
    <n v="4"/>
    <n v="80"/>
    <n v="1"/>
    <n v="10"/>
    <n v="2"/>
    <n v="2"/>
    <n v="8"/>
    <n v="7"/>
    <n v="7"/>
    <n v="7"/>
    <x v="1"/>
    <x v="0"/>
    <n v="0"/>
    <n v="0"/>
    <x v="4"/>
    <x v="0"/>
    <n v="39"/>
  </r>
  <r>
    <n v="29"/>
    <x v="1"/>
    <s v="Travel_Rarely"/>
    <n v="1396"/>
    <x v="0"/>
    <n v="10"/>
    <n v="3"/>
    <s v="Life Sciences"/>
    <n v="1"/>
    <n v="749"/>
    <n v="3"/>
    <x v="1"/>
    <n v="99"/>
    <n v="3"/>
    <n v="1"/>
    <x v="6"/>
    <n v="3"/>
    <s v="Single"/>
    <n v="2642"/>
    <n v="2755"/>
    <n v="1"/>
    <s v="Y"/>
    <x v="1"/>
    <n v="11"/>
    <n v="3"/>
    <n v="3"/>
    <n v="80"/>
    <n v="0"/>
    <n v="1"/>
    <n v="6"/>
    <n v="3"/>
    <n v="1"/>
    <n v="0"/>
    <n v="0"/>
    <n v="0"/>
    <x v="2"/>
    <x v="1"/>
    <n v="0"/>
    <n v="0"/>
    <x v="3"/>
    <x v="1"/>
    <n v="73"/>
  </r>
  <r>
    <n v="42"/>
    <x v="0"/>
    <s v="Travel_Frequently"/>
    <n v="933"/>
    <x v="1"/>
    <n v="19"/>
    <n v="3"/>
    <s v="Medical"/>
    <n v="1"/>
    <n v="752"/>
    <n v="3"/>
    <x v="1"/>
    <n v="57"/>
    <n v="4"/>
    <n v="1"/>
    <x v="1"/>
    <n v="3"/>
    <s v="Divorced"/>
    <n v="2759"/>
    <n v="20366"/>
    <n v="6"/>
    <s v="Y"/>
    <x v="0"/>
    <n v="12"/>
    <n v="3"/>
    <n v="4"/>
    <n v="80"/>
    <n v="0"/>
    <n v="7"/>
    <n v="2"/>
    <n v="3"/>
    <n v="2"/>
    <n v="2"/>
    <n v="2"/>
    <n v="2"/>
    <x v="0"/>
    <x v="1"/>
    <n v="1"/>
    <n v="1"/>
    <x v="3"/>
    <x v="1"/>
    <n v="78"/>
  </r>
  <r>
    <n v="43"/>
    <x v="1"/>
    <s v="Travel_Frequently"/>
    <n v="775"/>
    <x v="0"/>
    <n v="15"/>
    <n v="3"/>
    <s v="Life Sciences"/>
    <n v="1"/>
    <n v="754"/>
    <n v="4"/>
    <x v="1"/>
    <n v="47"/>
    <n v="2"/>
    <n v="2"/>
    <x v="0"/>
    <n v="4"/>
    <s v="Married"/>
    <n v="6804"/>
    <n v="23683"/>
    <n v="3"/>
    <s v="Y"/>
    <x v="1"/>
    <n v="18"/>
    <n v="3"/>
    <n v="3"/>
    <n v="80"/>
    <n v="1"/>
    <n v="7"/>
    <n v="5"/>
    <n v="3"/>
    <n v="2"/>
    <n v="2"/>
    <n v="2"/>
    <n v="2"/>
    <x v="0"/>
    <x v="0"/>
    <n v="0"/>
    <n v="0"/>
    <x v="3"/>
    <x v="0"/>
    <n v="46"/>
  </r>
  <r>
    <n v="34"/>
    <x v="1"/>
    <s v="Travel_Rarely"/>
    <n v="970"/>
    <x v="1"/>
    <n v="8"/>
    <n v="2"/>
    <s v="Medical"/>
    <n v="1"/>
    <n v="757"/>
    <n v="2"/>
    <x v="0"/>
    <n v="96"/>
    <n v="3"/>
    <n v="2"/>
    <x v="4"/>
    <n v="3"/>
    <s v="Single"/>
    <n v="6142"/>
    <n v="7360"/>
    <n v="3"/>
    <s v="Y"/>
    <x v="1"/>
    <n v="11"/>
    <n v="3"/>
    <n v="4"/>
    <n v="80"/>
    <n v="0"/>
    <n v="10"/>
    <n v="2"/>
    <n v="3"/>
    <n v="5"/>
    <n v="1"/>
    <n v="4"/>
    <n v="3"/>
    <x v="1"/>
    <x v="0"/>
    <n v="0"/>
    <n v="0"/>
    <x v="0"/>
    <x v="0"/>
    <n v="53"/>
  </r>
  <r>
    <n v="23"/>
    <x v="1"/>
    <s v="Travel_Rarely"/>
    <n v="650"/>
    <x v="1"/>
    <n v="9"/>
    <n v="1"/>
    <s v="Medical"/>
    <n v="1"/>
    <n v="758"/>
    <n v="2"/>
    <x v="1"/>
    <n v="37"/>
    <n v="3"/>
    <n v="1"/>
    <x v="2"/>
    <n v="1"/>
    <s v="Married"/>
    <n v="2500"/>
    <n v="4344"/>
    <n v="1"/>
    <s v="Y"/>
    <x v="1"/>
    <n v="14"/>
    <n v="3"/>
    <n v="4"/>
    <n v="80"/>
    <n v="1"/>
    <n v="5"/>
    <n v="2"/>
    <n v="4"/>
    <n v="4"/>
    <n v="3"/>
    <n v="0"/>
    <n v="2"/>
    <x v="2"/>
    <x v="1"/>
    <n v="0"/>
    <n v="0"/>
    <x v="1"/>
    <x v="1"/>
    <n v="75"/>
  </r>
  <r>
    <n v="39"/>
    <x v="1"/>
    <s v="Travel_Rarely"/>
    <n v="141"/>
    <x v="2"/>
    <n v="3"/>
    <n v="3"/>
    <s v="Human Resources"/>
    <n v="1"/>
    <n v="760"/>
    <n v="3"/>
    <x v="0"/>
    <n v="44"/>
    <n v="4"/>
    <n v="2"/>
    <x v="8"/>
    <n v="2"/>
    <s v="Married"/>
    <n v="6389"/>
    <n v="18767"/>
    <n v="9"/>
    <s v="Y"/>
    <x v="1"/>
    <n v="15"/>
    <n v="3"/>
    <n v="3"/>
    <n v="80"/>
    <n v="1"/>
    <n v="12"/>
    <n v="3"/>
    <n v="1"/>
    <n v="8"/>
    <n v="3"/>
    <n v="3"/>
    <n v="6"/>
    <x v="1"/>
    <x v="0"/>
    <n v="0"/>
    <n v="0"/>
    <x v="3"/>
    <x v="0"/>
    <n v="52"/>
  </r>
  <r>
    <n v="56"/>
    <x v="1"/>
    <s v="Travel_Rarely"/>
    <n v="832"/>
    <x v="1"/>
    <n v="9"/>
    <n v="3"/>
    <s v="Medical"/>
    <n v="1"/>
    <n v="762"/>
    <n v="3"/>
    <x v="1"/>
    <n v="81"/>
    <n v="3"/>
    <n v="4"/>
    <x v="4"/>
    <n v="4"/>
    <s v="Married"/>
    <n v="11103"/>
    <n v="20420"/>
    <n v="7"/>
    <s v="Y"/>
    <x v="1"/>
    <n v="11"/>
    <n v="3"/>
    <n v="3"/>
    <n v="80"/>
    <n v="0"/>
    <n v="30"/>
    <n v="1"/>
    <n v="2"/>
    <n v="10"/>
    <n v="7"/>
    <n v="1"/>
    <n v="1"/>
    <x v="3"/>
    <x v="0"/>
    <n v="0"/>
    <n v="0"/>
    <x v="3"/>
    <x v="2"/>
    <n v="34"/>
  </r>
  <r>
    <n v="40"/>
    <x v="1"/>
    <s v="Travel_Rarely"/>
    <n v="804"/>
    <x v="1"/>
    <n v="2"/>
    <n v="1"/>
    <s v="Medical"/>
    <n v="1"/>
    <n v="763"/>
    <n v="4"/>
    <x v="0"/>
    <n v="86"/>
    <n v="2"/>
    <n v="1"/>
    <x v="1"/>
    <n v="4"/>
    <s v="Single"/>
    <n v="2342"/>
    <n v="22929"/>
    <n v="0"/>
    <s v="Y"/>
    <x v="0"/>
    <n v="20"/>
    <n v="4"/>
    <n v="4"/>
    <n v="80"/>
    <n v="0"/>
    <n v="5"/>
    <n v="2"/>
    <n v="2"/>
    <n v="4"/>
    <n v="2"/>
    <n v="2"/>
    <n v="3"/>
    <x v="0"/>
    <x v="1"/>
    <n v="0"/>
    <n v="1"/>
    <x v="1"/>
    <x v="1"/>
    <n v="61"/>
  </r>
  <r>
    <n v="27"/>
    <x v="1"/>
    <s v="Travel_Rarely"/>
    <n v="975"/>
    <x v="1"/>
    <n v="7"/>
    <n v="3"/>
    <s v="Medical"/>
    <n v="1"/>
    <n v="764"/>
    <n v="4"/>
    <x v="0"/>
    <n v="55"/>
    <n v="2"/>
    <n v="2"/>
    <x v="4"/>
    <n v="1"/>
    <s v="Single"/>
    <n v="6811"/>
    <n v="23398"/>
    <n v="8"/>
    <s v="Y"/>
    <x v="1"/>
    <n v="19"/>
    <n v="3"/>
    <n v="1"/>
    <n v="80"/>
    <n v="0"/>
    <n v="9"/>
    <n v="2"/>
    <n v="1"/>
    <n v="7"/>
    <n v="6"/>
    <n v="0"/>
    <n v="7"/>
    <x v="2"/>
    <x v="0"/>
    <n v="0"/>
    <n v="0"/>
    <x v="3"/>
    <x v="1"/>
    <n v="68"/>
  </r>
  <r>
    <n v="29"/>
    <x v="1"/>
    <s v="Travel_Rarely"/>
    <n v="1090"/>
    <x v="0"/>
    <n v="10"/>
    <n v="3"/>
    <s v="Marketing"/>
    <n v="1"/>
    <n v="766"/>
    <n v="4"/>
    <x v="1"/>
    <n v="83"/>
    <n v="3"/>
    <n v="1"/>
    <x v="6"/>
    <n v="2"/>
    <s v="Divorced"/>
    <n v="2297"/>
    <n v="17967"/>
    <n v="1"/>
    <s v="Y"/>
    <x v="1"/>
    <n v="14"/>
    <n v="3"/>
    <n v="4"/>
    <n v="80"/>
    <n v="2"/>
    <n v="2"/>
    <n v="2"/>
    <n v="3"/>
    <n v="2"/>
    <n v="2"/>
    <n v="2"/>
    <n v="2"/>
    <x v="2"/>
    <x v="1"/>
    <n v="0"/>
    <n v="0"/>
    <x v="3"/>
    <x v="1"/>
    <n v="79"/>
  </r>
  <r>
    <n v="53"/>
    <x v="1"/>
    <s v="Travel_Rarely"/>
    <n v="346"/>
    <x v="1"/>
    <n v="6"/>
    <n v="3"/>
    <s v="Life Sciences"/>
    <n v="1"/>
    <n v="769"/>
    <n v="4"/>
    <x v="1"/>
    <n v="86"/>
    <n v="3"/>
    <n v="2"/>
    <x v="2"/>
    <n v="4"/>
    <s v="Single"/>
    <n v="2450"/>
    <n v="10919"/>
    <n v="2"/>
    <s v="Y"/>
    <x v="1"/>
    <n v="17"/>
    <n v="3"/>
    <n v="4"/>
    <n v="80"/>
    <n v="0"/>
    <n v="19"/>
    <n v="4"/>
    <n v="3"/>
    <n v="2"/>
    <n v="2"/>
    <n v="2"/>
    <n v="2"/>
    <x v="3"/>
    <x v="1"/>
    <n v="0"/>
    <n v="0"/>
    <x v="3"/>
    <x v="0"/>
    <n v="51"/>
  </r>
  <r>
    <n v="35"/>
    <x v="1"/>
    <s v="Non-Travel"/>
    <n v="1225"/>
    <x v="1"/>
    <n v="2"/>
    <n v="4"/>
    <s v="Life Sciences"/>
    <n v="1"/>
    <n v="771"/>
    <n v="4"/>
    <x v="0"/>
    <n v="61"/>
    <n v="3"/>
    <n v="2"/>
    <x v="4"/>
    <n v="1"/>
    <s v="Divorced"/>
    <n v="5093"/>
    <n v="4761"/>
    <n v="2"/>
    <s v="Y"/>
    <x v="1"/>
    <n v="11"/>
    <n v="3"/>
    <n v="1"/>
    <n v="80"/>
    <n v="1"/>
    <n v="16"/>
    <n v="2"/>
    <n v="4"/>
    <n v="1"/>
    <n v="0"/>
    <n v="0"/>
    <n v="0"/>
    <x v="1"/>
    <x v="0"/>
    <n v="0"/>
    <n v="0"/>
    <x v="2"/>
    <x v="1"/>
    <n v="75"/>
  </r>
  <r>
    <n v="32"/>
    <x v="1"/>
    <s v="Travel_Frequently"/>
    <n v="430"/>
    <x v="1"/>
    <n v="24"/>
    <n v="4"/>
    <s v="Life Sciences"/>
    <n v="1"/>
    <n v="772"/>
    <n v="1"/>
    <x v="1"/>
    <n v="80"/>
    <n v="3"/>
    <n v="2"/>
    <x v="2"/>
    <n v="4"/>
    <s v="Married"/>
    <n v="5309"/>
    <n v="21146"/>
    <n v="1"/>
    <s v="Y"/>
    <x v="1"/>
    <n v="15"/>
    <n v="3"/>
    <n v="4"/>
    <n v="80"/>
    <n v="2"/>
    <n v="10"/>
    <n v="2"/>
    <n v="3"/>
    <n v="10"/>
    <n v="8"/>
    <n v="4"/>
    <n v="7"/>
    <x v="1"/>
    <x v="0"/>
    <n v="0"/>
    <n v="0"/>
    <x v="2"/>
    <x v="0"/>
    <n v="39"/>
  </r>
  <r>
    <n v="38"/>
    <x v="1"/>
    <s v="Travel_Rarely"/>
    <n v="268"/>
    <x v="1"/>
    <n v="2"/>
    <n v="5"/>
    <s v="Medical"/>
    <n v="1"/>
    <n v="773"/>
    <n v="4"/>
    <x v="1"/>
    <n v="92"/>
    <n v="3"/>
    <n v="1"/>
    <x v="1"/>
    <n v="3"/>
    <s v="Married"/>
    <n v="3057"/>
    <n v="20471"/>
    <n v="6"/>
    <s v="Y"/>
    <x v="0"/>
    <n v="13"/>
    <n v="3"/>
    <n v="2"/>
    <n v="80"/>
    <n v="1"/>
    <n v="6"/>
    <n v="0"/>
    <n v="1"/>
    <n v="1"/>
    <n v="0"/>
    <n v="0"/>
    <n v="1"/>
    <x v="1"/>
    <x v="1"/>
    <n v="0"/>
    <n v="1"/>
    <x v="4"/>
    <x v="1"/>
    <n v="88"/>
  </r>
  <r>
    <n v="34"/>
    <x v="1"/>
    <s v="Travel_Rarely"/>
    <n v="167"/>
    <x v="1"/>
    <n v="8"/>
    <n v="5"/>
    <s v="Life Sciences"/>
    <n v="1"/>
    <n v="775"/>
    <n v="2"/>
    <x v="0"/>
    <n v="32"/>
    <n v="3"/>
    <n v="2"/>
    <x v="3"/>
    <n v="1"/>
    <s v="Divorced"/>
    <n v="5121"/>
    <n v="4187"/>
    <n v="3"/>
    <s v="Y"/>
    <x v="1"/>
    <n v="14"/>
    <n v="3"/>
    <n v="3"/>
    <n v="80"/>
    <n v="1"/>
    <n v="7"/>
    <n v="3"/>
    <n v="3"/>
    <n v="0"/>
    <n v="0"/>
    <n v="0"/>
    <n v="0"/>
    <x v="1"/>
    <x v="0"/>
    <n v="0"/>
    <n v="0"/>
    <x v="4"/>
    <x v="1"/>
    <n v="75"/>
  </r>
  <r>
    <n v="52"/>
    <x v="1"/>
    <s v="Travel_Rarely"/>
    <n v="621"/>
    <x v="0"/>
    <n v="3"/>
    <n v="4"/>
    <s v="Marketing"/>
    <n v="1"/>
    <n v="776"/>
    <n v="3"/>
    <x v="1"/>
    <n v="31"/>
    <n v="2"/>
    <n v="4"/>
    <x v="5"/>
    <n v="1"/>
    <s v="Married"/>
    <n v="16856"/>
    <n v="10084"/>
    <n v="1"/>
    <s v="Y"/>
    <x v="1"/>
    <n v="11"/>
    <n v="3"/>
    <n v="1"/>
    <n v="80"/>
    <n v="0"/>
    <n v="34"/>
    <n v="3"/>
    <n v="4"/>
    <n v="34"/>
    <n v="6"/>
    <n v="1"/>
    <n v="16"/>
    <x v="3"/>
    <x v="2"/>
    <n v="0"/>
    <n v="0"/>
    <x v="2"/>
    <x v="0"/>
    <n v="48"/>
  </r>
  <r>
    <n v="33"/>
    <x v="0"/>
    <s v="Travel_Rarely"/>
    <n v="527"/>
    <x v="1"/>
    <n v="1"/>
    <n v="4"/>
    <s v="Other"/>
    <n v="1"/>
    <n v="780"/>
    <n v="4"/>
    <x v="1"/>
    <n v="63"/>
    <n v="3"/>
    <n v="1"/>
    <x v="1"/>
    <n v="4"/>
    <s v="Single"/>
    <n v="2686"/>
    <n v="5207"/>
    <n v="1"/>
    <s v="Y"/>
    <x v="0"/>
    <n v="13"/>
    <n v="3"/>
    <n v="3"/>
    <n v="80"/>
    <n v="0"/>
    <n v="10"/>
    <n v="2"/>
    <n v="2"/>
    <n v="10"/>
    <n v="9"/>
    <n v="7"/>
    <n v="8"/>
    <x v="1"/>
    <x v="1"/>
    <n v="1"/>
    <n v="1"/>
    <x v="2"/>
    <x v="1"/>
    <n v="64"/>
  </r>
  <r>
    <n v="25"/>
    <x v="1"/>
    <s v="Travel_Rarely"/>
    <n v="883"/>
    <x v="0"/>
    <n v="26"/>
    <n v="1"/>
    <s v="Medical"/>
    <n v="1"/>
    <n v="781"/>
    <n v="3"/>
    <x v="0"/>
    <n v="32"/>
    <n v="3"/>
    <n v="2"/>
    <x v="0"/>
    <n v="4"/>
    <s v="Single"/>
    <n v="6180"/>
    <n v="22807"/>
    <n v="1"/>
    <s v="Y"/>
    <x v="1"/>
    <n v="23"/>
    <n v="4"/>
    <n v="2"/>
    <n v="80"/>
    <n v="0"/>
    <n v="6"/>
    <n v="5"/>
    <n v="2"/>
    <n v="6"/>
    <n v="5"/>
    <n v="1"/>
    <n v="4"/>
    <x v="2"/>
    <x v="0"/>
    <n v="0"/>
    <n v="0"/>
    <x v="1"/>
    <x v="0"/>
    <n v="49"/>
  </r>
  <r>
    <n v="45"/>
    <x v="1"/>
    <s v="Travel_Rarely"/>
    <n v="954"/>
    <x v="0"/>
    <n v="2"/>
    <n v="2"/>
    <s v="Technical Degree"/>
    <n v="1"/>
    <n v="783"/>
    <n v="2"/>
    <x v="1"/>
    <n v="46"/>
    <n v="1"/>
    <n v="2"/>
    <x v="6"/>
    <n v="3"/>
    <s v="Single"/>
    <n v="6632"/>
    <n v="12388"/>
    <n v="0"/>
    <s v="Y"/>
    <x v="1"/>
    <n v="13"/>
    <n v="3"/>
    <n v="1"/>
    <n v="80"/>
    <n v="0"/>
    <n v="9"/>
    <n v="3"/>
    <n v="3"/>
    <n v="8"/>
    <n v="7"/>
    <n v="3"/>
    <n v="1"/>
    <x v="0"/>
    <x v="0"/>
    <n v="0"/>
    <n v="0"/>
    <x v="0"/>
    <x v="0"/>
    <n v="36"/>
  </r>
  <r>
    <n v="23"/>
    <x v="1"/>
    <s v="Travel_Rarely"/>
    <n v="310"/>
    <x v="1"/>
    <n v="10"/>
    <n v="1"/>
    <s v="Medical"/>
    <n v="1"/>
    <n v="784"/>
    <n v="1"/>
    <x v="1"/>
    <n v="79"/>
    <n v="4"/>
    <n v="1"/>
    <x v="1"/>
    <n v="3"/>
    <s v="Single"/>
    <n v="3505"/>
    <n v="19630"/>
    <n v="1"/>
    <s v="Y"/>
    <x v="1"/>
    <n v="18"/>
    <n v="3"/>
    <n v="4"/>
    <n v="80"/>
    <n v="0"/>
    <n v="2"/>
    <n v="3"/>
    <n v="3"/>
    <n v="2"/>
    <n v="2"/>
    <n v="0"/>
    <n v="2"/>
    <x v="2"/>
    <x v="1"/>
    <n v="0"/>
    <n v="0"/>
    <x v="1"/>
    <x v="1"/>
    <n v="73"/>
  </r>
  <r>
    <n v="47"/>
    <x v="0"/>
    <s v="Travel_Frequently"/>
    <n v="719"/>
    <x v="0"/>
    <n v="27"/>
    <n v="2"/>
    <s v="Life Sciences"/>
    <n v="1"/>
    <n v="785"/>
    <n v="2"/>
    <x v="0"/>
    <n v="77"/>
    <n v="4"/>
    <n v="2"/>
    <x v="0"/>
    <n v="3"/>
    <s v="Single"/>
    <n v="6397"/>
    <n v="10339"/>
    <n v="4"/>
    <s v="Y"/>
    <x v="0"/>
    <n v="12"/>
    <n v="3"/>
    <n v="4"/>
    <n v="80"/>
    <n v="0"/>
    <n v="8"/>
    <n v="2"/>
    <n v="3"/>
    <n v="5"/>
    <n v="4"/>
    <n v="1"/>
    <n v="3"/>
    <x v="0"/>
    <x v="0"/>
    <n v="1"/>
    <n v="1"/>
    <x v="0"/>
    <x v="1"/>
    <n v="68"/>
  </r>
  <r>
    <n v="34"/>
    <x v="1"/>
    <s v="Travel_Rarely"/>
    <n v="304"/>
    <x v="0"/>
    <n v="2"/>
    <n v="3"/>
    <s v="Other"/>
    <n v="1"/>
    <n v="786"/>
    <n v="4"/>
    <x v="1"/>
    <n v="60"/>
    <n v="3"/>
    <n v="2"/>
    <x v="0"/>
    <n v="4"/>
    <s v="Single"/>
    <n v="6274"/>
    <n v="18686"/>
    <n v="1"/>
    <s v="Y"/>
    <x v="1"/>
    <n v="22"/>
    <n v="4"/>
    <n v="3"/>
    <n v="80"/>
    <n v="0"/>
    <n v="6"/>
    <n v="5"/>
    <n v="3"/>
    <n v="6"/>
    <n v="5"/>
    <n v="1"/>
    <n v="4"/>
    <x v="1"/>
    <x v="0"/>
    <n v="0"/>
    <n v="0"/>
    <x v="3"/>
    <x v="0"/>
    <n v="39"/>
  </r>
  <r>
    <n v="55"/>
    <x v="0"/>
    <s v="Travel_Rarely"/>
    <n v="725"/>
    <x v="1"/>
    <n v="2"/>
    <n v="3"/>
    <s v="Medical"/>
    <n v="1"/>
    <n v="787"/>
    <n v="4"/>
    <x v="1"/>
    <n v="78"/>
    <n v="3"/>
    <n v="5"/>
    <x v="5"/>
    <n v="1"/>
    <s v="Married"/>
    <n v="19859"/>
    <n v="21199"/>
    <n v="5"/>
    <s v="Y"/>
    <x v="0"/>
    <n v="13"/>
    <n v="3"/>
    <n v="4"/>
    <n v="80"/>
    <n v="1"/>
    <n v="24"/>
    <n v="2"/>
    <n v="3"/>
    <n v="5"/>
    <n v="2"/>
    <n v="1"/>
    <n v="4"/>
    <x v="3"/>
    <x v="2"/>
    <n v="1"/>
    <n v="1"/>
    <x v="3"/>
    <x v="1"/>
    <n v="85"/>
  </r>
  <r>
    <n v="36"/>
    <x v="1"/>
    <s v="Non-Travel"/>
    <n v="1434"/>
    <x v="0"/>
    <n v="8"/>
    <n v="4"/>
    <s v="Life Sciences"/>
    <n v="1"/>
    <n v="789"/>
    <n v="1"/>
    <x v="1"/>
    <n v="76"/>
    <n v="2"/>
    <n v="3"/>
    <x v="0"/>
    <n v="1"/>
    <s v="Single"/>
    <n v="7587"/>
    <n v="14229"/>
    <n v="1"/>
    <s v="Y"/>
    <x v="1"/>
    <n v="15"/>
    <n v="3"/>
    <n v="2"/>
    <n v="80"/>
    <n v="0"/>
    <n v="10"/>
    <n v="1"/>
    <n v="3"/>
    <n v="10"/>
    <n v="7"/>
    <n v="0"/>
    <n v="9"/>
    <x v="1"/>
    <x v="0"/>
    <n v="0"/>
    <n v="0"/>
    <x v="2"/>
    <x v="1"/>
    <n v="58"/>
  </r>
  <r>
    <n v="52"/>
    <x v="1"/>
    <s v="Non-Travel"/>
    <n v="715"/>
    <x v="1"/>
    <n v="19"/>
    <n v="4"/>
    <s v="Medical"/>
    <n v="1"/>
    <n v="791"/>
    <n v="4"/>
    <x v="1"/>
    <n v="41"/>
    <n v="3"/>
    <n v="1"/>
    <x v="1"/>
    <n v="4"/>
    <s v="Married"/>
    <n v="4258"/>
    <n v="26589"/>
    <n v="0"/>
    <s v="Y"/>
    <x v="1"/>
    <n v="18"/>
    <n v="3"/>
    <n v="1"/>
    <n v="80"/>
    <n v="1"/>
    <n v="5"/>
    <n v="3"/>
    <n v="3"/>
    <n v="4"/>
    <n v="3"/>
    <n v="1"/>
    <n v="2"/>
    <x v="3"/>
    <x v="1"/>
    <n v="0"/>
    <n v="0"/>
    <x v="2"/>
    <x v="0"/>
    <n v="41"/>
  </r>
  <r>
    <n v="26"/>
    <x v="1"/>
    <s v="Travel_Frequently"/>
    <n v="575"/>
    <x v="1"/>
    <n v="1"/>
    <n v="2"/>
    <s v="Life Sciences"/>
    <n v="1"/>
    <n v="792"/>
    <n v="1"/>
    <x v="0"/>
    <n v="71"/>
    <n v="1"/>
    <n v="1"/>
    <x v="2"/>
    <n v="4"/>
    <s v="Divorced"/>
    <n v="4364"/>
    <n v="5288"/>
    <n v="3"/>
    <s v="Y"/>
    <x v="1"/>
    <n v="14"/>
    <n v="3"/>
    <n v="1"/>
    <n v="80"/>
    <n v="1"/>
    <n v="5"/>
    <n v="2"/>
    <n v="3"/>
    <n v="2"/>
    <n v="2"/>
    <n v="2"/>
    <n v="0"/>
    <x v="2"/>
    <x v="1"/>
    <n v="0"/>
    <n v="0"/>
    <x v="0"/>
    <x v="1"/>
    <n v="66"/>
  </r>
  <r>
    <n v="29"/>
    <x v="1"/>
    <s v="Travel_Rarely"/>
    <n v="657"/>
    <x v="1"/>
    <n v="27"/>
    <n v="3"/>
    <s v="Medical"/>
    <n v="1"/>
    <n v="793"/>
    <n v="2"/>
    <x v="0"/>
    <n v="66"/>
    <n v="3"/>
    <n v="2"/>
    <x v="4"/>
    <n v="3"/>
    <s v="Married"/>
    <n v="4335"/>
    <n v="25549"/>
    <n v="4"/>
    <s v="Y"/>
    <x v="1"/>
    <n v="12"/>
    <n v="3"/>
    <n v="1"/>
    <n v="80"/>
    <n v="1"/>
    <n v="11"/>
    <n v="3"/>
    <n v="2"/>
    <n v="8"/>
    <n v="7"/>
    <n v="1"/>
    <n v="1"/>
    <x v="2"/>
    <x v="1"/>
    <n v="0"/>
    <n v="0"/>
    <x v="3"/>
    <x v="1"/>
    <n v="56"/>
  </r>
  <r>
    <n v="26"/>
    <x v="0"/>
    <s v="Travel_Rarely"/>
    <n v="1146"/>
    <x v="0"/>
    <n v="8"/>
    <n v="3"/>
    <s v="Technical Degree"/>
    <n v="1"/>
    <n v="796"/>
    <n v="4"/>
    <x v="1"/>
    <n v="38"/>
    <n v="2"/>
    <n v="2"/>
    <x v="0"/>
    <n v="1"/>
    <s v="Single"/>
    <n v="5326"/>
    <n v="3064"/>
    <n v="6"/>
    <s v="Y"/>
    <x v="1"/>
    <n v="17"/>
    <n v="3"/>
    <n v="3"/>
    <n v="80"/>
    <n v="0"/>
    <n v="6"/>
    <n v="2"/>
    <n v="2"/>
    <n v="4"/>
    <n v="3"/>
    <n v="1"/>
    <n v="2"/>
    <x v="2"/>
    <x v="0"/>
    <n v="1"/>
    <n v="0"/>
    <x v="3"/>
    <x v="1"/>
    <n v="75"/>
  </r>
  <r>
    <n v="34"/>
    <x v="1"/>
    <s v="Travel_Rarely"/>
    <n v="182"/>
    <x v="1"/>
    <n v="1"/>
    <n v="4"/>
    <s v="Life Sciences"/>
    <n v="1"/>
    <n v="797"/>
    <n v="2"/>
    <x v="0"/>
    <n v="72"/>
    <n v="4"/>
    <n v="1"/>
    <x v="1"/>
    <n v="4"/>
    <s v="Single"/>
    <n v="3280"/>
    <n v="13551"/>
    <n v="2"/>
    <s v="Y"/>
    <x v="1"/>
    <n v="16"/>
    <n v="3"/>
    <n v="3"/>
    <n v="80"/>
    <n v="0"/>
    <n v="10"/>
    <n v="2"/>
    <n v="3"/>
    <n v="4"/>
    <n v="2"/>
    <n v="1"/>
    <n v="3"/>
    <x v="1"/>
    <x v="1"/>
    <n v="0"/>
    <n v="0"/>
    <x v="2"/>
    <x v="0"/>
    <n v="46"/>
  </r>
  <r>
    <n v="54"/>
    <x v="1"/>
    <s v="Travel_Rarely"/>
    <n v="376"/>
    <x v="1"/>
    <n v="19"/>
    <n v="4"/>
    <s v="Medical"/>
    <n v="1"/>
    <n v="799"/>
    <n v="4"/>
    <x v="0"/>
    <n v="95"/>
    <n v="3"/>
    <n v="2"/>
    <x v="3"/>
    <n v="1"/>
    <s v="Divorced"/>
    <n v="5485"/>
    <n v="22670"/>
    <n v="9"/>
    <s v="Y"/>
    <x v="0"/>
    <n v="11"/>
    <n v="3"/>
    <n v="2"/>
    <n v="80"/>
    <n v="2"/>
    <n v="9"/>
    <n v="4"/>
    <n v="3"/>
    <n v="5"/>
    <n v="3"/>
    <n v="1"/>
    <n v="4"/>
    <x v="3"/>
    <x v="0"/>
    <n v="0"/>
    <n v="1"/>
    <x v="2"/>
    <x v="1"/>
    <n v="85"/>
  </r>
  <r>
    <n v="27"/>
    <x v="1"/>
    <s v="Travel_Frequently"/>
    <n v="829"/>
    <x v="0"/>
    <n v="8"/>
    <n v="1"/>
    <s v="Marketing"/>
    <n v="1"/>
    <n v="800"/>
    <n v="3"/>
    <x v="1"/>
    <n v="84"/>
    <n v="3"/>
    <n v="2"/>
    <x v="0"/>
    <n v="4"/>
    <s v="Married"/>
    <n v="4342"/>
    <n v="24008"/>
    <n v="0"/>
    <s v="Y"/>
    <x v="1"/>
    <n v="19"/>
    <n v="3"/>
    <n v="2"/>
    <n v="80"/>
    <n v="1"/>
    <n v="5"/>
    <n v="3"/>
    <n v="3"/>
    <n v="4"/>
    <n v="2"/>
    <n v="1"/>
    <n v="1"/>
    <x v="2"/>
    <x v="1"/>
    <n v="0"/>
    <n v="0"/>
    <x v="1"/>
    <x v="1"/>
    <n v="56"/>
  </r>
  <r>
    <n v="37"/>
    <x v="1"/>
    <s v="Travel_Rarely"/>
    <n v="571"/>
    <x v="1"/>
    <n v="10"/>
    <n v="1"/>
    <s v="Life Sciences"/>
    <n v="1"/>
    <n v="802"/>
    <n v="4"/>
    <x v="0"/>
    <n v="82"/>
    <n v="3"/>
    <n v="1"/>
    <x v="1"/>
    <n v="1"/>
    <s v="Divorced"/>
    <n v="2782"/>
    <n v="19905"/>
    <n v="0"/>
    <s v="Y"/>
    <x v="0"/>
    <n v="13"/>
    <n v="3"/>
    <n v="2"/>
    <n v="80"/>
    <n v="2"/>
    <n v="6"/>
    <n v="3"/>
    <n v="2"/>
    <n v="5"/>
    <n v="3"/>
    <n v="4"/>
    <n v="3"/>
    <x v="1"/>
    <x v="1"/>
    <n v="0"/>
    <n v="1"/>
    <x v="1"/>
    <x v="1"/>
    <n v="90"/>
  </r>
  <r>
    <n v="38"/>
    <x v="1"/>
    <s v="Travel_Frequently"/>
    <n v="240"/>
    <x v="1"/>
    <n v="2"/>
    <n v="4"/>
    <s v="Life Sciences"/>
    <n v="1"/>
    <n v="803"/>
    <n v="1"/>
    <x v="0"/>
    <n v="75"/>
    <n v="4"/>
    <n v="2"/>
    <x v="3"/>
    <n v="1"/>
    <s v="Single"/>
    <n v="5980"/>
    <n v="26085"/>
    <n v="6"/>
    <s v="Y"/>
    <x v="0"/>
    <n v="12"/>
    <n v="3"/>
    <n v="4"/>
    <n v="80"/>
    <n v="0"/>
    <n v="17"/>
    <n v="2"/>
    <n v="3"/>
    <n v="15"/>
    <n v="7"/>
    <n v="4"/>
    <n v="12"/>
    <x v="1"/>
    <x v="0"/>
    <n v="0"/>
    <n v="1"/>
    <x v="2"/>
    <x v="1"/>
    <n v="78"/>
  </r>
  <r>
    <n v="34"/>
    <x v="1"/>
    <s v="Travel_Rarely"/>
    <n v="121"/>
    <x v="1"/>
    <n v="2"/>
    <n v="4"/>
    <s v="Medical"/>
    <n v="1"/>
    <n v="804"/>
    <n v="3"/>
    <x v="0"/>
    <n v="86"/>
    <n v="2"/>
    <n v="1"/>
    <x v="1"/>
    <n v="1"/>
    <s v="Single"/>
    <n v="4381"/>
    <n v="7530"/>
    <n v="1"/>
    <s v="Y"/>
    <x v="1"/>
    <n v="11"/>
    <n v="3"/>
    <n v="3"/>
    <n v="80"/>
    <n v="0"/>
    <n v="6"/>
    <n v="3"/>
    <n v="3"/>
    <n v="6"/>
    <n v="5"/>
    <n v="1"/>
    <n v="3"/>
    <x v="1"/>
    <x v="1"/>
    <n v="0"/>
    <n v="0"/>
    <x v="2"/>
    <x v="1"/>
    <n v="58"/>
  </r>
  <r>
    <n v="35"/>
    <x v="1"/>
    <s v="Travel_Rarely"/>
    <n v="384"/>
    <x v="0"/>
    <n v="8"/>
    <n v="4"/>
    <s v="Life Sciences"/>
    <n v="1"/>
    <n v="805"/>
    <n v="1"/>
    <x v="0"/>
    <n v="72"/>
    <n v="3"/>
    <n v="1"/>
    <x v="6"/>
    <n v="4"/>
    <s v="Married"/>
    <n v="2572"/>
    <n v="20317"/>
    <n v="1"/>
    <s v="Y"/>
    <x v="1"/>
    <n v="16"/>
    <n v="3"/>
    <n v="2"/>
    <n v="80"/>
    <n v="1"/>
    <n v="3"/>
    <n v="1"/>
    <n v="2"/>
    <n v="3"/>
    <n v="2"/>
    <n v="0"/>
    <n v="2"/>
    <x v="1"/>
    <x v="1"/>
    <n v="0"/>
    <n v="0"/>
    <x v="2"/>
    <x v="0"/>
    <n v="46"/>
  </r>
  <r>
    <n v="30"/>
    <x v="1"/>
    <s v="Travel_Rarely"/>
    <n v="921"/>
    <x v="1"/>
    <n v="1"/>
    <n v="3"/>
    <s v="Life Sciences"/>
    <n v="1"/>
    <n v="806"/>
    <n v="4"/>
    <x v="1"/>
    <n v="38"/>
    <n v="1"/>
    <n v="1"/>
    <x v="2"/>
    <n v="3"/>
    <s v="Married"/>
    <n v="3833"/>
    <n v="24375"/>
    <n v="3"/>
    <s v="Y"/>
    <x v="1"/>
    <n v="21"/>
    <n v="4"/>
    <n v="3"/>
    <n v="80"/>
    <n v="2"/>
    <n v="7"/>
    <n v="2"/>
    <n v="3"/>
    <n v="2"/>
    <n v="2"/>
    <n v="0"/>
    <n v="2"/>
    <x v="1"/>
    <x v="1"/>
    <n v="0"/>
    <n v="0"/>
    <x v="3"/>
    <x v="1"/>
    <n v="63"/>
  </r>
  <r>
    <n v="40"/>
    <x v="1"/>
    <s v="Travel_Frequently"/>
    <n v="791"/>
    <x v="1"/>
    <n v="2"/>
    <n v="2"/>
    <s v="Medical"/>
    <n v="1"/>
    <n v="807"/>
    <n v="3"/>
    <x v="0"/>
    <n v="38"/>
    <n v="4"/>
    <n v="2"/>
    <x v="4"/>
    <n v="2"/>
    <s v="Married"/>
    <n v="4244"/>
    <n v="9931"/>
    <n v="1"/>
    <s v="Y"/>
    <x v="1"/>
    <n v="24"/>
    <n v="4"/>
    <n v="4"/>
    <n v="80"/>
    <n v="1"/>
    <n v="8"/>
    <n v="2"/>
    <n v="3"/>
    <n v="8"/>
    <n v="7"/>
    <n v="3"/>
    <n v="7"/>
    <x v="0"/>
    <x v="1"/>
    <n v="0"/>
    <n v="0"/>
    <x v="0"/>
    <x v="0"/>
    <n v="42"/>
  </r>
  <r>
    <n v="34"/>
    <x v="1"/>
    <s v="Travel_Rarely"/>
    <n v="1111"/>
    <x v="0"/>
    <n v="8"/>
    <n v="2"/>
    <s v="Life Sciences"/>
    <n v="1"/>
    <n v="808"/>
    <n v="3"/>
    <x v="0"/>
    <n v="93"/>
    <n v="3"/>
    <n v="2"/>
    <x v="0"/>
    <n v="1"/>
    <s v="Married"/>
    <n v="6500"/>
    <n v="13305"/>
    <n v="5"/>
    <s v="Y"/>
    <x v="1"/>
    <n v="17"/>
    <n v="3"/>
    <n v="2"/>
    <n v="80"/>
    <n v="1"/>
    <n v="6"/>
    <n v="1"/>
    <n v="3"/>
    <n v="3"/>
    <n v="2"/>
    <n v="1"/>
    <n v="2"/>
    <x v="1"/>
    <x v="0"/>
    <n v="0"/>
    <n v="0"/>
    <x v="0"/>
    <x v="1"/>
    <n v="65"/>
  </r>
  <r>
    <n v="42"/>
    <x v="1"/>
    <s v="Travel_Frequently"/>
    <n v="570"/>
    <x v="1"/>
    <n v="8"/>
    <n v="3"/>
    <s v="Life Sciences"/>
    <n v="1"/>
    <n v="809"/>
    <n v="2"/>
    <x v="1"/>
    <n v="66"/>
    <n v="3"/>
    <n v="5"/>
    <x v="5"/>
    <n v="4"/>
    <s v="Divorced"/>
    <n v="18430"/>
    <n v="16225"/>
    <n v="1"/>
    <s v="Y"/>
    <x v="1"/>
    <n v="13"/>
    <n v="3"/>
    <n v="2"/>
    <n v="80"/>
    <n v="1"/>
    <n v="24"/>
    <n v="4"/>
    <n v="2"/>
    <n v="24"/>
    <n v="7"/>
    <n v="14"/>
    <n v="9"/>
    <x v="0"/>
    <x v="2"/>
    <n v="0"/>
    <n v="0"/>
    <x v="3"/>
    <x v="2"/>
    <n v="24"/>
  </r>
  <r>
    <n v="23"/>
    <x v="0"/>
    <s v="Travel_Rarely"/>
    <n v="1243"/>
    <x v="1"/>
    <n v="6"/>
    <n v="3"/>
    <s v="Life Sciences"/>
    <n v="1"/>
    <n v="811"/>
    <n v="3"/>
    <x v="1"/>
    <n v="63"/>
    <n v="4"/>
    <n v="1"/>
    <x v="2"/>
    <n v="1"/>
    <s v="Married"/>
    <n v="1601"/>
    <n v="3445"/>
    <n v="1"/>
    <s v="Y"/>
    <x v="0"/>
    <n v="21"/>
    <n v="4"/>
    <n v="3"/>
    <n v="80"/>
    <n v="2"/>
    <n v="1"/>
    <n v="2"/>
    <n v="3"/>
    <n v="0"/>
    <n v="0"/>
    <n v="0"/>
    <n v="0"/>
    <x v="2"/>
    <x v="1"/>
    <n v="1"/>
    <n v="1"/>
    <x v="3"/>
    <x v="1"/>
    <n v="110"/>
  </r>
  <r>
    <n v="24"/>
    <x v="1"/>
    <s v="Non-Travel"/>
    <n v="1092"/>
    <x v="1"/>
    <n v="9"/>
    <n v="3"/>
    <s v="Life Sciences"/>
    <n v="1"/>
    <n v="812"/>
    <n v="3"/>
    <x v="1"/>
    <n v="60"/>
    <n v="2"/>
    <n v="1"/>
    <x v="2"/>
    <n v="2"/>
    <s v="Divorced"/>
    <n v="2694"/>
    <n v="26551"/>
    <n v="1"/>
    <s v="Y"/>
    <x v="1"/>
    <n v="11"/>
    <n v="3"/>
    <n v="3"/>
    <n v="80"/>
    <n v="3"/>
    <n v="1"/>
    <n v="4"/>
    <n v="3"/>
    <n v="1"/>
    <n v="0"/>
    <n v="0"/>
    <n v="0"/>
    <x v="2"/>
    <x v="1"/>
    <n v="0"/>
    <n v="0"/>
    <x v="3"/>
    <x v="1"/>
    <n v="79"/>
  </r>
  <r>
    <n v="52"/>
    <x v="1"/>
    <s v="Travel_Rarely"/>
    <n v="1325"/>
    <x v="1"/>
    <n v="11"/>
    <n v="4"/>
    <s v="Life Sciences"/>
    <n v="1"/>
    <n v="813"/>
    <n v="4"/>
    <x v="0"/>
    <n v="82"/>
    <n v="3"/>
    <n v="2"/>
    <x v="2"/>
    <n v="3"/>
    <s v="Married"/>
    <n v="3149"/>
    <n v="21821"/>
    <n v="8"/>
    <s v="Y"/>
    <x v="1"/>
    <n v="20"/>
    <n v="4"/>
    <n v="2"/>
    <n v="80"/>
    <n v="1"/>
    <n v="9"/>
    <n v="3"/>
    <n v="3"/>
    <n v="5"/>
    <n v="2"/>
    <n v="1"/>
    <n v="4"/>
    <x v="3"/>
    <x v="1"/>
    <n v="0"/>
    <n v="0"/>
    <x v="2"/>
    <x v="0"/>
    <n v="48"/>
  </r>
  <r>
    <n v="50"/>
    <x v="1"/>
    <s v="Travel_Rarely"/>
    <n v="691"/>
    <x v="1"/>
    <n v="2"/>
    <n v="3"/>
    <s v="Medical"/>
    <n v="1"/>
    <n v="815"/>
    <n v="3"/>
    <x v="1"/>
    <n v="64"/>
    <n v="3"/>
    <n v="4"/>
    <x v="7"/>
    <n v="3"/>
    <s v="Married"/>
    <n v="17639"/>
    <n v="6881"/>
    <n v="5"/>
    <s v="Y"/>
    <x v="1"/>
    <n v="16"/>
    <n v="3"/>
    <n v="4"/>
    <n v="80"/>
    <n v="0"/>
    <n v="30"/>
    <n v="3"/>
    <n v="3"/>
    <n v="4"/>
    <n v="3"/>
    <n v="0"/>
    <n v="3"/>
    <x v="3"/>
    <x v="2"/>
    <n v="0"/>
    <n v="0"/>
    <x v="3"/>
    <x v="0"/>
    <n v="48"/>
  </r>
  <r>
    <n v="29"/>
    <x v="0"/>
    <s v="Travel_Rarely"/>
    <n v="805"/>
    <x v="1"/>
    <n v="1"/>
    <n v="2"/>
    <s v="Life Sciences"/>
    <n v="1"/>
    <n v="816"/>
    <n v="2"/>
    <x v="0"/>
    <n v="36"/>
    <n v="2"/>
    <n v="1"/>
    <x v="2"/>
    <n v="1"/>
    <s v="Married"/>
    <n v="2319"/>
    <n v="6689"/>
    <n v="1"/>
    <s v="Y"/>
    <x v="0"/>
    <n v="11"/>
    <n v="3"/>
    <n v="4"/>
    <n v="80"/>
    <n v="1"/>
    <n v="1"/>
    <n v="1"/>
    <n v="3"/>
    <n v="1"/>
    <n v="0"/>
    <n v="0"/>
    <n v="0"/>
    <x v="2"/>
    <x v="1"/>
    <n v="1"/>
    <n v="1"/>
    <x v="0"/>
    <x v="1"/>
    <n v="110"/>
  </r>
  <r>
    <n v="33"/>
    <x v="1"/>
    <s v="Travel_Rarely"/>
    <n v="213"/>
    <x v="1"/>
    <n v="7"/>
    <n v="3"/>
    <s v="Medical"/>
    <n v="1"/>
    <n v="817"/>
    <n v="3"/>
    <x v="1"/>
    <n v="49"/>
    <n v="3"/>
    <n v="3"/>
    <x v="7"/>
    <n v="3"/>
    <s v="Married"/>
    <n v="11691"/>
    <n v="25995"/>
    <n v="0"/>
    <s v="Y"/>
    <x v="1"/>
    <n v="11"/>
    <n v="3"/>
    <n v="4"/>
    <n v="80"/>
    <n v="0"/>
    <n v="14"/>
    <n v="3"/>
    <n v="4"/>
    <n v="13"/>
    <n v="9"/>
    <n v="3"/>
    <n v="7"/>
    <x v="1"/>
    <x v="0"/>
    <n v="0"/>
    <n v="0"/>
    <x v="3"/>
    <x v="0"/>
    <n v="41"/>
  </r>
  <r>
    <n v="33"/>
    <x v="0"/>
    <s v="Travel_Rarely"/>
    <n v="118"/>
    <x v="0"/>
    <n v="16"/>
    <n v="3"/>
    <s v="Marketing"/>
    <n v="1"/>
    <n v="819"/>
    <n v="1"/>
    <x v="0"/>
    <n v="69"/>
    <n v="3"/>
    <n v="2"/>
    <x v="0"/>
    <n v="1"/>
    <s v="Single"/>
    <n v="5324"/>
    <n v="26507"/>
    <n v="5"/>
    <s v="Y"/>
    <x v="1"/>
    <n v="15"/>
    <n v="3"/>
    <n v="3"/>
    <n v="80"/>
    <n v="0"/>
    <n v="6"/>
    <n v="3"/>
    <n v="3"/>
    <n v="3"/>
    <n v="2"/>
    <n v="0"/>
    <n v="2"/>
    <x v="1"/>
    <x v="0"/>
    <n v="1"/>
    <n v="0"/>
    <x v="3"/>
    <x v="1"/>
    <n v="65"/>
  </r>
  <r>
    <n v="47"/>
    <x v="1"/>
    <s v="Travel_Rarely"/>
    <n v="202"/>
    <x v="1"/>
    <n v="2"/>
    <n v="2"/>
    <s v="Other"/>
    <n v="1"/>
    <n v="820"/>
    <n v="3"/>
    <x v="0"/>
    <n v="33"/>
    <n v="3"/>
    <n v="4"/>
    <x v="5"/>
    <n v="4"/>
    <s v="Married"/>
    <n v="16752"/>
    <n v="12982"/>
    <n v="1"/>
    <s v="Y"/>
    <x v="0"/>
    <n v="11"/>
    <n v="3"/>
    <n v="3"/>
    <n v="80"/>
    <n v="1"/>
    <n v="26"/>
    <n v="3"/>
    <n v="2"/>
    <n v="26"/>
    <n v="14"/>
    <n v="3"/>
    <n v="0"/>
    <x v="0"/>
    <x v="2"/>
    <n v="0"/>
    <n v="1"/>
    <x v="0"/>
    <x v="0"/>
    <n v="49"/>
  </r>
  <r>
    <n v="36"/>
    <x v="1"/>
    <s v="Travel_Rarely"/>
    <n v="676"/>
    <x v="1"/>
    <n v="1"/>
    <n v="3"/>
    <s v="Other"/>
    <n v="1"/>
    <n v="823"/>
    <n v="3"/>
    <x v="0"/>
    <n v="35"/>
    <n v="3"/>
    <n v="2"/>
    <x v="3"/>
    <n v="2"/>
    <s v="Married"/>
    <n v="5228"/>
    <n v="23361"/>
    <n v="0"/>
    <s v="Y"/>
    <x v="1"/>
    <n v="15"/>
    <n v="3"/>
    <n v="1"/>
    <n v="80"/>
    <n v="1"/>
    <n v="10"/>
    <n v="2"/>
    <n v="3"/>
    <n v="9"/>
    <n v="7"/>
    <n v="0"/>
    <n v="5"/>
    <x v="1"/>
    <x v="0"/>
    <n v="0"/>
    <n v="0"/>
    <x v="3"/>
    <x v="0"/>
    <n v="52"/>
  </r>
  <r>
    <n v="29"/>
    <x v="1"/>
    <s v="Travel_Rarely"/>
    <n v="1252"/>
    <x v="1"/>
    <n v="23"/>
    <n v="2"/>
    <s v="Life Sciences"/>
    <n v="1"/>
    <n v="824"/>
    <n v="3"/>
    <x v="1"/>
    <n v="81"/>
    <n v="4"/>
    <n v="1"/>
    <x v="1"/>
    <n v="3"/>
    <s v="Married"/>
    <n v="2700"/>
    <n v="23779"/>
    <n v="1"/>
    <s v="Y"/>
    <x v="1"/>
    <n v="24"/>
    <n v="4"/>
    <n v="3"/>
    <n v="80"/>
    <n v="1"/>
    <n v="10"/>
    <n v="3"/>
    <n v="3"/>
    <n v="10"/>
    <n v="7"/>
    <n v="0"/>
    <n v="7"/>
    <x v="2"/>
    <x v="1"/>
    <n v="0"/>
    <n v="0"/>
    <x v="0"/>
    <x v="1"/>
    <n v="56"/>
  </r>
  <r>
    <n v="58"/>
    <x v="0"/>
    <s v="Travel_Rarely"/>
    <n v="286"/>
    <x v="1"/>
    <n v="2"/>
    <n v="4"/>
    <s v="Life Sciences"/>
    <n v="1"/>
    <n v="825"/>
    <n v="4"/>
    <x v="1"/>
    <n v="31"/>
    <n v="3"/>
    <n v="5"/>
    <x v="7"/>
    <n v="2"/>
    <s v="Single"/>
    <n v="19246"/>
    <n v="25761"/>
    <n v="7"/>
    <s v="Y"/>
    <x v="0"/>
    <n v="12"/>
    <n v="3"/>
    <n v="4"/>
    <n v="80"/>
    <n v="0"/>
    <n v="40"/>
    <n v="2"/>
    <n v="3"/>
    <n v="31"/>
    <n v="15"/>
    <n v="13"/>
    <n v="8"/>
    <x v="3"/>
    <x v="2"/>
    <n v="1"/>
    <n v="1"/>
    <x v="2"/>
    <x v="1"/>
    <n v="67"/>
  </r>
  <r>
    <n v="35"/>
    <x v="1"/>
    <s v="Travel_Rarely"/>
    <n v="1258"/>
    <x v="1"/>
    <n v="1"/>
    <n v="4"/>
    <s v="Life Sciences"/>
    <n v="1"/>
    <n v="826"/>
    <n v="4"/>
    <x v="0"/>
    <n v="40"/>
    <n v="4"/>
    <n v="1"/>
    <x v="1"/>
    <n v="3"/>
    <s v="Single"/>
    <n v="2506"/>
    <n v="13301"/>
    <n v="3"/>
    <s v="Y"/>
    <x v="1"/>
    <n v="13"/>
    <n v="3"/>
    <n v="3"/>
    <n v="80"/>
    <n v="0"/>
    <n v="7"/>
    <n v="0"/>
    <n v="3"/>
    <n v="2"/>
    <n v="2"/>
    <n v="2"/>
    <n v="2"/>
    <x v="1"/>
    <x v="1"/>
    <n v="0"/>
    <n v="0"/>
    <x v="2"/>
    <x v="1"/>
    <n v="63"/>
  </r>
  <r>
    <n v="42"/>
    <x v="1"/>
    <s v="Travel_Rarely"/>
    <n v="932"/>
    <x v="1"/>
    <n v="1"/>
    <n v="2"/>
    <s v="Life Sciences"/>
    <n v="1"/>
    <n v="827"/>
    <n v="4"/>
    <x v="0"/>
    <n v="43"/>
    <n v="2"/>
    <n v="2"/>
    <x v="3"/>
    <n v="4"/>
    <s v="Married"/>
    <n v="6062"/>
    <n v="4051"/>
    <n v="9"/>
    <s v="Y"/>
    <x v="0"/>
    <n v="13"/>
    <n v="3"/>
    <n v="4"/>
    <n v="80"/>
    <n v="1"/>
    <n v="8"/>
    <n v="4"/>
    <n v="3"/>
    <n v="4"/>
    <n v="3"/>
    <n v="0"/>
    <n v="2"/>
    <x v="0"/>
    <x v="0"/>
    <n v="0"/>
    <n v="1"/>
    <x v="0"/>
    <x v="1"/>
    <n v="61"/>
  </r>
  <r>
    <n v="28"/>
    <x v="0"/>
    <s v="Travel_Rarely"/>
    <n v="890"/>
    <x v="1"/>
    <n v="2"/>
    <n v="4"/>
    <s v="Medical"/>
    <n v="1"/>
    <n v="828"/>
    <n v="3"/>
    <x v="1"/>
    <n v="46"/>
    <n v="3"/>
    <n v="1"/>
    <x v="1"/>
    <n v="3"/>
    <s v="Single"/>
    <n v="4382"/>
    <n v="16374"/>
    <n v="6"/>
    <s v="Y"/>
    <x v="1"/>
    <n v="17"/>
    <n v="3"/>
    <n v="4"/>
    <n v="80"/>
    <n v="0"/>
    <n v="5"/>
    <n v="3"/>
    <n v="2"/>
    <n v="2"/>
    <n v="2"/>
    <n v="2"/>
    <n v="1"/>
    <x v="2"/>
    <x v="1"/>
    <n v="1"/>
    <n v="0"/>
    <x v="2"/>
    <x v="1"/>
    <n v="73"/>
  </r>
  <r>
    <n v="36"/>
    <x v="1"/>
    <s v="Travel_Rarely"/>
    <n v="1041"/>
    <x v="2"/>
    <n v="13"/>
    <n v="3"/>
    <s v="Human Resources"/>
    <n v="1"/>
    <n v="829"/>
    <n v="3"/>
    <x v="1"/>
    <n v="36"/>
    <n v="3"/>
    <n v="1"/>
    <x v="8"/>
    <n v="2"/>
    <s v="Married"/>
    <n v="2143"/>
    <n v="25527"/>
    <n v="4"/>
    <s v="Y"/>
    <x v="1"/>
    <n v="13"/>
    <n v="3"/>
    <n v="2"/>
    <n v="80"/>
    <n v="1"/>
    <n v="8"/>
    <n v="2"/>
    <n v="3"/>
    <n v="5"/>
    <n v="2"/>
    <n v="0"/>
    <n v="4"/>
    <x v="1"/>
    <x v="1"/>
    <n v="0"/>
    <n v="0"/>
    <x v="3"/>
    <x v="1"/>
    <n v="59"/>
  </r>
  <r>
    <n v="32"/>
    <x v="1"/>
    <s v="Travel_Rarely"/>
    <n v="859"/>
    <x v="1"/>
    <n v="4"/>
    <n v="3"/>
    <s v="Life Sciences"/>
    <n v="1"/>
    <n v="830"/>
    <n v="3"/>
    <x v="0"/>
    <n v="98"/>
    <n v="2"/>
    <n v="2"/>
    <x v="3"/>
    <n v="3"/>
    <s v="Married"/>
    <n v="6162"/>
    <n v="19124"/>
    <n v="1"/>
    <s v="Y"/>
    <x v="1"/>
    <n v="12"/>
    <n v="3"/>
    <n v="3"/>
    <n v="80"/>
    <n v="1"/>
    <n v="14"/>
    <n v="3"/>
    <n v="3"/>
    <n v="14"/>
    <n v="13"/>
    <n v="6"/>
    <n v="8"/>
    <x v="1"/>
    <x v="0"/>
    <n v="0"/>
    <n v="0"/>
    <x v="3"/>
    <x v="0"/>
    <n v="41"/>
  </r>
  <r>
    <n v="40"/>
    <x v="1"/>
    <s v="Travel_Frequently"/>
    <n v="720"/>
    <x v="1"/>
    <n v="16"/>
    <n v="4"/>
    <s v="Medical"/>
    <n v="1"/>
    <n v="832"/>
    <n v="1"/>
    <x v="1"/>
    <n v="51"/>
    <n v="2"/>
    <n v="2"/>
    <x v="2"/>
    <n v="3"/>
    <s v="Single"/>
    <n v="5094"/>
    <n v="11983"/>
    <n v="6"/>
    <s v="Y"/>
    <x v="1"/>
    <n v="14"/>
    <n v="3"/>
    <n v="4"/>
    <n v="80"/>
    <n v="0"/>
    <n v="10"/>
    <n v="6"/>
    <n v="3"/>
    <n v="1"/>
    <n v="0"/>
    <n v="0"/>
    <n v="0"/>
    <x v="0"/>
    <x v="0"/>
    <n v="0"/>
    <n v="0"/>
    <x v="2"/>
    <x v="0"/>
    <n v="53"/>
  </r>
  <r>
    <n v="30"/>
    <x v="1"/>
    <s v="Travel_Rarely"/>
    <n v="946"/>
    <x v="1"/>
    <n v="2"/>
    <n v="3"/>
    <s v="Medical"/>
    <n v="1"/>
    <n v="833"/>
    <n v="3"/>
    <x v="0"/>
    <n v="52"/>
    <n v="2"/>
    <n v="2"/>
    <x v="3"/>
    <n v="4"/>
    <s v="Single"/>
    <n v="6877"/>
    <n v="20234"/>
    <n v="5"/>
    <s v="Y"/>
    <x v="0"/>
    <n v="24"/>
    <n v="4"/>
    <n v="2"/>
    <n v="80"/>
    <n v="0"/>
    <n v="12"/>
    <n v="4"/>
    <n v="2"/>
    <n v="0"/>
    <n v="0"/>
    <n v="0"/>
    <n v="0"/>
    <x v="1"/>
    <x v="0"/>
    <n v="0"/>
    <n v="1"/>
    <x v="3"/>
    <x v="1"/>
    <n v="81"/>
  </r>
  <r>
    <n v="45"/>
    <x v="1"/>
    <s v="Travel_Rarely"/>
    <n v="252"/>
    <x v="1"/>
    <n v="2"/>
    <n v="3"/>
    <s v="Life Sciences"/>
    <n v="1"/>
    <n v="834"/>
    <n v="2"/>
    <x v="0"/>
    <n v="95"/>
    <n v="2"/>
    <n v="1"/>
    <x v="1"/>
    <n v="3"/>
    <s v="Single"/>
    <n v="2274"/>
    <n v="6153"/>
    <n v="1"/>
    <s v="Y"/>
    <x v="1"/>
    <n v="14"/>
    <n v="3"/>
    <n v="4"/>
    <n v="80"/>
    <n v="0"/>
    <n v="1"/>
    <n v="3"/>
    <n v="3"/>
    <n v="1"/>
    <n v="0"/>
    <n v="0"/>
    <n v="0"/>
    <x v="0"/>
    <x v="1"/>
    <n v="0"/>
    <n v="0"/>
    <x v="3"/>
    <x v="0"/>
    <n v="53"/>
  </r>
  <r>
    <n v="42"/>
    <x v="1"/>
    <s v="Travel_Rarely"/>
    <n v="933"/>
    <x v="1"/>
    <n v="29"/>
    <n v="3"/>
    <s v="Life Sciences"/>
    <n v="1"/>
    <n v="836"/>
    <n v="2"/>
    <x v="1"/>
    <n v="98"/>
    <n v="3"/>
    <n v="2"/>
    <x v="3"/>
    <n v="2"/>
    <s v="Married"/>
    <n v="4434"/>
    <n v="11806"/>
    <n v="1"/>
    <s v="Y"/>
    <x v="1"/>
    <n v="13"/>
    <n v="3"/>
    <n v="4"/>
    <n v="80"/>
    <n v="1"/>
    <n v="10"/>
    <n v="3"/>
    <n v="2"/>
    <n v="9"/>
    <n v="8"/>
    <n v="7"/>
    <n v="8"/>
    <x v="0"/>
    <x v="1"/>
    <n v="0"/>
    <n v="0"/>
    <x v="3"/>
    <x v="0"/>
    <n v="42"/>
  </r>
  <r>
    <n v="38"/>
    <x v="1"/>
    <s v="Travel_Frequently"/>
    <n v="471"/>
    <x v="1"/>
    <n v="12"/>
    <n v="3"/>
    <s v="Life Sciences"/>
    <n v="1"/>
    <n v="837"/>
    <n v="1"/>
    <x v="1"/>
    <n v="45"/>
    <n v="2"/>
    <n v="2"/>
    <x v="4"/>
    <n v="1"/>
    <s v="Divorced"/>
    <n v="6288"/>
    <n v="4284"/>
    <n v="2"/>
    <s v="Y"/>
    <x v="1"/>
    <n v="15"/>
    <n v="3"/>
    <n v="3"/>
    <n v="80"/>
    <n v="1"/>
    <n v="13"/>
    <n v="3"/>
    <n v="2"/>
    <n v="4"/>
    <n v="3"/>
    <n v="1"/>
    <n v="2"/>
    <x v="1"/>
    <x v="0"/>
    <n v="0"/>
    <n v="0"/>
    <x v="3"/>
    <x v="1"/>
    <n v="65"/>
  </r>
  <r>
    <n v="34"/>
    <x v="1"/>
    <s v="Travel_Frequently"/>
    <n v="702"/>
    <x v="1"/>
    <n v="16"/>
    <n v="4"/>
    <s v="Life Sciences"/>
    <n v="1"/>
    <n v="838"/>
    <n v="3"/>
    <x v="0"/>
    <n v="100"/>
    <n v="2"/>
    <n v="1"/>
    <x v="1"/>
    <n v="4"/>
    <s v="Single"/>
    <n v="2553"/>
    <n v="8306"/>
    <n v="1"/>
    <s v="Y"/>
    <x v="1"/>
    <n v="16"/>
    <n v="3"/>
    <n v="3"/>
    <n v="80"/>
    <n v="0"/>
    <n v="6"/>
    <n v="3"/>
    <n v="3"/>
    <n v="5"/>
    <n v="2"/>
    <n v="1"/>
    <n v="3"/>
    <x v="1"/>
    <x v="1"/>
    <n v="0"/>
    <n v="0"/>
    <x v="2"/>
    <x v="0"/>
    <n v="46"/>
  </r>
  <r>
    <n v="49"/>
    <x v="0"/>
    <s v="Travel_Rarely"/>
    <n v="1184"/>
    <x v="0"/>
    <n v="11"/>
    <n v="3"/>
    <s v="Marketing"/>
    <n v="1"/>
    <n v="840"/>
    <n v="3"/>
    <x v="0"/>
    <n v="43"/>
    <n v="3"/>
    <n v="3"/>
    <x v="0"/>
    <n v="4"/>
    <s v="Married"/>
    <n v="7654"/>
    <n v="5860"/>
    <n v="1"/>
    <s v="Y"/>
    <x v="1"/>
    <n v="18"/>
    <n v="3"/>
    <n v="1"/>
    <n v="80"/>
    <n v="2"/>
    <n v="9"/>
    <n v="3"/>
    <n v="4"/>
    <n v="9"/>
    <n v="8"/>
    <n v="7"/>
    <n v="7"/>
    <x v="0"/>
    <x v="0"/>
    <n v="1"/>
    <n v="0"/>
    <x v="3"/>
    <x v="2"/>
    <n v="29"/>
  </r>
  <r>
    <n v="55"/>
    <x v="0"/>
    <s v="Travel_Rarely"/>
    <n v="436"/>
    <x v="0"/>
    <n v="2"/>
    <n v="1"/>
    <s v="Medical"/>
    <n v="1"/>
    <n v="842"/>
    <n v="3"/>
    <x v="1"/>
    <n v="37"/>
    <n v="3"/>
    <n v="2"/>
    <x v="0"/>
    <n v="4"/>
    <s v="Single"/>
    <n v="5160"/>
    <n v="21519"/>
    <n v="4"/>
    <s v="Y"/>
    <x v="1"/>
    <n v="16"/>
    <n v="3"/>
    <n v="3"/>
    <n v="80"/>
    <n v="0"/>
    <n v="12"/>
    <n v="3"/>
    <n v="2"/>
    <n v="9"/>
    <n v="7"/>
    <n v="7"/>
    <n v="3"/>
    <x v="3"/>
    <x v="0"/>
    <n v="1"/>
    <n v="0"/>
    <x v="1"/>
    <x v="2"/>
    <n v="34"/>
  </r>
  <r>
    <n v="43"/>
    <x v="1"/>
    <s v="Travel_Rarely"/>
    <n v="589"/>
    <x v="1"/>
    <n v="14"/>
    <n v="2"/>
    <s v="Life Sciences"/>
    <n v="1"/>
    <n v="843"/>
    <n v="2"/>
    <x v="1"/>
    <n v="94"/>
    <n v="3"/>
    <n v="4"/>
    <x v="7"/>
    <n v="1"/>
    <s v="Married"/>
    <n v="17159"/>
    <n v="5200"/>
    <n v="6"/>
    <s v="Y"/>
    <x v="1"/>
    <n v="24"/>
    <n v="4"/>
    <n v="3"/>
    <n v="80"/>
    <n v="1"/>
    <n v="22"/>
    <n v="3"/>
    <n v="3"/>
    <n v="4"/>
    <n v="1"/>
    <n v="1"/>
    <n v="0"/>
    <x v="0"/>
    <x v="2"/>
    <n v="0"/>
    <n v="0"/>
    <x v="0"/>
    <x v="1"/>
    <n v="55"/>
  </r>
  <r>
    <n v="27"/>
    <x v="1"/>
    <s v="Travel_Rarely"/>
    <n v="269"/>
    <x v="1"/>
    <n v="5"/>
    <n v="1"/>
    <s v="Technical Degree"/>
    <n v="1"/>
    <n v="844"/>
    <n v="3"/>
    <x v="1"/>
    <n v="42"/>
    <n v="2"/>
    <n v="3"/>
    <x v="7"/>
    <n v="4"/>
    <s v="Divorced"/>
    <n v="12808"/>
    <n v="8842"/>
    <n v="1"/>
    <s v="Y"/>
    <x v="0"/>
    <n v="16"/>
    <n v="3"/>
    <n v="2"/>
    <n v="80"/>
    <n v="1"/>
    <n v="9"/>
    <n v="3"/>
    <n v="3"/>
    <n v="9"/>
    <n v="8"/>
    <n v="0"/>
    <n v="8"/>
    <x v="2"/>
    <x v="0"/>
    <n v="0"/>
    <n v="1"/>
    <x v="1"/>
    <x v="1"/>
    <n v="74"/>
  </r>
  <r>
    <n v="35"/>
    <x v="1"/>
    <s v="Travel_Rarely"/>
    <n v="950"/>
    <x v="1"/>
    <n v="7"/>
    <n v="3"/>
    <s v="Other"/>
    <n v="1"/>
    <n v="845"/>
    <n v="3"/>
    <x v="1"/>
    <n v="59"/>
    <n v="3"/>
    <n v="3"/>
    <x v="3"/>
    <n v="3"/>
    <s v="Single"/>
    <n v="10221"/>
    <n v="18869"/>
    <n v="3"/>
    <s v="Y"/>
    <x v="1"/>
    <n v="21"/>
    <n v="4"/>
    <n v="2"/>
    <n v="80"/>
    <n v="0"/>
    <n v="17"/>
    <n v="3"/>
    <n v="4"/>
    <n v="8"/>
    <n v="5"/>
    <n v="1"/>
    <n v="6"/>
    <x v="1"/>
    <x v="0"/>
    <n v="0"/>
    <n v="0"/>
    <x v="3"/>
    <x v="0"/>
    <n v="46"/>
  </r>
  <r>
    <n v="28"/>
    <x v="1"/>
    <s v="Travel_Rarely"/>
    <n v="760"/>
    <x v="0"/>
    <n v="2"/>
    <n v="4"/>
    <s v="Marketing"/>
    <n v="1"/>
    <n v="846"/>
    <n v="2"/>
    <x v="0"/>
    <n v="81"/>
    <n v="3"/>
    <n v="2"/>
    <x v="0"/>
    <n v="2"/>
    <s v="Married"/>
    <n v="4779"/>
    <n v="3698"/>
    <n v="1"/>
    <s v="Y"/>
    <x v="0"/>
    <n v="20"/>
    <n v="4"/>
    <n v="1"/>
    <n v="80"/>
    <n v="0"/>
    <n v="8"/>
    <n v="2"/>
    <n v="3"/>
    <n v="8"/>
    <n v="7"/>
    <n v="7"/>
    <n v="5"/>
    <x v="2"/>
    <x v="1"/>
    <n v="0"/>
    <n v="1"/>
    <x v="2"/>
    <x v="1"/>
    <n v="87"/>
  </r>
  <r>
    <n v="34"/>
    <x v="1"/>
    <s v="Travel_Rarely"/>
    <n v="829"/>
    <x v="2"/>
    <n v="3"/>
    <n v="2"/>
    <s v="Human Resources"/>
    <n v="1"/>
    <n v="847"/>
    <n v="3"/>
    <x v="1"/>
    <n v="88"/>
    <n v="3"/>
    <n v="1"/>
    <x v="8"/>
    <n v="4"/>
    <s v="Married"/>
    <n v="3737"/>
    <n v="2243"/>
    <n v="0"/>
    <s v="Y"/>
    <x v="1"/>
    <n v="19"/>
    <n v="3"/>
    <n v="3"/>
    <n v="80"/>
    <n v="1"/>
    <n v="4"/>
    <n v="1"/>
    <n v="1"/>
    <n v="3"/>
    <n v="2"/>
    <n v="0"/>
    <n v="2"/>
    <x v="1"/>
    <x v="1"/>
    <n v="0"/>
    <n v="0"/>
    <x v="0"/>
    <x v="0"/>
    <n v="46"/>
  </r>
  <r>
    <n v="26"/>
    <x v="0"/>
    <s v="Travel_Frequently"/>
    <n v="887"/>
    <x v="1"/>
    <n v="5"/>
    <n v="2"/>
    <s v="Medical"/>
    <n v="1"/>
    <n v="848"/>
    <n v="3"/>
    <x v="0"/>
    <n v="88"/>
    <n v="2"/>
    <n v="1"/>
    <x v="1"/>
    <n v="3"/>
    <s v="Married"/>
    <n v="2366"/>
    <n v="20898"/>
    <n v="1"/>
    <s v="Y"/>
    <x v="0"/>
    <n v="14"/>
    <n v="3"/>
    <n v="1"/>
    <n v="80"/>
    <n v="1"/>
    <n v="8"/>
    <n v="2"/>
    <n v="3"/>
    <n v="8"/>
    <n v="7"/>
    <n v="1"/>
    <n v="7"/>
    <x v="2"/>
    <x v="1"/>
    <n v="1"/>
    <n v="1"/>
    <x v="0"/>
    <x v="1"/>
    <n v="81"/>
  </r>
  <r>
    <n v="27"/>
    <x v="1"/>
    <s v="Non-Travel"/>
    <n v="443"/>
    <x v="1"/>
    <n v="3"/>
    <n v="3"/>
    <s v="Medical"/>
    <n v="1"/>
    <n v="850"/>
    <n v="4"/>
    <x v="1"/>
    <n v="50"/>
    <n v="3"/>
    <n v="1"/>
    <x v="1"/>
    <n v="4"/>
    <s v="Married"/>
    <n v="1706"/>
    <n v="16571"/>
    <n v="1"/>
    <s v="Y"/>
    <x v="1"/>
    <n v="11"/>
    <n v="3"/>
    <n v="3"/>
    <n v="80"/>
    <n v="3"/>
    <n v="0"/>
    <n v="6"/>
    <n v="2"/>
    <n v="0"/>
    <n v="0"/>
    <n v="0"/>
    <n v="0"/>
    <x v="2"/>
    <x v="1"/>
    <n v="0"/>
    <n v="0"/>
    <x v="3"/>
    <x v="1"/>
    <n v="66"/>
  </r>
  <r>
    <n v="51"/>
    <x v="1"/>
    <s v="Travel_Rarely"/>
    <n v="1318"/>
    <x v="0"/>
    <n v="26"/>
    <n v="4"/>
    <s v="Marketing"/>
    <n v="1"/>
    <n v="851"/>
    <n v="1"/>
    <x v="0"/>
    <n v="66"/>
    <n v="3"/>
    <n v="4"/>
    <x v="5"/>
    <n v="3"/>
    <s v="Married"/>
    <n v="16307"/>
    <n v="5594"/>
    <n v="2"/>
    <s v="Y"/>
    <x v="1"/>
    <n v="14"/>
    <n v="3"/>
    <n v="3"/>
    <n v="80"/>
    <n v="1"/>
    <n v="29"/>
    <n v="2"/>
    <n v="2"/>
    <n v="20"/>
    <n v="6"/>
    <n v="4"/>
    <n v="17"/>
    <x v="3"/>
    <x v="2"/>
    <n v="0"/>
    <n v="0"/>
    <x v="2"/>
    <x v="0"/>
    <n v="36"/>
  </r>
  <r>
    <n v="44"/>
    <x v="1"/>
    <s v="Travel_Rarely"/>
    <n v="625"/>
    <x v="1"/>
    <n v="4"/>
    <n v="3"/>
    <s v="Medical"/>
    <n v="1"/>
    <n v="852"/>
    <n v="4"/>
    <x v="1"/>
    <n v="50"/>
    <n v="3"/>
    <n v="2"/>
    <x v="4"/>
    <n v="2"/>
    <s v="Single"/>
    <n v="5933"/>
    <n v="5197"/>
    <n v="9"/>
    <s v="Y"/>
    <x v="1"/>
    <n v="12"/>
    <n v="3"/>
    <n v="4"/>
    <n v="80"/>
    <n v="0"/>
    <n v="10"/>
    <n v="2"/>
    <n v="2"/>
    <n v="5"/>
    <n v="2"/>
    <n v="2"/>
    <n v="3"/>
    <x v="0"/>
    <x v="0"/>
    <n v="0"/>
    <n v="0"/>
    <x v="3"/>
    <x v="0"/>
    <n v="49"/>
  </r>
  <r>
    <n v="25"/>
    <x v="1"/>
    <s v="Travel_Rarely"/>
    <n v="180"/>
    <x v="1"/>
    <n v="2"/>
    <n v="1"/>
    <s v="Medical"/>
    <n v="1"/>
    <n v="854"/>
    <n v="1"/>
    <x v="1"/>
    <n v="65"/>
    <n v="4"/>
    <n v="1"/>
    <x v="1"/>
    <n v="1"/>
    <s v="Single"/>
    <n v="3424"/>
    <n v="21632"/>
    <n v="7"/>
    <s v="Y"/>
    <x v="1"/>
    <n v="13"/>
    <n v="3"/>
    <n v="3"/>
    <n v="80"/>
    <n v="0"/>
    <n v="6"/>
    <n v="3"/>
    <n v="2"/>
    <n v="4"/>
    <n v="3"/>
    <n v="0"/>
    <n v="1"/>
    <x v="2"/>
    <x v="1"/>
    <n v="0"/>
    <n v="0"/>
    <x v="1"/>
    <x v="1"/>
    <n v="75"/>
  </r>
  <r>
    <n v="33"/>
    <x v="1"/>
    <s v="Travel_Rarely"/>
    <n v="586"/>
    <x v="0"/>
    <n v="1"/>
    <n v="3"/>
    <s v="Medical"/>
    <n v="1"/>
    <n v="855"/>
    <n v="1"/>
    <x v="1"/>
    <n v="48"/>
    <n v="4"/>
    <n v="2"/>
    <x v="0"/>
    <n v="1"/>
    <s v="Divorced"/>
    <n v="4037"/>
    <n v="21816"/>
    <n v="1"/>
    <s v="Y"/>
    <x v="1"/>
    <n v="22"/>
    <n v="4"/>
    <n v="1"/>
    <n v="80"/>
    <n v="1"/>
    <n v="9"/>
    <n v="5"/>
    <n v="3"/>
    <n v="9"/>
    <n v="8"/>
    <n v="0"/>
    <n v="8"/>
    <x v="1"/>
    <x v="1"/>
    <n v="0"/>
    <n v="0"/>
    <x v="3"/>
    <x v="1"/>
    <n v="58"/>
  </r>
  <r>
    <n v="35"/>
    <x v="1"/>
    <s v="Travel_Rarely"/>
    <n v="1343"/>
    <x v="1"/>
    <n v="27"/>
    <n v="1"/>
    <s v="Medical"/>
    <n v="1"/>
    <n v="856"/>
    <n v="3"/>
    <x v="0"/>
    <n v="53"/>
    <n v="2"/>
    <n v="1"/>
    <x v="1"/>
    <n v="1"/>
    <s v="Single"/>
    <n v="2559"/>
    <n v="17852"/>
    <n v="1"/>
    <s v="Y"/>
    <x v="1"/>
    <n v="11"/>
    <n v="3"/>
    <n v="4"/>
    <n v="80"/>
    <n v="0"/>
    <n v="6"/>
    <n v="3"/>
    <n v="2"/>
    <n v="6"/>
    <n v="5"/>
    <n v="1"/>
    <n v="1"/>
    <x v="1"/>
    <x v="1"/>
    <n v="0"/>
    <n v="0"/>
    <x v="1"/>
    <x v="1"/>
    <n v="58"/>
  </r>
  <r>
    <n v="36"/>
    <x v="1"/>
    <s v="Travel_Rarely"/>
    <n v="928"/>
    <x v="0"/>
    <n v="1"/>
    <n v="2"/>
    <s v="Life Sciences"/>
    <n v="1"/>
    <n v="857"/>
    <n v="2"/>
    <x v="1"/>
    <n v="56"/>
    <n v="3"/>
    <n v="2"/>
    <x v="0"/>
    <n v="4"/>
    <s v="Married"/>
    <n v="6201"/>
    <n v="2823"/>
    <n v="1"/>
    <s v="Y"/>
    <x v="0"/>
    <n v="14"/>
    <n v="3"/>
    <n v="4"/>
    <n v="80"/>
    <n v="1"/>
    <n v="18"/>
    <n v="1"/>
    <n v="2"/>
    <n v="18"/>
    <n v="14"/>
    <n v="4"/>
    <n v="11"/>
    <x v="1"/>
    <x v="0"/>
    <n v="0"/>
    <n v="1"/>
    <x v="0"/>
    <x v="1"/>
    <n v="59"/>
  </r>
  <r>
    <n v="32"/>
    <x v="1"/>
    <s v="Travel_Rarely"/>
    <n v="117"/>
    <x v="0"/>
    <n v="13"/>
    <n v="4"/>
    <s v="Life Sciences"/>
    <n v="1"/>
    <n v="859"/>
    <n v="2"/>
    <x v="1"/>
    <n v="73"/>
    <n v="3"/>
    <n v="2"/>
    <x v="0"/>
    <n v="4"/>
    <s v="Divorced"/>
    <n v="4403"/>
    <n v="9250"/>
    <n v="2"/>
    <s v="Y"/>
    <x v="1"/>
    <n v="11"/>
    <n v="3"/>
    <n v="3"/>
    <n v="80"/>
    <n v="1"/>
    <n v="8"/>
    <n v="3"/>
    <n v="2"/>
    <n v="5"/>
    <n v="2"/>
    <n v="0"/>
    <n v="3"/>
    <x v="1"/>
    <x v="1"/>
    <n v="0"/>
    <n v="0"/>
    <x v="2"/>
    <x v="0"/>
    <n v="46"/>
  </r>
  <r>
    <n v="30"/>
    <x v="1"/>
    <s v="Travel_Frequently"/>
    <n v="1012"/>
    <x v="1"/>
    <n v="5"/>
    <n v="4"/>
    <s v="Life Sciences"/>
    <n v="1"/>
    <n v="861"/>
    <n v="2"/>
    <x v="1"/>
    <n v="75"/>
    <n v="2"/>
    <n v="1"/>
    <x v="1"/>
    <n v="4"/>
    <s v="Divorced"/>
    <n v="3761"/>
    <n v="2373"/>
    <n v="9"/>
    <s v="Y"/>
    <x v="1"/>
    <n v="12"/>
    <n v="3"/>
    <n v="2"/>
    <n v="80"/>
    <n v="1"/>
    <n v="10"/>
    <n v="3"/>
    <n v="2"/>
    <n v="5"/>
    <n v="4"/>
    <n v="0"/>
    <n v="3"/>
    <x v="1"/>
    <x v="1"/>
    <n v="0"/>
    <n v="0"/>
    <x v="2"/>
    <x v="0"/>
    <n v="46"/>
  </r>
  <r>
    <n v="53"/>
    <x v="1"/>
    <s v="Travel_Rarely"/>
    <n v="661"/>
    <x v="0"/>
    <n v="7"/>
    <n v="2"/>
    <s v="Marketing"/>
    <n v="1"/>
    <n v="862"/>
    <n v="1"/>
    <x v="0"/>
    <n v="78"/>
    <n v="2"/>
    <n v="3"/>
    <x v="0"/>
    <n v="4"/>
    <s v="Married"/>
    <n v="10934"/>
    <n v="20715"/>
    <n v="7"/>
    <s v="Y"/>
    <x v="0"/>
    <n v="18"/>
    <n v="3"/>
    <n v="4"/>
    <n v="80"/>
    <n v="1"/>
    <n v="35"/>
    <n v="3"/>
    <n v="3"/>
    <n v="5"/>
    <n v="2"/>
    <n v="0"/>
    <n v="4"/>
    <x v="3"/>
    <x v="0"/>
    <n v="0"/>
    <n v="1"/>
    <x v="0"/>
    <x v="1"/>
    <n v="66"/>
  </r>
  <r>
    <n v="45"/>
    <x v="1"/>
    <s v="Travel_Rarely"/>
    <n v="930"/>
    <x v="0"/>
    <n v="9"/>
    <n v="3"/>
    <s v="Marketing"/>
    <n v="1"/>
    <n v="864"/>
    <n v="4"/>
    <x v="1"/>
    <n v="74"/>
    <n v="3"/>
    <n v="3"/>
    <x v="0"/>
    <n v="1"/>
    <s v="Divorced"/>
    <n v="10761"/>
    <n v="19239"/>
    <n v="4"/>
    <s v="Y"/>
    <x v="0"/>
    <n v="12"/>
    <n v="3"/>
    <n v="3"/>
    <n v="80"/>
    <n v="1"/>
    <n v="18"/>
    <n v="2"/>
    <n v="3"/>
    <n v="5"/>
    <n v="4"/>
    <n v="0"/>
    <n v="2"/>
    <x v="0"/>
    <x v="0"/>
    <n v="0"/>
    <n v="1"/>
    <x v="3"/>
    <x v="1"/>
    <n v="80"/>
  </r>
  <r>
    <n v="32"/>
    <x v="1"/>
    <s v="Travel_Rarely"/>
    <n v="638"/>
    <x v="1"/>
    <n v="8"/>
    <n v="2"/>
    <s v="Medical"/>
    <n v="1"/>
    <n v="865"/>
    <n v="3"/>
    <x v="0"/>
    <n v="91"/>
    <n v="4"/>
    <n v="2"/>
    <x v="1"/>
    <n v="3"/>
    <s v="Married"/>
    <n v="5175"/>
    <n v="22162"/>
    <n v="5"/>
    <s v="Y"/>
    <x v="1"/>
    <n v="12"/>
    <n v="3"/>
    <n v="3"/>
    <n v="80"/>
    <n v="1"/>
    <n v="9"/>
    <n v="3"/>
    <n v="2"/>
    <n v="5"/>
    <n v="3"/>
    <n v="1"/>
    <n v="3"/>
    <x v="1"/>
    <x v="0"/>
    <n v="0"/>
    <n v="0"/>
    <x v="0"/>
    <x v="0"/>
    <n v="53"/>
  </r>
  <r>
    <n v="52"/>
    <x v="1"/>
    <s v="Travel_Frequently"/>
    <n v="890"/>
    <x v="1"/>
    <n v="25"/>
    <n v="4"/>
    <s v="Medical"/>
    <n v="1"/>
    <n v="867"/>
    <n v="3"/>
    <x v="0"/>
    <n v="81"/>
    <n v="2"/>
    <n v="4"/>
    <x v="3"/>
    <n v="4"/>
    <s v="Married"/>
    <n v="13826"/>
    <n v="19028"/>
    <n v="3"/>
    <s v="Y"/>
    <x v="1"/>
    <n v="22"/>
    <n v="4"/>
    <n v="3"/>
    <n v="80"/>
    <n v="0"/>
    <n v="31"/>
    <n v="3"/>
    <n v="3"/>
    <n v="9"/>
    <n v="8"/>
    <n v="0"/>
    <n v="0"/>
    <x v="3"/>
    <x v="0"/>
    <n v="0"/>
    <n v="0"/>
    <x v="2"/>
    <x v="2"/>
    <n v="34"/>
  </r>
  <r>
    <n v="37"/>
    <x v="1"/>
    <s v="Travel_Rarely"/>
    <n v="342"/>
    <x v="0"/>
    <n v="16"/>
    <n v="4"/>
    <s v="Marketing"/>
    <n v="1"/>
    <n v="868"/>
    <n v="4"/>
    <x v="1"/>
    <n v="66"/>
    <n v="2"/>
    <n v="2"/>
    <x v="0"/>
    <n v="3"/>
    <s v="Divorced"/>
    <n v="6334"/>
    <n v="24558"/>
    <n v="4"/>
    <s v="Y"/>
    <x v="1"/>
    <n v="19"/>
    <n v="3"/>
    <n v="4"/>
    <n v="80"/>
    <n v="2"/>
    <n v="9"/>
    <n v="2"/>
    <n v="3"/>
    <n v="1"/>
    <n v="0"/>
    <n v="0"/>
    <n v="0"/>
    <x v="1"/>
    <x v="0"/>
    <n v="0"/>
    <n v="0"/>
    <x v="2"/>
    <x v="1"/>
    <n v="63"/>
  </r>
  <r>
    <n v="28"/>
    <x v="1"/>
    <s v="Travel_Rarely"/>
    <n v="1169"/>
    <x v="2"/>
    <n v="8"/>
    <n v="2"/>
    <s v="Medical"/>
    <n v="1"/>
    <n v="869"/>
    <n v="2"/>
    <x v="1"/>
    <n v="63"/>
    <n v="2"/>
    <n v="1"/>
    <x v="8"/>
    <n v="4"/>
    <s v="Divorced"/>
    <n v="4936"/>
    <n v="23965"/>
    <n v="1"/>
    <s v="Y"/>
    <x v="1"/>
    <n v="13"/>
    <n v="3"/>
    <n v="4"/>
    <n v="80"/>
    <n v="1"/>
    <n v="6"/>
    <n v="6"/>
    <n v="3"/>
    <n v="5"/>
    <n v="1"/>
    <n v="0"/>
    <n v="4"/>
    <x v="2"/>
    <x v="1"/>
    <n v="0"/>
    <n v="0"/>
    <x v="0"/>
    <x v="1"/>
    <n v="56"/>
  </r>
  <r>
    <n v="22"/>
    <x v="1"/>
    <s v="Travel_Rarely"/>
    <n v="1230"/>
    <x v="1"/>
    <n v="1"/>
    <n v="2"/>
    <s v="Life Sciences"/>
    <n v="1"/>
    <n v="872"/>
    <n v="4"/>
    <x v="1"/>
    <n v="33"/>
    <n v="2"/>
    <n v="2"/>
    <x v="3"/>
    <n v="4"/>
    <s v="Married"/>
    <n v="4775"/>
    <n v="19146"/>
    <n v="6"/>
    <s v="Y"/>
    <x v="1"/>
    <n v="22"/>
    <n v="4"/>
    <n v="1"/>
    <n v="80"/>
    <n v="2"/>
    <n v="4"/>
    <n v="2"/>
    <n v="1"/>
    <n v="2"/>
    <n v="2"/>
    <n v="2"/>
    <n v="2"/>
    <x v="2"/>
    <x v="1"/>
    <n v="0"/>
    <n v="0"/>
    <x v="0"/>
    <x v="1"/>
    <n v="66"/>
  </r>
  <r>
    <n v="44"/>
    <x v="1"/>
    <s v="Travel_Rarely"/>
    <n v="986"/>
    <x v="1"/>
    <n v="8"/>
    <n v="4"/>
    <s v="Life Sciences"/>
    <n v="1"/>
    <n v="874"/>
    <n v="1"/>
    <x v="1"/>
    <n v="62"/>
    <n v="4"/>
    <n v="1"/>
    <x v="2"/>
    <n v="4"/>
    <s v="Married"/>
    <n v="2818"/>
    <n v="5044"/>
    <n v="2"/>
    <s v="Y"/>
    <x v="0"/>
    <n v="24"/>
    <n v="4"/>
    <n v="3"/>
    <n v="80"/>
    <n v="1"/>
    <n v="10"/>
    <n v="2"/>
    <n v="2"/>
    <n v="3"/>
    <n v="2"/>
    <n v="0"/>
    <n v="2"/>
    <x v="0"/>
    <x v="1"/>
    <n v="0"/>
    <n v="1"/>
    <x v="2"/>
    <x v="1"/>
    <n v="61"/>
  </r>
  <r>
    <n v="42"/>
    <x v="1"/>
    <s v="Travel_Frequently"/>
    <n v="1271"/>
    <x v="1"/>
    <n v="2"/>
    <n v="1"/>
    <s v="Medical"/>
    <n v="1"/>
    <n v="875"/>
    <n v="2"/>
    <x v="1"/>
    <n v="35"/>
    <n v="3"/>
    <n v="1"/>
    <x v="1"/>
    <n v="4"/>
    <s v="Single"/>
    <n v="2515"/>
    <n v="9068"/>
    <n v="5"/>
    <s v="Y"/>
    <x v="0"/>
    <n v="14"/>
    <n v="3"/>
    <n v="4"/>
    <n v="80"/>
    <n v="0"/>
    <n v="8"/>
    <n v="2"/>
    <n v="3"/>
    <n v="2"/>
    <n v="1"/>
    <n v="2"/>
    <n v="2"/>
    <x v="0"/>
    <x v="1"/>
    <n v="0"/>
    <n v="1"/>
    <x v="1"/>
    <x v="1"/>
    <n v="71"/>
  </r>
  <r>
    <n v="36"/>
    <x v="1"/>
    <s v="Travel_Rarely"/>
    <n v="1278"/>
    <x v="2"/>
    <n v="8"/>
    <n v="3"/>
    <s v="Life Sciences"/>
    <n v="1"/>
    <n v="878"/>
    <n v="1"/>
    <x v="1"/>
    <n v="77"/>
    <n v="2"/>
    <n v="1"/>
    <x v="8"/>
    <n v="1"/>
    <s v="Married"/>
    <n v="2342"/>
    <n v="8635"/>
    <n v="0"/>
    <s v="Y"/>
    <x v="1"/>
    <n v="21"/>
    <n v="4"/>
    <n v="3"/>
    <n v="80"/>
    <n v="0"/>
    <n v="6"/>
    <n v="3"/>
    <n v="3"/>
    <n v="5"/>
    <n v="4"/>
    <n v="0"/>
    <n v="3"/>
    <x v="1"/>
    <x v="1"/>
    <n v="0"/>
    <n v="0"/>
    <x v="3"/>
    <x v="1"/>
    <n v="65"/>
  </r>
  <r>
    <n v="25"/>
    <x v="1"/>
    <s v="Travel_Rarely"/>
    <n v="141"/>
    <x v="0"/>
    <n v="3"/>
    <n v="1"/>
    <s v="Other"/>
    <n v="1"/>
    <n v="879"/>
    <n v="3"/>
    <x v="1"/>
    <n v="98"/>
    <n v="3"/>
    <n v="2"/>
    <x v="0"/>
    <n v="1"/>
    <s v="Married"/>
    <n v="4194"/>
    <n v="14363"/>
    <n v="1"/>
    <s v="Y"/>
    <x v="0"/>
    <n v="18"/>
    <n v="3"/>
    <n v="4"/>
    <n v="80"/>
    <n v="0"/>
    <n v="5"/>
    <n v="3"/>
    <n v="3"/>
    <n v="5"/>
    <n v="3"/>
    <n v="0"/>
    <n v="3"/>
    <x v="2"/>
    <x v="1"/>
    <n v="0"/>
    <n v="1"/>
    <x v="1"/>
    <x v="1"/>
    <n v="100"/>
  </r>
  <r>
    <n v="35"/>
    <x v="1"/>
    <s v="Travel_Rarely"/>
    <n v="607"/>
    <x v="1"/>
    <n v="9"/>
    <n v="3"/>
    <s v="Life Sciences"/>
    <n v="1"/>
    <n v="880"/>
    <n v="4"/>
    <x v="0"/>
    <n v="66"/>
    <n v="2"/>
    <n v="3"/>
    <x v="3"/>
    <n v="3"/>
    <s v="Married"/>
    <n v="10685"/>
    <n v="23457"/>
    <n v="1"/>
    <s v="Y"/>
    <x v="0"/>
    <n v="20"/>
    <n v="4"/>
    <n v="2"/>
    <n v="80"/>
    <n v="1"/>
    <n v="17"/>
    <n v="2"/>
    <n v="3"/>
    <n v="17"/>
    <n v="14"/>
    <n v="5"/>
    <n v="15"/>
    <x v="1"/>
    <x v="0"/>
    <n v="0"/>
    <n v="1"/>
    <x v="3"/>
    <x v="1"/>
    <n v="66"/>
  </r>
  <r>
    <n v="35"/>
    <x v="0"/>
    <s v="Travel_Frequently"/>
    <n v="130"/>
    <x v="1"/>
    <n v="25"/>
    <n v="4"/>
    <s v="Life Sciences"/>
    <n v="1"/>
    <n v="881"/>
    <n v="4"/>
    <x v="0"/>
    <n v="96"/>
    <n v="3"/>
    <n v="1"/>
    <x v="1"/>
    <n v="2"/>
    <s v="Divorced"/>
    <n v="2022"/>
    <n v="16612"/>
    <n v="1"/>
    <s v="Y"/>
    <x v="0"/>
    <n v="19"/>
    <n v="3"/>
    <n v="1"/>
    <n v="80"/>
    <n v="1"/>
    <n v="10"/>
    <n v="3"/>
    <n v="2"/>
    <n v="10"/>
    <n v="2"/>
    <n v="7"/>
    <n v="8"/>
    <x v="1"/>
    <x v="1"/>
    <n v="1"/>
    <n v="1"/>
    <x v="2"/>
    <x v="1"/>
    <n v="77"/>
  </r>
  <r>
    <n v="32"/>
    <x v="1"/>
    <s v="Non-Travel"/>
    <n v="300"/>
    <x v="1"/>
    <n v="1"/>
    <n v="3"/>
    <s v="Life Sciences"/>
    <n v="1"/>
    <n v="882"/>
    <n v="4"/>
    <x v="1"/>
    <n v="61"/>
    <n v="3"/>
    <n v="1"/>
    <x v="2"/>
    <n v="4"/>
    <s v="Divorced"/>
    <n v="2314"/>
    <n v="9148"/>
    <n v="0"/>
    <s v="Y"/>
    <x v="1"/>
    <n v="12"/>
    <n v="3"/>
    <n v="2"/>
    <n v="80"/>
    <n v="1"/>
    <n v="4"/>
    <n v="2"/>
    <n v="3"/>
    <n v="3"/>
    <n v="0"/>
    <n v="0"/>
    <n v="2"/>
    <x v="1"/>
    <x v="1"/>
    <n v="0"/>
    <n v="0"/>
    <x v="3"/>
    <x v="0"/>
    <n v="46"/>
  </r>
  <r>
    <n v="25"/>
    <x v="1"/>
    <s v="Travel_Rarely"/>
    <n v="583"/>
    <x v="0"/>
    <n v="4"/>
    <n v="1"/>
    <s v="Marketing"/>
    <n v="1"/>
    <n v="885"/>
    <n v="3"/>
    <x v="1"/>
    <n v="87"/>
    <n v="2"/>
    <n v="2"/>
    <x v="0"/>
    <n v="1"/>
    <s v="Married"/>
    <n v="4256"/>
    <n v="18154"/>
    <n v="1"/>
    <s v="Y"/>
    <x v="1"/>
    <n v="12"/>
    <n v="3"/>
    <n v="1"/>
    <n v="80"/>
    <n v="0"/>
    <n v="5"/>
    <n v="1"/>
    <n v="4"/>
    <n v="5"/>
    <n v="2"/>
    <n v="0"/>
    <n v="3"/>
    <x v="2"/>
    <x v="1"/>
    <n v="0"/>
    <n v="0"/>
    <x v="1"/>
    <x v="1"/>
    <n v="75"/>
  </r>
  <r>
    <n v="49"/>
    <x v="1"/>
    <s v="Travel_Rarely"/>
    <n v="1418"/>
    <x v="1"/>
    <n v="1"/>
    <n v="3"/>
    <s v="Technical Degree"/>
    <n v="1"/>
    <n v="887"/>
    <n v="3"/>
    <x v="0"/>
    <n v="36"/>
    <n v="3"/>
    <n v="1"/>
    <x v="1"/>
    <n v="1"/>
    <s v="Married"/>
    <n v="3580"/>
    <n v="10554"/>
    <n v="2"/>
    <s v="Y"/>
    <x v="1"/>
    <n v="16"/>
    <n v="3"/>
    <n v="2"/>
    <n v="80"/>
    <n v="1"/>
    <n v="7"/>
    <n v="2"/>
    <n v="3"/>
    <n v="4"/>
    <n v="2"/>
    <n v="0"/>
    <n v="2"/>
    <x v="0"/>
    <x v="1"/>
    <n v="0"/>
    <n v="0"/>
    <x v="3"/>
    <x v="1"/>
    <n v="55"/>
  </r>
  <r>
    <n v="24"/>
    <x v="1"/>
    <s v="Non-Travel"/>
    <n v="1269"/>
    <x v="1"/>
    <n v="4"/>
    <n v="1"/>
    <s v="Life Sciences"/>
    <n v="1"/>
    <n v="888"/>
    <n v="1"/>
    <x v="1"/>
    <n v="46"/>
    <n v="2"/>
    <n v="1"/>
    <x v="2"/>
    <n v="4"/>
    <s v="Married"/>
    <n v="3162"/>
    <n v="10778"/>
    <n v="0"/>
    <s v="Y"/>
    <x v="1"/>
    <n v="17"/>
    <n v="3"/>
    <n v="4"/>
    <n v="80"/>
    <n v="0"/>
    <n v="6"/>
    <n v="2"/>
    <n v="2"/>
    <n v="5"/>
    <n v="2"/>
    <n v="3"/>
    <n v="4"/>
    <x v="2"/>
    <x v="1"/>
    <n v="0"/>
    <n v="0"/>
    <x v="1"/>
    <x v="1"/>
    <n v="56"/>
  </r>
  <r>
    <n v="32"/>
    <x v="1"/>
    <s v="Travel_Frequently"/>
    <n v="379"/>
    <x v="0"/>
    <n v="5"/>
    <n v="2"/>
    <s v="Life Sciences"/>
    <n v="1"/>
    <n v="889"/>
    <n v="2"/>
    <x v="1"/>
    <n v="48"/>
    <n v="3"/>
    <n v="2"/>
    <x v="0"/>
    <n v="2"/>
    <s v="Married"/>
    <n v="6524"/>
    <n v="8891"/>
    <n v="1"/>
    <s v="Y"/>
    <x v="1"/>
    <n v="14"/>
    <n v="3"/>
    <n v="4"/>
    <n v="80"/>
    <n v="1"/>
    <n v="10"/>
    <n v="3"/>
    <n v="3"/>
    <n v="10"/>
    <n v="8"/>
    <n v="5"/>
    <n v="3"/>
    <x v="1"/>
    <x v="0"/>
    <n v="0"/>
    <n v="0"/>
    <x v="0"/>
    <x v="0"/>
    <n v="52"/>
  </r>
  <r>
    <n v="38"/>
    <x v="1"/>
    <s v="Travel_Rarely"/>
    <n v="395"/>
    <x v="0"/>
    <n v="9"/>
    <n v="3"/>
    <s v="Marketing"/>
    <n v="1"/>
    <n v="893"/>
    <n v="2"/>
    <x v="1"/>
    <n v="98"/>
    <n v="2"/>
    <n v="1"/>
    <x v="6"/>
    <n v="2"/>
    <s v="Married"/>
    <n v="2899"/>
    <n v="12102"/>
    <n v="0"/>
    <s v="Y"/>
    <x v="1"/>
    <n v="19"/>
    <n v="3"/>
    <n v="4"/>
    <n v="80"/>
    <n v="1"/>
    <n v="3"/>
    <n v="3"/>
    <n v="3"/>
    <n v="2"/>
    <n v="2"/>
    <n v="1"/>
    <n v="2"/>
    <x v="1"/>
    <x v="1"/>
    <n v="0"/>
    <n v="0"/>
    <x v="3"/>
    <x v="1"/>
    <n v="69"/>
  </r>
  <r>
    <n v="42"/>
    <x v="1"/>
    <s v="Travel_Rarely"/>
    <n v="1265"/>
    <x v="1"/>
    <n v="3"/>
    <n v="3"/>
    <s v="Life Sciences"/>
    <n v="1"/>
    <n v="894"/>
    <n v="3"/>
    <x v="0"/>
    <n v="95"/>
    <n v="4"/>
    <n v="2"/>
    <x v="2"/>
    <n v="4"/>
    <s v="Married"/>
    <n v="5231"/>
    <n v="23726"/>
    <n v="2"/>
    <s v="Y"/>
    <x v="0"/>
    <n v="13"/>
    <n v="3"/>
    <n v="2"/>
    <n v="80"/>
    <n v="1"/>
    <n v="17"/>
    <n v="1"/>
    <n v="2"/>
    <n v="5"/>
    <n v="3"/>
    <n v="1"/>
    <n v="3"/>
    <x v="0"/>
    <x v="0"/>
    <n v="0"/>
    <n v="1"/>
    <x v="3"/>
    <x v="1"/>
    <n v="61"/>
  </r>
  <r>
    <n v="31"/>
    <x v="1"/>
    <s v="Travel_Rarely"/>
    <n v="1222"/>
    <x v="1"/>
    <n v="11"/>
    <n v="4"/>
    <s v="Life Sciences"/>
    <n v="1"/>
    <n v="895"/>
    <n v="4"/>
    <x v="1"/>
    <n v="48"/>
    <n v="3"/>
    <n v="1"/>
    <x v="1"/>
    <n v="4"/>
    <s v="Married"/>
    <n v="2356"/>
    <n v="14871"/>
    <n v="3"/>
    <s v="Y"/>
    <x v="0"/>
    <n v="19"/>
    <n v="3"/>
    <n v="2"/>
    <n v="80"/>
    <n v="1"/>
    <n v="8"/>
    <n v="2"/>
    <n v="3"/>
    <n v="6"/>
    <n v="4"/>
    <n v="0"/>
    <n v="2"/>
    <x v="1"/>
    <x v="1"/>
    <n v="0"/>
    <n v="1"/>
    <x v="2"/>
    <x v="1"/>
    <n v="64"/>
  </r>
  <r>
    <n v="29"/>
    <x v="0"/>
    <s v="Travel_Rarely"/>
    <n v="341"/>
    <x v="0"/>
    <n v="1"/>
    <n v="3"/>
    <s v="Medical"/>
    <n v="1"/>
    <n v="896"/>
    <n v="2"/>
    <x v="0"/>
    <n v="48"/>
    <n v="2"/>
    <n v="1"/>
    <x v="6"/>
    <n v="3"/>
    <s v="Divorced"/>
    <n v="2800"/>
    <n v="23522"/>
    <n v="6"/>
    <s v="Y"/>
    <x v="0"/>
    <n v="19"/>
    <n v="3"/>
    <n v="3"/>
    <n v="80"/>
    <n v="3"/>
    <n v="5"/>
    <n v="3"/>
    <n v="3"/>
    <n v="3"/>
    <n v="2"/>
    <n v="0"/>
    <n v="2"/>
    <x v="2"/>
    <x v="1"/>
    <n v="1"/>
    <n v="1"/>
    <x v="3"/>
    <x v="1"/>
    <n v="88"/>
  </r>
  <r>
    <n v="53"/>
    <x v="1"/>
    <s v="Travel_Rarely"/>
    <n v="868"/>
    <x v="0"/>
    <n v="8"/>
    <n v="3"/>
    <s v="Marketing"/>
    <n v="1"/>
    <n v="897"/>
    <n v="1"/>
    <x v="1"/>
    <n v="73"/>
    <n v="3"/>
    <n v="4"/>
    <x v="0"/>
    <n v="4"/>
    <s v="Married"/>
    <n v="11836"/>
    <n v="22789"/>
    <n v="5"/>
    <s v="Y"/>
    <x v="1"/>
    <n v="14"/>
    <n v="3"/>
    <n v="3"/>
    <n v="80"/>
    <n v="1"/>
    <n v="28"/>
    <n v="3"/>
    <n v="3"/>
    <n v="2"/>
    <n v="0"/>
    <n v="2"/>
    <n v="2"/>
    <x v="3"/>
    <x v="0"/>
    <n v="0"/>
    <n v="0"/>
    <x v="3"/>
    <x v="0"/>
    <n v="51"/>
  </r>
  <r>
    <n v="35"/>
    <x v="1"/>
    <s v="Travel_Rarely"/>
    <n v="672"/>
    <x v="1"/>
    <n v="25"/>
    <n v="3"/>
    <s v="Technical Degree"/>
    <n v="1"/>
    <n v="899"/>
    <n v="4"/>
    <x v="1"/>
    <n v="78"/>
    <n v="2"/>
    <n v="3"/>
    <x v="3"/>
    <n v="2"/>
    <s v="Married"/>
    <n v="10903"/>
    <n v="9129"/>
    <n v="3"/>
    <s v="Y"/>
    <x v="1"/>
    <n v="16"/>
    <n v="3"/>
    <n v="1"/>
    <n v="80"/>
    <n v="0"/>
    <n v="16"/>
    <n v="2"/>
    <n v="3"/>
    <n v="13"/>
    <n v="10"/>
    <n v="4"/>
    <n v="8"/>
    <x v="1"/>
    <x v="0"/>
    <n v="0"/>
    <n v="0"/>
    <x v="3"/>
    <x v="0"/>
    <n v="47"/>
  </r>
  <r>
    <n v="37"/>
    <x v="1"/>
    <s v="Travel_Frequently"/>
    <n v="1231"/>
    <x v="0"/>
    <n v="21"/>
    <n v="2"/>
    <s v="Medical"/>
    <n v="1"/>
    <n v="900"/>
    <n v="3"/>
    <x v="0"/>
    <n v="54"/>
    <n v="3"/>
    <n v="1"/>
    <x v="6"/>
    <n v="4"/>
    <s v="Married"/>
    <n v="2973"/>
    <n v="21222"/>
    <n v="5"/>
    <s v="Y"/>
    <x v="1"/>
    <n v="15"/>
    <n v="3"/>
    <n v="2"/>
    <n v="80"/>
    <n v="1"/>
    <n v="10"/>
    <n v="3"/>
    <n v="3"/>
    <n v="5"/>
    <n v="4"/>
    <n v="0"/>
    <n v="0"/>
    <x v="1"/>
    <x v="1"/>
    <n v="0"/>
    <n v="0"/>
    <x v="0"/>
    <x v="0"/>
    <n v="46"/>
  </r>
  <r>
    <n v="53"/>
    <x v="1"/>
    <s v="Travel_Rarely"/>
    <n v="102"/>
    <x v="1"/>
    <n v="23"/>
    <n v="4"/>
    <s v="Life Sciences"/>
    <n v="1"/>
    <n v="901"/>
    <n v="4"/>
    <x v="0"/>
    <n v="72"/>
    <n v="3"/>
    <n v="4"/>
    <x v="7"/>
    <n v="4"/>
    <s v="Single"/>
    <n v="14275"/>
    <n v="20206"/>
    <n v="6"/>
    <s v="Y"/>
    <x v="1"/>
    <n v="18"/>
    <n v="3"/>
    <n v="3"/>
    <n v="80"/>
    <n v="0"/>
    <n v="33"/>
    <n v="0"/>
    <n v="3"/>
    <n v="12"/>
    <n v="9"/>
    <n v="3"/>
    <n v="8"/>
    <x v="3"/>
    <x v="0"/>
    <n v="0"/>
    <n v="0"/>
    <x v="2"/>
    <x v="2"/>
    <n v="29"/>
  </r>
  <r>
    <n v="43"/>
    <x v="1"/>
    <s v="Travel_Frequently"/>
    <n v="422"/>
    <x v="1"/>
    <n v="1"/>
    <n v="3"/>
    <s v="Life Sciences"/>
    <n v="1"/>
    <n v="902"/>
    <n v="4"/>
    <x v="0"/>
    <n v="33"/>
    <n v="3"/>
    <n v="2"/>
    <x v="4"/>
    <n v="4"/>
    <s v="Married"/>
    <n v="5562"/>
    <n v="21782"/>
    <n v="4"/>
    <s v="Y"/>
    <x v="1"/>
    <n v="13"/>
    <n v="3"/>
    <n v="2"/>
    <n v="80"/>
    <n v="1"/>
    <n v="12"/>
    <n v="2"/>
    <n v="2"/>
    <n v="5"/>
    <n v="2"/>
    <n v="2"/>
    <n v="2"/>
    <x v="0"/>
    <x v="0"/>
    <n v="0"/>
    <n v="0"/>
    <x v="3"/>
    <x v="0"/>
    <n v="36"/>
  </r>
  <r>
    <n v="47"/>
    <x v="1"/>
    <s v="Travel_Rarely"/>
    <n v="249"/>
    <x v="0"/>
    <n v="2"/>
    <n v="2"/>
    <s v="Marketing"/>
    <n v="1"/>
    <n v="903"/>
    <n v="3"/>
    <x v="0"/>
    <n v="35"/>
    <n v="3"/>
    <n v="2"/>
    <x v="0"/>
    <n v="4"/>
    <s v="Married"/>
    <n v="4537"/>
    <n v="17783"/>
    <n v="0"/>
    <s v="Y"/>
    <x v="0"/>
    <n v="22"/>
    <n v="4"/>
    <n v="1"/>
    <n v="80"/>
    <n v="1"/>
    <n v="8"/>
    <n v="2"/>
    <n v="3"/>
    <n v="7"/>
    <n v="6"/>
    <n v="7"/>
    <n v="7"/>
    <x v="0"/>
    <x v="1"/>
    <n v="0"/>
    <n v="1"/>
    <x v="0"/>
    <x v="0"/>
    <n v="54"/>
  </r>
  <r>
    <n v="37"/>
    <x v="1"/>
    <s v="Non-Travel"/>
    <n v="1252"/>
    <x v="0"/>
    <n v="19"/>
    <n v="2"/>
    <s v="Medical"/>
    <n v="1"/>
    <n v="904"/>
    <n v="1"/>
    <x v="1"/>
    <n v="32"/>
    <n v="3"/>
    <n v="3"/>
    <x v="0"/>
    <n v="2"/>
    <s v="Single"/>
    <n v="7642"/>
    <n v="4814"/>
    <n v="1"/>
    <s v="Y"/>
    <x v="0"/>
    <n v="13"/>
    <n v="3"/>
    <n v="4"/>
    <n v="80"/>
    <n v="0"/>
    <n v="10"/>
    <n v="2"/>
    <n v="3"/>
    <n v="10"/>
    <n v="0"/>
    <n v="0"/>
    <n v="9"/>
    <x v="1"/>
    <x v="0"/>
    <n v="0"/>
    <n v="1"/>
    <x v="0"/>
    <x v="1"/>
    <n v="77"/>
  </r>
  <r>
    <n v="50"/>
    <x v="1"/>
    <s v="Non-Travel"/>
    <n v="881"/>
    <x v="1"/>
    <n v="2"/>
    <n v="4"/>
    <s v="Life Sciences"/>
    <n v="1"/>
    <n v="905"/>
    <n v="1"/>
    <x v="1"/>
    <n v="98"/>
    <n v="3"/>
    <n v="4"/>
    <x v="5"/>
    <n v="1"/>
    <s v="Divorced"/>
    <n v="17924"/>
    <n v="4544"/>
    <n v="1"/>
    <s v="Y"/>
    <x v="1"/>
    <n v="11"/>
    <n v="3"/>
    <n v="4"/>
    <n v="80"/>
    <n v="1"/>
    <n v="31"/>
    <n v="3"/>
    <n v="3"/>
    <n v="31"/>
    <n v="6"/>
    <n v="14"/>
    <n v="7"/>
    <x v="3"/>
    <x v="2"/>
    <n v="0"/>
    <n v="0"/>
    <x v="2"/>
    <x v="0"/>
    <n v="48"/>
  </r>
  <r>
    <n v="39"/>
    <x v="1"/>
    <s v="Travel_Rarely"/>
    <n v="1383"/>
    <x v="2"/>
    <n v="2"/>
    <n v="3"/>
    <s v="Life Sciences"/>
    <n v="1"/>
    <n v="909"/>
    <n v="4"/>
    <x v="0"/>
    <n v="42"/>
    <n v="2"/>
    <n v="2"/>
    <x v="8"/>
    <n v="4"/>
    <s v="Married"/>
    <n v="5204"/>
    <n v="7790"/>
    <n v="8"/>
    <s v="Y"/>
    <x v="1"/>
    <n v="11"/>
    <n v="3"/>
    <n v="3"/>
    <n v="80"/>
    <n v="2"/>
    <n v="13"/>
    <n v="2"/>
    <n v="3"/>
    <n v="5"/>
    <n v="4"/>
    <n v="0"/>
    <n v="4"/>
    <x v="1"/>
    <x v="0"/>
    <n v="0"/>
    <n v="0"/>
    <x v="3"/>
    <x v="0"/>
    <n v="46"/>
  </r>
  <r>
    <n v="33"/>
    <x v="1"/>
    <s v="Travel_Rarely"/>
    <n v="1075"/>
    <x v="2"/>
    <n v="3"/>
    <n v="2"/>
    <s v="Human Resources"/>
    <n v="1"/>
    <n v="910"/>
    <n v="4"/>
    <x v="1"/>
    <n v="57"/>
    <n v="3"/>
    <n v="1"/>
    <x v="8"/>
    <n v="2"/>
    <s v="Divorced"/>
    <n v="2277"/>
    <n v="22650"/>
    <n v="3"/>
    <s v="Y"/>
    <x v="0"/>
    <n v="11"/>
    <n v="3"/>
    <n v="3"/>
    <n v="80"/>
    <n v="1"/>
    <n v="7"/>
    <n v="4"/>
    <n v="4"/>
    <n v="4"/>
    <n v="3"/>
    <n v="0"/>
    <n v="3"/>
    <x v="1"/>
    <x v="1"/>
    <n v="0"/>
    <n v="1"/>
    <x v="0"/>
    <x v="1"/>
    <n v="84"/>
  </r>
  <r>
    <n v="32"/>
    <x v="0"/>
    <s v="Travel_Rarely"/>
    <n v="374"/>
    <x v="1"/>
    <n v="25"/>
    <n v="4"/>
    <s v="Life Sciences"/>
    <n v="1"/>
    <n v="911"/>
    <n v="1"/>
    <x v="1"/>
    <n v="87"/>
    <n v="3"/>
    <n v="1"/>
    <x v="2"/>
    <n v="4"/>
    <s v="Single"/>
    <n v="2795"/>
    <n v="18016"/>
    <n v="1"/>
    <s v="Y"/>
    <x v="0"/>
    <n v="24"/>
    <n v="4"/>
    <n v="3"/>
    <n v="80"/>
    <n v="0"/>
    <n v="1"/>
    <n v="2"/>
    <n v="1"/>
    <n v="1"/>
    <n v="0"/>
    <n v="0"/>
    <n v="1"/>
    <x v="1"/>
    <x v="1"/>
    <n v="1"/>
    <n v="1"/>
    <x v="2"/>
    <x v="1"/>
    <n v="81"/>
  </r>
  <r>
    <n v="29"/>
    <x v="1"/>
    <s v="Travel_Rarely"/>
    <n v="1086"/>
    <x v="1"/>
    <n v="7"/>
    <n v="1"/>
    <s v="Medical"/>
    <n v="1"/>
    <n v="912"/>
    <n v="1"/>
    <x v="0"/>
    <n v="62"/>
    <n v="2"/>
    <n v="1"/>
    <x v="2"/>
    <n v="4"/>
    <s v="Divorced"/>
    <n v="2532"/>
    <n v="6054"/>
    <n v="6"/>
    <s v="Y"/>
    <x v="1"/>
    <n v="14"/>
    <n v="3"/>
    <n v="3"/>
    <n v="80"/>
    <n v="3"/>
    <n v="8"/>
    <n v="5"/>
    <n v="3"/>
    <n v="4"/>
    <n v="3"/>
    <n v="0"/>
    <n v="3"/>
    <x v="2"/>
    <x v="1"/>
    <n v="0"/>
    <n v="0"/>
    <x v="1"/>
    <x v="1"/>
    <n v="56"/>
  </r>
  <r>
    <n v="44"/>
    <x v="1"/>
    <s v="Travel_Rarely"/>
    <n v="661"/>
    <x v="1"/>
    <n v="9"/>
    <n v="2"/>
    <s v="Life Sciences"/>
    <n v="1"/>
    <n v="913"/>
    <n v="2"/>
    <x v="1"/>
    <n v="61"/>
    <n v="3"/>
    <n v="1"/>
    <x v="1"/>
    <n v="1"/>
    <s v="Married"/>
    <n v="2559"/>
    <n v="7508"/>
    <n v="1"/>
    <s v="Y"/>
    <x v="0"/>
    <n v="13"/>
    <n v="3"/>
    <n v="4"/>
    <n v="80"/>
    <n v="0"/>
    <n v="8"/>
    <n v="0"/>
    <n v="3"/>
    <n v="8"/>
    <n v="7"/>
    <n v="7"/>
    <n v="1"/>
    <x v="0"/>
    <x v="1"/>
    <n v="0"/>
    <n v="1"/>
    <x v="0"/>
    <x v="1"/>
    <n v="73"/>
  </r>
  <r>
    <n v="28"/>
    <x v="1"/>
    <s v="Travel_Rarely"/>
    <n v="821"/>
    <x v="0"/>
    <n v="5"/>
    <n v="4"/>
    <s v="Medical"/>
    <n v="1"/>
    <n v="916"/>
    <n v="1"/>
    <x v="1"/>
    <n v="98"/>
    <n v="3"/>
    <n v="2"/>
    <x v="0"/>
    <n v="4"/>
    <s v="Single"/>
    <n v="4908"/>
    <n v="24252"/>
    <n v="1"/>
    <s v="Y"/>
    <x v="1"/>
    <n v="14"/>
    <n v="3"/>
    <n v="2"/>
    <n v="80"/>
    <n v="0"/>
    <n v="4"/>
    <n v="3"/>
    <n v="3"/>
    <n v="4"/>
    <n v="2"/>
    <n v="0"/>
    <n v="2"/>
    <x v="2"/>
    <x v="1"/>
    <n v="0"/>
    <n v="0"/>
    <x v="2"/>
    <x v="1"/>
    <n v="56"/>
  </r>
  <r>
    <n v="58"/>
    <x v="0"/>
    <s v="Travel_Frequently"/>
    <n v="781"/>
    <x v="1"/>
    <n v="2"/>
    <n v="1"/>
    <s v="Life Sciences"/>
    <n v="1"/>
    <n v="918"/>
    <n v="4"/>
    <x v="1"/>
    <n v="57"/>
    <n v="2"/>
    <n v="1"/>
    <x v="2"/>
    <n v="4"/>
    <s v="Divorced"/>
    <n v="2380"/>
    <n v="13384"/>
    <n v="9"/>
    <s v="Y"/>
    <x v="0"/>
    <n v="14"/>
    <n v="3"/>
    <n v="4"/>
    <n v="80"/>
    <n v="1"/>
    <n v="3"/>
    <n v="3"/>
    <n v="2"/>
    <n v="1"/>
    <n v="0"/>
    <n v="0"/>
    <n v="0"/>
    <x v="3"/>
    <x v="1"/>
    <n v="1"/>
    <n v="1"/>
    <x v="1"/>
    <x v="1"/>
    <n v="76"/>
  </r>
  <r>
    <n v="43"/>
    <x v="1"/>
    <s v="Travel_Rarely"/>
    <n v="177"/>
    <x v="1"/>
    <n v="8"/>
    <n v="3"/>
    <s v="Life Sciences"/>
    <n v="1"/>
    <n v="920"/>
    <n v="1"/>
    <x v="0"/>
    <n v="55"/>
    <n v="3"/>
    <n v="2"/>
    <x v="3"/>
    <n v="2"/>
    <s v="Divorced"/>
    <n v="4765"/>
    <n v="23814"/>
    <n v="4"/>
    <s v="Y"/>
    <x v="1"/>
    <n v="21"/>
    <n v="4"/>
    <n v="3"/>
    <n v="80"/>
    <n v="1"/>
    <n v="4"/>
    <n v="2"/>
    <n v="4"/>
    <n v="1"/>
    <n v="0"/>
    <n v="0"/>
    <n v="0"/>
    <x v="0"/>
    <x v="1"/>
    <n v="0"/>
    <n v="0"/>
    <x v="3"/>
    <x v="1"/>
    <n v="59"/>
  </r>
  <r>
    <n v="20"/>
    <x v="0"/>
    <s v="Travel_Rarely"/>
    <n v="500"/>
    <x v="0"/>
    <n v="2"/>
    <n v="3"/>
    <s v="Medical"/>
    <n v="1"/>
    <n v="922"/>
    <n v="3"/>
    <x v="0"/>
    <n v="49"/>
    <n v="2"/>
    <n v="1"/>
    <x v="6"/>
    <n v="3"/>
    <s v="Single"/>
    <n v="2044"/>
    <n v="22052"/>
    <n v="1"/>
    <s v="Y"/>
    <x v="1"/>
    <n v="13"/>
    <n v="3"/>
    <n v="4"/>
    <n v="80"/>
    <n v="0"/>
    <n v="2"/>
    <n v="3"/>
    <n v="2"/>
    <n v="2"/>
    <n v="2"/>
    <n v="0"/>
    <n v="2"/>
    <x v="2"/>
    <x v="1"/>
    <n v="1"/>
    <n v="0"/>
    <x v="3"/>
    <x v="1"/>
    <n v="73"/>
  </r>
  <r>
    <n v="21"/>
    <x v="0"/>
    <s v="Travel_Rarely"/>
    <n v="1427"/>
    <x v="1"/>
    <n v="18"/>
    <n v="1"/>
    <s v="Other"/>
    <n v="1"/>
    <n v="923"/>
    <n v="4"/>
    <x v="0"/>
    <n v="65"/>
    <n v="3"/>
    <n v="1"/>
    <x v="1"/>
    <n v="4"/>
    <s v="Single"/>
    <n v="2693"/>
    <n v="8870"/>
    <n v="1"/>
    <s v="Y"/>
    <x v="1"/>
    <n v="19"/>
    <n v="3"/>
    <n v="1"/>
    <n v="80"/>
    <n v="0"/>
    <n v="1"/>
    <n v="3"/>
    <n v="2"/>
    <n v="1"/>
    <n v="0"/>
    <n v="0"/>
    <n v="0"/>
    <x v="2"/>
    <x v="1"/>
    <n v="1"/>
    <n v="0"/>
    <x v="1"/>
    <x v="1"/>
    <n v="66"/>
  </r>
  <r>
    <n v="36"/>
    <x v="1"/>
    <s v="Travel_Rarely"/>
    <n v="1425"/>
    <x v="1"/>
    <n v="14"/>
    <n v="1"/>
    <s v="Life Sciences"/>
    <n v="1"/>
    <n v="924"/>
    <n v="3"/>
    <x v="1"/>
    <n v="68"/>
    <n v="3"/>
    <n v="2"/>
    <x v="4"/>
    <n v="4"/>
    <s v="Married"/>
    <n v="6586"/>
    <n v="4821"/>
    <n v="0"/>
    <s v="Y"/>
    <x v="0"/>
    <n v="17"/>
    <n v="3"/>
    <n v="1"/>
    <n v="80"/>
    <n v="1"/>
    <n v="17"/>
    <n v="2"/>
    <n v="2"/>
    <n v="16"/>
    <n v="8"/>
    <n v="4"/>
    <n v="11"/>
    <x v="1"/>
    <x v="0"/>
    <n v="0"/>
    <n v="1"/>
    <x v="1"/>
    <x v="1"/>
    <n v="59"/>
  </r>
  <r>
    <n v="47"/>
    <x v="1"/>
    <s v="Travel_Rarely"/>
    <n v="1454"/>
    <x v="0"/>
    <n v="2"/>
    <n v="4"/>
    <s v="Life Sciences"/>
    <n v="1"/>
    <n v="925"/>
    <n v="4"/>
    <x v="0"/>
    <n v="65"/>
    <n v="2"/>
    <n v="1"/>
    <x v="6"/>
    <n v="4"/>
    <s v="Single"/>
    <n v="3294"/>
    <n v="13137"/>
    <n v="1"/>
    <s v="Y"/>
    <x v="0"/>
    <n v="18"/>
    <n v="3"/>
    <n v="1"/>
    <n v="80"/>
    <n v="0"/>
    <n v="3"/>
    <n v="3"/>
    <n v="2"/>
    <n v="3"/>
    <n v="2"/>
    <n v="1"/>
    <n v="2"/>
    <x v="0"/>
    <x v="1"/>
    <n v="0"/>
    <n v="1"/>
    <x v="2"/>
    <x v="1"/>
    <n v="61"/>
  </r>
  <r>
    <n v="22"/>
    <x v="0"/>
    <s v="Travel_Rarely"/>
    <n v="617"/>
    <x v="1"/>
    <n v="3"/>
    <n v="1"/>
    <s v="Life Sciences"/>
    <n v="1"/>
    <n v="926"/>
    <n v="2"/>
    <x v="0"/>
    <n v="34"/>
    <n v="3"/>
    <n v="2"/>
    <x v="3"/>
    <n v="3"/>
    <s v="Married"/>
    <n v="4171"/>
    <n v="10022"/>
    <n v="0"/>
    <s v="Y"/>
    <x v="0"/>
    <n v="19"/>
    <n v="3"/>
    <n v="1"/>
    <n v="80"/>
    <n v="1"/>
    <n v="4"/>
    <n v="3"/>
    <n v="4"/>
    <n v="3"/>
    <n v="2"/>
    <n v="0"/>
    <n v="2"/>
    <x v="2"/>
    <x v="1"/>
    <n v="1"/>
    <n v="1"/>
    <x v="1"/>
    <x v="1"/>
    <n v="88"/>
  </r>
  <r>
    <n v="41"/>
    <x v="0"/>
    <s v="Travel_Rarely"/>
    <n v="1085"/>
    <x v="1"/>
    <n v="2"/>
    <n v="4"/>
    <s v="Life Sciences"/>
    <n v="1"/>
    <n v="927"/>
    <n v="2"/>
    <x v="0"/>
    <n v="57"/>
    <n v="1"/>
    <n v="1"/>
    <x v="2"/>
    <n v="4"/>
    <s v="Divorced"/>
    <n v="2778"/>
    <n v="17725"/>
    <n v="4"/>
    <s v="Y"/>
    <x v="0"/>
    <n v="13"/>
    <n v="3"/>
    <n v="3"/>
    <n v="80"/>
    <n v="1"/>
    <n v="10"/>
    <n v="1"/>
    <n v="2"/>
    <n v="7"/>
    <n v="7"/>
    <n v="1"/>
    <n v="0"/>
    <x v="0"/>
    <x v="1"/>
    <n v="1"/>
    <n v="1"/>
    <x v="2"/>
    <x v="0"/>
    <n v="54"/>
  </r>
  <r>
    <n v="28"/>
    <x v="1"/>
    <s v="Travel_Rarely"/>
    <n v="995"/>
    <x v="1"/>
    <n v="9"/>
    <n v="3"/>
    <s v="Medical"/>
    <n v="1"/>
    <n v="930"/>
    <n v="3"/>
    <x v="0"/>
    <n v="77"/>
    <n v="3"/>
    <n v="1"/>
    <x v="1"/>
    <n v="3"/>
    <s v="Divorced"/>
    <n v="2377"/>
    <n v="9834"/>
    <n v="5"/>
    <s v="Y"/>
    <x v="1"/>
    <n v="18"/>
    <n v="3"/>
    <n v="2"/>
    <n v="80"/>
    <n v="1"/>
    <n v="6"/>
    <n v="2"/>
    <n v="3"/>
    <n v="2"/>
    <n v="2"/>
    <n v="2"/>
    <n v="2"/>
    <x v="2"/>
    <x v="1"/>
    <n v="0"/>
    <n v="0"/>
    <x v="3"/>
    <x v="1"/>
    <n v="73"/>
  </r>
  <r>
    <n v="39"/>
    <x v="0"/>
    <s v="Travel_Rarely"/>
    <n v="1122"/>
    <x v="1"/>
    <n v="6"/>
    <n v="3"/>
    <s v="Medical"/>
    <n v="1"/>
    <n v="932"/>
    <n v="4"/>
    <x v="1"/>
    <n v="70"/>
    <n v="3"/>
    <n v="1"/>
    <x v="2"/>
    <n v="1"/>
    <s v="Married"/>
    <n v="2404"/>
    <n v="4303"/>
    <n v="7"/>
    <s v="Y"/>
    <x v="0"/>
    <n v="21"/>
    <n v="4"/>
    <n v="4"/>
    <n v="80"/>
    <n v="0"/>
    <n v="8"/>
    <n v="2"/>
    <n v="1"/>
    <n v="2"/>
    <n v="2"/>
    <n v="2"/>
    <n v="2"/>
    <x v="1"/>
    <x v="1"/>
    <n v="1"/>
    <n v="1"/>
    <x v="3"/>
    <x v="1"/>
    <n v="100"/>
  </r>
  <r>
    <n v="27"/>
    <x v="1"/>
    <s v="Travel_Rarely"/>
    <n v="618"/>
    <x v="1"/>
    <n v="4"/>
    <n v="3"/>
    <s v="Life Sciences"/>
    <n v="1"/>
    <n v="933"/>
    <n v="2"/>
    <x v="0"/>
    <n v="76"/>
    <n v="3"/>
    <n v="1"/>
    <x v="1"/>
    <n v="3"/>
    <s v="Single"/>
    <n v="2318"/>
    <n v="17808"/>
    <n v="1"/>
    <s v="Y"/>
    <x v="1"/>
    <n v="19"/>
    <n v="3"/>
    <n v="3"/>
    <n v="80"/>
    <n v="0"/>
    <n v="1"/>
    <n v="2"/>
    <n v="3"/>
    <n v="1"/>
    <n v="1"/>
    <n v="0"/>
    <n v="0"/>
    <x v="2"/>
    <x v="1"/>
    <n v="0"/>
    <n v="0"/>
    <x v="3"/>
    <x v="1"/>
    <n v="73"/>
  </r>
  <r>
    <n v="34"/>
    <x v="1"/>
    <s v="Travel_Rarely"/>
    <n v="546"/>
    <x v="1"/>
    <n v="10"/>
    <n v="3"/>
    <s v="Life Sciences"/>
    <n v="1"/>
    <n v="934"/>
    <n v="2"/>
    <x v="1"/>
    <n v="83"/>
    <n v="3"/>
    <n v="1"/>
    <x v="2"/>
    <n v="2"/>
    <s v="Divorced"/>
    <n v="2008"/>
    <n v="6896"/>
    <n v="1"/>
    <s v="Y"/>
    <x v="1"/>
    <n v="14"/>
    <n v="3"/>
    <n v="2"/>
    <n v="80"/>
    <n v="2"/>
    <n v="1"/>
    <n v="3"/>
    <n v="3"/>
    <n v="1"/>
    <n v="0"/>
    <n v="1"/>
    <n v="0"/>
    <x v="1"/>
    <x v="1"/>
    <n v="0"/>
    <n v="0"/>
    <x v="3"/>
    <x v="1"/>
    <n v="69"/>
  </r>
  <r>
    <n v="42"/>
    <x v="1"/>
    <s v="Travel_Rarely"/>
    <n v="462"/>
    <x v="0"/>
    <n v="14"/>
    <n v="2"/>
    <s v="Medical"/>
    <n v="1"/>
    <n v="936"/>
    <n v="3"/>
    <x v="0"/>
    <n v="68"/>
    <n v="2"/>
    <n v="2"/>
    <x v="0"/>
    <n v="3"/>
    <s v="Single"/>
    <n v="6244"/>
    <n v="7824"/>
    <n v="7"/>
    <s v="Y"/>
    <x v="1"/>
    <n v="17"/>
    <n v="3"/>
    <n v="1"/>
    <n v="80"/>
    <n v="0"/>
    <n v="10"/>
    <n v="6"/>
    <n v="3"/>
    <n v="5"/>
    <n v="4"/>
    <n v="0"/>
    <n v="3"/>
    <x v="0"/>
    <x v="0"/>
    <n v="0"/>
    <n v="0"/>
    <x v="0"/>
    <x v="0"/>
    <n v="43"/>
  </r>
  <r>
    <n v="33"/>
    <x v="1"/>
    <s v="Travel_Rarely"/>
    <n v="1198"/>
    <x v="1"/>
    <n v="1"/>
    <n v="4"/>
    <s v="Other"/>
    <n v="1"/>
    <n v="939"/>
    <n v="3"/>
    <x v="1"/>
    <n v="100"/>
    <n v="2"/>
    <n v="1"/>
    <x v="1"/>
    <n v="1"/>
    <s v="Single"/>
    <n v="2799"/>
    <n v="3339"/>
    <n v="3"/>
    <s v="Y"/>
    <x v="0"/>
    <n v="11"/>
    <n v="3"/>
    <n v="2"/>
    <n v="80"/>
    <n v="0"/>
    <n v="6"/>
    <n v="1"/>
    <n v="3"/>
    <n v="3"/>
    <n v="2"/>
    <n v="0"/>
    <n v="2"/>
    <x v="1"/>
    <x v="1"/>
    <n v="0"/>
    <n v="1"/>
    <x v="2"/>
    <x v="1"/>
    <n v="90"/>
  </r>
  <r>
    <n v="58"/>
    <x v="1"/>
    <s v="Travel_Rarely"/>
    <n v="1272"/>
    <x v="1"/>
    <n v="5"/>
    <n v="3"/>
    <s v="Technical Degree"/>
    <n v="1"/>
    <n v="940"/>
    <n v="3"/>
    <x v="0"/>
    <n v="37"/>
    <n v="2"/>
    <n v="3"/>
    <x v="4"/>
    <n v="2"/>
    <s v="Divorced"/>
    <n v="10552"/>
    <n v="9255"/>
    <n v="2"/>
    <s v="Y"/>
    <x v="0"/>
    <n v="13"/>
    <n v="3"/>
    <n v="4"/>
    <n v="80"/>
    <n v="1"/>
    <n v="24"/>
    <n v="3"/>
    <n v="3"/>
    <n v="6"/>
    <n v="0"/>
    <n v="0"/>
    <n v="4"/>
    <x v="3"/>
    <x v="0"/>
    <n v="0"/>
    <n v="1"/>
    <x v="3"/>
    <x v="1"/>
    <n v="72"/>
  </r>
  <r>
    <n v="31"/>
    <x v="1"/>
    <s v="Travel_Rarely"/>
    <n v="154"/>
    <x v="0"/>
    <n v="7"/>
    <n v="4"/>
    <s v="Life Sciences"/>
    <n v="1"/>
    <n v="941"/>
    <n v="2"/>
    <x v="1"/>
    <n v="41"/>
    <n v="2"/>
    <n v="1"/>
    <x v="6"/>
    <n v="3"/>
    <s v="Married"/>
    <n v="2329"/>
    <n v="11737"/>
    <n v="3"/>
    <s v="Y"/>
    <x v="1"/>
    <n v="15"/>
    <n v="3"/>
    <n v="2"/>
    <n v="80"/>
    <n v="0"/>
    <n v="13"/>
    <n v="2"/>
    <n v="4"/>
    <n v="7"/>
    <n v="7"/>
    <n v="5"/>
    <n v="2"/>
    <x v="1"/>
    <x v="1"/>
    <n v="0"/>
    <n v="0"/>
    <x v="2"/>
    <x v="0"/>
    <n v="46"/>
  </r>
  <r>
    <n v="35"/>
    <x v="1"/>
    <s v="Travel_Rarely"/>
    <n v="1137"/>
    <x v="1"/>
    <n v="21"/>
    <n v="1"/>
    <s v="Life Sciences"/>
    <n v="1"/>
    <n v="942"/>
    <n v="4"/>
    <x v="0"/>
    <n v="51"/>
    <n v="3"/>
    <n v="2"/>
    <x v="4"/>
    <n v="4"/>
    <s v="Married"/>
    <n v="4014"/>
    <n v="19170"/>
    <n v="1"/>
    <s v="Y"/>
    <x v="0"/>
    <n v="25"/>
    <n v="4"/>
    <n v="4"/>
    <n v="80"/>
    <n v="1"/>
    <n v="10"/>
    <n v="2"/>
    <n v="1"/>
    <n v="10"/>
    <n v="6"/>
    <n v="0"/>
    <n v="7"/>
    <x v="1"/>
    <x v="1"/>
    <n v="0"/>
    <n v="1"/>
    <x v="1"/>
    <x v="1"/>
    <n v="64"/>
  </r>
  <r>
    <n v="49"/>
    <x v="1"/>
    <s v="Travel_Rarely"/>
    <n v="527"/>
    <x v="1"/>
    <n v="8"/>
    <n v="2"/>
    <s v="Other"/>
    <n v="1"/>
    <n v="944"/>
    <n v="1"/>
    <x v="0"/>
    <n v="51"/>
    <n v="3"/>
    <n v="3"/>
    <x v="2"/>
    <n v="2"/>
    <s v="Married"/>
    <n v="7403"/>
    <n v="22477"/>
    <n v="4"/>
    <s v="Y"/>
    <x v="1"/>
    <n v="11"/>
    <n v="3"/>
    <n v="3"/>
    <n v="80"/>
    <n v="1"/>
    <n v="29"/>
    <n v="3"/>
    <n v="2"/>
    <n v="26"/>
    <n v="9"/>
    <n v="1"/>
    <n v="7"/>
    <x v="0"/>
    <x v="0"/>
    <n v="0"/>
    <n v="0"/>
    <x v="0"/>
    <x v="0"/>
    <n v="37"/>
  </r>
  <r>
    <n v="48"/>
    <x v="1"/>
    <s v="Travel_Rarely"/>
    <n v="1469"/>
    <x v="1"/>
    <n v="20"/>
    <n v="4"/>
    <s v="Medical"/>
    <n v="1"/>
    <n v="945"/>
    <n v="4"/>
    <x v="1"/>
    <n v="51"/>
    <n v="3"/>
    <n v="1"/>
    <x v="1"/>
    <n v="3"/>
    <s v="Married"/>
    <n v="2259"/>
    <n v="5543"/>
    <n v="4"/>
    <s v="Y"/>
    <x v="1"/>
    <n v="17"/>
    <n v="3"/>
    <n v="1"/>
    <n v="80"/>
    <n v="2"/>
    <n v="13"/>
    <n v="2"/>
    <n v="2"/>
    <n v="0"/>
    <n v="0"/>
    <n v="0"/>
    <n v="0"/>
    <x v="0"/>
    <x v="1"/>
    <n v="0"/>
    <n v="0"/>
    <x v="2"/>
    <x v="0"/>
    <n v="53"/>
  </r>
  <r>
    <n v="31"/>
    <x v="1"/>
    <s v="Non-Travel"/>
    <n v="1188"/>
    <x v="0"/>
    <n v="20"/>
    <n v="2"/>
    <s v="Marketing"/>
    <n v="1"/>
    <n v="947"/>
    <n v="4"/>
    <x v="0"/>
    <n v="45"/>
    <n v="3"/>
    <n v="2"/>
    <x v="0"/>
    <n v="3"/>
    <s v="Married"/>
    <n v="6932"/>
    <n v="24406"/>
    <n v="1"/>
    <s v="Y"/>
    <x v="1"/>
    <n v="13"/>
    <n v="3"/>
    <n v="4"/>
    <n v="80"/>
    <n v="1"/>
    <n v="9"/>
    <n v="2"/>
    <n v="2"/>
    <n v="9"/>
    <n v="8"/>
    <n v="0"/>
    <n v="0"/>
    <x v="1"/>
    <x v="0"/>
    <n v="0"/>
    <n v="0"/>
    <x v="0"/>
    <x v="0"/>
    <n v="46"/>
  </r>
  <r>
    <n v="36"/>
    <x v="1"/>
    <s v="Travel_Rarely"/>
    <n v="188"/>
    <x v="1"/>
    <n v="7"/>
    <n v="4"/>
    <s v="Other"/>
    <n v="1"/>
    <n v="949"/>
    <n v="2"/>
    <x v="1"/>
    <n v="65"/>
    <n v="3"/>
    <n v="1"/>
    <x v="1"/>
    <n v="4"/>
    <s v="Single"/>
    <n v="4678"/>
    <n v="23293"/>
    <n v="2"/>
    <s v="Y"/>
    <x v="1"/>
    <n v="18"/>
    <n v="3"/>
    <n v="3"/>
    <n v="80"/>
    <n v="0"/>
    <n v="8"/>
    <n v="6"/>
    <n v="3"/>
    <n v="6"/>
    <n v="2"/>
    <n v="0"/>
    <n v="1"/>
    <x v="1"/>
    <x v="1"/>
    <n v="0"/>
    <n v="0"/>
    <x v="2"/>
    <x v="0"/>
    <n v="39"/>
  </r>
  <r>
    <n v="38"/>
    <x v="1"/>
    <s v="Travel_Rarely"/>
    <n v="1333"/>
    <x v="1"/>
    <n v="1"/>
    <n v="3"/>
    <s v="Technical Degree"/>
    <n v="1"/>
    <n v="950"/>
    <n v="4"/>
    <x v="0"/>
    <n v="80"/>
    <n v="3"/>
    <n v="3"/>
    <x v="7"/>
    <n v="1"/>
    <s v="Married"/>
    <n v="13582"/>
    <n v="16292"/>
    <n v="1"/>
    <s v="Y"/>
    <x v="1"/>
    <n v="13"/>
    <n v="3"/>
    <n v="2"/>
    <n v="80"/>
    <n v="1"/>
    <n v="15"/>
    <n v="3"/>
    <n v="3"/>
    <n v="15"/>
    <n v="12"/>
    <n v="5"/>
    <n v="11"/>
    <x v="1"/>
    <x v="0"/>
    <n v="0"/>
    <n v="0"/>
    <x v="3"/>
    <x v="0"/>
    <n v="53"/>
  </r>
  <r>
    <n v="32"/>
    <x v="1"/>
    <s v="Non-Travel"/>
    <n v="1184"/>
    <x v="1"/>
    <n v="1"/>
    <n v="3"/>
    <s v="Life Sciences"/>
    <n v="1"/>
    <n v="951"/>
    <n v="3"/>
    <x v="0"/>
    <n v="70"/>
    <n v="2"/>
    <n v="1"/>
    <x v="2"/>
    <n v="2"/>
    <s v="Married"/>
    <n v="2332"/>
    <n v="3974"/>
    <n v="6"/>
    <s v="Y"/>
    <x v="1"/>
    <n v="20"/>
    <n v="4"/>
    <n v="3"/>
    <n v="80"/>
    <n v="0"/>
    <n v="5"/>
    <n v="3"/>
    <n v="3"/>
    <n v="3"/>
    <n v="0"/>
    <n v="0"/>
    <n v="2"/>
    <x v="1"/>
    <x v="1"/>
    <n v="0"/>
    <n v="0"/>
    <x v="3"/>
    <x v="1"/>
    <n v="59"/>
  </r>
  <r>
    <n v="25"/>
    <x v="0"/>
    <s v="Travel_Rarely"/>
    <n v="867"/>
    <x v="0"/>
    <n v="19"/>
    <n v="2"/>
    <s v="Marketing"/>
    <n v="1"/>
    <n v="952"/>
    <n v="3"/>
    <x v="1"/>
    <n v="36"/>
    <n v="2"/>
    <n v="1"/>
    <x v="6"/>
    <n v="2"/>
    <s v="Married"/>
    <n v="2413"/>
    <n v="18798"/>
    <n v="1"/>
    <s v="Y"/>
    <x v="0"/>
    <n v="18"/>
    <n v="3"/>
    <n v="3"/>
    <n v="80"/>
    <n v="3"/>
    <n v="1"/>
    <n v="2"/>
    <n v="3"/>
    <n v="1"/>
    <n v="0"/>
    <n v="0"/>
    <n v="0"/>
    <x v="2"/>
    <x v="1"/>
    <n v="1"/>
    <n v="1"/>
    <x v="0"/>
    <x v="1"/>
    <n v="104"/>
  </r>
  <r>
    <n v="40"/>
    <x v="1"/>
    <s v="Travel_Rarely"/>
    <n v="658"/>
    <x v="0"/>
    <n v="10"/>
    <n v="4"/>
    <s v="Marketing"/>
    <n v="1"/>
    <n v="954"/>
    <n v="1"/>
    <x v="1"/>
    <n v="67"/>
    <n v="2"/>
    <n v="3"/>
    <x v="0"/>
    <n v="2"/>
    <s v="Divorced"/>
    <n v="9705"/>
    <n v="20652"/>
    <n v="2"/>
    <s v="Y"/>
    <x v="1"/>
    <n v="12"/>
    <n v="3"/>
    <n v="2"/>
    <n v="80"/>
    <n v="1"/>
    <n v="11"/>
    <n v="2"/>
    <n v="2"/>
    <n v="1"/>
    <n v="0"/>
    <n v="0"/>
    <n v="0"/>
    <x v="0"/>
    <x v="0"/>
    <n v="0"/>
    <n v="0"/>
    <x v="2"/>
    <x v="1"/>
    <n v="59"/>
  </r>
  <r>
    <n v="26"/>
    <x v="1"/>
    <s v="Travel_Frequently"/>
    <n v="1283"/>
    <x v="0"/>
    <n v="1"/>
    <n v="3"/>
    <s v="Medical"/>
    <n v="1"/>
    <n v="956"/>
    <n v="3"/>
    <x v="1"/>
    <n v="52"/>
    <n v="2"/>
    <n v="2"/>
    <x v="0"/>
    <n v="1"/>
    <s v="Single"/>
    <n v="4294"/>
    <n v="11148"/>
    <n v="1"/>
    <s v="Y"/>
    <x v="1"/>
    <n v="12"/>
    <n v="3"/>
    <n v="2"/>
    <n v="80"/>
    <n v="0"/>
    <n v="7"/>
    <n v="2"/>
    <n v="3"/>
    <n v="7"/>
    <n v="7"/>
    <n v="0"/>
    <n v="7"/>
    <x v="2"/>
    <x v="1"/>
    <n v="0"/>
    <n v="0"/>
    <x v="3"/>
    <x v="1"/>
    <n v="68"/>
  </r>
  <r>
    <n v="41"/>
    <x v="1"/>
    <s v="Travel_Rarely"/>
    <n v="263"/>
    <x v="1"/>
    <n v="6"/>
    <n v="3"/>
    <s v="Medical"/>
    <n v="1"/>
    <n v="957"/>
    <n v="4"/>
    <x v="1"/>
    <n v="59"/>
    <n v="3"/>
    <n v="1"/>
    <x v="2"/>
    <n v="1"/>
    <s v="Single"/>
    <n v="4721"/>
    <n v="3119"/>
    <n v="2"/>
    <s v="Y"/>
    <x v="0"/>
    <n v="13"/>
    <n v="3"/>
    <n v="3"/>
    <n v="80"/>
    <n v="0"/>
    <n v="20"/>
    <n v="3"/>
    <n v="3"/>
    <n v="18"/>
    <n v="13"/>
    <n v="2"/>
    <n v="17"/>
    <x v="0"/>
    <x v="1"/>
    <n v="0"/>
    <n v="1"/>
    <x v="3"/>
    <x v="1"/>
    <n v="68"/>
  </r>
  <r>
    <n v="36"/>
    <x v="1"/>
    <s v="Travel_Rarely"/>
    <n v="938"/>
    <x v="1"/>
    <n v="2"/>
    <n v="4"/>
    <s v="Medical"/>
    <n v="1"/>
    <n v="958"/>
    <n v="3"/>
    <x v="1"/>
    <n v="79"/>
    <n v="3"/>
    <n v="1"/>
    <x v="2"/>
    <n v="3"/>
    <s v="Single"/>
    <n v="2519"/>
    <n v="12287"/>
    <n v="4"/>
    <s v="Y"/>
    <x v="1"/>
    <n v="21"/>
    <n v="4"/>
    <n v="3"/>
    <n v="80"/>
    <n v="0"/>
    <n v="16"/>
    <n v="6"/>
    <n v="3"/>
    <n v="11"/>
    <n v="8"/>
    <n v="3"/>
    <n v="9"/>
    <x v="1"/>
    <x v="1"/>
    <n v="0"/>
    <n v="0"/>
    <x v="2"/>
    <x v="0"/>
    <n v="41"/>
  </r>
  <r>
    <n v="19"/>
    <x v="0"/>
    <s v="Travel_Rarely"/>
    <n v="419"/>
    <x v="0"/>
    <n v="21"/>
    <n v="3"/>
    <s v="Other"/>
    <n v="1"/>
    <n v="959"/>
    <n v="4"/>
    <x v="1"/>
    <n v="37"/>
    <n v="2"/>
    <n v="1"/>
    <x v="6"/>
    <n v="2"/>
    <s v="Single"/>
    <n v="2121"/>
    <n v="9947"/>
    <n v="1"/>
    <s v="Y"/>
    <x v="0"/>
    <n v="13"/>
    <n v="3"/>
    <n v="2"/>
    <n v="80"/>
    <n v="0"/>
    <n v="1"/>
    <n v="3"/>
    <n v="4"/>
    <n v="1"/>
    <n v="0"/>
    <n v="0"/>
    <n v="0"/>
    <x v="2"/>
    <x v="1"/>
    <n v="1"/>
    <n v="1"/>
    <x v="3"/>
    <x v="1"/>
    <n v="104"/>
  </r>
  <r>
    <n v="20"/>
    <x v="0"/>
    <s v="Travel_Rarely"/>
    <n v="129"/>
    <x v="1"/>
    <n v="4"/>
    <n v="3"/>
    <s v="Technical Degree"/>
    <n v="1"/>
    <n v="960"/>
    <n v="1"/>
    <x v="1"/>
    <n v="84"/>
    <n v="3"/>
    <n v="1"/>
    <x v="2"/>
    <n v="1"/>
    <s v="Single"/>
    <n v="2973"/>
    <n v="13008"/>
    <n v="1"/>
    <s v="Y"/>
    <x v="1"/>
    <n v="19"/>
    <n v="3"/>
    <n v="2"/>
    <n v="80"/>
    <n v="0"/>
    <n v="1"/>
    <n v="2"/>
    <n v="3"/>
    <n v="1"/>
    <n v="0"/>
    <n v="0"/>
    <n v="0"/>
    <x v="2"/>
    <x v="1"/>
    <n v="1"/>
    <n v="0"/>
    <x v="3"/>
    <x v="1"/>
    <n v="85"/>
  </r>
  <r>
    <n v="31"/>
    <x v="1"/>
    <s v="Travel_Rarely"/>
    <n v="616"/>
    <x v="1"/>
    <n v="12"/>
    <n v="3"/>
    <s v="Medical"/>
    <n v="1"/>
    <n v="961"/>
    <n v="4"/>
    <x v="0"/>
    <n v="41"/>
    <n v="3"/>
    <n v="2"/>
    <x v="4"/>
    <n v="4"/>
    <s v="Married"/>
    <n v="5855"/>
    <n v="17369"/>
    <n v="0"/>
    <s v="Y"/>
    <x v="0"/>
    <n v="11"/>
    <n v="3"/>
    <n v="3"/>
    <n v="80"/>
    <n v="2"/>
    <n v="10"/>
    <n v="2"/>
    <n v="1"/>
    <n v="9"/>
    <n v="7"/>
    <n v="8"/>
    <n v="5"/>
    <x v="1"/>
    <x v="0"/>
    <n v="0"/>
    <n v="1"/>
    <x v="3"/>
    <x v="1"/>
    <n v="64"/>
  </r>
  <r>
    <n v="40"/>
    <x v="1"/>
    <s v="Travel_Frequently"/>
    <n v="1469"/>
    <x v="1"/>
    <n v="9"/>
    <n v="4"/>
    <s v="Medical"/>
    <n v="1"/>
    <n v="964"/>
    <n v="4"/>
    <x v="1"/>
    <n v="35"/>
    <n v="3"/>
    <n v="1"/>
    <x v="1"/>
    <n v="2"/>
    <s v="Divorced"/>
    <n v="3617"/>
    <n v="25063"/>
    <n v="8"/>
    <s v="Y"/>
    <x v="0"/>
    <n v="14"/>
    <n v="3"/>
    <n v="4"/>
    <n v="80"/>
    <n v="1"/>
    <n v="3"/>
    <n v="2"/>
    <n v="3"/>
    <n v="1"/>
    <n v="1"/>
    <n v="0"/>
    <n v="0"/>
    <x v="0"/>
    <x v="1"/>
    <n v="0"/>
    <n v="1"/>
    <x v="2"/>
    <x v="1"/>
    <n v="84"/>
  </r>
  <r>
    <n v="32"/>
    <x v="1"/>
    <s v="Travel_Rarely"/>
    <n v="498"/>
    <x v="1"/>
    <n v="3"/>
    <n v="4"/>
    <s v="Medical"/>
    <n v="1"/>
    <n v="966"/>
    <n v="3"/>
    <x v="0"/>
    <n v="93"/>
    <n v="3"/>
    <n v="2"/>
    <x v="3"/>
    <n v="1"/>
    <s v="Married"/>
    <n v="6725"/>
    <n v="13554"/>
    <n v="1"/>
    <s v="Y"/>
    <x v="1"/>
    <n v="12"/>
    <n v="3"/>
    <n v="3"/>
    <n v="80"/>
    <n v="1"/>
    <n v="8"/>
    <n v="2"/>
    <n v="4"/>
    <n v="8"/>
    <n v="7"/>
    <n v="6"/>
    <n v="3"/>
    <x v="1"/>
    <x v="0"/>
    <n v="0"/>
    <n v="0"/>
    <x v="2"/>
    <x v="1"/>
    <n v="58"/>
  </r>
  <r>
    <n v="36"/>
    <x v="0"/>
    <s v="Travel_Rarely"/>
    <n v="530"/>
    <x v="0"/>
    <n v="3"/>
    <n v="1"/>
    <s v="Life Sciences"/>
    <n v="1"/>
    <n v="967"/>
    <n v="3"/>
    <x v="1"/>
    <n v="51"/>
    <n v="2"/>
    <n v="3"/>
    <x v="0"/>
    <n v="4"/>
    <s v="Married"/>
    <n v="10325"/>
    <n v="5518"/>
    <n v="1"/>
    <s v="Y"/>
    <x v="0"/>
    <n v="11"/>
    <n v="3"/>
    <n v="1"/>
    <n v="80"/>
    <n v="1"/>
    <n v="16"/>
    <n v="6"/>
    <n v="3"/>
    <n v="16"/>
    <n v="7"/>
    <n v="3"/>
    <n v="7"/>
    <x v="1"/>
    <x v="0"/>
    <n v="1"/>
    <n v="1"/>
    <x v="1"/>
    <x v="1"/>
    <n v="59"/>
  </r>
  <r>
    <n v="33"/>
    <x v="1"/>
    <s v="Travel_Rarely"/>
    <n v="1069"/>
    <x v="1"/>
    <n v="1"/>
    <n v="3"/>
    <s v="Life Sciences"/>
    <n v="1"/>
    <n v="969"/>
    <n v="2"/>
    <x v="0"/>
    <n v="42"/>
    <n v="2"/>
    <n v="2"/>
    <x v="4"/>
    <n v="4"/>
    <s v="Single"/>
    <n v="6949"/>
    <n v="12291"/>
    <n v="0"/>
    <s v="Y"/>
    <x v="1"/>
    <n v="14"/>
    <n v="3"/>
    <n v="1"/>
    <n v="80"/>
    <n v="0"/>
    <n v="6"/>
    <n v="3"/>
    <n v="3"/>
    <n v="5"/>
    <n v="0"/>
    <n v="1"/>
    <n v="4"/>
    <x v="1"/>
    <x v="0"/>
    <n v="0"/>
    <n v="0"/>
    <x v="3"/>
    <x v="0"/>
    <n v="46"/>
  </r>
  <r>
    <n v="37"/>
    <x v="0"/>
    <s v="Travel_Rarely"/>
    <n v="625"/>
    <x v="0"/>
    <n v="1"/>
    <n v="4"/>
    <s v="Life Sciences"/>
    <n v="1"/>
    <n v="970"/>
    <n v="1"/>
    <x v="1"/>
    <n v="46"/>
    <n v="2"/>
    <n v="3"/>
    <x v="0"/>
    <n v="3"/>
    <s v="Married"/>
    <n v="10609"/>
    <n v="14922"/>
    <n v="5"/>
    <s v="Y"/>
    <x v="1"/>
    <n v="11"/>
    <n v="3"/>
    <n v="3"/>
    <n v="80"/>
    <n v="0"/>
    <n v="17"/>
    <n v="2"/>
    <n v="1"/>
    <n v="14"/>
    <n v="1"/>
    <n v="11"/>
    <n v="7"/>
    <x v="1"/>
    <x v="0"/>
    <n v="1"/>
    <n v="0"/>
    <x v="2"/>
    <x v="0"/>
    <n v="41"/>
  </r>
  <r>
    <n v="45"/>
    <x v="1"/>
    <s v="Non-Travel"/>
    <n v="805"/>
    <x v="1"/>
    <n v="4"/>
    <n v="2"/>
    <s v="Life Sciences"/>
    <n v="1"/>
    <n v="972"/>
    <n v="3"/>
    <x v="1"/>
    <n v="57"/>
    <n v="3"/>
    <n v="2"/>
    <x v="2"/>
    <n v="2"/>
    <s v="Married"/>
    <n v="4447"/>
    <n v="23163"/>
    <n v="1"/>
    <s v="Y"/>
    <x v="1"/>
    <n v="12"/>
    <n v="3"/>
    <n v="2"/>
    <n v="80"/>
    <n v="0"/>
    <n v="9"/>
    <n v="5"/>
    <n v="2"/>
    <n v="9"/>
    <n v="7"/>
    <n v="0"/>
    <n v="8"/>
    <x v="0"/>
    <x v="1"/>
    <n v="0"/>
    <n v="0"/>
    <x v="0"/>
    <x v="0"/>
    <n v="42"/>
  </r>
  <r>
    <n v="29"/>
    <x v="1"/>
    <s v="Travel_Frequently"/>
    <n v="1404"/>
    <x v="0"/>
    <n v="20"/>
    <n v="3"/>
    <s v="Technical Degree"/>
    <n v="1"/>
    <n v="974"/>
    <n v="3"/>
    <x v="0"/>
    <n v="84"/>
    <n v="3"/>
    <n v="1"/>
    <x v="6"/>
    <n v="4"/>
    <s v="Married"/>
    <n v="2157"/>
    <n v="18203"/>
    <n v="1"/>
    <s v="Y"/>
    <x v="1"/>
    <n v="15"/>
    <n v="3"/>
    <n v="2"/>
    <n v="80"/>
    <n v="1"/>
    <n v="3"/>
    <n v="5"/>
    <n v="3"/>
    <n v="3"/>
    <n v="1"/>
    <n v="0"/>
    <n v="2"/>
    <x v="2"/>
    <x v="1"/>
    <n v="0"/>
    <n v="0"/>
    <x v="3"/>
    <x v="1"/>
    <n v="56"/>
  </r>
  <r>
    <n v="35"/>
    <x v="1"/>
    <s v="Travel_Rarely"/>
    <n v="1219"/>
    <x v="0"/>
    <n v="18"/>
    <n v="3"/>
    <s v="Medical"/>
    <n v="1"/>
    <n v="975"/>
    <n v="3"/>
    <x v="0"/>
    <n v="86"/>
    <n v="3"/>
    <n v="2"/>
    <x v="0"/>
    <n v="3"/>
    <s v="Married"/>
    <n v="4601"/>
    <n v="6179"/>
    <n v="1"/>
    <s v="Y"/>
    <x v="1"/>
    <n v="16"/>
    <n v="3"/>
    <n v="2"/>
    <n v="80"/>
    <n v="0"/>
    <n v="5"/>
    <n v="3"/>
    <n v="3"/>
    <n v="5"/>
    <n v="2"/>
    <n v="1"/>
    <n v="0"/>
    <x v="1"/>
    <x v="1"/>
    <n v="0"/>
    <n v="0"/>
    <x v="3"/>
    <x v="0"/>
    <n v="53"/>
  </r>
  <r>
    <n v="52"/>
    <x v="1"/>
    <s v="Travel_Rarely"/>
    <n v="1053"/>
    <x v="1"/>
    <n v="1"/>
    <n v="2"/>
    <s v="Life Sciences"/>
    <n v="1"/>
    <n v="976"/>
    <n v="4"/>
    <x v="1"/>
    <n v="70"/>
    <n v="3"/>
    <n v="4"/>
    <x v="5"/>
    <n v="4"/>
    <s v="Married"/>
    <n v="17099"/>
    <n v="13829"/>
    <n v="2"/>
    <s v="Y"/>
    <x v="1"/>
    <n v="15"/>
    <n v="3"/>
    <n v="2"/>
    <n v="80"/>
    <n v="1"/>
    <n v="26"/>
    <n v="2"/>
    <n v="2"/>
    <n v="9"/>
    <n v="8"/>
    <n v="7"/>
    <n v="8"/>
    <x v="3"/>
    <x v="2"/>
    <n v="0"/>
    <n v="0"/>
    <x v="0"/>
    <x v="2"/>
    <n v="34"/>
  </r>
  <r>
    <n v="58"/>
    <x v="0"/>
    <s v="Travel_Rarely"/>
    <n v="289"/>
    <x v="1"/>
    <n v="2"/>
    <n v="3"/>
    <s v="Technical Degree"/>
    <n v="1"/>
    <n v="977"/>
    <n v="4"/>
    <x v="1"/>
    <n v="51"/>
    <n v="3"/>
    <n v="1"/>
    <x v="1"/>
    <n v="3"/>
    <s v="Single"/>
    <n v="2479"/>
    <n v="26227"/>
    <n v="4"/>
    <s v="Y"/>
    <x v="1"/>
    <n v="24"/>
    <n v="4"/>
    <n v="1"/>
    <n v="80"/>
    <n v="0"/>
    <n v="7"/>
    <n v="4"/>
    <n v="3"/>
    <n v="1"/>
    <n v="0"/>
    <n v="0"/>
    <n v="0"/>
    <x v="3"/>
    <x v="1"/>
    <n v="1"/>
    <n v="0"/>
    <x v="3"/>
    <x v="1"/>
    <n v="58"/>
  </r>
  <r>
    <n v="53"/>
    <x v="1"/>
    <s v="Travel_Rarely"/>
    <n v="1376"/>
    <x v="0"/>
    <n v="2"/>
    <n v="2"/>
    <s v="Medical"/>
    <n v="1"/>
    <n v="981"/>
    <n v="3"/>
    <x v="1"/>
    <n v="45"/>
    <n v="3"/>
    <n v="4"/>
    <x v="5"/>
    <n v="3"/>
    <s v="Divorced"/>
    <n v="14852"/>
    <n v="13938"/>
    <n v="6"/>
    <s v="Y"/>
    <x v="1"/>
    <n v="13"/>
    <n v="3"/>
    <n v="3"/>
    <n v="80"/>
    <n v="1"/>
    <n v="22"/>
    <n v="3"/>
    <n v="4"/>
    <n v="17"/>
    <n v="13"/>
    <n v="15"/>
    <n v="2"/>
    <x v="3"/>
    <x v="0"/>
    <n v="0"/>
    <n v="0"/>
    <x v="0"/>
    <x v="0"/>
    <n v="36"/>
  </r>
  <r>
    <n v="30"/>
    <x v="1"/>
    <s v="Travel_Rarely"/>
    <n v="231"/>
    <x v="0"/>
    <n v="8"/>
    <n v="2"/>
    <s v="Other"/>
    <n v="1"/>
    <n v="982"/>
    <n v="3"/>
    <x v="1"/>
    <n v="62"/>
    <n v="3"/>
    <n v="3"/>
    <x v="0"/>
    <n v="3"/>
    <s v="Divorced"/>
    <n v="7264"/>
    <n v="9977"/>
    <n v="5"/>
    <s v="Y"/>
    <x v="1"/>
    <n v="11"/>
    <n v="3"/>
    <n v="1"/>
    <n v="80"/>
    <n v="1"/>
    <n v="10"/>
    <n v="2"/>
    <n v="4"/>
    <n v="8"/>
    <n v="4"/>
    <n v="7"/>
    <n v="7"/>
    <x v="1"/>
    <x v="0"/>
    <n v="0"/>
    <n v="0"/>
    <x v="0"/>
    <x v="0"/>
    <n v="46"/>
  </r>
  <r>
    <n v="38"/>
    <x v="1"/>
    <s v="Non-Travel"/>
    <n v="152"/>
    <x v="0"/>
    <n v="10"/>
    <n v="3"/>
    <s v="Technical Degree"/>
    <n v="1"/>
    <n v="983"/>
    <n v="3"/>
    <x v="0"/>
    <n v="85"/>
    <n v="3"/>
    <n v="2"/>
    <x v="0"/>
    <n v="4"/>
    <s v="Single"/>
    <n v="5666"/>
    <n v="19899"/>
    <n v="1"/>
    <s v="Y"/>
    <x v="0"/>
    <n v="13"/>
    <n v="3"/>
    <n v="2"/>
    <n v="80"/>
    <n v="0"/>
    <n v="6"/>
    <n v="1"/>
    <n v="3"/>
    <n v="5"/>
    <n v="3"/>
    <n v="1"/>
    <n v="3"/>
    <x v="1"/>
    <x v="0"/>
    <n v="0"/>
    <n v="1"/>
    <x v="3"/>
    <x v="1"/>
    <n v="71"/>
  </r>
  <r>
    <n v="35"/>
    <x v="1"/>
    <s v="Travel_Rarely"/>
    <n v="882"/>
    <x v="0"/>
    <n v="3"/>
    <n v="4"/>
    <s v="Life Sciences"/>
    <n v="1"/>
    <n v="984"/>
    <n v="4"/>
    <x v="1"/>
    <n v="92"/>
    <n v="3"/>
    <n v="3"/>
    <x v="0"/>
    <n v="4"/>
    <s v="Divorced"/>
    <n v="7823"/>
    <n v="6812"/>
    <n v="6"/>
    <s v="Y"/>
    <x v="1"/>
    <n v="13"/>
    <n v="3"/>
    <n v="2"/>
    <n v="80"/>
    <n v="1"/>
    <n v="12"/>
    <n v="2"/>
    <n v="3"/>
    <n v="10"/>
    <n v="9"/>
    <n v="0"/>
    <n v="8"/>
    <x v="1"/>
    <x v="0"/>
    <n v="0"/>
    <n v="0"/>
    <x v="2"/>
    <x v="0"/>
    <n v="39"/>
  </r>
  <r>
    <n v="39"/>
    <x v="1"/>
    <s v="Travel_Rarely"/>
    <n v="903"/>
    <x v="0"/>
    <n v="2"/>
    <n v="5"/>
    <s v="Life Sciences"/>
    <n v="1"/>
    <n v="985"/>
    <n v="1"/>
    <x v="1"/>
    <n v="41"/>
    <n v="4"/>
    <n v="3"/>
    <x v="0"/>
    <n v="3"/>
    <s v="Single"/>
    <n v="7880"/>
    <n v="2560"/>
    <n v="0"/>
    <s v="Y"/>
    <x v="1"/>
    <n v="18"/>
    <n v="3"/>
    <n v="4"/>
    <n v="80"/>
    <n v="0"/>
    <n v="9"/>
    <n v="3"/>
    <n v="3"/>
    <n v="8"/>
    <n v="7"/>
    <n v="0"/>
    <n v="7"/>
    <x v="1"/>
    <x v="0"/>
    <n v="0"/>
    <n v="0"/>
    <x v="4"/>
    <x v="0"/>
    <n v="46"/>
  </r>
  <r>
    <n v="40"/>
    <x v="0"/>
    <s v="Non-Travel"/>
    <n v="1479"/>
    <x v="0"/>
    <n v="24"/>
    <n v="3"/>
    <s v="Life Sciences"/>
    <n v="1"/>
    <n v="986"/>
    <n v="2"/>
    <x v="0"/>
    <n v="100"/>
    <n v="4"/>
    <n v="4"/>
    <x v="0"/>
    <n v="2"/>
    <s v="Single"/>
    <n v="13194"/>
    <n v="17071"/>
    <n v="4"/>
    <s v="Y"/>
    <x v="0"/>
    <n v="16"/>
    <n v="3"/>
    <n v="4"/>
    <n v="80"/>
    <n v="0"/>
    <n v="22"/>
    <n v="2"/>
    <n v="2"/>
    <n v="1"/>
    <n v="0"/>
    <n v="0"/>
    <n v="0"/>
    <x v="0"/>
    <x v="0"/>
    <n v="1"/>
    <n v="1"/>
    <x v="3"/>
    <x v="1"/>
    <n v="84"/>
  </r>
  <r>
    <n v="47"/>
    <x v="1"/>
    <s v="Travel_Frequently"/>
    <n v="1379"/>
    <x v="1"/>
    <n v="16"/>
    <n v="4"/>
    <s v="Medical"/>
    <n v="1"/>
    <n v="987"/>
    <n v="3"/>
    <x v="1"/>
    <n v="64"/>
    <n v="4"/>
    <n v="2"/>
    <x v="3"/>
    <n v="3"/>
    <s v="Divorced"/>
    <n v="5067"/>
    <n v="6759"/>
    <n v="1"/>
    <s v="Y"/>
    <x v="0"/>
    <n v="19"/>
    <n v="3"/>
    <n v="3"/>
    <n v="80"/>
    <n v="0"/>
    <n v="20"/>
    <n v="3"/>
    <n v="4"/>
    <n v="19"/>
    <n v="10"/>
    <n v="2"/>
    <n v="7"/>
    <x v="0"/>
    <x v="0"/>
    <n v="0"/>
    <n v="1"/>
    <x v="2"/>
    <x v="1"/>
    <n v="56"/>
  </r>
  <r>
    <n v="36"/>
    <x v="1"/>
    <s v="Non-Travel"/>
    <n v="1229"/>
    <x v="0"/>
    <n v="8"/>
    <n v="4"/>
    <s v="Technical Degree"/>
    <n v="1"/>
    <n v="990"/>
    <n v="1"/>
    <x v="1"/>
    <n v="84"/>
    <n v="3"/>
    <n v="2"/>
    <x v="0"/>
    <n v="4"/>
    <s v="Divorced"/>
    <n v="5079"/>
    <n v="25952"/>
    <n v="4"/>
    <s v="Y"/>
    <x v="1"/>
    <n v="13"/>
    <n v="3"/>
    <n v="4"/>
    <n v="80"/>
    <n v="2"/>
    <n v="12"/>
    <n v="3"/>
    <n v="3"/>
    <n v="7"/>
    <n v="7"/>
    <n v="0"/>
    <n v="7"/>
    <x v="1"/>
    <x v="0"/>
    <n v="0"/>
    <n v="0"/>
    <x v="2"/>
    <x v="0"/>
    <n v="39"/>
  </r>
  <r>
    <n v="31"/>
    <x v="0"/>
    <s v="Non-Travel"/>
    <n v="335"/>
    <x v="1"/>
    <n v="9"/>
    <n v="2"/>
    <s v="Medical"/>
    <n v="1"/>
    <n v="991"/>
    <n v="3"/>
    <x v="1"/>
    <n v="46"/>
    <n v="2"/>
    <n v="1"/>
    <x v="1"/>
    <n v="1"/>
    <s v="Single"/>
    <n v="2321"/>
    <n v="10322"/>
    <n v="0"/>
    <s v="Y"/>
    <x v="0"/>
    <n v="22"/>
    <n v="4"/>
    <n v="1"/>
    <n v="80"/>
    <n v="0"/>
    <n v="4"/>
    <n v="0"/>
    <n v="3"/>
    <n v="3"/>
    <n v="2"/>
    <n v="1"/>
    <n v="2"/>
    <x v="1"/>
    <x v="1"/>
    <n v="1"/>
    <n v="1"/>
    <x v="0"/>
    <x v="1"/>
    <n v="90"/>
  </r>
  <r>
    <n v="33"/>
    <x v="1"/>
    <s v="Non-Travel"/>
    <n v="722"/>
    <x v="0"/>
    <n v="17"/>
    <n v="3"/>
    <s v="Life Sciences"/>
    <n v="1"/>
    <n v="992"/>
    <n v="4"/>
    <x v="1"/>
    <n v="38"/>
    <n v="3"/>
    <n v="4"/>
    <x v="5"/>
    <n v="3"/>
    <s v="Single"/>
    <n v="17444"/>
    <n v="20489"/>
    <n v="1"/>
    <s v="Y"/>
    <x v="1"/>
    <n v="11"/>
    <n v="3"/>
    <n v="4"/>
    <n v="80"/>
    <n v="0"/>
    <n v="10"/>
    <n v="2"/>
    <n v="3"/>
    <n v="10"/>
    <n v="8"/>
    <n v="6"/>
    <n v="0"/>
    <x v="1"/>
    <x v="2"/>
    <n v="0"/>
    <n v="0"/>
    <x v="3"/>
    <x v="0"/>
    <n v="46"/>
  </r>
  <r>
    <n v="29"/>
    <x v="0"/>
    <s v="Travel_Rarely"/>
    <n v="906"/>
    <x v="1"/>
    <n v="10"/>
    <n v="3"/>
    <s v="Life Sciences"/>
    <n v="1"/>
    <n v="994"/>
    <n v="4"/>
    <x v="0"/>
    <n v="92"/>
    <n v="2"/>
    <n v="1"/>
    <x v="1"/>
    <n v="1"/>
    <s v="Single"/>
    <n v="2404"/>
    <n v="11479"/>
    <n v="6"/>
    <s v="Y"/>
    <x v="0"/>
    <n v="20"/>
    <n v="4"/>
    <n v="3"/>
    <n v="80"/>
    <n v="0"/>
    <n v="3"/>
    <n v="5"/>
    <n v="3"/>
    <n v="0"/>
    <n v="0"/>
    <n v="0"/>
    <n v="0"/>
    <x v="2"/>
    <x v="1"/>
    <n v="1"/>
    <n v="1"/>
    <x v="3"/>
    <x v="1"/>
    <n v="110"/>
  </r>
  <r>
    <n v="33"/>
    <x v="1"/>
    <s v="Travel_Rarely"/>
    <n v="461"/>
    <x v="1"/>
    <n v="13"/>
    <n v="1"/>
    <s v="Life Sciences"/>
    <n v="1"/>
    <n v="995"/>
    <n v="2"/>
    <x v="0"/>
    <n v="53"/>
    <n v="3"/>
    <n v="1"/>
    <x v="1"/>
    <n v="4"/>
    <s v="Single"/>
    <n v="3452"/>
    <n v="17241"/>
    <n v="3"/>
    <s v="Y"/>
    <x v="1"/>
    <n v="18"/>
    <n v="3"/>
    <n v="1"/>
    <n v="80"/>
    <n v="0"/>
    <n v="5"/>
    <n v="4"/>
    <n v="3"/>
    <n v="3"/>
    <n v="2"/>
    <n v="0"/>
    <n v="2"/>
    <x v="1"/>
    <x v="1"/>
    <n v="0"/>
    <n v="0"/>
    <x v="1"/>
    <x v="0"/>
    <n v="46"/>
  </r>
  <r>
    <n v="45"/>
    <x v="1"/>
    <s v="Travel_Rarely"/>
    <n v="974"/>
    <x v="1"/>
    <n v="1"/>
    <n v="4"/>
    <s v="Medical"/>
    <n v="1"/>
    <n v="996"/>
    <n v="4"/>
    <x v="0"/>
    <n v="91"/>
    <n v="3"/>
    <n v="1"/>
    <x v="2"/>
    <n v="4"/>
    <s v="Divorced"/>
    <n v="2270"/>
    <n v="11005"/>
    <n v="3"/>
    <s v="Y"/>
    <x v="1"/>
    <n v="14"/>
    <n v="3"/>
    <n v="4"/>
    <n v="80"/>
    <n v="2"/>
    <n v="8"/>
    <n v="2"/>
    <n v="3"/>
    <n v="5"/>
    <n v="3"/>
    <n v="0"/>
    <n v="2"/>
    <x v="0"/>
    <x v="1"/>
    <n v="0"/>
    <n v="0"/>
    <x v="2"/>
    <x v="0"/>
    <n v="36"/>
  </r>
  <r>
    <n v="50"/>
    <x v="1"/>
    <s v="Travel_Rarely"/>
    <n v="1126"/>
    <x v="1"/>
    <n v="1"/>
    <n v="2"/>
    <s v="Medical"/>
    <n v="1"/>
    <n v="997"/>
    <n v="4"/>
    <x v="1"/>
    <n v="66"/>
    <n v="3"/>
    <n v="4"/>
    <x v="7"/>
    <n v="4"/>
    <s v="Divorced"/>
    <n v="17399"/>
    <n v="6615"/>
    <n v="9"/>
    <s v="Y"/>
    <x v="1"/>
    <n v="22"/>
    <n v="4"/>
    <n v="3"/>
    <n v="80"/>
    <n v="1"/>
    <n v="32"/>
    <n v="1"/>
    <n v="2"/>
    <n v="5"/>
    <n v="4"/>
    <n v="1"/>
    <n v="3"/>
    <x v="3"/>
    <x v="2"/>
    <n v="0"/>
    <n v="0"/>
    <x v="0"/>
    <x v="0"/>
    <n v="41"/>
  </r>
  <r>
    <n v="33"/>
    <x v="1"/>
    <s v="Travel_Frequently"/>
    <n v="827"/>
    <x v="1"/>
    <n v="1"/>
    <n v="4"/>
    <s v="Other"/>
    <n v="1"/>
    <n v="998"/>
    <n v="3"/>
    <x v="0"/>
    <n v="84"/>
    <n v="4"/>
    <n v="2"/>
    <x v="4"/>
    <n v="2"/>
    <s v="Married"/>
    <n v="5488"/>
    <n v="20161"/>
    <n v="1"/>
    <s v="Y"/>
    <x v="0"/>
    <n v="13"/>
    <n v="3"/>
    <n v="1"/>
    <n v="80"/>
    <n v="1"/>
    <n v="6"/>
    <n v="2"/>
    <n v="3"/>
    <n v="6"/>
    <n v="5"/>
    <n v="1"/>
    <n v="2"/>
    <x v="1"/>
    <x v="0"/>
    <n v="0"/>
    <n v="1"/>
    <x v="2"/>
    <x v="1"/>
    <n v="77"/>
  </r>
  <r>
    <n v="41"/>
    <x v="1"/>
    <s v="Travel_Frequently"/>
    <n v="840"/>
    <x v="1"/>
    <n v="9"/>
    <n v="3"/>
    <s v="Medical"/>
    <n v="1"/>
    <n v="999"/>
    <n v="1"/>
    <x v="1"/>
    <n v="64"/>
    <n v="3"/>
    <n v="5"/>
    <x v="7"/>
    <n v="3"/>
    <s v="Divorced"/>
    <n v="19419"/>
    <n v="3735"/>
    <n v="2"/>
    <s v="Y"/>
    <x v="1"/>
    <n v="17"/>
    <n v="3"/>
    <n v="2"/>
    <n v="80"/>
    <n v="1"/>
    <n v="21"/>
    <n v="2"/>
    <n v="4"/>
    <n v="18"/>
    <n v="16"/>
    <n v="0"/>
    <n v="11"/>
    <x v="0"/>
    <x v="2"/>
    <n v="0"/>
    <n v="0"/>
    <x v="3"/>
    <x v="2"/>
    <n v="31"/>
  </r>
  <r>
    <n v="27"/>
    <x v="1"/>
    <s v="Travel_Rarely"/>
    <n v="1134"/>
    <x v="1"/>
    <n v="16"/>
    <n v="4"/>
    <s v="Technical Degree"/>
    <n v="1"/>
    <n v="1001"/>
    <n v="3"/>
    <x v="0"/>
    <n v="37"/>
    <n v="3"/>
    <n v="1"/>
    <x v="2"/>
    <n v="2"/>
    <s v="Married"/>
    <n v="2811"/>
    <n v="12086"/>
    <n v="9"/>
    <s v="Y"/>
    <x v="1"/>
    <n v="14"/>
    <n v="3"/>
    <n v="2"/>
    <n v="80"/>
    <n v="1"/>
    <n v="4"/>
    <n v="2"/>
    <n v="3"/>
    <n v="2"/>
    <n v="2"/>
    <n v="2"/>
    <n v="2"/>
    <x v="2"/>
    <x v="1"/>
    <n v="0"/>
    <n v="0"/>
    <x v="2"/>
    <x v="1"/>
    <n v="79"/>
  </r>
  <r>
    <n v="45"/>
    <x v="1"/>
    <s v="Non-Travel"/>
    <n v="248"/>
    <x v="1"/>
    <n v="23"/>
    <n v="2"/>
    <s v="Life Sciences"/>
    <n v="1"/>
    <n v="1002"/>
    <n v="4"/>
    <x v="1"/>
    <n v="42"/>
    <n v="3"/>
    <n v="2"/>
    <x v="2"/>
    <n v="1"/>
    <s v="Married"/>
    <n v="3633"/>
    <n v="14039"/>
    <n v="1"/>
    <s v="Y"/>
    <x v="0"/>
    <n v="15"/>
    <n v="3"/>
    <n v="3"/>
    <n v="80"/>
    <n v="1"/>
    <n v="9"/>
    <n v="2"/>
    <n v="3"/>
    <n v="9"/>
    <n v="8"/>
    <n v="0"/>
    <n v="8"/>
    <x v="0"/>
    <x v="1"/>
    <n v="0"/>
    <n v="1"/>
    <x v="0"/>
    <x v="1"/>
    <n v="73"/>
  </r>
  <r>
    <n v="47"/>
    <x v="1"/>
    <s v="Travel_Rarely"/>
    <n v="955"/>
    <x v="0"/>
    <n v="4"/>
    <n v="2"/>
    <s v="Life Sciences"/>
    <n v="1"/>
    <n v="1003"/>
    <n v="4"/>
    <x v="0"/>
    <n v="83"/>
    <n v="3"/>
    <n v="2"/>
    <x v="0"/>
    <n v="4"/>
    <s v="Single"/>
    <n v="4163"/>
    <n v="8571"/>
    <n v="1"/>
    <s v="Y"/>
    <x v="0"/>
    <n v="17"/>
    <n v="3"/>
    <n v="3"/>
    <n v="80"/>
    <n v="0"/>
    <n v="9"/>
    <n v="0"/>
    <n v="3"/>
    <n v="9"/>
    <n v="0"/>
    <n v="0"/>
    <n v="7"/>
    <x v="0"/>
    <x v="1"/>
    <n v="0"/>
    <n v="1"/>
    <x v="0"/>
    <x v="0"/>
    <n v="54"/>
  </r>
  <r>
    <n v="30"/>
    <x v="0"/>
    <s v="Travel_Rarely"/>
    <n v="138"/>
    <x v="1"/>
    <n v="22"/>
    <n v="3"/>
    <s v="Life Sciences"/>
    <n v="1"/>
    <n v="1004"/>
    <n v="1"/>
    <x v="0"/>
    <n v="48"/>
    <n v="3"/>
    <n v="1"/>
    <x v="1"/>
    <n v="3"/>
    <s v="Married"/>
    <n v="2132"/>
    <n v="11539"/>
    <n v="4"/>
    <s v="Y"/>
    <x v="0"/>
    <n v="11"/>
    <n v="3"/>
    <n v="2"/>
    <n v="80"/>
    <n v="0"/>
    <n v="7"/>
    <n v="2"/>
    <n v="3"/>
    <n v="5"/>
    <n v="2"/>
    <n v="0"/>
    <n v="1"/>
    <x v="1"/>
    <x v="1"/>
    <n v="1"/>
    <n v="1"/>
    <x v="3"/>
    <x v="1"/>
    <n v="78"/>
  </r>
  <r>
    <n v="50"/>
    <x v="1"/>
    <s v="Travel_Rarely"/>
    <n v="939"/>
    <x v="1"/>
    <n v="24"/>
    <n v="3"/>
    <s v="Life Sciences"/>
    <n v="1"/>
    <n v="1005"/>
    <n v="4"/>
    <x v="1"/>
    <n v="95"/>
    <n v="3"/>
    <n v="4"/>
    <x v="3"/>
    <n v="3"/>
    <s v="Married"/>
    <n v="13973"/>
    <n v="4161"/>
    <n v="3"/>
    <s v="Y"/>
    <x v="0"/>
    <n v="18"/>
    <n v="3"/>
    <n v="4"/>
    <n v="80"/>
    <n v="1"/>
    <n v="22"/>
    <n v="2"/>
    <n v="3"/>
    <n v="12"/>
    <n v="11"/>
    <n v="1"/>
    <n v="5"/>
    <x v="3"/>
    <x v="0"/>
    <n v="0"/>
    <n v="1"/>
    <x v="3"/>
    <x v="1"/>
    <n v="61"/>
  </r>
  <r>
    <n v="38"/>
    <x v="1"/>
    <s v="Travel_Frequently"/>
    <n v="1391"/>
    <x v="1"/>
    <n v="10"/>
    <n v="1"/>
    <s v="Medical"/>
    <n v="1"/>
    <n v="1006"/>
    <n v="3"/>
    <x v="1"/>
    <n v="66"/>
    <n v="3"/>
    <n v="1"/>
    <x v="1"/>
    <n v="3"/>
    <s v="Married"/>
    <n v="2684"/>
    <n v="12127"/>
    <n v="0"/>
    <s v="Y"/>
    <x v="1"/>
    <n v="17"/>
    <n v="3"/>
    <n v="2"/>
    <n v="80"/>
    <n v="1"/>
    <n v="3"/>
    <n v="0"/>
    <n v="2"/>
    <n v="2"/>
    <n v="1"/>
    <n v="0"/>
    <n v="2"/>
    <x v="1"/>
    <x v="1"/>
    <n v="0"/>
    <n v="0"/>
    <x v="1"/>
    <x v="1"/>
    <n v="63"/>
  </r>
  <r>
    <n v="46"/>
    <x v="1"/>
    <s v="Travel_Rarely"/>
    <n v="566"/>
    <x v="1"/>
    <n v="7"/>
    <n v="2"/>
    <s v="Medical"/>
    <n v="1"/>
    <n v="1007"/>
    <n v="4"/>
    <x v="1"/>
    <n v="75"/>
    <n v="3"/>
    <n v="3"/>
    <x v="3"/>
    <n v="3"/>
    <s v="Divorced"/>
    <n v="10845"/>
    <n v="24208"/>
    <n v="6"/>
    <s v="Y"/>
    <x v="1"/>
    <n v="13"/>
    <n v="3"/>
    <n v="2"/>
    <n v="80"/>
    <n v="1"/>
    <n v="13"/>
    <n v="3"/>
    <n v="3"/>
    <n v="8"/>
    <n v="7"/>
    <n v="0"/>
    <n v="7"/>
    <x v="0"/>
    <x v="0"/>
    <n v="0"/>
    <n v="0"/>
    <x v="0"/>
    <x v="0"/>
    <n v="36"/>
  </r>
  <r>
    <n v="24"/>
    <x v="1"/>
    <s v="Travel_Rarely"/>
    <n v="1206"/>
    <x v="1"/>
    <n v="17"/>
    <n v="1"/>
    <s v="Medical"/>
    <n v="1"/>
    <n v="1009"/>
    <n v="4"/>
    <x v="0"/>
    <n v="41"/>
    <n v="2"/>
    <n v="2"/>
    <x v="3"/>
    <n v="3"/>
    <s v="Divorced"/>
    <n v="4377"/>
    <n v="24117"/>
    <n v="1"/>
    <s v="Y"/>
    <x v="1"/>
    <n v="15"/>
    <n v="3"/>
    <n v="2"/>
    <n v="80"/>
    <n v="2"/>
    <n v="5"/>
    <n v="6"/>
    <n v="3"/>
    <n v="4"/>
    <n v="2"/>
    <n v="3"/>
    <n v="2"/>
    <x v="2"/>
    <x v="1"/>
    <n v="0"/>
    <n v="0"/>
    <x v="1"/>
    <x v="1"/>
    <n v="63"/>
  </r>
  <r>
    <n v="35"/>
    <x v="0"/>
    <s v="Travel_Rarely"/>
    <n v="622"/>
    <x v="1"/>
    <n v="14"/>
    <n v="4"/>
    <s v="Other"/>
    <n v="1"/>
    <n v="1010"/>
    <n v="3"/>
    <x v="1"/>
    <n v="39"/>
    <n v="2"/>
    <n v="1"/>
    <x v="2"/>
    <n v="2"/>
    <s v="Divorced"/>
    <n v="3743"/>
    <n v="10074"/>
    <n v="1"/>
    <s v="Y"/>
    <x v="0"/>
    <n v="24"/>
    <n v="4"/>
    <n v="4"/>
    <n v="80"/>
    <n v="1"/>
    <n v="5"/>
    <n v="2"/>
    <n v="1"/>
    <n v="4"/>
    <n v="2"/>
    <n v="0"/>
    <n v="2"/>
    <x v="1"/>
    <x v="1"/>
    <n v="1"/>
    <n v="1"/>
    <x v="2"/>
    <x v="1"/>
    <n v="84"/>
  </r>
  <r>
    <n v="31"/>
    <x v="1"/>
    <s v="Travel_Frequently"/>
    <n v="853"/>
    <x v="1"/>
    <n v="1"/>
    <n v="1"/>
    <s v="Life Sciences"/>
    <n v="1"/>
    <n v="1011"/>
    <n v="3"/>
    <x v="0"/>
    <n v="96"/>
    <n v="3"/>
    <n v="2"/>
    <x v="3"/>
    <n v="1"/>
    <s v="Married"/>
    <n v="4148"/>
    <n v="11275"/>
    <n v="1"/>
    <s v="Y"/>
    <x v="1"/>
    <n v="12"/>
    <n v="3"/>
    <n v="3"/>
    <n v="80"/>
    <n v="1"/>
    <n v="4"/>
    <n v="1"/>
    <n v="3"/>
    <n v="4"/>
    <n v="3"/>
    <n v="0"/>
    <n v="3"/>
    <x v="1"/>
    <x v="1"/>
    <n v="0"/>
    <n v="0"/>
    <x v="1"/>
    <x v="1"/>
    <n v="65"/>
  </r>
  <r>
    <n v="18"/>
    <x v="1"/>
    <s v="Non-Travel"/>
    <n v="287"/>
    <x v="1"/>
    <n v="5"/>
    <n v="2"/>
    <s v="Life Sciences"/>
    <n v="1"/>
    <n v="1012"/>
    <n v="2"/>
    <x v="1"/>
    <n v="73"/>
    <n v="3"/>
    <n v="1"/>
    <x v="1"/>
    <n v="4"/>
    <s v="Single"/>
    <n v="1051"/>
    <n v="13493"/>
    <n v="1"/>
    <s v="Y"/>
    <x v="1"/>
    <n v="15"/>
    <n v="3"/>
    <n v="4"/>
    <n v="80"/>
    <n v="0"/>
    <n v="0"/>
    <n v="2"/>
    <n v="3"/>
    <n v="0"/>
    <n v="0"/>
    <n v="0"/>
    <n v="0"/>
    <x v="2"/>
    <x v="1"/>
    <n v="0"/>
    <n v="0"/>
    <x v="0"/>
    <x v="1"/>
    <n v="66"/>
  </r>
  <r>
    <n v="54"/>
    <x v="1"/>
    <s v="Travel_Rarely"/>
    <n v="1441"/>
    <x v="1"/>
    <n v="17"/>
    <n v="3"/>
    <s v="Technical Degree"/>
    <n v="1"/>
    <n v="1013"/>
    <n v="3"/>
    <x v="0"/>
    <n v="56"/>
    <n v="3"/>
    <n v="3"/>
    <x v="3"/>
    <n v="3"/>
    <s v="Married"/>
    <n v="10739"/>
    <n v="13943"/>
    <n v="8"/>
    <s v="Y"/>
    <x v="1"/>
    <n v="11"/>
    <n v="3"/>
    <n v="3"/>
    <n v="80"/>
    <n v="1"/>
    <n v="22"/>
    <n v="2"/>
    <n v="3"/>
    <n v="10"/>
    <n v="7"/>
    <n v="0"/>
    <n v="8"/>
    <x v="3"/>
    <x v="0"/>
    <n v="0"/>
    <n v="0"/>
    <x v="3"/>
    <x v="0"/>
    <n v="41"/>
  </r>
  <r>
    <n v="35"/>
    <x v="1"/>
    <s v="Travel_Rarely"/>
    <n v="583"/>
    <x v="1"/>
    <n v="25"/>
    <n v="4"/>
    <s v="Medical"/>
    <n v="1"/>
    <n v="1014"/>
    <n v="3"/>
    <x v="0"/>
    <n v="57"/>
    <n v="3"/>
    <n v="3"/>
    <x v="4"/>
    <n v="3"/>
    <s v="Divorced"/>
    <n v="10388"/>
    <n v="6975"/>
    <n v="1"/>
    <s v="Y"/>
    <x v="0"/>
    <n v="11"/>
    <n v="3"/>
    <n v="3"/>
    <n v="80"/>
    <n v="1"/>
    <n v="16"/>
    <n v="3"/>
    <n v="2"/>
    <n v="16"/>
    <n v="10"/>
    <n v="10"/>
    <n v="1"/>
    <x v="1"/>
    <x v="0"/>
    <n v="0"/>
    <n v="1"/>
    <x v="2"/>
    <x v="1"/>
    <n v="66"/>
  </r>
  <r>
    <n v="30"/>
    <x v="1"/>
    <s v="Travel_Rarely"/>
    <n v="153"/>
    <x v="1"/>
    <n v="8"/>
    <n v="2"/>
    <s v="Life Sciences"/>
    <n v="1"/>
    <n v="1015"/>
    <n v="2"/>
    <x v="0"/>
    <n v="73"/>
    <n v="4"/>
    <n v="3"/>
    <x v="7"/>
    <n v="1"/>
    <s v="Married"/>
    <n v="11416"/>
    <n v="17802"/>
    <n v="0"/>
    <s v="Y"/>
    <x v="0"/>
    <n v="12"/>
    <n v="3"/>
    <n v="3"/>
    <n v="80"/>
    <n v="3"/>
    <n v="9"/>
    <n v="4"/>
    <n v="2"/>
    <n v="8"/>
    <n v="7"/>
    <n v="1"/>
    <n v="7"/>
    <x v="1"/>
    <x v="0"/>
    <n v="0"/>
    <n v="1"/>
    <x v="0"/>
    <x v="1"/>
    <n v="83"/>
  </r>
  <r>
    <n v="20"/>
    <x v="0"/>
    <s v="Travel_Rarely"/>
    <n v="1097"/>
    <x v="1"/>
    <n v="11"/>
    <n v="3"/>
    <s v="Medical"/>
    <n v="1"/>
    <n v="1016"/>
    <n v="4"/>
    <x v="0"/>
    <n v="98"/>
    <n v="2"/>
    <n v="1"/>
    <x v="1"/>
    <n v="1"/>
    <s v="Single"/>
    <n v="2600"/>
    <n v="18275"/>
    <n v="1"/>
    <s v="Y"/>
    <x v="0"/>
    <n v="15"/>
    <n v="3"/>
    <n v="1"/>
    <n v="80"/>
    <n v="0"/>
    <n v="1"/>
    <n v="2"/>
    <n v="3"/>
    <n v="1"/>
    <n v="0"/>
    <n v="0"/>
    <n v="0"/>
    <x v="2"/>
    <x v="1"/>
    <n v="1"/>
    <n v="1"/>
    <x v="3"/>
    <x v="1"/>
    <n v="110"/>
  </r>
  <r>
    <n v="30"/>
    <x v="0"/>
    <s v="Travel_Frequently"/>
    <n v="109"/>
    <x v="1"/>
    <n v="5"/>
    <n v="3"/>
    <s v="Medical"/>
    <n v="1"/>
    <n v="1017"/>
    <n v="2"/>
    <x v="0"/>
    <n v="60"/>
    <n v="3"/>
    <n v="1"/>
    <x v="2"/>
    <n v="2"/>
    <s v="Single"/>
    <n v="2422"/>
    <n v="25725"/>
    <n v="0"/>
    <s v="Y"/>
    <x v="1"/>
    <n v="17"/>
    <n v="3"/>
    <n v="1"/>
    <n v="80"/>
    <n v="0"/>
    <n v="4"/>
    <n v="3"/>
    <n v="3"/>
    <n v="3"/>
    <n v="2"/>
    <n v="1"/>
    <n v="2"/>
    <x v="1"/>
    <x v="1"/>
    <n v="1"/>
    <n v="0"/>
    <x v="3"/>
    <x v="1"/>
    <n v="59"/>
  </r>
  <r>
    <n v="26"/>
    <x v="1"/>
    <s v="Travel_Rarely"/>
    <n v="1066"/>
    <x v="1"/>
    <n v="2"/>
    <n v="2"/>
    <s v="Medical"/>
    <n v="1"/>
    <n v="1018"/>
    <n v="4"/>
    <x v="1"/>
    <n v="32"/>
    <n v="4"/>
    <n v="2"/>
    <x v="3"/>
    <n v="4"/>
    <s v="Married"/>
    <n v="5472"/>
    <n v="3334"/>
    <n v="1"/>
    <s v="Y"/>
    <x v="1"/>
    <n v="12"/>
    <n v="3"/>
    <n v="2"/>
    <n v="80"/>
    <n v="0"/>
    <n v="8"/>
    <n v="2"/>
    <n v="3"/>
    <n v="8"/>
    <n v="7"/>
    <n v="1"/>
    <n v="3"/>
    <x v="2"/>
    <x v="0"/>
    <n v="0"/>
    <n v="0"/>
    <x v="0"/>
    <x v="0"/>
    <n v="49"/>
  </r>
  <r>
    <n v="22"/>
    <x v="1"/>
    <s v="Travel_Rarely"/>
    <n v="217"/>
    <x v="1"/>
    <n v="8"/>
    <n v="1"/>
    <s v="Life Sciences"/>
    <n v="1"/>
    <n v="1019"/>
    <n v="2"/>
    <x v="1"/>
    <n v="94"/>
    <n v="1"/>
    <n v="1"/>
    <x v="2"/>
    <n v="1"/>
    <s v="Married"/>
    <n v="2451"/>
    <n v="6881"/>
    <n v="1"/>
    <s v="Y"/>
    <x v="1"/>
    <n v="15"/>
    <n v="3"/>
    <n v="1"/>
    <n v="80"/>
    <n v="1"/>
    <n v="4"/>
    <n v="3"/>
    <n v="2"/>
    <n v="4"/>
    <n v="3"/>
    <n v="1"/>
    <n v="1"/>
    <x v="2"/>
    <x v="1"/>
    <n v="0"/>
    <n v="0"/>
    <x v="1"/>
    <x v="1"/>
    <n v="75"/>
  </r>
  <r>
    <n v="48"/>
    <x v="1"/>
    <s v="Travel_Rarely"/>
    <n v="277"/>
    <x v="1"/>
    <n v="6"/>
    <n v="3"/>
    <s v="Life Sciences"/>
    <n v="1"/>
    <n v="1022"/>
    <n v="1"/>
    <x v="1"/>
    <n v="97"/>
    <n v="2"/>
    <n v="2"/>
    <x v="4"/>
    <n v="3"/>
    <s v="Single"/>
    <n v="4240"/>
    <n v="13119"/>
    <n v="2"/>
    <s v="Y"/>
    <x v="1"/>
    <n v="13"/>
    <n v="3"/>
    <n v="4"/>
    <n v="80"/>
    <n v="0"/>
    <n v="19"/>
    <n v="0"/>
    <n v="3"/>
    <n v="2"/>
    <n v="2"/>
    <n v="2"/>
    <n v="2"/>
    <x v="0"/>
    <x v="1"/>
    <n v="0"/>
    <n v="0"/>
    <x v="3"/>
    <x v="0"/>
    <n v="53"/>
  </r>
  <r>
    <n v="48"/>
    <x v="1"/>
    <s v="Travel_Rarely"/>
    <n v="1355"/>
    <x v="1"/>
    <n v="4"/>
    <n v="4"/>
    <s v="Life Sciences"/>
    <n v="1"/>
    <n v="1024"/>
    <n v="3"/>
    <x v="1"/>
    <n v="78"/>
    <n v="2"/>
    <n v="3"/>
    <x v="4"/>
    <n v="3"/>
    <s v="Single"/>
    <n v="10999"/>
    <n v="22245"/>
    <n v="7"/>
    <s v="Y"/>
    <x v="1"/>
    <n v="14"/>
    <n v="3"/>
    <n v="2"/>
    <n v="80"/>
    <n v="0"/>
    <n v="27"/>
    <n v="3"/>
    <n v="3"/>
    <n v="15"/>
    <n v="11"/>
    <n v="4"/>
    <n v="8"/>
    <x v="0"/>
    <x v="0"/>
    <n v="0"/>
    <n v="0"/>
    <x v="2"/>
    <x v="2"/>
    <n v="31"/>
  </r>
  <r>
    <n v="41"/>
    <x v="1"/>
    <s v="Travel_Rarely"/>
    <n v="549"/>
    <x v="1"/>
    <n v="7"/>
    <n v="2"/>
    <s v="Medical"/>
    <n v="1"/>
    <n v="1025"/>
    <n v="4"/>
    <x v="0"/>
    <n v="42"/>
    <n v="3"/>
    <n v="2"/>
    <x v="3"/>
    <n v="3"/>
    <s v="Single"/>
    <n v="5003"/>
    <n v="23371"/>
    <n v="6"/>
    <s v="Y"/>
    <x v="1"/>
    <n v="14"/>
    <n v="3"/>
    <n v="2"/>
    <n v="80"/>
    <n v="0"/>
    <n v="8"/>
    <n v="6"/>
    <n v="3"/>
    <n v="2"/>
    <n v="2"/>
    <n v="2"/>
    <n v="1"/>
    <x v="0"/>
    <x v="0"/>
    <n v="0"/>
    <n v="0"/>
    <x v="0"/>
    <x v="0"/>
    <n v="53"/>
  </r>
  <r>
    <n v="39"/>
    <x v="1"/>
    <s v="Travel_Rarely"/>
    <n v="466"/>
    <x v="1"/>
    <n v="1"/>
    <n v="1"/>
    <s v="Life Sciences"/>
    <n v="1"/>
    <n v="1026"/>
    <n v="4"/>
    <x v="0"/>
    <n v="65"/>
    <n v="2"/>
    <n v="4"/>
    <x v="3"/>
    <n v="4"/>
    <s v="Married"/>
    <n v="12742"/>
    <n v="7060"/>
    <n v="1"/>
    <s v="Y"/>
    <x v="1"/>
    <n v="16"/>
    <n v="3"/>
    <n v="3"/>
    <n v="80"/>
    <n v="1"/>
    <n v="21"/>
    <n v="3"/>
    <n v="3"/>
    <n v="21"/>
    <n v="6"/>
    <n v="11"/>
    <n v="8"/>
    <x v="1"/>
    <x v="0"/>
    <n v="0"/>
    <n v="0"/>
    <x v="1"/>
    <x v="2"/>
    <n v="34"/>
  </r>
  <r>
    <n v="27"/>
    <x v="1"/>
    <s v="Travel_Rarely"/>
    <n v="1055"/>
    <x v="1"/>
    <n v="2"/>
    <n v="4"/>
    <s v="Life Sciences"/>
    <n v="1"/>
    <n v="1027"/>
    <n v="1"/>
    <x v="0"/>
    <n v="47"/>
    <n v="3"/>
    <n v="2"/>
    <x v="3"/>
    <n v="4"/>
    <s v="Married"/>
    <n v="4227"/>
    <n v="4658"/>
    <n v="0"/>
    <s v="Y"/>
    <x v="1"/>
    <n v="18"/>
    <n v="3"/>
    <n v="2"/>
    <n v="80"/>
    <n v="1"/>
    <n v="4"/>
    <n v="2"/>
    <n v="3"/>
    <n v="3"/>
    <n v="2"/>
    <n v="2"/>
    <n v="2"/>
    <x v="2"/>
    <x v="1"/>
    <n v="0"/>
    <n v="0"/>
    <x v="2"/>
    <x v="1"/>
    <n v="56"/>
  </r>
  <r>
    <n v="35"/>
    <x v="1"/>
    <s v="Travel_Rarely"/>
    <n v="802"/>
    <x v="1"/>
    <n v="10"/>
    <n v="3"/>
    <s v="Other"/>
    <n v="1"/>
    <n v="1028"/>
    <n v="2"/>
    <x v="1"/>
    <n v="45"/>
    <n v="3"/>
    <n v="1"/>
    <x v="2"/>
    <n v="4"/>
    <s v="Divorced"/>
    <n v="3917"/>
    <n v="9541"/>
    <n v="1"/>
    <s v="Y"/>
    <x v="1"/>
    <n v="20"/>
    <n v="4"/>
    <n v="1"/>
    <n v="80"/>
    <n v="1"/>
    <n v="3"/>
    <n v="4"/>
    <n v="2"/>
    <n v="3"/>
    <n v="2"/>
    <n v="1"/>
    <n v="2"/>
    <x v="1"/>
    <x v="1"/>
    <n v="0"/>
    <n v="0"/>
    <x v="3"/>
    <x v="0"/>
    <n v="46"/>
  </r>
  <r>
    <n v="42"/>
    <x v="1"/>
    <s v="Travel_Rarely"/>
    <n v="265"/>
    <x v="0"/>
    <n v="5"/>
    <n v="2"/>
    <s v="Marketing"/>
    <n v="1"/>
    <n v="1029"/>
    <n v="4"/>
    <x v="1"/>
    <n v="90"/>
    <n v="3"/>
    <n v="5"/>
    <x v="5"/>
    <n v="3"/>
    <s v="Married"/>
    <n v="18303"/>
    <n v="7770"/>
    <n v="6"/>
    <s v="Y"/>
    <x v="1"/>
    <n v="13"/>
    <n v="3"/>
    <n v="2"/>
    <n v="80"/>
    <n v="0"/>
    <n v="21"/>
    <n v="3"/>
    <n v="4"/>
    <n v="1"/>
    <n v="0"/>
    <n v="0"/>
    <n v="0"/>
    <x v="0"/>
    <x v="2"/>
    <n v="0"/>
    <n v="0"/>
    <x v="0"/>
    <x v="0"/>
    <n v="53"/>
  </r>
  <r>
    <n v="50"/>
    <x v="1"/>
    <s v="Travel_Rarely"/>
    <n v="804"/>
    <x v="1"/>
    <n v="9"/>
    <n v="3"/>
    <s v="Life Sciences"/>
    <n v="1"/>
    <n v="1030"/>
    <n v="1"/>
    <x v="1"/>
    <n v="64"/>
    <n v="3"/>
    <n v="1"/>
    <x v="2"/>
    <n v="4"/>
    <s v="Married"/>
    <n v="2380"/>
    <n v="20165"/>
    <n v="4"/>
    <s v="Y"/>
    <x v="1"/>
    <n v="18"/>
    <n v="3"/>
    <n v="2"/>
    <n v="80"/>
    <n v="0"/>
    <n v="8"/>
    <n v="5"/>
    <n v="3"/>
    <n v="1"/>
    <n v="0"/>
    <n v="0"/>
    <n v="0"/>
    <x v="3"/>
    <x v="1"/>
    <n v="0"/>
    <n v="0"/>
    <x v="3"/>
    <x v="0"/>
    <n v="51"/>
  </r>
  <r>
    <n v="59"/>
    <x v="1"/>
    <s v="Travel_Rarely"/>
    <n v="715"/>
    <x v="1"/>
    <n v="2"/>
    <n v="3"/>
    <s v="Life Sciences"/>
    <n v="1"/>
    <n v="1032"/>
    <n v="3"/>
    <x v="0"/>
    <n v="69"/>
    <n v="2"/>
    <n v="4"/>
    <x v="3"/>
    <n v="4"/>
    <s v="Single"/>
    <n v="13726"/>
    <n v="21829"/>
    <n v="3"/>
    <s v="Y"/>
    <x v="0"/>
    <n v="13"/>
    <n v="3"/>
    <n v="1"/>
    <n v="80"/>
    <n v="0"/>
    <n v="30"/>
    <n v="4"/>
    <n v="3"/>
    <n v="5"/>
    <n v="3"/>
    <n v="4"/>
    <n v="3"/>
    <x v="3"/>
    <x v="0"/>
    <n v="0"/>
    <n v="1"/>
    <x v="3"/>
    <x v="1"/>
    <n v="66"/>
  </r>
  <r>
    <n v="37"/>
    <x v="0"/>
    <s v="Travel_Rarely"/>
    <n v="1141"/>
    <x v="1"/>
    <n v="11"/>
    <n v="2"/>
    <s v="Medical"/>
    <n v="1"/>
    <n v="1033"/>
    <n v="1"/>
    <x v="0"/>
    <n v="61"/>
    <n v="1"/>
    <n v="2"/>
    <x v="4"/>
    <n v="2"/>
    <s v="Married"/>
    <n v="4777"/>
    <n v="14382"/>
    <n v="5"/>
    <s v="Y"/>
    <x v="1"/>
    <n v="15"/>
    <n v="3"/>
    <n v="1"/>
    <n v="80"/>
    <n v="0"/>
    <n v="15"/>
    <n v="2"/>
    <n v="1"/>
    <n v="1"/>
    <n v="0"/>
    <n v="0"/>
    <n v="0"/>
    <x v="1"/>
    <x v="1"/>
    <n v="1"/>
    <n v="0"/>
    <x v="0"/>
    <x v="1"/>
    <n v="69"/>
  </r>
  <r>
    <n v="55"/>
    <x v="1"/>
    <s v="Travel_Frequently"/>
    <n v="135"/>
    <x v="1"/>
    <n v="18"/>
    <n v="4"/>
    <s v="Medical"/>
    <n v="1"/>
    <n v="1034"/>
    <n v="3"/>
    <x v="1"/>
    <n v="62"/>
    <n v="3"/>
    <n v="2"/>
    <x v="4"/>
    <n v="2"/>
    <s v="Married"/>
    <n v="6385"/>
    <n v="12992"/>
    <n v="3"/>
    <s v="Y"/>
    <x v="0"/>
    <n v="14"/>
    <n v="3"/>
    <n v="4"/>
    <n v="80"/>
    <n v="2"/>
    <n v="17"/>
    <n v="3"/>
    <n v="3"/>
    <n v="8"/>
    <n v="7"/>
    <n v="6"/>
    <n v="7"/>
    <x v="3"/>
    <x v="0"/>
    <n v="0"/>
    <n v="1"/>
    <x v="2"/>
    <x v="1"/>
    <n v="72"/>
  </r>
  <r>
    <n v="41"/>
    <x v="1"/>
    <s v="Non-Travel"/>
    <n v="247"/>
    <x v="1"/>
    <n v="7"/>
    <n v="1"/>
    <s v="Life Sciences"/>
    <n v="1"/>
    <n v="1035"/>
    <n v="2"/>
    <x v="0"/>
    <n v="55"/>
    <n v="1"/>
    <n v="5"/>
    <x v="7"/>
    <n v="3"/>
    <s v="Divorced"/>
    <n v="19973"/>
    <n v="20284"/>
    <n v="1"/>
    <s v="Y"/>
    <x v="1"/>
    <n v="22"/>
    <n v="4"/>
    <n v="2"/>
    <n v="80"/>
    <n v="2"/>
    <n v="21"/>
    <n v="3"/>
    <n v="3"/>
    <n v="21"/>
    <n v="16"/>
    <n v="5"/>
    <n v="10"/>
    <x v="0"/>
    <x v="2"/>
    <n v="0"/>
    <n v="0"/>
    <x v="1"/>
    <x v="2"/>
    <n v="31"/>
  </r>
  <r>
    <n v="38"/>
    <x v="1"/>
    <s v="Travel_Rarely"/>
    <n v="1035"/>
    <x v="0"/>
    <n v="3"/>
    <n v="4"/>
    <s v="Life Sciences"/>
    <n v="1"/>
    <n v="1036"/>
    <n v="2"/>
    <x v="1"/>
    <n v="42"/>
    <n v="3"/>
    <n v="2"/>
    <x v="0"/>
    <n v="4"/>
    <s v="Single"/>
    <n v="6861"/>
    <n v="4981"/>
    <n v="8"/>
    <s v="Y"/>
    <x v="0"/>
    <n v="12"/>
    <n v="3"/>
    <n v="3"/>
    <n v="80"/>
    <n v="0"/>
    <n v="19"/>
    <n v="1"/>
    <n v="3"/>
    <n v="1"/>
    <n v="0"/>
    <n v="0"/>
    <n v="0"/>
    <x v="1"/>
    <x v="0"/>
    <n v="0"/>
    <n v="1"/>
    <x v="2"/>
    <x v="1"/>
    <n v="81"/>
  </r>
  <r>
    <n v="26"/>
    <x v="0"/>
    <s v="Non-Travel"/>
    <n v="265"/>
    <x v="0"/>
    <n v="29"/>
    <n v="2"/>
    <s v="Medical"/>
    <n v="1"/>
    <n v="1037"/>
    <n v="2"/>
    <x v="1"/>
    <n v="79"/>
    <n v="1"/>
    <n v="2"/>
    <x v="0"/>
    <n v="1"/>
    <s v="Single"/>
    <n v="4969"/>
    <n v="21813"/>
    <n v="8"/>
    <s v="Y"/>
    <x v="1"/>
    <n v="18"/>
    <n v="3"/>
    <n v="4"/>
    <n v="80"/>
    <n v="0"/>
    <n v="7"/>
    <n v="6"/>
    <n v="3"/>
    <n v="2"/>
    <n v="2"/>
    <n v="2"/>
    <n v="2"/>
    <x v="2"/>
    <x v="1"/>
    <n v="1"/>
    <n v="0"/>
    <x v="0"/>
    <x v="1"/>
    <n v="85"/>
  </r>
  <r>
    <n v="52"/>
    <x v="0"/>
    <s v="Travel_Rarely"/>
    <n v="266"/>
    <x v="0"/>
    <n v="2"/>
    <n v="1"/>
    <s v="Marketing"/>
    <n v="1"/>
    <n v="1038"/>
    <n v="1"/>
    <x v="0"/>
    <n v="57"/>
    <n v="1"/>
    <n v="5"/>
    <x v="5"/>
    <n v="4"/>
    <s v="Married"/>
    <n v="19845"/>
    <n v="25846"/>
    <n v="1"/>
    <s v="Y"/>
    <x v="1"/>
    <n v="15"/>
    <n v="3"/>
    <n v="4"/>
    <n v="80"/>
    <n v="1"/>
    <n v="33"/>
    <n v="3"/>
    <n v="3"/>
    <n v="32"/>
    <n v="14"/>
    <n v="6"/>
    <n v="9"/>
    <x v="3"/>
    <x v="2"/>
    <n v="1"/>
    <n v="0"/>
    <x v="1"/>
    <x v="2"/>
    <n v="29"/>
  </r>
  <r>
    <n v="44"/>
    <x v="1"/>
    <s v="Travel_Rarely"/>
    <n v="1448"/>
    <x v="0"/>
    <n v="28"/>
    <n v="3"/>
    <s v="Medical"/>
    <n v="1"/>
    <n v="1039"/>
    <n v="4"/>
    <x v="0"/>
    <n v="53"/>
    <n v="4"/>
    <n v="4"/>
    <x v="0"/>
    <n v="4"/>
    <s v="Married"/>
    <n v="13320"/>
    <n v="11737"/>
    <n v="3"/>
    <s v="Y"/>
    <x v="0"/>
    <n v="18"/>
    <n v="3"/>
    <n v="3"/>
    <n v="80"/>
    <n v="1"/>
    <n v="23"/>
    <n v="2"/>
    <n v="3"/>
    <n v="12"/>
    <n v="11"/>
    <n v="11"/>
    <n v="11"/>
    <x v="0"/>
    <x v="0"/>
    <n v="0"/>
    <n v="1"/>
    <x v="3"/>
    <x v="0"/>
    <n v="49"/>
  </r>
  <r>
    <n v="50"/>
    <x v="1"/>
    <s v="Non-Travel"/>
    <n v="145"/>
    <x v="0"/>
    <n v="1"/>
    <n v="3"/>
    <s v="Life Sciences"/>
    <n v="1"/>
    <n v="1040"/>
    <n v="4"/>
    <x v="0"/>
    <n v="95"/>
    <n v="3"/>
    <n v="2"/>
    <x v="0"/>
    <n v="3"/>
    <s v="Married"/>
    <n v="6347"/>
    <n v="24920"/>
    <n v="0"/>
    <s v="Y"/>
    <x v="1"/>
    <n v="12"/>
    <n v="3"/>
    <n v="1"/>
    <n v="80"/>
    <n v="1"/>
    <n v="19"/>
    <n v="3"/>
    <n v="3"/>
    <n v="18"/>
    <n v="7"/>
    <n v="0"/>
    <n v="13"/>
    <x v="3"/>
    <x v="0"/>
    <n v="0"/>
    <n v="0"/>
    <x v="3"/>
    <x v="0"/>
    <n v="36"/>
  </r>
  <r>
    <n v="36"/>
    <x v="0"/>
    <s v="Travel_Rarely"/>
    <n v="885"/>
    <x v="1"/>
    <n v="16"/>
    <n v="4"/>
    <s v="Life Sciences"/>
    <n v="1"/>
    <n v="1042"/>
    <n v="3"/>
    <x v="0"/>
    <n v="43"/>
    <n v="4"/>
    <n v="1"/>
    <x v="2"/>
    <n v="1"/>
    <s v="Single"/>
    <n v="2743"/>
    <n v="8269"/>
    <n v="1"/>
    <s v="Y"/>
    <x v="1"/>
    <n v="16"/>
    <n v="3"/>
    <n v="3"/>
    <n v="80"/>
    <n v="0"/>
    <n v="18"/>
    <n v="1"/>
    <n v="3"/>
    <n v="17"/>
    <n v="13"/>
    <n v="15"/>
    <n v="14"/>
    <x v="1"/>
    <x v="1"/>
    <n v="1"/>
    <n v="0"/>
    <x v="2"/>
    <x v="0"/>
    <n v="53"/>
  </r>
  <r>
    <n v="39"/>
    <x v="1"/>
    <s v="Travel_Frequently"/>
    <n v="945"/>
    <x v="1"/>
    <n v="22"/>
    <n v="3"/>
    <s v="Medical"/>
    <n v="1"/>
    <n v="1043"/>
    <n v="4"/>
    <x v="0"/>
    <n v="82"/>
    <n v="3"/>
    <n v="3"/>
    <x v="3"/>
    <n v="1"/>
    <s v="Single"/>
    <n v="10880"/>
    <n v="5083"/>
    <n v="1"/>
    <s v="Y"/>
    <x v="0"/>
    <n v="13"/>
    <n v="3"/>
    <n v="3"/>
    <n v="80"/>
    <n v="0"/>
    <n v="21"/>
    <n v="2"/>
    <n v="3"/>
    <n v="21"/>
    <n v="6"/>
    <n v="2"/>
    <n v="8"/>
    <x v="1"/>
    <x v="0"/>
    <n v="0"/>
    <n v="1"/>
    <x v="3"/>
    <x v="1"/>
    <n v="78"/>
  </r>
  <r>
    <n v="33"/>
    <x v="1"/>
    <s v="Non-Travel"/>
    <n v="1038"/>
    <x v="0"/>
    <n v="8"/>
    <n v="1"/>
    <s v="Life Sciences"/>
    <n v="1"/>
    <n v="1044"/>
    <n v="2"/>
    <x v="0"/>
    <n v="88"/>
    <n v="2"/>
    <n v="1"/>
    <x v="6"/>
    <n v="4"/>
    <s v="Single"/>
    <n v="2342"/>
    <n v="21437"/>
    <n v="0"/>
    <s v="Y"/>
    <x v="1"/>
    <n v="19"/>
    <n v="3"/>
    <n v="4"/>
    <n v="80"/>
    <n v="0"/>
    <n v="3"/>
    <n v="2"/>
    <n v="2"/>
    <n v="2"/>
    <n v="2"/>
    <n v="2"/>
    <n v="2"/>
    <x v="1"/>
    <x v="1"/>
    <n v="0"/>
    <n v="0"/>
    <x v="1"/>
    <x v="1"/>
    <n v="56"/>
  </r>
  <r>
    <n v="45"/>
    <x v="1"/>
    <s v="Travel_Rarely"/>
    <n v="1234"/>
    <x v="0"/>
    <n v="11"/>
    <n v="2"/>
    <s v="Life Sciences"/>
    <n v="1"/>
    <n v="1045"/>
    <n v="4"/>
    <x v="0"/>
    <n v="90"/>
    <n v="3"/>
    <n v="4"/>
    <x v="5"/>
    <n v="4"/>
    <s v="Married"/>
    <n v="17650"/>
    <n v="5404"/>
    <n v="3"/>
    <s v="Y"/>
    <x v="1"/>
    <n v="13"/>
    <n v="3"/>
    <n v="2"/>
    <n v="80"/>
    <n v="1"/>
    <n v="26"/>
    <n v="4"/>
    <n v="4"/>
    <n v="9"/>
    <n v="3"/>
    <n v="1"/>
    <n v="1"/>
    <x v="0"/>
    <x v="2"/>
    <n v="0"/>
    <n v="0"/>
    <x v="0"/>
    <x v="2"/>
    <n v="29"/>
  </r>
  <r>
    <n v="32"/>
    <x v="1"/>
    <s v="Non-Travel"/>
    <n v="1109"/>
    <x v="1"/>
    <n v="29"/>
    <n v="4"/>
    <s v="Medical"/>
    <n v="1"/>
    <n v="1046"/>
    <n v="4"/>
    <x v="0"/>
    <n v="69"/>
    <n v="3"/>
    <n v="1"/>
    <x v="2"/>
    <n v="3"/>
    <s v="Single"/>
    <n v="4025"/>
    <n v="11135"/>
    <n v="9"/>
    <s v="Y"/>
    <x v="1"/>
    <n v="12"/>
    <n v="3"/>
    <n v="2"/>
    <n v="80"/>
    <n v="0"/>
    <n v="10"/>
    <n v="2"/>
    <n v="3"/>
    <n v="8"/>
    <n v="7"/>
    <n v="7"/>
    <n v="7"/>
    <x v="1"/>
    <x v="1"/>
    <n v="0"/>
    <n v="0"/>
    <x v="2"/>
    <x v="0"/>
    <n v="46"/>
  </r>
  <r>
    <n v="34"/>
    <x v="1"/>
    <s v="Travel_Rarely"/>
    <n v="216"/>
    <x v="0"/>
    <n v="1"/>
    <n v="4"/>
    <s v="Marketing"/>
    <n v="1"/>
    <n v="1047"/>
    <n v="2"/>
    <x v="1"/>
    <n v="75"/>
    <n v="4"/>
    <n v="2"/>
    <x v="0"/>
    <n v="4"/>
    <s v="Divorced"/>
    <n v="9725"/>
    <n v="12278"/>
    <n v="0"/>
    <s v="Y"/>
    <x v="1"/>
    <n v="11"/>
    <n v="3"/>
    <n v="4"/>
    <n v="80"/>
    <n v="1"/>
    <n v="16"/>
    <n v="2"/>
    <n v="2"/>
    <n v="15"/>
    <n v="1"/>
    <n v="0"/>
    <n v="9"/>
    <x v="1"/>
    <x v="0"/>
    <n v="0"/>
    <n v="0"/>
    <x v="2"/>
    <x v="2"/>
    <n v="34"/>
  </r>
  <r>
    <n v="59"/>
    <x v="1"/>
    <s v="Travel_Rarely"/>
    <n v="1089"/>
    <x v="0"/>
    <n v="1"/>
    <n v="2"/>
    <s v="Technical Degree"/>
    <n v="1"/>
    <n v="1048"/>
    <n v="2"/>
    <x v="1"/>
    <n v="66"/>
    <n v="3"/>
    <n v="3"/>
    <x v="5"/>
    <n v="4"/>
    <s v="Married"/>
    <n v="11904"/>
    <n v="11038"/>
    <n v="3"/>
    <s v="Y"/>
    <x v="0"/>
    <n v="14"/>
    <n v="3"/>
    <n v="3"/>
    <n v="80"/>
    <n v="1"/>
    <n v="14"/>
    <n v="1"/>
    <n v="1"/>
    <n v="6"/>
    <n v="4"/>
    <n v="0"/>
    <n v="4"/>
    <x v="3"/>
    <x v="0"/>
    <n v="0"/>
    <n v="1"/>
    <x v="0"/>
    <x v="1"/>
    <n v="59"/>
  </r>
  <r>
    <n v="45"/>
    <x v="1"/>
    <s v="Travel_Rarely"/>
    <n v="788"/>
    <x v="2"/>
    <n v="24"/>
    <n v="4"/>
    <s v="Medical"/>
    <n v="1"/>
    <n v="1049"/>
    <n v="2"/>
    <x v="1"/>
    <n v="36"/>
    <n v="3"/>
    <n v="1"/>
    <x v="8"/>
    <n v="2"/>
    <s v="Single"/>
    <n v="2177"/>
    <n v="8318"/>
    <n v="1"/>
    <s v="Y"/>
    <x v="1"/>
    <n v="16"/>
    <n v="3"/>
    <n v="1"/>
    <n v="80"/>
    <n v="0"/>
    <n v="6"/>
    <n v="3"/>
    <n v="3"/>
    <n v="6"/>
    <n v="3"/>
    <n v="0"/>
    <n v="4"/>
    <x v="0"/>
    <x v="1"/>
    <n v="0"/>
    <n v="0"/>
    <x v="2"/>
    <x v="0"/>
    <n v="42"/>
  </r>
  <r>
    <n v="53"/>
    <x v="1"/>
    <s v="Travel_Frequently"/>
    <n v="124"/>
    <x v="0"/>
    <n v="2"/>
    <n v="3"/>
    <s v="Marketing"/>
    <n v="1"/>
    <n v="1050"/>
    <n v="3"/>
    <x v="0"/>
    <n v="38"/>
    <n v="2"/>
    <n v="3"/>
    <x v="0"/>
    <n v="2"/>
    <s v="Married"/>
    <n v="7525"/>
    <n v="23537"/>
    <n v="2"/>
    <s v="Y"/>
    <x v="1"/>
    <n v="12"/>
    <n v="3"/>
    <n v="1"/>
    <n v="80"/>
    <n v="1"/>
    <n v="30"/>
    <n v="2"/>
    <n v="3"/>
    <n v="15"/>
    <n v="7"/>
    <n v="6"/>
    <n v="12"/>
    <x v="3"/>
    <x v="0"/>
    <n v="0"/>
    <n v="0"/>
    <x v="3"/>
    <x v="0"/>
    <n v="42"/>
  </r>
  <r>
    <n v="36"/>
    <x v="0"/>
    <s v="Travel_Rarely"/>
    <n v="660"/>
    <x v="1"/>
    <n v="15"/>
    <n v="3"/>
    <s v="Other"/>
    <n v="1"/>
    <n v="1052"/>
    <n v="1"/>
    <x v="1"/>
    <n v="81"/>
    <n v="3"/>
    <n v="2"/>
    <x v="2"/>
    <n v="3"/>
    <s v="Divorced"/>
    <n v="4834"/>
    <n v="7858"/>
    <n v="7"/>
    <s v="Y"/>
    <x v="1"/>
    <n v="14"/>
    <n v="3"/>
    <n v="2"/>
    <n v="80"/>
    <n v="1"/>
    <n v="9"/>
    <n v="3"/>
    <n v="2"/>
    <n v="1"/>
    <n v="0"/>
    <n v="0"/>
    <n v="0"/>
    <x v="1"/>
    <x v="1"/>
    <n v="1"/>
    <n v="0"/>
    <x v="3"/>
    <x v="1"/>
    <n v="63"/>
  </r>
  <r>
    <n v="26"/>
    <x v="0"/>
    <s v="Travel_Frequently"/>
    <n v="342"/>
    <x v="1"/>
    <n v="2"/>
    <n v="3"/>
    <s v="Life Sciences"/>
    <n v="1"/>
    <n v="1053"/>
    <n v="1"/>
    <x v="1"/>
    <n v="57"/>
    <n v="3"/>
    <n v="1"/>
    <x v="1"/>
    <n v="1"/>
    <s v="Married"/>
    <n v="2042"/>
    <n v="15346"/>
    <n v="6"/>
    <s v="Y"/>
    <x v="0"/>
    <n v="14"/>
    <n v="3"/>
    <n v="2"/>
    <n v="80"/>
    <n v="1"/>
    <n v="6"/>
    <n v="2"/>
    <n v="3"/>
    <n v="3"/>
    <n v="2"/>
    <n v="1"/>
    <n v="2"/>
    <x v="2"/>
    <x v="1"/>
    <n v="1"/>
    <n v="1"/>
    <x v="3"/>
    <x v="1"/>
    <n v="100"/>
  </r>
  <r>
    <n v="34"/>
    <x v="1"/>
    <s v="Travel_Rarely"/>
    <n v="1333"/>
    <x v="0"/>
    <n v="10"/>
    <n v="4"/>
    <s v="Life Sciences"/>
    <n v="1"/>
    <n v="1055"/>
    <n v="3"/>
    <x v="0"/>
    <n v="87"/>
    <n v="3"/>
    <n v="1"/>
    <x v="6"/>
    <n v="3"/>
    <s v="Married"/>
    <n v="2220"/>
    <n v="18410"/>
    <n v="1"/>
    <s v="Y"/>
    <x v="0"/>
    <n v="19"/>
    <n v="3"/>
    <n v="4"/>
    <n v="80"/>
    <n v="1"/>
    <n v="1"/>
    <n v="2"/>
    <n v="3"/>
    <n v="1"/>
    <n v="1"/>
    <n v="0"/>
    <n v="0"/>
    <x v="1"/>
    <x v="1"/>
    <n v="0"/>
    <n v="1"/>
    <x v="2"/>
    <x v="1"/>
    <n v="88"/>
  </r>
  <r>
    <n v="28"/>
    <x v="1"/>
    <s v="Travel_Rarely"/>
    <n v="1144"/>
    <x v="0"/>
    <n v="10"/>
    <n v="1"/>
    <s v="Medical"/>
    <n v="1"/>
    <n v="1056"/>
    <n v="4"/>
    <x v="1"/>
    <n v="74"/>
    <n v="3"/>
    <n v="1"/>
    <x v="6"/>
    <n v="2"/>
    <s v="Married"/>
    <n v="1052"/>
    <n v="23384"/>
    <n v="1"/>
    <s v="Y"/>
    <x v="1"/>
    <n v="22"/>
    <n v="4"/>
    <n v="2"/>
    <n v="80"/>
    <n v="0"/>
    <n v="1"/>
    <n v="5"/>
    <n v="3"/>
    <n v="1"/>
    <n v="0"/>
    <n v="0"/>
    <n v="0"/>
    <x v="2"/>
    <x v="1"/>
    <n v="0"/>
    <n v="0"/>
    <x v="1"/>
    <x v="1"/>
    <n v="79"/>
  </r>
  <r>
    <n v="38"/>
    <x v="1"/>
    <s v="Travel_Frequently"/>
    <n v="1186"/>
    <x v="1"/>
    <n v="3"/>
    <n v="4"/>
    <s v="Other"/>
    <n v="1"/>
    <n v="1060"/>
    <n v="3"/>
    <x v="1"/>
    <n v="44"/>
    <n v="3"/>
    <n v="1"/>
    <x v="1"/>
    <n v="3"/>
    <s v="Married"/>
    <n v="2821"/>
    <n v="2997"/>
    <n v="3"/>
    <s v="Y"/>
    <x v="1"/>
    <n v="16"/>
    <n v="3"/>
    <n v="1"/>
    <n v="80"/>
    <n v="1"/>
    <n v="8"/>
    <n v="2"/>
    <n v="3"/>
    <n v="2"/>
    <n v="2"/>
    <n v="2"/>
    <n v="2"/>
    <x v="1"/>
    <x v="1"/>
    <n v="0"/>
    <n v="0"/>
    <x v="2"/>
    <x v="1"/>
    <n v="63"/>
  </r>
  <r>
    <n v="50"/>
    <x v="1"/>
    <s v="Travel_Rarely"/>
    <n v="1464"/>
    <x v="1"/>
    <n v="2"/>
    <n v="4"/>
    <s v="Medical"/>
    <n v="1"/>
    <n v="1061"/>
    <n v="2"/>
    <x v="1"/>
    <n v="62"/>
    <n v="3"/>
    <n v="5"/>
    <x v="7"/>
    <n v="3"/>
    <s v="Married"/>
    <n v="19237"/>
    <n v="12853"/>
    <n v="2"/>
    <s v="Y"/>
    <x v="0"/>
    <n v="11"/>
    <n v="3"/>
    <n v="4"/>
    <n v="80"/>
    <n v="1"/>
    <n v="29"/>
    <n v="2"/>
    <n v="2"/>
    <n v="8"/>
    <n v="1"/>
    <n v="7"/>
    <n v="7"/>
    <x v="3"/>
    <x v="2"/>
    <n v="0"/>
    <n v="1"/>
    <x v="2"/>
    <x v="1"/>
    <n v="66"/>
  </r>
  <r>
    <n v="37"/>
    <x v="1"/>
    <s v="Travel_Rarely"/>
    <n v="124"/>
    <x v="1"/>
    <n v="3"/>
    <n v="3"/>
    <s v="Other"/>
    <n v="1"/>
    <n v="1062"/>
    <n v="4"/>
    <x v="0"/>
    <n v="35"/>
    <n v="3"/>
    <n v="2"/>
    <x v="4"/>
    <n v="2"/>
    <s v="Single"/>
    <n v="4107"/>
    <n v="13848"/>
    <n v="3"/>
    <s v="Y"/>
    <x v="1"/>
    <n v="15"/>
    <n v="3"/>
    <n v="1"/>
    <n v="80"/>
    <n v="0"/>
    <n v="8"/>
    <n v="3"/>
    <n v="2"/>
    <n v="4"/>
    <n v="3"/>
    <n v="0"/>
    <n v="1"/>
    <x v="1"/>
    <x v="1"/>
    <n v="0"/>
    <n v="0"/>
    <x v="3"/>
    <x v="1"/>
    <n v="59"/>
  </r>
  <r>
    <n v="40"/>
    <x v="1"/>
    <s v="Travel_Rarely"/>
    <n v="300"/>
    <x v="0"/>
    <n v="26"/>
    <n v="3"/>
    <s v="Marketing"/>
    <n v="1"/>
    <n v="1066"/>
    <n v="3"/>
    <x v="1"/>
    <n v="74"/>
    <n v="3"/>
    <n v="2"/>
    <x v="0"/>
    <n v="1"/>
    <s v="Married"/>
    <n v="8396"/>
    <n v="22217"/>
    <n v="1"/>
    <s v="Y"/>
    <x v="1"/>
    <n v="14"/>
    <n v="3"/>
    <n v="2"/>
    <n v="80"/>
    <n v="1"/>
    <n v="8"/>
    <n v="3"/>
    <n v="2"/>
    <n v="7"/>
    <n v="7"/>
    <n v="7"/>
    <n v="5"/>
    <x v="0"/>
    <x v="0"/>
    <n v="0"/>
    <n v="0"/>
    <x v="3"/>
    <x v="0"/>
    <n v="48"/>
  </r>
  <r>
    <n v="26"/>
    <x v="1"/>
    <s v="Travel_Frequently"/>
    <n v="921"/>
    <x v="1"/>
    <n v="1"/>
    <n v="1"/>
    <s v="Medical"/>
    <n v="1"/>
    <n v="1068"/>
    <n v="1"/>
    <x v="0"/>
    <n v="66"/>
    <n v="2"/>
    <n v="1"/>
    <x v="1"/>
    <n v="3"/>
    <s v="Divorced"/>
    <n v="2007"/>
    <n v="25265"/>
    <n v="1"/>
    <s v="Y"/>
    <x v="1"/>
    <n v="13"/>
    <n v="3"/>
    <n v="3"/>
    <n v="80"/>
    <n v="2"/>
    <n v="5"/>
    <n v="5"/>
    <n v="3"/>
    <n v="5"/>
    <n v="3"/>
    <n v="1"/>
    <n v="3"/>
    <x v="2"/>
    <x v="1"/>
    <n v="0"/>
    <n v="0"/>
    <x v="1"/>
    <x v="1"/>
    <n v="63"/>
  </r>
  <r>
    <n v="46"/>
    <x v="1"/>
    <s v="Travel_Rarely"/>
    <n v="430"/>
    <x v="1"/>
    <n v="1"/>
    <n v="4"/>
    <s v="Medical"/>
    <n v="1"/>
    <n v="1069"/>
    <n v="4"/>
    <x v="1"/>
    <n v="40"/>
    <n v="3"/>
    <n v="5"/>
    <x v="7"/>
    <n v="4"/>
    <s v="Divorced"/>
    <n v="19627"/>
    <n v="21445"/>
    <n v="9"/>
    <s v="Y"/>
    <x v="1"/>
    <n v="17"/>
    <n v="3"/>
    <n v="4"/>
    <n v="80"/>
    <n v="2"/>
    <n v="23"/>
    <n v="0"/>
    <n v="3"/>
    <n v="2"/>
    <n v="2"/>
    <n v="2"/>
    <n v="2"/>
    <x v="0"/>
    <x v="2"/>
    <n v="0"/>
    <n v="0"/>
    <x v="2"/>
    <x v="0"/>
    <n v="46"/>
  </r>
  <r>
    <n v="54"/>
    <x v="1"/>
    <s v="Travel_Rarely"/>
    <n v="1082"/>
    <x v="0"/>
    <n v="2"/>
    <n v="4"/>
    <s v="Life Sciences"/>
    <n v="1"/>
    <n v="1070"/>
    <n v="3"/>
    <x v="0"/>
    <n v="41"/>
    <n v="2"/>
    <n v="3"/>
    <x v="0"/>
    <n v="3"/>
    <s v="Married"/>
    <n v="10686"/>
    <n v="8392"/>
    <n v="6"/>
    <s v="Y"/>
    <x v="1"/>
    <n v="11"/>
    <n v="3"/>
    <n v="2"/>
    <n v="80"/>
    <n v="1"/>
    <n v="13"/>
    <n v="4"/>
    <n v="3"/>
    <n v="9"/>
    <n v="4"/>
    <n v="7"/>
    <n v="0"/>
    <x v="3"/>
    <x v="0"/>
    <n v="0"/>
    <n v="0"/>
    <x v="2"/>
    <x v="0"/>
    <n v="41"/>
  </r>
  <r>
    <n v="56"/>
    <x v="1"/>
    <s v="Travel_Frequently"/>
    <n v="1240"/>
    <x v="1"/>
    <n v="9"/>
    <n v="3"/>
    <s v="Medical"/>
    <n v="1"/>
    <n v="1071"/>
    <n v="1"/>
    <x v="0"/>
    <n v="63"/>
    <n v="3"/>
    <n v="1"/>
    <x v="1"/>
    <n v="3"/>
    <s v="Married"/>
    <n v="2942"/>
    <n v="12154"/>
    <n v="2"/>
    <s v="Y"/>
    <x v="1"/>
    <n v="19"/>
    <n v="3"/>
    <n v="2"/>
    <n v="80"/>
    <n v="1"/>
    <n v="18"/>
    <n v="4"/>
    <n v="3"/>
    <n v="5"/>
    <n v="4"/>
    <n v="0"/>
    <n v="3"/>
    <x v="3"/>
    <x v="1"/>
    <n v="0"/>
    <n v="0"/>
    <x v="3"/>
    <x v="0"/>
    <n v="48"/>
  </r>
  <r>
    <n v="36"/>
    <x v="1"/>
    <s v="Travel_Rarely"/>
    <n v="796"/>
    <x v="1"/>
    <n v="12"/>
    <n v="5"/>
    <s v="Medical"/>
    <n v="1"/>
    <n v="1073"/>
    <n v="4"/>
    <x v="0"/>
    <n v="51"/>
    <n v="2"/>
    <n v="3"/>
    <x v="3"/>
    <n v="4"/>
    <s v="Single"/>
    <n v="8858"/>
    <n v="15669"/>
    <n v="0"/>
    <s v="Y"/>
    <x v="1"/>
    <n v="11"/>
    <n v="3"/>
    <n v="2"/>
    <n v="80"/>
    <n v="0"/>
    <n v="15"/>
    <n v="2"/>
    <n v="2"/>
    <n v="14"/>
    <n v="8"/>
    <n v="7"/>
    <n v="8"/>
    <x v="1"/>
    <x v="0"/>
    <n v="0"/>
    <n v="0"/>
    <x v="4"/>
    <x v="2"/>
    <n v="34"/>
  </r>
  <r>
    <n v="55"/>
    <x v="1"/>
    <s v="Non-Travel"/>
    <n v="444"/>
    <x v="1"/>
    <n v="2"/>
    <n v="1"/>
    <s v="Medical"/>
    <n v="1"/>
    <n v="1074"/>
    <n v="3"/>
    <x v="1"/>
    <n v="40"/>
    <n v="2"/>
    <n v="4"/>
    <x v="5"/>
    <n v="1"/>
    <s v="Single"/>
    <n v="16756"/>
    <n v="17323"/>
    <n v="7"/>
    <s v="Y"/>
    <x v="1"/>
    <n v="15"/>
    <n v="3"/>
    <n v="2"/>
    <n v="80"/>
    <n v="0"/>
    <n v="31"/>
    <n v="3"/>
    <n v="4"/>
    <n v="9"/>
    <n v="7"/>
    <n v="6"/>
    <n v="2"/>
    <x v="3"/>
    <x v="2"/>
    <n v="0"/>
    <n v="0"/>
    <x v="1"/>
    <x v="0"/>
    <n v="53"/>
  </r>
  <r>
    <n v="43"/>
    <x v="1"/>
    <s v="Travel_Rarely"/>
    <n v="415"/>
    <x v="0"/>
    <n v="25"/>
    <n v="3"/>
    <s v="Medical"/>
    <n v="1"/>
    <n v="1076"/>
    <n v="3"/>
    <x v="1"/>
    <n v="79"/>
    <n v="2"/>
    <n v="3"/>
    <x v="0"/>
    <n v="4"/>
    <s v="Divorced"/>
    <n v="10798"/>
    <n v="5268"/>
    <n v="5"/>
    <s v="Y"/>
    <x v="1"/>
    <n v="13"/>
    <n v="3"/>
    <n v="3"/>
    <n v="80"/>
    <n v="1"/>
    <n v="18"/>
    <n v="5"/>
    <n v="3"/>
    <n v="1"/>
    <n v="0"/>
    <n v="0"/>
    <n v="0"/>
    <x v="0"/>
    <x v="0"/>
    <n v="0"/>
    <n v="0"/>
    <x v="3"/>
    <x v="0"/>
    <n v="46"/>
  </r>
  <r>
    <n v="20"/>
    <x v="0"/>
    <s v="Travel_Frequently"/>
    <n v="769"/>
    <x v="0"/>
    <n v="9"/>
    <n v="3"/>
    <s v="Marketing"/>
    <n v="1"/>
    <n v="1077"/>
    <n v="4"/>
    <x v="0"/>
    <n v="54"/>
    <n v="3"/>
    <n v="1"/>
    <x v="6"/>
    <n v="4"/>
    <s v="Single"/>
    <n v="2323"/>
    <n v="17205"/>
    <n v="1"/>
    <s v="Y"/>
    <x v="0"/>
    <n v="14"/>
    <n v="3"/>
    <n v="2"/>
    <n v="80"/>
    <n v="0"/>
    <n v="2"/>
    <n v="3"/>
    <n v="3"/>
    <n v="2"/>
    <n v="2"/>
    <n v="0"/>
    <n v="2"/>
    <x v="2"/>
    <x v="1"/>
    <n v="1"/>
    <n v="1"/>
    <x v="3"/>
    <x v="1"/>
    <n v="91"/>
  </r>
  <r>
    <n v="21"/>
    <x v="0"/>
    <s v="Travel_Rarely"/>
    <n v="1334"/>
    <x v="1"/>
    <n v="10"/>
    <n v="3"/>
    <s v="Life Sciences"/>
    <n v="1"/>
    <n v="1079"/>
    <n v="3"/>
    <x v="0"/>
    <n v="36"/>
    <n v="2"/>
    <n v="1"/>
    <x v="2"/>
    <n v="1"/>
    <s v="Single"/>
    <n v="1416"/>
    <n v="17258"/>
    <n v="1"/>
    <s v="Y"/>
    <x v="1"/>
    <n v="13"/>
    <n v="3"/>
    <n v="1"/>
    <n v="80"/>
    <n v="0"/>
    <n v="1"/>
    <n v="6"/>
    <n v="2"/>
    <n v="1"/>
    <n v="0"/>
    <n v="1"/>
    <n v="0"/>
    <x v="2"/>
    <x v="1"/>
    <n v="1"/>
    <n v="0"/>
    <x v="3"/>
    <x v="1"/>
    <n v="85"/>
  </r>
  <r>
    <n v="46"/>
    <x v="1"/>
    <s v="Travel_Rarely"/>
    <n v="1003"/>
    <x v="1"/>
    <n v="8"/>
    <n v="4"/>
    <s v="Life Sciences"/>
    <n v="1"/>
    <n v="1080"/>
    <n v="4"/>
    <x v="0"/>
    <n v="74"/>
    <n v="2"/>
    <n v="2"/>
    <x v="1"/>
    <n v="1"/>
    <s v="Divorced"/>
    <n v="4615"/>
    <n v="21029"/>
    <n v="8"/>
    <s v="Y"/>
    <x v="0"/>
    <n v="23"/>
    <n v="4"/>
    <n v="1"/>
    <n v="80"/>
    <n v="3"/>
    <n v="19"/>
    <n v="2"/>
    <n v="3"/>
    <n v="16"/>
    <n v="13"/>
    <n v="1"/>
    <n v="7"/>
    <x v="0"/>
    <x v="1"/>
    <n v="0"/>
    <n v="1"/>
    <x v="2"/>
    <x v="1"/>
    <n v="68"/>
  </r>
  <r>
    <n v="51"/>
    <x v="0"/>
    <s v="Travel_Rarely"/>
    <n v="1323"/>
    <x v="1"/>
    <n v="4"/>
    <n v="4"/>
    <s v="Life Sciences"/>
    <n v="1"/>
    <n v="1081"/>
    <n v="1"/>
    <x v="1"/>
    <n v="34"/>
    <n v="3"/>
    <n v="1"/>
    <x v="1"/>
    <n v="3"/>
    <s v="Married"/>
    <n v="2461"/>
    <n v="10332"/>
    <n v="9"/>
    <s v="Y"/>
    <x v="0"/>
    <n v="12"/>
    <n v="3"/>
    <n v="3"/>
    <n v="80"/>
    <n v="3"/>
    <n v="18"/>
    <n v="2"/>
    <n v="4"/>
    <n v="10"/>
    <n v="0"/>
    <n v="2"/>
    <n v="7"/>
    <x v="3"/>
    <x v="1"/>
    <n v="1"/>
    <n v="1"/>
    <x v="2"/>
    <x v="1"/>
    <n v="66"/>
  </r>
  <r>
    <n v="28"/>
    <x v="0"/>
    <s v="Non-Travel"/>
    <n v="1366"/>
    <x v="1"/>
    <n v="24"/>
    <n v="2"/>
    <s v="Technical Degree"/>
    <n v="1"/>
    <n v="1082"/>
    <n v="2"/>
    <x v="1"/>
    <n v="72"/>
    <n v="2"/>
    <n v="3"/>
    <x v="4"/>
    <n v="1"/>
    <s v="Single"/>
    <n v="8722"/>
    <n v="12355"/>
    <n v="1"/>
    <s v="Y"/>
    <x v="1"/>
    <n v="12"/>
    <n v="3"/>
    <n v="1"/>
    <n v="80"/>
    <n v="0"/>
    <n v="10"/>
    <n v="2"/>
    <n v="2"/>
    <n v="10"/>
    <n v="7"/>
    <n v="1"/>
    <n v="9"/>
    <x v="2"/>
    <x v="0"/>
    <n v="1"/>
    <n v="0"/>
    <x v="0"/>
    <x v="1"/>
    <n v="68"/>
  </r>
  <r>
    <n v="26"/>
    <x v="1"/>
    <s v="Travel_Rarely"/>
    <n v="192"/>
    <x v="1"/>
    <n v="1"/>
    <n v="2"/>
    <s v="Medical"/>
    <n v="1"/>
    <n v="1083"/>
    <n v="1"/>
    <x v="1"/>
    <n v="59"/>
    <n v="2"/>
    <n v="1"/>
    <x v="2"/>
    <n v="1"/>
    <s v="Married"/>
    <n v="3955"/>
    <n v="11141"/>
    <n v="1"/>
    <s v="Y"/>
    <x v="1"/>
    <n v="16"/>
    <n v="3"/>
    <n v="1"/>
    <n v="80"/>
    <n v="2"/>
    <n v="6"/>
    <n v="2"/>
    <n v="3"/>
    <n v="5"/>
    <n v="3"/>
    <n v="1"/>
    <n v="3"/>
    <x v="2"/>
    <x v="1"/>
    <n v="0"/>
    <n v="0"/>
    <x v="0"/>
    <x v="1"/>
    <n v="75"/>
  </r>
  <r>
    <n v="30"/>
    <x v="1"/>
    <s v="Travel_Rarely"/>
    <n v="1176"/>
    <x v="1"/>
    <n v="20"/>
    <n v="3"/>
    <s v="Other"/>
    <n v="1"/>
    <n v="1084"/>
    <n v="3"/>
    <x v="1"/>
    <n v="85"/>
    <n v="3"/>
    <n v="2"/>
    <x v="3"/>
    <n v="1"/>
    <s v="Married"/>
    <n v="9957"/>
    <n v="9096"/>
    <n v="0"/>
    <s v="Y"/>
    <x v="1"/>
    <n v="15"/>
    <n v="3"/>
    <n v="3"/>
    <n v="80"/>
    <n v="1"/>
    <n v="7"/>
    <n v="1"/>
    <n v="2"/>
    <n v="6"/>
    <n v="2"/>
    <n v="0"/>
    <n v="2"/>
    <x v="1"/>
    <x v="0"/>
    <n v="0"/>
    <n v="0"/>
    <x v="3"/>
    <x v="1"/>
    <n v="58"/>
  </r>
  <r>
    <n v="41"/>
    <x v="1"/>
    <s v="Travel_Rarely"/>
    <n v="509"/>
    <x v="1"/>
    <n v="7"/>
    <n v="2"/>
    <s v="Technical Degree"/>
    <n v="1"/>
    <n v="1085"/>
    <n v="2"/>
    <x v="0"/>
    <n v="43"/>
    <n v="4"/>
    <n v="1"/>
    <x v="1"/>
    <n v="3"/>
    <s v="Married"/>
    <n v="3376"/>
    <n v="18863"/>
    <n v="1"/>
    <s v="Y"/>
    <x v="1"/>
    <n v="13"/>
    <n v="3"/>
    <n v="3"/>
    <n v="80"/>
    <n v="0"/>
    <n v="10"/>
    <n v="3"/>
    <n v="3"/>
    <n v="10"/>
    <n v="6"/>
    <n v="0"/>
    <n v="8"/>
    <x v="0"/>
    <x v="1"/>
    <n v="0"/>
    <n v="0"/>
    <x v="0"/>
    <x v="0"/>
    <n v="36"/>
  </r>
  <r>
    <n v="38"/>
    <x v="1"/>
    <s v="Travel_Rarely"/>
    <n v="330"/>
    <x v="1"/>
    <n v="17"/>
    <n v="1"/>
    <s v="Life Sciences"/>
    <n v="1"/>
    <n v="1088"/>
    <n v="3"/>
    <x v="0"/>
    <n v="65"/>
    <n v="2"/>
    <n v="3"/>
    <x v="4"/>
    <n v="3"/>
    <s v="Married"/>
    <n v="8823"/>
    <n v="24608"/>
    <n v="0"/>
    <s v="Y"/>
    <x v="1"/>
    <n v="18"/>
    <n v="3"/>
    <n v="1"/>
    <n v="80"/>
    <n v="1"/>
    <n v="20"/>
    <n v="4"/>
    <n v="2"/>
    <n v="19"/>
    <n v="9"/>
    <n v="1"/>
    <n v="9"/>
    <x v="1"/>
    <x v="0"/>
    <n v="0"/>
    <n v="0"/>
    <x v="1"/>
    <x v="0"/>
    <n v="41"/>
  </r>
  <r>
    <n v="40"/>
    <x v="1"/>
    <s v="Travel_Rarely"/>
    <n v="1492"/>
    <x v="1"/>
    <n v="20"/>
    <n v="4"/>
    <s v="Technical Degree"/>
    <n v="1"/>
    <n v="1092"/>
    <n v="1"/>
    <x v="1"/>
    <n v="61"/>
    <n v="3"/>
    <n v="3"/>
    <x v="4"/>
    <n v="4"/>
    <s v="Married"/>
    <n v="10322"/>
    <n v="26542"/>
    <n v="4"/>
    <s v="Y"/>
    <x v="1"/>
    <n v="20"/>
    <n v="4"/>
    <n v="4"/>
    <n v="80"/>
    <n v="1"/>
    <n v="14"/>
    <n v="6"/>
    <n v="3"/>
    <n v="11"/>
    <n v="10"/>
    <n v="11"/>
    <n v="1"/>
    <x v="0"/>
    <x v="0"/>
    <n v="0"/>
    <n v="0"/>
    <x v="2"/>
    <x v="2"/>
    <n v="24"/>
  </r>
  <r>
    <n v="27"/>
    <x v="1"/>
    <s v="Non-Travel"/>
    <n v="1277"/>
    <x v="1"/>
    <n v="8"/>
    <n v="5"/>
    <s v="Life Sciences"/>
    <n v="1"/>
    <n v="1094"/>
    <n v="1"/>
    <x v="1"/>
    <n v="87"/>
    <n v="1"/>
    <n v="1"/>
    <x v="2"/>
    <n v="3"/>
    <s v="Married"/>
    <n v="4621"/>
    <n v="5869"/>
    <n v="1"/>
    <s v="Y"/>
    <x v="1"/>
    <n v="19"/>
    <n v="3"/>
    <n v="4"/>
    <n v="80"/>
    <n v="3"/>
    <n v="3"/>
    <n v="4"/>
    <n v="3"/>
    <n v="3"/>
    <n v="2"/>
    <n v="1"/>
    <n v="2"/>
    <x v="2"/>
    <x v="1"/>
    <n v="0"/>
    <n v="0"/>
    <x v="4"/>
    <x v="1"/>
    <n v="63"/>
  </r>
  <r>
    <n v="55"/>
    <x v="1"/>
    <s v="Travel_Frequently"/>
    <n v="1091"/>
    <x v="1"/>
    <n v="2"/>
    <n v="1"/>
    <s v="Life Sciences"/>
    <n v="1"/>
    <n v="1096"/>
    <n v="4"/>
    <x v="1"/>
    <n v="65"/>
    <n v="3"/>
    <n v="3"/>
    <x v="3"/>
    <n v="2"/>
    <s v="Married"/>
    <n v="10976"/>
    <n v="15813"/>
    <n v="3"/>
    <s v="Y"/>
    <x v="1"/>
    <n v="18"/>
    <n v="3"/>
    <n v="2"/>
    <n v="80"/>
    <n v="1"/>
    <n v="23"/>
    <n v="4"/>
    <n v="3"/>
    <n v="3"/>
    <n v="2"/>
    <n v="1"/>
    <n v="2"/>
    <x v="3"/>
    <x v="0"/>
    <n v="0"/>
    <n v="0"/>
    <x v="1"/>
    <x v="0"/>
    <n v="54"/>
  </r>
  <r>
    <n v="28"/>
    <x v="1"/>
    <s v="Travel_Rarely"/>
    <n v="857"/>
    <x v="1"/>
    <n v="10"/>
    <n v="3"/>
    <s v="Other"/>
    <n v="1"/>
    <n v="1097"/>
    <n v="3"/>
    <x v="0"/>
    <n v="59"/>
    <n v="3"/>
    <n v="2"/>
    <x v="1"/>
    <n v="3"/>
    <s v="Single"/>
    <n v="3660"/>
    <n v="7909"/>
    <n v="3"/>
    <s v="Y"/>
    <x v="1"/>
    <n v="13"/>
    <n v="3"/>
    <n v="4"/>
    <n v="80"/>
    <n v="0"/>
    <n v="10"/>
    <n v="4"/>
    <n v="4"/>
    <n v="8"/>
    <n v="7"/>
    <n v="1"/>
    <n v="7"/>
    <x v="2"/>
    <x v="1"/>
    <n v="0"/>
    <n v="0"/>
    <x v="3"/>
    <x v="1"/>
    <n v="56"/>
  </r>
  <r>
    <n v="44"/>
    <x v="0"/>
    <s v="Travel_Rarely"/>
    <n v="1376"/>
    <x v="2"/>
    <n v="1"/>
    <n v="2"/>
    <s v="Medical"/>
    <n v="1"/>
    <n v="1098"/>
    <n v="2"/>
    <x v="1"/>
    <n v="91"/>
    <n v="2"/>
    <n v="3"/>
    <x v="8"/>
    <n v="1"/>
    <s v="Married"/>
    <n v="10482"/>
    <n v="2326"/>
    <n v="9"/>
    <s v="Y"/>
    <x v="1"/>
    <n v="14"/>
    <n v="3"/>
    <n v="4"/>
    <n v="80"/>
    <n v="1"/>
    <n v="24"/>
    <n v="1"/>
    <n v="3"/>
    <n v="20"/>
    <n v="6"/>
    <n v="3"/>
    <n v="6"/>
    <x v="0"/>
    <x v="0"/>
    <n v="1"/>
    <n v="0"/>
    <x v="0"/>
    <x v="0"/>
    <n v="43"/>
  </r>
  <r>
    <n v="33"/>
    <x v="1"/>
    <s v="Travel_Rarely"/>
    <n v="654"/>
    <x v="1"/>
    <n v="5"/>
    <n v="3"/>
    <s v="Life Sciences"/>
    <n v="1"/>
    <n v="1099"/>
    <n v="4"/>
    <x v="1"/>
    <n v="34"/>
    <n v="2"/>
    <n v="3"/>
    <x v="4"/>
    <n v="4"/>
    <s v="Divorced"/>
    <n v="7119"/>
    <n v="21214"/>
    <n v="4"/>
    <s v="Y"/>
    <x v="1"/>
    <n v="15"/>
    <n v="3"/>
    <n v="3"/>
    <n v="80"/>
    <n v="1"/>
    <n v="9"/>
    <n v="2"/>
    <n v="3"/>
    <n v="3"/>
    <n v="2"/>
    <n v="1"/>
    <n v="2"/>
    <x v="1"/>
    <x v="0"/>
    <n v="0"/>
    <n v="0"/>
    <x v="3"/>
    <x v="0"/>
    <n v="46"/>
  </r>
  <r>
    <n v="35"/>
    <x v="0"/>
    <s v="Travel_Rarely"/>
    <n v="1204"/>
    <x v="0"/>
    <n v="4"/>
    <n v="3"/>
    <s v="Technical Degree"/>
    <n v="1"/>
    <n v="1100"/>
    <n v="4"/>
    <x v="1"/>
    <n v="86"/>
    <n v="3"/>
    <n v="3"/>
    <x v="0"/>
    <n v="1"/>
    <s v="Single"/>
    <n v="9582"/>
    <n v="10333"/>
    <n v="0"/>
    <s v="Y"/>
    <x v="0"/>
    <n v="22"/>
    <n v="4"/>
    <n v="1"/>
    <n v="80"/>
    <n v="0"/>
    <n v="9"/>
    <n v="2"/>
    <n v="3"/>
    <n v="8"/>
    <n v="7"/>
    <n v="4"/>
    <n v="7"/>
    <x v="1"/>
    <x v="0"/>
    <n v="1"/>
    <n v="1"/>
    <x v="3"/>
    <x v="1"/>
    <n v="83"/>
  </r>
  <r>
    <n v="33"/>
    <x v="0"/>
    <s v="Travel_Frequently"/>
    <n v="827"/>
    <x v="1"/>
    <n v="29"/>
    <n v="4"/>
    <s v="Medical"/>
    <n v="1"/>
    <n v="1101"/>
    <n v="1"/>
    <x v="0"/>
    <n v="54"/>
    <n v="2"/>
    <n v="2"/>
    <x v="1"/>
    <n v="3"/>
    <s v="Single"/>
    <n v="4508"/>
    <n v="3129"/>
    <n v="1"/>
    <s v="Y"/>
    <x v="1"/>
    <n v="22"/>
    <n v="4"/>
    <n v="2"/>
    <n v="80"/>
    <n v="0"/>
    <n v="14"/>
    <n v="4"/>
    <n v="3"/>
    <n v="13"/>
    <n v="7"/>
    <n v="3"/>
    <n v="8"/>
    <x v="1"/>
    <x v="1"/>
    <n v="1"/>
    <n v="0"/>
    <x v="2"/>
    <x v="0"/>
    <n v="41"/>
  </r>
  <r>
    <n v="28"/>
    <x v="1"/>
    <s v="Travel_Rarely"/>
    <n v="895"/>
    <x v="1"/>
    <n v="15"/>
    <n v="2"/>
    <s v="Life Sciences"/>
    <n v="1"/>
    <n v="1102"/>
    <n v="1"/>
    <x v="1"/>
    <n v="50"/>
    <n v="3"/>
    <n v="1"/>
    <x v="2"/>
    <n v="3"/>
    <s v="Divorced"/>
    <n v="2207"/>
    <n v="22482"/>
    <n v="1"/>
    <s v="Y"/>
    <x v="1"/>
    <n v="16"/>
    <n v="3"/>
    <n v="4"/>
    <n v="80"/>
    <n v="1"/>
    <n v="4"/>
    <n v="5"/>
    <n v="2"/>
    <n v="4"/>
    <n v="2"/>
    <n v="2"/>
    <n v="2"/>
    <x v="2"/>
    <x v="1"/>
    <n v="0"/>
    <n v="0"/>
    <x v="0"/>
    <x v="1"/>
    <n v="63"/>
  </r>
  <r>
    <n v="34"/>
    <x v="1"/>
    <s v="Travel_Frequently"/>
    <n v="618"/>
    <x v="1"/>
    <n v="3"/>
    <n v="1"/>
    <s v="Life Sciences"/>
    <n v="1"/>
    <n v="1103"/>
    <n v="1"/>
    <x v="1"/>
    <n v="45"/>
    <n v="3"/>
    <n v="2"/>
    <x v="4"/>
    <n v="4"/>
    <s v="Single"/>
    <n v="7756"/>
    <n v="22266"/>
    <n v="0"/>
    <s v="Y"/>
    <x v="1"/>
    <n v="17"/>
    <n v="3"/>
    <n v="3"/>
    <n v="80"/>
    <n v="0"/>
    <n v="7"/>
    <n v="1"/>
    <n v="2"/>
    <n v="6"/>
    <n v="2"/>
    <n v="0"/>
    <n v="4"/>
    <x v="1"/>
    <x v="0"/>
    <n v="0"/>
    <n v="0"/>
    <x v="1"/>
    <x v="0"/>
    <n v="39"/>
  </r>
  <r>
    <n v="37"/>
    <x v="1"/>
    <s v="Travel_Rarely"/>
    <n v="309"/>
    <x v="0"/>
    <n v="10"/>
    <n v="4"/>
    <s v="Life Sciences"/>
    <n v="1"/>
    <n v="1105"/>
    <n v="4"/>
    <x v="0"/>
    <n v="88"/>
    <n v="2"/>
    <n v="2"/>
    <x v="0"/>
    <n v="4"/>
    <s v="Divorced"/>
    <n v="6694"/>
    <n v="24223"/>
    <n v="2"/>
    <s v="Y"/>
    <x v="0"/>
    <n v="14"/>
    <n v="3"/>
    <n v="3"/>
    <n v="80"/>
    <n v="3"/>
    <n v="8"/>
    <n v="5"/>
    <n v="3"/>
    <n v="1"/>
    <n v="0"/>
    <n v="0"/>
    <n v="0"/>
    <x v="1"/>
    <x v="0"/>
    <n v="0"/>
    <n v="1"/>
    <x v="2"/>
    <x v="1"/>
    <n v="81"/>
  </r>
  <r>
    <n v="25"/>
    <x v="0"/>
    <s v="Travel_Rarely"/>
    <n v="1219"/>
    <x v="1"/>
    <n v="4"/>
    <n v="1"/>
    <s v="Technical Degree"/>
    <n v="1"/>
    <n v="1106"/>
    <n v="4"/>
    <x v="1"/>
    <n v="32"/>
    <n v="3"/>
    <n v="1"/>
    <x v="2"/>
    <n v="4"/>
    <s v="Married"/>
    <n v="3691"/>
    <n v="4605"/>
    <n v="1"/>
    <s v="Y"/>
    <x v="0"/>
    <n v="15"/>
    <n v="3"/>
    <n v="2"/>
    <n v="80"/>
    <n v="1"/>
    <n v="7"/>
    <n v="3"/>
    <n v="4"/>
    <n v="7"/>
    <n v="7"/>
    <n v="5"/>
    <n v="6"/>
    <x v="2"/>
    <x v="1"/>
    <n v="1"/>
    <n v="1"/>
    <x v="1"/>
    <x v="1"/>
    <n v="74"/>
  </r>
  <r>
    <n v="26"/>
    <x v="0"/>
    <s v="Travel_Rarely"/>
    <n v="1330"/>
    <x v="1"/>
    <n v="21"/>
    <n v="3"/>
    <s v="Medical"/>
    <n v="1"/>
    <n v="1107"/>
    <n v="1"/>
    <x v="1"/>
    <n v="37"/>
    <n v="3"/>
    <n v="1"/>
    <x v="2"/>
    <n v="3"/>
    <s v="Divorced"/>
    <n v="2377"/>
    <n v="19373"/>
    <n v="1"/>
    <s v="Y"/>
    <x v="1"/>
    <n v="20"/>
    <n v="4"/>
    <n v="3"/>
    <n v="80"/>
    <n v="1"/>
    <n v="1"/>
    <n v="0"/>
    <n v="2"/>
    <n v="1"/>
    <n v="1"/>
    <n v="0"/>
    <n v="0"/>
    <x v="2"/>
    <x v="1"/>
    <n v="1"/>
    <n v="0"/>
    <x v="3"/>
    <x v="1"/>
    <n v="73"/>
  </r>
  <r>
    <n v="33"/>
    <x v="0"/>
    <s v="Travel_Rarely"/>
    <n v="1017"/>
    <x v="1"/>
    <n v="25"/>
    <n v="3"/>
    <s v="Medical"/>
    <n v="1"/>
    <n v="1108"/>
    <n v="1"/>
    <x v="1"/>
    <n v="55"/>
    <n v="2"/>
    <n v="1"/>
    <x v="1"/>
    <n v="2"/>
    <s v="Single"/>
    <n v="2313"/>
    <n v="2993"/>
    <n v="4"/>
    <s v="Y"/>
    <x v="0"/>
    <n v="20"/>
    <n v="4"/>
    <n v="2"/>
    <n v="80"/>
    <n v="0"/>
    <n v="5"/>
    <n v="0"/>
    <n v="3"/>
    <n v="2"/>
    <n v="2"/>
    <n v="2"/>
    <n v="2"/>
    <x v="1"/>
    <x v="1"/>
    <n v="1"/>
    <n v="1"/>
    <x v="3"/>
    <x v="1"/>
    <n v="94"/>
  </r>
  <r>
    <n v="42"/>
    <x v="1"/>
    <s v="Travel_Rarely"/>
    <n v="469"/>
    <x v="1"/>
    <n v="2"/>
    <n v="2"/>
    <s v="Medical"/>
    <n v="1"/>
    <n v="1109"/>
    <n v="4"/>
    <x v="1"/>
    <n v="35"/>
    <n v="3"/>
    <n v="4"/>
    <x v="5"/>
    <n v="1"/>
    <s v="Married"/>
    <n v="17665"/>
    <n v="14399"/>
    <n v="0"/>
    <s v="Y"/>
    <x v="1"/>
    <n v="17"/>
    <n v="3"/>
    <n v="4"/>
    <n v="80"/>
    <n v="1"/>
    <n v="23"/>
    <n v="3"/>
    <n v="3"/>
    <n v="22"/>
    <n v="6"/>
    <n v="13"/>
    <n v="7"/>
    <x v="0"/>
    <x v="2"/>
    <n v="0"/>
    <n v="0"/>
    <x v="0"/>
    <x v="0"/>
    <n v="43"/>
  </r>
  <r>
    <n v="28"/>
    <x v="0"/>
    <s v="Travel_Frequently"/>
    <n v="1009"/>
    <x v="1"/>
    <n v="1"/>
    <n v="3"/>
    <s v="Medical"/>
    <n v="1"/>
    <n v="1111"/>
    <n v="1"/>
    <x v="1"/>
    <n v="45"/>
    <n v="2"/>
    <n v="1"/>
    <x v="2"/>
    <n v="2"/>
    <s v="Divorced"/>
    <n v="2596"/>
    <n v="7160"/>
    <n v="1"/>
    <s v="Y"/>
    <x v="1"/>
    <n v="15"/>
    <n v="3"/>
    <n v="1"/>
    <n v="80"/>
    <n v="2"/>
    <n v="1"/>
    <n v="2"/>
    <n v="3"/>
    <n v="1"/>
    <n v="0"/>
    <n v="0"/>
    <n v="0"/>
    <x v="2"/>
    <x v="1"/>
    <n v="1"/>
    <n v="0"/>
    <x v="3"/>
    <x v="1"/>
    <n v="79"/>
  </r>
  <r>
    <n v="50"/>
    <x v="0"/>
    <s v="Travel_Frequently"/>
    <n v="959"/>
    <x v="0"/>
    <n v="1"/>
    <n v="4"/>
    <s v="Other"/>
    <n v="1"/>
    <n v="1113"/>
    <n v="4"/>
    <x v="1"/>
    <n v="81"/>
    <n v="3"/>
    <n v="2"/>
    <x v="0"/>
    <n v="3"/>
    <s v="Single"/>
    <n v="4728"/>
    <n v="17251"/>
    <n v="3"/>
    <s v="Y"/>
    <x v="0"/>
    <n v="14"/>
    <n v="3"/>
    <n v="4"/>
    <n v="80"/>
    <n v="0"/>
    <n v="5"/>
    <n v="4"/>
    <n v="3"/>
    <n v="0"/>
    <n v="0"/>
    <n v="0"/>
    <n v="0"/>
    <x v="3"/>
    <x v="1"/>
    <n v="1"/>
    <n v="1"/>
    <x v="2"/>
    <x v="1"/>
    <n v="83"/>
  </r>
  <r>
    <n v="33"/>
    <x v="1"/>
    <s v="Travel_Frequently"/>
    <n v="970"/>
    <x v="0"/>
    <n v="7"/>
    <n v="3"/>
    <s v="Life Sciences"/>
    <n v="1"/>
    <n v="1114"/>
    <n v="4"/>
    <x v="0"/>
    <n v="30"/>
    <n v="3"/>
    <n v="2"/>
    <x v="0"/>
    <n v="2"/>
    <s v="Married"/>
    <n v="4302"/>
    <n v="13401"/>
    <n v="0"/>
    <s v="Y"/>
    <x v="1"/>
    <n v="17"/>
    <n v="3"/>
    <n v="3"/>
    <n v="80"/>
    <n v="1"/>
    <n v="4"/>
    <n v="3"/>
    <n v="3"/>
    <n v="3"/>
    <n v="2"/>
    <n v="0"/>
    <n v="2"/>
    <x v="1"/>
    <x v="1"/>
    <n v="0"/>
    <n v="0"/>
    <x v="3"/>
    <x v="1"/>
    <n v="59"/>
  </r>
  <r>
    <n v="34"/>
    <x v="1"/>
    <s v="Non-Travel"/>
    <n v="697"/>
    <x v="1"/>
    <n v="3"/>
    <n v="4"/>
    <s v="Life Sciences"/>
    <n v="1"/>
    <n v="1115"/>
    <n v="3"/>
    <x v="1"/>
    <n v="40"/>
    <n v="2"/>
    <n v="1"/>
    <x v="1"/>
    <n v="4"/>
    <s v="Married"/>
    <n v="2979"/>
    <n v="22478"/>
    <n v="3"/>
    <s v="Y"/>
    <x v="1"/>
    <n v="17"/>
    <n v="3"/>
    <n v="4"/>
    <n v="80"/>
    <n v="3"/>
    <n v="6"/>
    <n v="2"/>
    <n v="3"/>
    <n v="0"/>
    <n v="0"/>
    <n v="0"/>
    <n v="0"/>
    <x v="1"/>
    <x v="1"/>
    <n v="0"/>
    <n v="0"/>
    <x v="2"/>
    <x v="1"/>
    <n v="56"/>
  </r>
  <r>
    <n v="48"/>
    <x v="1"/>
    <s v="Non-Travel"/>
    <n v="1262"/>
    <x v="1"/>
    <n v="1"/>
    <n v="4"/>
    <s v="Medical"/>
    <n v="1"/>
    <n v="1116"/>
    <n v="1"/>
    <x v="1"/>
    <n v="35"/>
    <n v="4"/>
    <n v="4"/>
    <x v="5"/>
    <n v="4"/>
    <s v="Single"/>
    <n v="16885"/>
    <n v="16154"/>
    <n v="2"/>
    <s v="Y"/>
    <x v="1"/>
    <n v="22"/>
    <n v="4"/>
    <n v="3"/>
    <n v="80"/>
    <n v="0"/>
    <n v="27"/>
    <n v="3"/>
    <n v="2"/>
    <n v="5"/>
    <n v="4"/>
    <n v="2"/>
    <n v="1"/>
    <x v="0"/>
    <x v="2"/>
    <n v="0"/>
    <n v="0"/>
    <x v="2"/>
    <x v="0"/>
    <n v="36"/>
  </r>
  <r>
    <n v="45"/>
    <x v="1"/>
    <s v="Non-Travel"/>
    <n v="1050"/>
    <x v="0"/>
    <n v="9"/>
    <n v="4"/>
    <s v="Life Sciences"/>
    <n v="1"/>
    <n v="1117"/>
    <n v="2"/>
    <x v="0"/>
    <n v="65"/>
    <n v="2"/>
    <n v="2"/>
    <x v="0"/>
    <n v="3"/>
    <s v="Married"/>
    <n v="5593"/>
    <n v="17970"/>
    <n v="1"/>
    <s v="Y"/>
    <x v="1"/>
    <n v="13"/>
    <n v="3"/>
    <n v="4"/>
    <n v="80"/>
    <n v="1"/>
    <n v="15"/>
    <n v="2"/>
    <n v="3"/>
    <n v="15"/>
    <n v="10"/>
    <n v="4"/>
    <n v="12"/>
    <x v="0"/>
    <x v="0"/>
    <n v="0"/>
    <n v="0"/>
    <x v="2"/>
    <x v="2"/>
    <n v="31"/>
  </r>
  <r>
    <n v="52"/>
    <x v="1"/>
    <s v="Travel_Rarely"/>
    <n v="994"/>
    <x v="1"/>
    <n v="7"/>
    <n v="4"/>
    <s v="Life Sciences"/>
    <n v="1"/>
    <n v="1118"/>
    <n v="2"/>
    <x v="1"/>
    <n v="87"/>
    <n v="3"/>
    <n v="3"/>
    <x v="4"/>
    <n v="2"/>
    <s v="Single"/>
    <n v="10445"/>
    <n v="15322"/>
    <n v="7"/>
    <s v="Y"/>
    <x v="1"/>
    <n v="19"/>
    <n v="3"/>
    <n v="4"/>
    <n v="80"/>
    <n v="0"/>
    <n v="18"/>
    <n v="4"/>
    <n v="3"/>
    <n v="8"/>
    <n v="6"/>
    <n v="4"/>
    <n v="0"/>
    <x v="3"/>
    <x v="0"/>
    <n v="0"/>
    <n v="0"/>
    <x v="2"/>
    <x v="0"/>
    <n v="47"/>
  </r>
  <r>
    <n v="38"/>
    <x v="1"/>
    <s v="Travel_Rarely"/>
    <n v="770"/>
    <x v="0"/>
    <n v="10"/>
    <n v="4"/>
    <s v="Marketing"/>
    <n v="1"/>
    <n v="1119"/>
    <n v="3"/>
    <x v="1"/>
    <n v="73"/>
    <n v="2"/>
    <n v="3"/>
    <x v="0"/>
    <n v="3"/>
    <s v="Divorced"/>
    <n v="8740"/>
    <n v="5569"/>
    <n v="0"/>
    <s v="Y"/>
    <x v="0"/>
    <n v="14"/>
    <n v="3"/>
    <n v="2"/>
    <n v="80"/>
    <n v="2"/>
    <n v="9"/>
    <n v="2"/>
    <n v="3"/>
    <n v="8"/>
    <n v="7"/>
    <n v="2"/>
    <n v="7"/>
    <x v="1"/>
    <x v="0"/>
    <n v="0"/>
    <n v="1"/>
    <x v="2"/>
    <x v="1"/>
    <n v="71"/>
  </r>
  <r>
    <n v="29"/>
    <x v="1"/>
    <s v="Travel_Rarely"/>
    <n v="1107"/>
    <x v="1"/>
    <n v="28"/>
    <n v="4"/>
    <s v="Life Sciences"/>
    <n v="1"/>
    <n v="1120"/>
    <n v="3"/>
    <x v="0"/>
    <n v="93"/>
    <n v="3"/>
    <n v="1"/>
    <x v="1"/>
    <n v="4"/>
    <s v="Divorced"/>
    <n v="2514"/>
    <n v="26968"/>
    <n v="4"/>
    <s v="Y"/>
    <x v="1"/>
    <n v="22"/>
    <n v="4"/>
    <n v="1"/>
    <n v="80"/>
    <n v="1"/>
    <n v="11"/>
    <n v="1"/>
    <n v="3"/>
    <n v="7"/>
    <n v="5"/>
    <n v="1"/>
    <n v="7"/>
    <x v="2"/>
    <x v="1"/>
    <n v="0"/>
    <n v="0"/>
    <x v="2"/>
    <x v="0"/>
    <n v="49"/>
  </r>
  <r>
    <n v="28"/>
    <x v="1"/>
    <s v="Travel_Rarely"/>
    <n v="950"/>
    <x v="1"/>
    <n v="3"/>
    <n v="3"/>
    <s v="Medical"/>
    <n v="1"/>
    <n v="1121"/>
    <n v="4"/>
    <x v="0"/>
    <n v="93"/>
    <n v="3"/>
    <n v="3"/>
    <x v="3"/>
    <n v="2"/>
    <s v="Divorced"/>
    <n v="7655"/>
    <n v="8039"/>
    <n v="0"/>
    <s v="Y"/>
    <x v="1"/>
    <n v="17"/>
    <n v="3"/>
    <n v="2"/>
    <n v="80"/>
    <n v="3"/>
    <n v="10"/>
    <n v="3"/>
    <n v="2"/>
    <n v="9"/>
    <n v="7"/>
    <n v="1"/>
    <n v="7"/>
    <x v="2"/>
    <x v="0"/>
    <n v="0"/>
    <n v="0"/>
    <x v="3"/>
    <x v="1"/>
    <n v="62"/>
  </r>
  <r>
    <n v="46"/>
    <x v="1"/>
    <s v="Travel_Rarely"/>
    <n v="406"/>
    <x v="0"/>
    <n v="3"/>
    <n v="1"/>
    <s v="Marketing"/>
    <n v="1"/>
    <n v="1124"/>
    <n v="1"/>
    <x v="1"/>
    <n v="52"/>
    <n v="3"/>
    <n v="4"/>
    <x v="5"/>
    <n v="3"/>
    <s v="Married"/>
    <n v="17465"/>
    <n v="15596"/>
    <n v="3"/>
    <s v="Y"/>
    <x v="1"/>
    <n v="12"/>
    <n v="3"/>
    <n v="4"/>
    <n v="80"/>
    <n v="1"/>
    <n v="23"/>
    <n v="3"/>
    <n v="3"/>
    <n v="12"/>
    <n v="9"/>
    <n v="4"/>
    <n v="9"/>
    <x v="0"/>
    <x v="2"/>
    <n v="0"/>
    <n v="0"/>
    <x v="1"/>
    <x v="2"/>
    <n v="31"/>
  </r>
  <r>
    <n v="38"/>
    <x v="1"/>
    <s v="Travel_Rarely"/>
    <n v="130"/>
    <x v="0"/>
    <n v="2"/>
    <n v="2"/>
    <s v="Marketing"/>
    <n v="1"/>
    <n v="1125"/>
    <n v="4"/>
    <x v="1"/>
    <n v="32"/>
    <n v="3"/>
    <n v="3"/>
    <x v="0"/>
    <n v="2"/>
    <s v="Single"/>
    <n v="7351"/>
    <n v="20619"/>
    <n v="7"/>
    <s v="Y"/>
    <x v="1"/>
    <n v="16"/>
    <n v="3"/>
    <n v="3"/>
    <n v="80"/>
    <n v="0"/>
    <n v="10"/>
    <n v="2"/>
    <n v="3"/>
    <n v="1"/>
    <n v="0"/>
    <n v="0"/>
    <n v="0"/>
    <x v="1"/>
    <x v="0"/>
    <n v="0"/>
    <n v="0"/>
    <x v="0"/>
    <x v="1"/>
    <n v="69"/>
  </r>
  <r>
    <n v="43"/>
    <x v="1"/>
    <s v="Travel_Frequently"/>
    <n v="1082"/>
    <x v="1"/>
    <n v="27"/>
    <n v="3"/>
    <s v="Life Sciences"/>
    <n v="1"/>
    <n v="1126"/>
    <n v="3"/>
    <x v="0"/>
    <n v="83"/>
    <n v="3"/>
    <n v="3"/>
    <x v="3"/>
    <n v="1"/>
    <s v="Married"/>
    <n v="10820"/>
    <n v="11535"/>
    <n v="8"/>
    <s v="Y"/>
    <x v="1"/>
    <n v="11"/>
    <n v="3"/>
    <n v="3"/>
    <n v="80"/>
    <n v="1"/>
    <n v="18"/>
    <n v="1"/>
    <n v="3"/>
    <n v="8"/>
    <n v="7"/>
    <n v="0"/>
    <n v="1"/>
    <x v="0"/>
    <x v="0"/>
    <n v="0"/>
    <n v="0"/>
    <x v="3"/>
    <x v="0"/>
    <n v="48"/>
  </r>
  <r>
    <n v="39"/>
    <x v="0"/>
    <s v="Travel_Frequently"/>
    <n v="203"/>
    <x v="1"/>
    <n v="2"/>
    <n v="3"/>
    <s v="Life Sciences"/>
    <n v="1"/>
    <n v="1127"/>
    <n v="1"/>
    <x v="1"/>
    <n v="84"/>
    <n v="3"/>
    <n v="4"/>
    <x v="4"/>
    <n v="4"/>
    <s v="Divorced"/>
    <n v="12169"/>
    <n v="13547"/>
    <n v="7"/>
    <s v="Y"/>
    <x v="1"/>
    <n v="11"/>
    <n v="3"/>
    <n v="4"/>
    <n v="80"/>
    <n v="3"/>
    <n v="21"/>
    <n v="4"/>
    <n v="3"/>
    <n v="18"/>
    <n v="7"/>
    <n v="11"/>
    <n v="5"/>
    <x v="1"/>
    <x v="0"/>
    <n v="1"/>
    <n v="0"/>
    <x v="3"/>
    <x v="2"/>
    <n v="34"/>
  </r>
  <r>
    <n v="40"/>
    <x v="1"/>
    <s v="Travel_Rarely"/>
    <n v="1308"/>
    <x v="1"/>
    <n v="14"/>
    <n v="3"/>
    <s v="Medical"/>
    <n v="1"/>
    <n v="1128"/>
    <n v="3"/>
    <x v="1"/>
    <n v="44"/>
    <n v="2"/>
    <n v="5"/>
    <x v="7"/>
    <n v="3"/>
    <s v="Single"/>
    <n v="19626"/>
    <n v="17544"/>
    <n v="1"/>
    <s v="Y"/>
    <x v="1"/>
    <n v="14"/>
    <n v="3"/>
    <n v="1"/>
    <n v="80"/>
    <n v="0"/>
    <n v="21"/>
    <n v="2"/>
    <n v="4"/>
    <n v="20"/>
    <n v="7"/>
    <n v="4"/>
    <n v="9"/>
    <x v="0"/>
    <x v="2"/>
    <n v="0"/>
    <n v="0"/>
    <x v="3"/>
    <x v="2"/>
    <n v="31"/>
  </r>
  <r>
    <n v="21"/>
    <x v="1"/>
    <s v="Travel_Rarely"/>
    <n v="984"/>
    <x v="1"/>
    <n v="1"/>
    <n v="1"/>
    <s v="Technical Degree"/>
    <n v="1"/>
    <n v="1131"/>
    <n v="4"/>
    <x v="0"/>
    <n v="70"/>
    <n v="2"/>
    <n v="1"/>
    <x v="1"/>
    <n v="2"/>
    <s v="Single"/>
    <n v="2070"/>
    <n v="25326"/>
    <n v="1"/>
    <s v="Y"/>
    <x v="0"/>
    <n v="11"/>
    <n v="3"/>
    <n v="3"/>
    <n v="80"/>
    <n v="0"/>
    <n v="2"/>
    <n v="6"/>
    <n v="4"/>
    <n v="2"/>
    <n v="2"/>
    <n v="2"/>
    <n v="2"/>
    <x v="2"/>
    <x v="1"/>
    <n v="0"/>
    <n v="1"/>
    <x v="1"/>
    <x v="1"/>
    <n v="104"/>
  </r>
  <r>
    <n v="39"/>
    <x v="1"/>
    <s v="Non-Travel"/>
    <n v="439"/>
    <x v="1"/>
    <n v="9"/>
    <n v="3"/>
    <s v="Life Sciences"/>
    <n v="1"/>
    <n v="1132"/>
    <n v="3"/>
    <x v="1"/>
    <n v="70"/>
    <n v="3"/>
    <n v="2"/>
    <x v="2"/>
    <n v="2"/>
    <s v="Single"/>
    <n v="6782"/>
    <n v="8770"/>
    <n v="9"/>
    <s v="Y"/>
    <x v="1"/>
    <n v="15"/>
    <n v="3"/>
    <n v="3"/>
    <n v="80"/>
    <n v="0"/>
    <n v="9"/>
    <n v="2"/>
    <n v="2"/>
    <n v="5"/>
    <n v="4"/>
    <n v="0"/>
    <n v="3"/>
    <x v="1"/>
    <x v="0"/>
    <n v="0"/>
    <n v="0"/>
    <x v="3"/>
    <x v="1"/>
    <n v="59"/>
  </r>
  <r>
    <n v="36"/>
    <x v="1"/>
    <s v="Non-Travel"/>
    <n v="217"/>
    <x v="1"/>
    <n v="18"/>
    <n v="4"/>
    <s v="Life Sciences"/>
    <n v="1"/>
    <n v="1133"/>
    <n v="1"/>
    <x v="1"/>
    <n v="78"/>
    <n v="3"/>
    <n v="2"/>
    <x v="3"/>
    <n v="4"/>
    <s v="Single"/>
    <n v="7779"/>
    <n v="23238"/>
    <n v="2"/>
    <s v="Y"/>
    <x v="1"/>
    <n v="20"/>
    <n v="4"/>
    <n v="1"/>
    <n v="80"/>
    <n v="0"/>
    <n v="18"/>
    <n v="0"/>
    <n v="3"/>
    <n v="11"/>
    <n v="9"/>
    <n v="0"/>
    <n v="9"/>
    <x v="1"/>
    <x v="0"/>
    <n v="0"/>
    <n v="0"/>
    <x v="2"/>
    <x v="2"/>
    <n v="34"/>
  </r>
  <r>
    <n v="31"/>
    <x v="1"/>
    <s v="Travel_Frequently"/>
    <n v="793"/>
    <x v="0"/>
    <n v="20"/>
    <n v="3"/>
    <s v="Life Sciences"/>
    <n v="1"/>
    <n v="1135"/>
    <n v="3"/>
    <x v="1"/>
    <n v="67"/>
    <n v="4"/>
    <n v="1"/>
    <x v="6"/>
    <n v="4"/>
    <s v="Married"/>
    <n v="2791"/>
    <n v="21981"/>
    <n v="0"/>
    <s v="Y"/>
    <x v="1"/>
    <n v="12"/>
    <n v="3"/>
    <n v="1"/>
    <n v="80"/>
    <n v="1"/>
    <n v="3"/>
    <n v="4"/>
    <n v="3"/>
    <n v="2"/>
    <n v="2"/>
    <n v="2"/>
    <n v="2"/>
    <x v="1"/>
    <x v="1"/>
    <n v="0"/>
    <n v="0"/>
    <x v="3"/>
    <x v="1"/>
    <n v="56"/>
  </r>
  <r>
    <n v="28"/>
    <x v="1"/>
    <s v="Travel_Rarely"/>
    <n v="1451"/>
    <x v="1"/>
    <n v="2"/>
    <n v="1"/>
    <s v="Life Sciences"/>
    <n v="1"/>
    <n v="1136"/>
    <n v="1"/>
    <x v="1"/>
    <n v="67"/>
    <n v="2"/>
    <n v="1"/>
    <x v="1"/>
    <n v="2"/>
    <s v="Married"/>
    <n v="3201"/>
    <n v="19911"/>
    <n v="0"/>
    <s v="Y"/>
    <x v="1"/>
    <n v="17"/>
    <n v="3"/>
    <n v="1"/>
    <n v="80"/>
    <n v="0"/>
    <n v="6"/>
    <n v="2"/>
    <n v="1"/>
    <n v="5"/>
    <n v="3"/>
    <n v="0"/>
    <n v="4"/>
    <x v="2"/>
    <x v="1"/>
    <n v="0"/>
    <n v="0"/>
    <x v="1"/>
    <x v="1"/>
    <n v="69"/>
  </r>
  <r>
    <n v="35"/>
    <x v="1"/>
    <s v="Travel_Frequently"/>
    <n v="1182"/>
    <x v="0"/>
    <n v="11"/>
    <n v="2"/>
    <s v="Marketing"/>
    <n v="1"/>
    <n v="1137"/>
    <n v="4"/>
    <x v="1"/>
    <n v="54"/>
    <n v="3"/>
    <n v="2"/>
    <x v="0"/>
    <n v="4"/>
    <s v="Divorced"/>
    <n v="4968"/>
    <n v="18500"/>
    <n v="1"/>
    <s v="Y"/>
    <x v="1"/>
    <n v="11"/>
    <n v="3"/>
    <n v="4"/>
    <n v="80"/>
    <n v="1"/>
    <n v="5"/>
    <n v="3"/>
    <n v="3"/>
    <n v="5"/>
    <n v="2"/>
    <n v="0"/>
    <n v="2"/>
    <x v="1"/>
    <x v="1"/>
    <n v="0"/>
    <n v="0"/>
    <x v="0"/>
    <x v="0"/>
    <n v="46"/>
  </r>
  <r>
    <n v="49"/>
    <x v="1"/>
    <s v="Travel_Rarely"/>
    <n v="174"/>
    <x v="0"/>
    <n v="8"/>
    <n v="4"/>
    <s v="Technical Degree"/>
    <n v="1"/>
    <n v="1138"/>
    <n v="4"/>
    <x v="1"/>
    <n v="56"/>
    <n v="2"/>
    <n v="4"/>
    <x v="0"/>
    <n v="2"/>
    <s v="Married"/>
    <n v="13120"/>
    <n v="11879"/>
    <n v="6"/>
    <s v="Y"/>
    <x v="1"/>
    <n v="17"/>
    <n v="3"/>
    <n v="2"/>
    <n v="80"/>
    <n v="1"/>
    <n v="22"/>
    <n v="3"/>
    <n v="3"/>
    <n v="9"/>
    <n v="8"/>
    <n v="2"/>
    <n v="3"/>
    <x v="0"/>
    <x v="0"/>
    <n v="0"/>
    <n v="0"/>
    <x v="2"/>
    <x v="0"/>
    <n v="42"/>
  </r>
  <r>
    <n v="34"/>
    <x v="1"/>
    <s v="Travel_Frequently"/>
    <n v="1003"/>
    <x v="1"/>
    <n v="2"/>
    <n v="2"/>
    <s v="Life Sciences"/>
    <n v="1"/>
    <n v="1140"/>
    <n v="4"/>
    <x v="1"/>
    <n v="95"/>
    <n v="3"/>
    <n v="2"/>
    <x v="3"/>
    <n v="3"/>
    <s v="Single"/>
    <n v="4033"/>
    <n v="15834"/>
    <n v="2"/>
    <s v="Y"/>
    <x v="1"/>
    <n v="11"/>
    <n v="3"/>
    <n v="4"/>
    <n v="80"/>
    <n v="0"/>
    <n v="5"/>
    <n v="3"/>
    <n v="2"/>
    <n v="3"/>
    <n v="2"/>
    <n v="0"/>
    <n v="2"/>
    <x v="1"/>
    <x v="1"/>
    <n v="0"/>
    <n v="0"/>
    <x v="0"/>
    <x v="0"/>
    <n v="53"/>
  </r>
  <r>
    <n v="29"/>
    <x v="1"/>
    <s v="Travel_Frequently"/>
    <n v="490"/>
    <x v="1"/>
    <n v="10"/>
    <n v="3"/>
    <s v="Life Sciences"/>
    <n v="1"/>
    <n v="1143"/>
    <n v="4"/>
    <x v="0"/>
    <n v="61"/>
    <n v="3"/>
    <n v="1"/>
    <x v="1"/>
    <n v="2"/>
    <s v="Divorced"/>
    <n v="3291"/>
    <n v="17940"/>
    <n v="0"/>
    <s v="Y"/>
    <x v="1"/>
    <n v="14"/>
    <n v="3"/>
    <n v="4"/>
    <n v="80"/>
    <n v="2"/>
    <n v="8"/>
    <n v="2"/>
    <n v="2"/>
    <n v="7"/>
    <n v="5"/>
    <n v="1"/>
    <n v="1"/>
    <x v="2"/>
    <x v="1"/>
    <n v="0"/>
    <n v="0"/>
    <x v="3"/>
    <x v="1"/>
    <n v="62"/>
  </r>
  <r>
    <n v="42"/>
    <x v="1"/>
    <s v="Travel_Rarely"/>
    <n v="188"/>
    <x v="1"/>
    <n v="29"/>
    <n v="3"/>
    <s v="Medical"/>
    <n v="1"/>
    <n v="1148"/>
    <n v="2"/>
    <x v="1"/>
    <n v="56"/>
    <n v="1"/>
    <n v="2"/>
    <x v="2"/>
    <n v="4"/>
    <s v="Single"/>
    <n v="4272"/>
    <n v="9558"/>
    <n v="4"/>
    <s v="Y"/>
    <x v="1"/>
    <n v="19"/>
    <n v="3"/>
    <n v="1"/>
    <n v="80"/>
    <n v="0"/>
    <n v="16"/>
    <n v="3"/>
    <n v="3"/>
    <n v="1"/>
    <n v="0"/>
    <n v="0"/>
    <n v="0"/>
    <x v="0"/>
    <x v="1"/>
    <n v="0"/>
    <n v="0"/>
    <x v="3"/>
    <x v="0"/>
    <n v="46"/>
  </r>
  <r>
    <n v="29"/>
    <x v="1"/>
    <s v="Travel_Rarely"/>
    <n v="718"/>
    <x v="1"/>
    <n v="8"/>
    <n v="1"/>
    <s v="Medical"/>
    <n v="1"/>
    <n v="1150"/>
    <n v="2"/>
    <x v="1"/>
    <n v="79"/>
    <n v="2"/>
    <n v="2"/>
    <x v="3"/>
    <n v="4"/>
    <s v="Married"/>
    <n v="5056"/>
    <n v="17689"/>
    <n v="1"/>
    <s v="Y"/>
    <x v="0"/>
    <n v="15"/>
    <n v="3"/>
    <n v="3"/>
    <n v="80"/>
    <n v="1"/>
    <n v="10"/>
    <n v="2"/>
    <n v="2"/>
    <n v="10"/>
    <n v="7"/>
    <n v="1"/>
    <n v="2"/>
    <x v="2"/>
    <x v="0"/>
    <n v="0"/>
    <n v="1"/>
    <x v="1"/>
    <x v="1"/>
    <n v="74"/>
  </r>
  <r>
    <n v="38"/>
    <x v="1"/>
    <s v="Travel_Rarely"/>
    <n v="433"/>
    <x v="2"/>
    <n v="1"/>
    <n v="3"/>
    <s v="Human Resources"/>
    <n v="1"/>
    <n v="1152"/>
    <n v="3"/>
    <x v="1"/>
    <n v="37"/>
    <n v="4"/>
    <n v="1"/>
    <x v="8"/>
    <n v="3"/>
    <s v="Married"/>
    <n v="2844"/>
    <n v="6004"/>
    <n v="1"/>
    <s v="Y"/>
    <x v="1"/>
    <n v="13"/>
    <n v="3"/>
    <n v="4"/>
    <n v="80"/>
    <n v="1"/>
    <n v="7"/>
    <n v="2"/>
    <n v="4"/>
    <n v="7"/>
    <n v="6"/>
    <n v="5"/>
    <n v="0"/>
    <x v="1"/>
    <x v="1"/>
    <n v="0"/>
    <n v="0"/>
    <x v="3"/>
    <x v="0"/>
    <n v="46"/>
  </r>
  <r>
    <n v="28"/>
    <x v="1"/>
    <s v="Travel_Frequently"/>
    <n v="773"/>
    <x v="1"/>
    <n v="6"/>
    <n v="3"/>
    <s v="Life Sciences"/>
    <n v="1"/>
    <n v="1154"/>
    <n v="3"/>
    <x v="1"/>
    <n v="39"/>
    <n v="2"/>
    <n v="1"/>
    <x v="1"/>
    <n v="3"/>
    <s v="Divorced"/>
    <n v="2703"/>
    <n v="22088"/>
    <n v="1"/>
    <s v="Y"/>
    <x v="0"/>
    <n v="14"/>
    <n v="3"/>
    <n v="4"/>
    <n v="80"/>
    <n v="1"/>
    <n v="3"/>
    <n v="2"/>
    <n v="3"/>
    <n v="3"/>
    <n v="1"/>
    <n v="0"/>
    <n v="2"/>
    <x v="2"/>
    <x v="1"/>
    <n v="0"/>
    <n v="1"/>
    <x v="3"/>
    <x v="1"/>
    <n v="88"/>
  </r>
  <r>
    <n v="18"/>
    <x v="0"/>
    <s v="Non-Travel"/>
    <n v="247"/>
    <x v="1"/>
    <n v="8"/>
    <n v="1"/>
    <s v="Medical"/>
    <n v="1"/>
    <n v="1156"/>
    <n v="3"/>
    <x v="1"/>
    <n v="80"/>
    <n v="3"/>
    <n v="1"/>
    <x v="2"/>
    <n v="3"/>
    <s v="Single"/>
    <n v="1904"/>
    <n v="13556"/>
    <n v="1"/>
    <s v="Y"/>
    <x v="1"/>
    <n v="12"/>
    <n v="3"/>
    <n v="4"/>
    <n v="80"/>
    <n v="0"/>
    <n v="0"/>
    <n v="0"/>
    <n v="3"/>
    <n v="0"/>
    <n v="0"/>
    <n v="0"/>
    <n v="0"/>
    <x v="2"/>
    <x v="1"/>
    <n v="1"/>
    <n v="0"/>
    <x v="1"/>
    <x v="1"/>
    <n v="73"/>
  </r>
  <r>
    <n v="33"/>
    <x v="0"/>
    <s v="Travel_Rarely"/>
    <n v="603"/>
    <x v="0"/>
    <n v="9"/>
    <n v="4"/>
    <s v="Marketing"/>
    <n v="1"/>
    <n v="1157"/>
    <n v="1"/>
    <x v="0"/>
    <n v="77"/>
    <n v="3"/>
    <n v="2"/>
    <x v="0"/>
    <n v="1"/>
    <s v="Single"/>
    <n v="8224"/>
    <n v="18385"/>
    <n v="0"/>
    <s v="Y"/>
    <x v="0"/>
    <n v="17"/>
    <n v="3"/>
    <n v="1"/>
    <n v="80"/>
    <n v="0"/>
    <n v="6"/>
    <n v="3"/>
    <n v="3"/>
    <n v="5"/>
    <n v="2"/>
    <n v="0"/>
    <n v="3"/>
    <x v="1"/>
    <x v="0"/>
    <n v="1"/>
    <n v="1"/>
    <x v="2"/>
    <x v="1"/>
    <n v="90"/>
  </r>
  <r>
    <n v="41"/>
    <x v="1"/>
    <s v="Travel_Rarely"/>
    <n v="167"/>
    <x v="1"/>
    <n v="12"/>
    <n v="4"/>
    <s v="Life Sciences"/>
    <n v="1"/>
    <n v="1158"/>
    <n v="2"/>
    <x v="1"/>
    <n v="46"/>
    <n v="3"/>
    <n v="1"/>
    <x v="2"/>
    <n v="4"/>
    <s v="Married"/>
    <n v="4766"/>
    <n v="9051"/>
    <n v="3"/>
    <s v="Y"/>
    <x v="0"/>
    <n v="11"/>
    <n v="3"/>
    <n v="1"/>
    <n v="80"/>
    <n v="1"/>
    <n v="6"/>
    <n v="4"/>
    <n v="3"/>
    <n v="1"/>
    <n v="0"/>
    <n v="0"/>
    <n v="0"/>
    <x v="0"/>
    <x v="1"/>
    <n v="0"/>
    <n v="1"/>
    <x v="2"/>
    <x v="1"/>
    <n v="71"/>
  </r>
  <r>
    <n v="31"/>
    <x v="0"/>
    <s v="Travel_Frequently"/>
    <n v="874"/>
    <x v="1"/>
    <n v="15"/>
    <n v="3"/>
    <s v="Medical"/>
    <n v="1"/>
    <n v="1160"/>
    <n v="3"/>
    <x v="1"/>
    <n v="72"/>
    <n v="3"/>
    <n v="1"/>
    <x v="2"/>
    <n v="3"/>
    <s v="Married"/>
    <n v="2610"/>
    <n v="6233"/>
    <n v="1"/>
    <s v="Y"/>
    <x v="1"/>
    <n v="12"/>
    <n v="3"/>
    <n v="3"/>
    <n v="80"/>
    <n v="1"/>
    <n v="2"/>
    <n v="5"/>
    <n v="2"/>
    <n v="2"/>
    <n v="2"/>
    <n v="2"/>
    <n v="2"/>
    <x v="1"/>
    <x v="1"/>
    <n v="1"/>
    <n v="0"/>
    <x v="3"/>
    <x v="1"/>
    <n v="63"/>
  </r>
  <r>
    <n v="37"/>
    <x v="1"/>
    <s v="Travel_Rarely"/>
    <n v="367"/>
    <x v="1"/>
    <n v="25"/>
    <n v="2"/>
    <s v="Medical"/>
    <n v="1"/>
    <n v="1161"/>
    <n v="3"/>
    <x v="0"/>
    <n v="52"/>
    <n v="2"/>
    <n v="2"/>
    <x v="4"/>
    <n v="4"/>
    <s v="Divorced"/>
    <n v="5731"/>
    <n v="17171"/>
    <n v="7"/>
    <s v="Y"/>
    <x v="1"/>
    <n v="13"/>
    <n v="3"/>
    <n v="3"/>
    <n v="80"/>
    <n v="2"/>
    <n v="9"/>
    <n v="2"/>
    <n v="3"/>
    <n v="6"/>
    <n v="2"/>
    <n v="1"/>
    <n v="3"/>
    <x v="1"/>
    <x v="0"/>
    <n v="0"/>
    <n v="0"/>
    <x v="0"/>
    <x v="0"/>
    <n v="39"/>
  </r>
  <r>
    <n v="27"/>
    <x v="1"/>
    <s v="Travel_Rarely"/>
    <n v="199"/>
    <x v="1"/>
    <n v="6"/>
    <n v="3"/>
    <s v="Life Sciences"/>
    <n v="1"/>
    <n v="1162"/>
    <n v="4"/>
    <x v="1"/>
    <n v="55"/>
    <n v="2"/>
    <n v="1"/>
    <x v="1"/>
    <n v="3"/>
    <s v="Married"/>
    <n v="2539"/>
    <n v="7950"/>
    <n v="1"/>
    <s v="Y"/>
    <x v="1"/>
    <n v="13"/>
    <n v="3"/>
    <n v="3"/>
    <n v="80"/>
    <n v="1"/>
    <n v="4"/>
    <n v="0"/>
    <n v="3"/>
    <n v="4"/>
    <n v="2"/>
    <n v="2"/>
    <n v="2"/>
    <x v="2"/>
    <x v="1"/>
    <n v="0"/>
    <n v="0"/>
    <x v="3"/>
    <x v="1"/>
    <n v="63"/>
  </r>
  <r>
    <n v="34"/>
    <x v="1"/>
    <s v="Travel_Rarely"/>
    <n v="1400"/>
    <x v="0"/>
    <n v="9"/>
    <n v="1"/>
    <s v="Life Sciences"/>
    <n v="1"/>
    <n v="1163"/>
    <n v="2"/>
    <x v="0"/>
    <n v="70"/>
    <n v="3"/>
    <n v="2"/>
    <x v="0"/>
    <n v="3"/>
    <s v="Married"/>
    <n v="5714"/>
    <n v="5829"/>
    <n v="1"/>
    <s v="Y"/>
    <x v="1"/>
    <n v="20"/>
    <n v="4"/>
    <n v="1"/>
    <n v="80"/>
    <n v="0"/>
    <n v="6"/>
    <n v="3"/>
    <n v="2"/>
    <n v="6"/>
    <n v="5"/>
    <n v="1"/>
    <n v="3"/>
    <x v="1"/>
    <x v="0"/>
    <n v="0"/>
    <n v="0"/>
    <x v="1"/>
    <x v="0"/>
    <n v="46"/>
  </r>
  <r>
    <n v="35"/>
    <x v="1"/>
    <s v="Travel_Rarely"/>
    <n v="528"/>
    <x v="2"/>
    <n v="8"/>
    <n v="4"/>
    <s v="Technical Degree"/>
    <n v="1"/>
    <n v="1164"/>
    <n v="3"/>
    <x v="1"/>
    <n v="100"/>
    <n v="3"/>
    <n v="1"/>
    <x v="8"/>
    <n v="3"/>
    <s v="Single"/>
    <n v="4323"/>
    <n v="7108"/>
    <n v="1"/>
    <s v="Y"/>
    <x v="1"/>
    <n v="17"/>
    <n v="3"/>
    <n v="2"/>
    <n v="80"/>
    <n v="0"/>
    <n v="6"/>
    <n v="2"/>
    <n v="1"/>
    <n v="5"/>
    <n v="4"/>
    <n v="1"/>
    <n v="4"/>
    <x v="1"/>
    <x v="1"/>
    <n v="0"/>
    <n v="0"/>
    <x v="2"/>
    <x v="0"/>
    <n v="53"/>
  </r>
  <r>
    <n v="29"/>
    <x v="0"/>
    <s v="Travel_Rarely"/>
    <n v="408"/>
    <x v="0"/>
    <n v="23"/>
    <n v="1"/>
    <s v="Life Sciences"/>
    <n v="1"/>
    <n v="1165"/>
    <n v="4"/>
    <x v="0"/>
    <n v="45"/>
    <n v="2"/>
    <n v="3"/>
    <x v="0"/>
    <n v="1"/>
    <s v="Married"/>
    <n v="7336"/>
    <n v="11162"/>
    <n v="1"/>
    <s v="Y"/>
    <x v="1"/>
    <n v="13"/>
    <n v="3"/>
    <n v="1"/>
    <n v="80"/>
    <n v="1"/>
    <n v="11"/>
    <n v="3"/>
    <n v="1"/>
    <n v="11"/>
    <n v="8"/>
    <n v="3"/>
    <n v="10"/>
    <x v="2"/>
    <x v="0"/>
    <n v="1"/>
    <n v="0"/>
    <x v="1"/>
    <x v="1"/>
    <n v="63"/>
  </r>
  <r>
    <n v="40"/>
    <x v="1"/>
    <s v="Travel_Frequently"/>
    <n v="593"/>
    <x v="1"/>
    <n v="9"/>
    <n v="4"/>
    <s v="Medical"/>
    <n v="1"/>
    <n v="1166"/>
    <n v="2"/>
    <x v="0"/>
    <n v="88"/>
    <n v="3"/>
    <n v="3"/>
    <x v="7"/>
    <n v="3"/>
    <s v="Single"/>
    <n v="13499"/>
    <n v="13782"/>
    <n v="9"/>
    <s v="Y"/>
    <x v="1"/>
    <n v="17"/>
    <n v="3"/>
    <n v="3"/>
    <n v="80"/>
    <n v="0"/>
    <n v="20"/>
    <n v="3"/>
    <n v="2"/>
    <n v="18"/>
    <n v="7"/>
    <n v="2"/>
    <n v="13"/>
    <x v="0"/>
    <x v="0"/>
    <n v="0"/>
    <n v="0"/>
    <x v="2"/>
    <x v="2"/>
    <n v="31"/>
  </r>
  <r>
    <n v="42"/>
    <x v="0"/>
    <s v="Travel_Frequently"/>
    <n v="481"/>
    <x v="0"/>
    <n v="12"/>
    <n v="3"/>
    <s v="Life Sciences"/>
    <n v="1"/>
    <n v="1167"/>
    <n v="3"/>
    <x v="1"/>
    <n v="44"/>
    <n v="3"/>
    <n v="4"/>
    <x v="0"/>
    <n v="1"/>
    <s v="Single"/>
    <n v="13758"/>
    <n v="2447"/>
    <n v="0"/>
    <s v="Y"/>
    <x v="0"/>
    <n v="12"/>
    <n v="3"/>
    <n v="2"/>
    <n v="80"/>
    <n v="0"/>
    <n v="22"/>
    <n v="2"/>
    <n v="2"/>
    <n v="21"/>
    <n v="9"/>
    <n v="13"/>
    <n v="14"/>
    <x v="0"/>
    <x v="0"/>
    <n v="1"/>
    <n v="1"/>
    <x v="3"/>
    <x v="1"/>
    <n v="68"/>
  </r>
  <r>
    <n v="42"/>
    <x v="1"/>
    <s v="Travel_Rarely"/>
    <n v="647"/>
    <x v="0"/>
    <n v="4"/>
    <n v="4"/>
    <s v="Marketing"/>
    <n v="1"/>
    <n v="1171"/>
    <n v="2"/>
    <x v="1"/>
    <n v="45"/>
    <n v="3"/>
    <n v="2"/>
    <x v="0"/>
    <n v="1"/>
    <s v="Single"/>
    <n v="5155"/>
    <n v="2253"/>
    <n v="7"/>
    <s v="Y"/>
    <x v="1"/>
    <n v="13"/>
    <n v="3"/>
    <n v="4"/>
    <n v="80"/>
    <n v="0"/>
    <n v="9"/>
    <n v="3"/>
    <n v="4"/>
    <n v="6"/>
    <n v="4"/>
    <n v="1"/>
    <n v="5"/>
    <x v="0"/>
    <x v="0"/>
    <n v="0"/>
    <n v="0"/>
    <x v="2"/>
    <x v="0"/>
    <n v="48"/>
  </r>
  <r>
    <n v="35"/>
    <x v="1"/>
    <s v="Travel_Rarely"/>
    <n v="982"/>
    <x v="1"/>
    <n v="1"/>
    <n v="4"/>
    <s v="Medical"/>
    <n v="1"/>
    <n v="1172"/>
    <n v="4"/>
    <x v="1"/>
    <n v="58"/>
    <n v="2"/>
    <n v="1"/>
    <x v="2"/>
    <n v="3"/>
    <s v="Married"/>
    <n v="2258"/>
    <n v="16340"/>
    <n v="6"/>
    <s v="Y"/>
    <x v="1"/>
    <n v="12"/>
    <n v="3"/>
    <n v="2"/>
    <n v="80"/>
    <n v="1"/>
    <n v="10"/>
    <n v="2"/>
    <n v="3"/>
    <n v="8"/>
    <n v="0"/>
    <n v="1"/>
    <n v="7"/>
    <x v="1"/>
    <x v="1"/>
    <n v="0"/>
    <n v="0"/>
    <x v="2"/>
    <x v="0"/>
    <n v="46"/>
  </r>
  <r>
    <n v="24"/>
    <x v="1"/>
    <s v="Travel_Rarely"/>
    <n v="477"/>
    <x v="1"/>
    <n v="24"/>
    <n v="3"/>
    <s v="Medical"/>
    <n v="1"/>
    <n v="1173"/>
    <n v="4"/>
    <x v="1"/>
    <n v="49"/>
    <n v="3"/>
    <n v="1"/>
    <x v="2"/>
    <n v="2"/>
    <s v="Single"/>
    <n v="3597"/>
    <n v="6409"/>
    <n v="8"/>
    <s v="Y"/>
    <x v="1"/>
    <n v="22"/>
    <n v="4"/>
    <n v="4"/>
    <n v="80"/>
    <n v="0"/>
    <n v="6"/>
    <n v="2"/>
    <n v="3"/>
    <n v="4"/>
    <n v="3"/>
    <n v="1"/>
    <n v="2"/>
    <x v="2"/>
    <x v="1"/>
    <n v="0"/>
    <n v="0"/>
    <x v="3"/>
    <x v="1"/>
    <n v="69"/>
  </r>
  <r>
    <n v="28"/>
    <x v="0"/>
    <s v="Travel_Rarely"/>
    <n v="1485"/>
    <x v="1"/>
    <n v="12"/>
    <n v="1"/>
    <s v="Life Sciences"/>
    <n v="1"/>
    <n v="1175"/>
    <n v="3"/>
    <x v="0"/>
    <n v="79"/>
    <n v="3"/>
    <n v="1"/>
    <x v="2"/>
    <n v="4"/>
    <s v="Married"/>
    <n v="2515"/>
    <n v="22955"/>
    <n v="1"/>
    <s v="Y"/>
    <x v="0"/>
    <n v="11"/>
    <n v="3"/>
    <n v="4"/>
    <n v="80"/>
    <n v="0"/>
    <n v="1"/>
    <n v="4"/>
    <n v="2"/>
    <n v="1"/>
    <n v="1"/>
    <n v="0"/>
    <n v="0"/>
    <x v="2"/>
    <x v="1"/>
    <n v="1"/>
    <n v="1"/>
    <x v="1"/>
    <x v="1"/>
    <n v="91"/>
  </r>
  <r>
    <n v="26"/>
    <x v="1"/>
    <s v="Travel_Rarely"/>
    <n v="1384"/>
    <x v="1"/>
    <n v="3"/>
    <n v="4"/>
    <s v="Medical"/>
    <n v="1"/>
    <n v="1177"/>
    <n v="1"/>
    <x v="1"/>
    <n v="82"/>
    <n v="4"/>
    <n v="1"/>
    <x v="2"/>
    <n v="4"/>
    <s v="Married"/>
    <n v="4420"/>
    <n v="13421"/>
    <n v="1"/>
    <s v="Y"/>
    <x v="1"/>
    <n v="22"/>
    <n v="4"/>
    <n v="2"/>
    <n v="80"/>
    <n v="1"/>
    <n v="8"/>
    <n v="2"/>
    <n v="3"/>
    <n v="8"/>
    <n v="7"/>
    <n v="0"/>
    <n v="7"/>
    <x v="2"/>
    <x v="1"/>
    <n v="0"/>
    <n v="0"/>
    <x v="2"/>
    <x v="0"/>
    <n v="49"/>
  </r>
  <r>
    <n v="30"/>
    <x v="1"/>
    <s v="Travel_Rarely"/>
    <n v="852"/>
    <x v="0"/>
    <n v="10"/>
    <n v="3"/>
    <s v="Marketing"/>
    <n v="1"/>
    <n v="1179"/>
    <n v="3"/>
    <x v="1"/>
    <n v="72"/>
    <n v="2"/>
    <n v="2"/>
    <x v="0"/>
    <n v="3"/>
    <s v="Married"/>
    <n v="6578"/>
    <n v="2706"/>
    <n v="1"/>
    <s v="Y"/>
    <x v="1"/>
    <n v="18"/>
    <n v="3"/>
    <n v="1"/>
    <n v="80"/>
    <n v="1"/>
    <n v="10"/>
    <n v="3"/>
    <n v="3"/>
    <n v="10"/>
    <n v="3"/>
    <n v="1"/>
    <n v="4"/>
    <x v="1"/>
    <x v="0"/>
    <n v="0"/>
    <n v="0"/>
    <x v="3"/>
    <x v="0"/>
    <n v="46"/>
  </r>
  <r>
    <n v="40"/>
    <x v="1"/>
    <s v="Travel_Frequently"/>
    <n v="902"/>
    <x v="1"/>
    <n v="26"/>
    <n v="2"/>
    <s v="Medical"/>
    <n v="1"/>
    <n v="1180"/>
    <n v="3"/>
    <x v="0"/>
    <n v="92"/>
    <n v="2"/>
    <n v="2"/>
    <x v="1"/>
    <n v="4"/>
    <s v="Married"/>
    <n v="4422"/>
    <n v="21203"/>
    <n v="3"/>
    <s v="Y"/>
    <x v="0"/>
    <n v="13"/>
    <n v="3"/>
    <n v="4"/>
    <n v="80"/>
    <n v="1"/>
    <n v="16"/>
    <n v="3"/>
    <n v="1"/>
    <n v="1"/>
    <n v="1"/>
    <n v="0"/>
    <n v="0"/>
    <x v="0"/>
    <x v="1"/>
    <n v="0"/>
    <n v="1"/>
    <x v="0"/>
    <x v="1"/>
    <n v="71"/>
  </r>
  <r>
    <n v="35"/>
    <x v="1"/>
    <s v="Travel_Rarely"/>
    <n v="819"/>
    <x v="1"/>
    <n v="2"/>
    <n v="3"/>
    <s v="Life Sciences"/>
    <n v="1"/>
    <n v="1182"/>
    <n v="3"/>
    <x v="1"/>
    <n v="44"/>
    <n v="2"/>
    <n v="3"/>
    <x v="3"/>
    <n v="2"/>
    <s v="Divorced"/>
    <n v="10274"/>
    <n v="19588"/>
    <n v="2"/>
    <s v="Y"/>
    <x v="1"/>
    <n v="18"/>
    <n v="3"/>
    <n v="2"/>
    <n v="80"/>
    <n v="1"/>
    <n v="15"/>
    <n v="2"/>
    <n v="4"/>
    <n v="7"/>
    <n v="7"/>
    <n v="6"/>
    <n v="4"/>
    <x v="1"/>
    <x v="0"/>
    <n v="0"/>
    <n v="0"/>
    <x v="3"/>
    <x v="0"/>
    <n v="52"/>
  </r>
  <r>
    <n v="34"/>
    <x v="1"/>
    <s v="Travel_Frequently"/>
    <n v="669"/>
    <x v="1"/>
    <n v="1"/>
    <n v="3"/>
    <s v="Medical"/>
    <n v="1"/>
    <n v="1184"/>
    <n v="4"/>
    <x v="1"/>
    <n v="97"/>
    <n v="2"/>
    <n v="2"/>
    <x v="4"/>
    <n v="1"/>
    <s v="Single"/>
    <n v="5343"/>
    <n v="25755"/>
    <n v="0"/>
    <s v="Y"/>
    <x v="1"/>
    <n v="20"/>
    <n v="4"/>
    <n v="3"/>
    <n v="80"/>
    <n v="0"/>
    <n v="14"/>
    <n v="3"/>
    <n v="3"/>
    <n v="13"/>
    <n v="9"/>
    <n v="4"/>
    <n v="9"/>
    <x v="1"/>
    <x v="0"/>
    <n v="0"/>
    <n v="0"/>
    <x v="3"/>
    <x v="0"/>
    <n v="53"/>
  </r>
  <r>
    <n v="35"/>
    <x v="1"/>
    <s v="Travel_Frequently"/>
    <n v="636"/>
    <x v="1"/>
    <n v="4"/>
    <n v="4"/>
    <s v="Other"/>
    <n v="1"/>
    <n v="1185"/>
    <n v="4"/>
    <x v="1"/>
    <n v="47"/>
    <n v="2"/>
    <n v="1"/>
    <x v="2"/>
    <n v="4"/>
    <s v="Married"/>
    <n v="2376"/>
    <n v="26537"/>
    <n v="1"/>
    <s v="Y"/>
    <x v="1"/>
    <n v="13"/>
    <n v="3"/>
    <n v="2"/>
    <n v="80"/>
    <n v="1"/>
    <n v="2"/>
    <n v="2"/>
    <n v="4"/>
    <n v="2"/>
    <n v="2"/>
    <n v="2"/>
    <n v="2"/>
    <x v="1"/>
    <x v="1"/>
    <n v="0"/>
    <n v="0"/>
    <x v="2"/>
    <x v="1"/>
    <n v="56"/>
  </r>
  <r>
    <n v="43"/>
    <x v="0"/>
    <s v="Travel_Rarely"/>
    <n v="1372"/>
    <x v="0"/>
    <n v="9"/>
    <n v="3"/>
    <s v="Marketing"/>
    <n v="1"/>
    <n v="1188"/>
    <n v="1"/>
    <x v="0"/>
    <n v="85"/>
    <n v="1"/>
    <n v="2"/>
    <x v="0"/>
    <n v="3"/>
    <s v="Single"/>
    <n v="5346"/>
    <n v="9489"/>
    <n v="8"/>
    <s v="Y"/>
    <x v="1"/>
    <n v="13"/>
    <n v="3"/>
    <n v="2"/>
    <n v="80"/>
    <n v="0"/>
    <n v="7"/>
    <n v="2"/>
    <n v="2"/>
    <n v="4"/>
    <n v="3"/>
    <n v="1"/>
    <n v="3"/>
    <x v="0"/>
    <x v="0"/>
    <n v="1"/>
    <n v="0"/>
    <x v="3"/>
    <x v="0"/>
    <n v="43"/>
  </r>
  <r>
    <n v="32"/>
    <x v="1"/>
    <s v="Non-Travel"/>
    <n v="862"/>
    <x v="0"/>
    <n v="2"/>
    <n v="1"/>
    <s v="Life Sciences"/>
    <n v="1"/>
    <n v="1190"/>
    <n v="3"/>
    <x v="0"/>
    <n v="76"/>
    <n v="3"/>
    <n v="1"/>
    <x v="6"/>
    <n v="1"/>
    <s v="Divorced"/>
    <n v="2827"/>
    <n v="14947"/>
    <n v="1"/>
    <s v="Y"/>
    <x v="1"/>
    <n v="12"/>
    <n v="3"/>
    <n v="3"/>
    <n v="80"/>
    <n v="3"/>
    <n v="1"/>
    <n v="3"/>
    <n v="3"/>
    <n v="1"/>
    <n v="0"/>
    <n v="0"/>
    <n v="0"/>
    <x v="1"/>
    <x v="1"/>
    <n v="0"/>
    <n v="0"/>
    <x v="1"/>
    <x v="1"/>
    <n v="75"/>
  </r>
  <r>
    <n v="56"/>
    <x v="1"/>
    <s v="Travel_Rarely"/>
    <n v="718"/>
    <x v="1"/>
    <n v="4"/>
    <n v="4"/>
    <s v="Technical Degree"/>
    <n v="1"/>
    <n v="1191"/>
    <n v="4"/>
    <x v="0"/>
    <n v="92"/>
    <n v="3"/>
    <n v="5"/>
    <x v="5"/>
    <n v="1"/>
    <s v="Divorced"/>
    <n v="19943"/>
    <n v="18575"/>
    <n v="4"/>
    <s v="Y"/>
    <x v="1"/>
    <n v="13"/>
    <n v="3"/>
    <n v="4"/>
    <n v="80"/>
    <n v="1"/>
    <n v="28"/>
    <n v="2"/>
    <n v="3"/>
    <n v="5"/>
    <n v="2"/>
    <n v="4"/>
    <n v="2"/>
    <x v="3"/>
    <x v="2"/>
    <n v="0"/>
    <n v="0"/>
    <x v="2"/>
    <x v="1"/>
    <n v="60"/>
  </r>
  <r>
    <n v="29"/>
    <x v="1"/>
    <s v="Travel_Rarely"/>
    <n v="1401"/>
    <x v="1"/>
    <n v="6"/>
    <n v="1"/>
    <s v="Medical"/>
    <n v="1"/>
    <n v="1192"/>
    <n v="2"/>
    <x v="0"/>
    <n v="54"/>
    <n v="3"/>
    <n v="1"/>
    <x v="2"/>
    <n v="4"/>
    <s v="Married"/>
    <n v="3131"/>
    <n v="26342"/>
    <n v="1"/>
    <s v="Y"/>
    <x v="1"/>
    <n v="13"/>
    <n v="3"/>
    <n v="1"/>
    <n v="80"/>
    <n v="1"/>
    <n v="10"/>
    <n v="5"/>
    <n v="3"/>
    <n v="10"/>
    <n v="8"/>
    <n v="0"/>
    <n v="8"/>
    <x v="2"/>
    <x v="1"/>
    <n v="0"/>
    <n v="0"/>
    <x v="1"/>
    <x v="0"/>
    <n v="49"/>
  </r>
  <r>
    <n v="19"/>
    <x v="1"/>
    <s v="Travel_Rarely"/>
    <n v="645"/>
    <x v="1"/>
    <n v="9"/>
    <n v="2"/>
    <s v="Life Sciences"/>
    <n v="1"/>
    <n v="1193"/>
    <n v="3"/>
    <x v="1"/>
    <n v="54"/>
    <n v="3"/>
    <n v="1"/>
    <x v="1"/>
    <n v="1"/>
    <s v="Single"/>
    <n v="2552"/>
    <n v="7172"/>
    <n v="1"/>
    <s v="Y"/>
    <x v="1"/>
    <n v="25"/>
    <n v="4"/>
    <n v="3"/>
    <n v="80"/>
    <n v="0"/>
    <n v="1"/>
    <n v="4"/>
    <n v="3"/>
    <n v="1"/>
    <n v="1"/>
    <n v="0"/>
    <n v="0"/>
    <x v="2"/>
    <x v="1"/>
    <n v="0"/>
    <n v="0"/>
    <x v="0"/>
    <x v="1"/>
    <n v="85"/>
  </r>
  <r>
    <n v="45"/>
    <x v="1"/>
    <s v="Travel_Rarely"/>
    <n v="1457"/>
    <x v="1"/>
    <n v="7"/>
    <n v="3"/>
    <s v="Medical"/>
    <n v="1"/>
    <n v="1195"/>
    <n v="1"/>
    <x v="0"/>
    <n v="83"/>
    <n v="3"/>
    <n v="1"/>
    <x v="1"/>
    <n v="3"/>
    <s v="Married"/>
    <n v="4477"/>
    <n v="20100"/>
    <n v="4"/>
    <s v="Y"/>
    <x v="0"/>
    <n v="19"/>
    <n v="3"/>
    <n v="3"/>
    <n v="80"/>
    <n v="1"/>
    <n v="7"/>
    <n v="2"/>
    <n v="2"/>
    <n v="3"/>
    <n v="2"/>
    <n v="0"/>
    <n v="2"/>
    <x v="0"/>
    <x v="1"/>
    <n v="0"/>
    <n v="1"/>
    <x v="3"/>
    <x v="1"/>
    <n v="68"/>
  </r>
  <r>
    <n v="37"/>
    <x v="1"/>
    <s v="Travel_Rarely"/>
    <n v="977"/>
    <x v="1"/>
    <n v="1"/>
    <n v="3"/>
    <s v="Life Sciences"/>
    <n v="1"/>
    <n v="1196"/>
    <n v="4"/>
    <x v="0"/>
    <n v="56"/>
    <n v="2"/>
    <n v="2"/>
    <x v="3"/>
    <n v="4"/>
    <s v="Married"/>
    <n v="6474"/>
    <n v="9961"/>
    <n v="1"/>
    <s v="Y"/>
    <x v="1"/>
    <n v="13"/>
    <n v="3"/>
    <n v="2"/>
    <n v="80"/>
    <n v="1"/>
    <n v="14"/>
    <n v="2"/>
    <n v="2"/>
    <n v="14"/>
    <n v="8"/>
    <n v="3"/>
    <n v="11"/>
    <x v="1"/>
    <x v="0"/>
    <n v="0"/>
    <n v="0"/>
    <x v="3"/>
    <x v="2"/>
    <n v="34"/>
  </r>
  <r>
    <n v="20"/>
    <x v="1"/>
    <s v="Travel_Rarely"/>
    <n v="805"/>
    <x v="1"/>
    <n v="3"/>
    <n v="3"/>
    <s v="Life Sciences"/>
    <n v="1"/>
    <n v="1198"/>
    <n v="1"/>
    <x v="1"/>
    <n v="87"/>
    <n v="2"/>
    <n v="1"/>
    <x v="2"/>
    <n v="3"/>
    <s v="Single"/>
    <n v="3033"/>
    <n v="12828"/>
    <n v="1"/>
    <s v="Y"/>
    <x v="1"/>
    <n v="12"/>
    <n v="3"/>
    <n v="1"/>
    <n v="80"/>
    <n v="0"/>
    <n v="2"/>
    <n v="2"/>
    <n v="2"/>
    <n v="2"/>
    <n v="2"/>
    <n v="1"/>
    <n v="2"/>
    <x v="2"/>
    <x v="1"/>
    <n v="0"/>
    <n v="0"/>
    <x v="3"/>
    <x v="1"/>
    <n v="73"/>
  </r>
  <r>
    <n v="44"/>
    <x v="0"/>
    <s v="Travel_Rarely"/>
    <n v="1097"/>
    <x v="1"/>
    <n v="10"/>
    <n v="4"/>
    <s v="Life Sciences"/>
    <n v="1"/>
    <n v="1200"/>
    <n v="3"/>
    <x v="1"/>
    <n v="96"/>
    <n v="3"/>
    <n v="1"/>
    <x v="1"/>
    <n v="3"/>
    <s v="Single"/>
    <n v="2936"/>
    <n v="10826"/>
    <n v="1"/>
    <s v="Y"/>
    <x v="0"/>
    <n v="11"/>
    <n v="3"/>
    <n v="3"/>
    <n v="80"/>
    <n v="0"/>
    <n v="6"/>
    <n v="4"/>
    <n v="3"/>
    <n v="6"/>
    <n v="4"/>
    <n v="0"/>
    <n v="2"/>
    <x v="0"/>
    <x v="1"/>
    <n v="1"/>
    <n v="1"/>
    <x v="2"/>
    <x v="1"/>
    <n v="61"/>
  </r>
  <r>
    <n v="53"/>
    <x v="1"/>
    <s v="Travel_Rarely"/>
    <n v="1223"/>
    <x v="1"/>
    <n v="7"/>
    <n v="2"/>
    <s v="Medical"/>
    <n v="1"/>
    <n v="1201"/>
    <n v="4"/>
    <x v="0"/>
    <n v="50"/>
    <n v="3"/>
    <n v="5"/>
    <x v="5"/>
    <n v="3"/>
    <s v="Divorced"/>
    <n v="18606"/>
    <n v="18640"/>
    <n v="3"/>
    <s v="Y"/>
    <x v="1"/>
    <n v="18"/>
    <n v="3"/>
    <n v="2"/>
    <n v="80"/>
    <n v="1"/>
    <n v="26"/>
    <n v="6"/>
    <n v="3"/>
    <n v="7"/>
    <n v="7"/>
    <n v="4"/>
    <n v="7"/>
    <x v="3"/>
    <x v="2"/>
    <n v="0"/>
    <n v="0"/>
    <x v="0"/>
    <x v="0"/>
    <n v="41"/>
  </r>
  <r>
    <n v="29"/>
    <x v="1"/>
    <s v="Travel_Rarely"/>
    <n v="942"/>
    <x v="1"/>
    <n v="15"/>
    <n v="1"/>
    <s v="Life Sciences"/>
    <n v="1"/>
    <n v="1202"/>
    <n v="2"/>
    <x v="0"/>
    <n v="69"/>
    <n v="1"/>
    <n v="1"/>
    <x v="1"/>
    <n v="4"/>
    <s v="Married"/>
    <n v="2168"/>
    <n v="26933"/>
    <n v="0"/>
    <s v="Y"/>
    <x v="0"/>
    <n v="18"/>
    <n v="3"/>
    <n v="1"/>
    <n v="80"/>
    <n v="1"/>
    <n v="6"/>
    <n v="2"/>
    <n v="2"/>
    <n v="5"/>
    <n v="4"/>
    <n v="1"/>
    <n v="3"/>
    <x v="2"/>
    <x v="1"/>
    <n v="0"/>
    <n v="1"/>
    <x v="1"/>
    <x v="1"/>
    <n v="81"/>
  </r>
  <r>
    <n v="22"/>
    <x v="0"/>
    <s v="Travel_Frequently"/>
    <n v="1256"/>
    <x v="1"/>
    <n v="3"/>
    <n v="4"/>
    <s v="Life Sciences"/>
    <n v="1"/>
    <n v="1203"/>
    <n v="3"/>
    <x v="1"/>
    <n v="48"/>
    <n v="2"/>
    <n v="1"/>
    <x v="1"/>
    <n v="4"/>
    <s v="Married"/>
    <n v="2853"/>
    <n v="4223"/>
    <n v="0"/>
    <s v="Y"/>
    <x v="0"/>
    <n v="11"/>
    <n v="3"/>
    <n v="2"/>
    <n v="80"/>
    <n v="1"/>
    <n v="1"/>
    <n v="5"/>
    <n v="3"/>
    <n v="0"/>
    <n v="0"/>
    <n v="0"/>
    <n v="0"/>
    <x v="2"/>
    <x v="1"/>
    <n v="1"/>
    <n v="1"/>
    <x v="2"/>
    <x v="1"/>
    <n v="91"/>
  </r>
  <r>
    <n v="46"/>
    <x v="1"/>
    <s v="Travel_Rarely"/>
    <n v="1402"/>
    <x v="0"/>
    <n v="2"/>
    <n v="3"/>
    <s v="Marketing"/>
    <n v="1"/>
    <n v="1204"/>
    <n v="3"/>
    <x v="0"/>
    <n v="69"/>
    <n v="3"/>
    <n v="4"/>
    <x v="5"/>
    <n v="1"/>
    <s v="Married"/>
    <n v="17048"/>
    <n v="24097"/>
    <n v="8"/>
    <s v="Y"/>
    <x v="1"/>
    <n v="23"/>
    <n v="4"/>
    <n v="1"/>
    <n v="80"/>
    <n v="0"/>
    <n v="28"/>
    <n v="2"/>
    <n v="3"/>
    <n v="26"/>
    <n v="15"/>
    <n v="15"/>
    <n v="9"/>
    <x v="0"/>
    <x v="2"/>
    <n v="0"/>
    <n v="0"/>
    <x v="3"/>
    <x v="0"/>
    <n v="43"/>
  </r>
  <r>
    <n v="44"/>
    <x v="1"/>
    <s v="Non-Travel"/>
    <n v="111"/>
    <x v="1"/>
    <n v="17"/>
    <n v="3"/>
    <s v="Life Sciences"/>
    <n v="1"/>
    <n v="1206"/>
    <n v="4"/>
    <x v="1"/>
    <n v="74"/>
    <n v="1"/>
    <n v="1"/>
    <x v="1"/>
    <n v="3"/>
    <s v="Single"/>
    <n v="2290"/>
    <n v="4279"/>
    <n v="2"/>
    <s v="Y"/>
    <x v="1"/>
    <n v="13"/>
    <n v="3"/>
    <n v="4"/>
    <n v="80"/>
    <n v="0"/>
    <n v="6"/>
    <n v="3"/>
    <n v="3"/>
    <n v="0"/>
    <n v="0"/>
    <n v="0"/>
    <n v="0"/>
    <x v="0"/>
    <x v="1"/>
    <n v="0"/>
    <n v="0"/>
    <x v="3"/>
    <x v="0"/>
    <n v="53"/>
  </r>
  <r>
    <n v="33"/>
    <x v="1"/>
    <s v="Travel_Rarely"/>
    <n v="147"/>
    <x v="2"/>
    <n v="2"/>
    <n v="3"/>
    <s v="Human Resources"/>
    <n v="1"/>
    <n v="1207"/>
    <n v="2"/>
    <x v="1"/>
    <n v="99"/>
    <n v="3"/>
    <n v="1"/>
    <x v="8"/>
    <n v="3"/>
    <s v="Married"/>
    <n v="3600"/>
    <n v="8429"/>
    <n v="1"/>
    <s v="Y"/>
    <x v="1"/>
    <n v="13"/>
    <n v="3"/>
    <n v="4"/>
    <n v="80"/>
    <n v="1"/>
    <n v="5"/>
    <n v="2"/>
    <n v="3"/>
    <n v="5"/>
    <n v="4"/>
    <n v="1"/>
    <n v="4"/>
    <x v="1"/>
    <x v="1"/>
    <n v="0"/>
    <n v="0"/>
    <x v="3"/>
    <x v="0"/>
    <n v="53"/>
  </r>
  <r>
    <n v="41"/>
    <x v="0"/>
    <s v="Non-Travel"/>
    <n v="906"/>
    <x v="1"/>
    <n v="5"/>
    <n v="2"/>
    <s v="Life Sciences"/>
    <n v="1"/>
    <n v="1210"/>
    <n v="1"/>
    <x v="1"/>
    <n v="95"/>
    <n v="2"/>
    <n v="1"/>
    <x v="1"/>
    <n v="1"/>
    <s v="Divorced"/>
    <n v="2107"/>
    <n v="20293"/>
    <n v="6"/>
    <s v="Y"/>
    <x v="1"/>
    <n v="17"/>
    <n v="3"/>
    <n v="1"/>
    <n v="80"/>
    <n v="1"/>
    <n v="5"/>
    <n v="2"/>
    <n v="1"/>
    <n v="1"/>
    <n v="0"/>
    <n v="0"/>
    <n v="0"/>
    <x v="0"/>
    <x v="1"/>
    <n v="1"/>
    <n v="0"/>
    <x v="0"/>
    <x v="1"/>
    <n v="65"/>
  </r>
  <r>
    <n v="30"/>
    <x v="1"/>
    <s v="Travel_Rarely"/>
    <n v="1329"/>
    <x v="0"/>
    <n v="29"/>
    <n v="4"/>
    <s v="Life Sciences"/>
    <n v="1"/>
    <n v="1211"/>
    <n v="3"/>
    <x v="1"/>
    <n v="61"/>
    <n v="3"/>
    <n v="2"/>
    <x v="0"/>
    <n v="1"/>
    <s v="Divorced"/>
    <n v="4115"/>
    <n v="13192"/>
    <n v="8"/>
    <s v="Y"/>
    <x v="1"/>
    <n v="19"/>
    <n v="3"/>
    <n v="3"/>
    <n v="80"/>
    <n v="3"/>
    <n v="8"/>
    <n v="3"/>
    <n v="3"/>
    <n v="4"/>
    <n v="3"/>
    <n v="0"/>
    <n v="3"/>
    <x v="1"/>
    <x v="1"/>
    <n v="0"/>
    <n v="0"/>
    <x v="2"/>
    <x v="1"/>
    <n v="65"/>
  </r>
  <r>
    <n v="40"/>
    <x v="1"/>
    <s v="Travel_Frequently"/>
    <n v="1184"/>
    <x v="0"/>
    <n v="2"/>
    <n v="4"/>
    <s v="Medical"/>
    <n v="1"/>
    <n v="1212"/>
    <n v="2"/>
    <x v="1"/>
    <n v="62"/>
    <n v="3"/>
    <n v="2"/>
    <x v="0"/>
    <n v="2"/>
    <s v="Married"/>
    <n v="4327"/>
    <n v="25440"/>
    <n v="5"/>
    <s v="Y"/>
    <x v="1"/>
    <n v="12"/>
    <n v="3"/>
    <n v="4"/>
    <n v="80"/>
    <n v="3"/>
    <n v="5"/>
    <n v="2"/>
    <n v="3"/>
    <n v="0"/>
    <n v="0"/>
    <n v="0"/>
    <n v="0"/>
    <x v="0"/>
    <x v="1"/>
    <n v="0"/>
    <n v="0"/>
    <x v="2"/>
    <x v="1"/>
    <n v="59"/>
  </r>
  <r>
    <n v="50"/>
    <x v="1"/>
    <s v="Travel_Frequently"/>
    <n v="1421"/>
    <x v="1"/>
    <n v="2"/>
    <n v="3"/>
    <s v="Medical"/>
    <n v="1"/>
    <n v="1215"/>
    <n v="4"/>
    <x v="0"/>
    <n v="30"/>
    <n v="3"/>
    <n v="4"/>
    <x v="5"/>
    <n v="1"/>
    <s v="Married"/>
    <n v="17856"/>
    <n v="9490"/>
    <n v="2"/>
    <s v="Y"/>
    <x v="1"/>
    <n v="22"/>
    <n v="4"/>
    <n v="3"/>
    <n v="80"/>
    <n v="1"/>
    <n v="32"/>
    <n v="3"/>
    <n v="3"/>
    <n v="2"/>
    <n v="2"/>
    <n v="2"/>
    <n v="2"/>
    <x v="3"/>
    <x v="2"/>
    <n v="0"/>
    <n v="0"/>
    <x v="3"/>
    <x v="1"/>
    <n v="70"/>
  </r>
  <r>
    <n v="28"/>
    <x v="1"/>
    <s v="Travel_Rarely"/>
    <n v="1179"/>
    <x v="1"/>
    <n v="19"/>
    <n v="4"/>
    <s v="Medical"/>
    <n v="1"/>
    <n v="1216"/>
    <n v="4"/>
    <x v="1"/>
    <n v="78"/>
    <n v="2"/>
    <n v="1"/>
    <x v="2"/>
    <n v="1"/>
    <s v="Married"/>
    <n v="3196"/>
    <n v="12449"/>
    <n v="1"/>
    <s v="Y"/>
    <x v="1"/>
    <n v="12"/>
    <n v="3"/>
    <n v="3"/>
    <n v="80"/>
    <n v="3"/>
    <n v="6"/>
    <n v="2"/>
    <n v="3"/>
    <n v="6"/>
    <n v="5"/>
    <n v="3"/>
    <n v="3"/>
    <x v="2"/>
    <x v="1"/>
    <n v="0"/>
    <n v="0"/>
    <x v="2"/>
    <x v="1"/>
    <n v="68"/>
  </r>
  <r>
    <n v="46"/>
    <x v="1"/>
    <s v="Travel_Rarely"/>
    <n v="1450"/>
    <x v="1"/>
    <n v="15"/>
    <n v="2"/>
    <s v="Life Sciences"/>
    <n v="1"/>
    <n v="1217"/>
    <n v="4"/>
    <x v="1"/>
    <n v="52"/>
    <n v="3"/>
    <n v="5"/>
    <x v="7"/>
    <n v="2"/>
    <s v="Married"/>
    <n v="19081"/>
    <n v="10849"/>
    <n v="5"/>
    <s v="Y"/>
    <x v="1"/>
    <n v="11"/>
    <n v="3"/>
    <n v="1"/>
    <n v="80"/>
    <n v="1"/>
    <n v="25"/>
    <n v="2"/>
    <n v="3"/>
    <n v="4"/>
    <n v="2"/>
    <n v="0"/>
    <n v="3"/>
    <x v="0"/>
    <x v="2"/>
    <n v="0"/>
    <n v="0"/>
    <x v="0"/>
    <x v="0"/>
    <n v="49"/>
  </r>
  <r>
    <n v="35"/>
    <x v="1"/>
    <s v="Travel_Rarely"/>
    <n v="1361"/>
    <x v="0"/>
    <n v="17"/>
    <n v="4"/>
    <s v="Life Sciences"/>
    <n v="1"/>
    <n v="1218"/>
    <n v="3"/>
    <x v="1"/>
    <n v="94"/>
    <n v="3"/>
    <n v="2"/>
    <x v="0"/>
    <n v="1"/>
    <s v="Married"/>
    <n v="8966"/>
    <n v="21026"/>
    <n v="3"/>
    <s v="Y"/>
    <x v="0"/>
    <n v="15"/>
    <n v="3"/>
    <n v="4"/>
    <n v="80"/>
    <n v="3"/>
    <n v="15"/>
    <n v="2"/>
    <n v="3"/>
    <n v="7"/>
    <n v="7"/>
    <n v="1"/>
    <n v="7"/>
    <x v="1"/>
    <x v="0"/>
    <n v="0"/>
    <n v="1"/>
    <x v="2"/>
    <x v="1"/>
    <n v="83"/>
  </r>
  <r>
    <n v="24"/>
    <x v="0"/>
    <s v="Travel_Rarely"/>
    <n v="984"/>
    <x v="1"/>
    <n v="17"/>
    <n v="2"/>
    <s v="Life Sciences"/>
    <n v="1"/>
    <n v="1219"/>
    <n v="4"/>
    <x v="0"/>
    <n v="97"/>
    <n v="3"/>
    <n v="1"/>
    <x v="2"/>
    <n v="2"/>
    <s v="Married"/>
    <n v="2210"/>
    <n v="3372"/>
    <n v="1"/>
    <s v="Y"/>
    <x v="1"/>
    <n v="13"/>
    <n v="3"/>
    <n v="1"/>
    <n v="80"/>
    <n v="1"/>
    <n v="1"/>
    <n v="3"/>
    <n v="1"/>
    <n v="1"/>
    <n v="0"/>
    <n v="0"/>
    <n v="0"/>
    <x v="2"/>
    <x v="1"/>
    <n v="1"/>
    <n v="0"/>
    <x v="0"/>
    <x v="1"/>
    <n v="79"/>
  </r>
  <r>
    <n v="33"/>
    <x v="1"/>
    <s v="Travel_Frequently"/>
    <n v="1146"/>
    <x v="0"/>
    <n v="25"/>
    <n v="3"/>
    <s v="Medical"/>
    <n v="1"/>
    <n v="1220"/>
    <n v="2"/>
    <x v="0"/>
    <n v="82"/>
    <n v="3"/>
    <n v="2"/>
    <x v="0"/>
    <n v="3"/>
    <s v="Married"/>
    <n v="4539"/>
    <n v="4905"/>
    <n v="1"/>
    <s v="Y"/>
    <x v="1"/>
    <n v="12"/>
    <n v="3"/>
    <n v="1"/>
    <n v="80"/>
    <n v="1"/>
    <n v="10"/>
    <n v="3"/>
    <n v="2"/>
    <n v="10"/>
    <n v="7"/>
    <n v="0"/>
    <n v="1"/>
    <x v="1"/>
    <x v="1"/>
    <n v="0"/>
    <n v="0"/>
    <x v="3"/>
    <x v="0"/>
    <n v="46"/>
  </r>
  <r>
    <n v="36"/>
    <x v="1"/>
    <s v="Travel_Rarely"/>
    <n v="917"/>
    <x v="1"/>
    <n v="6"/>
    <n v="4"/>
    <s v="Life Sciences"/>
    <n v="1"/>
    <n v="1221"/>
    <n v="3"/>
    <x v="1"/>
    <n v="60"/>
    <n v="1"/>
    <n v="1"/>
    <x v="2"/>
    <n v="3"/>
    <s v="Divorced"/>
    <n v="2741"/>
    <n v="6865"/>
    <n v="1"/>
    <s v="Y"/>
    <x v="1"/>
    <n v="14"/>
    <n v="3"/>
    <n v="3"/>
    <n v="80"/>
    <n v="1"/>
    <n v="7"/>
    <n v="4"/>
    <n v="3"/>
    <n v="7"/>
    <n v="7"/>
    <n v="1"/>
    <n v="7"/>
    <x v="1"/>
    <x v="1"/>
    <n v="0"/>
    <n v="0"/>
    <x v="2"/>
    <x v="0"/>
    <n v="46"/>
  </r>
  <r>
    <n v="30"/>
    <x v="1"/>
    <s v="Travel_Rarely"/>
    <n v="853"/>
    <x v="1"/>
    <n v="7"/>
    <n v="4"/>
    <s v="Life Sciences"/>
    <n v="1"/>
    <n v="1224"/>
    <n v="3"/>
    <x v="1"/>
    <n v="49"/>
    <n v="3"/>
    <n v="2"/>
    <x v="2"/>
    <n v="3"/>
    <s v="Divorced"/>
    <n v="3491"/>
    <n v="11309"/>
    <n v="1"/>
    <s v="Y"/>
    <x v="1"/>
    <n v="13"/>
    <n v="3"/>
    <n v="1"/>
    <n v="80"/>
    <n v="3"/>
    <n v="10"/>
    <n v="4"/>
    <n v="2"/>
    <n v="10"/>
    <n v="7"/>
    <n v="8"/>
    <n v="9"/>
    <x v="1"/>
    <x v="1"/>
    <n v="0"/>
    <n v="0"/>
    <x v="2"/>
    <x v="0"/>
    <n v="46"/>
  </r>
  <r>
    <n v="44"/>
    <x v="1"/>
    <s v="Travel_Rarely"/>
    <n v="200"/>
    <x v="1"/>
    <n v="29"/>
    <n v="4"/>
    <s v="Other"/>
    <n v="1"/>
    <n v="1225"/>
    <n v="4"/>
    <x v="1"/>
    <n v="32"/>
    <n v="3"/>
    <n v="2"/>
    <x v="1"/>
    <n v="4"/>
    <s v="Single"/>
    <n v="4541"/>
    <n v="7744"/>
    <n v="1"/>
    <s v="Y"/>
    <x v="1"/>
    <n v="25"/>
    <n v="4"/>
    <n v="2"/>
    <n v="80"/>
    <n v="0"/>
    <n v="20"/>
    <n v="3"/>
    <n v="3"/>
    <n v="20"/>
    <n v="11"/>
    <n v="13"/>
    <n v="17"/>
    <x v="0"/>
    <x v="1"/>
    <n v="0"/>
    <n v="0"/>
    <x v="2"/>
    <x v="2"/>
    <n v="24"/>
  </r>
  <r>
    <n v="20"/>
    <x v="1"/>
    <s v="Travel_Rarely"/>
    <n v="654"/>
    <x v="0"/>
    <n v="21"/>
    <n v="3"/>
    <s v="Marketing"/>
    <n v="1"/>
    <n v="1226"/>
    <n v="3"/>
    <x v="1"/>
    <n v="43"/>
    <n v="4"/>
    <n v="1"/>
    <x v="6"/>
    <n v="4"/>
    <s v="Single"/>
    <n v="2678"/>
    <n v="5050"/>
    <n v="1"/>
    <s v="Y"/>
    <x v="1"/>
    <n v="17"/>
    <n v="3"/>
    <n v="4"/>
    <n v="80"/>
    <n v="0"/>
    <n v="2"/>
    <n v="2"/>
    <n v="3"/>
    <n v="2"/>
    <n v="1"/>
    <n v="2"/>
    <n v="2"/>
    <x v="2"/>
    <x v="1"/>
    <n v="0"/>
    <n v="0"/>
    <x v="3"/>
    <x v="1"/>
    <n v="66"/>
  </r>
  <r>
    <n v="46"/>
    <x v="1"/>
    <s v="Travel_Rarely"/>
    <n v="150"/>
    <x v="1"/>
    <n v="2"/>
    <n v="4"/>
    <s v="Technical Degree"/>
    <n v="1"/>
    <n v="1228"/>
    <n v="4"/>
    <x v="1"/>
    <n v="60"/>
    <n v="3"/>
    <n v="2"/>
    <x v="3"/>
    <n v="4"/>
    <s v="Divorced"/>
    <n v="7379"/>
    <n v="17433"/>
    <n v="2"/>
    <s v="Y"/>
    <x v="1"/>
    <n v="11"/>
    <n v="3"/>
    <n v="3"/>
    <n v="80"/>
    <n v="1"/>
    <n v="12"/>
    <n v="3"/>
    <n v="2"/>
    <n v="6"/>
    <n v="3"/>
    <n v="1"/>
    <n v="4"/>
    <x v="0"/>
    <x v="0"/>
    <n v="0"/>
    <n v="0"/>
    <x v="2"/>
    <x v="2"/>
    <n v="29"/>
  </r>
  <r>
    <n v="42"/>
    <x v="1"/>
    <s v="Non-Travel"/>
    <n v="179"/>
    <x v="2"/>
    <n v="2"/>
    <n v="5"/>
    <s v="Medical"/>
    <n v="1"/>
    <n v="1231"/>
    <n v="4"/>
    <x v="1"/>
    <n v="79"/>
    <n v="4"/>
    <n v="2"/>
    <x v="8"/>
    <n v="1"/>
    <s v="Married"/>
    <n v="6272"/>
    <n v="12858"/>
    <n v="7"/>
    <s v="Y"/>
    <x v="1"/>
    <n v="16"/>
    <n v="3"/>
    <n v="1"/>
    <n v="80"/>
    <n v="1"/>
    <n v="10"/>
    <n v="3"/>
    <n v="4"/>
    <n v="4"/>
    <n v="3"/>
    <n v="0"/>
    <n v="3"/>
    <x v="0"/>
    <x v="0"/>
    <n v="0"/>
    <n v="0"/>
    <x v="4"/>
    <x v="1"/>
    <n v="55"/>
  </r>
  <r>
    <n v="60"/>
    <x v="1"/>
    <s v="Travel_Rarely"/>
    <n v="696"/>
    <x v="0"/>
    <n v="7"/>
    <n v="4"/>
    <s v="Marketing"/>
    <n v="1"/>
    <n v="1233"/>
    <n v="2"/>
    <x v="1"/>
    <n v="52"/>
    <n v="4"/>
    <n v="2"/>
    <x v="0"/>
    <n v="4"/>
    <s v="Divorced"/>
    <n v="5220"/>
    <n v="10893"/>
    <n v="0"/>
    <s v="Y"/>
    <x v="0"/>
    <n v="18"/>
    <n v="3"/>
    <n v="2"/>
    <n v="80"/>
    <n v="1"/>
    <n v="12"/>
    <n v="3"/>
    <n v="3"/>
    <n v="11"/>
    <n v="7"/>
    <n v="1"/>
    <n v="9"/>
    <x v="3"/>
    <x v="0"/>
    <n v="0"/>
    <n v="1"/>
    <x v="2"/>
    <x v="0"/>
    <n v="54"/>
  </r>
  <r>
    <n v="32"/>
    <x v="1"/>
    <s v="Travel_Frequently"/>
    <n v="116"/>
    <x v="1"/>
    <n v="13"/>
    <n v="3"/>
    <s v="Other"/>
    <n v="1"/>
    <n v="1234"/>
    <n v="3"/>
    <x v="0"/>
    <n v="77"/>
    <n v="2"/>
    <n v="1"/>
    <x v="2"/>
    <n v="2"/>
    <s v="Married"/>
    <n v="2743"/>
    <n v="7331"/>
    <n v="1"/>
    <s v="Y"/>
    <x v="1"/>
    <n v="20"/>
    <n v="4"/>
    <n v="3"/>
    <n v="80"/>
    <n v="1"/>
    <n v="2"/>
    <n v="2"/>
    <n v="3"/>
    <n v="2"/>
    <n v="2"/>
    <n v="2"/>
    <n v="2"/>
    <x v="1"/>
    <x v="1"/>
    <n v="0"/>
    <n v="0"/>
    <x v="3"/>
    <x v="1"/>
    <n v="69"/>
  </r>
  <r>
    <n v="32"/>
    <x v="1"/>
    <s v="Travel_Frequently"/>
    <n v="1316"/>
    <x v="1"/>
    <n v="2"/>
    <n v="2"/>
    <s v="Life Sciences"/>
    <n v="1"/>
    <n v="1235"/>
    <n v="4"/>
    <x v="0"/>
    <n v="38"/>
    <n v="3"/>
    <n v="2"/>
    <x v="1"/>
    <n v="3"/>
    <s v="Single"/>
    <n v="4998"/>
    <n v="2338"/>
    <n v="4"/>
    <s v="Y"/>
    <x v="0"/>
    <n v="14"/>
    <n v="3"/>
    <n v="4"/>
    <n v="80"/>
    <n v="0"/>
    <n v="10"/>
    <n v="2"/>
    <n v="3"/>
    <n v="8"/>
    <n v="7"/>
    <n v="0"/>
    <n v="7"/>
    <x v="1"/>
    <x v="1"/>
    <n v="0"/>
    <n v="1"/>
    <x v="0"/>
    <x v="1"/>
    <n v="71"/>
  </r>
  <r>
    <n v="36"/>
    <x v="1"/>
    <s v="Travel_Rarely"/>
    <n v="363"/>
    <x v="1"/>
    <n v="1"/>
    <n v="3"/>
    <s v="Technical Degree"/>
    <n v="1"/>
    <n v="1237"/>
    <n v="3"/>
    <x v="0"/>
    <n v="77"/>
    <n v="1"/>
    <n v="3"/>
    <x v="3"/>
    <n v="1"/>
    <s v="Divorced"/>
    <n v="10252"/>
    <n v="4235"/>
    <n v="2"/>
    <s v="Y"/>
    <x v="0"/>
    <n v="21"/>
    <n v="4"/>
    <n v="3"/>
    <n v="80"/>
    <n v="1"/>
    <n v="17"/>
    <n v="2"/>
    <n v="3"/>
    <n v="7"/>
    <n v="7"/>
    <n v="7"/>
    <n v="7"/>
    <x v="1"/>
    <x v="0"/>
    <n v="0"/>
    <n v="1"/>
    <x v="3"/>
    <x v="1"/>
    <n v="83"/>
  </r>
  <r>
    <n v="33"/>
    <x v="1"/>
    <s v="Travel_Rarely"/>
    <n v="117"/>
    <x v="1"/>
    <n v="9"/>
    <n v="3"/>
    <s v="Medical"/>
    <n v="1"/>
    <n v="1238"/>
    <n v="1"/>
    <x v="1"/>
    <n v="60"/>
    <n v="3"/>
    <n v="1"/>
    <x v="1"/>
    <n v="4"/>
    <s v="Married"/>
    <n v="2781"/>
    <n v="6311"/>
    <n v="0"/>
    <s v="Y"/>
    <x v="1"/>
    <n v="13"/>
    <n v="3"/>
    <n v="2"/>
    <n v="80"/>
    <n v="1"/>
    <n v="15"/>
    <n v="5"/>
    <n v="3"/>
    <n v="14"/>
    <n v="10"/>
    <n v="4"/>
    <n v="10"/>
    <x v="1"/>
    <x v="1"/>
    <n v="0"/>
    <n v="0"/>
    <x v="3"/>
    <x v="2"/>
    <n v="34"/>
  </r>
  <r>
    <n v="40"/>
    <x v="1"/>
    <s v="Travel_Rarely"/>
    <n v="107"/>
    <x v="0"/>
    <n v="10"/>
    <n v="3"/>
    <s v="Technical Degree"/>
    <n v="1"/>
    <n v="1239"/>
    <n v="2"/>
    <x v="0"/>
    <n v="84"/>
    <n v="2"/>
    <n v="2"/>
    <x v="0"/>
    <n v="2"/>
    <s v="Divorced"/>
    <n v="6852"/>
    <n v="11591"/>
    <n v="7"/>
    <s v="Y"/>
    <x v="1"/>
    <n v="12"/>
    <n v="3"/>
    <n v="2"/>
    <n v="80"/>
    <n v="1"/>
    <n v="7"/>
    <n v="2"/>
    <n v="4"/>
    <n v="5"/>
    <n v="1"/>
    <n v="1"/>
    <n v="3"/>
    <x v="0"/>
    <x v="0"/>
    <n v="0"/>
    <n v="0"/>
    <x v="3"/>
    <x v="0"/>
    <n v="49"/>
  </r>
  <r>
    <n v="25"/>
    <x v="1"/>
    <s v="Travel_Rarely"/>
    <n v="1356"/>
    <x v="0"/>
    <n v="10"/>
    <n v="4"/>
    <s v="Life Sciences"/>
    <n v="1"/>
    <n v="1240"/>
    <n v="3"/>
    <x v="1"/>
    <n v="57"/>
    <n v="3"/>
    <n v="2"/>
    <x v="0"/>
    <n v="4"/>
    <s v="Single"/>
    <n v="4950"/>
    <n v="20623"/>
    <n v="0"/>
    <s v="Y"/>
    <x v="1"/>
    <n v="14"/>
    <n v="3"/>
    <n v="2"/>
    <n v="80"/>
    <n v="0"/>
    <n v="5"/>
    <n v="4"/>
    <n v="3"/>
    <n v="4"/>
    <n v="3"/>
    <n v="1"/>
    <n v="1"/>
    <x v="2"/>
    <x v="1"/>
    <n v="0"/>
    <n v="0"/>
    <x v="2"/>
    <x v="1"/>
    <n v="56"/>
  </r>
  <r>
    <n v="30"/>
    <x v="1"/>
    <s v="Travel_Rarely"/>
    <n v="1465"/>
    <x v="1"/>
    <n v="1"/>
    <n v="3"/>
    <s v="Medical"/>
    <n v="1"/>
    <n v="1241"/>
    <n v="4"/>
    <x v="1"/>
    <n v="63"/>
    <n v="3"/>
    <n v="1"/>
    <x v="1"/>
    <n v="2"/>
    <s v="Married"/>
    <n v="3579"/>
    <n v="9369"/>
    <n v="0"/>
    <s v="Y"/>
    <x v="0"/>
    <n v="21"/>
    <n v="4"/>
    <n v="1"/>
    <n v="80"/>
    <n v="1"/>
    <n v="12"/>
    <n v="2"/>
    <n v="3"/>
    <n v="11"/>
    <n v="9"/>
    <n v="5"/>
    <n v="7"/>
    <x v="1"/>
    <x v="1"/>
    <n v="0"/>
    <n v="1"/>
    <x v="3"/>
    <x v="1"/>
    <n v="72"/>
  </r>
  <r>
    <n v="42"/>
    <x v="1"/>
    <s v="Travel_Frequently"/>
    <n v="458"/>
    <x v="1"/>
    <n v="26"/>
    <n v="5"/>
    <s v="Medical"/>
    <n v="1"/>
    <n v="1242"/>
    <n v="1"/>
    <x v="0"/>
    <n v="60"/>
    <n v="3"/>
    <n v="3"/>
    <x v="7"/>
    <n v="1"/>
    <s v="Married"/>
    <n v="13191"/>
    <n v="23281"/>
    <n v="3"/>
    <s v="Y"/>
    <x v="0"/>
    <n v="17"/>
    <n v="3"/>
    <n v="3"/>
    <n v="80"/>
    <n v="0"/>
    <n v="20"/>
    <n v="6"/>
    <n v="3"/>
    <n v="1"/>
    <n v="0"/>
    <n v="0"/>
    <n v="0"/>
    <x v="0"/>
    <x v="0"/>
    <n v="0"/>
    <n v="1"/>
    <x v="4"/>
    <x v="1"/>
    <n v="90"/>
  </r>
  <r>
    <n v="35"/>
    <x v="1"/>
    <s v="Non-Travel"/>
    <n v="1212"/>
    <x v="0"/>
    <n v="8"/>
    <n v="2"/>
    <s v="Marketing"/>
    <n v="1"/>
    <n v="1243"/>
    <n v="3"/>
    <x v="0"/>
    <n v="78"/>
    <n v="2"/>
    <n v="3"/>
    <x v="0"/>
    <n v="4"/>
    <s v="Married"/>
    <n v="10377"/>
    <n v="13755"/>
    <n v="4"/>
    <s v="Y"/>
    <x v="0"/>
    <n v="11"/>
    <n v="3"/>
    <n v="2"/>
    <n v="80"/>
    <n v="1"/>
    <n v="16"/>
    <n v="6"/>
    <n v="2"/>
    <n v="13"/>
    <n v="2"/>
    <n v="4"/>
    <n v="12"/>
    <x v="1"/>
    <x v="0"/>
    <n v="0"/>
    <n v="1"/>
    <x v="0"/>
    <x v="1"/>
    <n v="59"/>
  </r>
  <r>
    <n v="27"/>
    <x v="1"/>
    <s v="Travel_Rarely"/>
    <n v="1103"/>
    <x v="1"/>
    <n v="14"/>
    <n v="3"/>
    <s v="Life Sciences"/>
    <n v="1"/>
    <n v="1244"/>
    <n v="1"/>
    <x v="1"/>
    <n v="42"/>
    <n v="3"/>
    <n v="1"/>
    <x v="1"/>
    <n v="1"/>
    <s v="Married"/>
    <n v="2235"/>
    <n v="14377"/>
    <n v="1"/>
    <s v="Y"/>
    <x v="0"/>
    <n v="14"/>
    <n v="3"/>
    <n v="4"/>
    <n v="80"/>
    <n v="2"/>
    <n v="9"/>
    <n v="3"/>
    <n v="2"/>
    <n v="9"/>
    <n v="7"/>
    <n v="6"/>
    <n v="8"/>
    <x v="2"/>
    <x v="1"/>
    <n v="0"/>
    <n v="1"/>
    <x v="3"/>
    <x v="1"/>
    <n v="93"/>
  </r>
  <r>
    <n v="54"/>
    <x v="1"/>
    <s v="Travel_Frequently"/>
    <n v="966"/>
    <x v="1"/>
    <n v="1"/>
    <n v="4"/>
    <s v="Life Sciences"/>
    <n v="1"/>
    <n v="1245"/>
    <n v="4"/>
    <x v="0"/>
    <n v="53"/>
    <n v="3"/>
    <n v="3"/>
    <x v="3"/>
    <n v="3"/>
    <s v="Divorced"/>
    <n v="10502"/>
    <n v="9659"/>
    <n v="7"/>
    <s v="Y"/>
    <x v="1"/>
    <n v="17"/>
    <n v="3"/>
    <n v="1"/>
    <n v="80"/>
    <n v="1"/>
    <n v="33"/>
    <n v="2"/>
    <n v="1"/>
    <n v="5"/>
    <n v="4"/>
    <n v="1"/>
    <n v="4"/>
    <x v="3"/>
    <x v="0"/>
    <n v="0"/>
    <n v="0"/>
    <x v="2"/>
    <x v="0"/>
    <n v="48"/>
  </r>
  <r>
    <n v="44"/>
    <x v="1"/>
    <s v="Travel_Rarely"/>
    <n v="1117"/>
    <x v="1"/>
    <n v="2"/>
    <n v="1"/>
    <s v="Life Sciences"/>
    <n v="1"/>
    <n v="1246"/>
    <n v="1"/>
    <x v="0"/>
    <n v="72"/>
    <n v="4"/>
    <n v="1"/>
    <x v="1"/>
    <n v="4"/>
    <s v="Married"/>
    <n v="2011"/>
    <n v="19982"/>
    <n v="1"/>
    <s v="Y"/>
    <x v="1"/>
    <n v="13"/>
    <n v="3"/>
    <n v="4"/>
    <n v="80"/>
    <n v="1"/>
    <n v="10"/>
    <n v="5"/>
    <n v="3"/>
    <n v="10"/>
    <n v="5"/>
    <n v="7"/>
    <n v="7"/>
    <x v="0"/>
    <x v="1"/>
    <n v="0"/>
    <n v="0"/>
    <x v="1"/>
    <x v="2"/>
    <n v="29"/>
  </r>
  <r>
    <n v="19"/>
    <x v="0"/>
    <s v="Non-Travel"/>
    <n v="504"/>
    <x v="1"/>
    <n v="10"/>
    <n v="3"/>
    <s v="Medical"/>
    <n v="1"/>
    <n v="1248"/>
    <n v="1"/>
    <x v="0"/>
    <n v="96"/>
    <n v="2"/>
    <n v="1"/>
    <x v="1"/>
    <n v="2"/>
    <s v="Single"/>
    <n v="1859"/>
    <n v="6148"/>
    <n v="1"/>
    <s v="Y"/>
    <x v="0"/>
    <n v="25"/>
    <n v="4"/>
    <n v="2"/>
    <n v="80"/>
    <n v="0"/>
    <n v="1"/>
    <n v="2"/>
    <n v="4"/>
    <n v="1"/>
    <n v="1"/>
    <n v="0"/>
    <n v="0"/>
    <x v="2"/>
    <x v="1"/>
    <n v="1"/>
    <n v="1"/>
    <x v="3"/>
    <x v="1"/>
    <n v="104"/>
  </r>
  <r>
    <n v="29"/>
    <x v="1"/>
    <s v="Travel_Rarely"/>
    <n v="1010"/>
    <x v="1"/>
    <n v="1"/>
    <n v="3"/>
    <s v="Life Sciences"/>
    <n v="1"/>
    <n v="1249"/>
    <n v="1"/>
    <x v="0"/>
    <n v="97"/>
    <n v="3"/>
    <n v="1"/>
    <x v="1"/>
    <n v="4"/>
    <s v="Divorced"/>
    <n v="3760"/>
    <n v="5598"/>
    <n v="1"/>
    <s v="Y"/>
    <x v="1"/>
    <n v="15"/>
    <n v="3"/>
    <n v="1"/>
    <n v="80"/>
    <n v="3"/>
    <n v="3"/>
    <n v="5"/>
    <n v="3"/>
    <n v="3"/>
    <n v="2"/>
    <n v="1"/>
    <n v="2"/>
    <x v="2"/>
    <x v="1"/>
    <n v="0"/>
    <n v="0"/>
    <x v="3"/>
    <x v="1"/>
    <n v="56"/>
  </r>
  <r>
    <n v="54"/>
    <x v="1"/>
    <s v="Travel_Rarely"/>
    <n v="685"/>
    <x v="1"/>
    <n v="3"/>
    <n v="3"/>
    <s v="Life Sciences"/>
    <n v="1"/>
    <n v="1250"/>
    <n v="4"/>
    <x v="1"/>
    <n v="85"/>
    <n v="3"/>
    <n v="4"/>
    <x v="7"/>
    <n v="4"/>
    <s v="Married"/>
    <n v="17779"/>
    <n v="23474"/>
    <n v="3"/>
    <s v="Y"/>
    <x v="1"/>
    <n v="14"/>
    <n v="3"/>
    <n v="1"/>
    <n v="80"/>
    <n v="0"/>
    <n v="36"/>
    <n v="2"/>
    <n v="3"/>
    <n v="10"/>
    <n v="9"/>
    <n v="0"/>
    <n v="9"/>
    <x v="3"/>
    <x v="2"/>
    <n v="0"/>
    <n v="0"/>
    <x v="3"/>
    <x v="2"/>
    <n v="34"/>
  </r>
  <r>
    <n v="31"/>
    <x v="1"/>
    <s v="Travel_Rarely"/>
    <n v="1332"/>
    <x v="1"/>
    <n v="11"/>
    <n v="2"/>
    <s v="Medical"/>
    <n v="1"/>
    <n v="1251"/>
    <n v="3"/>
    <x v="1"/>
    <n v="80"/>
    <n v="3"/>
    <n v="2"/>
    <x v="4"/>
    <n v="1"/>
    <s v="Married"/>
    <n v="6833"/>
    <n v="17089"/>
    <n v="1"/>
    <s v="Y"/>
    <x v="0"/>
    <n v="12"/>
    <n v="3"/>
    <n v="4"/>
    <n v="80"/>
    <n v="0"/>
    <n v="6"/>
    <n v="2"/>
    <n v="2"/>
    <n v="6"/>
    <n v="5"/>
    <n v="0"/>
    <n v="1"/>
    <x v="1"/>
    <x v="0"/>
    <n v="0"/>
    <n v="1"/>
    <x v="0"/>
    <x v="1"/>
    <n v="83"/>
  </r>
  <r>
    <n v="31"/>
    <x v="1"/>
    <s v="Travel_Rarely"/>
    <n v="1062"/>
    <x v="1"/>
    <n v="24"/>
    <n v="3"/>
    <s v="Medical"/>
    <n v="1"/>
    <n v="1252"/>
    <n v="3"/>
    <x v="0"/>
    <n v="96"/>
    <n v="2"/>
    <n v="2"/>
    <x v="4"/>
    <n v="1"/>
    <s v="Single"/>
    <n v="6812"/>
    <n v="17198"/>
    <n v="1"/>
    <s v="Y"/>
    <x v="1"/>
    <n v="19"/>
    <n v="3"/>
    <n v="2"/>
    <n v="80"/>
    <n v="0"/>
    <n v="10"/>
    <n v="2"/>
    <n v="3"/>
    <n v="10"/>
    <n v="9"/>
    <n v="1"/>
    <n v="8"/>
    <x v="1"/>
    <x v="0"/>
    <n v="0"/>
    <n v="0"/>
    <x v="3"/>
    <x v="1"/>
    <n v="58"/>
  </r>
  <r>
    <n v="59"/>
    <x v="1"/>
    <s v="Travel_Rarely"/>
    <n v="326"/>
    <x v="0"/>
    <n v="3"/>
    <n v="3"/>
    <s v="Life Sciences"/>
    <n v="1"/>
    <n v="1254"/>
    <n v="3"/>
    <x v="0"/>
    <n v="48"/>
    <n v="2"/>
    <n v="2"/>
    <x v="0"/>
    <n v="4"/>
    <s v="Single"/>
    <n v="5171"/>
    <n v="16490"/>
    <n v="5"/>
    <s v="Y"/>
    <x v="1"/>
    <n v="17"/>
    <n v="3"/>
    <n v="4"/>
    <n v="80"/>
    <n v="0"/>
    <n v="13"/>
    <n v="2"/>
    <n v="3"/>
    <n v="6"/>
    <n v="1"/>
    <n v="0"/>
    <n v="5"/>
    <x v="3"/>
    <x v="0"/>
    <n v="0"/>
    <n v="0"/>
    <x v="3"/>
    <x v="2"/>
    <n v="34"/>
  </r>
  <r>
    <n v="43"/>
    <x v="1"/>
    <s v="Travel_Rarely"/>
    <n v="920"/>
    <x v="1"/>
    <n v="3"/>
    <n v="3"/>
    <s v="Life Sciences"/>
    <n v="1"/>
    <n v="1255"/>
    <n v="3"/>
    <x v="1"/>
    <n v="96"/>
    <n v="1"/>
    <n v="5"/>
    <x v="7"/>
    <n v="4"/>
    <s v="Married"/>
    <n v="19740"/>
    <n v="18625"/>
    <n v="3"/>
    <s v="Y"/>
    <x v="1"/>
    <n v="14"/>
    <n v="3"/>
    <n v="2"/>
    <n v="80"/>
    <n v="1"/>
    <n v="25"/>
    <n v="2"/>
    <n v="3"/>
    <n v="8"/>
    <n v="7"/>
    <n v="0"/>
    <n v="7"/>
    <x v="0"/>
    <x v="2"/>
    <n v="0"/>
    <n v="0"/>
    <x v="3"/>
    <x v="2"/>
    <n v="29"/>
  </r>
  <r>
    <n v="49"/>
    <x v="1"/>
    <s v="Travel_Rarely"/>
    <n v="1098"/>
    <x v="1"/>
    <n v="4"/>
    <n v="2"/>
    <s v="Medical"/>
    <n v="1"/>
    <n v="1256"/>
    <n v="1"/>
    <x v="1"/>
    <n v="85"/>
    <n v="2"/>
    <n v="5"/>
    <x v="5"/>
    <n v="3"/>
    <s v="Married"/>
    <n v="18711"/>
    <n v="12124"/>
    <n v="2"/>
    <s v="Y"/>
    <x v="1"/>
    <n v="13"/>
    <n v="3"/>
    <n v="3"/>
    <n v="80"/>
    <n v="1"/>
    <n v="23"/>
    <n v="2"/>
    <n v="4"/>
    <n v="1"/>
    <n v="0"/>
    <n v="0"/>
    <n v="0"/>
    <x v="0"/>
    <x v="2"/>
    <n v="0"/>
    <n v="0"/>
    <x v="0"/>
    <x v="0"/>
    <n v="53"/>
  </r>
  <r>
    <n v="36"/>
    <x v="1"/>
    <s v="Travel_Frequently"/>
    <n v="469"/>
    <x v="1"/>
    <n v="3"/>
    <n v="3"/>
    <s v="Technical Degree"/>
    <n v="1"/>
    <n v="1257"/>
    <n v="3"/>
    <x v="1"/>
    <n v="46"/>
    <n v="3"/>
    <n v="1"/>
    <x v="1"/>
    <n v="2"/>
    <s v="Married"/>
    <n v="3692"/>
    <n v="9256"/>
    <n v="1"/>
    <s v="Y"/>
    <x v="1"/>
    <n v="12"/>
    <n v="3"/>
    <n v="3"/>
    <n v="80"/>
    <n v="0"/>
    <n v="12"/>
    <n v="2"/>
    <n v="2"/>
    <n v="11"/>
    <n v="10"/>
    <n v="0"/>
    <n v="7"/>
    <x v="1"/>
    <x v="1"/>
    <n v="0"/>
    <n v="0"/>
    <x v="3"/>
    <x v="0"/>
    <n v="47"/>
  </r>
  <r>
    <n v="48"/>
    <x v="1"/>
    <s v="Travel_Rarely"/>
    <n v="969"/>
    <x v="1"/>
    <n v="2"/>
    <n v="2"/>
    <s v="Technical Degree"/>
    <n v="1"/>
    <n v="1258"/>
    <n v="4"/>
    <x v="1"/>
    <n v="76"/>
    <n v="4"/>
    <n v="1"/>
    <x v="2"/>
    <n v="2"/>
    <s v="Single"/>
    <n v="2559"/>
    <n v="16620"/>
    <n v="5"/>
    <s v="Y"/>
    <x v="1"/>
    <n v="11"/>
    <n v="3"/>
    <n v="3"/>
    <n v="80"/>
    <n v="0"/>
    <n v="7"/>
    <n v="4"/>
    <n v="2"/>
    <n v="1"/>
    <n v="0"/>
    <n v="0"/>
    <n v="0"/>
    <x v="0"/>
    <x v="1"/>
    <n v="0"/>
    <n v="0"/>
    <x v="0"/>
    <x v="1"/>
    <n v="59"/>
  </r>
  <r>
    <n v="27"/>
    <x v="1"/>
    <s v="Travel_Rarely"/>
    <n v="1167"/>
    <x v="1"/>
    <n v="4"/>
    <n v="2"/>
    <s v="Life Sciences"/>
    <n v="1"/>
    <n v="1259"/>
    <n v="1"/>
    <x v="1"/>
    <n v="76"/>
    <n v="3"/>
    <n v="1"/>
    <x v="1"/>
    <n v="3"/>
    <s v="Divorced"/>
    <n v="2517"/>
    <n v="3208"/>
    <n v="1"/>
    <s v="Y"/>
    <x v="1"/>
    <n v="11"/>
    <n v="3"/>
    <n v="2"/>
    <n v="80"/>
    <n v="3"/>
    <n v="5"/>
    <n v="2"/>
    <n v="3"/>
    <n v="5"/>
    <n v="3"/>
    <n v="0"/>
    <n v="3"/>
    <x v="2"/>
    <x v="1"/>
    <n v="0"/>
    <n v="0"/>
    <x v="0"/>
    <x v="1"/>
    <n v="63"/>
  </r>
  <r>
    <n v="29"/>
    <x v="1"/>
    <s v="Travel_Rarely"/>
    <n v="1329"/>
    <x v="1"/>
    <n v="7"/>
    <n v="3"/>
    <s v="Life Sciences"/>
    <n v="1"/>
    <n v="1260"/>
    <n v="3"/>
    <x v="1"/>
    <n v="82"/>
    <n v="3"/>
    <n v="2"/>
    <x v="4"/>
    <n v="4"/>
    <s v="Divorced"/>
    <n v="6623"/>
    <n v="4204"/>
    <n v="1"/>
    <s v="Y"/>
    <x v="0"/>
    <n v="11"/>
    <n v="3"/>
    <n v="2"/>
    <n v="80"/>
    <n v="2"/>
    <n v="6"/>
    <n v="2"/>
    <n v="3"/>
    <n v="6"/>
    <n v="0"/>
    <n v="1"/>
    <n v="0"/>
    <x v="2"/>
    <x v="0"/>
    <n v="0"/>
    <n v="1"/>
    <x v="3"/>
    <x v="1"/>
    <n v="74"/>
  </r>
  <r>
    <n v="48"/>
    <x v="1"/>
    <s v="Travel_Rarely"/>
    <n v="715"/>
    <x v="1"/>
    <n v="1"/>
    <n v="3"/>
    <s v="Life Sciences"/>
    <n v="1"/>
    <n v="1263"/>
    <n v="4"/>
    <x v="1"/>
    <n v="76"/>
    <n v="2"/>
    <n v="5"/>
    <x v="7"/>
    <n v="4"/>
    <s v="Single"/>
    <n v="18265"/>
    <n v="8733"/>
    <n v="6"/>
    <s v="Y"/>
    <x v="1"/>
    <n v="12"/>
    <n v="3"/>
    <n v="3"/>
    <n v="80"/>
    <n v="0"/>
    <n v="25"/>
    <n v="3"/>
    <n v="4"/>
    <n v="1"/>
    <n v="0"/>
    <n v="0"/>
    <n v="0"/>
    <x v="0"/>
    <x v="2"/>
    <n v="0"/>
    <n v="0"/>
    <x v="3"/>
    <x v="0"/>
    <n v="46"/>
  </r>
  <r>
    <n v="29"/>
    <x v="1"/>
    <s v="Travel_Rarely"/>
    <n v="694"/>
    <x v="1"/>
    <n v="1"/>
    <n v="3"/>
    <s v="Life Sciences"/>
    <n v="1"/>
    <n v="1264"/>
    <n v="4"/>
    <x v="0"/>
    <n v="87"/>
    <n v="2"/>
    <n v="4"/>
    <x v="7"/>
    <n v="4"/>
    <s v="Divorced"/>
    <n v="16124"/>
    <n v="3423"/>
    <n v="3"/>
    <s v="Y"/>
    <x v="1"/>
    <n v="14"/>
    <n v="3"/>
    <n v="2"/>
    <n v="80"/>
    <n v="2"/>
    <n v="9"/>
    <n v="2"/>
    <n v="2"/>
    <n v="7"/>
    <n v="7"/>
    <n v="1"/>
    <n v="7"/>
    <x v="2"/>
    <x v="2"/>
    <n v="0"/>
    <n v="0"/>
    <x v="3"/>
    <x v="0"/>
    <n v="49"/>
  </r>
  <r>
    <n v="34"/>
    <x v="1"/>
    <s v="Travel_Rarely"/>
    <n v="1320"/>
    <x v="1"/>
    <n v="20"/>
    <n v="3"/>
    <s v="Technical Degree"/>
    <n v="1"/>
    <n v="1265"/>
    <n v="3"/>
    <x v="0"/>
    <n v="89"/>
    <n v="4"/>
    <n v="1"/>
    <x v="1"/>
    <n v="3"/>
    <s v="Married"/>
    <n v="2585"/>
    <n v="21643"/>
    <n v="0"/>
    <s v="Y"/>
    <x v="1"/>
    <n v="17"/>
    <n v="3"/>
    <n v="4"/>
    <n v="80"/>
    <n v="0"/>
    <n v="2"/>
    <n v="5"/>
    <n v="2"/>
    <n v="1"/>
    <n v="0"/>
    <n v="0"/>
    <n v="0"/>
    <x v="1"/>
    <x v="1"/>
    <n v="0"/>
    <n v="0"/>
    <x v="3"/>
    <x v="1"/>
    <n v="63"/>
  </r>
  <r>
    <n v="44"/>
    <x v="1"/>
    <s v="Travel_Rarely"/>
    <n v="1099"/>
    <x v="0"/>
    <n v="5"/>
    <n v="3"/>
    <s v="Marketing"/>
    <n v="1"/>
    <n v="1267"/>
    <n v="2"/>
    <x v="1"/>
    <n v="88"/>
    <n v="3"/>
    <n v="5"/>
    <x v="5"/>
    <n v="2"/>
    <s v="Married"/>
    <n v="18213"/>
    <n v="8751"/>
    <n v="7"/>
    <s v="Y"/>
    <x v="1"/>
    <n v="11"/>
    <n v="3"/>
    <n v="3"/>
    <n v="80"/>
    <n v="1"/>
    <n v="26"/>
    <n v="5"/>
    <n v="3"/>
    <n v="22"/>
    <n v="9"/>
    <n v="3"/>
    <n v="10"/>
    <x v="0"/>
    <x v="2"/>
    <n v="0"/>
    <n v="0"/>
    <x v="3"/>
    <x v="0"/>
    <n v="37"/>
  </r>
  <r>
    <n v="33"/>
    <x v="1"/>
    <s v="Travel_Rarely"/>
    <n v="536"/>
    <x v="0"/>
    <n v="10"/>
    <n v="5"/>
    <s v="Marketing"/>
    <n v="1"/>
    <n v="1268"/>
    <n v="4"/>
    <x v="1"/>
    <n v="82"/>
    <n v="4"/>
    <n v="3"/>
    <x v="0"/>
    <n v="3"/>
    <s v="Divorced"/>
    <n v="8380"/>
    <n v="21708"/>
    <n v="0"/>
    <s v="Y"/>
    <x v="0"/>
    <n v="14"/>
    <n v="3"/>
    <n v="4"/>
    <n v="80"/>
    <n v="2"/>
    <n v="10"/>
    <n v="3"/>
    <n v="3"/>
    <n v="9"/>
    <n v="8"/>
    <n v="0"/>
    <n v="8"/>
    <x v="1"/>
    <x v="0"/>
    <n v="0"/>
    <n v="1"/>
    <x v="4"/>
    <x v="1"/>
    <n v="71"/>
  </r>
  <r>
    <n v="19"/>
    <x v="1"/>
    <s v="Travel_Rarely"/>
    <n v="265"/>
    <x v="1"/>
    <n v="25"/>
    <n v="3"/>
    <s v="Life Sciences"/>
    <n v="1"/>
    <n v="1269"/>
    <n v="2"/>
    <x v="0"/>
    <n v="57"/>
    <n v="4"/>
    <n v="1"/>
    <x v="1"/>
    <n v="4"/>
    <s v="Single"/>
    <n v="2994"/>
    <n v="21221"/>
    <n v="1"/>
    <s v="Y"/>
    <x v="0"/>
    <n v="12"/>
    <n v="3"/>
    <n v="4"/>
    <n v="80"/>
    <n v="0"/>
    <n v="1"/>
    <n v="2"/>
    <n v="3"/>
    <n v="1"/>
    <n v="0"/>
    <n v="0"/>
    <n v="1"/>
    <x v="2"/>
    <x v="1"/>
    <n v="0"/>
    <n v="1"/>
    <x v="3"/>
    <x v="1"/>
    <n v="91"/>
  </r>
  <r>
    <n v="23"/>
    <x v="1"/>
    <s v="Travel_Rarely"/>
    <n v="373"/>
    <x v="1"/>
    <n v="1"/>
    <n v="2"/>
    <s v="Life Sciences"/>
    <n v="1"/>
    <n v="1270"/>
    <n v="4"/>
    <x v="1"/>
    <n v="47"/>
    <n v="3"/>
    <n v="1"/>
    <x v="1"/>
    <n v="3"/>
    <s v="Married"/>
    <n v="1223"/>
    <n v="16901"/>
    <n v="1"/>
    <s v="Y"/>
    <x v="1"/>
    <n v="22"/>
    <n v="4"/>
    <n v="4"/>
    <n v="80"/>
    <n v="1"/>
    <n v="1"/>
    <n v="2"/>
    <n v="3"/>
    <n v="1"/>
    <n v="0"/>
    <n v="0"/>
    <n v="1"/>
    <x v="2"/>
    <x v="1"/>
    <n v="0"/>
    <n v="0"/>
    <x v="0"/>
    <x v="1"/>
    <n v="73"/>
  </r>
  <r>
    <n v="25"/>
    <x v="0"/>
    <s v="Travel_Frequently"/>
    <n v="599"/>
    <x v="0"/>
    <n v="24"/>
    <n v="1"/>
    <s v="Life Sciences"/>
    <n v="1"/>
    <n v="1273"/>
    <n v="3"/>
    <x v="1"/>
    <n v="73"/>
    <n v="1"/>
    <n v="1"/>
    <x v="6"/>
    <n v="4"/>
    <s v="Single"/>
    <n v="1118"/>
    <n v="8040"/>
    <n v="1"/>
    <s v="Y"/>
    <x v="0"/>
    <n v="14"/>
    <n v="3"/>
    <n v="4"/>
    <n v="80"/>
    <n v="0"/>
    <n v="1"/>
    <n v="4"/>
    <n v="3"/>
    <n v="1"/>
    <n v="0"/>
    <n v="1"/>
    <n v="0"/>
    <x v="2"/>
    <x v="1"/>
    <n v="1"/>
    <n v="1"/>
    <x v="1"/>
    <x v="1"/>
    <n v="91"/>
  </r>
  <r>
    <n v="26"/>
    <x v="1"/>
    <s v="Travel_Rarely"/>
    <n v="583"/>
    <x v="1"/>
    <n v="4"/>
    <n v="2"/>
    <s v="Life Sciences"/>
    <n v="1"/>
    <n v="1275"/>
    <n v="3"/>
    <x v="1"/>
    <n v="53"/>
    <n v="3"/>
    <n v="1"/>
    <x v="1"/>
    <n v="4"/>
    <s v="Single"/>
    <n v="2875"/>
    <n v="9973"/>
    <n v="1"/>
    <s v="Y"/>
    <x v="0"/>
    <n v="20"/>
    <n v="4"/>
    <n v="2"/>
    <n v="80"/>
    <n v="0"/>
    <n v="8"/>
    <n v="2"/>
    <n v="2"/>
    <n v="8"/>
    <n v="5"/>
    <n v="2"/>
    <n v="2"/>
    <x v="2"/>
    <x v="1"/>
    <n v="0"/>
    <n v="1"/>
    <x v="0"/>
    <x v="1"/>
    <n v="74"/>
  </r>
  <r>
    <n v="45"/>
    <x v="0"/>
    <s v="Travel_Rarely"/>
    <n v="1449"/>
    <x v="0"/>
    <n v="2"/>
    <n v="3"/>
    <s v="Marketing"/>
    <n v="1"/>
    <n v="1277"/>
    <n v="1"/>
    <x v="0"/>
    <n v="94"/>
    <n v="1"/>
    <n v="5"/>
    <x v="5"/>
    <n v="2"/>
    <s v="Single"/>
    <n v="18824"/>
    <n v="2493"/>
    <n v="2"/>
    <s v="Y"/>
    <x v="0"/>
    <n v="16"/>
    <n v="3"/>
    <n v="1"/>
    <n v="80"/>
    <n v="0"/>
    <n v="26"/>
    <n v="2"/>
    <n v="3"/>
    <n v="24"/>
    <n v="10"/>
    <n v="1"/>
    <n v="11"/>
    <x v="0"/>
    <x v="2"/>
    <n v="1"/>
    <n v="1"/>
    <x v="3"/>
    <x v="1"/>
    <n v="62"/>
  </r>
  <r>
    <n v="55"/>
    <x v="1"/>
    <s v="Non-Travel"/>
    <n v="177"/>
    <x v="1"/>
    <n v="8"/>
    <n v="1"/>
    <s v="Medical"/>
    <n v="1"/>
    <n v="1278"/>
    <n v="4"/>
    <x v="1"/>
    <n v="37"/>
    <n v="2"/>
    <n v="4"/>
    <x v="4"/>
    <n v="2"/>
    <s v="Divorced"/>
    <n v="13577"/>
    <n v="25592"/>
    <n v="1"/>
    <s v="Y"/>
    <x v="0"/>
    <n v="15"/>
    <n v="3"/>
    <n v="4"/>
    <n v="80"/>
    <n v="1"/>
    <n v="34"/>
    <n v="3"/>
    <n v="3"/>
    <n v="33"/>
    <n v="9"/>
    <n v="15"/>
    <n v="0"/>
    <x v="3"/>
    <x v="0"/>
    <n v="0"/>
    <n v="1"/>
    <x v="1"/>
    <x v="1"/>
    <n v="67"/>
  </r>
  <r>
    <n v="21"/>
    <x v="0"/>
    <s v="Travel_Frequently"/>
    <n v="251"/>
    <x v="1"/>
    <n v="10"/>
    <n v="2"/>
    <s v="Life Sciences"/>
    <n v="1"/>
    <n v="1279"/>
    <n v="1"/>
    <x v="0"/>
    <n v="45"/>
    <n v="2"/>
    <n v="1"/>
    <x v="2"/>
    <n v="3"/>
    <s v="Single"/>
    <n v="2625"/>
    <n v="25308"/>
    <n v="1"/>
    <s v="Y"/>
    <x v="1"/>
    <n v="20"/>
    <n v="4"/>
    <n v="3"/>
    <n v="80"/>
    <n v="0"/>
    <n v="2"/>
    <n v="2"/>
    <n v="1"/>
    <n v="2"/>
    <n v="2"/>
    <n v="2"/>
    <n v="2"/>
    <x v="2"/>
    <x v="1"/>
    <n v="1"/>
    <n v="0"/>
    <x v="0"/>
    <x v="1"/>
    <n v="73"/>
  </r>
  <r>
    <n v="46"/>
    <x v="1"/>
    <s v="Travel_Rarely"/>
    <n v="168"/>
    <x v="0"/>
    <n v="4"/>
    <n v="2"/>
    <s v="Marketing"/>
    <n v="1"/>
    <n v="1280"/>
    <n v="4"/>
    <x v="0"/>
    <n v="33"/>
    <n v="2"/>
    <n v="5"/>
    <x v="5"/>
    <n v="2"/>
    <s v="Married"/>
    <n v="18789"/>
    <n v="9946"/>
    <n v="2"/>
    <s v="Y"/>
    <x v="1"/>
    <n v="14"/>
    <n v="3"/>
    <n v="3"/>
    <n v="80"/>
    <n v="1"/>
    <n v="26"/>
    <n v="2"/>
    <n v="3"/>
    <n v="11"/>
    <n v="4"/>
    <n v="0"/>
    <n v="8"/>
    <x v="0"/>
    <x v="2"/>
    <n v="0"/>
    <n v="0"/>
    <x v="0"/>
    <x v="0"/>
    <n v="37"/>
  </r>
  <r>
    <n v="34"/>
    <x v="1"/>
    <s v="Travel_Rarely"/>
    <n v="131"/>
    <x v="0"/>
    <n v="2"/>
    <n v="3"/>
    <s v="Marketing"/>
    <n v="1"/>
    <n v="1281"/>
    <n v="3"/>
    <x v="0"/>
    <n v="86"/>
    <n v="3"/>
    <n v="2"/>
    <x v="0"/>
    <n v="1"/>
    <s v="Single"/>
    <n v="4538"/>
    <n v="6039"/>
    <n v="0"/>
    <s v="Y"/>
    <x v="0"/>
    <n v="12"/>
    <n v="3"/>
    <n v="4"/>
    <n v="80"/>
    <n v="0"/>
    <n v="4"/>
    <n v="3"/>
    <n v="3"/>
    <n v="3"/>
    <n v="2"/>
    <n v="0"/>
    <n v="2"/>
    <x v="1"/>
    <x v="1"/>
    <n v="0"/>
    <n v="1"/>
    <x v="3"/>
    <x v="1"/>
    <n v="90"/>
  </r>
  <r>
    <n v="51"/>
    <x v="1"/>
    <s v="Travel_Frequently"/>
    <n v="237"/>
    <x v="0"/>
    <n v="9"/>
    <n v="3"/>
    <s v="Life Sciences"/>
    <n v="1"/>
    <n v="1282"/>
    <n v="4"/>
    <x v="1"/>
    <n v="83"/>
    <n v="3"/>
    <n v="5"/>
    <x v="5"/>
    <n v="2"/>
    <s v="Divorced"/>
    <n v="19847"/>
    <n v="19196"/>
    <n v="4"/>
    <s v="Y"/>
    <x v="0"/>
    <n v="24"/>
    <n v="4"/>
    <n v="1"/>
    <n v="80"/>
    <n v="1"/>
    <n v="31"/>
    <n v="5"/>
    <n v="2"/>
    <n v="29"/>
    <n v="10"/>
    <n v="11"/>
    <n v="10"/>
    <x v="3"/>
    <x v="2"/>
    <n v="0"/>
    <n v="1"/>
    <x v="3"/>
    <x v="1"/>
    <n v="67"/>
  </r>
  <r>
    <n v="59"/>
    <x v="1"/>
    <s v="Travel_Rarely"/>
    <n v="1429"/>
    <x v="1"/>
    <n v="18"/>
    <n v="4"/>
    <s v="Medical"/>
    <n v="1"/>
    <n v="1283"/>
    <n v="4"/>
    <x v="1"/>
    <n v="67"/>
    <n v="3"/>
    <n v="3"/>
    <x v="3"/>
    <n v="4"/>
    <s v="Single"/>
    <n v="10512"/>
    <n v="20002"/>
    <n v="6"/>
    <s v="Y"/>
    <x v="1"/>
    <n v="12"/>
    <n v="3"/>
    <n v="4"/>
    <n v="80"/>
    <n v="0"/>
    <n v="25"/>
    <n v="6"/>
    <n v="2"/>
    <n v="9"/>
    <n v="7"/>
    <n v="5"/>
    <n v="4"/>
    <x v="3"/>
    <x v="0"/>
    <n v="0"/>
    <n v="0"/>
    <x v="2"/>
    <x v="2"/>
    <n v="34"/>
  </r>
  <r>
    <n v="34"/>
    <x v="1"/>
    <s v="Travel_Frequently"/>
    <n v="135"/>
    <x v="1"/>
    <n v="19"/>
    <n v="3"/>
    <s v="Medical"/>
    <n v="1"/>
    <n v="1285"/>
    <n v="3"/>
    <x v="0"/>
    <n v="46"/>
    <n v="3"/>
    <n v="2"/>
    <x v="2"/>
    <n v="2"/>
    <s v="Divorced"/>
    <n v="4444"/>
    <n v="22534"/>
    <n v="4"/>
    <s v="Y"/>
    <x v="1"/>
    <n v="13"/>
    <n v="3"/>
    <n v="3"/>
    <n v="80"/>
    <n v="2"/>
    <n v="15"/>
    <n v="2"/>
    <n v="4"/>
    <n v="11"/>
    <n v="8"/>
    <n v="5"/>
    <n v="10"/>
    <x v="1"/>
    <x v="1"/>
    <n v="0"/>
    <n v="0"/>
    <x v="3"/>
    <x v="0"/>
    <n v="47"/>
  </r>
  <r>
    <n v="28"/>
    <x v="1"/>
    <s v="Travel_Frequently"/>
    <n v="791"/>
    <x v="1"/>
    <n v="1"/>
    <n v="4"/>
    <s v="Medical"/>
    <n v="1"/>
    <n v="1286"/>
    <n v="4"/>
    <x v="1"/>
    <n v="44"/>
    <n v="3"/>
    <n v="1"/>
    <x v="2"/>
    <n v="3"/>
    <s v="Single"/>
    <n v="2154"/>
    <n v="6842"/>
    <n v="0"/>
    <s v="Y"/>
    <x v="0"/>
    <n v="11"/>
    <n v="3"/>
    <n v="3"/>
    <n v="80"/>
    <n v="0"/>
    <n v="5"/>
    <n v="2"/>
    <n v="2"/>
    <n v="4"/>
    <n v="2"/>
    <n v="0"/>
    <n v="2"/>
    <x v="2"/>
    <x v="1"/>
    <n v="0"/>
    <n v="1"/>
    <x v="2"/>
    <x v="1"/>
    <n v="88"/>
  </r>
  <r>
    <n v="44"/>
    <x v="1"/>
    <s v="Travel_Rarely"/>
    <n v="1199"/>
    <x v="1"/>
    <n v="4"/>
    <n v="2"/>
    <s v="Life Sciences"/>
    <n v="1"/>
    <n v="1288"/>
    <n v="3"/>
    <x v="1"/>
    <n v="92"/>
    <n v="4"/>
    <n v="5"/>
    <x v="5"/>
    <n v="1"/>
    <s v="Divorced"/>
    <n v="19190"/>
    <n v="17477"/>
    <n v="1"/>
    <s v="Y"/>
    <x v="1"/>
    <n v="14"/>
    <n v="3"/>
    <n v="4"/>
    <n v="80"/>
    <n v="2"/>
    <n v="26"/>
    <n v="4"/>
    <n v="2"/>
    <n v="25"/>
    <n v="9"/>
    <n v="14"/>
    <n v="13"/>
    <x v="0"/>
    <x v="2"/>
    <n v="0"/>
    <n v="0"/>
    <x v="0"/>
    <x v="0"/>
    <n v="43"/>
  </r>
  <r>
    <n v="34"/>
    <x v="1"/>
    <s v="Travel_Frequently"/>
    <n v="648"/>
    <x v="2"/>
    <n v="11"/>
    <n v="3"/>
    <s v="Life Sciences"/>
    <n v="1"/>
    <n v="1289"/>
    <n v="3"/>
    <x v="1"/>
    <n v="56"/>
    <n v="2"/>
    <n v="2"/>
    <x v="8"/>
    <n v="2"/>
    <s v="Married"/>
    <n v="4490"/>
    <n v="21833"/>
    <n v="4"/>
    <s v="Y"/>
    <x v="1"/>
    <n v="11"/>
    <n v="3"/>
    <n v="4"/>
    <n v="80"/>
    <n v="2"/>
    <n v="14"/>
    <n v="5"/>
    <n v="4"/>
    <n v="10"/>
    <n v="9"/>
    <n v="1"/>
    <n v="8"/>
    <x v="1"/>
    <x v="1"/>
    <n v="0"/>
    <n v="0"/>
    <x v="3"/>
    <x v="0"/>
    <n v="52"/>
  </r>
  <r>
    <n v="35"/>
    <x v="1"/>
    <s v="Travel_Rarely"/>
    <n v="735"/>
    <x v="1"/>
    <n v="6"/>
    <n v="1"/>
    <s v="Life Sciences"/>
    <n v="1"/>
    <n v="1291"/>
    <n v="3"/>
    <x v="1"/>
    <n v="66"/>
    <n v="3"/>
    <n v="1"/>
    <x v="1"/>
    <n v="3"/>
    <s v="Married"/>
    <n v="3506"/>
    <n v="6020"/>
    <n v="0"/>
    <s v="Y"/>
    <x v="0"/>
    <n v="14"/>
    <n v="3"/>
    <n v="4"/>
    <n v="80"/>
    <n v="0"/>
    <n v="4"/>
    <n v="3"/>
    <n v="3"/>
    <n v="3"/>
    <n v="2"/>
    <n v="2"/>
    <n v="2"/>
    <x v="1"/>
    <x v="1"/>
    <n v="0"/>
    <n v="1"/>
    <x v="1"/>
    <x v="1"/>
    <n v="78"/>
  </r>
  <r>
    <n v="42"/>
    <x v="1"/>
    <s v="Travel_Rarely"/>
    <n v="603"/>
    <x v="1"/>
    <n v="7"/>
    <n v="4"/>
    <s v="Medical"/>
    <n v="1"/>
    <n v="1292"/>
    <n v="2"/>
    <x v="0"/>
    <n v="78"/>
    <n v="4"/>
    <n v="2"/>
    <x v="1"/>
    <n v="2"/>
    <s v="Married"/>
    <n v="2372"/>
    <n v="5628"/>
    <n v="6"/>
    <s v="Y"/>
    <x v="0"/>
    <n v="16"/>
    <n v="3"/>
    <n v="4"/>
    <n v="80"/>
    <n v="0"/>
    <n v="18"/>
    <n v="2"/>
    <n v="3"/>
    <n v="1"/>
    <n v="0"/>
    <n v="0"/>
    <n v="0"/>
    <x v="0"/>
    <x v="1"/>
    <n v="0"/>
    <n v="1"/>
    <x v="2"/>
    <x v="1"/>
    <n v="84"/>
  </r>
  <r>
    <n v="43"/>
    <x v="1"/>
    <s v="Travel_Rarely"/>
    <n v="531"/>
    <x v="0"/>
    <n v="4"/>
    <n v="4"/>
    <s v="Marketing"/>
    <n v="1"/>
    <n v="1293"/>
    <n v="4"/>
    <x v="0"/>
    <n v="56"/>
    <n v="2"/>
    <n v="3"/>
    <x v="0"/>
    <n v="4"/>
    <s v="Single"/>
    <n v="10231"/>
    <n v="20364"/>
    <n v="3"/>
    <s v="Y"/>
    <x v="1"/>
    <n v="14"/>
    <n v="3"/>
    <n v="4"/>
    <n v="80"/>
    <n v="0"/>
    <n v="23"/>
    <n v="3"/>
    <n v="4"/>
    <n v="21"/>
    <n v="7"/>
    <n v="15"/>
    <n v="17"/>
    <x v="0"/>
    <x v="0"/>
    <n v="0"/>
    <n v="0"/>
    <x v="2"/>
    <x v="2"/>
    <n v="24"/>
  </r>
  <r>
    <n v="36"/>
    <x v="1"/>
    <s v="Travel_Rarely"/>
    <n v="429"/>
    <x v="1"/>
    <n v="2"/>
    <n v="4"/>
    <s v="Life Sciences"/>
    <n v="1"/>
    <n v="1294"/>
    <n v="3"/>
    <x v="0"/>
    <n v="53"/>
    <n v="3"/>
    <n v="2"/>
    <x v="3"/>
    <n v="2"/>
    <s v="Single"/>
    <n v="5410"/>
    <n v="2323"/>
    <n v="9"/>
    <s v="Y"/>
    <x v="0"/>
    <n v="11"/>
    <n v="3"/>
    <n v="4"/>
    <n v="80"/>
    <n v="0"/>
    <n v="18"/>
    <n v="2"/>
    <n v="3"/>
    <n v="16"/>
    <n v="14"/>
    <n v="5"/>
    <n v="12"/>
    <x v="1"/>
    <x v="0"/>
    <n v="0"/>
    <n v="1"/>
    <x v="2"/>
    <x v="1"/>
    <n v="72"/>
  </r>
  <r>
    <n v="44"/>
    <x v="0"/>
    <s v="Travel_Rarely"/>
    <n v="621"/>
    <x v="1"/>
    <n v="15"/>
    <n v="3"/>
    <s v="Medical"/>
    <n v="1"/>
    <n v="1295"/>
    <n v="1"/>
    <x v="0"/>
    <n v="73"/>
    <n v="3"/>
    <n v="3"/>
    <x v="4"/>
    <n v="4"/>
    <s v="Married"/>
    <n v="7978"/>
    <n v="14075"/>
    <n v="1"/>
    <s v="Y"/>
    <x v="1"/>
    <n v="11"/>
    <n v="3"/>
    <n v="4"/>
    <n v="80"/>
    <n v="1"/>
    <n v="10"/>
    <n v="2"/>
    <n v="3"/>
    <n v="10"/>
    <n v="7"/>
    <n v="0"/>
    <n v="5"/>
    <x v="0"/>
    <x v="0"/>
    <n v="1"/>
    <n v="0"/>
    <x v="3"/>
    <x v="2"/>
    <n v="29"/>
  </r>
  <r>
    <n v="28"/>
    <x v="1"/>
    <s v="Travel_Frequently"/>
    <n v="193"/>
    <x v="1"/>
    <n v="2"/>
    <n v="3"/>
    <s v="Life Sciences"/>
    <n v="1"/>
    <n v="1296"/>
    <n v="4"/>
    <x v="1"/>
    <n v="52"/>
    <n v="2"/>
    <n v="1"/>
    <x v="2"/>
    <n v="4"/>
    <s v="Married"/>
    <n v="3867"/>
    <n v="14222"/>
    <n v="1"/>
    <s v="Y"/>
    <x v="0"/>
    <n v="12"/>
    <n v="3"/>
    <n v="2"/>
    <n v="80"/>
    <n v="1"/>
    <n v="2"/>
    <n v="2"/>
    <n v="3"/>
    <n v="2"/>
    <n v="2"/>
    <n v="2"/>
    <n v="2"/>
    <x v="2"/>
    <x v="1"/>
    <n v="0"/>
    <n v="1"/>
    <x v="3"/>
    <x v="1"/>
    <n v="91"/>
  </r>
  <r>
    <n v="51"/>
    <x v="1"/>
    <s v="Travel_Frequently"/>
    <n v="968"/>
    <x v="1"/>
    <n v="6"/>
    <n v="2"/>
    <s v="Medical"/>
    <n v="1"/>
    <n v="1297"/>
    <n v="2"/>
    <x v="0"/>
    <n v="40"/>
    <n v="2"/>
    <n v="1"/>
    <x v="2"/>
    <n v="3"/>
    <s v="Single"/>
    <n v="2838"/>
    <n v="4257"/>
    <n v="0"/>
    <s v="Y"/>
    <x v="1"/>
    <n v="14"/>
    <n v="3"/>
    <n v="2"/>
    <n v="80"/>
    <n v="0"/>
    <n v="8"/>
    <n v="6"/>
    <n v="2"/>
    <n v="7"/>
    <n v="0"/>
    <n v="7"/>
    <n v="7"/>
    <x v="3"/>
    <x v="1"/>
    <n v="0"/>
    <n v="0"/>
    <x v="0"/>
    <x v="0"/>
    <n v="41"/>
  </r>
  <r>
    <n v="30"/>
    <x v="1"/>
    <s v="Non-Travel"/>
    <n v="879"/>
    <x v="1"/>
    <n v="9"/>
    <n v="2"/>
    <s v="Medical"/>
    <n v="1"/>
    <n v="1298"/>
    <n v="3"/>
    <x v="0"/>
    <n v="72"/>
    <n v="3"/>
    <n v="2"/>
    <x v="3"/>
    <n v="3"/>
    <s v="Single"/>
    <n v="4695"/>
    <n v="12858"/>
    <n v="7"/>
    <s v="Y"/>
    <x v="0"/>
    <n v="18"/>
    <n v="3"/>
    <n v="3"/>
    <n v="80"/>
    <n v="0"/>
    <n v="10"/>
    <n v="3"/>
    <n v="3"/>
    <n v="8"/>
    <n v="4"/>
    <n v="1"/>
    <n v="7"/>
    <x v="1"/>
    <x v="1"/>
    <n v="0"/>
    <n v="1"/>
    <x v="0"/>
    <x v="1"/>
    <n v="71"/>
  </r>
  <r>
    <n v="29"/>
    <x v="0"/>
    <s v="Travel_Rarely"/>
    <n v="806"/>
    <x v="1"/>
    <n v="7"/>
    <n v="3"/>
    <s v="Technical Degree"/>
    <n v="1"/>
    <n v="1299"/>
    <n v="2"/>
    <x v="0"/>
    <n v="39"/>
    <n v="3"/>
    <n v="1"/>
    <x v="2"/>
    <n v="3"/>
    <s v="Divorced"/>
    <n v="3339"/>
    <n v="17285"/>
    <n v="3"/>
    <s v="Y"/>
    <x v="0"/>
    <n v="13"/>
    <n v="3"/>
    <n v="1"/>
    <n v="80"/>
    <n v="2"/>
    <n v="10"/>
    <n v="2"/>
    <n v="3"/>
    <n v="7"/>
    <n v="7"/>
    <n v="7"/>
    <n v="7"/>
    <x v="2"/>
    <x v="1"/>
    <n v="1"/>
    <n v="1"/>
    <x v="3"/>
    <x v="1"/>
    <n v="81"/>
  </r>
  <r>
    <n v="28"/>
    <x v="1"/>
    <s v="Travel_Rarely"/>
    <n v="640"/>
    <x v="1"/>
    <n v="1"/>
    <n v="3"/>
    <s v="Technical Degree"/>
    <n v="1"/>
    <n v="1301"/>
    <n v="4"/>
    <x v="1"/>
    <n v="84"/>
    <n v="3"/>
    <n v="1"/>
    <x v="1"/>
    <n v="1"/>
    <s v="Single"/>
    <n v="2080"/>
    <n v="4732"/>
    <n v="2"/>
    <s v="Y"/>
    <x v="1"/>
    <n v="11"/>
    <n v="3"/>
    <n v="2"/>
    <n v="80"/>
    <n v="0"/>
    <n v="5"/>
    <n v="2"/>
    <n v="2"/>
    <n v="3"/>
    <n v="2"/>
    <n v="1"/>
    <n v="2"/>
    <x v="2"/>
    <x v="1"/>
    <n v="0"/>
    <n v="0"/>
    <x v="3"/>
    <x v="1"/>
    <n v="75"/>
  </r>
  <r>
    <n v="25"/>
    <x v="1"/>
    <s v="Travel_Rarely"/>
    <n v="266"/>
    <x v="1"/>
    <n v="1"/>
    <n v="3"/>
    <s v="Medical"/>
    <n v="1"/>
    <n v="1303"/>
    <n v="4"/>
    <x v="0"/>
    <n v="40"/>
    <n v="3"/>
    <n v="1"/>
    <x v="1"/>
    <n v="2"/>
    <s v="Single"/>
    <n v="2096"/>
    <n v="18830"/>
    <n v="1"/>
    <s v="Y"/>
    <x v="1"/>
    <n v="18"/>
    <n v="3"/>
    <n v="4"/>
    <n v="80"/>
    <n v="0"/>
    <n v="2"/>
    <n v="3"/>
    <n v="2"/>
    <n v="2"/>
    <n v="2"/>
    <n v="2"/>
    <n v="1"/>
    <x v="2"/>
    <x v="1"/>
    <n v="0"/>
    <n v="0"/>
    <x v="3"/>
    <x v="1"/>
    <n v="79"/>
  </r>
  <r>
    <n v="32"/>
    <x v="1"/>
    <s v="Travel_Rarely"/>
    <n v="604"/>
    <x v="0"/>
    <n v="8"/>
    <n v="3"/>
    <s v="Medical"/>
    <n v="1"/>
    <n v="1304"/>
    <n v="3"/>
    <x v="1"/>
    <n v="56"/>
    <n v="4"/>
    <n v="2"/>
    <x v="0"/>
    <n v="4"/>
    <s v="Married"/>
    <n v="6209"/>
    <n v="11693"/>
    <n v="1"/>
    <s v="Y"/>
    <x v="1"/>
    <n v="15"/>
    <n v="3"/>
    <n v="3"/>
    <n v="80"/>
    <n v="2"/>
    <n v="10"/>
    <n v="4"/>
    <n v="4"/>
    <n v="10"/>
    <n v="7"/>
    <n v="0"/>
    <n v="8"/>
    <x v="1"/>
    <x v="0"/>
    <n v="0"/>
    <n v="0"/>
    <x v="3"/>
    <x v="0"/>
    <n v="39"/>
  </r>
  <r>
    <n v="45"/>
    <x v="1"/>
    <s v="Travel_Frequently"/>
    <n v="364"/>
    <x v="1"/>
    <n v="25"/>
    <n v="3"/>
    <s v="Medical"/>
    <n v="1"/>
    <n v="1306"/>
    <n v="2"/>
    <x v="0"/>
    <n v="83"/>
    <n v="3"/>
    <n v="5"/>
    <x v="5"/>
    <n v="2"/>
    <s v="Single"/>
    <n v="18061"/>
    <n v="13035"/>
    <n v="3"/>
    <s v="Y"/>
    <x v="1"/>
    <n v="22"/>
    <n v="4"/>
    <n v="3"/>
    <n v="80"/>
    <n v="0"/>
    <n v="22"/>
    <n v="4"/>
    <n v="3"/>
    <n v="0"/>
    <n v="0"/>
    <n v="0"/>
    <n v="0"/>
    <x v="0"/>
    <x v="2"/>
    <n v="0"/>
    <n v="0"/>
    <x v="3"/>
    <x v="1"/>
    <n v="59"/>
  </r>
  <r>
    <n v="39"/>
    <x v="1"/>
    <s v="Travel_Rarely"/>
    <n v="412"/>
    <x v="1"/>
    <n v="13"/>
    <n v="4"/>
    <s v="Medical"/>
    <n v="1"/>
    <n v="1307"/>
    <n v="3"/>
    <x v="0"/>
    <n v="94"/>
    <n v="2"/>
    <n v="4"/>
    <x v="5"/>
    <n v="2"/>
    <s v="Divorced"/>
    <n v="17123"/>
    <n v="17334"/>
    <n v="6"/>
    <s v="Y"/>
    <x v="0"/>
    <n v="13"/>
    <n v="3"/>
    <n v="4"/>
    <n v="80"/>
    <n v="2"/>
    <n v="21"/>
    <n v="4"/>
    <n v="3"/>
    <n v="19"/>
    <n v="9"/>
    <n v="15"/>
    <n v="2"/>
    <x v="1"/>
    <x v="2"/>
    <n v="0"/>
    <n v="1"/>
    <x v="2"/>
    <x v="1"/>
    <n v="72"/>
  </r>
  <r>
    <n v="58"/>
    <x v="1"/>
    <s v="Travel_Rarely"/>
    <n v="848"/>
    <x v="1"/>
    <n v="23"/>
    <n v="4"/>
    <s v="Life Sciences"/>
    <n v="1"/>
    <n v="1308"/>
    <n v="1"/>
    <x v="1"/>
    <n v="88"/>
    <n v="3"/>
    <n v="1"/>
    <x v="1"/>
    <n v="3"/>
    <s v="Divorced"/>
    <n v="2372"/>
    <n v="26076"/>
    <n v="1"/>
    <s v="Y"/>
    <x v="1"/>
    <n v="12"/>
    <n v="3"/>
    <n v="4"/>
    <n v="80"/>
    <n v="2"/>
    <n v="2"/>
    <n v="3"/>
    <n v="3"/>
    <n v="2"/>
    <n v="2"/>
    <n v="2"/>
    <n v="2"/>
    <x v="3"/>
    <x v="1"/>
    <n v="0"/>
    <n v="0"/>
    <x v="2"/>
    <x v="1"/>
    <n v="58"/>
  </r>
  <r>
    <n v="32"/>
    <x v="0"/>
    <s v="Travel_Rarely"/>
    <n v="1089"/>
    <x v="1"/>
    <n v="7"/>
    <n v="2"/>
    <s v="Life Sciences"/>
    <n v="1"/>
    <n v="1309"/>
    <n v="4"/>
    <x v="1"/>
    <n v="79"/>
    <n v="3"/>
    <n v="2"/>
    <x v="2"/>
    <n v="3"/>
    <s v="Married"/>
    <n v="4883"/>
    <n v="22845"/>
    <n v="1"/>
    <s v="Y"/>
    <x v="1"/>
    <n v="18"/>
    <n v="3"/>
    <n v="1"/>
    <n v="80"/>
    <n v="1"/>
    <n v="10"/>
    <n v="3"/>
    <n v="3"/>
    <n v="10"/>
    <n v="4"/>
    <n v="1"/>
    <n v="1"/>
    <x v="1"/>
    <x v="1"/>
    <n v="1"/>
    <n v="0"/>
    <x v="0"/>
    <x v="0"/>
    <n v="46"/>
  </r>
  <r>
    <n v="39"/>
    <x v="0"/>
    <s v="Travel_Rarely"/>
    <n v="360"/>
    <x v="1"/>
    <n v="23"/>
    <n v="3"/>
    <s v="Medical"/>
    <n v="1"/>
    <n v="1310"/>
    <n v="3"/>
    <x v="1"/>
    <n v="93"/>
    <n v="3"/>
    <n v="1"/>
    <x v="1"/>
    <n v="1"/>
    <s v="Single"/>
    <n v="3904"/>
    <n v="22154"/>
    <n v="0"/>
    <s v="Y"/>
    <x v="1"/>
    <n v="13"/>
    <n v="3"/>
    <n v="1"/>
    <n v="80"/>
    <n v="0"/>
    <n v="6"/>
    <n v="2"/>
    <n v="3"/>
    <n v="5"/>
    <n v="2"/>
    <n v="0"/>
    <n v="3"/>
    <x v="1"/>
    <x v="1"/>
    <n v="1"/>
    <n v="0"/>
    <x v="3"/>
    <x v="1"/>
    <n v="65"/>
  </r>
  <r>
    <n v="30"/>
    <x v="1"/>
    <s v="Travel_Rarely"/>
    <n v="1138"/>
    <x v="1"/>
    <n v="6"/>
    <n v="3"/>
    <s v="Technical Degree"/>
    <n v="1"/>
    <n v="1311"/>
    <n v="1"/>
    <x v="0"/>
    <n v="48"/>
    <n v="2"/>
    <n v="2"/>
    <x v="2"/>
    <n v="4"/>
    <s v="Married"/>
    <n v="4627"/>
    <n v="23631"/>
    <n v="0"/>
    <s v="Y"/>
    <x v="1"/>
    <n v="12"/>
    <n v="3"/>
    <n v="1"/>
    <n v="80"/>
    <n v="1"/>
    <n v="10"/>
    <n v="6"/>
    <n v="3"/>
    <n v="9"/>
    <n v="2"/>
    <n v="6"/>
    <n v="7"/>
    <x v="1"/>
    <x v="1"/>
    <n v="0"/>
    <n v="0"/>
    <x v="3"/>
    <x v="0"/>
    <n v="39"/>
  </r>
  <r>
    <n v="36"/>
    <x v="1"/>
    <s v="Travel_Rarely"/>
    <n v="325"/>
    <x v="1"/>
    <n v="10"/>
    <n v="4"/>
    <s v="Technical Degree"/>
    <n v="1"/>
    <n v="1312"/>
    <n v="4"/>
    <x v="0"/>
    <n v="63"/>
    <n v="3"/>
    <n v="3"/>
    <x v="4"/>
    <n v="3"/>
    <s v="Married"/>
    <n v="7094"/>
    <n v="5747"/>
    <n v="3"/>
    <s v="Y"/>
    <x v="1"/>
    <n v="12"/>
    <n v="3"/>
    <n v="1"/>
    <n v="80"/>
    <n v="0"/>
    <n v="10"/>
    <n v="0"/>
    <n v="3"/>
    <n v="7"/>
    <n v="7"/>
    <n v="1"/>
    <n v="7"/>
    <x v="1"/>
    <x v="0"/>
    <n v="0"/>
    <n v="0"/>
    <x v="2"/>
    <x v="0"/>
    <n v="46"/>
  </r>
  <r>
    <n v="46"/>
    <x v="1"/>
    <s v="Travel_Rarely"/>
    <n v="991"/>
    <x v="2"/>
    <n v="1"/>
    <n v="2"/>
    <s v="Life Sciences"/>
    <n v="1"/>
    <n v="1314"/>
    <n v="4"/>
    <x v="0"/>
    <n v="44"/>
    <n v="3"/>
    <n v="1"/>
    <x v="8"/>
    <n v="1"/>
    <s v="Single"/>
    <n v="3423"/>
    <n v="22957"/>
    <n v="6"/>
    <s v="Y"/>
    <x v="1"/>
    <n v="12"/>
    <n v="3"/>
    <n v="3"/>
    <n v="80"/>
    <n v="0"/>
    <n v="10"/>
    <n v="3"/>
    <n v="4"/>
    <n v="7"/>
    <n v="6"/>
    <n v="5"/>
    <n v="7"/>
    <x v="0"/>
    <x v="1"/>
    <n v="0"/>
    <n v="0"/>
    <x v="0"/>
    <x v="0"/>
    <n v="48"/>
  </r>
  <r>
    <n v="28"/>
    <x v="1"/>
    <s v="Non-Travel"/>
    <n v="1476"/>
    <x v="1"/>
    <n v="1"/>
    <n v="3"/>
    <s v="Life Sciences"/>
    <n v="1"/>
    <n v="1315"/>
    <n v="3"/>
    <x v="0"/>
    <n v="55"/>
    <n v="1"/>
    <n v="2"/>
    <x v="2"/>
    <n v="4"/>
    <s v="Married"/>
    <n v="6674"/>
    <n v="16392"/>
    <n v="0"/>
    <s v="Y"/>
    <x v="1"/>
    <n v="11"/>
    <n v="3"/>
    <n v="1"/>
    <n v="80"/>
    <n v="3"/>
    <n v="10"/>
    <n v="6"/>
    <n v="3"/>
    <n v="9"/>
    <n v="8"/>
    <n v="7"/>
    <n v="5"/>
    <x v="2"/>
    <x v="0"/>
    <n v="0"/>
    <n v="0"/>
    <x v="3"/>
    <x v="0"/>
    <n v="49"/>
  </r>
  <r>
    <n v="50"/>
    <x v="1"/>
    <s v="Travel_Rarely"/>
    <n v="1322"/>
    <x v="1"/>
    <n v="28"/>
    <n v="3"/>
    <s v="Life Sciences"/>
    <n v="1"/>
    <n v="1317"/>
    <n v="4"/>
    <x v="0"/>
    <n v="43"/>
    <n v="3"/>
    <n v="4"/>
    <x v="7"/>
    <n v="1"/>
    <s v="Married"/>
    <n v="16880"/>
    <n v="22422"/>
    <n v="4"/>
    <s v="Y"/>
    <x v="0"/>
    <n v="11"/>
    <n v="3"/>
    <n v="2"/>
    <n v="80"/>
    <n v="0"/>
    <n v="25"/>
    <n v="2"/>
    <n v="3"/>
    <n v="3"/>
    <n v="2"/>
    <n v="1"/>
    <n v="2"/>
    <x v="3"/>
    <x v="2"/>
    <n v="0"/>
    <n v="1"/>
    <x v="3"/>
    <x v="1"/>
    <n v="85"/>
  </r>
  <r>
    <n v="40"/>
    <x v="0"/>
    <s v="Travel_Rarely"/>
    <n v="299"/>
    <x v="0"/>
    <n v="25"/>
    <n v="4"/>
    <s v="Marketing"/>
    <n v="1"/>
    <n v="1318"/>
    <n v="4"/>
    <x v="1"/>
    <n v="57"/>
    <n v="2"/>
    <n v="3"/>
    <x v="0"/>
    <n v="2"/>
    <s v="Single"/>
    <n v="9094"/>
    <n v="17235"/>
    <n v="2"/>
    <s v="Y"/>
    <x v="0"/>
    <n v="12"/>
    <n v="3"/>
    <n v="3"/>
    <n v="80"/>
    <n v="0"/>
    <n v="9"/>
    <n v="2"/>
    <n v="3"/>
    <n v="5"/>
    <n v="4"/>
    <n v="1"/>
    <n v="0"/>
    <x v="0"/>
    <x v="0"/>
    <n v="1"/>
    <n v="1"/>
    <x v="2"/>
    <x v="1"/>
    <n v="74"/>
  </r>
  <r>
    <n v="52"/>
    <x v="0"/>
    <s v="Travel_Rarely"/>
    <n v="1030"/>
    <x v="0"/>
    <n v="5"/>
    <n v="3"/>
    <s v="Life Sciences"/>
    <n v="1"/>
    <n v="1319"/>
    <n v="2"/>
    <x v="1"/>
    <n v="64"/>
    <n v="3"/>
    <n v="3"/>
    <x v="0"/>
    <n v="2"/>
    <s v="Single"/>
    <n v="8446"/>
    <n v="21534"/>
    <n v="9"/>
    <s v="Y"/>
    <x v="0"/>
    <n v="19"/>
    <n v="3"/>
    <n v="3"/>
    <n v="80"/>
    <n v="0"/>
    <n v="10"/>
    <n v="2"/>
    <n v="2"/>
    <n v="8"/>
    <n v="7"/>
    <n v="7"/>
    <n v="7"/>
    <x v="3"/>
    <x v="0"/>
    <n v="1"/>
    <n v="1"/>
    <x v="3"/>
    <x v="1"/>
    <n v="72"/>
  </r>
  <r>
    <n v="30"/>
    <x v="1"/>
    <s v="Travel_Rarely"/>
    <n v="634"/>
    <x v="1"/>
    <n v="17"/>
    <n v="4"/>
    <s v="Medical"/>
    <n v="1"/>
    <n v="1321"/>
    <n v="2"/>
    <x v="0"/>
    <n v="95"/>
    <n v="3"/>
    <n v="3"/>
    <x v="5"/>
    <n v="1"/>
    <s v="Married"/>
    <n v="11916"/>
    <n v="25927"/>
    <n v="1"/>
    <s v="Y"/>
    <x v="0"/>
    <n v="23"/>
    <n v="4"/>
    <n v="4"/>
    <n v="80"/>
    <n v="2"/>
    <n v="9"/>
    <n v="2"/>
    <n v="3"/>
    <n v="9"/>
    <n v="1"/>
    <n v="0"/>
    <n v="8"/>
    <x v="1"/>
    <x v="0"/>
    <n v="0"/>
    <n v="1"/>
    <x v="2"/>
    <x v="1"/>
    <n v="83"/>
  </r>
  <r>
    <n v="39"/>
    <x v="1"/>
    <s v="Travel_Rarely"/>
    <n v="524"/>
    <x v="1"/>
    <n v="18"/>
    <n v="2"/>
    <s v="Life Sciences"/>
    <n v="1"/>
    <n v="1322"/>
    <n v="1"/>
    <x v="1"/>
    <n v="32"/>
    <n v="3"/>
    <n v="2"/>
    <x v="3"/>
    <n v="3"/>
    <s v="Single"/>
    <n v="4534"/>
    <n v="13352"/>
    <n v="0"/>
    <s v="Y"/>
    <x v="1"/>
    <n v="11"/>
    <n v="3"/>
    <n v="1"/>
    <n v="80"/>
    <n v="0"/>
    <n v="9"/>
    <n v="6"/>
    <n v="3"/>
    <n v="8"/>
    <n v="7"/>
    <n v="1"/>
    <n v="7"/>
    <x v="1"/>
    <x v="1"/>
    <n v="0"/>
    <n v="0"/>
    <x v="0"/>
    <x v="0"/>
    <n v="46"/>
  </r>
  <r>
    <n v="31"/>
    <x v="1"/>
    <s v="Non-Travel"/>
    <n v="587"/>
    <x v="0"/>
    <n v="2"/>
    <n v="4"/>
    <s v="Life Sciences"/>
    <n v="1"/>
    <n v="1324"/>
    <n v="4"/>
    <x v="0"/>
    <n v="57"/>
    <n v="3"/>
    <n v="3"/>
    <x v="0"/>
    <n v="3"/>
    <s v="Divorced"/>
    <n v="9852"/>
    <n v="8935"/>
    <n v="1"/>
    <s v="Y"/>
    <x v="0"/>
    <n v="19"/>
    <n v="3"/>
    <n v="1"/>
    <n v="80"/>
    <n v="1"/>
    <n v="10"/>
    <n v="5"/>
    <n v="2"/>
    <n v="10"/>
    <n v="8"/>
    <n v="9"/>
    <n v="6"/>
    <x v="1"/>
    <x v="0"/>
    <n v="0"/>
    <n v="1"/>
    <x v="2"/>
    <x v="1"/>
    <n v="71"/>
  </r>
  <r>
    <n v="41"/>
    <x v="1"/>
    <s v="Non-Travel"/>
    <n v="256"/>
    <x v="0"/>
    <n v="10"/>
    <n v="2"/>
    <s v="Medical"/>
    <n v="1"/>
    <n v="1329"/>
    <n v="3"/>
    <x v="1"/>
    <n v="40"/>
    <n v="1"/>
    <n v="2"/>
    <x v="0"/>
    <n v="2"/>
    <s v="Single"/>
    <n v="6151"/>
    <n v="22074"/>
    <n v="1"/>
    <s v="Y"/>
    <x v="1"/>
    <n v="13"/>
    <n v="3"/>
    <n v="1"/>
    <n v="80"/>
    <n v="0"/>
    <n v="19"/>
    <n v="4"/>
    <n v="3"/>
    <n v="19"/>
    <n v="2"/>
    <n v="11"/>
    <n v="9"/>
    <x v="0"/>
    <x v="0"/>
    <n v="0"/>
    <n v="0"/>
    <x v="0"/>
    <x v="0"/>
    <n v="37"/>
  </r>
  <r>
    <n v="31"/>
    <x v="0"/>
    <s v="Travel_Frequently"/>
    <n v="1060"/>
    <x v="0"/>
    <n v="1"/>
    <n v="3"/>
    <s v="Life Sciences"/>
    <n v="1"/>
    <n v="1331"/>
    <n v="4"/>
    <x v="0"/>
    <n v="54"/>
    <n v="3"/>
    <n v="1"/>
    <x v="6"/>
    <n v="2"/>
    <s v="Single"/>
    <n v="2302"/>
    <n v="8319"/>
    <n v="1"/>
    <s v="Y"/>
    <x v="0"/>
    <n v="11"/>
    <n v="3"/>
    <n v="1"/>
    <n v="80"/>
    <n v="0"/>
    <n v="3"/>
    <n v="2"/>
    <n v="4"/>
    <n v="3"/>
    <n v="2"/>
    <n v="2"/>
    <n v="2"/>
    <x v="1"/>
    <x v="1"/>
    <n v="1"/>
    <n v="1"/>
    <x v="3"/>
    <x v="1"/>
    <n v="84"/>
  </r>
  <r>
    <n v="44"/>
    <x v="0"/>
    <s v="Travel_Rarely"/>
    <n v="935"/>
    <x v="1"/>
    <n v="3"/>
    <n v="3"/>
    <s v="Life Sciences"/>
    <n v="1"/>
    <n v="1333"/>
    <n v="1"/>
    <x v="1"/>
    <n v="89"/>
    <n v="3"/>
    <n v="1"/>
    <x v="2"/>
    <n v="1"/>
    <s v="Married"/>
    <n v="2362"/>
    <n v="14669"/>
    <n v="4"/>
    <s v="Y"/>
    <x v="1"/>
    <n v="12"/>
    <n v="3"/>
    <n v="3"/>
    <n v="80"/>
    <n v="0"/>
    <n v="10"/>
    <n v="4"/>
    <n v="4"/>
    <n v="3"/>
    <n v="2"/>
    <n v="1"/>
    <n v="2"/>
    <x v="0"/>
    <x v="1"/>
    <n v="1"/>
    <n v="0"/>
    <x v="3"/>
    <x v="1"/>
    <n v="55"/>
  </r>
  <r>
    <n v="42"/>
    <x v="1"/>
    <s v="Non-Travel"/>
    <n v="495"/>
    <x v="1"/>
    <n v="2"/>
    <n v="1"/>
    <s v="Life Sciences"/>
    <n v="1"/>
    <n v="1334"/>
    <n v="3"/>
    <x v="1"/>
    <n v="37"/>
    <n v="3"/>
    <n v="4"/>
    <x v="5"/>
    <n v="3"/>
    <s v="Married"/>
    <n v="17861"/>
    <n v="26582"/>
    <n v="0"/>
    <s v="Y"/>
    <x v="0"/>
    <n v="13"/>
    <n v="3"/>
    <n v="4"/>
    <n v="80"/>
    <n v="0"/>
    <n v="21"/>
    <n v="3"/>
    <n v="2"/>
    <n v="20"/>
    <n v="8"/>
    <n v="2"/>
    <n v="10"/>
    <x v="0"/>
    <x v="2"/>
    <n v="0"/>
    <n v="1"/>
    <x v="1"/>
    <x v="1"/>
    <n v="56"/>
  </r>
  <r>
    <n v="55"/>
    <x v="1"/>
    <s v="Travel_Rarely"/>
    <n v="282"/>
    <x v="1"/>
    <n v="2"/>
    <n v="2"/>
    <s v="Medical"/>
    <n v="1"/>
    <n v="1336"/>
    <n v="4"/>
    <x v="0"/>
    <n v="58"/>
    <n v="1"/>
    <n v="5"/>
    <x v="5"/>
    <n v="3"/>
    <s v="Married"/>
    <n v="19187"/>
    <n v="6992"/>
    <n v="4"/>
    <s v="Y"/>
    <x v="1"/>
    <n v="14"/>
    <n v="3"/>
    <n v="4"/>
    <n v="80"/>
    <n v="1"/>
    <n v="23"/>
    <n v="5"/>
    <n v="3"/>
    <n v="19"/>
    <n v="9"/>
    <n v="9"/>
    <n v="11"/>
    <x v="3"/>
    <x v="2"/>
    <n v="0"/>
    <n v="0"/>
    <x v="0"/>
    <x v="0"/>
    <n v="36"/>
  </r>
  <r>
    <n v="56"/>
    <x v="1"/>
    <s v="Travel_Rarely"/>
    <n v="206"/>
    <x v="2"/>
    <n v="8"/>
    <n v="4"/>
    <s v="Life Sciences"/>
    <n v="1"/>
    <n v="1338"/>
    <n v="4"/>
    <x v="1"/>
    <n v="99"/>
    <n v="3"/>
    <n v="5"/>
    <x v="5"/>
    <n v="2"/>
    <s v="Single"/>
    <n v="19717"/>
    <n v="4022"/>
    <n v="6"/>
    <s v="Y"/>
    <x v="1"/>
    <n v="14"/>
    <n v="3"/>
    <n v="1"/>
    <n v="80"/>
    <n v="0"/>
    <n v="36"/>
    <n v="4"/>
    <n v="3"/>
    <n v="7"/>
    <n v="3"/>
    <n v="7"/>
    <n v="7"/>
    <x v="3"/>
    <x v="2"/>
    <n v="0"/>
    <n v="0"/>
    <x v="2"/>
    <x v="0"/>
    <n v="47"/>
  </r>
  <r>
    <n v="40"/>
    <x v="1"/>
    <s v="Non-Travel"/>
    <n v="458"/>
    <x v="1"/>
    <n v="16"/>
    <n v="2"/>
    <s v="Life Sciences"/>
    <n v="1"/>
    <n v="1340"/>
    <n v="3"/>
    <x v="1"/>
    <n v="74"/>
    <n v="3"/>
    <n v="1"/>
    <x v="1"/>
    <n v="3"/>
    <s v="Divorced"/>
    <n v="3544"/>
    <n v="8532"/>
    <n v="9"/>
    <s v="Y"/>
    <x v="1"/>
    <n v="16"/>
    <n v="3"/>
    <n v="2"/>
    <n v="80"/>
    <n v="1"/>
    <n v="6"/>
    <n v="0"/>
    <n v="3"/>
    <n v="4"/>
    <n v="2"/>
    <n v="0"/>
    <n v="0"/>
    <x v="0"/>
    <x v="1"/>
    <n v="0"/>
    <n v="0"/>
    <x v="0"/>
    <x v="0"/>
    <n v="43"/>
  </r>
  <r>
    <n v="34"/>
    <x v="1"/>
    <s v="Travel_Rarely"/>
    <n v="943"/>
    <x v="1"/>
    <n v="9"/>
    <n v="3"/>
    <s v="Life Sciences"/>
    <n v="1"/>
    <n v="1344"/>
    <n v="4"/>
    <x v="1"/>
    <n v="86"/>
    <n v="3"/>
    <n v="3"/>
    <x v="4"/>
    <n v="4"/>
    <s v="Divorced"/>
    <n v="8500"/>
    <n v="5494"/>
    <n v="0"/>
    <s v="Y"/>
    <x v="1"/>
    <n v="11"/>
    <n v="3"/>
    <n v="4"/>
    <n v="80"/>
    <n v="1"/>
    <n v="10"/>
    <n v="0"/>
    <n v="2"/>
    <n v="9"/>
    <n v="7"/>
    <n v="1"/>
    <n v="6"/>
    <x v="1"/>
    <x v="0"/>
    <n v="0"/>
    <n v="0"/>
    <x v="3"/>
    <x v="0"/>
    <n v="39"/>
  </r>
  <r>
    <n v="40"/>
    <x v="1"/>
    <s v="Travel_Rarely"/>
    <n v="523"/>
    <x v="1"/>
    <n v="2"/>
    <n v="3"/>
    <s v="Life Sciences"/>
    <n v="1"/>
    <n v="1346"/>
    <n v="3"/>
    <x v="1"/>
    <n v="98"/>
    <n v="3"/>
    <n v="2"/>
    <x v="1"/>
    <n v="4"/>
    <s v="Single"/>
    <n v="4661"/>
    <n v="22455"/>
    <n v="1"/>
    <s v="Y"/>
    <x v="1"/>
    <n v="13"/>
    <n v="3"/>
    <n v="3"/>
    <n v="80"/>
    <n v="0"/>
    <n v="9"/>
    <n v="4"/>
    <n v="3"/>
    <n v="9"/>
    <n v="8"/>
    <n v="8"/>
    <n v="8"/>
    <x v="0"/>
    <x v="1"/>
    <n v="0"/>
    <n v="0"/>
    <x v="3"/>
    <x v="2"/>
    <n v="29"/>
  </r>
  <r>
    <n v="41"/>
    <x v="1"/>
    <s v="Travel_Frequently"/>
    <n v="1018"/>
    <x v="0"/>
    <n v="1"/>
    <n v="3"/>
    <s v="Marketing"/>
    <n v="1"/>
    <n v="1349"/>
    <n v="3"/>
    <x v="0"/>
    <n v="66"/>
    <n v="3"/>
    <n v="2"/>
    <x v="0"/>
    <n v="1"/>
    <s v="Divorced"/>
    <n v="4103"/>
    <n v="4297"/>
    <n v="0"/>
    <s v="Y"/>
    <x v="1"/>
    <n v="17"/>
    <n v="3"/>
    <n v="4"/>
    <n v="80"/>
    <n v="1"/>
    <n v="10"/>
    <n v="2"/>
    <n v="3"/>
    <n v="9"/>
    <n v="3"/>
    <n v="1"/>
    <n v="7"/>
    <x v="0"/>
    <x v="1"/>
    <n v="0"/>
    <n v="0"/>
    <x v="3"/>
    <x v="0"/>
    <n v="48"/>
  </r>
  <r>
    <n v="35"/>
    <x v="1"/>
    <s v="Travel_Frequently"/>
    <n v="482"/>
    <x v="1"/>
    <n v="4"/>
    <n v="4"/>
    <s v="Life Sciences"/>
    <n v="1"/>
    <n v="1350"/>
    <n v="3"/>
    <x v="1"/>
    <n v="87"/>
    <n v="3"/>
    <n v="2"/>
    <x v="1"/>
    <n v="3"/>
    <s v="Single"/>
    <n v="4249"/>
    <n v="2690"/>
    <n v="1"/>
    <s v="Y"/>
    <x v="0"/>
    <n v="11"/>
    <n v="3"/>
    <n v="2"/>
    <n v="80"/>
    <n v="0"/>
    <n v="9"/>
    <n v="3"/>
    <n v="3"/>
    <n v="9"/>
    <n v="6"/>
    <n v="1"/>
    <n v="1"/>
    <x v="1"/>
    <x v="1"/>
    <n v="0"/>
    <n v="1"/>
    <x v="2"/>
    <x v="1"/>
    <n v="71"/>
  </r>
  <r>
    <n v="51"/>
    <x v="1"/>
    <s v="Travel_Rarely"/>
    <n v="770"/>
    <x v="2"/>
    <n v="5"/>
    <n v="3"/>
    <s v="Life Sciences"/>
    <n v="1"/>
    <n v="1352"/>
    <n v="3"/>
    <x v="1"/>
    <n v="84"/>
    <n v="3"/>
    <n v="4"/>
    <x v="5"/>
    <n v="2"/>
    <s v="Divorced"/>
    <n v="14026"/>
    <n v="17588"/>
    <n v="1"/>
    <s v="Y"/>
    <x v="0"/>
    <n v="11"/>
    <n v="3"/>
    <n v="2"/>
    <n v="80"/>
    <n v="1"/>
    <n v="33"/>
    <n v="2"/>
    <n v="3"/>
    <n v="33"/>
    <n v="9"/>
    <n v="0"/>
    <n v="10"/>
    <x v="3"/>
    <x v="0"/>
    <n v="0"/>
    <n v="1"/>
    <x v="3"/>
    <x v="1"/>
    <n v="67"/>
  </r>
  <r>
    <n v="38"/>
    <x v="1"/>
    <s v="Travel_Rarely"/>
    <n v="1009"/>
    <x v="0"/>
    <n v="2"/>
    <n v="2"/>
    <s v="Life Sciences"/>
    <n v="1"/>
    <n v="1355"/>
    <n v="2"/>
    <x v="0"/>
    <n v="31"/>
    <n v="3"/>
    <n v="2"/>
    <x v="0"/>
    <n v="1"/>
    <s v="Divorced"/>
    <n v="6893"/>
    <n v="19461"/>
    <n v="3"/>
    <s v="Y"/>
    <x v="1"/>
    <n v="15"/>
    <n v="3"/>
    <n v="4"/>
    <n v="80"/>
    <n v="1"/>
    <n v="11"/>
    <n v="3"/>
    <n v="3"/>
    <n v="7"/>
    <n v="7"/>
    <n v="1"/>
    <n v="7"/>
    <x v="1"/>
    <x v="0"/>
    <n v="0"/>
    <n v="0"/>
    <x v="0"/>
    <x v="1"/>
    <n v="58"/>
  </r>
  <r>
    <n v="34"/>
    <x v="1"/>
    <s v="Travel_Rarely"/>
    <n v="507"/>
    <x v="0"/>
    <n v="15"/>
    <n v="2"/>
    <s v="Medical"/>
    <n v="1"/>
    <n v="1356"/>
    <n v="3"/>
    <x v="0"/>
    <n v="66"/>
    <n v="3"/>
    <n v="2"/>
    <x v="0"/>
    <n v="1"/>
    <s v="Single"/>
    <n v="6125"/>
    <n v="23553"/>
    <n v="1"/>
    <s v="Y"/>
    <x v="1"/>
    <n v="12"/>
    <n v="3"/>
    <n v="4"/>
    <n v="80"/>
    <n v="0"/>
    <n v="10"/>
    <n v="6"/>
    <n v="4"/>
    <n v="10"/>
    <n v="8"/>
    <n v="9"/>
    <n v="6"/>
    <x v="1"/>
    <x v="0"/>
    <n v="0"/>
    <n v="0"/>
    <x v="0"/>
    <x v="1"/>
    <n v="58"/>
  </r>
  <r>
    <n v="25"/>
    <x v="1"/>
    <s v="Travel_Rarely"/>
    <n v="882"/>
    <x v="1"/>
    <n v="19"/>
    <n v="1"/>
    <s v="Medical"/>
    <n v="1"/>
    <n v="1358"/>
    <n v="4"/>
    <x v="1"/>
    <n v="67"/>
    <n v="3"/>
    <n v="1"/>
    <x v="2"/>
    <n v="4"/>
    <s v="Married"/>
    <n v="3669"/>
    <n v="9075"/>
    <n v="3"/>
    <s v="Y"/>
    <x v="1"/>
    <n v="11"/>
    <n v="3"/>
    <n v="3"/>
    <n v="80"/>
    <n v="3"/>
    <n v="7"/>
    <n v="6"/>
    <n v="2"/>
    <n v="3"/>
    <n v="2"/>
    <n v="1"/>
    <n v="2"/>
    <x v="2"/>
    <x v="1"/>
    <n v="0"/>
    <n v="0"/>
    <x v="1"/>
    <x v="1"/>
    <n v="56"/>
  </r>
  <r>
    <n v="58"/>
    <x v="0"/>
    <s v="Travel_Rarely"/>
    <n v="601"/>
    <x v="1"/>
    <n v="7"/>
    <n v="4"/>
    <s v="Medical"/>
    <n v="1"/>
    <n v="1360"/>
    <n v="3"/>
    <x v="0"/>
    <n v="53"/>
    <n v="2"/>
    <n v="3"/>
    <x v="3"/>
    <n v="1"/>
    <s v="Married"/>
    <n v="10008"/>
    <n v="12023"/>
    <n v="7"/>
    <s v="Y"/>
    <x v="0"/>
    <n v="14"/>
    <n v="3"/>
    <n v="4"/>
    <n v="80"/>
    <n v="0"/>
    <n v="31"/>
    <n v="0"/>
    <n v="2"/>
    <n v="10"/>
    <n v="9"/>
    <n v="5"/>
    <n v="9"/>
    <x v="3"/>
    <x v="0"/>
    <n v="1"/>
    <n v="1"/>
    <x v="2"/>
    <x v="1"/>
    <n v="78"/>
  </r>
  <r>
    <n v="40"/>
    <x v="1"/>
    <s v="Travel_Rarely"/>
    <n v="329"/>
    <x v="1"/>
    <n v="1"/>
    <n v="4"/>
    <s v="Life Sciences"/>
    <n v="1"/>
    <n v="1361"/>
    <n v="2"/>
    <x v="1"/>
    <n v="88"/>
    <n v="3"/>
    <n v="1"/>
    <x v="2"/>
    <n v="2"/>
    <s v="Married"/>
    <n v="2387"/>
    <n v="6762"/>
    <n v="3"/>
    <s v="Y"/>
    <x v="1"/>
    <n v="22"/>
    <n v="4"/>
    <n v="3"/>
    <n v="80"/>
    <n v="1"/>
    <n v="7"/>
    <n v="3"/>
    <n v="3"/>
    <n v="4"/>
    <n v="2"/>
    <n v="0"/>
    <n v="3"/>
    <x v="0"/>
    <x v="1"/>
    <n v="0"/>
    <n v="0"/>
    <x v="2"/>
    <x v="0"/>
    <n v="49"/>
  </r>
  <r>
    <n v="36"/>
    <x v="1"/>
    <s v="Travel_Frequently"/>
    <n v="607"/>
    <x v="0"/>
    <n v="7"/>
    <n v="3"/>
    <s v="Marketing"/>
    <n v="1"/>
    <n v="1362"/>
    <n v="1"/>
    <x v="0"/>
    <n v="83"/>
    <n v="4"/>
    <n v="2"/>
    <x v="0"/>
    <n v="1"/>
    <s v="Married"/>
    <n v="4639"/>
    <n v="2261"/>
    <n v="2"/>
    <s v="Y"/>
    <x v="1"/>
    <n v="16"/>
    <n v="3"/>
    <n v="4"/>
    <n v="80"/>
    <n v="1"/>
    <n v="17"/>
    <n v="2"/>
    <n v="2"/>
    <n v="15"/>
    <n v="7"/>
    <n v="6"/>
    <n v="13"/>
    <x v="1"/>
    <x v="1"/>
    <n v="0"/>
    <n v="0"/>
    <x v="3"/>
    <x v="0"/>
    <n v="53"/>
  </r>
  <r>
    <n v="48"/>
    <x v="1"/>
    <s v="Travel_Rarely"/>
    <n v="855"/>
    <x v="1"/>
    <n v="4"/>
    <n v="3"/>
    <s v="Life Sciences"/>
    <n v="1"/>
    <n v="1363"/>
    <n v="4"/>
    <x v="1"/>
    <n v="54"/>
    <n v="3"/>
    <n v="3"/>
    <x v="3"/>
    <n v="4"/>
    <s v="Single"/>
    <n v="7898"/>
    <n v="18706"/>
    <n v="1"/>
    <s v="Y"/>
    <x v="1"/>
    <n v="11"/>
    <n v="3"/>
    <n v="3"/>
    <n v="80"/>
    <n v="0"/>
    <n v="11"/>
    <n v="2"/>
    <n v="3"/>
    <n v="10"/>
    <n v="9"/>
    <n v="0"/>
    <n v="8"/>
    <x v="0"/>
    <x v="0"/>
    <n v="0"/>
    <n v="0"/>
    <x v="3"/>
    <x v="2"/>
    <n v="29"/>
  </r>
  <r>
    <n v="27"/>
    <x v="1"/>
    <s v="Travel_Rarely"/>
    <n v="1291"/>
    <x v="0"/>
    <n v="11"/>
    <n v="3"/>
    <s v="Medical"/>
    <n v="1"/>
    <n v="1364"/>
    <n v="3"/>
    <x v="0"/>
    <n v="98"/>
    <n v="4"/>
    <n v="1"/>
    <x v="6"/>
    <n v="4"/>
    <s v="Married"/>
    <n v="2534"/>
    <n v="6527"/>
    <n v="8"/>
    <s v="Y"/>
    <x v="1"/>
    <n v="14"/>
    <n v="3"/>
    <n v="2"/>
    <n v="80"/>
    <n v="1"/>
    <n v="5"/>
    <n v="4"/>
    <n v="3"/>
    <n v="1"/>
    <n v="0"/>
    <n v="0"/>
    <n v="0"/>
    <x v="2"/>
    <x v="1"/>
    <n v="0"/>
    <n v="0"/>
    <x v="3"/>
    <x v="1"/>
    <n v="66"/>
  </r>
  <r>
    <n v="51"/>
    <x v="1"/>
    <s v="Travel_Rarely"/>
    <n v="1405"/>
    <x v="1"/>
    <n v="11"/>
    <n v="2"/>
    <s v="Technical Degree"/>
    <n v="1"/>
    <n v="1367"/>
    <n v="4"/>
    <x v="0"/>
    <n v="82"/>
    <n v="2"/>
    <n v="4"/>
    <x v="3"/>
    <n v="2"/>
    <s v="Single"/>
    <n v="13142"/>
    <n v="24439"/>
    <n v="3"/>
    <s v="Y"/>
    <x v="1"/>
    <n v="16"/>
    <n v="3"/>
    <n v="2"/>
    <n v="80"/>
    <n v="0"/>
    <n v="29"/>
    <n v="1"/>
    <n v="2"/>
    <n v="5"/>
    <n v="2"/>
    <n v="0"/>
    <n v="3"/>
    <x v="3"/>
    <x v="0"/>
    <n v="0"/>
    <n v="0"/>
    <x v="0"/>
    <x v="0"/>
    <n v="54"/>
  </r>
  <r>
    <n v="18"/>
    <x v="1"/>
    <s v="Non-Travel"/>
    <n v="1124"/>
    <x v="1"/>
    <n v="1"/>
    <n v="3"/>
    <s v="Life Sciences"/>
    <n v="1"/>
    <n v="1368"/>
    <n v="4"/>
    <x v="0"/>
    <n v="97"/>
    <n v="3"/>
    <n v="1"/>
    <x v="2"/>
    <n v="4"/>
    <s v="Single"/>
    <n v="1611"/>
    <n v="19305"/>
    <n v="1"/>
    <s v="Y"/>
    <x v="1"/>
    <n v="15"/>
    <n v="3"/>
    <n v="3"/>
    <n v="80"/>
    <n v="0"/>
    <n v="0"/>
    <n v="5"/>
    <n v="4"/>
    <n v="0"/>
    <n v="0"/>
    <n v="0"/>
    <n v="0"/>
    <x v="2"/>
    <x v="1"/>
    <n v="0"/>
    <n v="0"/>
    <x v="3"/>
    <x v="1"/>
    <n v="66"/>
  </r>
  <r>
    <n v="35"/>
    <x v="1"/>
    <s v="Travel_Rarely"/>
    <n v="817"/>
    <x v="1"/>
    <n v="1"/>
    <n v="3"/>
    <s v="Medical"/>
    <n v="1"/>
    <n v="1369"/>
    <n v="4"/>
    <x v="0"/>
    <n v="60"/>
    <n v="2"/>
    <n v="2"/>
    <x v="2"/>
    <n v="4"/>
    <s v="Married"/>
    <n v="5363"/>
    <n v="10846"/>
    <n v="0"/>
    <s v="Y"/>
    <x v="1"/>
    <n v="12"/>
    <n v="3"/>
    <n v="2"/>
    <n v="80"/>
    <n v="1"/>
    <n v="10"/>
    <n v="0"/>
    <n v="3"/>
    <n v="9"/>
    <n v="7"/>
    <n v="0"/>
    <n v="0"/>
    <x v="1"/>
    <x v="0"/>
    <n v="0"/>
    <n v="0"/>
    <x v="3"/>
    <x v="0"/>
    <n v="39"/>
  </r>
  <r>
    <n v="27"/>
    <x v="1"/>
    <s v="Travel_Frequently"/>
    <n v="793"/>
    <x v="0"/>
    <n v="2"/>
    <n v="1"/>
    <s v="Life Sciences"/>
    <n v="1"/>
    <n v="1371"/>
    <n v="4"/>
    <x v="1"/>
    <n v="43"/>
    <n v="1"/>
    <n v="2"/>
    <x v="0"/>
    <n v="4"/>
    <s v="Single"/>
    <n v="5071"/>
    <n v="20392"/>
    <n v="3"/>
    <s v="Y"/>
    <x v="1"/>
    <n v="20"/>
    <n v="4"/>
    <n v="2"/>
    <n v="80"/>
    <n v="0"/>
    <n v="8"/>
    <n v="3"/>
    <n v="3"/>
    <n v="6"/>
    <n v="2"/>
    <n v="0"/>
    <n v="0"/>
    <x v="2"/>
    <x v="0"/>
    <n v="0"/>
    <n v="0"/>
    <x v="1"/>
    <x v="0"/>
    <n v="49"/>
  </r>
  <r>
    <n v="55"/>
    <x v="0"/>
    <s v="Travel_Rarely"/>
    <n v="267"/>
    <x v="0"/>
    <n v="13"/>
    <n v="4"/>
    <s v="Marketing"/>
    <n v="1"/>
    <n v="1372"/>
    <n v="1"/>
    <x v="1"/>
    <n v="85"/>
    <n v="4"/>
    <n v="4"/>
    <x v="0"/>
    <n v="3"/>
    <s v="Single"/>
    <n v="13695"/>
    <n v="9277"/>
    <n v="6"/>
    <s v="Y"/>
    <x v="0"/>
    <n v="17"/>
    <n v="3"/>
    <n v="3"/>
    <n v="80"/>
    <n v="0"/>
    <n v="24"/>
    <n v="2"/>
    <n v="2"/>
    <n v="19"/>
    <n v="7"/>
    <n v="3"/>
    <n v="8"/>
    <x v="3"/>
    <x v="0"/>
    <n v="1"/>
    <n v="1"/>
    <x v="2"/>
    <x v="1"/>
    <n v="61"/>
  </r>
  <r>
    <n v="56"/>
    <x v="1"/>
    <s v="Travel_Rarely"/>
    <n v="1369"/>
    <x v="1"/>
    <n v="23"/>
    <n v="3"/>
    <s v="Life Sciences"/>
    <n v="1"/>
    <n v="1373"/>
    <n v="4"/>
    <x v="1"/>
    <n v="68"/>
    <n v="3"/>
    <n v="4"/>
    <x v="3"/>
    <n v="2"/>
    <s v="Married"/>
    <n v="13402"/>
    <n v="18235"/>
    <n v="4"/>
    <s v="Y"/>
    <x v="0"/>
    <n v="12"/>
    <n v="3"/>
    <n v="1"/>
    <n v="80"/>
    <n v="1"/>
    <n v="33"/>
    <n v="0"/>
    <n v="3"/>
    <n v="19"/>
    <n v="16"/>
    <n v="15"/>
    <n v="9"/>
    <x v="3"/>
    <x v="0"/>
    <n v="0"/>
    <n v="1"/>
    <x v="3"/>
    <x v="1"/>
    <n v="67"/>
  </r>
  <r>
    <n v="34"/>
    <x v="1"/>
    <s v="Non-Travel"/>
    <n v="999"/>
    <x v="1"/>
    <n v="26"/>
    <n v="1"/>
    <s v="Technical Degree"/>
    <n v="1"/>
    <n v="1374"/>
    <n v="1"/>
    <x v="0"/>
    <n v="92"/>
    <n v="2"/>
    <n v="1"/>
    <x v="1"/>
    <n v="3"/>
    <s v="Divorced"/>
    <n v="2029"/>
    <n v="15891"/>
    <n v="1"/>
    <s v="Y"/>
    <x v="1"/>
    <n v="20"/>
    <n v="4"/>
    <n v="3"/>
    <n v="80"/>
    <n v="3"/>
    <n v="5"/>
    <n v="2"/>
    <n v="3"/>
    <n v="5"/>
    <n v="4"/>
    <n v="0"/>
    <n v="0"/>
    <x v="1"/>
    <x v="1"/>
    <n v="0"/>
    <n v="0"/>
    <x v="1"/>
    <x v="0"/>
    <n v="53"/>
  </r>
  <r>
    <n v="40"/>
    <x v="1"/>
    <s v="Travel_Rarely"/>
    <n v="1202"/>
    <x v="1"/>
    <n v="2"/>
    <n v="1"/>
    <s v="Medical"/>
    <n v="1"/>
    <n v="1375"/>
    <n v="2"/>
    <x v="0"/>
    <n v="89"/>
    <n v="4"/>
    <n v="2"/>
    <x v="4"/>
    <n v="3"/>
    <s v="Divorced"/>
    <n v="6377"/>
    <n v="13888"/>
    <n v="5"/>
    <s v="Y"/>
    <x v="1"/>
    <n v="20"/>
    <n v="4"/>
    <n v="2"/>
    <n v="80"/>
    <n v="3"/>
    <n v="15"/>
    <n v="0"/>
    <n v="3"/>
    <n v="12"/>
    <n v="11"/>
    <n v="11"/>
    <n v="8"/>
    <x v="0"/>
    <x v="0"/>
    <n v="0"/>
    <n v="0"/>
    <x v="1"/>
    <x v="2"/>
    <n v="31"/>
  </r>
  <r>
    <n v="34"/>
    <x v="1"/>
    <s v="Travel_Rarely"/>
    <n v="285"/>
    <x v="1"/>
    <n v="29"/>
    <n v="3"/>
    <s v="Medical"/>
    <n v="1"/>
    <n v="1377"/>
    <n v="2"/>
    <x v="1"/>
    <n v="86"/>
    <n v="3"/>
    <n v="2"/>
    <x v="2"/>
    <n v="3"/>
    <s v="Married"/>
    <n v="5429"/>
    <n v="17491"/>
    <n v="4"/>
    <s v="Y"/>
    <x v="1"/>
    <n v="13"/>
    <n v="3"/>
    <n v="1"/>
    <n v="80"/>
    <n v="2"/>
    <n v="10"/>
    <n v="1"/>
    <n v="3"/>
    <n v="8"/>
    <n v="7"/>
    <n v="7"/>
    <n v="7"/>
    <x v="1"/>
    <x v="0"/>
    <n v="0"/>
    <n v="0"/>
    <x v="3"/>
    <x v="0"/>
    <n v="46"/>
  </r>
  <r>
    <n v="31"/>
    <x v="0"/>
    <s v="Travel_Frequently"/>
    <n v="703"/>
    <x v="0"/>
    <n v="2"/>
    <n v="3"/>
    <s v="Life Sciences"/>
    <n v="1"/>
    <n v="1379"/>
    <n v="3"/>
    <x v="0"/>
    <n v="90"/>
    <n v="2"/>
    <n v="1"/>
    <x v="6"/>
    <n v="4"/>
    <s v="Single"/>
    <n v="2785"/>
    <n v="11882"/>
    <n v="7"/>
    <s v="Y"/>
    <x v="1"/>
    <n v="14"/>
    <n v="3"/>
    <n v="3"/>
    <n v="80"/>
    <n v="0"/>
    <n v="3"/>
    <n v="3"/>
    <n v="4"/>
    <n v="1"/>
    <n v="0"/>
    <n v="0"/>
    <n v="0"/>
    <x v="1"/>
    <x v="1"/>
    <n v="1"/>
    <n v="0"/>
    <x v="3"/>
    <x v="1"/>
    <n v="56"/>
  </r>
  <r>
    <n v="35"/>
    <x v="0"/>
    <s v="Travel_Frequently"/>
    <n v="662"/>
    <x v="0"/>
    <n v="18"/>
    <n v="4"/>
    <s v="Marketing"/>
    <n v="1"/>
    <n v="1380"/>
    <n v="4"/>
    <x v="0"/>
    <n v="67"/>
    <n v="3"/>
    <n v="2"/>
    <x v="0"/>
    <n v="3"/>
    <s v="Married"/>
    <n v="4614"/>
    <n v="23288"/>
    <n v="0"/>
    <s v="Y"/>
    <x v="0"/>
    <n v="18"/>
    <n v="3"/>
    <n v="3"/>
    <n v="80"/>
    <n v="1"/>
    <n v="5"/>
    <n v="0"/>
    <n v="2"/>
    <n v="4"/>
    <n v="2"/>
    <n v="3"/>
    <n v="2"/>
    <x v="1"/>
    <x v="1"/>
    <n v="1"/>
    <n v="1"/>
    <x v="2"/>
    <x v="1"/>
    <n v="78"/>
  </r>
  <r>
    <n v="38"/>
    <x v="1"/>
    <s v="Travel_Frequently"/>
    <n v="693"/>
    <x v="1"/>
    <n v="7"/>
    <n v="3"/>
    <s v="Life Sciences"/>
    <n v="1"/>
    <n v="1382"/>
    <n v="4"/>
    <x v="1"/>
    <n v="57"/>
    <n v="4"/>
    <n v="1"/>
    <x v="1"/>
    <n v="3"/>
    <s v="Divorced"/>
    <n v="2610"/>
    <n v="15748"/>
    <n v="1"/>
    <s v="Y"/>
    <x v="1"/>
    <n v="11"/>
    <n v="3"/>
    <n v="4"/>
    <n v="80"/>
    <n v="3"/>
    <n v="4"/>
    <n v="2"/>
    <n v="3"/>
    <n v="4"/>
    <n v="2"/>
    <n v="0"/>
    <n v="3"/>
    <x v="1"/>
    <x v="1"/>
    <n v="0"/>
    <n v="0"/>
    <x v="3"/>
    <x v="0"/>
    <n v="53"/>
  </r>
  <r>
    <n v="34"/>
    <x v="1"/>
    <s v="Travel_Rarely"/>
    <n v="404"/>
    <x v="1"/>
    <n v="2"/>
    <n v="4"/>
    <s v="Technical Degree"/>
    <n v="1"/>
    <n v="1383"/>
    <n v="3"/>
    <x v="0"/>
    <n v="98"/>
    <n v="3"/>
    <n v="2"/>
    <x v="4"/>
    <n v="4"/>
    <s v="Single"/>
    <n v="6687"/>
    <n v="6163"/>
    <n v="1"/>
    <s v="Y"/>
    <x v="1"/>
    <n v="11"/>
    <n v="3"/>
    <n v="4"/>
    <n v="80"/>
    <n v="0"/>
    <n v="14"/>
    <n v="2"/>
    <n v="4"/>
    <n v="14"/>
    <n v="11"/>
    <n v="4"/>
    <n v="11"/>
    <x v="1"/>
    <x v="0"/>
    <n v="0"/>
    <n v="0"/>
    <x v="2"/>
    <x v="2"/>
    <n v="34"/>
  </r>
  <r>
    <n v="28"/>
    <x v="1"/>
    <s v="Travel_Rarely"/>
    <n v="736"/>
    <x v="0"/>
    <n v="26"/>
    <n v="3"/>
    <s v="Life Sciences"/>
    <n v="1"/>
    <n v="1387"/>
    <n v="3"/>
    <x v="1"/>
    <n v="48"/>
    <n v="2"/>
    <n v="2"/>
    <x v="0"/>
    <n v="1"/>
    <s v="Married"/>
    <n v="4724"/>
    <n v="24232"/>
    <n v="1"/>
    <s v="Y"/>
    <x v="1"/>
    <n v="11"/>
    <n v="3"/>
    <n v="3"/>
    <n v="80"/>
    <n v="1"/>
    <n v="5"/>
    <n v="0"/>
    <n v="3"/>
    <n v="5"/>
    <n v="3"/>
    <n v="0"/>
    <n v="4"/>
    <x v="2"/>
    <x v="1"/>
    <n v="0"/>
    <n v="0"/>
    <x v="3"/>
    <x v="1"/>
    <n v="75"/>
  </r>
  <r>
    <n v="31"/>
    <x v="0"/>
    <s v="Travel_Rarely"/>
    <n v="330"/>
    <x v="1"/>
    <n v="22"/>
    <n v="4"/>
    <s v="Medical"/>
    <n v="1"/>
    <n v="1389"/>
    <n v="4"/>
    <x v="1"/>
    <n v="98"/>
    <n v="3"/>
    <n v="2"/>
    <x v="3"/>
    <n v="3"/>
    <s v="Married"/>
    <n v="6179"/>
    <n v="21057"/>
    <n v="1"/>
    <s v="Y"/>
    <x v="0"/>
    <n v="15"/>
    <n v="3"/>
    <n v="4"/>
    <n v="80"/>
    <n v="2"/>
    <n v="10"/>
    <n v="3"/>
    <n v="2"/>
    <n v="10"/>
    <n v="2"/>
    <n v="6"/>
    <n v="7"/>
    <x v="1"/>
    <x v="0"/>
    <n v="1"/>
    <n v="1"/>
    <x v="2"/>
    <x v="1"/>
    <n v="71"/>
  </r>
  <r>
    <n v="39"/>
    <x v="1"/>
    <s v="Travel_Rarely"/>
    <n v="1498"/>
    <x v="0"/>
    <n v="21"/>
    <n v="4"/>
    <s v="Life Sciences"/>
    <n v="1"/>
    <n v="1390"/>
    <n v="1"/>
    <x v="1"/>
    <n v="44"/>
    <n v="2"/>
    <n v="2"/>
    <x v="0"/>
    <n v="4"/>
    <s v="Married"/>
    <n v="6120"/>
    <n v="3567"/>
    <n v="3"/>
    <s v="Y"/>
    <x v="0"/>
    <n v="12"/>
    <n v="3"/>
    <n v="4"/>
    <n v="80"/>
    <n v="2"/>
    <n v="8"/>
    <n v="2"/>
    <n v="4"/>
    <n v="5"/>
    <n v="4"/>
    <n v="1"/>
    <n v="4"/>
    <x v="1"/>
    <x v="0"/>
    <n v="0"/>
    <n v="1"/>
    <x v="2"/>
    <x v="1"/>
    <n v="71"/>
  </r>
  <r>
    <n v="51"/>
    <x v="1"/>
    <s v="Travel_Frequently"/>
    <n v="541"/>
    <x v="0"/>
    <n v="2"/>
    <n v="3"/>
    <s v="Marketing"/>
    <n v="1"/>
    <n v="1391"/>
    <n v="2"/>
    <x v="1"/>
    <n v="52"/>
    <n v="3"/>
    <n v="3"/>
    <x v="0"/>
    <n v="2"/>
    <s v="Married"/>
    <n v="10596"/>
    <n v="15395"/>
    <n v="2"/>
    <s v="Y"/>
    <x v="1"/>
    <n v="11"/>
    <n v="3"/>
    <n v="2"/>
    <n v="80"/>
    <n v="0"/>
    <n v="14"/>
    <n v="5"/>
    <n v="3"/>
    <n v="4"/>
    <n v="2"/>
    <n v="3"/>
    <n v="2"/>
    <x v="3"/>
    <x v="0"/>
    <n v="0"/>
    <n v="0"/>
    <x v="3"/>
    <x v="0"/>
    <n v="54"/>
  </r>
  <r>
    <n v="41"/>
    <x v="1"/>
    <s v="Travel_Frequently"/>
    <n v="1200"/>
    <x v="1"/>
    <n v="22"/>
    <n v="3"/>
    <s v="Life Sciences"/>
    <n v="1"/>
    <n v="1392"/>
    <n v="4"/>
    <x v="0"/>
    <n v="75"/>
    <n v="3"/>
    <n v="2"/>
    <x v="1"/>
    <n v="4"/>
    <s v="Divorced"/>
    <n v="5467"/>
    <n v="13953"/>
    <n v="3"/>
    <s v="Y"/>
    <x v="0"/>
    <n v="14"/>
    <n v="3"/>
    <n v="1"/>
    <n v="80"/>
    <n v="2"/>
    <n v="12"/>
    <n v="4"/>
    <n v="2"/>
    <n v="6"/>
    <n v="2"/>
    <n v="3"/>
    <n v="3"/>
    <x v="0"/>
    <x v="0"/>
    <n v="0"/>
    <n v="1"/>
    <x v="3"/>
    <x v="0"/>
    <n v="54"/>
  </r>
  <r>
    <n v="37"/>
    <x v="1"/>
    <s v="Travel_Rarely"/>
    <n v="1439"/>
    <x v="1"/>
    <n v="4"/>
    <n v="1"/>
    <s v="Life Sciences"/>
    <n v="1"/>
    <n v="1394"/>
    <n v="3"/>
    <x v="1"/>
    <n v="54"/>
    <n v="3"/>
    <n v="1"/>
    <x v="1"/>
    <n v="3"/>
    <s v="Married"/>
    <n v="2996"/>
    <n v="5182"/>
    <n v="7"/>
    <s v="Y"/>
    <x v="0"/>
    <n v="15"/>
    <n v="3"/>
    <n v="4"/>
    <n v="80"/>
    <n v="0"/>
    <n v="8"/>
    <n v="2"/>
    <n v="3"/>
    <n v="6"/>
    <n v="4"/>
    <n v="1"/>
    <n v="3"/>
    <x v="1"/>
    <x v="1"/>
    <n v="0"/>
    <n v="1"/>
    <x v="1"/>
    <x v="1"/>
    <n v="71"/>
  </r>
  <r>
    <n v="33"/>
    <x v="1"/>
    <s v="Travel_Frequently"/>
    <n v="1111"/>
    <x v="0"/>
    <n v="5"/>
    <n v="1"/>
    <s v="Life Sciences"/>
    <n v="1"/>
    <n v="1395"/>
    <n v="2"/>
    <x v="1"/>
    <n v="61"/>
    <n v="3"/>
    <n v="2"/>
    <x v="0"/>
    <n v="4"/>
    <s v="Married"/>
    <n v="9998"/>
    <n v="19293"/>
    <n v="6"/>
    <s v="Y"/>
    <x v="1"/>
    <n v="13"/>
    <n v="3"/>
    <n v="1"/>
    <n v="80"/>
    <n v="0"/>
    <n v="8"/>
    <n v="2"/>
    <n v="4"/>
    <n v="5"/>
    <n v="4"/>
    <n v="1"/>
    <n v="2"/>
    <x v="1"/>
    <x v="0"/>
    <n v="0"/>
    <n v="0"/>
    <x v="1"/>
    <x v="0"/>
    <n v="46"/>
  </r>
  <r>
    <n v="32"/>
    <x v="1"/>
    <s v="Travel_Rarely"/>
    <n v="499"/>
    <x v="0"/>
    <n v="2"/>
    <n v="1"/>
    <s v="Marketing"/>
    <n v="1"/>
    <n v="1396"/>
    <n v="3"/>
    <x v="1"/>
    <n v="36"/>
    <n v="3"/>
    <n v="2"/>
    <x v="0"/>
    <n v="2"/>
    <s v="Married"/>
    <n v="4078"/>
    <n v="20497"/>
    <n v="0"/>
    <s v="Y"/>
    <x v="0"/>
    <n v="13"/>
    <n v="3"/>
    <n v="1"/>
    <n v="80"/>
    <n v="3"/>
    <n v="4"/>
    <n v="3"/>
    <n v="2"/>
    <n v="3"/>
    <n v="2"/>
    <n v="1"/>
    <n v="2"/>
    <x v="1"/>
    <x v="1"/>
    <n v="0"/>
    <n v="1"/>
    <x v="1"/>
    <x v="1"/>
    <n v="84"/>
  </r>
  <r>
    <n v="39"/>
    <x v="1"/>
    <s v="Non-Travel"/>
    <n v="1485"/>
    <x v="1"/>
    <n v="25"/>
    <n v="2"/>
    <s v="Life Sciences"/>
    <n v="1"/>
    <n v="1397"/>
    <n v="3"/>
    <x v="1"/>
    <n v="71"/>
    <n v="3"/>
    <n v="3"/>
    <x v="4"/>
    <n v="3"/>
    <s v="Married"/>
    <n v="10920"/>
    <n v="3449"/>
    <n v="3"/>
    <s v="Y"/>
    <x v="1"/>
    <n v="21"/>
    <n v="4"/>
    <n v="2"/>
    <n v="80"/>
    <n v="1"/>
    <n v="13"/>
    <n v="2"/>
    <n v="3"/>
    <n v="6"/>
    <n v="4"/>
    <n v="0"/>
    <n v="5"/>
    <x v="1"/>
    <x v="0"/>
    <n v="0"/>
    <n v="0"/>
    <x v="0"/>
    <x v="0"/>
    <n v="46"/>
  </r>
  <r>
    <n v="25"/>
    <x v="1"/>
    <s v="Travel_Rarely"/>
    <n v="1372"/>
    <x v="0"/>
    <n v="18"/>
    <n v="1"/>
    <s v="Life Sciences"/>
    <n v="1"/>
    <n v="1399"/>
    <n v="1"/>
    <x v="1"/>
    <n v="93"/>
    <n v="4"/>
    <n v="2"/>
    <x v="0"/>
    <n v="3"/>
    <s v="Married"/>
    <n v="6232"/>
    <n v="12477"/>
    <n v="2"/>
    <s v="Y"/>
    <x v="1"/>
    <n v="11"/>
    <n v="3"/>
    <n v="2"/>
    <n v="80"/>
    <n v="0"/>
    <n v="6"/>
    <n v="3"/>
    <n v="2"/>
    <n v="3"/>
    <n v="2"/>
    <n v="1"/>
    <n v="2"/>
    <x v="2"/>
    <x v="0"/>
    <n v="0"/>
    <n v="0"/>
    <x v="1"/>
    <x v="1"/>
    <n v="63"/>
  </r>
  <r>
    <n v="52"/>
    <x v="1"/>
    <s v="Travel_Frequently"/>
    <n v="322"/>
    <x v="1"/>
    <n v="28"/>
    <n v="2"/>
    <s v="Medical"/>
    <n v="1"/>
    <n v="1401"/>
    <n v="4"/>
    <x v="0"/>
    <n v="59"/>
    <n v="4"/>
    <n v="4"/>
    <x v="3"/>
    <n v="3"/>
    <s v="Married"/>
    <n v="13247"/>
    <n v="9731"/>
    <n v="2"/>
    <s v="Y"/>
    <x v="0"/>
    <n v="11"/>
    <n v="3"/>
    <n v="2"/>
    <n v="80"/>
    <n v="1"/>
    <n v="24"/>
    <n v="3"/>
    <n v="2"/>
    <n v="5"/>
    <n v="3"/>
    <n v="0"/>
    <n v="2"/>
    <x v="3"/>
    <x v="0"/>
    <n v="0"/>
    <n v="1"/>
    <x v="0"/>
    <x v="1"/>
    <n v="73"/>
  </r>
  <r>
    <n v="43"/>
    <x v="1"/>
    <s v="Travel_Rarely"/>
    <n v="930"/>
    <x v="1"/>
    <n v="6"/>
    <n v="3"/>
    <s v="Medical"/>
    <n v="1"/>
    <n v="1402"/>
    <n v="1"/>
    <x v="0"/>
    <n v="73"/>
    <n v="2"/>
    <n v="2"/>
    <x v="1"/>
    <n v="3"/>
    <s v="Single"/>
    <n v="4081"/>
    <n v="20003"/>
    <n v="1"/>
    <s v="Y"/>
    <x v="0"/>
    <n v="14"/>
    <n v="3"/>
    <n v="1"/>
    <n v="80"/>
    <n v="0"/>
    <n v="20"/>
    <n v="3"/>
    <n v="1"/>
    <n v="20"/>
    <n v="7"/>
    <n v="1"/>
    <n v="8"/>
    <x v="0"/>
    <x v="1"/>
    <n v="0"/>
    <n v="1"/>
    <x v="3"/>
    <x v="1"/>
    <n v="56"/>
  </r>
  <r>
    <n v="27"/>
    <x v="1"/>
    <s v="Travel_Rarely"/>
    <n v="205"/>
    <x v="0"/>
    <n v="10"/>
    <n v="3"/>
    <s v="Marketing"/>
    <n v="1"/>
    <n v="1403"/>
    <n v="4"/>
    <x v="0"/>
    <n v="98"/>
    <n v="2"/>
    <n v="2"/>
    <x v="0"/>
    <n v="4"/>
    <s v="Married"/>
    <n v="5769"/>
    <n v="7100"/>
    <n v="1"/>
    <s v="Y"/>
    <x v="0"/>
    <n v="11"/>
    <n v="3"/>
    <n v="4"/>
    <n v="80"/>
    <n v="0"/>
    <n v="6"/>
    <n v="3"/>
    <n v="3"/>
    <n v="6"/>
    <n v="2"/>
    <n v="4"/>
    <n v="4"/>
    <x v="2"/>
    <x v="0"/>
    <n v="0"/>
    <n v="1"/>
    <x v="3"/>
    <x v="1"/>
    <n v="74"/>
  </r>
  <r>
    <n v="27"/>
    <x v="0"/>
    <s v="Travel_Rarely"/>
    <n v="135"/>
    <x v="1"/>
    <n v="17"/>
    <n v="4"/>
    <s v="Life Sciences"/>
    <n v="1"/>
    <n v="1405"/>
    <n v="4"/>
    <x v="0"/>
    <n v="51"/>
    <n v="3"/>
    <n v="1"/>
    <x v="1"/>
    <n v="3"/>
    <s v="Single"/>
    <n v="2394"/>
    <n v="25681"/>
    <n v="1"/>
    <s v="Y"/>
    <x v="0"/>
    <n v="13"/>
    <n v="3"/>
    <n v="4"/>
    <n v="80"/>
    <n v="0"/>
    <n v="8"/>
    <n v="2"/>
    <n v="3"/>
    <n v="8"/>
    <n v="2"/>
    <n v="7"/>
    <n v="7"/>
    <x v="2"/>
    <x v="1"/>
    <n v="1"/>
    <n v="1"/>
    <x v="2"/>
    <x v="1"/>
    <n v="81"/>
  </r>
  <r>
    <n v="26"/>
    <x v="1"/>
    <s v="Travel_Rarely"/>
    <n v="683"/>
    <x v="1"/>
    <n v="2"/>
    <n v="1"/>
    <s v="Medical"/>
    <n v="1"/>
    <n v="1407"/>
    <n v="1"/>
    <x v="1"/>
    <n v="36"/>
    <n v="2"/>
    <n v="1"/>
    <x v="1"/>
    <n v="4"/>
    <s v="Single"/>
    <n v="3904"/>
    <n v="4050"/>
    <n v="0"/>
    <s v="Y"/>
    <x v="1"/>
    <n v="12"/>
    <n v="3"/>
    <n v="4"/>
    <n v="80"/>
    <n v="0"/>
    <n v="5"/>
    <n v="2"/>
    <n v="3"/>
    <n v="4"/>
    <n v="3"/>
    <n v="1"/>
    <n v="1"/>
    <x v="2"/>
    <x v="1"/>
    <n v="0"/>
    <n v="0"/>
    <x v="1"/>
    <x v="1"/>
    <n v="56"/>
  </r>
  <r>
    <n v="42"/>
    <x v="1"/>
    <s v="Travel_Rarely"/>
    <n v="1147"/>
    <x v="2"/>
    <n v="10"/>
    <n v="3"/>
    <s v="Human Resources"/>
    <n v="1"/>
    <n v="1408"/>
    <n v="3"/>
    <x v="0"/>
    <n v="31"/>
    <n v="3"/>
    <n v="4"/>
    <x v="5"/>
    <n v="1"/>
    <s v="Married"/>
    <n v="16799"/>
    <n v="16616"/>
    <n v="0"/>
    <s v="Y"/>
    <x v="1"/>
    <n v="14"/>
    <n v="3"/>
    <n v="3"/>
    <n v="80"/>
    <n v="1"/>
    <n v="21"/>
    <n v="5"/>
    <n v="3"/>
    <n v="20"/>
    <n v="7"/>
    <n v="0"/>
    <n v="9"/>
    <x v="0"/>
    <x v="2"/>
    <n v="0"/>
    <n v="0"/>
    <x v="3"/>
    <x v="0"/>
    <n v="43"/>
  </r>
  <r>
    <n v="52"/>
    <x v="1"/>
    <s v="Travel_Rarely"/>
    <n v="258"/>
    <x v="1"/>
    <n v="8"/>
    <n v="4"/>
    <s v="Other"/>
    <n v="1"/>
    <n v="1409"/>
    <n v="3"/>
    <x v="0"/>
    <n v="54"/>
    <n v="3"/>
    <n v="1"/>
    <x v="2"/>
    <n v="1"/>
    <s v="Married"/>
    <n v="2950"/>
    <n v="17363"/>
    <n v="9"/>
    <s v="Y"/>
    <x v="1"/>
    <n v="13"/>
    <n v="3"/>
    <n v="3"/>
    <n v="80"/>
    <n v="0"/>
    <n v="12"/>
    <n v="2"/>
    <n v="1"/>
    <n v="5"/>
    <n v="4"/>
    <n v="0"/>
    <n v="4"/>
    <x v="3"/>
    <x v="1"/>
    <n v="0"/>
    <n v="0"/>
    <x v="2"/>
    <x v="1"/>
    <n v="60"/>
  </r>
  <r>
    <n v="37"/>
    <x v="1"/>
    <s v="Travel_Rarely"/>
    <n v="1462"/>
    <x v="1"/>
    <n v="11"/>
    <n v="3"/>
    <s v="Medical"/>
    <n v="1"/>
    <n v="1411"/>
    <n v="1"/>
    <x v="0"/>
    <n v="94"/>
    <n v="3"/>
    <n v="1"/>
    <x v="2"/>
    <n v="3"/>
    <s v="Single"/>
    <n v="3629"/>
    <n v="19106"/>
    <n v="4"/>
    <s v="Y"/>
    <x v="1"/>
    <n v="18"/>
    <n v="3"/>
    <n v="1"/>
    <n v="80"/>
    <n v="0"/>
    <n v="8"/>
    <n v="6"/>
    <n v="3"/>
    <n v="3"/>
    <n v="2"/>
    <n v="0"/>
    <n v="2"/>
    <x v="1"/>
    <x v="1"/>
    <n v="0"/>
    <n v="0"/>
    <x v="3"/>
    <x v="0"/>
    <n v="53"/>
  </r>
  <r>
    <n v="35"/>
    <x v="1"/>
    <s v="Travel_Frequently"/>
    <n v="200"/>
    <x v="1"/>
    <n v="18"/>
    <n v="2"/>
    <s v="Life Sciences"/>
    <n v="1"/>
    <n v="1412"/>
    <n v="3"/>
    <x v="1"/>
    <n v="60"/>
    <n v="3"/>
    <n v="3"/>
    <x v="3"/>
    <n v="4"/>
    <s v="Single"/>
    <n v="9362"/>
    <n v="19944"/>
    <n v="2"/>
    <s v="Y"/>
    <x v="1"/>
    <n v="11"/>
    <n v="3"/>
    <n v="3"/>
    <n v="80"/>
    <n v="0"/>
    <n v="10"/>
    <n v="2"/>
    <n v="3"/>
    <n v="2"/>
    <n v="2"/>
    <n v="2"/>
    <n v="2"/>
    <x v="1"/>
    <x v="0"/>
    <n v="0"/>
    <n v="0"/>
    <x v="0"/>
    <x v="1"/>
    <n v="56"/>
  </r>
  <r>
    <n v="25"/>
    <x v="1"/>
    <s v="Travel_Rarely"/>
    <n v="949"/>
    <x v="1"/>
    <n v="1"/>
    <n v="3"/>
    <s v="Technical Degree"/>
    <n v="1"/>
    <n v="1415"/>
    <n v="1"/>
    <x v="1"/>
    <n v="81"/>
    <n v="3"/>
    <n v="1"/>
    <x v="2"/>
    <n v="4"/>
    <s v="Married"/>
    <n v="3229"/>
    <n v="4910"/>
    <n v="4"/>
    <s v="Y"/>
    <x v="1"/>
    <n v="11"/>
    <n v="3"/>
    <n v="2"/>
    <n v="80"/>
    <n v="1"/>
    <n v="7"/>
    <n v="2"/>
    <n v="2"/>
    <n v="3"/>
    <n v="2"/>
    <n v="0"/>
    <n v="2"/>
    <x v="2"/>
    <x v="1"/>
    <n v="0"/>
    <n v="0"/>
    <x v="3"/>
    <x v="1"/>
    <n v="56"/>
  </r>
  <r>
    <n v="26"/>
    <x v="1"/>
    <s v="Travel_Rarely"/>
    <n v="652"/>
    <x v="1"/>
    <n v="7"/>
    <n v="3"/>
    <s v="Other"/>
    <n v="1"/>
    <n v="1417"/>
    <n v="3"/>
    <x v="1"/>
    <n v="100"/>
    <n v="4"/>
    <n v="1"/>
    <x v="2"/>
    <n v="1"/>
    <s v="Single"/>
    <n v="3578"/>
    <n v="23577"/>
    <n v="0"/>
    <s v="Y"/>
    <x v="1"/>
    <n v="12"/>
    <n v="3"/>
    <n v="4"/>
    <n v="80"/>
    <n v="0"/>
    <n v="8"/>
    <n v="2"/>
    <n v="3"/>
    <n v="7"/>
    <n v="7"/>
    <n v="0"/>
    <n v="7"/>
    <x v="2"/>
    <x v="1"/>
    <n v="0"/>
    <n v="0"/>
    <x v="3"/>
    <x v="1"/>
    <n v="68"/>
  </r>
  <r>
    <n v="29"/>
    <x v="1"/>
    <s v="Travel_Rarely"/>
    <n v="332"/>
    <x v="2"/>
    <n v="17"/>
    <n v="3"/>
    <s v="Other"/>
    <n v="1"/>
    <n v="1419"/>
    <n v="2"/>
    <x v="1"/>
    <n v="51"/>
    <n v="2"/>
    <n v="3"/>
    <x v="8"/>
    <n v="1"/>
    <s v="Single"/>
    <n v="7988"/>
    <n v="9769"/>
    <n v="1"/>
    <s v="Y"/>
    <x v="1"/>
    <n v="13"/>
    <n v="3"/>
    <n v="1"/>
    <n v="80"/>
    <n v="0"/>
    <n v="10"/>
    <n v="3"/>
    <n v="2"/>
    <n v="10"/>
    <n v="9"/>
    <n v="0"/>
    <n v="9"/>
    <x v="2"/>
    <x v="0"/>
    <n v="0"/>
    <n v="0"/>
    <x v="3"/>
    <x v="1"/>
    <n v="68"/>
  </r>
  <r>
    <n v="49"/>
    <x v="0"/>
    <s v="Travel_Frequently"/>
    <n v="1475"/>
    <x v="1"/>
    <n v="28"/>
    <n v="2"/>
    <s v="Life Sciences"/>
    <n v="1"/>
    <n v="1420"/>
    <n v="1"/>
    <x v="1"/>
    <n v="97"/>
    <n v="2"/>
    <n v="2"/>
    <x v="2"/>
    <n v="1"/>
    <s v="Single"/>
    <n v="4284"/>
    <n v="22710"/>
    <n v="3"/>
    <s v="Y"/>
    <x v="1"/>
    <n v="20"/>
    <n v="4"/>
    <n v="1"/>
    <n v="80"/>
    <n v="0"/>
    <n v="20"/>
    <n v="2"/>
    <n v="3"/>
    <n v="4"/>
    <n v="3"/>
    <n v="1"/>
    <n v="3"/>
    <x v="0"/>
    <x v="1"/>
    <n v="1"/>
    <n v="0"/>
    <x v="0"/>
    <x v="1"/>
    <n v="55"/>
  </r>
  <r>
    <n v="29"/>
    <x v="0"/>
    <s v="Travel_Frequently"/>
    <n v="337"/>
    <x v="1"/>
    <n v="14"/>
    <n v="1"/>
    <s v="Other"/>
    <n v="1"/>
    <n v="1421"/>
    <n v="3"/>
    <x v="0"/>
    <n v="84"/>
    <n v="3"/>
    <n v="3"/>
    <x v="4"/>
    <n v="4"/>
    <s v="Single"/>
    <n v="7553"/>
    <n v="22930"/>
    <n v="0"/>
    <s v="Y"/>
    <x v="0"/>
    <n v="12"/>
    <n v="3"/>
    <n v="1"/>
    <n v="80"/>
    <n v="0"/>
    <n v="9"/>
    <n v="1"/>
    <n v="3"/>
    <n v="8"/>
    <n v="7"/>
    <n v="7"/>
    <n v="7"/>
    <x v="2"/>
    <x v="0"/>
    <n v="1"/>
    <n v="1"/>
    <x v="1"/>
    <x v="1"/>
    <n v="74"/>
  </r>
  <r>
    <n v="54"/>
    <x v="1"/>
    <s v="Travel_Rarely"/>
    <n v="971"/>
    <x v="1"/>
    <n v="1"/>
    <n v="3"/>
    <s v="Medical"/>
    <n v="1"/>
    <n v="1422"/>
    <n v="4"/>
    <x v="0"/>
    <n v="54"/>
    <n v="3"/>
    <n v="4"/>
    <x v="7"/>
    <n v="4"/>
    <s v="Single"/>
    <n v="17328"/>
    <n v="5652"/>
    <n v="6"/>
    <s v="Y"/>
    <x v="1"/>
    <n v="19"/>
    <n v="3"/>
    <n v="4"/>
    <n v="80"/>
    <n v="0"/>
    <n v="29"/>
    <n v="3"/>
    <n v="2"/>
    <n v="20"/>
    <n v="7"/>
    <n v="12"/>
    <n v="7"/>
    <x v="3"/>
    <x v="2"/>
    <n v="0"/>
    <n v="0"/>
    <x v="3"/>
    <x v="2"/>
    <n v="29"/>
  </r>
  <r>
    <n v="58"/>
    <x v="1"/>
    <s v="Travel_Rarely"/>
    <n v="1055"/>
    <x v="1"/>
    <n v="1"/>
    <n v="3"/>
    <s v="Medical"/>
    <n v="1"/>
    <n v="1423"/>
    <n v="4"/>
    <x v="0"/>
    <n v="76"/>
    <n v="3"/>
    <n v="5"/>
    <x v="7"/>
    <n v="1"/>
    <s v="Married"/>
    <n v="19701"/>
    <n v="22456"/>
    <n v="3"/>
    <s v="Y"/>
    <x v="0"/>
    <n v="21"/>
    <n v="4"/>
    <n v="3"/>
    <n v="80"/>
    <n v="1"/>
    <n v="32"/>
    <n v="3"/>
    <n v="3"/>
    <n v="9"/>
    <n v="8"/>
    <n v="1"/>
    <n v="5"/>
    <x v="3"/>
    <x v="2"/>
    <n v="0"/>
    <n v="1"/>
    <x v="3"/>
    <x v="1"/>
    <n v="78"/>
  </r>
  <r>
    <n v="55"/>
    <x v="1"/>
    <s v="Travel_Rarely"/>
    <n v="1136"/>
    <x v="1"/>
    <n v="1"/>
    <n v="4"/>
    <s v="Medical"/>
    <n v="1"/>
    <n v="1424"/>
    <n v="2"/>
    <x v="1"/>
    <n v="81"/>
    <n v="4"/>
    <n v="4"/>
    <x v="7"/>
    <n v="4"/>
    <s v="Divorced"/>
    <n v="14732"/>
    <n v="12414"/>
    <n v="2"/>
    <s v="Y"/>
    <x v="1"/>
    <n v="13"/>
    <n v="3"/>
    <n v="4"/>
    <n v="80"/>
    <n v="2"/>
    <n v="31"/>
    <n v="4"/>
    <n v="4"/>
    <n v="7"/>
    <n v="7"/>
    <n v="0"/>
    <n v="0"/>
    <x v="3"/>
    <x v="0"/>
    <n v="0"/>
    <n v="0"/>
    <x v="2"/>
    <x v="2"/>
    <n v="34"/>
  </r>
  <r>
    <n v="36"/>
    <x v="1"/>
    <s v="Travel_Rarely"/>
    <n v="1174"/>
    <x v="0"/>
    <n v="3"/>
    <n v="4"/>
    <s v="Marketing"/>
    <n v="1"/>
    <n v="1425"/>
    <n v="1"/>
    <x v="0"/>
    <n v="99"/>
    <n v="3"/>
    <n v="2"/>
    <x v="0"/>
    <n v="2"/>
    <s v="Single"/>
    <n v="9278"/>
    <n v="20763"/>
    <n v="3"/>
    <s v="Y"/>
    <x v="0"/>
    <n v="16"/>
    <n v="3"/>
    <n v="4"/>
    <n v="80"/>
    <n v="0"/>
    <n v="15"/>
    <n v="3"/>
    <n v="3"/>
    <n v="5"/>
    <n v="4"/>
    <n v="0"/>
    <n v="1"/>
    <x v="1"/>
    <x v="0"/>
    <n v="0"/>
    <n v="1"/>
    <x v="2"/>
    <x v="1"/>
    <n v="84"/>
  </r>
  <r>
    <n v="31"/>
    <x v="0"/>
    <s v="Travel_Frequently"/>
    <n v="667"/>
    <x v="0"/>
    <n v="1"/>
    <n v="4"/>
    <s v="Life Sciences"/>
    <n v="1"/>
    <n v="1427"/>
    <n v="2"/>
    <x v="0"/>
    <n v="50"/>
    <n v="1"/>
    <n v="1"/>
    <x v="6"/>
    <n v="3"/>
    <s v="Single"/>
    <n v="1359"/>
    <n v="16154"/>
    <n v="1"/>
    <s v="Y"/>
    <x v="1"/>
    <n v="12"/>
    <n v="3"/>
    <n v="2"/>
    <n v="80"/>
    <n v="0"/>
    <n v="1"/>
    <n v="3"/>
    <n v="3"/>
    <n v="1"/>
    <n v="0"/>
    <n v="0"/>
    <n v="0"/>
    <x v="1"/>
    <x v="1"/>
    <n v="1"/>
    <n v="0"/>
    <x v="2"/>
    <x v="1"/>
    <n v="63"/>
  </r>
  <r>
    <n v="30"/>
    <x v="1"/>
    <s v="Travel_Rarely"/>
    <n v="855"/>
    <x v="0"/>
    <n v="7"/>
    <n v="4"/>
    <s v="Marketing"/>
    <n v="1"/>
    <n v="1428"/>
    <n v="4"/>
    <x v="0"/>
    <n v="73"/>
    <n v="3"/>
    <n v="2"/>
    <x v="0"/>
    <n v="1"/>
    <s v="Divorced"/>
    <n v="4779"/>
    <n v="12761"/>
    <n v="7"/>
    <s v="Y"/>
    <x v="1"/>
    <n v="14"/>
    <n v="3"/>
    <n v="2"/>
    <n v="80"/>
    <n v="2"/>
    <n v="8"/>
    <n v="3"/>
    <n v="3"/>
    <n v="3"/>
    <n v="2"/>
    <n v="0"/>
    <n v="2"/>
    <x v="1"/>
    <x v="1"/>
    <n v="0"/>
    <n v="0"/>
    <x v="2"/>
    <x v="1"/>
    <n v="65"/>
  </r>
  <r>
    <n v="31"/>
    <x v="1"/>
    <s v="Travel_Rarely"/>
    <n v="182"/>
    <x v="1"/>
    <n v="8"/>
    <n v="5"/>
    <s v="Life Sciences"/>
    <n v="1"/>
    <n v="1430"/>
    <n v="1"/>
    <x v="0"/>
    <n v="93"/>
    <n v="3"/>
    <n v="4"/>
    <x v="7"/>
    <n v="2"/>
    <s v="Single"/>
    <n v="16422"/>
    <n v="8847"/>
    <n v="3"/>
    <s v="Y"/>
    <x v="1"/>
    <n v="11"/>
    <n v="3"/>
    <n v="3"/>
    <n v="80"/>
    <n v="0"/>
    <n v="9"/>
    <n v="3"/>
    <n v="4"/>
    <n v="3"/>
    <n v="2"/>
    <n v="1"/>
    <n v="0"/>
    <x v="1"/>
    <x v="2"/>
    <n v="0"/>
    <n v="0"/>
    <x v="4"/>
    <x v="1"/>
    <n v="59"/>
  </r>
  <r>
    <n v="34"/>
    <x v="1"/>
    <s v="Travel_Frequently"/>
    <n v="560"/>
    <x v="1"/>
    <n v="1"/>
    <n v="4"/>
    <s v="Other"/>
    <n v="1"/>
    <n v="1431"/>
    <n v="4"/>
    <x v="1"/>
    <n v="91"/>
    <n v="3"/>
    <n v="1"/>
    <x v="1"/>
    <n v="1"/>
    <s v="Divorced"/>
    <n v="2996"/>
    <n v="20284"/>
    <n v="5"/>
    <s v="Y"/>
    <x v="1"/>
    <n v="14"/>
    <n v="3"/>
    <n v="3"/>
    <n v="80"/>
    <n v="2"/>
    <n v="10"/>
    <n v="2"/>
    <n v="3"/>
    <n v="4"/>
    <n v="3"/>
    <n v="1"/>
    <n v="3"/>
    <x v="1"/>
    <x v="1"/>
    <n v="0"/>
    <n v="0"/>
    <x v="2"/>
    <x v="1"/>
    <n v="65"/>
  </r>
  <r>
    <n v="31"/>
    <x v="0"/>
    <s v="Travel_Rarely"/>
    <n v="202"/>
    <x v="1"/>
    <n v="8"/>
    <n v="3"/>
    <s v="Life Sciences"/>
    <n v="1"/>
    <n v="1433"/>
    <n v="1"/>
    <x v="0"/>
    <n v="34"/>
    <n v="2"/>
    <n v="1"/>
    <x v="1"/>
    <n v="2"/>
    <s v="Single"/>
    <n v="1261"/>
    <n v="22262"/>
    <n v="1"/>
    <s v="Y"/>
    <x v="1"/>
    <n v="12"/>
    <n v="3"/>
    <n v="3"/>
    <n v="80"/>
    <n v="0"/>
    <n v="1"/>
    <n v="3"/>
    <n v="4"/>
    <n v="1"/>
    <n v="0"/>
    <n v="0"/>
    <n v="0"/>
    <x v="1"/>
    <x v="1"/>
    <n v="1"/>
    <n v="0"/>
    <x v="3"/>
    <x v="1"/>
    <n v="69"/>
  </r>
  <r>
    <n v="27"/>
    <x v="1"/>
    <s v="Travel_Rarely"/>
    <n v="1377"/>
    <x v="1"/>
    <n v="11"/>
    <n v="1"/>
    <s v="Life Sciences"/>
    <n v="1"/>
    <n v="1434"/>
    <n v="2"/>
    <x v="1"/>
    <n v="91"/>
    <n v="3"/>
    <n v="1"/>
    <x v="2"/>
    <n v="1"/>
    <s v="Married"/>
    <n v="2099"/>
    <n v="7679"/>
    <n v="0"/>
    <s v="Y"/>
    <x v="1"/>
    <n v="14"/>
    <n v="3"/>
    <n v="2"/>
    <n v="80"/>
    <n v="0"/>
    <n v="6"/>
    <n v="3"/>
    <n v="4"/>
    <n v="5"/>
    <n v="0"/>
    <n v="1"/>
    <n v="4"/>
    <x v="2"/>
    <x v="1"/>
    <n v="0"/>
    <n v="0"/>
    <x v="1"/>
    <x v="1"/>
    <n v="75"/>
  </r>
  <r>
    <n v="36"/>
    <x v="1"/>
    <s v="Travel_Rarely"/>
    <n v="172"/>
    <x v="1"/>
    <n v="4"/>
    <n v="4"/>
    <s v="Life Sciences"/>
    <n v="1"/>
    <n v="1435"/>
    <n v="1"/>
    <x v="1"/>
    <n v="37"/>
    <n v="2"/>
    <n v="2"/>
    <x v="2"/>
    <n v="4"/>
    <s v="Single"/>
    <n v="5810"/>
    <n v="22604"/>
    <n v="1"/>
    <s v="Y"/>
    <x v="1"/>
    <n v="16"/>
    <n v="3"/>
    <n v="3"/>
    <n v="80"/>
    <n v="0"/>
    <n v="10"/>
    <n v="2"/>
    <n v="2"/>
    <n v="10"/>
    <n v="4"/>
    <n v="1"/>
    <n v="8"/>
    <x v="1"/>
    <x v="0"/>
    <n v="0"/>
    <n v="0"/>
    <x v="2"/>
    <x v="0"/>
    <n v="39"/>
  </r>
  <r>
    <n v="36"/>
    <x v="1"/>
    <s v="Travel_Rarely"/>
    <n v="329"/>
    <x v="0"/>
    <n v="16"/>
    <n v="4"/>
    <s v="Marketing"/>
    <n v="1"/>
    <n v="1436"/>
    <n v="3"/>
    <x v="0"/>
    <n v="98"/>
    <n v="2"/>
    <n v="2"/>
    <x v="0"/>
    <n v="1"/>
    <s v="Married"/>
    <n v="5647"/>
    <n v="13494"/>
    <n v="4"/>
    <s v="Y"/>
    <x v="1"/>
    <n v="13"/>
    <n v="3"/>
    <n v="1"/>
    <n v="80"/>
    <n v="2"/>
    <n v="11"/>
    <n v="3"/>
    <n v="2"/>
    <n v="3"/>
    <n v="2"/>
    <n v="0"/>
    <n v="2"/>
    <x v="1"/>
    <x v="0"/>
    <n v="0"/>
    <n v="0"/>
    <x v="2"/>
    <x v="1"/>
    <n v="65"/>
  </r>
  <r>
    <n v="47"/>
    <x v="1"/>
    <s v="Travel_Rarely"/>
    <n v="465"/>
    <x v="1"/>
    <n v="1"/>
    <n v="3"/>
    <s v="Technical Degree"/>
    <n v="1"/>
    <n v="1438"/>
    <n v="1"/>
    <x v="1"/>
    <n v="74"/>
    <n v="3"/>
    <n v="1"/>
    <x v="1"/>
    <n v="4"/>
    <s v="Married"/>
    <n v="3420"/>
    <n v="10205"/>
    <n v="7"/>
    <s v="Y"/>
    <x v="1"/>
    <n v="12"/>
    <n v="3"/>
    <n v="3"/>
    <n v="80"/>
    <n v="1"/>
    <n v="17"/>
    <n v="2"/>
    <n v="2"/>
    <n v="6"/>
    <n v="5"/>
    <n v="1"/>
    <n v="2"/>
    <x v="0"/>
    <x v="1"/>
    <n v="0"/>
    <n v="0"/>
    <x v="3"/>
    <x v="2"/>
    <n v="29"/>
  </r>
  <r>
    <n v="25"/>
    <x v="0"/>
    <s v="Travel_Rarely"/>
    <n v="383"/>
    <x v="0"/>
    <n v="9"/>
    <n v="2"/>
    <s v="Life Sciences"/>
    <n v="1"/>
    <n v="1439"/>
    <n v="1"/>
    <x v="1"/>
    <n v="68"/>
    <n v="2"/>
    <n v="1"/>
    <x v="6"/>
    <n v="1"/>
    <s v="Married"/>
    <n v="4400"/>
    <n v="15182"/>
    <n v="3"/>
    <s v="Y"/>
    <x v="1"/>
    <n v="12"/>
    <n v="3"/>
    <n v="1"/>
    <n v="80"/>
    <n v="0"/>
    <n v="6"/>
    <n v="2"/>
    <n v="3"/>
    <n v="3"/>
    <n v="2"/>
    <n v="2"/>
    <n v="2"/>
    <x v="2"/>
    <x v="1"/>
    <n v="1"/>
    <n v="0"/>
    <x v="0"/>
    <x v="1"/>
    <n v="75"/>
  </r>
  <r>
    <n v="37"/>
    <x v="1"/>
    <s v="Non-Travel"/>
    <n v="1413"/>
    <x v="1"/>
    <n v="5"/>
    <n v="2"/>
    <s v="Technical Degree"/>
    <n v="1"/>
    <n v="1440"/>
    <n v="3"/>
    <x v="1"/>
    <n v="84"/>
    <n v="4"/>
    <n v="1"/>
    <x v="2"/>
    <n v="3"/>
    <s v="Single"/>
    <n v="3500"/>
    <n v="25470"/>
    <n v="0"/>
    <s v="Y"/>
    <x v="1"/>
    <n v="14"/>
    <n v="3"/>
    <n v="1"/>
    <n v="80"/>
    <n v="0"/>
    <n v="7"/>
    <n v="2"/>
    <n v="1"/>
    <n v="6"/>
    <n v="5"/>
    <n v="1"/>
    <n v="3"/>
    <x v="1"/>
    <x v="1"/>
    <n v="0"/>
    <n v="0"/>
    <x v="0"/>
    <x v="0"/>
    <n v="46"/>
  </r>
  <r>
    <n v="56"/>
    <x v="1"/>
    <s v="Travel_Rarely"/>
    <n v="1255"/>
    <x v="1"/>
    <n v="1"/>
    <n v="2"/>
    <s v="Life Sciences"/>
    <n v="1"/>
    <n v="1441"/>
    <n v="1"/>
    <x v="0"/>
    <n v="90"/>
    <n v="3"/>
    <n v="1"/>
    <x v="1"/>
    <n v="1"/>
    <s v="Married"/>
    <n v="2066"/>
    <n v="10494"/>
    <n v="2"/>
    <s v="Y"/>
    <x v="1"/>
    <n v="22"/>
    <n v="4"/>
    <n v="4"/>
    <n v="80"/>
    <n v="1"/>
    <n v="5"/>
    <n v="3"/>
    <n v="4"/>
    <n v="3"/>
    <n v="2"/>
    <n v="1"/>
    <n v="0"/>
    <x v="3"/>
    <x v="1"/>
    <n v="0"/>
    <n v="0"/>
    <x v="0"/>
    <x v="1"/>
    <n v="60"/>
  </r>
  <r>
    <n v="47"/>
    <x v="1"/>
    <s v="Travel_Rarely"/>
    <n v="359"/>
    <x v="1"/>
    <n v="2"/>
    <n v="4"/>
    <s v="Medical"/>
    <n v="1"/>
    <n v="1443"/>
    <n v="1"/>
    <x v="0"/>
    <n v="82"/>
    <n v="3"/>
    <n v="4"/>
    <x v="7"/>
    <n v="3"/>
    <s v="Married"/>
    <n v="17169"/>
    <n v="26703"/>
    <n v="3"/>
    <s v="Y"/>
    <x v="1"/>
    <n v="19"/>
    <n v="3"/>
    <n v="2"/>
    <n v="80"/>
    <n v="2"/>
    <n v="26"/>
    <n v="2"/>
    <n v="4"/>
    <n v="20"/>
    <n v="17"/>
    <n v="5"/>
    <n v="6"/>
    <x v="0"/>
    <x v="2"/>
    <n v="0"/>
    <n v="0"/>
    <x v="2"/>
    <x v="2"/>
    <n v="31"/>
  </r>
  <r>
    <n v="24"/>
    <x v="1"/>
    <s v="Travel_Rarely"/>
    <n v="1476"/>
    <x v="0"/>
    <n v="4"/>
    <n v="1"/>
    <s v="Medical"/>
    <n v="1"/>
    <n v="1445"/>
    <n v="4"/>
    <x v="0"/>
    <n v="42"/>
    <n v="3"/>
    <n v="2"/>
    <x v="0"/>
    <n v="3"/>
    <s v="Married"/>
    <n v="4162"/>
    <n v="15211"/>
    <n v="1"/>
    <s v="Y"/>
    <x v="0"/>
    <n v="12"/>
    <n v="3"/>
    <n v="3"/>
    <n v="80"/>
    <n v="2"/>
    <n v="5"/>
    <n v="3"/>
    <n v="3"/>
    <n v="5"/>
    <n v="4"/>
    <n v="0"/>
    <n v="3"/>
    <x v="2"/>
    <x v="1"/>
    <n v="0"/>
    <n v="1"/>
    <x v="1"/>
    <x v="1"/>
    <n v="88"/>
  </r>
  <r>
    <n v="32"/>
    <x v="1"/>
    <s v="Travel_Rarely"/>
    <n v="601"/>
    <x v="0"/>
    <n v="7"/>
    <n v="5"/>
    <s v="Marketing"/>
    <n v="1"/>
    <n v="1446"/>
    <n v="4"/>
    <x v="1"/>
    <n v="97"/>
    <n v="3"/>
    <n v="2"/>
    <x v="0"/>
    <n v="4"/>
    <s v="Married"/>
    <n v="9204"/>
    <n v="23343"/>
    <n v="4"/>
    <s v="Y"/>
    <x v="1"/>
    <n v="12"/>
    <n v="3"/>
    <n v="3"/>
    <n v="80"/>
    <n v="1"/>
    <n v="7"/>
    <n v="3"/>
    <n v="2"/>
    <n v="4"/>
    <n v="3"/>
    <n v="0"/>
    <n v="3"/>
    <x v="1"/>
    <x v="0"/>
    <n v="0"/>
    <n v="0"/>
    <x v="4"/>
    <x v="0"/>
    <n v="46"/>
  </r>
  <r>
    <n v="34"/>
    <x v="1"/>
    <s v="Travel_Rarely"/>
    <n v="401"/>
    <x v="1"/>
    <n v="1"/>
    <n v="3"/>
    <s v="Life Sciences"/>
    <n v="1"/>
    <n v="1447"/>
    <n v="4"/>
    <x v="0"/>
    <n v="86"/>
    <n v="2"/>
    <n v="1"/>
    <x v="2"/>
    <n v="2"/>
    <s v="Married"/>
    <n v="3294"/>
    <n v="3708"/>
    <n v="5"/>
    <s v="Y"/>
    <x v="1"/>
    <n v="17"/>
    <n v="3"/>
    <n v="1"/>
    <n v="80"/>
    <n v="1"/>
    <n v="7"/>
    <n v="2"/>
    <n v="2"/>
    <n v="5"/>
    <n v="4"/>
    <n v="0"/>
    <n v="2"/>
    <x v="1"/>
    <x v="1"/>
    <n v="0"/>
    <n v="0"/>
    <x v="3"/>
    <x v="1"/>
    <n v="59"/>
  </r>
  <r>
    <n v="41"/>
    <x v="1"/>
    <s v="Travel_Rarely"/>
    <n v="1283"/>
    <x v="1"/>
    <n v="5"/>
    <n v="5"/>
    <s v="Medical"/>
    <n v="1"/>
    <n v="1448"/>
    <n v="2"/>
    <x v="1"/>
    <n v="90"/>
    <n v="4"/>
    <n v="1"/>
    <x v="1"/>
    <n v="3"/>
    <s v="Married"/>
    <n v="2127"/>
    <n v="5561"/>
    <n v="2"/>
    <s v="Y"/>
    <x v="0"/>
    <n v="12"/>
    <n v="3"/>
    <n v="1"/>
    <n v="80"/>
    <n v="0"/>
    <n v="7"/>
    <n v="5"/>
    <n v="2"/>
    <n v="4"/>
    <n v="2"/>
    <n v="0"/>
    <n v="3"/>
    <x v="0"/>
    <x v="1"/>
    <n v="0"/>
    <n v="1"/>
    <x v="4"/>
    <x v="1"/>
    <n v="68"/>
  </r>
  <r>
    <n v="40"/>
    <x v="1"/>
    <s v="Non-Travel"/>
    <n v="663"/>
    <x v="1"/>
    <n v="9"/>
    <n v="4"/>
    <s v="Other"/>
    <n v="1"/>
    <n v="1449"/>
    <n v="3"/>
    <x v="1"/>
    <n v="81"/>
    <n v="3"/>
    <n v="2"/>
    <x v="2"/>
    <n v="3"/>
    <s v="Divorced"/>
    <n v="3975"/>
    <n v="23099"/>
    <n v="3"/>
    <s v="Y"/>
    <x v="1"/>
    <n v="11"/>
    <n v="3"/>
    <n v="3"/>
    <n v="80"/>
    <n v="2"/>
    <n v="11"/>
    <n v="2"/>
    <n v="4"/>
    <n v="8"/>
    <n v="7"/>
    <n v="0"/>
    <n v="7"/>
    <x v="0"/>
    <x v="1"/>
    <n v="0"/>
    <n v="0"/>
    <x v="2"/>
    <x v="0"/>
    <n v="36"/>
  </r>
  <r>
    <n v="31"/>
    <x v="1"/>
    <s v="Travel_Rarely"/>
    <n v="326"/>
    <x v="0"/>
    <n v="8"/>
    <n v="2"/>
    <s v="Life Sciences"/>
    <n v="1"/>
    <n v="1453"/>
    <n v="1"/>
    <x v="1"/>
    <n v="31"/>
    <n v="3"/>
    <n v="3"/>
    <x v="0"/>
    <n v="4"/>
    <s v="Divorced"/>
    <n v="10793"/>
    <n v="8386"/>
    <n v="1"/>
    <s v="Y"/>
    <x v="1"/>
    <n v="18"/>
    <n v="3"/>
    <n v="1"/>
    <n v="80"/>
    <n v="1"/>
    <n v="13"/>
    <n v="5"/>
    <n v="3"/>
    <n v="13"/>
    <n v="7"/>
    <n v="9"/>
    <n v="9"/>
    <x v="1"/>
    <x v="0"/>
    <n v="0"/>
    <n v="0"/>
    <x v="0"/>
    <x v="2"/>
    <n v="34"/>
  </r>
  <r>
    <n v="46"/>
    <x v="0"/>
    <s v="Travel_Rarely"/>
    <n v="377"/>
    <x v="0"/>
    <n v="9"/>
    <n v="3"/>
    <s v="Marketing"/>
    <n v="1"/>
    <n v="1457"/>
    <n v="1"/>
    <x v="1"/>
    <n v="52"/>
    <n v="3"/>
    <n v="3"/>
    <x v="0"/>
    <n v="4"/>
    <s v="Divorced"/>
    <n v="10096"/>
    <n v="15986"/>
    <n v="4"/>
    <s v="Y"/>
    <x v="1"/>
    <n v="11"/>
    <n v="3"/>
    <n v="1"/>
    <n v="80"/>
    <n v="1"/>
    <n v="28"/>
    <n v="1"/>
    <n v="4"/>
    <n v="7"/>
    <n v="7"/>
    <n v="4"/>
    <n v="3"/>
    <x v="0"/>
    <x v="0"/>
    <n v="1"/>
    <n v="0"/>
    <x v="3"/>
    <x v="2"/>
    <n v="29"/>
  </r>
  <r>
    <n v="39"/>
    <x v="0"/>
    <s v="Non-Travel"/>
    <n v="592"/>
    <x v="1"/>
    <n v="2"/>
    <n v="3"/>
    <s v="Life Sciences"/>
    <n v="1"/>
    <n v="1458"/>
    <n v="1"/>
    <x v="0"/>
    <n v="54"/>
    <n v="2"/>
    <n v="1"/>
    <x v="2"/>
    <n v="1"/>
    <s v="Single"/>
    <n v="3646"/>
    <n v="17181"/>
    <n v="2"/>
    <s v="Y"/>
    <x v="0"/>
    <n v="23"/>
    <n v="4"/>
    <n v="2"/>
    <n v="80"/>
    <n v="0"/>
    <n v="11"/>
    <n v="2"/>
    <n v="4"/>
    <n v="1"/>
    <n v="0"/>
    <n v="0"/>
    <n v="0"/>
    <x v="1"/>
    <x v="1"/>
    <n v="1"/>
    <n v="1"/>
    <x v="3"/>
    <x v="1"/>
    <n v="100"/>
  </r>
  <r>
    <n v="31"/>
    <x v="0"/>
    <s v="Travel_Frequently"/>
    <n v="1445"/>
    <x v="1"/>
    <n v="1"/>
    <n v="5"/>
    <s v="Life Sciences"/>
    <n v="1"/>
    <n v="1459"/>
    <n v="3"/>
    <x v="0"/>
    <n v="100"/>
    <n v="4"/>
    <n v="3"/>
    <x v="3"/>
    <n v="2"/>
    <s v="Single"/>
    <n v="7446"/>
    <n v="8931"/>
    <n v="1"/>
    <s v="Y"/>
    <x v="1"/>
    <n v="11"/>
    <n v="3"/>
    <n v="1"/>
    <n v="80"/>
    <n v="0"/>
    <n v="10"/>
    <n v="2"/>
    <n v="3"/>
    <n v="10"/>
    <n v="8"/>
    <n v="4"/>
    <n v="7"/>
    <x v="1"/>
    <x v="0"/>
    <n v="1"/>
    <n v="0"/>
    <x v="4"/>
    <x v="0"/>
    <n v="52"/>
  </r>
  <r>
    <n v="45"/>
    <x v="1"/>
    <s v="Travel_Rarely"/>
    <n v="1038"/>
    <x v="1"/>
    <n v="20"/>
    <n v="3"/>
    <s v="Medical"/>
    <n v="1"/>
    <n v="1460"/>
    <n v="2"/>
    <x v="1"/>
    <n v="95"/>
    <n v="1"/>
    <n v="3"/>
    <x v="4"/>
    <n v="1"/>
    <s v="Divorced"/>
    <n v="10851"/>
    <n v="19863"/>
    <n v="2"/>
    <s v="Y"/>
    <x v="0"/>
    <n v="18"/>
    <n v="3"/>
    <n v="2"/>
    <n v="80"/>
    <n v="1"/>
    <n v="24"/>
    <n v="2"/>
    <n v="3"/>
    <n v="7"/>
    <n v="7"/>
    <n v="0"/>
    <n v="7"/>
    <x v="0"/>
    <x v="0"/>
    <n v="0"/>
    <n v="1"/>
    <x v="3"/>
    <x v="1"/>
    <n v="73"/>
  </r>
  <r>
    <n v="31"/>
    <x v="1"/>
    <s v="Travel_Rarely"/>
    <n v="1398"/>
    <x v="2"/>
    <n v="8"/>
    <n v="2"/>
    <s v="Medical"/>
    <n v="1"/>
    <n v="1461"/>
    <n v="4"/>
    <x v="0"/>
    <n v="96"/>
    <n v="4"/>
    <n v="1"/>
    <x v="8"/>
    <n v="2"/>
    <s v="Single"/>
    <n v="2109"/>
    <n v="24609"/>
    <n v="9"/>
    <s v="Y"/>
    <x v="1"/>
    <n v="18"/>
    <n v="3"/>
    <n v="4"/>
    <n v="80"/>
    <n v="0"/>
    <n v="8"/>
    <n v="3"/>
    <n v="3"/>
    <n v="3"/>
    <n v="2"/>
    <n v="0"/>
    <n v="2"/>
    <x v="1"/>
    <x v="1"/>
    <n v="0"/>
    <n v="0"/>
    <x v="0"/>
    <x v="1"/>
    <n v="59"/>
  </r>
  <r>
    <n v="31"/>
    <x v="0"/>
    <s v="Travel_Frequently"/>
    <n v="523"/>
    <x v="1"/>
    <n v="2"/>
    <n v="3"/>
    <s v="Life Sciences"/>
    <n v="1"/>
    <n v="1464"/>
    <n v="2"/>
    <x v="1"/>
    <n v="94"/>
    <n v="3"/>
    <n v="1"/>
    <x v="2"/>
    <n v="4"/>
    <s v="Married"/>
    <n v="3722"/>
    <n v="21081"/>
    <n v="6"/>
    <s v="Y"/>
    <x v="0"/>
    <n v="13"/>
    <n v="3"/>
    <n v="3"/>
    <n v="80"/>
    <n v="1"/>
    <n v="7"/>
    <n v="2"/>
    <n v="1"/>
    <n v="2"/>
    <n v="2"/>
    <n v="2"/>
    <n v="2"/>
    <x v="1"/>
    <x v="1"/>
    <n v="1"/>
    <n v="1"/>
    <x v="3"/>
    <x v="1"/>
    <n v="81"/>
  </r>
  <r>
    <n v="45"/>
    <x v="1"/>
    <s v="Travel_Rarely"/>
    <n v="1448"/>
    <x v="1"/>
    <n v="29"/>
    <n v="3"/>
    <s v="Technical Degree"/>
    <n v="1"/>
    <n v="1465"/>
    <n v="2"/>
    <x v="1"/>
    <n v="55"/>
    <n v="3"/>
    <n v="3"/>
    <x v="3"/>
    <n v="4"/>
    <s v="Married"/>
    <n v="9380"/>
    <n v="14720"/>
    <n v="4"/>
    <s v="Y"/>
    <x v="0"/>
    <n v="18"/>
    <n v="3"/>
    <n v="4"/>
    <n v="80"/>
    <n v="2"/>
    <n v="10"/>
    <n v="4"/>
    <n v="4"/>
    <n v="3"/>
    <n v="1"/>
    <n v="1"/>
    <n v="2"/>
    <x v="0"/>
    <x v="0"/>
    <n v="0"/>
    <n v="1"/>
    <x v="3"/>
    <x v="1"/>
    <n v="61"/>
  </r>
  <r>
    <n v="48"/>
    <x v="1"/>
    <s v="Travel_Rarely"/>
    <n v="1221"/>
    <x v="0"/>
    <n v="7"/>
    <n v="3"/>
    <s v="Marketing"/>
    <n v="1"/>
    <n v="1466"/>
    <n v="3"/>
    <x v="1"/>
    <n v="96"/>
    <n v="3"/>
    <n v="2"/>
    <x v="0"/>
    <n v="1"/>
    <s v="Divorced"/>
    <n v="5486"/>
    <n v="24795"/>
    <n v="4"/>
    <s v="Y"/>
    <x v="1"/>
    <n v="11"/>
    <n v="3"/>
    <n v="1"/>
    <n v="80"/>
    <n v="3"/>
    <n v="15"/>
    <n v="3"/>
    <n v="3"/>
    <n v="2"/>
    <n v="2"/>
    <n v="2"/>
    <n v="2"/>
    <x v="0"/>
    <x v="0"/>
    <n v="0"/>
    <n v="0"/>
    <x v="3"/>
    <x v="1"/>
    <n v="65"/>
  </r>
  <r>
    <n v="34"/>
    <x v="0"/>
    <s v="Travel_Rarely"/>
    <n v="1107"/>
    <x v="2"/>
    <n v="9"/>
    <n v="4"/>
    <s v="Technical Degree"/>
    <n v="1"/>
    <n v="1467"/>
    <n v="1"/>
    <x v="0"/>
    <n v="52"/>
    <n v="3"/>
    <n v="1"/>
    <x v="8"/>
    <n v="3"/>
    <s v="Married"/>
    <n v="2742"/>
    <n v="3072"/>
    <n v="1"/>
    <s v="Y"/>
    <x v="1"/>
    <n v="15"/>
    <n v="3"/>
    <n v="4"/>
    <n v="80"/>
    <n v="0"/>
    <n v="2"/>
    <n v="0"/>
    <n v="3"/>
    <n v="2"/>
    <n v="2"/>
    <n v="2"/>
    <n v="2"/>
    <x v="1"/>
    <x v="1"/>
    <n v="1"/>
    <n v="0"/>
    <x v="2"/>
    <x v="1"/>
    <n v="63"/>
  </r>
  <r>
    <n v="40"/>
    <x v="1"/>
    <s v="Non-Travel"/>
    <n v="218"/>
    <x v="1"/>
    <n v="8"/>
    <n v="1"/>
    <s v="Medical"/>
    <n v="1"/>
    <n v="1468"/>
    <n v="4"/>
    <x v="1"/>
    <n v="55"/>
    <n v="2"/>
    <n v="3"/>
    <x v="7"/>
    <n v="2"/>
    <s v="Divorced"/>
    <n v="13757"/>
    <n v="25178"/>
    <n v="2"/>
    <s v="Y"/>
    <x v="1"/>
    <n v="11"/>
    <n v="3"/>
    <n v="3"/>
    <n v="80"/>
    <n v="1"/>
    <n v="16"/>
    <n v="5"/>
    <n v="3"/>
    <n v="9"/>
    <n v="8"/>
    <n v="4"/>
    <n v="8"/>
    <x v="0"/>
    <x v="0"/>
    <n v="0"/>
    <n v="0"/>
    <x v="1"/>
    <x v="0"/>
    <n v="42"/>
  </r>
  <r>
    <n v="28"/>
    <x v="1"/>
    <s v="Travel_Rarely"/>
    <n v="866"/>
    <x v="0"/>
    <n v="5"/>
    <n v="3"/>
    <s v="Medical"/>
    <n v="1"/>
    <n v="1469"/>
    <n v="4"/>
    <x v="1"/>
    <n v="84"/>
    <n v="3"/>
    <n v="2"/>
    <x v="0"/>
    <n v="1"/>
    <s v="Single"/>
    <n v="8463"/>
    <n v="23490"/>
    <n v="0"/>
    <s v="Y"/>
    <x v="1"/>
    <n v="18"/>
    <n v="3"/>
    <n v="4"/>
    <n v="80"/>
    <n v="0"/>
    <n v="6"/>
    <n v="4"/>
    <n v="3"/>
    <n v="5"/>
    <n v="4"/>
    <n v="1"/>
    <n v="3"/>
    <x v="2"/>
    <x v="0"/>
    <n v="0"/>
    <n v="0"/>
    <x v="3"/>
    <x v="1"/>
    <n v="75"/>
  </r>
  <r>
    <n v="44"/>
    <x v="1"/>
    <s v="Non-Travel"/>
    <n v="981"/>
    <x v="1"/>
    <n v="5"/>
    <n v="3"/>
    <s v="Life Sciences"/>
    <n v="1"/>
    <n v="1471"/>
    <n v="3"/>
    <x v="1"/>
    <n v="90"/>
    <n v="2"/>
    <n v="1"/>
    <x v="2"/>
    <n v="3"/>
    <s v="Single"/>
    <n v="3162"/>
    <n v="7973"/>
    <n v="3"/>
    <s v="Y"/>
    <x v="1"/>
    <n v="14"/>
    <n v="3"/>
    <n v="4"/>
    <n v="80"/>
    <n v="0"/>
    <n v="7"/>
    <n v="5"/>
    <n v="3"/>
    <n v="5"/>
    <n v="2"/>
    <n v="0"/>
    <n v="3"/>
    <x v="0"/>
    <x v="1"/>
    <n v="0"/>
    <n v="0"/>
    <x v="3"/>
    <x v="0"/>
    <n v="43"/>
  </r>
  <r>
    <n v="53"/>
    <x v="1"/>
    <s v="Travel_Rarely"/>
    <n v="447"/>
    <x v="1"/>
    <n v="2"/>
    <n v="3"/>
    <s v="Medical"/>
    <n v="1"/>
    <n v="1472"/>
    <n v="4"/>
    <x v="1"/>
    <n v="39"/>
    <n v="4"/>
    <n v="4"/>
    <x v="7"/>
    <n v="2"/>
    <s v="Single"/>
    <n v="16598"/>
    <n v="19764"/>
    <n v="4"/>
    <s v="Y"/>
    <x v="1"/>
    <n v="12"/>
    <n v="3"/>
    <n v="2"/>
    <n v="80"/>
    <n v="0"/>
    <n v="35"/>
    <n v="2"/>
    <n v="2"/>
    <n v="9"/>
    <n v="8"/>
    <n v="8"/>
    <n v="8"/>
    <x v="3"/>
    <x v="2"/>
    <n v="0"/>
    <n v="0"/>
    <x v="3"/>
    <x v="0"/>
    <n v="47"/>
  </r>
  <r>
    <n v="49"/>
    <x v="1"/>
    <s v="Travel_Rarely"/>
    <n v="1495"/>
    <x v="1"/>
    <n v="5"/>
    <n v="4"/>
    <s v="Technical Degree"/>
    <n v="1"/>
    <n v="1473"/>
    <n v="1"/>
    <x v="1"/>
    <n v="96"/>
    <n v="3"/>
    <n v="2"/>
    <x v="4"/>
    <n v="3"/>
    <s v="Married"/>
    <n v="6651"/>
    <n v="21534"/>
    <n v="2"/>
    <s v="Y"/>
    <x v="1"/>
    <n v="14"/>
    <n v="3"/>
    <n v="2"/>
    <n v="80"/>
    <n v="1"/>
    <n v="20"/>
    <n v="0"/>
    <n v="2"/>
    <n v="3"/>
    <n v="2"/>
    <n v="1"/>
    <n v="2"/>
    <x v="0"/>
    <x v="0"/>
    <n v="0"/>
    <n v="0"/>
    <x v="2"/>
    <x v="0"/>
    <n v="43"/>
  </r>
  <r>
    <n v="40"/>
    <x v="1"/>
    <s v="Travel_Rarely"/>
    <n v="896"/>
    <x v="1"/>
    <n v="2"/>
    <n v="3"/>
    <s v="Medical"/>
    <n v="1"/>
    <n v="1474"/>
    <n v="3"/>
    <x v="1"/>
    <n v="68"/>
    <n v="3"/>
    <n v="1"/>
    <x v="1"/>
    <n v="3"/>
    <s v="Divorced"/>
    <n v="2345"/>
    <n v="8045"/>
    <n v="2"/>
    <s v="Y"/>
    <x v="1"/>
    <n v="14"/>
    <n v="3"/>
    <n v="3"/>
    <n v="80"/>
    <n v="1"/>
    <n v="8"/>
    <n v="3"/>
    <n v="4"/>
    <n v="3"/>
    <n v="1"/>
    <n v="1"/>
    <n v="2"/>
    <x v="0"/>
    <x v="1"/>
    <n v="0"/>
    <n v="0"/>
    <x v="3"/>
    <x v="0"/>
    <n v="43"/>
  </r>
  <r>
    <n v="44"/>
    <x v="1"/>
    <s v="Travel_Rarely"/>
    <n v="1467"/>
    <x v="1"/>
    <n v="20"/>
    <n v="3"/>
    <s v="Life Sciences"/>
    <n v="1"/>
    <n v="1475"/>
    <n v="4"/>
    <x v="1"/>
    <n v="49"/>
    <n v="3"/>
    <n v="1"/>
    <x v="1"/>
    <n v="2"/>
    <s v="Single"/>
    <n v="3420"/>
    <n v="21158"/>
    <n v="1"/>
    <s v="Y"/>
    <x v="1"/>
    <n v="13"/>
    <n v="3"/>
    <n v="3"/>
    <n v="80"/>
    <n v="0"/>
    <n v="6"/>
    <n v="3"/>
    <n v="2"/>
    <n v="5"/>
    <n v="2"/>
    <n v="1"/>
    <n v="3"/>
    <x v="0"/>
    <x v="1"/>
    <n v="0"/>
    <n v="0"/>
    <x v="3"/>
    <x v="0"/>
    <n v="49"/>
  </r>
  <r>
    <n v="33"/>
    <x v="1"/>
    <s v="Travel_Frequently"/>
    <n v="430"/>
    <x v="0"/>
    <n v="7"/>
    <n v="3"/>
    <s v="Medical"/>
    <n v="1"/>
    <n v="1477"/>
    <n v="4"/>
    <x v="1"/>
    <n v="54"/>
    <n v="3"/>
    <n v="2"/>
    <x v="0"/>
    <n v="1"/>
    <s v="Married"/>
    <n v="4373"/>
    <n v="17456"/>
    <n v="0"/>
    <s v="Y"/>
    <x v="1"/>
    <n v="14"/>
    <n v="3"/>
    <n v="1"/>
    <n v="80"/>
    <n v="2"/>
    <n v="5"/>
    <n v="2"/>
    <n v="3"/>
    <n v="4"/>
    <n v="3"/>
    <n v="0"/>
    <n v="3"/>
    <x v="1"/>
    <x v="1"/>
    <n v="0"/>
    <n v="0"/>
    <x v="3"/>
    <x v="1"/>
    <n v="65"/>
  </r>
  <r>
    <n v="34"/>
    <x v="1"/>
    <s v="Travel_Rarely"/>
    <n v="1326"/>
    <x v="0"/>
    <n v="3"/>
    <n v="3"/>
    <s v="Other"/>
    <n v="1"/>
    <n v="1478"/>
    <n v="4"/>
    <x v="1"/>
    <n v="81"/>
    <n v="1"/>
    <n v="2"/>
    <x v="0"/>
    <n v="1"/>
    <s v="Single"/>
    <n v="4759"/>
    <n v="15891"/>
    <n v="3"/>
    <s v="Y"/>
    <x v="1"/>
    <n v="18"/>
    <n v="3"/>
    <n v="4"/>
    <n v="80"/>
    <n v="0"/>
    <n v="15"/>
    <n v="2"/>
    <n v="3"/>
    <n v="13"/>
    <n v="9"/>
    <n v="3"/>
    <n v="12"/>
    <x v="1"/>
    <x v="1"/>
    <n v="0"/>
    <n v="0"/>
    <x v="3"/>
    <x v="0"/>
    <n v="53"/>
  </r>
  <r>
    <n v="30"/>
    <x v="1"/>
    <s v="Travel_Rarely"/>
    <n v="1358"/>
    <x v="0"/>
    <n v="16"/>
    <n v="1"/>
    <s v="Life Sciences"/>
    <n v="1"/>
    <n v="1479"/>
    <n v="4"/>
    <x v="1"/>
    <n v="96"/>
    <n v="3"/>
    <n v="2"/>
    <x v="0"/>
    <n v="3"/>
    <s v="Married"/>
    <n v="5301"/>
    <n v="2939"/>
    <n v="8"/>
    <s v="Y"/>
    <x v="1"/>
    <n v="15"/>
    <n v="3"/>
    <n v="3"/>
    <n v="80"/>
    <n v="2"/>
    <n v="4"/>
    <n v="2"/>
    <n v="2"/>
    <n v="2"/>
    <n v="1"/>
    <n v="2"/>
    <n v="2"/>
    <x v="1"/>
    <x v="0"/>
    <n v="0"/>
    <n v="0"/>
    <x v="1"/>
    <x v="1"/>
    <n v="63"/>
  </r>
  <r>
    <n v="42"/>
    <x v="1"/>
    <s v="Travel_Frequently"/>
    <n v="748"/>
    <x v="1"/>
    <n v="9"/>
    <n v="2"/>
    <s v="Medical"/>
    <n v="1"/>
    <n v="1480"/>
    <n v="1"/>
    <x v="0"/>
    <n v="74"/>
    <n v="3"/>
    <n v="1"/>
    <x v="2"/>
    <n v="4"/>
    <s v="Single"/>
    <n v="3673"/>
    <n v="16458"/>
    <n v="1"/>
    <s v="Y"/>
    <x v="1"/>
    <n v="13"/>
    <n v="3"/>
    <n v="3"/>
    <n v="80"/>
    <n v="0"/>
    <n v="12"/>
    <n v="3"/>
    <n v="3"/>
    <n v="12"/>
    <n v="9"/>
    <n v="5"/>
    <n v="8"/>
    <x v="0"/>
    <x v="1"/>
    <n v="0"/>
    <n v="0"/>
    <x v="0"/>
    <x v="2"/>
    <n v="24"/>
  </r>
  <r>
    <n v="44"/>
    <x v="1"/>
    <s v="Travel_Frequently"/>
    <n v="383"/>
    <x v="0"/>
    <n v="1"/>
    <n v="5"/>
    <s v="Marketing"/>
    <n v="1"/>
    <n v="1481"/>
    <n v="1"/>
    <x v="0"/>
    <n v="79"/>
    <n v="3"/>
    <n v="2"/>
    <x v="0"/>
    <n v="3"/>
    <s v="Married"/>
    <n v="4768"/>
    <n v="9282"/>
    <n v="7"/>
    <s v="Y"/>
    <x v="1"/>
    <n v="12"/>
    <n v="3"/>
    <n v="3"/>
    <n v="80"/>
    <n v="1"/>
    <n v="11"/>
    <n v="4"/>
    <n v="2"/>
    <n v="1"/>
    <n v="0"/>
    <n v="0"/>
    <n v="0"/>
    <x v="0"/>
    <x v="1"/>
    <n v="0"/>
    <n v="0"/>
    <x v="4"/>
    <x v="0"/>
    <n v="53"/>
  </r>
  <r>
    <n v="30"/>
    <x v="1"/>
    <s v="Non-Travel"/>
    <n v="990"/>
    <x v="1"/>
    <n v="7"/>
    <n v="3"/>
    <s v="Technical Degree"/>
    <n v="1"/>
    <n v="1482"/>
    <n v="3"/>
    <x v="1"/>
    <n v="64"/>
    <n v="3"/>
    <n v="1"/>
    <x v="1"/>
    <n v="3"/>
    <s v="Divorced"/>
    <n v="1274"/>
    <n v="7152"/>
    <n v="1"/>
    <s v="Y"/>
    <x v="1"/>
    <n v="13"/>
    <n v="3"/>
    <n v="2"/>
    <n v="80"/>
    <n v="2"/>
    <n v="1"/>
    <n v="2"/>
    <n v="2"/>
    <n v="1"/>
    <n v="0"/>
    <n v="0"/>
    <n v="0"/>
    <x v="1"/>
    <x v="1"/>
    <n v="0"/>
    <n v="0"/>
    <x v="3"/>
    <x v="1"/>
    <n v="63"/>
  </r>
  <r>
    <n v="57"/>
    <x v="1"/>
    <s v="Travel_Rarely"/>
    <n v="405"/>
    <x v="1"/>
    <n v="1"/>
    <n v="2"/>
    <s v="Life Sciences"/>
    <n v="1"/>
    <n v="1483"/>
    <n v="2"/>
    <x v="1"/>
    <n v="93"/>
    <n v="4"/>
    <n v="2"/>
    <x v="1"/>
    <n v="3"/>
    <s v="Married"/>
    <n v="4900"/>
    <n v="2721"/>
    <n v="0"/>
    <s v="Y"/>
    <x v="1"/>
    <n v="24"/>
    <n v="4"/>
    <n v="1"/>
    <n v="80"/>
    <n v="1"/>
    <n v="13"/>
    <n v="2"/>
    <n v="2"/>
    <n v="12"/>
    <n v="9"/>
    <n v="2"/>
    <n v="8"/>
    <x v="3"/>
    <x v="1"/>
    <n v="0"/>
    <n v="0"/>
    <x v="0"/>
    <x v="0"/>
    <n v="36"/>
  </r>
  <r>
    <n v="49"/>
    <x v="1"/>
    <s v="Travel_Rarely"/>
    <n v="1490"/>
    <x v="1"/>
    <n v="7"/>
    <n v="4"/>
    <s v="Life Sciences"/>
    <n v="1"/>
    <n v="1484"/>
    <n v="3"/>
    <x v="1"/>
    <n v="35"/>
    <n v="3"/>
    <n v="3"/>
    <x v="4"/>
    <n v="2"/>
    <s v="Divorced"/>
    <n v="10466"/>
    <n v="20948"/>
    <n v="3"/>
    <s v="Y"/>
    <x v="1"/>
    <n v="14"/>
    <n v="3"/>
    <n v="2"/>
    <n v="80"/>
    <n v="2"/>
    <n v="29"/>
    <n v="3"/>
    <n v="3"/>
    <n v="8"/>
    <n v="7"/>
    <n v="0"/>
    <n v="7"/>
    <x v="0"/>
    <x v="0"/>
    <n v="0"/>
    <n v="0"/>
    <x v="2"/>
    <x v="0"/>
    <n v="42"/>
  </r>
  <r>
    <n v="34"/>
    <x v="1"/>
    <s v="Travel_Frequently"/>
    <n v="829"/>
    <x v="1"/>
    <n v="15"/>
    <n v="3"/>
    <s v="Medical"/>
    <n v="1"/>
    <n v="1485"/>
    <n v="2"/>
    <x v="1"/>
    <n v="71"/>
    <n v="3"/>
    <n v="4"/>
    <x v="7"/>
    <n v="1"/>
    <s v="Divorced"/>
    <n v="17007"/>
    <n v="11929"/>
    <n v="7"/>
    <s v="Y"/>
    <x v="1"/>
    <n v="14"/>
    <n v="3"/>
    <n v="4"/>
    <n v="80"/>
    <n v="2"/>
    <n v="16"/>
    <n v="3"/>
    <n v="2"/>
    <n v="14"/>
    <n v="8"/>
    <n v="6"/>
    <n v="9"/>
    <x v="1"/>
    <x v="2"/>
    <n v="0"/>
    <n v="0"/>
    <x v="3"/>
    <x v="0"/>
    <n v="53"/>
  </r>
  <r>
    <n v="28"/>
    <x v="0"/>
    <s v="Travel_Frequently"/>
    <n v="1496"/>
    <x v="0"/>
    <n v="1"/>
    <n v="3"/>
    <s v="Technical Degree"/>
    <n v="1"/>
    <n v="1486"/>
    <n v="1"/>
    <x v="1"/>
    <n v="92"/>
    <n v="3"/>
    <n v="1"/>
    <x v="6"/>
    <n v="3"/>
    <s v="Married"/>
    <n v="2909"/>
    <n v="15747"/>
    <n v="3"/>
    <s v="Y"/>
    <x v="1"/>
    <n v="15"/>
    <n v="3"/>
    <n v="4"/>
    <n v="80"/>
    <n v="1"/>
    <n v="5"/>
    <n v="3"/>
    <n v="4"/>
    <n v="3"/>
    <n v="2"/>
    <n v="1"/>
    <n v="2"/>
    <x v="2"/>
    <x v="1"/>
    <n v="1"/>
    <n v="0"/>
    <x v="3"/>
    <x v="1"/>
    <n v="63"/>
  </r>
  <r>
    <n v="29"/>
    <x v="0"/>
    <s v="Travel_Frequently"/>
    <n v="115"/>
    <x v="0"/>
    <n v="13"/>
    <n v="3"/>
    <s v="Technical Degree"/>
    <n v="1"/>
    <n v="1487"/>
    <n v="1"/>
    <x v="0"/>
    <n v="51"/>
    <n v="3"/>
    <n v="2"/>
    <x v="0"/>
    <n v="2"/>
    <s v="Single"/>
    <n v="5765"/>
    <n v="17485"/>
    <n v="5"/>
    <s v="Y"/>
    <x v="1"/>
    <n v="11"/>
    <n v="3"/>
    <n v="1"/>
    <n v="80"/>
    <n v="0"/>
    <n v="7"/>
    <n v="4"/>
    <n v="1"/>
    <n v="5"/>
    <n v="3"/>
    <n v="0"/>
    <n v="0"/>
    <x v="2"/>
    <x v="0"/>
    <n v="1"/>
    <n v="0"/>
    <x v="3"/>
    <x v="1"/>
    <n v="69"/>
  </r>
  <r>
    <n v="34"/>
    <x v="0"/>
    <s v="Travel_Rarely"/>
    <n v="790"/>
    <x v="0"/>
    <n v="24"/>
    <n v="4"/>
    <s v="Medical"/>
    <n v="1"/>
    <n v="1489"/>
    <n v="1"/>
    <x v="0"/>
    <n v="40"/>
    <n v="2"/>
    <n v="2"/>
    <x v="0"/>
    <n v="2"/>
    <s v="Single"/>
    <n v="4599"/>
    <n v="7815"/>
    <n v="0"/>
    <s v="Y"/>
    <x v="0"/>
    <n v="23"/>
    <n v="4"/>
    <n v="3"/>
    <n v="80"/>
    <n v="0"/>
    <n v="16"/>
    <n v="2"/>
    <n v="4"/>
    <n v="15"/>
    <n v="9"/>
    <n v="10"/>
    <n v="10"/>
    <x v="1"/>
    <x v="1"/>
    <n v="1"/>
    <n v="1"/>
    <x v="2"/>
    <x v="1"/>
    <n v="72"/>
  </r>
  <r>
    <n v="35"/>
    <x v="1"/>
    <s v="Travel_Rarely"/>
    <n v="660"/>
    <x v="0"/>
    <n v="7"/>
    <n v="1"/>
    <s v="Life Sciences"/>
    <n v="1"/>
    <n v="1492"/>
    <n v="4"/>
    <x v="1"/>
    <n v="76"/>
    <n v="3"/>
    <n v="1"/>
    <x v="6"/>
    <n v="3"/>
    <s v="Married"/>
    <n v="2404"/>
    <n v="16192"/>
    <n v="1"/>
    <s v="Y"/>
    <x v="1"/>
    <n v="13"/>
    <n v="3"/>
    <n v="1"/>
    <n v="80"/>
    <n v="1"/>
    <n v="1"/>
    <n v="3"/>
    <n v="3"/>
    <n v="1"/>
    <n v="0"/>
    <n v="0"/>
    <n v="0"/>
    <x v="1"/>
    <x v="1"/>
    <n v="0"/>
    <n v="0"/>
    <x v="1"/>
    <x v="1"/>
    <n v="63"/>
  </r>
  <r>
    <n v="24"/>
    <x v="0"/>
    <s v="Travel_Frequently"/>
    <n v="381"/>
    <x v="1"/>
    <n v="9"/>
    <n v="3"/>
    <s v="Medical"/>
    <n v="1"/>
    <n v="1494"/>
    <n v="2"/>
    <x v="1"/>
    <n v="89"/>
    <n v="3"/>
    <n v="1"/>
    <x v="2"/>
    <n v="1"/>
    <s v="Single"/>
    <n v="3172"/>
    <n v="16998"/>
    <n v="2"/>
    <s v="Y"/>
    <x v="0"/>
    <n v="11"/>
    <n v="3"/>
    <n v="3"/>
    <n v="80"/>
    <n v="0"/>
    <n v="4"/>
    <n v="2"/>
    <n v="2"/>
    <n v="0"/>
    <n v="0"/>
    <n v="0"/>
    <n v="0"/>
    <x v="2"/>
    <x v="1"/>
    <n v="1"/>
    <n v="1"/>
    <x v="3"/>
    <x v="1"/>
    <n v="110"/>
  </r>
  <r>
    <n v="24"/>
    <x v="1"/>
    <s v="Non-Travel"/>
    <n v="830"/>
    <x v="0"/>
    <n v="13"/>
    <n v="2"/>
    <s v="Life Sciences"/>
    <n v="1"/>
    <n v="1495"/>
    <n v="4"/>
    <x v="0"/>
    <n v="78"/>
    <n v="3"/>
    <n v="1"/>
    <x v="6"/>
    <n v="2"/>
    <s v="Married"/>
    <n v="2033"/>
    <n v="7103"/>
    <n v="1"/>
    <s v="Y"/>
    <x v="1"/>
    <n v="13"/>
    <n v="3"/>
    <n v="3"/>
    <n v="80"/>
    <n v="1"/>
    <n v="1"/>
    <n v="2"/>
    <n v="3"/>
    <n v="1"/>
    <n v="0"/>
    <n v="0"/>
    <n v="0"/>
    <x v="2"/>
    <x v="1"/>
    <n v="0"/>
    <n v="0"/>
    <x v="0"/>
    <x v="1"/>
    <n v="79"/>
  </r>
  <r>
    <n v="44"/>
    <x v="1"/>
    <s v="Travel_Frequently"/>
    <n v="1193"/>
    <x v="1"/>
    <n v="2"/>
    <n v="1"/>
    <s v="Medical"/>
    <n v="1"/>
    <n v="1496"/>
    <n v="2"/>
    <x v="1"/>
    <n v="86"/>
    <n v="3"/>
    <n v="3"/>
    <x v="3"/>
    <n v="3"/>
    <s v="Single"/>
    <n v="10209"/>
    <n v="19719"/>
    <n v="5"/>
    <s v="Y"/>
    <x v="0"/>
    <n v="18"/>
    <n v="3"/>
    <n v="2"/>
    <n v="80"/>
    <n v="0"/>
    <n v="16"/>
    <n v="2"/>
    <n v="2"/>
    <n v="2"/>
    <n v="2"/>
    <n v="2"/>
    <n v="2"/>
    <x v="0"/>
    <x v="0"/>
    <n v="0"/>
    <n v="1"/>
    <x v="1"/>
    <x v="1"/>
    <n v="78"/>
  </r>
  <r>
    <n v="29"/>
    <x v="1"/>
    <s v="Travel_Rarely"/>
    <n v="1246"/>
    <x v="0"/>
    <n v="19"/>
    <n v="3"/>
    <s v="Life Sciences"/>
    <n v="1"/>
    <n v="1497"/>
    <n v="3"/>
    <x v="1"/>
    <n v="77"/>
    <n v="2"/>
    <n v="2"/>
    <x v="0"/>
    <n v="3"/>
    <s v="Divorced"/>
    <n v="8620"/>
    <n v="23757"/>
    <n v="1"/>
    <s v="Y"/>
    <x v="1"/>
    <n v="14"/>
    <n v="3"/>
    <n v="3"/>
    <n v="80"/>
    <n v="2"/>
    <n v="10"/>
    <n v="3"/>
    <n v="3"/>
    <n v="10"/>
    <n v="7"/>
    <n v="0"/>
    <n v="4"/>
    <x v="2"/>
    <x v="0"/>
    <n v="0"/>
    <n v="0"/>
    <x v="3"/>
    <x v="1"/>
    <n v="56"/>
  </r>
  <r>
    <n v="30"/>
    <x v="1"/>
    <s v="Travel_Rarely"/>
    <n v="330"/>
    <x v="2"/>
    <n v="1"/>
    <n v="3"/>
    <s v="Life Sciences"/>
    <n v="1"/>
    <n v="1499"/>
    <n v="3"/>
    <x v="1"/>
    <n v="46"/>
    <n v="3"/>
    <n v="1"/>
    <x v="8"/>
    <n v="3"/>
    <s v="Divorced"/>
    <n v="2064"/>
    <n v="15428"/>
    <n v="0"/>
    <s v="Y"/>
    <x v="1"/>
    <n v="21"/>
    <n v="4"/>
    <n v="1"/>
    <n v="80"/>
    <n v="1"/>
    <n v="6"/>
    <n v="3"/>
    <n v="4"/>
    <n v="5"/>
    <n v="3"/>
    <n v="1"/>
    <n v="3"/>
    <x v="1"/>
    <x v="1"/>
    <n v="0"/>
    <n v="0"/>
    <x v="3"/>
    <x v="0"/>
    <n v="53"/>
  </r>
  <r>
    <n v="55"/>
    <x v="1"/>
    <s v="Travel_Rarely"/>
    <n v="1229"/>
    <x v="1"/>
    <n v="4"/>
    <n v="4"/>
    <s v="Life Sciences"/>
    <n v="1"/>
    <n v="1501"/>
    <n v="4"/>
    <x v="1"/>
    <n v="30"/>
    <n v="3"/>
    <n v="2"/>
    <x v="4"/>
    <n v="3"/>
    <s v="Married"/>
    <n v="4035"/>
    <n v="16143"/>
    <n v="0"/>
    <s v="Y"/>
    <x v="0"/>
    <n v="16"/>
    <n v="3"/>
    <n v="2"/>
    <n v="80"/>
    <n v="0"/>
    <n v="4"/>
    <n v="2"/>
    <n v="3"/>
    <n v="3"/>
    <n v="2"/>
    <n v="1"/>
    <n v="2"/>
    <x v="3"/>
    <x v="1"/>
    <n v="0"/>
    <n v="1"/>
    <x v="2"/>
    <x v="1"/>
    <n v="73"/>
  </r>
  <r>
    <n v="33"/>
    <x v="1"/>
    <s v="Travel_Rarely"/>
    <n v="1099"/>
    <x v="1"/>
    <n v="4"/>
    <n v="4"/>
    <s v="Medical"/>
    <n v="1"/>
    <n v="1502"/>
    <n v="1"/>
    <x v="0"/>
    <n v="82"/>
    <n v="2"/>
    <n v="1"/>
    <x v="2"/>
    <n v="2"/>
    <s v="Married"/>
    <n v="3838"/>
    <n v="8192"/>
    <n v="8"/>
    <s v="Y"/>
    <x v="1"/>
    <n v="11"/>
    <n v="3"/>
    <n v="4"/>
    <n v="80"/>
    <n v="0"/>
    <n v="8"/>
    <n v="5"/>
    <n v="3"/>
    <n v="5"/>
    <n v="4"/>
    <n v="0"/>
    <n v="2"/>
    <x v="1"/>
    <x v="1"/>
    <n v="0"/>
    <n v="0"/>
    <x v="2"/>
    <x v="1"/>
    <n v="59"/>
  </r>
  <r>
    <n v="47"/>
    <x v="1"/>
    <s v="Travel_Rarely"/>
    <n v="571"/>
    <x v="0"/>
    <n v="14"/>
    <n v="3"/>
    <s v="Medical"/>
    <n v="1"/>
    <n v="1503"/>
    <n v="3"/>
    <x v="0"/>
    <n v="78"/>
    <n v="3"/>
    <n v="2"/>
    <x v="0"/>
    <n v="3"/>
    <s v="Married"/>
    <n v="4591"/>
    <n v="24200"/>
    <n v="3"/>
    <s v="Y"/>
    <x v="0"/>
    <n v="17"/>
    <n v="3"/>
    <n v="3"/>
    <n v="80"/>
    <n v="1"/>
    <n v="11"/>
    <n v="4"/>
    <n v="2"/>
    <n v="5"/>
    <n v="4"/>
    <n v="1"/>
    <n v="2"/>
    <x v="0"/>
    <x v="1"/>
    <n v="0"/>
    <n v="1"/>
    <x v="3"/>
    <x v="1"/>
    <n v="68"/>
  </r>
  <r>
    <n v="28"/>
    <x v="0"/>
    <s v="Travel_Frequently"/>
    <n v="289"/>
    <x v="1"/>
    <n v="2"/>
    <n v="2"/>
    <s v="Medical"/>
    <n v="1"/>
    <n v="1504"/>
    <n v="3"/>
    <x v="1"/>
    <n v="38"/>
    <n v="2"/>
    <n v="1"/>
    <x v="2"/>
    <n v="1"/>
    <s v="Single"/>
    <n v="2561"/>
    <n v="5355"/>
    <n v="7"/>
    <s v="Y"/>
    <x v="1"/>
    <n v="11"/>
    <n v="3"/>
    <n v="3"/>
    <n v="80"/>
    <n v="0"/>
    <n v="8"/>
    <n v="2"/>
    <n v="2"/>
    <n v="0"/>
    <n v="0"/>
    <n v="0"/>
    <n v="0"/>
    <x v="2"/>
    <x v="1"/>
    <n v="1"/>
    <n v="0"/>
    <x v="0"/>
    <x v="1"/>
    <n v="85"/>
  </r>
  <r>
    <n v="28"/>
    <x v="1"/>
    <s v="Travel_Rarely"/>
    <n v="1423"/>
    <x v="1"/>
    <n v="1"/>
    <n v="3"/>
    <s v="Life Sciences"/>
    <n v="1"/>
    <n v="1506"/>
    <n v="1"/>
    <x v="1"/>
    <n v="72"/>
    <n v="2"/>
    <n v="1"/>
    <x v="1"/>
    <n v="3"/>
    <s v="Divorced"/>
    <n v="1563"/>
    <n v="12530"/>
    <n v="1"/>
    <s v="Y"/>
    <x v="1"/>
    <n v="14"/>
    <n v="3"/>
    <n v="4"/>
    <n v="80"/>
    <n v="1"/>
    <n v="1"/>
    <n v="2"/>
    <n v="1"/>
    <n v="1"/>
    <n v="0"/>
    <n v="0"/>
    <n v="0"/>
    <x v="2"/>
    <x v="1"/>
    <n v="0"/>
    <n v="0"/>
    <x v="3"/>
    <x v="1"/>
    <n v="73"/>
  </r>
  <r>
    <n v="28"/>
    <x v="1"/>
    <s v="Travel_Frequently"/>
    <n v="467"/>
    <x v="0"/>
    <n v="7"/>
    <n v="3"/>
    <s v="Life Sciences"/>
    <n v="1"/>
    <n v="1507"/>
    <n v="3"/>
    <x v="1"/>
    <n v="55"/>
    <n v="3"/>
    <n v="2"/>
    <x v="0"/>
    <n v="1"/>
    <s v="Single"/>
    <n v="4898"/>
    <n v="11827"/>
    <n v="0"/>
    <s v="Y"/>
    <x v="1"/>
    <n v="14"/>
    <n v="3"/>
    <n v="4"/>
    <n v="80"/>
    <n v="0"/>
    <n v="5"/>
    <n v="5"/>
    <n v="3"/>
    <n v="4"/>
    <n v="2"/>
    <n v="1"/>
    <n v="3"/>
    <x v="2"/>
    <x v="1"/>
    <n v="0"/>
    <n v="0"/>
    <x v="3"/>
    <x v="1"/>
    <n v="75"/>
  </r>
  <r>
    <n v="49"/>
    <x v="1"/>
    <s v="Travel_Rarely"/>
    <n v="271"/>
    <x v="1"/>
    <n v="3"/>
    <n v="2"/>
    <s v="Medical"/>
    <n v="1"/>
    <n v="1509"/>
    <n v="3"/>
    <x v="0"/>
    <n v="43"/>
    <n v="2"/>
    <n v="2"/>
    <x v="2"/>
    <n v="1"/>
    <s v="Married"/>
    <n v="4789"/>
    <n v="23070"/>
    <n v="4"/>
    <s v="Y"/>
    <x v="1"/>
    <n v="25"/>
    <n v="4"/>
    <n v="1"/>
    <n v="80"/>
    <n v="1"/>
    <n v="10"/>
    <n v="3"/>
    <n v="3"/>
    <n v="3"/>
    <n v="2"/>
    <n v="1"/>
    <n v="2"/>
    <x v="0"/>
    <x v="1"/>
    <n v="0"/>
    <n v="0"/>
    <x v="0"/>
    <x v="1"/>
    <n v="55"/>
  </r>
  <r>
    <n v="29"/>
    <x v="1"/>
    <s v="Travel_Frequently"/>
    <n v="410"/>
    <x v="1"/>
    <n v="2"/>
    <n v="1"/>
    <s v="Life Sciences"/>
    <n v="1"/>
    <n v="1513"/>
    <n v="4"/>
    <x v="0"/>
    <n v="97"/>
    <n v="3"/>
    <n v="1"/>
    <x v="2"/>
    <n v="2"/>
    <s v="Married"/>
    <n v="3180"/>
    <n v="4668"/>
    <n v="0"/>
    <s v="Y"/>
    <x v="1"/>
    <n v="13"/>
    <n v="3"/>
    <n v="3"/>
    <n v="80"/>
    <n v="3"/>
    <n v="4"/>
    <n v="3"/>
    <n v="3"/>
    <n v="3"/>
    <n v="2"/>
    <n v="0"/>
    <n v="2"/>
    <x v="2"/>
    <x v="1"/>
    <n v="0"/>
    <n v="0"/>
    <x v="1"/>
    <x v="1"/>
    <n v="69"/>
  </r>
  <r>
    <n v="28"/>
    <x v="1"/>
    <s v="Travel_Rarely"/>
    <n v="1083"/>
    <x v="1"/>
    <n v="29"/>
    <n v="1"/>
    <s v="Life Sciences"/>
    <n v="1"/>
    <n v="1514"/>
    <n v="3"/>
    <x v="1"/>
    <n v="96"/>
    <n v="1"/>
    <n v="2"/>
    <x v="3"/>
    <n v="2"/>
    <s v="Married"/>
    <n v="6549"/>
    <n v="3173"/>
    <n v="1"/>
    <s v="Y"/>
    <x v="1"/>
    <n v="14"/>
    <n v="3"/>
    <n v="2"/>
    <n v="80"/>
    <n v="2"/>
    <n v="8"/>
    <n v="2"/>
    <n v="2"/>
    <n v="8"/>
    <n v="6"/>
    <n v="1"/>
    <n v="7"/>
    <x v="2"/>
    <x v="0"/>
    <n v="0"/>
    <n v="0"/>
    <x v="1"/>
    <x v="1"/>
    <n v="62"/>
  </r>
  <r>
    <n v="33"/>
    <x v="1"/>
    <s v="Travel_Rarely"/>
    <n v="516"/>
    <x v="1"/>
    <n v="8"/>
    <n v="5"/>
    <s v="Life Sciences"/>
    <n v="1"/>
    <n v="1515"/>
    <n v="4"/>
    <x v="1"/>
    <n v="69"/>
    <n v="3"/>
    <n v="2"/>
    <x v="4"/>
    <n v="3"/>
    <s v="Single"/>
    <n v="6388"/>
    <n v="22049"/>
    <n v="2"/>
    <s v="Y"/>
    <x v="0"/>
    <n v="17"/>
    <n v="3"/>
    <n v="1"/>
    <n v="80"/>
    <n v="0"/>
    <n v="14"/>
    <n v="6"/>
    <n v="3"/>
    <n v="0"/>
    <n v="0"/>
    <n v="0"/>
    <n v="0"/>
    <x v="1"/>
    <x v="0"/>
    <n v="0"/>
    <n v="1"/>
    <x v="4"/>
    <x v="1"/>
    <n v="88"/>
  </r>
  <r>
    <n v="32"/>
    <x v="1"/>
    <s v="Travel_Rarely"/>
    <n v="495"/>
    <x v="1"/>
    <n v="10"/>
    <n v="3"/>
    <s v="Medical"/>
    <n v="1"/>
    <n v="1516"/>
    <n v="3"/>
    <x v="1"/>
    <n v="64"/>
    <n v="3"/>
    <n v="3"/>
    <x v="5"/>
    <n v="4"/>
    <s v="Single"/>
    <n v="11244"/>
    <n v="21072"/>
    <n v="2"/>
    <s v="Y"/>
    <x v="1"/>
    <n v="25"/>
    <n v="4"/>
    <n v="2"/>
    <n v="80"/>
    <n v="0"/>
    <n v="10"/>
    <n v="5"/>
    <n v="4"/>
    <n v="5"/>
    <n v="2"/>
    <n v="0"/>
    <n v="0"/>
    <x v="1"/>
    <x v="0"/>
    <n v="0"/>
    <n v="0"/>
    <x v="3"/>
    <x v="0"/>
    <n v="46"/>
  </r>
  <r>
    <n v="54"/>
    <x v="1"/>
    <s v="Travel_Frequently"/>
    <n v="1050"/>
    <x v="1"/>
    <n v="11"/>
    <n v="4"/>
    <s v="Medical"/>
    <n v="1"/>
    <n v="1520"/>
    <n v="2"/>
    <x v="0"/>
    <n v="87"/>
    <n v="3"/>
    <n v="4"/>
    <x v="5"/>
    <n v="4"/>
    <s v="Divorced"/>
    <n v="16032"/>
    <n v="24456"/>
    <n v="3"/>
    <s v="Y"/>
    <x v="1"/>
    <n v="20"/>
    <n v="4"/>
    <n v="1"/>
    <n v="80"/>
    <n v="1"/>
    <n v="26"/>
    <n v="2"/>
    <n v="3"/>
    <n v="14"/>
    <n v="9"/>
    <n v="1"/>
    <n v="12"/>
    <x v="3"/>
    <x v="2"/>
    <n v="0"/>
    <n v="0"/>
    <x v="2"/>
    <x v="2"/>
    <n v="29"/>
  </r>
  <r>
    <n v="29"/>
    <x v="0"/>
    <s v="Travel_Rarely"/>
    <n v="224"/>
    <x v="1"/>
    <n v="1"/>
    <n v="4"/>
    <s v="Technical Degree"/>
    <n v="1"/>
    <n v="1522"/>
    <n v="1"/>
    <x v="1"/>
    <n v="100"/>
    <n v="2"/>
    <n v="1"/>
    <x v="1"/>
    <n v="1"/>
    <s v="Single"/>
    <n v="2362"/>
    <n v="7568"/>
    <n v="6"/>
    <s v="Y"/>
    <x v="1"/>
    <n v="13"/>
    <n v="3"/>
    <n v="3"/>
    <n v="80"/>
    <n v="0"/>
    <n v="11"/>
    <n v="2"/>
    <n v="1"/>
    <n v="9"/>
    <n v="7"/>
    <n v="0"/>
    <n v="7"/>
    <x v="2"/>
    <x v="1"/>
    <n v="1"/>
    <n v="0"/>
    <x v="2"/>
    <x v="1"/>
    <n v="68"/>
  </r>
  <r>
    <n v="44"/>
    <x v="1"/>
    <s v="Travel_Rarely"/>
    <n v="136"/>
    <x v="1"/>
    <n v="28"/>
    <n v="3"/>
    <s v="Life Sciences"/>
    <n v="1"/>
    <n v="1523"/>
    <n v="4"/>
    <x v="1"/>
    <n v="32"/>
    <n v="3"/>
    <n v="4"/>
    <x v="7"/>
    <n v="1"/>
    <s v="Married"/>
    <n v="16328"/>
    <n v="22074"/>
    <n v="3"/>
    <s v="Y"/>
    <x v="1"/>
    <n v="13"/>
    <n v="3"/>
    <n v="3"/>
    <n v="80"/>
    <n v="1"/>
    <n v="24"/>
    <n v="1"/>
    <n v="4"/>
    <n v="20"/>
    <n v="6"/>
    <n v="14"/>
    <n v="17"/>
    <x v="0"/>
    <x v="2"/>
    <n v="0"/>
    <n v="0"/>
    <x v="3"/>
    <x v="0"/>
    <n v="43"/>
  </r>
  <r>
    <n v="39"/>
    <x v="1"/>
    <s v="Travel_Rarely"/>
    <n v="1089"/>
    <x v="1"/>
    <n v="6"/>
    <n v="3"/>
    <s v="Life Sciences"/>
    <n v="1"/>
    <n v="1525"/>
    <n v="2"/>
    <x v="0"/>
    <n v="32"/>
    <n v="3"/>
    <n v="3"/>
    <x v="3"/>
    <n v="2"/>
    <s v="Single"/>
    <n v="8376"/>
    <n v="9150"/>
    <n v="4"/>
    <s v="Y"/>
    <x v="1"/>
    <n v="18"/>
    <n v="3"/>
    <n v="4"/>
    <n v="80"/>
    <n v="0"/>
    <n v="9"/>
    <n v="3"/>
    <n v="3"/>
    <n v="2"/>
    <n v="0"/>
    <n v="2"/>
    <n v="2"/>
    <x v="1"/>
    <x v="0"/>
    <n v="0"/>
    <n v="0"/>
    <x v="3"/>
    <x v="1"/>
    <n v="69"/>
  </r>
  <r>
    <n v="46"/>
    <x v="1"/>
    <s v="Travel_Rarely"/>
    <n v="228"/>
    <x v="0"/>
    <n v="3"/>
    <n v="3"/>
    <s v="Life Sciences"/>
    <n v="1"/>
    <n v="1527"/>
    <n v="3"/>
    <x v="0"/>
    <n v="51"/>
    <n v="3"/>
    <n v="4"/>
    <x v="5"/>
    <n v="2"/>
    <s v="Married"/>
    <n v="16606"/>
    <n v="11380"/>
    <n v="8"/>
    <s v="Y"/>
    <x v="1"/>
    <n v="12"/>
    <n v="3"/>
    <n v="4"/>
    <n v="80"/>
    <n v="1"/>
    <n v="23"/>
    <n v="2"/>
    <n v="4"/>
    <n v="13"/>
    <n v="12"/>
    <n v="5"/>
    <n v="1"/>
    <x v="0"/>
    <x v="2"/>
    <n v="0"/>
    <n v="0"/>
    <x v="3"/>
    <x v="0"/>
    <n v="37"/>
  </r>
  <r>
    <n v="35"/>
    <x v="1"/>
    <s v="Travel_Rarely"/>
    <n v="1029"/>
    <x v="1"/>
    <n v="16"/>
    <n v="3"/>
    <s v="Life Sciences"/>
    <n v="1"/>
    <n v="1529"/>
    <n v="4"/>
    <x v="0"/>
    <n v="91"/>
    <n v="2"/>
    <n v="3"/>
    <x v="4"/>
    <n v="2"/>
    <s v="Single"/>
    <n v="8606"/>
    <n v="21195"/>
    <n v="1"/>
    <s v="Y"/>
    <x v="1"/>
    <n v="19"/>
    <n v="3"/>
    <n v="4"/>
    <n v="80"/>
    <n v="0"/>
    <n v="11"/>
    <n v="3"/>
    <n v="1"/>
    <n v="11"/>
    <n v="8"/>
    <n v="3"/>
    <n v="3"/>
    <x v="1"/>
    <x v="0"/>
    <n v="0"/>
    <n v="0"/>
    <x v="3"/>
    <x v="0"/>
    <n v="47"/>
  </r>
  <r>
    <n v="23"/>
    <x v="1"/>
    <s v="Travel_Rarely"/>
    <n v="507"/>
    <x v="1"/>
    <n v="20"/>
    <n v="1"/>
    <s v="Life Sciences"/>
    <n v="1"/>
    <n v="1533"/>
    <n v="1"/>
    <x v="1"/>
    <n v="97"/>
    <n v="3"/>
    <n v="2"/>
    <x v="2"/>
    <n v="3"/>
    <s v="Single"/>
    <n v="2272"/>
    <n v="24812"/>
    <n v="0"/>
    <s v="Y"/>
    <x v="1"/>
    <n v="14"/>
    <n v="3"/>
    <n v="2"/>
    <n v="80"/>
    <n v="0"/>
    <n v="5"/>
    <n v="2"/>
    <n v="3"/>
    <n v="4"/>
    <n v="3"/>
    <n v="1"/>
    <n v="2"/>
    <x v="2"/>
    <x v="1"/>
    <n v="0"/>
    <n v="0"/>
    <x v="1"/>
    <x v="1"/>
    <n v="63"/>
  </r>
  <r>
    <n v="40"/>
    <x v="0"/>
    <s v="Travel_Rarely"/>
    <n v="676"/>
    <x v="1"/>
    <n v="9"/>
    <n v="4"/>
    <s v="Life Sciences"/>
    <n v="1"/>
    <n v="1534"/>
    <n v="4"/>
    <x v="1"/>
    <n v="86"/>
    <n v="3"/>
    <n v="1"/>
    <x v="2"/>
    <n v="1"/>
    <s v="Single"/>
    <n v="2018"/>
    <n v="21831"/>
    <n v="3"/>
    <s v="Y"/>
    <x v="1"/>
    <n v="14"/>
    <n v="3"/>
    <n v="2"/>
    <n v="80"/>
    <n v="0"/>
    <n v="15"/>
    <n v="3"/>
    <n v="1"/>
    <n v="5"/>
    <n v="4"/>
    <n v="1"/>
    <n v="0"/>
    <x v="0"/>
    <x v="1"/>
    <n v="1"/>
    <n v="0"/>
    <x v="2"/>
    <x v="1"/>
    <n v="55"/>
  </r>
  <r>
    <n v="34"/>
    <x v="1"/>
    <s v="Travel_Rarely"/>
    <n v="971"/>
    <x v="0"/>
    <n v="1"/>
    <n v="3"/>
    <s v="Technical Degree"/>
    <n v="1"/>
    <n v="1535"/>
    <n v="4"/>
    <x v="1"/>
    <n v="64"/>
    <n v="2"/>
    <n v="3"/>
    <x v="0"/>
    <n v="3"/>
    <s v="Married"/>
    <n v="7083"/>
    <n v="12288"/>
    <n v="1"/>
    <s v="Y"/>
    <x v="0"/>
    <n v="14"/>
    <n v="3"/>
    <n v="4"/>
    <n v="80"/>
    <n v="0"/>
    <n v="10"/>
    <n v="3"/>
    <n v="3"/>
    <n v="10"/>
    <n v="9"/>
    <n v="8"/>
    <n v="6"/>
    <x v="1"/>
    <x v="0"/>
    <n v="0"/>
    <n v="1"/>
    <x v="3"/>
    <x v="1"/>
    <n v="71"/>
  </r>
  <r>
    <n v="31"/>
    <x v="0"/>
    <s v="Travel_Frequently"/>
    <n v="561"/>
    <x v="1"/>
    <n v="3"/>
    <n v="3"/>
    <s v="Life Sciences"/>
    <n v="1"/>
    <n v="1537"/>
    <n v="4"/>
    <x v="0"/>
    <n v="33"/>
    <n v="3"/>
    <n v="1"/>
    <x v="1"/>
    <n v="3"/>
    <s v="Single"/>
    <n v="4084"/>
    <n v="4156"/>
    <n v="1"/>
    <s v="Y"/>
    <x v="1"/>
    <n v="12"/>
    <n v="3"/>
    <n v="1"/>
    <n v="80"/>
    <n v="0"/>
    <n v="7"/>
    <n v="2"/>
    <n v="1"/>
    <n v="7"/>
    <n v="2"/>
    <n v="7"/>
    <n v="7"/>
    <x v="1"/>
    <x v="1"/>
    <n v="1"/>
    <n v="0"/>
    <x v="3"/>
    <x v="0"/>
    <n v="46"/>
  </r>
  <r>
    <n v="50"/>
    <x v="1"/>
    <s v="Travel_Frequently"/>
    <n v="333"/>
    <x v="1"/>
    <n v="22"/>
    <n v="5"/>
    <s v="Medical"/>
    <n v="1"/>
    <n v="1539"/>
    <n v="3"/>
    <x v="1"/>
    <n v="88"/>
    <n v="1"/>
    <n v="4"/>
    <x v="7"/>
    <n v="4"/>
    <s v="Single"/>
    <n v="14411"/>
    <n v="24450"/>
    <n v="1"/>
    <s v="Y"/>
    <x v="0"/>
    <n v="13"/>
    <n v="3"/>
    <n v="4"/>
    <n v="80"/>
    <n v="0"/>
    <n v="32"/>
    <n v="2"/>
    <n v="3"/>
    <n v="32"/>
    <n v="6"/>
    <n v="13"/>
    <n v="9"/>
    <x v="3"/>
    <x v="0"/>
    <n v="0"/>
    <n v="1"/>
    <x v="4"/>
    <x v="0"/>
    <n v="54"/>
  </r>
  <r>
    <n v="34"/>
    <x v="1"/>
    <s v="Travel_Rarely"/>
    <n v="1440"/>
    <x v="0"/>
    <n v="7"/>
    <n v="2"/>
    <s v="Technical Degree"/>
    <n v="1"/>
    <n v="1541"/>
    <n v="2"/>
    <x v="1"/>
    <n v="55"/>
    <n v="3"/>
    <n v="1"/>
    <x v="6"/>
    <n v="3"/>
    <s v="Married"/>
    <n v="2308"/>
    <n v="4944"/>
    <n v="0"/>
    <s v="Y"/>
    <x v="0"/>
    <n v="25"/>
    <n v="4"/>
    <n v="2"/>
    <n v="80"/>
    <n v="1"/>
    <n v="12"/>
    <n v="4"/>
    <n v="3"/>
    <n v="11"/>
    <n v="10"/>
    <n v="5"/>
    <n v="7"/>
    <x v="1"/>
    <x v="1"/>
    <n v="0"/>
    <n v="1"/>
    <x v="0"/>
    <x v="1"/>
    <n v="66"/>
  </r>
  <r>
    <n v="42"/>
    <x v="1"/>
    <s v="Travel_Rarely"/>
    <n v="1210"/>
    <x v="1"/>
    <n v="2"/>
    <n v="3"/>
    <s v="Medical"/>
    <n v="1"/>
    <n v="1542"/>
    <n v="3"/>
    <x v="1"/>
    <n v="68"/>
    <n v="2"/>
    <n v="1"/>
    <x v="2"/>
    <n v="2"/>
    <s v="Married"/>
    <n v="4841"/>
    <n v="24052"/>
    <n v="4"/>
    <s v="Y"/>
    <x v="1"/>
    <n v="14"/>
    <n v="3"/>
    <n v="2"/>
    <n v="80"/>
    <n v="1"/>
    <n v="4"/>
    <n v="3"/>
    <n v="3"/>
    <n v="1"/>
    <n v="0"/>
    <n v="0"/>
    <n v="0"/>
    <x v="0"/>
    <x v="1"/>
    <n v="0"/>
    <n v="0"/>
    <x v="3"/>
    <x v="1"/>
    <n v="59"/>
  </r>
  <r>
    <n v="37"/>
    <x v="1"/>
    <s v="Travel_Rarely"/>
    <n v="674"/>
    <x v="1"/>
    <n v="13"/>
    <n v="3"/>
    <s v="Medical"/>
    <n v="1"/>
    <n v="1543"/>
    <n v="1"/>
    <x v="1"/>
    <n v="47"/>
    <n v="3"/>
    <n v="2"/>
    <x v="1"/>
    <n v="4"/>
    <s v="Married"/>
    <n v="4285"/>
    <n v="3031"/>
    <n v="1"/>
    <s v="Y"/>
    <x v="1"/>
    <n v="17"/>
    <n v="3"/>
    <n v="1"/>
    <n v="80"/>
    <n v="0"/>
    <n v="10"/>
    <n v="2"/>
    <n v="3"/>
    <n v="10"/>
    <n v="8"/>
    <n v="3"/>
    <n v="7"/>
    <x v="1"/>
    <x v="1"/>
    <n v="0"/>
    <n v="0"/>
    <x v="3"/>
    <x v="0"/>
    <n v="39"/>
  </r>
  <r>
    <n v="29"/>
    <x v="1"/>
    <s v="Travel_Rarely"/>
    <n v="441"/>
    <x v="1"/>
    <n v="8"/>
    <n v="1"/>
    <s v="Other"/>
    <n v="1"/>
    <n v="1544"/>
    <n v="3"/>
    <x v="0"/>
    <n v="39"/>
    <n v="1"/>
    <n v="2"/>
    <x v="4"/>
    <n v="1"/>
    <s v="Married"/>
    <n v="9715"/>
    <n v="7288"/>
    <n v="3"/>
    <s v="Y"/>
    <x v="1"/>
    <n v="13"/>
    <n v="3"/>
    <n v="3"/>
    <n v="80"/>
    <n v="1"/>
    <n v="9"/>
    <n v="3"/>
    <n v="3"/>
    <n v="7"/>
    <n v="7"/>
    <n v="0"/>
    <n v="7"/>
    <x v="2"/>
    <x v="0"/>
    <n v="0"/>
    <n v="0"/>
    <x v="1"/>
    <x v="1"/>
    <n v="68"/>
  </r>
  <r>
    <n v="33"/>
    <x v="1"/>
    <s v="Travel_Rarely"/>
    <n v="575"/>
    <x v="1"/>
    <n v="25"/>
    <n v="3"/>
    <s v="Life Sciences"/>
    <n v="1"/>
    <n v="1545"/>
    <n v="4"/>
    <x v="1"/>
    <n v="44"/>
    <n v="2"/>
    <n v="2"/>
    <x v="3"/>
    <n v="2"/>
    <s v="Single"/>
    <n v="4320"/>
    <n v="24152"/>
    <n v="1"/>
    <s v="Y"/>
    <x v="1"/>
    <n v="13"/>
    <n v="3"/>
    <n v="4"/>
    <n v="80"/>
    <n v="0"/>
    <n v="5"/>
    <n v="2"/>
    <n v="3"/>
    <n v="5"/>
    <n v="3"/>
    <n v="0"/>
    <n v="2"/>
    <x v="1"/>
    <x v="1"/>
    <n v="0"/>
    <n v="0"/>
    <x v="3"/>
    <x v="1"/>
    <n v="59"/>
  </r>
  <r>
    <n v="45"/>
    <x v="1"/>
    <s v="Travel_Rarely"/>
    <n v="950"/>
    <x v="1"/>
    <n v="28"/>
    <n v="3"/>
    <s v="Technical Degree"/>
    <n v="1"/>
    <n v="1546"/>
    <n v="4"/>
    <x v="1"/>
    <n v="97"/>
    <n v="3"/>
    <n v="1"/>
    <x v="1"/>
    <n v="4"/>
    <s v="Married"/>
    <n v="2132"/>
    <n v="4585"/>
    <n v="4"/>
    <s v="Y"/>
    <x v="1"/>
    <n v="20"/>
    <n v="4"/>
    <n v="4"/>
    <n v="80"/>
    <n v="1"/>
    <n v="8"/>
    <n v="3"/>
    <n v="3"/>
    <n v="5"/>
    <n v="4"/>
    <n v="0"/>
    <n v="3"/>
    <x v="0"/>
    <x v="1"/>
    <n v="0"/>
    <n v="0"/>
    <x v="3"/>
    <x v="0"/>
    <n v="36"/>
  </r>
  <r>
    <n v="42"/>
    <x v="1"/>
    <s v="Travel_Frequently"/>
    <n v="288"/>
    <x v="1"/>
    <n v="2"/>
    <n v="3"/>
    <s v="Life Sciences"/>
    <n v="1"/>
    <n v="1547"/>
    <n v="4"/>
    <x v="1"/>
    <n v="40"/>
    <n v="3"/>
    <n v="3"/>
    <x v="4"/>
    <n v="4"/>
    <s v="Married"/>
    <n v="10124"/>
    <n v="18611"/>
    <n v="2"/>
    <s v="Y"/>
    <x v="0"/>
    <n v="14"/>
    <n v="3"/>
    <n v="3"/>
    <n v="80"/>
    <n v="1"/>
    <n v="24"/>
    <n v="3"/>
    <n v="1"/>
    <n v="20"/>
    <n v="8"/>
    <n v="13"/>
    <n v="9"/>
    <x v="0"/>
    <x v="0"/>
    <n v="0"/>
    <n v="1"/>
    <x v="3"/>
    <x v="0"/>
    <n v="49"/>
  </r>
  <r>
    <n v="40"/>
    <x v="1"/>
    <s v="Travel_Rarely"/>
    <n v="1342"/>
    <x v="0"/>
    <n v="9"/>
    <n v="2"/>
    <s v="Medical"/>
    <n v="1"/>
    <n v="1548"/>
    <n v="1"/>
    <x v="1"/>
    <n v="47"/>
    <n v="3"/>
    <n v="2"/>
    <x v="0"/>
    <n v="1"/>
    <s v="Married"/>
    <n v="5473"/>
    <n v="19345"/>
    <n v="0"/>
    <s v="Y"/>
    <x v="1"/>
    <n v="12"/>
    <n v="3"/>
    <n v="4"/>
    <n v="80"/>
    <n v="0"/>
    <n v="9"/>
    <n v="5"/>
    <n v="4"/>
    <n v="8"/>
    <n v="4"/>
    <n v="7"/>
    <n v="1"/>
    <x v="0"/>
    <x v="0"/>
    <n v="0"/>
    <n v="0"/>
    <x v="0"/>
    <x v="0"/>
    <n v="48"/>
  </r>
  <r>
    <n v="33"/>
    <x v="1"/>
    <s v="Travel_Rarely"/>
    <n v="589"/>
    <x v="1"/>
    <n v="28"/>
    <n v="4"/>
    <s v="Life Sciences"/>
    <n v="1"/>
    <n v="1549"/>
    <n v="2"/>
    <x v="1"/>
    <n v="79"/>
    <n v="3"/>
    <n v="2"/>
    <x v="2"/>
    <n v="3"/>
    <s v="Married"/>
    <n v="5207"/>
    <n v="22949"/>
    <n v="1"/>
    <s v="Y"/>
    <x v="0"/>
    <n v="12"/>
    <n v="3"/>
    <n v="2"/>
    <n v="80"/>
    <n v="1"/>
    <n v="15"/>
    <n v="3"/>
    <n v="3"/>
    <n v="15"/>
    <n v="14"/>
    <n v="5"/>
    <n v="7"/>
    <x v="1"/>
    <x v="0"/>
    <n v="0"/>
    <n v="1"/>
    <x v="2"/>
    <x v="1"/>
    <n v="66"/>
  </r>
  <r>
    <n v="40"/>
    <x v="1"/>
    <s v="Travel_Rarely"/>
    <n v="898"/>
    <x v="2"/>
    <n v="6"/>
    <n v="2"/>
    <s v="Medical"/>
    <n v="1"/>
    <n v="1550"/>
    <n v="3"/>
    <x v="1"/>
    <n v="38"/>
    <n v="3"/>
    <n v="4"/>
    <x v="5"/>
    <n v="4"/>
    <s v="Single"/>
    <n v="16437"/>
    <n v="17381"/>
    <n v="1"/>
    <s v="Y"/>
    <x v="0"/>
    <n v="21"/>
    <n v="4"/>
    <n v="4"/>
    <n v="80"/>
    <n v="0"/>
    <n v="21"/>
    <n v="2"/>
    <n v="3"/>
    <n v="21"/>
    <n v="7"/>
    <n v="7"/>
    <n v="7"/>
    <x v="0"/>
    <x v="2"/>
    <n v="0"/>
    <n v="1"/>
    <x v="0"/>
    <x v="0"/>
    <n v="49"/>
  </r>
  <r>
    <n v="24"/>
    <x v="1"/>
    <s v="Travel_Rarely"/>
    <n v="350"/>
    <x v="1"/>
    <n v="21"/>
    <n v="2"/>
    <s v="Technical Degree"/>
    <n v="1"/>
    <n v="1551"/>
    <n v="3"/>
    <x v="1"/>
    <n v="57"/>
    <n v="2"/>
    <n v="1"/>
    <x v="2"/>
    <n v="1"/>
    <s v="Divorced"/>
    <n v="2296"/>
    <n v="10036"/>
    <n v="0"/>
    <s v="Y"/>
    <x v="1"/>
    <n v="14"/>
    <n v="3"/>
    <n v="2"/>
    <n v="80"/>
    <n v="3"/>
    <n v="2"/>
    <n v="3"/>
    <n v="3"/>
    <n v="1"/>
    <n v="1"/>
    <n v="0"/>
    <n v="0"/>
    <x v="2"/>
    <x v="1"/>
    <n v="0"/>
    <n v="0"/>
    <x v="0"/>
    <x v="1"/>
    <n v="85"/>
  </r>
  <r>
    <n v="40"/>
    <x v="1"/>
    <s v="Non-Travel"/>
    <n v="1142"/>
    <x v="1"/>
    <n v="8"/>
    <n v="2"/>
    <s v="Life Sciences"/>
    <n v="1"/>
    <n v="1552"/>
    <n v="4"/>
    <x v="1"/>
    <n v="72"/>
    <n v="3"/>
    <n v="2"/>
    <x v="4"/>
    <n v="4"/>
    <s v="Divorced"/>
    <n v="4069"/>
    <n v="8841"/>
    <n v="3"/>
    <s v="Y"/>
    <x v="0"/>
    <n v="18"/>
    <n v="3"/>
    <n v="3"/>
    <n v="80"/>
    <n v="0"/>
    <n v="8"/>
    <n v="2"/>
    <n v="3"/>
    <n v="2"/>
    <n v="2"/>
    <n v="2"/>
    <n v="2"/>
    <x v="0"/>
    <x v="1"/>
    <n v="0"/>
    <n v="1"/>
    <x v="0"/>
    <x v="1"/>
    <n v="71"/>
  </r>
  <r>
    <n v="45"/>
    <x v="1"/>
    <s v="Travel_Rarely"/>
    <n v="538"/>
    <x v="1"/>
    <n v="1"/>
    <n v="4"/>
    <s v="Technical Degree"/>
    <n v="1"/>
    <n v="1553"/>
    <n v="1"/>
    <x v="1"/>
    <n v="66"/>
    <n v="3"/>
    <n v="3"/>
    <x v="4"/>
    <n v="2"/>
    <s v="Divorced"/>
    <n v="7441"/>
    <n v="20933"/>
    <n v="1"/>
    <s v="Y"/>
    <x v="1"/>
    <n v="12"/>
    <n v="3"/>
    <n v="1"/>
    <n v="80"/>
    <n v="3"/>
    <n v="10"/>
    <n v="4"/>
    <n v="3"/>
    <n v="10"/>
    <n v="8"/>
    <n v="7"/>
    <n v="7"/>
    <x v="0"/>
    <x v="0"/>
    <n v="0"/>
    <n v="0"/>
    <x v="2"/>
    <x v="0"/>
    <n v="42"/>
  </r>
  <r>
    <n v="35"/>
    <x v="1"/>
    <s v="Travel_Rarely"/>
    <n v="1402"/>
    <x v="0"/>
    <n v="28"/>
    <n v="4"/>
    <s v="Life Sciences"/>
    <n v="1"/>
    <n v="1554"/>
    <n v="2"/>
    <x v="0"/>
    <n v="98"/>
    <n v="2"/>
    <n v="1"/>
    <x v="6"/>
    <n v="3"/>
    <s v="Married"/>
    <n v="2430"/>
    <n v="26204"/>
    <n v="0"/>
    <s v="Y"/>
    <x v="1"/>
    <n v="23"/>
    <n v="4"/>
    <n v="1"/>
    <n v="80"/>
    <n v="2"/>
    <n v="6"/>
    <n v="5"/>
    <n v="3"/>
    <n v="5"/>
    <n v="3"/>
    <n v="4"/>
    <n v="2"/>
    <x v="1"/>
    <x v="1"/>
    <n v="0"/>
    <n v="0"/>
    <x v="2"/>
    <x v="0"/>
    <n v="53"/>
  </r>
  <r>
    <n v="32"/>
    <x v="1"/>
    <s v="Travel_Rarely"/>
    <n v="824"/>
    <x v="1"/>
    <n v="5"/>
    <n v="2"/>
    <s v="Life Sciences"/>
    <n v="1"/>
    <n v="1555"/>
    <n v="4"/>
    <x v="0"/>
    <n v="67"/>
    <n v="2"/>
    <n v="2"/>
    <x v="1"/>
    <n v="2"/>
    <s v="Married"/>
    <n v="5878"/>
    <n v="15624"/>
    <n v="3"/>
    <s v="Y"/>
    <x v="1"/>
    <n v="12"/>
    <n v="3"/>
    <n v="1"/>
    <n v="80"/>
    <n v="1"/>
    <n v="12"/>
    <n v="2"/>
    <n v="3"/>
    <n v="7"/>
    <n v="1"/>
    <n v="2"/>
    <n v="5"/>
    <x v="1"/>
    <x v="0"/>
    <n v="0"/>
    <n v="0"/>
    <x v="0"/>
    <x v="0"/>
    <n v="52"/>
  </r>
  <r>
    <n v="36"/>
    <x v="1"/>
    <s v="Travel_Rarely"/>
    <n v="1157"/>
    <x v="0"/>
    <n v="2"/>
    <n v="4"/>
    <s v="Life Sciences"/>
    <n v="1"/>
    <n v="1556"/>
    <n v="3"/>
    <x v="1"/>
    <n v="70"/>
    <n v="3"/>
    <n v="1"/>
    <x v="6"/>
    <n v="4"/>
    <s v="Single"/>
    <n v="2644"/>
    <n v="17001"/>
    <n v="3"/>
    <s v="Y"/>
    <x v="0"/>
    <n v="21"/>
    <n v="4"/>
    <n v="4"/>
    <n v="80"/>
    <n v="0"/>
    <n v="7"/>
    <n v="3"/>
    <n v="2"/>
    <n v="3"/>
    <n v="2"/>
    <n v="1"/>
    <n v="2"/>
    <x v="1"/>
    <x v="1"/>
    <n v="0"/>
    <n v="1"/>
    <x v="2"/>
    <x v="1"/>
    <n v="71"/>
  </r>
  <r>
    <n v="48"/>
    <x v="1"/>
    <s v="Travel_Rarely"/>
    <n v="492"/>
    <x v="0"/>
    <n v="16"/>
    <n v="4"/>
    <s v="Life Sciences"/>
    <n v="1"/>
    <n v="1557"/>
    <n v="3"/>
    <x v="0"/>
    <n v="96"/>
    <n v="3"/>
    <n v="2"/>
    <x v="0"/>
    <n v="3"/>
    <s v="Divorced"/>
    <n v="6439"/>
    <n v="13693"/>
    <n v="8"/>
    <s v="Y"/>
    <x v="1"/>
    <n v="14"/>
    <n v="3"/>
    <n v="3"/>
    <n v="80"/>
    <n v="1"/>
    <n v="18"/>
    <n v="2"/>
    <n v="3"/>
    <n v="8"/>
    <n v="7"/>
    <n v="7"/>
    <n v="7"/>
    <x v="0"/>
    <x v="0"/>
    <n v="0"/>
    <n v="0"/>
    <x v="2"/>
    <x v="0"/>
    <n v="36"/>
  </r>
  <r>
    <n v="29"/>
    <x v="1"/>
    <s v="Travel_Rarely"/>
    <n v="598"/>
    <x v="1"/>
    <n v="9"/>
    <n v="3"/>
    <s v="Life Sciences"/>
    <n v="1"/>
    <n v="1558"/>
    <n v="3"/>
    <x v="1"/>
    <n v="91"/>
    <n v="4"/>
    <n v="1"/>
    <x v="1"/>
    <n v="3"/>
    <s v="Married"/>
    <n v="2451"/>
    <n v="22376"/>
    <n v="6"/>
    <s v="Y"/>
    <x v="1"/>
    <n v="18"/>
    <n v="3"/>
    <n v="1"/>
    <n v="80"/>
    <n v="2"/>
    <n v="5"/>
    <n v="2"/>
    <n v="2"/>
    <n v="1"/>
    <n v="0"/>
    <n v="0"/>
    <n v="0"/>
    <x v="2"/>
    <x v="1"/>
    <n v="0"/>
    <n v="0"/>
    <x v="3"/>
    <x v="1"/>
    <n v="73"/>
  </r>
  <r>
    <n v="33"/>
    <x v="1"/>
    <s v="Travel_Rarely"/>
    <n v="1242"/>
    <x v="0"/>
    <n v="8"/>
    <n v="4"/>
    <s v="Life Sciences"/>
    <n v="1"/>
    <n v="1560"/>
    <n v="1"/>
    <x v="1"/>
    <n v="46"/>
    <n v="3"/>
    <n v="2"/>
    <x v="0"/>
    <n v="1"/>
    <s v="Married"/>
    <n v="6392"/>
    <n v="10589"/>
    <n v="2"/>
    <s v="Y"/>
    <x v="1"/>
    <n v="13"/>
    <n v="3"/>
    <n v="4"/>
    <n v="80"/>
    <n v="1"/>
    <n v="8"/>
    <n v="6"/>
    <n v="1"/>
    <n v="2"/>
    <n v="2"/>
    <n v="2"/>
    <n v="2"/>
    <x v="1"/>
    <x v="0"/>
    <n v="0"/>
    <n v="0"/>
    <x v="2"/>
    <x v="1"/>
    <n v="75"/>
  </r>
  <r>
    <n v="30"/>
    <x v="0"/>
    <s v="Travel_Rarely"/>
    <n v="740"/>
    <x v="0"/>
    <n v="1"/>
    <n v="3"/>
    <s v="Life Sciences"/>
    <n v="1"/>
    <n v="1562"/>
    <n v="2"/>
    <x v="1"/>
    <n v="64"/>
    <n v="2"/>
    <n v="2"/>
    <x v="0"/>
    <n v="1"/>
    <s v="Married"/>
    <n v="9714"/>
    <n v="5323"/>
    <n v="1"/>
    <s v="Y"/>
    <x v="1"/>
    <n v="11"/>
    <n v="3"/>
    <n v="4"/>
    <n v="80"/>
    <n v="1"/>
    <n v="10"/>
    <n v="4"/>
    <n v="3"/>
    <n v="10"/>
    <n v="8"/>
    <n v="6"/>
    <n v="7"/>
    <x v="1"/>
    <x v="0"/>
    <n v="1"/>
    <n v="0"/>
    <x v="3"/>
    <x v="1"/>
    <n v="58"/>
  </r>
  <r>
    <n v="38"/>
    <x v="1"/>
    <s v="Travel_Frequently"/>
    <n v="888"/>
    <x v="2"/>
    <n v="10"/>
    <n v="4"/>
    <s v="Human Resources"/>
    <n v="1"/>
    <n v="1563"/>
    <n v="3"/>
    <x v="1"/>
    <n v="71"/>
    <n v="3"/>
    <n v="2"/>
    <x v="8"/>
    <n v="3"/>
    <s v="Married"/>
    <n v="6077"/>
    <n v="14814"/>
    <n v="3"/>
    <s v="Y"/>
    <x v="1"/>
    <n v="11"/>
    <n v="3"/>
    <n v="3"/>
    <n v="80"/>
    <n v="0"/>
    <n v="10"/>
    <n v="2"/>
    <n v="3"/>
    <n v="6"/>
    <n v="3"/>
    <n v="1"/>
    <n v="2"/>
    <x v="1"/>
    <x v="0"/>
    <n v="0"/>
    <n v="0"/>
    <x v="2"/>
    <x v="0"/>
    <n v="46"/>
  </r>
  <r>
    <n v="35"/>
    <x v="1"/>
    <s v="Travel_Rarely"/>
    <n v="992"/>
    <x v="1"/>
    <n v="1"/>
    <n v="3"/>
    <s v="Medical"/>
    <n v="1"/>
    <n v="1564"/>
    <n v="4"/>
    <x v="1"/>
    <n v="68"/>
    <n v="2"/>
    <n v="1"/>
    <x v="2"/>
    <n v="1"/>
    <s v="Single"/>
    <n v="2450"/>
    <n v="21731"/>
    <n v="1"/>
    <s v="Y"/>
    <x v="1"/>
    <n v="19"/>
    <n v="3"/>
    <n v="2"/>
    <n v="80"/>
    <n v="0"/>
    <n v="3"/>
    <n v="3"/>
    <n v="3"/>
    <n v="3"/>
    <n v="0"/>
    <n v="1"/>
    <n v="2"/>
    <x v="1"/>
    <x v="1"/>
    <n v="0"/>
    <n v="0"/>
    <x v="3"/>
    <x v="1"/>
    <n v="65"/>
  </r>
  <r>
    <n v="30"/>
    <x v="1"/>
    <s v="Travel_Rarely"/>
    <n v="1288"/>
    <x v="0"/>
    <n v="29"/>
    <n v="4"/>
    <s v="Technical Degree"/>
    <n v="1"/>
    <n v="1568"/>
    <n v="3"/>
    <x v="1"/>
    <n v="33"/>
    <n v="3"/>
    <n v="3"/>
    <x v="0"/>
    <n v="2"/>
    <s v="Married"/>
    <n v="9250"/>
    <n v="17799"/>
    <n v="3"/>
    <s v="Y"/>
    <x v="1"/>
    <n v="12"/>
    <n v="3"/>
    <n v="2"/>
    <n v="80"/>
    <n v="1"/>
    <n v="9"/>
    <n v="3"/>
    <n v="3"/>
    <n v="4"/>
    <n v="2"/>
    <n v="1"/>
    <n v="3"/>
    <x v="1"/>
    <x v="0"/>
    <n v="0"/>
    <n v="0"/>
    <x v="2"/>
    <x v="1"/>
    <n v="59"/>
  </r>
  <r>
    <n v="35"/>
    <x v="0"/>
    <s v="Travel_Rarely"/>
    <n v="104"/>
    <x v="1"/>
    <n v="2"/>
    <n v="3"/>
    <s v="Life Sciences"/>
    <n v="1"/>
    <n v="1569"/>
    <n v="1"/>
    <x v="0"/>
    <n v="69"/>
    <n v="3"/>
    <n v="1"/>
    <x v="2"/>
    <n v="1"/>
    <s v="Divorced"/>
    <n v="2074"/>
    <n v="26619"/>
    <n v="1"/>
    <s v="Y"/>
    <x v="0"/>
    <n v="12"/>
    <n v="3"/>
    <n v="4"/>
    <n v="80"/>
    <n v="1"/>
    <n v="1"/>
    <n v="2"/>
    <n v="3"/>
    <n v="1"/>
    <n v="0"/>
    <n v="0"/>
    <n v="0"/>
    <x v="1"/>
    <x v="1"/>
    <n v="1"/>
    <n v="1"/>
    <x v="3"/>
    <x v="1"/>
    <n v="100"/>
  </r>
  <r>
    <n v="53"/>
    <x v="0"/>
    <s v="Travel_Rarely"/>
    <n v="607"/>
    <x v="1"/>
    <n v="2"/>
    <n v="5"/>
    <s v="Technical Degree"/>
    <n v="1"/>
    <n v="1572"/>
    <n v="3"/>
    <x v="0"/>
    <n v="78"/>
    <n v="2"/>
    <n v="3"/>
    <x v="3"/>
    <n v="4"/>
    <s v="Married"/>
    <n v="10169"/>
    <n v="14618"/>
    <n v="0"/>
    <s v="Y"/>
    <x v="1"/>
    <n v="16"/>
    <n v="3"/>
    <n v="2"/>
    <n v="80"/>
    <n v="1"/>
    <n v="34"/>
    <n v="4"/>
    <n v="3"/>
    <n v="33"/>
    <n v="7"/>
    <n v="1"/>
    <n v="9"/>
    <x v="3"/>
    <x v="0"/>
    <n v="1"/>
    <n v="0"/>
    <x v="4"/>
    <x v="2"/>
    <n v="29"/>
  </r>
  <r>
    <n v="38"/>
    <x v="0"/>
    <s v="Travel_Rarely"/>
    <n v="903"/>
    <x v="1"/>
    <n v="2"/>
    <n v="3"/>
    <s v="Medical"/>
    <n v="1"/>
    <n v="1573"/>
    <n v="3"/>
    <x v="1"/>
    <n v="81"/>
    <n v="3"/>
    <n v="2"/>
    <x v="3"/>
    <n v="2"/>
    <s v="Married"/>
    <n v="4855"/>
    <n v="7653"/>
    <n v="4"/>
    <s v="Y"/>
    <x v="1"/>
    <n v="11"/>
    <n v="3"/>
    <n v="1"/>
    <n v="80"/>
    <n v="2"/>
    <n v="7"/>
    <n v="2"/>
    <n v="3"/>
    <n v="5"/>
    <n v="2"/>
    <n v="1"/>
    <n v="4"/>
    <x v="1"/>
    <x v="1"/>
    <n v="1"/>
    <n v="0"/>
    <x v="3"/>
    <x v="1"/>
    <n v="59"/>
  </r>
  <r>
    <n v="32"/>
    <x v="1"/>
    <s v="Non-Travel"/>
    <n v="1200"/>
    <x v="1"/>
    <n v="1"/>
    <n v="4"/>
    <s v="Technical Degree"/>
    <n v="1"/>
    <n v="1574"/>
    <n v="4"/>
    <x v="1"/>
    <n v="62"/>
    <n v="3"/>
    <n v="2"/>
    <x v="1"/>
    <n v="1"/>
    <s v="Married"/>
    <n v="4087"/>
    <n v="25174"/>
    <n v="4"/>
    <s v="Y"/>
    <x v="1"/>
    <n v="14"/>
    <n v="3"/>
    <n v="2"/>
    <n v="80"/>
    <n v="1"/>
    <n v="9"/>
    <n v="3"/>
    <n v="2"/>
    <n v="6"/>
    <n v="5"/>
    <n v="1"/>
    <n v="2"/>
    <x v="1"/>
    <x v="1"/>
    <n v="0"/>
    <n v="0"/>
    <x v="2"/>
    <x v="1"/>
    <n v="58"/>
  </r>
  <r>
    <n v="48"/>
    <x v="1"/>
    <s v="Travel_Rarely"/>
    <n v="1108"/>
    <x v="1"/>
    <n v="15"/>
    <n v="4"/>
    <s v="Other"/>
    <n v="1"/>
    <n v="1576"/>
    <n v="3"/>
    <x v="0"/>
    <n v="65"/>
    <n v="3"/>
    <n v="1"/>
    <x v="1"/>
    <n v="1"/>
    <s v="Married"/>
    <n v="2367"/>
    <n v="16530"/>
    <n v="8"/>
    <s v="Y"/>
    <x v="1"/>
    <n v="12"/>
    <n v="3"/>
    <n v="4"/>
    <n v="80"/>
    <n v="1"/>
    <n v="10"/>
    <n v="3"/>
    <n v="2"/>
    <n v="8"/>
    <n v="2"/>
    <n v="7"/>
    <n v="6"/>
    <x v="0"/>
    <x v="1"/>
    <n v="0"/>
    <n v="0"/>
    <x v="2"/>
    <x v="0"/>
    <n v="48"/>
  </r>
  <r>
    <n v="34"/>
    <x v="1"/>
    <s v="Travel_Rarely"/>
    <n v="479"/>
    <x v="1"/>
    <n v="7"/>
    <n v="4"/>
    <s v="Medical"/>
    <n v="1"/>
    <n v="1577"/>
    <n v="1"/>
    <x v="1"/>
    <n v="35"/>
    <n v="3"/>
    <n v="1"/>
    <x v="1"/>
    <n v="4"/>
    <s v="Single"/>
    <n v="2972"/>
    <n v="22061"/>
    <n v="1"/>
    <s v="Y"/>
    <x v="1"/>
    <n v="13"/>
    <n v="3"/>
    <n v="3"/>
    <n v="80"/>
    <n v="0"/>
    <n v="1"/>
    <n v="4"/>
    <n v="1"/>
    <n v="1"/>
    <n v="0"/>
    <n v="0"/>
    <n v="0"/>
    <x v="1"/>
    <x v="1"/>
    <n v="0"/>
    <n v="0"/>
    <x v="2"/>
    <x v="1"/>
    <n v="56"/>
  </r>
  <r>
    <n v="55"/>
    <x v="1"/>
    <s v="Travel_Rarely"/>
    <n v="685"/>
    <x v="0"/>
    <n v="26"/>
    <n v="5"/>
    <s v="Marketing"/>
    <n v="1"/>
    <n v="1578"/>
    <n v="3"/>
    <x v="1"/>
    <n v="60"/>
    <n v="2"/>
    <n v="5"/>
    <x v="5"/>
    <n v="4"/>
    <s v="Married"/>
    <n v="19586"/>
    <n v="23037"/>
    <n v="1"/>
    <s v="Y"/>
    <x v="1"/>
    <n v="21"/>
    <n v="4"/>
    <n v="3"/>
    <n v="80"/>
    <n v="1"/>
    <n v="36"/>
    <n v="3"/>
    <n v="3"/>
    <n v="36"/>
    <n v="6"/>
    <n v="2"/>
    <n v="13"/>
    <x v="3"/>
    <x v="2"/>
    <n v="0"/>
    <n v="0"/>
    <x v="4"/>
    <x v="2"/>
    <n v="29"/>
  </r>
  <r>
    <n v="34"/>
    <x v="1"/>
    <s v="Travel_Rarely"/>
    <n v="1351"/>
    <x v="1"/>
    <n v="1"/>
    <n v="4"/>
    <s v="Life Sciences"/>
    <n v="1"/>
    <n v="1580"/>
    <n v="2"/>
    <x v="1"/>
    <n v="45"/>
    <n v="3"/>
    <n v="2"/>
    <x v="1"/>
    <n v="4"/>
    <s v="Married"/>
    <n v="5484"/>
    <n v="13008"/>
    <n v="9"/>
    <s v="Y"/>
    <x v="1"/>
    <n v="17"/>
    <n v="3"/>
    <n v="2"/>
    <n v="80"/>
    <n v="1"/>
    <n v="9"/>
    <n v="3"/>
    <n v="2"/>
    <n v="2"/>
    <n v="2"/>
    <n v="2"/>
    <n v="1"/>
    <x v="1"/>
    <x v="0"/>
    <n v="0"/>
    <n v="0"/>
    <x v="2"/>
    <x v="1"/>
    <n v="56"/>
  </r>
  <r>
    <n v="26"/>
    <x v="1"/>
    <s v="Travel_Rarely"/>
    <n v="474"/>
    <x v="1"/>
    <n v="3"/>
    <n v="3"/>
    <s v="Life Sciences"/>
    <n v="1"/>
    <n v="1581"/>
    <n v="1"/>
    <x v="0"/>
    <n v="89"/>
    <n v="3"/>
    <n v="1"/>
    <x v="1"/>
    <n v="4"/>
    <s v="Married"/>
    <n v="2061"/>
    <n v="11133"/>
    <n v="1"/>
    <s v="Y"/>
    <x v="1"/>
    <n v="21"/>
    <n v="4"/>
    <n v="1"/>
    <n v="80"/>
    <n v="0"/>
    <n v="1"/>
    <n v="5"/>
    <n v="3"/>
    <n v="1"/>
    <n v="0"/>
    <n v="0"/>
    <n v="0"/>
    <x v="2"/>
    <x v="1"/>
    <n v="0"/>
    <n v="0"/>
    <x v="3"/>
    <x v="1"/>
    <n v="66"/>
  </r>
  <r>
    <n v="38"/>
    <x v="1"/>
    <s v="Travel_Rarely"/>
    <n v="1245"/>
    <x v="0"/>
    <n v="14"/>
    <n v="3"/>
    <s v="Life Sciences"/>
    <n v="1"/>
    <n v="1582"/>
    <n v="3"/>
    <x v="1"/>
    <n v="80"/>
    <n v="3"/>
    <n v="2"/>
    <x v="0"/>
    <n v="2"/>
    <s v="Married"/>
    <n v="9924"/>
    <n v="12355"/>
    <n v="0"/>
    <s v="Y"/>
    <x v="1"/>
    <n v="11"/>
    <n v="3"/>
    <n v="4"/>
    <n v="80"/>
    <n v="1"/>
    <n v="10"/>
    <n v="3"/>
    <n v="3"/>
    <n v="9"/>
    <n v="8"/>
    <n v="7"/>
    <n v="7"/>
    <x v="1"/>
    <x v="0"/>
    <n v="0"/>
    <n v="0"/>
    <x v="3"/>
    <x v="0"/>
    <n v="52"/>
  </r>
  <r>
    <n v="38"/>
    <x v="1"/>
    <s v="Travel_Rarely"/>
    <n v="437"/>
    <x v="0"/>
    <n v="16"/>
    <n v="3"/>
    <s v="Life Sciences"/>
    <n v="1"/>
    <n v="1583"/>
    <n v="2"/>
    <x v="0"/>
    <n v="90"/>
    <n v="3"/>
    <n v="2"/>
    <x v="0"/>
    <n v="2"/>
    <s v="Single"/>
    <n v="4198"/>
    <n v="16379"/>
    <n v="2"/>
    <s v="Y"/>
    <x v="1"/>
    <n v="12"/>
    <n v="3"/>
    <n v="2"/>
    <n v="80"/>
    <n v="0"/>
    <n v="8"/>
    <n v="5"/>
    <n v="4"/>
    <n v="3"/>
    <n v="2"/>
    <n v="1"/>
    <n v="2"/>
    <x v="1"/>
    <x v="1"/>
    <n v="0"/>
    <n v="0"/>
    <x v="3"/>
    <x v="1"/>
    <n v="59"/>
  </r>
  <r>
    <n v="36"/>
    <x v="1"/>
    <s v="Travel_Rarely"/>
    <n v="884"/>
    <x v="0"/>
    <n v="1"/>
    <n v="4"/>
    <s v="Life Sciences"/>
    <n v="1"/>
    <n v="1585"/>
    <n v="2"/>
    <x v="0"/>
    <n v="73"/>
    <n v="3"/>
    <n v="2"/>
    <x v="0"/>
    <n v="3"/>
    <s v="Single"/>
    <n v="6815"/>
    <n v="21447"/>
    <n v="6"/>
    <s v="Y"/>
    <x v="1"/>
    <n v="13"/>
    <n v="3"/>
    <n v="1"/>
    <n v="80"/>
    <n v="0"/>
    <n v="15"/>
    <n v="5"/>
    <n v="3"/>
    <n v="1"/>
    <n v="0"/>
    <n v="0"/>
    <n v="0"/>
    <x v="1"/>
    <x v="0"/>
    <n v="0"/>
    <n v="0"/>
    <x v="2"/>
    <x v="1"/>
    <n v="63"/>
  </r>
  <r>
    <n v="29"/>
    <x v="1"/>
    <s v="Travel_Rarely"/>
    <n v="1370"/>
    <x v="1"/>
    <n v="3"/>
    <n v="1"/>
    <s v="Medical"/>
    <n v="1"/>
    <n v="1586"/>
    <n v="2"/>
    <x v="1"/>
    <n v="87"/>
    <n v="3"/>
    <n v="1"/>
    <x v="2"/>
    <n v="1"/>
    <s v="Single"/>
    <n v="4723"/>
    <n v="16213"/>
    <n v="1"/>
    <s v="Y"/>
    <x v="0"/>
    <n v="18"/>
    <n v="3"/>
    <n v="4"/>
    <n v="80"/>
    <n v="0"/>
    <n v="10"/>
    <n v="3"/>
    <n v="3"/>
    <n v="10"/>
    <n v="9"/>
    <n v="1"/>
    <n v="5"/>
    <x v="2"/>
    <x v="1"/>
    <n v="0"/>
    <n v="1"/>
    <x v="1"/>
    <x v="1"/>
    <n v="93"/>
  </r>
  <r>
    <n v="35"/>
    <x v="1"/>
    <s v="Travel_Rarely"/>
    <n v="670"/>
    <x v="1"/>
    <n v="10"/>
    <n v="4"/>
    <s v="Medical"/>
    <n v="1"/>
    <n v="1587"/>
    <n v="1"/>
    <x v="0"/>
    <n v="51"/>
    <n v="3"/>
    <n v="2"/>
    <x v="4"/>
    <n v="3"/>
    <s v="Single"/>
    <n v="6142"/>
    <n v="4223"/>
    <n v="3"/>
    <s v="Y"/>
    <x v="0"/>
    <n v="16"/>
    <n v="3"/>
    <n v="3"/>
    <n v="80"/>
    <n v="0"/>
    <n v="10"/>
    <n v="4"/>
    <n v="3"/>
    <n v="5"/>
    <n v="2"/>
    <n v="0"/>
    <n v="4"/>
    <x v="1"/>
    <x v="0"/>
    <n v="0"/>
    <n v="1"/>
    <x v="2"/>
    <x v="1"/>
    <n v="78"/>
  </r>
  <r>
    <n v="39"/>
    <x v="1"/>
    <s v="Travel_Rarely"/>
    <n v="1462"/>
    <x v="0"/>
    <n v="6"/>
    <n v="3"/>
    <s v="Medical"/>
    <n v="1"/>
    <n v="1588"/>
    <n v="4"/>
    <x v="1"/>
    <n v="38"/>
    <n v="4"/>
    <n v="3"/>
    <x v="0"/>
    <n v="3"/>
    <s v="Married"/>
    <n v="8237"/>
    <n v="4658"/>
    <n v="2"/>
    <s v="Y"/>
    <x v="1"/>
    <n v="11"/>
    <n v="3"/>
    <n v="1"/>
    <n v="80"/>
    <n v="1"/>
    <n v="11"/>
    <n v="3"/>
    <n v="3"/>
    <n v="7"/>
    <n v="6"/>
    <n v="7"/>
    <n v="6"/>
    <x v="1"/>
    <x v="0"/>
    <n v="0"/>
    <n v="0"/>
    <x v="3"/>
    <x v="0"/>
    <n v="46"/>
  </r>
  <r>
    <n v="29"/>
    <x v="1"/>
    <s v="Travel_Frequently"/>
    <n v="995"/>
    <x v="1"/>
    <n v="2"/>
    <n v="1"/>
    <s v="Life Sciences"/>
    <n v="1"/>
    <n v="1590"/>
    <n v="1"/>
    <x v="1"/>
    <n v="87"/>
    <n v="3"/>
    <n v="2"/>
    <x v="4"/>
    <n v="4"/>
    <s v="Divorced"/>
    <n v="8853"/>
    <n v="24483"/>
    <n v="1"/>
    <s v="Y"/>
    <x v="1"/>
    <n v="19"/>
    <n v="3"/>
    <n v="4"/>
    <n v="80"/>
    <n v="1"/>
    <n v="6"/>
    <n v="0"/>
    <n v="4"/>
    <n v="6"/>
    <n v="4"/>
    <n v="1"/>
    <n v="3"/>
    <x v="2"/>
    <x v="0"/>
    <n v="0"/>
    <n v="0"/>
    <x v="1"/>
    <x v="0"/>
    <n v="49"/>
  </r>
  <r>
    <n v="50"/>
    <x v="1"/>
    <s v="Travel_Rarely"/>
    <n v="264"/>
    <x v="0"/>
    <n v="9"/>
    <n v="3"/>
    <s v="Marketing"/>
    <n v="1"/>
    <n v="1591"/>
    <n v="3"/>
    <x v="1"/>
    <n v="59"/>
    <n v="3"/>
    <n v="5"/>
    <x v="5"/>
    <n v="3"/>
    <s v="Married"/>
    <n v="19331"/>
    <n v="19519"/>
    <n v="4"/>
    <s v="Y"/>
    <x v="0"/>
    <n v="16"/>
    <n v="3"/>
    <n v="3"/>
    <n v="80"/>
    <n v="1"/>
    <n v="27"/>
    <n v="2"/>
    <n v="3"/>
    <n v="1"/>
    <n v="0"/>
    <n v="0"/>
    <n v="0"/>
    <x v="3"/>
    <x v="2"/>
    <n v="0"/>
    <n v="1"/>
    <x v="3"/>
    <x v="1"/>
    <n v="83"/>
  </r>
  <r>
    <n v="23"/>
    <x v="1"/>
    <s v="Travel_Rarely"/>
    <n v="977"/>
    <x v="1"/>
    <n v="10"/>
    <n v="3"/>
    <s v="Technical Degree"/>
    <n v="1"/>
    <n v="1592"/>
    <n v="4"/>
    <x v="1"/>
    <n v="45"/>
    <n v="4"/>
    <n v="1"/>
    <x v="1"/>
    <n v="3"/>
    <s v="Married"/>
    <n v="2073"/>
    <n v="12826"/>
    <n v="2"/>
    <s v="Y"/>
    <x v="1"/>
    <n v="16"/>
    <n v="3"/>
    <n v="4"/>
    <n v="80"/>
    <n v="1"/>
    <n v="4"/>
    <n v="2"/>
    <n v="3"/>
    <n v="2"/>
    <n v="2"/>
    <n v="2"/>
    <n v="2"/>
    <x v="2"/>
    <x v="1"/>
    <n v="0"/>
    <n v="0"/>
    <x v="3"/>
    <x v="1"/>
    <n v="73"/>
  </r>
  <r>
    <n v="36"/>
    <x v="1"/>
    <s v="Travel_Frequently"/>
    <n v="1302"/>
    <x v="1"/>
    <n v="6"/>
    <n v="4"/>
    <s v="Life Sciences"/>
    <n v="1"/>
    <n v="1594"/>
    <n v="1"/>
    <x v="1"/>
    <n v="80"/>
    <n v="4"/>
    <n v="2"/>
    <x v="2"/>
    <n v="1"/>
    <s v="Married"/>
    <n v="5562"/>
    <n v="19711"/>
    <n v="3"/>
    <s v="Y"/>
    <x v="0"/>
    <n v="13"/>
    <n v="3"/>
    <n v="4"/>
    <n v="80"/>
    <n v="1"/>
    <n v="9"/>
    <n v="3"/>
    <n v="3"/>
    <n v="3"/>
    <n v="2"/>
    <n v="0"/>
    <n v="2"/>
    <x v="1"/>
    <x v="0"/>
    <n v="0"/>
    <n v="1"/>
    <x v="2"/>
    <x v="1"/>
    <n v="90"/>
  </r>
  <r>
    <n v="42"/>
    <x v="1"/>
    <s v="Travel_Rarely"/>
    <n v="1059"/>
    <x v="1"/>
    <n v="9"/>
    <n v="2"/>
    <s v="Other"/>
    <n v="1"/>
    <n v="1595"/>
    <n v="4"/>
    <x v="1"/>
    <n v="93"/>
    <n v="2"/>
    <n v="5"/>
    <x v="5"/>
    <n v="4"/>
    <s v="Single"/>
    <n v="19613"/>
    <n v="26362"/>
    <n v="8"/>
    <s v="Y"/>
    <x v="1"/>
    <n v="22"/>
    <n v="4"/>
    <n v="4"/>
    <n v="80"/>
    <n v="0"/>
    <n v="24"/>
    <n v="2"/>
    <n v="3"/>
    <n v="1"/>
    <n v="0"/>
    <n v="0"/>
    <n v="1"/>
    <x v="0"/>
    <x v="2"/>
    <n v="0"/>
    <n v="0"/>
    <x v="0"/>
    <x v="0"/>
    <n v="46"/>
  </r>
  <r>
    <n v="35"/>
    <x v="1"/>
    <s v="Travel_Rarely"/>
    <n v="750"/>
    <x v="1"/>
    <n v="28"/>
    <n v="3"/>
    <s v="Life Sciences"/>
    <n v="1"/>
    <n v="1596"/>
    <n v="2"/>
    <x v="1"/>
    <n v="46"/>
    <n v="4"/>
    <n v="2"/>
    <x v="2"/>
    <n v="3"/>
    <s v="Married"/>
    <n v="3407"/>
    <n v="25348"/>
    <n v="1"/>
    <s v="Y"/>
    <x v="1"/>
    <n v="17"/>
    <n v="3"/>
    <n v="4"/>
    <n v="80"/>
    <n v="2"/>
    <n v="10"/>
    <n v="3"/>
    <n v="2"/>
    <n v="10"/>
    <n v="9"/>
    <n v="6"/>
    <n v="8"/>
    <x v="1"/>
    <x v="1"/>
    <n v="0"/>
    <n v="0"/>
    <x v="3"/>
    <x v="0"/>
    <n v="46"/>
  </r>
  <r>
    <n v="34"/>
    <x v="1"/>
    <s v="Travel_Frequently"/>
    <n v="653"/>
    <x v="1"/>
    <n v="10"/>
    <n v="4"/>
    <s v="Technical Degree"/>
    <n v="1"/>
    <n v="1597"/>
    <n v="4"/>
    <x v="1"/>
    <n v="92"/>
    <n v="2"/>
    <n v="2"/>
    <x v="4"/>
    <n v="3"/>
    <s v="Married"/>
    <n v="5063"/>
    <n v="15332"/>
    <n v="1"/>
    <s v="Y"/>
    <x v="1"/>
    <n v="14"/>
    <n v="3"/>
    <n v="2"/>
    <n v="80"/>
    <n v="1"/>
    <n v="8"/>
    <n v="3"/>
    <n v="2"/>
    <n v="8"/>
    <n v="2"/>
    <n v="7"/>
    <n v="7"/>
    <x v="1"/>
    <x v="0"/>
    <n v="0"/>
    <n v="0"/>
    <x v="2"/>
    <x v="0"/>
    <n v="46"/>
  </r>
  <r>
    <n v="40"/>
    <x v="1"/>
    <s v="Travel_Rarely"/>
    <n v="118"/>
    <x v="0"/>
    <n v="14"/>
    <n v="2"/>
    <s v="Life Sciences"/>
    <n v="1"/>
    <n v="1598"/>
    <n v="4"/>
    <x v="0"/>
    <n v="84"/>
    <n v="3"/>
    <n v="2"/>
    <x v="0"/>
    <n v="1"/>
    <s v="Married"/>
    <n v="4639"/>
    <n v="11262"/>
    <n v="1"/>
    <s v="Y"/>
    <x v="1"/>
    <n v="15"/>
    <n v="3"/>
    <n v="3"/>
    <n v="80"/>
    <n v="1"/>
    <n v="5"/>
    <n v="2"/>
    <n v="3"/>
    <n v="5"/>
    <n v="4"/>
    <n v="1"/>
    <n v="2"/>
    <x v="0"/>
    <x v="1"/>
    <n v="0"/>
    <n v="0"/>
    <x v="0"/>
    <x v="1"/>
    <n v="55"/>
  </r>
  <r>
    <n v="43"/>
    <x v="1"/>
    <s v="Travel_Rarely"/>
    <n v="990"/>
    <x v="1"/>
    <n v="27"/>
    <n v="3"/>
    <s v="Technical Degree"/>
    <n v="1"/>
    <n v="1599"/>
    <n v="4"/>
    <x v="1"/>
    <n v="87"/>
    <n v="4"/>
    <n v="1"/>
    <x v="2"/>
    <n v="2"/>
    <s v="Divorced"/>
    <n v="4876"/>
    <n v="5855"/>
    <n v="5"/>
    <s v="Y"/>
    <x v="1"/>
    <n v="12"/>
    <n v="3"/>
    <n v="3"/>
    <n v="80"/>
    <n v="1"/>
    <n v="8"/>
    <n v="0"/>
    <n v="3"/>
    <n v="6"/>
    <n v="4"/>
    <n v="0"/>
    <n v="2"/>
    <x v="0"/>
    <x v="1"/>
    <n v="0"/>
    <n v="0"/>
    <x v="3"/>
    <x v="0"/>
    <n v="42"/>
  </r>
  <r>
    <n v="35"/>
    <x v="1"/>
    <s v="Travel_Rarely"/>
    <n v="1349"/>
    <x v="1"/>
    <n v="7"/>
    <n v="2"/>
    <s v="Life Sciences"/>
    <n v="1"/>
    <n v="1601"/>
    <n v="3"/>
    <x v="1"/>
    <n v="63"/>
    <n v="2"/>
    <n v="1"/>
    <x v="2"/>
    <n v="4"/>
    <s v="Married"/>
    <n v="2690"/>
    <n v="7713"/>
    <n v="1"/>
    <s v="Y"/>
    <x v="1"/>
    <n v="18"/>
    <n v="3"/>
    <n v="4"/>
    <n v="80"/>
    <n v="1"/>
    <n v="1"/>
    <n v="5"/>
    <n v="2"/>
    <n v="1"/>
    <n v="0"/>
    <n v="0"/>
    <n v="1"/>
    <x v="1"/>
    <x v="1"/>
    <n v="0"/>
    <n v="0"/>
    <x v="0"/>
    <x v="1"/>
    <n v="56"/>
  </r>
  <r>
    <n v="46"/>
    <x v="1"/>
    <s v="Travel_Rarely"/>
    <n v="563"/>
    <x v="0"/>
    <n v="1"/>
    <n v="4"/>
    <s v="Life Sciences"/>
    <n v="1"/>
    <n v="1602"/>
    <n v="4"/>
    <x v="1"/>
    <n v="56"/>
    <n v="4"/>
    <n v="4"/>
    <x v="5"/>
    <n v="1"/>
    <s v="Single"/>
    <n v="17567"/>
    <n v="3156"/>
    <n v="1"/>
    <s v="Y"/>
    <x v="1"/>
    <n v="15"/>
    <n v="3"/>
    <n v="2"/>
    <n v="80"/>
    <n v="0"/>
    <n v="27"/>
    <n v="5"/>
    <n v="1"/>
    <n v="26"/>
    <n v="0"/>
    <n v="0"/>
    <n v="12"/>
    <x v="0"/>
    <x v="2"/>
    <n v="0"/>
    <n v="0"/>
    <x v="2"/>
    <x v="0"/>
    <n v="43"/>
  </r>
  <r>
    <n v="28"/>
    <x v="0"/>
    <s v="Travel_Rarely"/>
    <n v="329"/>
    <x v="1"/>
    <n v="24"/>
    <n v="3"/>
    <s v="Medical"/>
    <n v="1"/>
    <n v="1604"/>
    <n v="3"/>
    <x v="1"/>
    <n v="51"/>
    <n v="3"/>
    <n v="1"/>
    <x v="2"/>
    <n v="2"/>
    <s v="Married"/>
    <n v="2408"/>
    <n v="7324"/>
    <n v="1"/>
    <s v="Y"/>
    <x v="0"/>
    <n v="17"/>
    <n v="3"/>
    <n v="3"/>
    <n v="80"/>
    <n v="3"/>
    <n v="1"/>
    <n v="3"/>
    <n v="3"/>
    <n v="1"/>
    <n v="1"/>
    <n v="0"/>
    <n v="0"/>
    <x v="2"/>
    <x v="1"/>
    <n v="1"/>
    <n v="1"/>
    <x v="3"/>
    <x v="1"/>
    <n v="104"/>
  </r>
  <r>
    <n v="22"/>
    <x v="1"/>
    <s v="Non-Travel"/>
    <n v="457"/>
    <x v="1"/>
    <n v="26"/>
    <n v="2"/>
    <s v="Other"/>
    <n v="1"/>
    <n v="1605"/>
    <n v="2"/>
    <x v="0"/>
    <n v="85"/>
    <n v="2"/>
    <n v="1"/>
    <x v="1"/>
    <n v="3"/>
    <s v="Married"/>
    <n v="2814"/>
    <n v="10293"/>
    <n v="1"/>
    <s v="Y"/>
    <x v="0"/>
    <n v="14"/>
    <n v="3"/>
    <n v="2"/>
    <n v="80"/>
    <n v="0"/>
    <n v="4"/>
    <n v="2"/>
    <n v="2"/>
    <n v="4"/>
    <n v="2"/>
    <n v="1"/>
    <n v="3"/>
    <x v="2"/>
    <x v="1"/>
    <n v="0"/>
    <n v="1"/>
    <x v="0"/>
    <x v="1"/>
    <n v="88"/>
  </r>
  <r>
    <n v="50"/>
    <x v="1"/>
    <s v="Travel_Frequently"/>
    <n v="1234"/>
    <x v="1"/>
    <n v="20"/>
    <n v="5"/>
    <s v="Medical"/>
    <n v="1"/>
    <n v="1606"/>
    <n v="2"/>
    <x v="1"/>
    <n v="41"/>
    <n v="3"/>
    <n v="4"/>
    <x v="4"/>
    <n v="3"/>
    <s v="Married"/>
    <n v="11245"/>
    <n v="20689"/>
    <n v="2"/>
    <s v="Y"/>
    <x v="0"/>
    <n v="15"/>
    <n v="3"/>
    <n v="3"/>
    <n v="80"/>
    <n v="1"/>
    <n v="32"/>
    <n v="3"/>
    <n v="3"/>
    <n v="30"/>
    <n v="8"/>
    <n v="12"/>
    <n v="13"/>
    <x v="3"/>
    <x v="0"/>
    <n v="0"/>
    <n v="1"/>
    <x v="4"/>
    <x v="1"/>
    <n v="61"/>
  </r>
  <r>
    <n v="32"/>
    <x v="1"/>
    <s v="Travel_Rarely"/>
    <n v="634"/>
    <x v="1"/>
    <n v="5"/>
    <n v="4"/>
    <s v="Other"/>
    <n v="1"/>
    <n v="1607"/>
    <n v="2"/>
    <x v="0"/>
    <n v="35"/>
    <n v="4"/>
    <n v="1"/>
    <x v="1"/>
    <n v="4"/>
    <s v="Married"/>
    <n v="3312"/>
    <n v="18783"/>
    <n v="3"/>
    <s v="Y"/>
    <x v="1"/>
    <n v="17"/>
    <n v="3"/>
    <n v="4"/>
    <n v="80"/>
    <n v="2"/>
    <n v="6"/>
    <n v="3"/>
    <n v="3"/>
    <n v="3"/>
    <n v="2"/>
    <n v="0"/>
    <n v="2"/>
    <x v="1"/>
    <x v="1"/>
    <n v="0"/>
    <n v="0"/>
    <x v="2"/>
    <x v="0"/>
    <n v="46"/>
  </r>
  <r>
    <n v="44"/>
    <x v="1"/>
    <s v="Travel_Rarely"/>
    <n v="1313"/>
    <x v="1"/>
    <n v="7"/>
    <n v="3"/>
    <s v="Medical"/>
    <n v="1"/>
    <n v="1608"/>
    <n v="2"/>
    <x v="0"/>
    <n v="31"/>
    <n v="3"/>
    <n v="5"/>
    <x v="7"/>
    <n v="4"/>
    <s v="Divorced"/>
    <n v="19049"/>
    <n v="3549"/>
    <n v="0"/>
    <s v="Y"/>
    <x v="0"/>
    <n v="14"/>
    <n v="3"/>
    <n v="4"/>
    <n v="80"/>
    <n v="1"/>
    <n v="23"/>
    <n v="4"/>
    <n v="2"/>
    <n v="22"/>
    <n v="7"/>
    <n v="1"/>
    <n v="10"/>
    <x v="0"/>
    <x v="2"/>
    <n v="0"/>
    <n v="1"/>
    <x v="3"/>
    <x v="0"/>
    <n v="49"/>
  </r>
  <r>
    <n v="30"/>
    <x v="1"/>
    <s v="Travel_Rarely"/>
    <n v="241"/>
    <x v="1"/>
    <n v="7"/>
    <n v="3"/>
    <s v="Medical"/>
    <n v="1"/>
    <n v="1609"/>
    <n v="2"/>
    <x v="1"/>
    <n v="48"/>
    <n v="2"/>
    <n v="1"/>
    <x v="1"/>
    <n v="2"/>
    <s v="Married"/>
    <n v="2141"/>
    <n v="5348"/>
    <n v="1"/>
    <s v="Y"/>
    <x v="1"/>
    <n v="12"/>
    <n v="3"/>
    <n v="2"/>
    <n v="80"/>
    <n v="1"/>
    <n v="6"/>
    <n v="3"/>
    <n v="2"/>
    <n v="6"/>
    <n v="4"/>
    <n v="1"/>
    <n v="1"/>
    <x v="1"/>
    <x v="1"/>
    <n v="0"/>
    <n v="0"/>
    <x v="3"/>
    <x v="0"/>
    <n v="52"/>
  </r>
  <r>
    <n v="45"/>
    <x v="1"/>
    <s v="Travel_Rarely"/>
    <n v="1015"/>
    <x v="1"/>
    <n v="5"/>
    <n v="5"/>
    <s v="Medical"/>
    <n v="1"/>
    <n v="1611"/>
    <n v="3"/>
    <x v="0"/>
    <n v="50"/>
    <n v="1"/>
    <n v="2"/>
    <x v="2"/>
    <n v="1"/>
    <s v="Single"/>
    <n v="5769"/>
    <n v="23447"/>
    <n v="1"/>
    <s v="Y"/>
    <x v="0"/>
    <n v="14"/>
    <n v="3"/>
    <n v="1"/>
    <n v="80"/>
    <n v="0"/>
    <n v="10"/>
    <n v="3"/>
    <n v="3"/>
    <n v="10"/>
    <n v="7"/>
    <n v="1"/>
    <n v="4"/>
    <x v="0"/>
    <x v="0"/>
    <n v="0"/>
    <n v="1"/>
    <x v="4"/>
    <x v="1"/>
    <n v="73"/>
  </r>
  <r>
    <n v="45"/>
    <x v="1"/>
    <s v="Non-Travel"/>
    <n v="336"/>
    <x v="0"/>
    <n v="26"/>
    <n v="3"/>
    <s v="Marketing"/>
    <n v="1"/>
    <n v="1612"/>
    <n v="1"/>
    <x v="1"/>
    <n v="52"/>
    <n v="2"/>
    <n v="2"/>
    <x v="0"/>
    <n v="1"/>
    <s v="Married"/>
    <n v="4385"/>
    <n v="24162"/>
    <n v="1"/>
    <s v="Y"/>
    <x v="1"/>
    <n v="15"/>
    <n v="3"/>
    <n v="1"/>
    <n v="80"/>
    <n v="1"/>
    <n v="10"/>
    <n v="2"/>
    <n v="3"/>
    <n v="10"/>
    <n v="7"/>
    <n v="4"/>
    <n v="5"/>
    <x v="0"/>
    <x v="1"/>
    <n v="0"/>
    <n v="0"/>
    <x v="3"/>
    <x v="0"/>
    <n v="48"/>
  </r>
  <r>
    <n v="31"/>
    <x v="1"/>
    <s v="Travel_Frequently"/>
    <n v="715"/>
    <x v="0"/>
    <n v="2"/>
    <n v="4"/>
    <s v="Other"/>
    <n v="1"/>
    <n v="1613"/>
    <n v="4"/>
    <x v="1"/>
    <n v="54"/>
    <n v="3"/>
    <n v="2"/>
    <x v="0"/>
    <n v="1"/>
    <s v="Single"/>
    <n v="5332"/>
    <n v="21602"/>
    <n v="7"/>
    <s v="Y"/>
    <x v="1"/>
    <n v="13"/>
    <n v="3"/>
    <n v="4"/>
    <n v="80"/>
    <n v="0"/>
    <n v="10"/>
    <n v="3"/>
    <n v="3"/>
    <n v="5"/>
    <n v="2"/>
    <n v="0"/>
    <n v="3"/>
    <x v="1"/>
    <x v="0"/>
    <n v="0"/>
    <n v="0"/>
    <x v="2"/>
    <x v="1"/>
    <n v="65"/>
  </r>
  <r>
    <n v="36"/>
    <x v="1"/>
    <s v="Travel_Rarely"/>
    <n v="559"/>
    <x v="1"/>
    <n v="12"/>
    <n v="4"/>
    <s v="Life Sciences"/>
    <n v="1"/>
    <n v="1614"/>
    <n v="3"/>
    <x v="0"/>
    <n v="76"/>
    <n v="3"/>
    <n v="2"/>
    <x v="3"/>
    <n v="3"/>
    <s v="Married"/>
    <n v="4663"/>
    <n v="12421"/>
    <n v="9"/>
    <s v="Y"/>
    <x v="0"/>
    <n v="12"/>
    <n v="3"/>
    <n v="2"/>
    <n v="80"/>
    <n v="2"/>
    <n v="7"/>
    <n v="2"/>
    <n v="3"/>
    <n v="3"/>
    <n v="2"/>
    <n v="1"/>
    <n v="1"/>
    <x v="1"/>
    <x v="1"/>
    <n v="0"/>
    <n v="1"/>
    <x v="2"/>
    <x v="1"/>
    <n v="78"/>
  </r>
  <r>
    <n v="34"/>
    <x v="1"/>
    <s v="Travel_Frequently"/>
    <n v="426"/>
    <x v="1"/>
    <n v="10"/>
    <n v="4"/>
    <s v="Life Sciences"/>
    <n v="1"/>
    <n v="1615"/>
    <n v="3"/>
    <x v="1"/>
    <n v="42"/>
    <n v="4"/>
    <n v="2"/>
    <x v="3"/>
    <n v="4"/>
    <s v="Divorced"/>
    <n v="4724"/>
    <n v="17000"/>
    <n v="1"/>
    <s v="Y"/>
    <x v="1"/>
    <n v="13"/>
    <n v="3"/>
    <n v="1"/>
    <n v="80"/>
    <n v="1"/>
    <n v="9"/>
    <n v="3"/>
    <n v="3"/>
    <n v="9"/>
    <n v="7"/>
    <n v="7"/>
    <n v="2"/>
    <x v="1"/>
    <x v="1"/>
    <n v="0"/>
    <n v="0"/>
    <x v="2"/>
    <x v="0"/>
    <n v="39"/>
  </r>
  <r>
    <n v="49"/>
    <x v="1"/>
    <s v="Travel_Rarely"/>
    <n v="722"/>
    <x v="1"/>
    <n v="25"/>
    <n v="4"/>
    <s v="Life Sciences"/>
    <n v="1"/>
    <n v="1617"/>
    <n v="3"/>
    <x v="0"/>
    <n v="84"/>
    <n v="3"/>
    <n v="1"/>
    <x v="2"/>
    <n v="1"/>
    <s v="Married"/>
    <n v="3211"/>
    <n v="22102"/>
    <n v="1"/>
    <s v="Y"/>
    <x v="1"/>
    <n v="14"/>
    <n v="3"/>
    <n v="4"/>
    <n v="80"/>
    <n v="1"/>
    <n v="10"/>
    <n v="3"/>
    <n v="2"/>
    <n v="9"/>
    <n v="6"/>
    <n v="1"/>
    <n v="4"/>
    <x v="0"/>
    <x v="1"/>
    <n v="0"/>
    <n v="0"/>
    <x v="2"/>
    <x v="0"/>
    <n v="48"/>
  </r>
  <r>
    <n v="39"/>
    <x v="1"/>
    <s v="Travel_Rarely"/>
    <n v="1387"/>
    <x v="1"/>
    <n v="10"/>
    <n v="5"/>
    <s v="Medical"/>
    <n v="1"/>
    <n v="1618"/>
    <n v="2"/>
    <x v="1"/>
    <n v="76"/>
    <n v="3"/>
    <n v="2"/>
    <x v="3"/>
    <n v="1"/>
    <s v="Married"/>
    <n v="5377"/>
    <n v="3835"/>
    <n v="2"/>
    <s v="Y"/>
    <x v="1"/>
    <n v="13"/>
    <n v="3"/>
    <n v="4"/>
    <n v="80"/>
    <n v="3"/>
    <n v="10"/>
    <n v="3"/>
    <n v="3"/>
    <n v="7"/>
    <n v="7"/>
    <n v="7"/>
    <n v="7"/>
    <x v="1"/>
    <x v="0"/>
    <n v="0"/>
    <n v="0"/>
    <x v="4"/>
    <x v="1"/>
    <n v="58"/>
  </r>
  <r>
    <n v="27"/>
    <x v="1"/>
    <s v="Travel_Rarely"/>
    <n v="1302"/>
    <x v="1"/>
    <n v="19"/>
    <n v="3"/>
    <s v="Other"/>
    <n v="1"/>
    <n v="1619"/>
    <n v="4"/>
    <x v="1"/>
    <n v="67"/>
    <n v="2"/>
    <n v="1"/>
    <x v="2"/>
    <n v="1"/>
    <s v="Divorced"/>
    <n v="4066"/>
    <n v="16290"/>
    <n v="1"/>
    <s v="Y"/>
    <x v="1"/>
    <n v="11"/>
    <n v="3"/>
    <n v="1"/>
    <n v="80"/>
    <n v="2"/>
    <n v="7"/>
    <n v="3"/>
    <n v="3"/>
    <n v="7"/>
    <n v="7"/>
    <n v="0"/>
    <n v="7"/>
    <x v="2"/>
    <x v="1"/>
    <n v="0"/>
    <n v="0"/>
    <x v="3"/>
    <x v="1"/>
    <n v="68"/>
  </r>
  <r>
    <n v="35"/>
    <x v="1"/>
    <s v="Travel_Rarely"/>
    <n v="819"/>
    <x v="1"/>
    <n v="18"/>
    <n v="5"/>
    <s v="Life Sciences"/>
    <n v="1"/>
    <n v="1621"/>
    <n v="2"/>
    <x v="1"/>
    <n v="48"/>
    <n v="4"/>
    <n v="2"/>
    <x v="1"/>
    <n v="1"/>
    <s v="Married"/>
    <n v="5208"/>
    <n v="26312"/>
    <n v="1"/>
    <s v="Y"/>
    <x v="1"/>
    <n v="11"/>
    <n v="3"/>
    <n v="4"/>
    <n v="80"/>
    <n v="0"/>
    <n v="16"/>
    <n v="2"/>
    <n v="3"/>
    <n v="16"/>
    <n v="15"/>
    <n v="1"/>
    <n v="10"/>
    <x v="1"/>
    <x v="0"/>
    <n v="0"/>
    <n v="0"/>
    <x v="4"/>
    <x v="0"/>
    <n v="53"/>
  </r>
  <r>
    <n v="28"/>
    <x v="1"/>
    <s v="Travel_Rarely"/>
    <n v="580"/>
    <x v="1"/>
    <n v="27"/>
    <n v="3"/>
    <s v="Medical"/>
    <n v="1"/>
    <n v="1622"/>
    <n v="2"/>
    <x v="0"/>
    <n v="39"/>
    <n v="1"/>
    <n v="2"/>
    <x v="3"/>
    <n v="1"/>
    <s v="Divorced"/>
    <n v="4877"/>
    <n v="20460"/>
    <n v="0"/>
    <s v="Y"/>
    <x v="1"/>
    <n v="21"/>
    <n v="4"/>
    <n v="2"/>
    <n v="80"/>
    <n v="1"/>
    <n v="6"/>
    <n v="5"/>
    <n v="2"/>
    <n v="5"/>
    <n v="3"/>
    <n v="0"/>
    <n v="0"/>
    <x v="2"/>
    <x v="1"/>
    <n v="0"/>
    <n v="0"/>
    <x v="3"/>
    <x v="1"/>
    <n v="75"/>
  </r>
  <r>
    <n v="21"/>
    <x v="1"/>
    <s v="Travel_Rarely"/>
    <n v="546"/>
    <x v="1"/>
    <n v="5"/>
    <n v="1"/>
    <s v="Medical"/>
    <n v="1"/>
    <n v="1623"/>
    <n v="3"/>
    <x v="1"/>
    <n v="97"/>
    <n v="3"/>
    <n v="1"/>
    <x v="1"/>
    <n v="4"/>
    <s v="Single"/>
    <n v="3117"/>
    <n v="26009"/>
    <n v="1"/>
    <s v="Y"/>
    <x v="1"/>
    <n v="18"/>
    <n v="3"/>
    <n v="3"/>
    <n v="80"/>
    <n v="0"/>
    <n v="3"/>
    <n v="2"/>
    <n v="3"/>
    <n v="2"/>
    <n v="2"/>
    <n v="2"/>
    <n v="2"/>
    <x v="2"/>
    <x v="1"/>
    <n v="0"/>
    <n v="0"/>
    <x v="1"/>
    <x v="1"/>
    <n v="66"/>
  </r>
  <r>
    <n v="18"/>
    <x v="0"/>
    <s v="Travel_Frequently"/>
    <n v="544"/>
    <x v="0"/>
    <n v="3"/>
    <n v="2"/>
    <s v="Medical"/>
    <n v="1"/>
    <n v="1624"/>
    <n v="2"/>
    <x v="0"/>
    <n v="70"/>
    <n v="3"/>
    <n v="1"/>
    <x v="6"/>
    <n v="4"/>
    <s v="Single"/>
    <n v="1569"/>
    <n v="18420"/>
    <n v="1"/>
    <s v="Y"/>
    <x v="0"/>
    <n v="12"/>
    <n v="3"/>
    <n v="3"/>
    <n v="80"/>
    <n v="0"/>
    <n v="0"/>
    <n v="2"/>
    <n v="4"/>
    <n v="0"/>
    <n v="0"/>
    <n v="0"/>
    <n v="0"/>
    <x v="2"/>
    <x v="1"/>
    <n v="1"/>
    <n v="1"/>
    <x v="0"/>
    <x v="1"/>
    <n v="91"/>
  </r>
  <r>
    <n v="47"/>
    <x v="1"/>
    <s v="Travel_Rarely"/>
    <n v="1176"/>
    <x v="2"/>
    <n v="26"/>
    <n v="4"/>
    <s v="Life Sciences"/>
    <n v="1"/>
    <n v="1625"/>
    <n v="4"/>
    <x v="0"/>
    <n v="98"/>
    <n v="3"/>
    <n v="5"/>
    <x v="5"/>
    <n v="3"/>
    <s v="Married"/>
    <n v="19658"/>
    <n v="5220"/>
    <n v="3"/>
    <s v="Y"/>
    <x v="1"/>
    <n v="11"/>
    <n v="3"/>
    <n v="3"/>
    <n v="80"/>
    <n v="1"/>
    <n v="27"/>
    <n v="2"/>
    <n v="3"/>
    <n v="5"/>
    <n v="2"/>
    <n v="1"/>
    <n v="0"/>
    <x v="0"/>
    <x v="2"/>
    <n v="0"/>
    <n v="0"/>
    <x v="2"/>
    <x v="0"/>
    <n v="43"/>
  </r>
  <r>
    <n v="39"/>
    <x v="1"/>
    <s v="Travel_Rarely"/>
    <n v="170"/>
    <x v="1"/>
    <n v="3"/>
    <n v="2"/>
    <s v="Medical"/>
    <n v="1"/>
    <n v="1627"/>
    <n v="3"/>
    <x v="1"/>
    <n v="76"/>
    <n v="2"/>
    <n v="2"/>
    <x v="2"/>
    <n v="3"/>
    <s v="Divorced"/>
    <n v="3069"/>
    <n v="10302"/>
    <n v="0"/>
    <s v="Y"/>
    <x v="1"/>
    <n v="15"/>
    <n v="3"/>
    <n v="4"/>
    <n v="80"/>
    <n v="1"/>
    <n v="11"/>
    <n v="3"/>
    <n v="3"/>
    <n v="10"/>
    <n v="8"/>
    <n v="0"/>
    <n v="7"/>
    <x v="1"/>
    <x v="1"/>
    <n v="0"/>
    <n v="0"/>
    <x v="0"/>
    <x v="0"/>
    <n v="46"/>
  </r>
  <r>
    <n v="40"/>
    <x v="1"/>
    <s v="Travel_Rarely"/>
    <n v="884"/>
    <x v="1"/>
    <n v="15"/>
    <n v="3"/>
    <s v="Life Sciences"/>
    <n v="1"/>
    <n v="1628"/>
    <n v="1"/>
    <x v="0"/>
    <n v="80"/>
    <n v="2"/>
    <n v="3"/>
    <x v="3"/>
    <n v="3"/>
    <s v="Married"/>
    <n v="10435"/>
    <n v="25800"/>
    <n v="1"/>
    <s v="Y"/>
    <x v="1"/>
    <n v="13"/>
    <n v="3"/>
    <n v="4"/>
    <n v="80"/>
    <n v="2"/>
    <n v="18"/>
    <n v="2"/>
    <n v="3"/>
    <n v="18"/>
    <n v="15"/>
    <n v="14"/>
    <n v="12"/>
    <x v="0"/>
    <x v="0"/>
    <n v="0"/>
    <n v="0"/>
    <x v="3"/>
    <x v="2"/>
    <n v="31"/>
  </r>
  <r>
    <n v="35"/>
    <x v="1"/>
    <s v="Non-Travel"/>
    <n v="208"/>
    <x v="1"/>
    <n v="8"/>
    <n v="4"/>
    <s v="Life Sciences"/>
    <n v="1"/>
    <n v="1630"/>
    <n v="3"/>
    <x v="0"/>
    <n v="52"/>
    <n v="3"/>
    <n v="2"/>
    <x v="4"/>
    <n v="3"/>
    <s v="Married"/>
    <n v="4148"/>
    <n v="12250"/>
    <n v="1"/>
    <s v="Y"/>
    <x v="1"/>
    <n v="12"/>
    <n v="3"/>
    <n v="4"/>
    <n v="80"/>
    <n v="1"/>
    <n v="15"/>
    <n v="5"/>
    <n v="3"/>
    <n v="14"/>
    <n v="11"/>
    <n v="2"/>
    <n v="9"/>
    <x v="1"/>
    <x v="1"/>
    <n v="0"/>
    <n v="0"/>
    <x v="2"/>
    <x v="0"/>
    <n v="41"/>
  </r>
  <r>
    <n v="37"/>
    <x v="1"/>
    <s v="Travel_Rarely"/>
    <n v="671"/>
    <x v="1"/>
    <n v="19"/>
    <n v="3"/>
    <s v="Life Sciences"/>
    <n v="1"/>
    <n v="1631"/>
    <n v="3"/>
    <x v="1"/>
    <n v="85"/>
    <n v="3"/>
    <n v="2"/>
    <x v="3"/>
    <n v="3"/>
    <s v="Married"/>
    <n v="5768"/>
    <n v="26493"/>
    <n v="3"/>
    <s v="Y"/>
    <x v="1"/>
    <n v="17"/>
    <n v="3"/>
    <n v="1"/>
    <n v="80"/>
    <n v="3"/>
    <n v="9"/>
    <n v="2"/>
    <n v="2"/>
    <n v="4"/>
    <n v="3"/>
    <n v="0"/>
    <n v="2"/>
    <x v="1"/>
    <x v="0"/>
    <n v="0"/>
    <n v="0"/>
    <x v="3"/>
    <x v="0"/>
    <n v="53"/>
  </r>
  <r>
    <n v="39"/>
    <x v="1"/>
    <s v="Travel_Frequently"/>
    <n v="711"/>
    <x v="1"/>
    <n v="4"/>
    <n v="3"/>
    <s v="Medical"/>
    <n v="1"/>
    <n v="1633"/>
    <n v="1"/>
    <x v="0"/>
    <n v="81"/>
    <n v="3"/>
    <n v="2"/>
    <x v="3"/>
    <n v="3"/>
    <s v="Single"/>
    <n v="5042"/>
    <n v="3140"/>
    <n v="0"/>
    <s v="Y"/>
    <x v="1"/>
    <n v="13"/>
    <n v="3"/>
    <n v="4"/>
    <n v="80"/>
    <n v="0"/>
    <n v="10"/>
    <n v="2"/>
    <n v="1"/>
    <n v="9"/>
    <n v="2"/>
    <n v="3"/>
    <n v="8"/>
    <x v="1"/>
    <x v="0"/>
    <n v="0"/>
    <n v="0"/>
    <x v="3"/>
    <x v="0"/>
    <n v="46"/>
  </r>
  <r>
    <n v="45"/>
    <x v="1"/>
    <s v="Travel_Rarely"/>
    <n v="1329"/>
    <x v="1"/>
    <n v="2"/>
    <n v="2"/>
    <s v="Other"/>
    <n v="1"/>
    <n v="1635"/>
    <n v="4"/>
    <x v="0"/>
    <n v="59"/>
    <n v="2"/>
    <n v="2"/>
    <x v="3"/>
    <n v="4"/>
    <s v="Divorced"/>
    <n v="5770"/>
    <n v="5388"/>
    <n v="1"/>
    <s v="Y"/>
    <x v="1"/>
    <n v="19"/>
    <n v="3"/>
    <n v="1"/>
    <n v="80"/>
    <n v="2"/>
    <n v="10"/>
    <n v="3"/>
    <n v="3"/>
    <n v="10"/>
    <n v="7"/>
    <n v="3"/>
    <n v="9"/>
    <x v="0"/>
    <x v="0"/>
    <n v="0"/>
    <n v="0"/>
    <x v="0"/>
    <x v="2"/>
    <n v="29"/>
  </r>
  <r>
    <n v="38"/>
    <x v="1"/>
    <s v="Travel_Rarely"/>
    <n v="397"/>
    <x v="1"/>
    <n v="2"/>
    <n v="2"/>
    <s v="Medical"/>
    <n v="1"/>
    <n v="1638"/>
    <n v="4"/>
    <x v="0"/>
    <n v="54"/>
    <n v="2"/>
    <n v="3"/>
    <x v="3"/>
    <n v="3"/>
    <s v="Married"/>
    <n v="7756"/>
    <n v="14199"/>
    <n v="3"/>
    <s v="Y"/>
    <x v="0"/>
    <n v="19"/>
    <n v="3"/>
    <n v="4"/>
    <n v="80"/>
    <n v="1"/>
    <n v="10"/>
    <n v="6"/>
    <n v="4"/>
    <n v="5"/>
    <n v="4"/>
    <n v="0"/>
    <n v="2"/>
    <x v="1"/>
    <x v="0"/>
    <n v="0"/>
    <n v="1"/>
    <x v="0"/>
    <x v="1"/>
    <n v="78"/>
  </r>
  <r>
    <n v="35"/>
    <x v="0"/>
    <s v="Travel_Rarely"/>
    <n v="737"/>
    <x v="0"/>
    <n v="10"/>
    <n v="3"/>
    <s v="Medical"/>
    <n v="1"/>
    <n v="1639"/>
    <n v="4"/>
    <x v="1"/>
    <n v="55"/>
    <n v="2"/>
    <n v="3"/>
    <x v="0"/>
    <n v="1"/>
    <s v="Married"/>
    <n v="10306"/>
    <n v="21530"/>
    <n v="9"/>
    <s v="Y"/>
    <x v="1"/>
    <n v="17"/>
    <n v="3"/>
    <n v="3"/>
    <n v="80"/>
    <n v="0"/>
    <n v="15"/>
    <n v="3"/>
    <n v="3"/>
    <n v="13"/>
    <n v="12"/>
    <n v="6"/>
    <n v="0"/>
    <x v="1"/>
    <x v="0"/>
    <n v="1"/>
    <n v="0"/>
    <x v="3"/>
    <x v="0"/>
    <n v="53"/>
  </r>
  <r>
    <n v="37"/>
    <x v="1"/>
    <s v="Travel_Rarely"/>
    <n v="1470"/>
    <x v="1"/>
    <n v="10"/>
    <n v="3"/>
    <s v="Medical"/>
    <n v="1"/>
    <n v="1640"/>
    <n v="2"/>
    <x v="0"/>
    <n v="71"/>
    <n v="3"/>
    <n v="1"/>
    <x v="1"/>
    <n v="2"/>
    <s v="Married"/>
    <n v="3936"/>
    <n v="9953"/>
    <n v="1"/>
    <s v="Y"/>
    <x v="1"/>
    <n v="11"/>
    <n v="3"/>
    <n v="1"/>
    <n v="80"/>
    <n v="1"/>
    <n v="8"/>
    <n v="2"/>
    <n v="1"/>
    <n v="8"/>
    <n v="4"/>
    <n v="7"/>
    <n v="7"/>
    <x v="1"/>
    <x v="1"/>
    <n v="0"/>
    <n v="0"/>
    <x v="3"/>
    <x v="0"/>
    <n v="52"/>
  </r>
  <r>
    <n v="40"/>
    <x v="1"/>
    <s v="Travel_Rarely"/>
    <n v="448"/>
    <x v="1"/>
    <n v="16"/>
    <n v="3"/>
    <s v="Life Sciences"/>
    <n v="1"/>
    <n v="1641"/>
    <n v="3"/>
    <x v="0"/>
    <n v="84"/>
    <n v="3"/>
    <n v="3"/>
    <x v="3"/>
    <n v="4"/>
    <s v="Single"/>
    <n v="7945"/>
    <n v="19948"/>
    <n v="6"/>
    <s v="Y"/>
    <x v="0"/>
    <n v="15"/>
    <n v="3"/>
    <n v="4"/>
    <n v="80"/>
    <n v="0"/>
    <n v="18"/>
    <n v="2"/>
    <n v="2"/>
    <n v="4"/>
    <n v="2"/>
    <n v="3"/>
    <n v="3"/>
    <x v="0"/>
    <x v="0"/>
    <n v="0"/>
    <n v="1"/>
    <x v="3"/>
    <x v="1"/>
    <n v="61"/>
  </r>
  <r>
    <n v="44"/>
    <x v="1"/>
    <s v="Travel_Frequently"/>
    <n v="602"/>
    <x v="2"/>
    <n v="1"/>
    <n v="5"/>
    <s v="Human Resources"/>
    <n v="1"/>
    <n v="1642"/>
    <n v="1"/>
    <x v="1"/>
    <n v="37"/>
    <n v="3"/>
    <n v="2"/>
    <x v="8"/>
    <n v="4"/>
    <s v="Married"/>
    <n v="5743"/>
    <n v="10503"/>
    <n v="4"/>
    <s v="Y"/>
    <x v="0"/>
    <n v="11"/>
    <n v="3"/>
    <n v="3"/>
    <n v="80"/>
    <n v="0"/>
    <n v="14"/>
    <n v="3"/>
    <n v="3"/>
    <n v="10"/>
    <n v="7"/>
    <n v="0"/>
    <n v="2"/>
    <x v="0"/>
    <x v="0"/>
    <n v="0"/>
    <n v="1"/>
    <x v="4"/>
    <x v="0"/>
    <n v="54"/>
  </r>
  <r>
    <n v="48"/>
    <x v="1"/>
    <s v="Travel_Frequently"/>
    <n v="365"/>
    <x v="1"/>
    <n v="4"/>
    <n v="5"/>
    <s v="Medical"/>
    <n v="1"/>
    <n v="1644"/>
    <n v="3"/>
    <x v="1"/>
    <n v="89"/>
    <n v="2"/>
    <n v="4"/>
    <x v="5"/>
    <n v="4"/>
    <s v="Married"/>
    <n v="15202"/>
    <n v="5602"/>
    <n v="2"/>
    <s v="Y"/>
    <x v="1"/>
    <n v="25"/>
    <n v="4"/>
    <n v="2"/>
    <n v="80"/>
    <n v="1"/>
    <n v="23"/>
    <n v="3"/>
    <n v="3"/>
    <n v="2"/>
    <n v="2"/>
    <n v="2"/>
    <n v="2"/>
    <x v="0"/>
    <x v="2"/>
    <n v="0"/>
    <n v="0"/>
    <x v="4"/>
    <x v="0"/>
    <n v="46"/>
  </r>
  <r>
    <n v="35"/>
    <x v="0"/>
    <s v="Travel_Rarely"/>
    <n v="763"/>
    <x v="0"/>
    <n v="15"/>
    <n v="2"/>
    <s v="Medical"/>
    <n v="1"/>
    <n v="1645"/>
    <n v="1"/>
    <x v="1"/>
    <n v="59"/>
    <n v="1"/>
    <n v="2"/>
    <x v="0"/>
    <n v="4"/>
    <s v="Divorced"/>
    <n v="5440"/>
    <n v="22098"/>
    <n v="6"/>
    <s v="Y"/>
    <x v="0"/>
    <n v="14"/>
    <n v="3"/>
    <n v="4"/>
    <n v="80"/>
    <n v="2"/>
    <n v="7"/>
    <n v="2"/>
    <n v="2"/>
    <n v="2"/>
    <n v="2"/>
    <n v="2"/>
    <n v="2"/>
    <x v="1"/>
    <x v="0"/>
    <n v="1"/>
    <n v="1"/>
    <x v="0"/>
    <x v="1"/>
    <n v="81"/>
  </r>
  <r>
    <n v="24"/>
    <x v="1"/>
    <s v="Travel_Frequently"/>
    <n v="567"/>
    <x v="1"/>
    <n v="2"/>
    <n v="1"/>
    <s v="Technical Degree"/>
    <n v="1"/>
    <n v="1646"/>
    <n v="1"/>
    <x v="0"/>
    <n v="32"/>
    <n v="3"/>
    <n v="1"/>
    <x v="1"/>
    <n v="4"/>
    <s v="Single"/>
    <n v="3760"/>
    <n v="17218"/>
    <n v="1"/>
    <s v="Y"/>
    <x v="0"/>
    <n v="13"/>
    <n v="3"/>
    <n v="3"/>
    <n v="80"/>
    <n v="0"/>
    <n v="6"/>
    <n v="2"/>
    <n v="3"/>
    <n v="6"/>
    <n v="3"/>
    <n v="1"/>
    <n v="3"/>
    <x v="2"/>
    <x v="1"/>
    <n v="0"/>
    <n v="1"/>
    <x v="1"/>
    <x v="1"/>
    <n v="74"/>
  </r>
  <r>
    <n v="27"/>
    <x v="1"/>
    <s v="Travel_Rarely"/>
    <n v="486"/>
    <x v="1"/>
    <n v="8"/>
    <n v="3"/>
    <s v="Medical"/>
    <n v="1"/>
    <n v="1647"/>
    <n v="2"/>
    <x v="0"/>
    <n v="86"/>
    <n v="4"/>
    <n v="1"/>
    <x v="1"/>
    <n v="3"/>
    <s v="Married"/>
    <n v="3517"/>
    <n v="22490"/>
    <n v="7"/>
    <s v="Y"/>
    <x v="1"/>
    <n v="17"/>
    <n v="3"/>
    <n v="1"/>
    <n v="80"/>
    <n v="0"/>
    <n v="5"/>
    <n v="0"/>
    <n v="3"/>
    <n v="3"/>
    <n v="2"/>
    <n v="0"/>
    <n v="2"/>
    <x v="2"/>
    <x v="1"/>
    <n v="0"/>
    <n v="0"/>
    <x v="3"/>
    <x v="1"/>
    <n v="63"/>
  </r>
  <r>
    <n v="27"/>
    <x v="1"/>
    <s v="Travel_Frequently"/>
    <n v="591"/>
    <x v="1"/>
    <n v="2"/>
    <n v="3"/>
    <s v="Medical"/>
    <n v="1"/>
    <n v="1648"/>
    <n v="4"/>
    <x v="1"/>
    <n v="87"/>
    <n v="3"/>
    <n v="1"/>
    <x v="1"/>
    <n v="4"/>
    <s v="Single"/>
    <n v="2580"/>
    <n v="6297"/>
    <n v="2"/>
    <s v="Y"/>
    <x v="1"/>
    <n v="13"/>
    <n v="3"/>
    <n v="3"/>
    <n v="80"/>
    <n v="0"/>
    <n v="6"/>
    <n v="0"/>
    <n v="2"/>
    <n v="4"/>
    <n v="2"/>
    <n v="1"/>
    <n v="2"/>
    <x v="2"/>
    <x v="1"/>
    <n v="0"/>
    <n v="0"/>
    <x v="3"/>
    <x v="1"/>
    <n v="56"/>
  </r>
  <r>
    <n v="40"/>
    <x v="0"/>
    <s v="Travel_Rarely"/>
    <n v="1329"/>
    <x v="1"/>
    <n v="7"/>
    <n v="3"/>
    <s v="Life Sciences"/>
    <n v="1"/>
    <n v="1649"/>
    <n v="1"/>
    <x v="1"/>
    <n v="73"/>
    <n v="3"/>
    <n v="1"/>
    <x v="2"/>
    <n v="1"/>
    <s v="Single"/>
    <n v="2166"/>
    <n v="3339"/>
    <n v="3"/>
    <s v="Y"/>
    <x v="0"/>
    <n v="14"/>
    <n v="3"/>
    <n v="2"/>
    <n v="80"/>
    <n v="0"/>
    <n v="10"/>
    <n v="3"/>
    <n v="1"/>
    <n v="4"/>
    <n v="2"/>
    <n v="0"/>
    <n v="3"/>
    <x v="0"/>
    <x v="1"/>
    <n v="1"/>
    <n v="1"/>
    <x v="3"/>
    <x v="1"/>
    <n v="80"/>
  </r>
  <r>
    <n v="29"/>
    <x v="1"/>
    <s v="Travel_Rarely"/>
    <n v="469"/>
    <x v="0"/>
    <n v="10"/>
    <n v="3"/>
    <s v="Medical"/>
    <n v="1"/>
    <n v="1650"/>
    <n v="3"/>
    <x v="1"/>
    <n v="42"/>
    <n v="2"/>
    <n v="2"/>
    <x v="0"/>
    <n v="3"/>
    <s v="Single"/>
    <n v="5869"/>
    <n v="23413"/>
    <n v="9"/>
    <s v="Y"/>
    <x v="1"/>
    <n v="11"/>
    <n v="3"/>
    <n v="3"/>
    <n v="80"/>
    <n v="0"/>
    <n v="8"/>
    <n v="2"/>
    <n v="3"/>
    <n v="5"/>
    <n v="2"/>
    <n v="1"/>
    <n v="4"/>
    <x v="2"/>
    <x v="0"/>
    <n v="0"/>
    <n v="0"/>
    <x v="3"/>
    <x v="1"/>
    <n v="63"/>
  </r>
  <r>
    <n v="36"/>
    <x v="1"/>
    <s v="Travel_Rarely"/>
    <n v="711"/>
    <x v="1"/>
    <n v="5"/>
    <n v="4"/>
    <s v="Life Sciences"/>
    <n v="1"/>
    <n v="1651"/>
    <n v="2"/>
    <x v="0"/>
    <n v="42"/>
    <n v="3"/>
    <n v="3"/>
    <x v="4"/>
    <n v="1"/>
    <s v="Married"/>
    <n v="8008"/>
    <n v="22792"/>
    <n v="4"/>
    <s v="Y"/>
    <x v="1"/>
    <n v="12"/>
    <n v="3"/>
    <n v="3"/>
    <n v="80"/>
    <n v="2"/>
    <n v="9"/>
    <n v="6"/>
    <n v="3"/>
    <n v="3"/>
    <n v="2"/>
    <n v="0"/>
    <n v="2"/>
    <x v="1"/>
    <x v="0"/>
    <n v="0"/>
    <n v="0"/>
    <x v="2"/>
    <x v="1"/>
    <n v="65"/>
  </r>
  <r>
    <n v="25"/>
    <x v="1"/>
    <s v="Travel_Frequently"/>
    <n v="772"/>
    <x v="1"/>
    <n v="2"/>
    <n v="1"/>
    <s v="Life Sciences"/>
    <n v="1"/>
    <n v="1653"/>
    <n v="4"/>
    <x v="1"/>
    <n v="77"/>
    <n v="4"/>
    <n v="2"/>
    <x v="3"/>
    <n v="3"/>
    <s v="Divorced"/>
    <n v="5206"/>
    <n v="4973"/>
    <n v="1"/>
    <s v="Y"/>
    <x v="1"/>
    <n v="17"/>
    <n v="3"/>
    <n v="3"/>
    <n v="80"/>
    <n v="2"/>
    <n v="7"/>
    <n v="6"/>
    <n v="3"/>
    <n v="7"/>
    <n v="7"/>
    <n v="0"/>
    <n v="7"/>
    <x v="2"/>
    <x v="0"/>
    <n v="0"/>
    <n v="0"/>
    <x v="1"/>
    <x v="1"/>
    <n v="56"/>
  </r>
  <r>
    <n v="39"/>
    <x v="1"/>
    <s v="Travel_Rarely"/>
    <n v="492"/>
    <x v="1"/>
    <n v="12"/>
    <n v="3"/>
    <s v="Medical"/>
    <n v="1"/>
    <n v="1654"/>
    <n v="4"/>
    <x v="1"/>
    <n v="66"/>
    <n v="3"/>
    <n v="2"/>
    <x v="3"/>
    <n v="2"/>
    <s v="Married"/>
    <n v="5295"/>
    <n v="7693"/>
    <n v="4"/>
    <s v="Y"/>
    <x v="1"/>
    <n v="21"/>
    <n v="4"/>
    <n v="3"/>
    <n v="80"/>
    <n v="0"/>
    <n v="7"/>
    <n v="3"/>
    <n v="3"/>
    <n v="5"/>
    <n v="4"/>
    <n v="1"/>
    <n v="0"/>
    <x v="1"/>
    <x v="0"/>
    <n v="0"/>
    <n v="0"/>
    <x v="3"/>
    <x v="1"/>
    <n v="59"/>
  </r>
  <r>
    <n v="49"/>
    <x v="1"/>
    <s v="Travel_Rarely"/>
    <n v="301"/>
    <x v="1"/>
    <n v="22"/>
    <n v="4"/>
    <s v="Other"/>
    <n v="1"/>
    <n v="1655"/>
    <n v="1"/>
    <x v="0"/>
    <n v="72"/>
    <n v="3"/>
    <n v="4"/>
    <x v="7"/>
    <n v="2"/>
    <s v="Married"/>
    <n v="16413"/>
    <n v="3498"/>
    <n v="3"/>
    <s v="Y"/>
    <x v="1"/>
    <n v="16"/>
    <n v="3"/>
    <n v="2"/>
    <n v="80"/>
    <n v="2"/>
    <n v="27"/>
    <n v="2"/>
    <n v="3"/>
    <n v="4"/>
    <n v="2"/>
    <n v="1"/>
    <n v="2"/>
    <x v="0"/>
    <x v="2"/>
    <n v="0"/>
    <n v="0"/>
    <x v="2"/>
    <x v="0"/>
    <n v="49"/>
  </r>
  <r>
    <n v="50"/>
    <x v="1"/>
    <s v="Travel_Rarely"/>
    <n v="813"/>
    <x v="1"/>
    <n v="17"/>
    <n v="5"/>
    <s v="Life Sciences"/>
    <n v="1"/>
    <n v="1656"/>
    <n v="4"/>
    <x v="0"/>
    <n v="50"/>
    <n v="2"/>
    <n v="3"/>
    <x v="7"/>
    <n v="1"/>
    <s v="Divorced"/>
    <n v="13269"/>
    <n v="21981"/>
    <n v="5"/>
    <s v="Y"/>
    <x v="1"/>
    <n v="15"/>
    <n v="3"/>
    <n v="3"/>
    <n v="80"/>
    <n v="3"/>
    <n v="19"/>
    <n v="3"/>
    <n v="3"/>
    <n v="14"/>
    <n v="11"/>
    <n v="1"/>
    <n v="11"/>
    <x v="3"/>
    <x v="0"/>
    <n v="0"/>
    <n v="0"/>
    <x v="4"/>
    <x v="0"/>
    <n v="48"/>
  </r>
  <r>
    <n v="20"/>
    <x v="1"/>
    <s v="Travel_Rarely"/>
    <n v="1141"/>
    <x v="0"/>
    <n v="2"/>
    <n v="3"/>
    <s v="Medical"/>
    <n v="1"/>
    <n v="1657"/>
    <n v="3"/>
    <x v="0"/>
    <n v="31"/>
    <n v="3"/>
    <n v="1"/>
    <x v="6"/>
    <n v="3"/>
    <s v="Single"/>
    <n v="2783"/>
    <n v="13251"/>
    <n v="1"/>
    <s v="Y"/>
    <x v="1"/>
    <n v="19"/>
    <n v="3"/>
    <n v="1"/>
    <n v="80"/>
    <n v="0"/>
    <n v="2"/>
    <n v="3"/>
    <n v="3"/>
    <n v="2"/>
    <n v="2"/>
    <n v="2"/>
    <n v="2"/>
    <x v="2"/>
    <x v="1"/>
    <n v="0"/>
    <n v="0"/>
    <x v="3"/>
    <x v="1"/>
    <n v="73"/>
  </r>
  <r>
    <n v="34"/>
    <x v="1"/>
    <s v="Travel_Rarely"/>
    <n v="1130"/>
    <x v="1"/>
    <n v="3"/>
    <n v="3"/>
    <s v="Life Sciences"/>
    <n v="1"/>
    <n v="1658"/>
    <n v="4"/>
    <x v="0"/>
    <n v="66"/>
    <n v="3"/>
    <n v="2"/>
    <x v="1"/>
    <n v="2"/>
    <s v="Divorced"/>
    <n v="5433"/>
    <n v="19332"/>
    <n v="1"/>
    <s v="Y"/>
    <x v="1"/>
    <n v="12"/>
    <n v="3"/>
    <n v="3"/>
    <n v="80"/>
    <n v="1"/>
    <n v="11"/>
    <n v="2"/>
    <n v="3"/>
    <n v="11"/>
    <n v="8"/>
    <n v="7"/>
    <n v="9"/>
    <x v="1"/>
    <x v="0"/>
    <n v="0"/>
    <n v="0"/>
    <x v="3"/>
    <x v="0"/>
    <n v="47"/>
  </r>
  <r>
    <n v="36"/>
    <x v="1"/>
    <s v="Travel_Rarely"/>
    <n v="311"/>
    <x v="1"/>
    <n v="7"/>
    <n v="3"/>
    <s v="Life Sciences"/>
    <n v="1"/>
    <n v="1659"/>
    <n v="1"/>
    <x v="1"/>
    <n v="77"/>
    <n v="3"/>
    <n v="1"/>
    <x v="2"/>
    <n v="2"/>
    <s v="Single"/>
    <n v="2013"/>
    <n v="10950"/>
    <n v="2"/>
    <s v="Y"/>
    <x v="1"/>
    <n v="11"/>
    <n v="3"/>
    <n v="3"/>
    <n v="80"/>
    <n v="0"/>
    <n v="15"/>
    <n v="4"/>
    <n v="3"/>
    <n v="4"/>
    <n v="3"/>
    <n v="1"/>
    <n v="3"/>
    <x v="1"/>
    <x v="1"/>
    <n v="0"/>
    <n v="0"/>
    <x v="3"/>
    <x v="1"/>
    <n v="59"/>
  </r>
  <r>
    <n v="49"/>
    <x v="1"/>
    <s v="Travel_Rarely"/>
    <n v="465"/>
    <x v="1"/>
    <n v="6"/>
    <n v="1"/>
    <s v="Life Sciences"/>
    <n v="1"/>
    <n v="1661"/>
    <n v="3"/>
    <x v="0"/>
    <n v="41"/>
    <n v="2"/>
    <n v="4"/>
    <x v="4"/>
    <n v="3"/>
    <s v="Married"/>
    <n v="13966"/>
    <n v="11652"/>
    <n v="2"/>
    <s v="Y"/>
    <x v="0"/>
    <n v="19"/>
    <n v="3"/>
    <n v="2"/>
    <n v="80"/>
    <n v="1"/>
    <n v="30"/>
    <n v="3"/>
    <n v="3"/>
    <n v="15"/>
    <n v="11"/>
    <n v="2"/>
    <n v="12"/>
    <x v="0"/>
    <x v="0"/>
    <n v="0"/>
    <n v="1"/>
    <x v="1"/>
    <x v="1"/>
    <n v="56"/>
  </r>
  <r>
    <n v="36"/>
    <x v="1"/>
    <s v="Non-Travel"/>
    <n v="894"/>
    <x v="1"/>
    <n v="1"/>
    <n v="4"/>
    <s v="Medical"/>
    <n v="1"/>
    <n v="1662"/>
    <n v="4"/>
    <x v="0"/>
    <n v="33"/>
    <n v="2"/>
    <n v="2"/>
    <x v="3"/>
    <n v="3"/>
    <s v="Married"/>
    <n v="4374"/>
    <n v="15411"/>
    <n v="0"/>
    <s v="Y"/>
    <x v="1"/>
    <n v="15"/>
    <n v="3"/>
    <n v="3"/>
    <n v="80"/>
    <n v="0"/>
    <n v="4"/>
    <n v="6"/>
    <n v="3"/>
    <n v="3"/>
    <n v="2"/>
    <n v="1"/>
    <n v="2"/>
    <x v="1"/>
    <x v="1"/>
    <n v="0"/>
    <n v="0"/>
    <x v="2"/>
    <x v="0"/>
    <n v="53"/>
  </r>
  <r>
    <n v="36"/>
    <x v="1"/>
    <s v="Travel_Rarely"/>
    <n v="1040"/>
    <x v="1"/>
    <n v="3"/>
    <n v="2"/>
    <s v="Life Sciences"/>
    <n v="1"/>
    <n v="1664"/>
    <n v="4"/>
    <x v="1"/>
    <n v="79"/>
    <n v="4"/>
    <n v="2"/>
    <x v="4"/>
    <n v="1"/>
    <s v="Divorced"/>
    <n v="6842"/>
    <n v="26308"/>
    <n v="6"/>
    <s v="Y"/>
    <x v="1"/>
    <n v="20"/>
    <n v="4"/>
    <n v="1"/>
    <n v="80"/>
    <n v="1"/>
    <n v="13"/>
    <n v="3"/>
    <n v="3"/>
    <n v="5"/>
    <n v="4"/>
    <n v="0"/>
    <n v="4"/>
    <x v="1"/>
    <x v="0"/>
    <n v="0"/>
    <n v="0"/>
    <x v="0"/>
    <x v="1"/>
    <n v="65"/>
  </r>
  <r>
    <n v="54"/>
    <x v="1"/>
    <s v="Travel_Rarely"/>
    <n v="584"/>
    <x v="1"/>
    <n v="22"/>
    <n v="5"/>
    <s v="Medical"/>
    <n v="1"/>
    <n v="1665"/>
    <n v="2"/>
    <x v="0"/>
    <n v="91"/>
    <n v="3"/>
    <n v="4"/>
    <x v="5"/>
    <n v="3"/>
    <s v="Married"/>
    <n v="17426"/>
    <n v="18685"/>
    <n v="3"/>
    <s v="Y"/>
    <x v="1"/>
    <n v="25"/>
    <n v="4"/>
    <n v="3"/>
    <n v="80"/>
    <n v="1"/>
    <n v="36"/>
    <n v="6"/>
    <n v="3"/>
    <n v="10"/>
    <n v="8"/>
    <n v="4"/>
    <n v="7"/>
    <x v="3"/>
    <x v="2"/>
    <n v="0"/>
    <n v="0"/>
    <x v="4"/>
    <x v="0"/>
    <n v="41"/>
  </r>
  <r>
    <n v="43"/>
    <x v="1"/>
    <s v="Travel_Rarely"/>
    <n v="1291"/>
    <x v="1"/>
    <n v="15"/>
    <n v="2"/>
    <s v="Life Sciences"/>
    <n v="1"/>
    <n v="1666"/>
    <n v="3"/>
    <x v="1"/>
    <n v="65"/>
    <n v="2"/>
    <n v="4"/>
    <x v="7"/>
    <n v="3"/>
    <s v="Married"/>
    <n v="17603"/>
    <n v="3525"/>
    <n v="1"/>
    <s v="Y"/>
    <x v="1"/>
    <n v="24"/>
    <n v="4"/>
    <n v="1"/>
    <n v="80"/>
    <n v="1"/>
    <n v="14"/>
    <n v="3"/>
    <n v="3"/>
    <n v="14"/>
    <n v="10"/>
    <n v="6"/>
    <n v="11"/>
    <x v="0"/>
    <x v="2"/>
    <n v="0"/>
    <n v="0"/>
    <x v="0"/>
    <x v="2"/>
    <n v="31"/>
  </r>
  <r>
    <n v="35"/>
    <x v="0"/>
    <s v="Travel_Frequently"/>
    <n v="880"/>
    <x v="0"/>
    <n v="12"/>
    <n v="4"/>
    <s v="Other"/>
    <n v="1"/>
    <n v="1667"/>
    <n v="4"/>
    <x v="1"/>
    <n v="36"/>
    <n v="3"/>
    <n v="2"/>
    <x v="0"/>
    <n v="4"/>
    <s v="Single"/>
    <n v="4581"/>
    <n v="10414"/>
    <n v="3"/>
    <s v="Y"/>
    <x v="0"/>
    <n v="24"/>
    <n v="4"/>
    <n v="1"/>
    <n v="80"/>
    <n v="0"/>
    <n v="13"/>
    <n v="2"/>
    <n v="4"/>
    <n v="11"/>
    <n v="9"/>
    <n v="6"/>
    <n v="7"/>
    <x v="1"/>
    <x v="1"/>
    <n v="1"/>
    <n v="1"/>
    <x v="2"/>
    <x v="1"/>
    <n v="59"/>
  </r>
  <r>
    <n v="38"/>
    <x v="1"/>
    <s v="Travel_Frequently"/>
    <n v="1189"/>
    <x v="1"/>
    <n v="1"/>
    <n v="3"/>
    <s v="Life Sciences"/>
    <n v="1"/>
    <n v="1668"/>
    <n v="4"/>
    <x v="1"/>
    <n v="90"/>
    <n v="3"/>
    <n v="2"/>
    <x v="1"/>
    <n v="4"/>
    <s v="Married"/>
    <n v="4735"/>
    <n v="9867"/>
    <n v="7"/>
    <s v="Y"/>
    <x v="1"/>
    <n v="15"/>
    <n v="3"/>
    <n v="4"/>
    <n v="80"/>
    <n v="2"/>
    <n v="19"/>
    <n v="4"/>
    <n v="4"/>
    <n v="13"/>
    <n v="11"/>
    <n v="2"/>
    <n v="9"/>
    <x v="1"/>
    <x v="1"/>
    <n v="0"/>
    <n v="0"/>
    <x v="3"/>
    <x v="2"/>
    <n v="34"/>
  </r>
  <r>
    <n v="29"/>
    <x v="1"/>
    <s v="Travel_Rarely"/>
    <n v="991"/>
    <x v="0"/>
    <n v="5"/>
    <n v="3"/>
    <s v="Medical"/>
    <n v="1"/>
    <n v="1669"/>
    <n v="1"/>
    <x v="1"/>
    <n v="43"/>
    <n v="2"/>
    <n v="2"/>
    <x v="0"/>
    <n v="2"/>
    <s v="Divorced"/>
    <n v="4187"/>
    <n v="3356"/>
    <n v="1"/>
    <s v="Y"/>
    <x v="0"/>
    <n v="13"/>
    <n v="3"/>
    <n v="2"/>
    <n v="80"/>
    <n v="1"/>
    <n v="10"/>
    <n v="3"/>
    <n v="2"/>
    <n v="10"/>
    <n v="0"/>
    <n v="0"/>
    <n v="9"/>
    <x v="2"/>
    <x v="1"/>
    <n v="0"/>
    <n v="1"/>
    <x v="3"/>
    <x v="1"/>
    <n v="87"/>
  </r>
  <r>
    <n v="33"/>
    <x v="1"/>
    <s v="Travel_Rarely"/>
    <n v="392"/>
    <x v="0"/>
    <n v="2"/>
    <n v="4"/>
    <s v="Medical"/>
    <n v="1"/>
    <n v="1670"/>
    <n v="4"/>
    <x v="1"/>
    <n v="93"/>
    <n v="3"/>
    <n v="2"/>
    <x v="0"/>
    <n v="4"/>
    <s v="Divorced"/>
    <n v="5505"/>
    <n v="3921"/>
    <n v="1"/>
    <s v="Y"/>
    <x v="1"/>
    <n v="14"/>
    <n v="3"/>
    <n v="3"/>
    <n v="80"/>
    <n v="2"/>
    <n v="6"/>
    <n v="5"/>
    <n v="3"/>
    <n v="6"/>
    <n v="2"/>
    <n v="0"/>
    <n v="4"/>
    <x v="1"/>
    <x v="0"/>
    <n v="0"/>
    <n v="0"/>
    <x v="2"/>
    <x v="0"/>
    <n v="39"/>
  </r>
  <r>
    <n v="32"/>
    <x v="1"/>
    <s v="Travel_Rarely"/>
    <n v="977"/>
    <x v="1"/>
    <n v="2"/>
    <n v="3"/>
    <s v="Medical"/>
    <n v="1"/>
    <n v="1671"/>
    <n v="4"/>
    <x v="1"/>
    <n v="45"/>
    <n v="3"/>
    <n v="2"/>
    <x v="1"/>
    <n v="2"/>
    <s v="Divorced"/>
    <n v="5470"/>
    <n v="25518"/>
    <n v="0"/>
    <s v="Y"/>
    <x v="1"/>
    <n v="13"/>
    <n v="3"/>
    <n v="3"/>
    <n v="80"/>
    <n v="2"/>
    <n v="10"/>
    <n v="4"/>
    <n v="2"/>
    <n v="9"/>
    <n v="5"/>
    <n v="1"/>
    <n v="6"/>
    <x v="1"/>
    <x v="0"/>
    <n v="0"/>
    <n v="0"/>
    <x v="3"/>
    <x v="0"/>
    <n v="52"/>
  </r>
  <r>
    <n v="31"/>
    <x v="1"/>
    <s v="Travel_Rarely"/>
    <n v="1112"/>
    <x v="0"/>
    <n v="5"/>
    <n v="4"/>
    <s v="Life Sciences"/>
    <n v="1"/>
    <n v="1673"/>
    <n v="1"/>
    <x v="0"/>
    <n v="67"/>
    <n v="3"/>
    <n v="2"/>
    <x v="0"/>
    <n v="4"/>
    <s v="Married"/>
    <n v="5476"/>
    <n v="22589"/>
    <n v="1"/>
    <s v="Y"/>
    <x v="1"/>
    <n v="11"/>
    <n v="3"/>
    <n v="1"/>
    <n v="80"/>
    <n v="2"/>
    <n v="10"/>
    <n v="2"/>
    <n v="3"/>
    <n v="10"/>
    <n v="0"/>
    <n v="0"/>
    <n v="2"/>
    <x v="1"/>
    <x v="0"/>
    <n v="0"/>
    <n v="0"/>
    <x v="2"/>
    <x v="0"/>
    <n v="39"/>
  </r>
  <r>
    <n v="49"/>
    <x v="1"/>
    <s v="Travel_Rarely"/>
    <n v="464"/>
    <x v="1"/>
    <n v="16"/>
    <n v="3"/>
    <s v="Medical"/>
    <n v="1"/>
    <n v="1674"/>
    <n v="4"/>
    <x v="0"/>
    <n v="74"/>
    <n v="3"/>
    <n v="1"/>
    <x v="2"/>
    <n v="1"/>
    <s v="Divorced"/>
    <n v="2587"/>
    <n v="24941"/>
    <n v="4"/>
    <s v="Y"/>
    <x v="0"/>
    <n v="16"/>
    <n v="3"/>
    <n v="2"/>
    <n v="80"/>
    <n v="1"/>
    <n v="17"/>
    <n v="2"/>
    <n v="2"/>
    <n v="2"/>
    <n v="2"/>
    <n v="2"/>
    <n v="2"/>
    <x v="0"/>
    <x v="1"/>
    <n v="0"/>
    <n v="1"/>
    <x v="3"/>
    <x v="1"/>
    <n v="90"/>
  </r>
  <r>
    <n v="38"/>
    <x v="1"/>
    <s v="Travel_Frequently"/>
    <n v="148"/>
    <x v="1"/>
    <n v="2"/>
    <n v="3"/>
    <s v="Medical"/>
    <n v="1"/>
    <n v="1675"/>
    <n v="4"/>
    <x v="0"/>
    <n v="42"/>
    <n v="2"/>
    <n v="1"/>
    <x v="2"/>
    <n v="2"/>
    <s v="Single"/>
    <n v="2440"/>
    <n v="23826"/>
    <n v="1"/>
    <s v="Y"/>
    <x v="1"/>
    <n v="22"/>
    <n v="4"/>
    <n v="2"/>
    <n v="80"/>
    <n v="0"/>
    <n v="4"/>
    <n v="3"/>
    <n v="3"/>
    <n v="4"/>
    <n v="3"/>
    <n v="3"/>
    <n v="3"/>
    <x v="1"/>
    <x v="1"/>
    <n v="0"/>
    <n v="0"/>
    <x v="3"/>
    <x v="1"/>
    <n v="59"/>
  </r>
  <r>
    <n v="47"/>
    <x v="1"/>
    <s v="Travel_Rarely"/>
    <n v="1225"/>
    <x v="0"/>
    <n v="2"/>
    <n v="4"/>
    <s v="Life Sciences"/>
    <n v="1"/>
    <n v="1676"/>
    <n v="2"/>
    <x v="0"/>
    <n v="47"/>
    <n v="4"/>
    <n v="4"/>
    <x v="5"/>
    <n v="2"/>
    <s v="Divorced"/>
    <n v="15972"/>
    <n v="21086"/>
    <n v="6"/>
    <s v="Y"/>
    <x v="1"/>
    <n v="14"/>
    <n v="3"/>
    <n v="3"/>
    <n v="80"/>
    <n v="3"/>
    <n v="29"/>
    <n v="2"/>
    <n v="3"/>
    <n v="3"/>
    <n v="2"/>
    <n v="1"/>
    <n v="2"/>
    <x v="0"/>
    <x v="2"/>
    <n v="0"/>
    <n v="0"/>
    <x v="2"/>
    <x v="0"/>
    <n v="49"/>
  </r>
  <r>
    <n v="49"/>
    <x v="1"/>
    <s v="Travel_Rarely"/>
    <n v="809"/>
    <x v="1"/>
    <n v="1"/>
    <n v="3"/>
    <s v="Life Sciences"/>
    <n v="1"/>
    <n v="1677"/>
    <n v="3"/>
    <x v="1"/>
    <n v="36"/>
    <n v="3"/>
    <n v="4"/>
    <x v="5"/>
    <n v="3"/>
    <s v="Single"/>
    <n v="15379"/>
    <n v="22384"/>
    <n v="4"/>
    <s v="Y"/>
    <x v="1"/>
    <n v="14"/>
    <n v="3"/>
    <n v="1"/>
    <n v="80"/>
    <n v="0"/>
    <n v="23"/>
    <n v="2"/>
    <n v="3"/>
    <n v="8"/>
    <n v="7"/>
    <n v="0"/>
    <n v="0"/>
    <x v="0"/>
    <x v="2"/>
    <n v="0"/>
    <n v="0"/>
    <x v="3"/>
    <x v="0"/>
    <n v="36"/>
  </r>
  <r>
    <n v="41"/>
    <x v="1"/>
    <s v="Travel_Rarely"/>
    <n v="1206"/>
    <x v="0"/>
    <n v="23"/>
    <n v="2"/>
    <s v="Life Sciences"/>
    <n v="1"/>
    <n v="1678"/>
    <n v="4"/>
    <x v="1"/>
    <n v="80"/>
    <n v="3"/>
    <n v="3"/>
    <x v="0"/>
    <n v="3"/>
    <s v="Single"/>
    <n v="7082"/>
    <n v="11591"/>
    <n v="3"/>
    <s v="Y"/>
    <x v="0"/>
    <n v="16"/>
    <n v="3"/>
    <n v="4"/>
    <n v="80"/>
    <n v="0"/>
    <n v="21"/>
    <n v="2"/>
    <n v="3"/>
    <n v="2"/>
    <n v="0"/>
    <n v="0"/>
    <n v="2"/>
    <x v="0"/>
    <x v="0"/>
    <n v="0"/>
    <n v="1"/>
    <x v="0"/>
    <x v="1"/>
    <n v="78"/>
  </r>
  <r>
    <n v="20"/>
    <x v="1"/>
    <s v="Travel_Rarely"/>
    <n v="727"/>
    <x v="0"/>
    <n v="9"/>
    <n v="1"/>
    <s v="Life Sciences"/>
    <n v="1"/>
    <n v="1680"/>
    <n v="4"/>
    <x v="1"/>
    <n v="54"/>
    <n v="3"/>
    <n v="1"/>
    <x v="6"/>
    <n v="1"/>
    <s v="Single"/>
    <n v="2728"/>
    <n v="21082"/>
    <n v="1"/>
    <s v="Y"/>
    <x v="1"/>
    <n v="11"/>
    <n v="3"/>
    <n v="1"/>
    <n v="80"/>
    <n v="0"/>
    <n v="2"/>
    <n v="3"/>
    <n v="3"/>
    <n v="2"/>
    <n v="2"/>
    <n v="0"/>
    <n v="2"/>
    <x v="2"/>
    <x v="1"/>
    <n v="0"/>
    <n v="0"/>
    <x v="1"/>
    <x v="1"/>
    <n v="85"/>
  </r>
  <r>
    <n v="33"/>
    <x v="1"/>
    <s v="Non-Travel"/>
    <n v="530"/>
    <x v="0"/>
    <n v="16"/>
    <n v="3"/>
    <s v="Life Sciences"/>
    <n v="1"/>
    <n v="1681"/>
    <n v="3"/>
    <x v="0"/>
    <n v="36"/>
    <n v="3"/>
    <n v="2"/>
    <x v="0"/>
    <n v="4"/>
    <s v="Divorced"/>
    <n v="5368"/>
    <n v="16130"/>
    <n v="1"/>
    <s v="Y"/>
    <x v="0"/>
    <n v="25"/>
    <n v="4"/>
    <n v="3"/>
    <n v="80"/>
    <n v="1"/>
    <n v="7"/>
    <n v="2"/>
    <n v="3"/>
    <n v="6"/>
    <n v="5"/>
    <n v="1"/>
    <n v="2"/>
    <x v="1"/>
    <x v="0"/>
    <n v="0"/>
    <n v="1"/>
    <x v="3"/>
    <x v="1"/>
    <n v="64"/>
  </r>
  <r>
    <n v="36"/>
    <x v="1"/>
    <s v="Travel_Rarely"/>
    <n v="1351"/>
    <x v="1"/>
    <n v="26"/>
    <n v="4"/>
    <s v="Life Sciences"/>
    <n v="1"/>
    <n v="1682"/>
    <n v="1"/>
    <x v="1"/>
    <n v="80"/>
    <n v="3"/>
    <n v="2"/>
    <x v="4"/>
    <n v="3"/>
    <s v="Married"/>
    <n v="5347"/>
    <n v="7419"/>
    <n v="6"/>
    <s v="Y"/>
    <x v="1"/>
    <n v="14"/>
    <n v="3"/>
    <n v="2"/>
    <n v="80"/>
    <n v="2"/>
    <n v="10"/>
    <n v="2"/>
    <n v="2"/>
    <n v="3"/>
    <n v="2"/>
    <n v="0"/>
    <n v="2"/>
    <x v="1"/>
    <x v="0"/>
    <n v="0"/>
    <n v="0"/>
    <x v="2"/>
    <x v="0"/>
    <n v="53"/>
  </r>
  <r>
    <n v="44"/>
    <x v="1"/>
    <s v="Travel_Rarely"/>
    <n v="528"/>
    <x v="2"/>
    <n v="1"/>
    <n v="3"/>
    <s v="Life Sciences"/>
    <n v="1"/>
    <n v="1683"/>
    <n v="3"/>
    <x v="0"/>
    <n v="44"/>
    <n v="3"/>
    <n v="1"/>
    <x v="8"/>
    <n v="4"/>
    <s v="Divorced"/>
    <n v="3195"/>
    <n v="4167"/>
    <n v="4"/>
    <s v="Y"/>
    <x v="0"/>
    <n v="18"/>
    <n v="3"/>
    <n v="1"/>
    <n v="80"/>
    <n v="3"/>
    <n v="8"/>
    <n v="2"/>
    <n v="3"/>
    <n v="2"/>
    <n v="2"/>
    <n v="2"/>
    <n v="2"/>
    <x v="0"/>
    <x v="1"/>
    <n v="0"/>
    <n v="1"/>
    <x v="3"/>
    <x v="1"/>
    <n v="71"/>
  </r>
  <r>
    <n v="23"/>
    <x v="0"/>
    <s v="Travel_Rarely"/>
    <n v="1320"/>
    <x v="1"/>
    <n v="8"/>
    <n v="1"/>
    <s v="Medical"/>
    <n v="1"/>
    <n v="1684"/>
    <n v="4"/>
    <x v="1"/>
    <n v="93"/>
    <n v="2"/>
    <n v="1"/>
    <x v="2"/>
    <n v="3"/>
    <s v="Single"/>
    <n v="3989"/>
    <n v="20586"/>
    <n v="1"/>
    <s v="Y"/>
    <x v="0"/>
    <n v="11"/>
    <n v="3"/>
    <n v="1"/>
    <n v="80"/>
    <n v="0"/>
    <n v="5"/>
    <n v="2"/>
    <n v="3"/>
    <n v="5"/>
    <n v="4"/>
    <n v="1"/>
    <n v="2"/>
    <x v="2"/>
    <x v="1"/>
    <n v="1"/>
    <n v="1"/>
    <x v="1"/>
    <x v="1"/>
    <n v="88"/>
  </r>
  <r>
    <n v="38"/>
    <x v="1"/>
    <s v="Travel_Rarely"/>
    <n v="1495"/>
    <x v="1"/>
    <n v="4"/>
    <n v="2"/>
    <s v="Medical"/>
    <n v="1"/>
    <n v="1687"/>
    <n v="4"/>
    <x v="0"/>
    <n v="87"/>
    <n v="3"/>
    <n v="1"/>
    <x v="2"/>
    <n v="3"/>
    <s v="Married"/>
    <n v="3306"/>
    <n v="26176"/>
    <n v="7"/>
    <s v="Y"/>
    <x v="1"/>
    <n v="19"/>
    <n v="3"/>
    <n v="4"/>
    <n v="80"/>
    <n v="1"/>
    <n v="7"/>
    <n v="5"/>
    <n v="2"/>
    <n v="0"/>
    <n v="0"/>
    <n v="0"/>
    <n v="0"/>
    <x v="1"/>
    <x v="1"/>
    <n v="0"/>
    <n v="0"/>
    <x v="0"/>
    <x v="1"/>
    <n v="63"/>
  </r>
  <r>
    <n v="53"/>
    <x v="1"/>
    <s v="Travel_Rarely"/>
    <n v="1395"/>
    <x v="1"/>
    <n v="24"/>
    <n v="4"/>
    <s v="Medical"/>
    <n v="1"/>
    <n v="1689"/>
    <n v="2"/>
    <x v="1"/>
    <n v="48"/>
    <n v="4"/>
    <n v="3"/>
    <x v="4"/>
    <n v="4"/>
    <s v="Married"/>
    <n v="7005"/>
    <n v="3458"/>
    <n v="3"/>
    <s v="Y"/>
    <x v="1"/>
    <n v="15"/>
    <n v="3"/>
    <n v="3"/>
    <n v="80"/>
    <n v="0"/>
    <n v="11"/>
    <n v="2"/>
    <n v="3"/>
    <n v="4"/>
    <n v="3"/>
    <n v="1"/>
    <n v="2"/>
    <x v="3"/>
    <x v="0"/>
    <n v="0"/>
    <n v="0"/>
    <x v="2"/>
    <x v="0"/>
    <n v="41"/>
  </r>
  <r>
    <n v="48"/>
    <x v="0"/>
    <s v="Travel_Frequently"/>
    <n v="708"/>
    <x v="0"/>
    <n v="7"/>
    <n v="2"/>
    <s v="Medical"/>
    <n v="1"/>
    <n v="1691"/>
    <n v="4"/>
    <x v="0"/>
    <n v="95"/>
    <n v="3"/>
    <n v="1"/>
    <x v="6"/>
    <n v="3"/>
    <s v="Married"/>
    <n v="2655"/>
    <n v="11740"/>
    <n v="2"/>
    <s v="Y"/>
    <x v="0"/>
    <n v="11"/>
    <n v="3"/>
    <n v="3"/>
    <n v="80"/>
    <n v="2"/>
    <n v="19"/>
    <n v="3"/>
    <n v="3"/>
    <n v="9"/>
    <n v="7"/>
    <n v="7"/>
    <n v="7"/>
    <x v="0"/>
    <x v="1"/>
    <n v="1"/>
    <n v="1"/>
    <x v="0"/>
    <x v="1"/>
    <n v="61"/>
  </r>
  <r>
    <n v="32"/>
    <x v="0"/>
    <s v="Travel_Rarely"/>
    <n v="1259"/>
    <x v="1"/>
    <n v="2"/>
    <n v="4"/>
    <s v="Life Sciences"/>
    <n v="1"/>
    <n v="1692"/>
    <n v="4"/>
    <x v="1"/>
    <n v="95"/>
    <n v="3"/>
    <n v="1"/>
    <x v="2"/>
    <n v="2"/>
    <s v="Single"/>
    <n v="1393"/>
    <n v="24852"/>
    <n v="1"/>
    <s v="Y"/>
    <x v="1"/>
    <n v="12"/>
    <n v="3"/>
    <n v="1"/>
    <n v="80"/>
    <n v="0"/>
    <n v="1"/>
    <n v="2"/>
    <n v="3"/>
    <n v="1"/>
    <n v="0"/>
    <n v="0"/>
    <n v="0"/>
    <x v="1"/>
    <x v="1"/>
    <n v="1"/>
    <n v="0"/>
    <x v="2"/>
    <x v="1"/>
    <n v="69"/>
  </r>
  <r>
    <n v="26"/>
    <x v="1"/>
    <s v="Non-Travel"/>
    <n v="786"/>
    <x v="1"/>
    <n v="7"/>
    <n v="3"/>
    <s v="Medical"/>
    <n v="1"/>
    <n v="1693"/>
    <n v="4"/>
    <x v="1"/>
    <n v="76"/>
    <n v="3"/>
    <n v="1"/>
    <x v="2"/>
    <n v="4"/>
    <s v="Single"/>
    <n v="2570"/>
    <n v="11925"/>
    <n v="1"/>
    <s v="Y"/>
    <x v="1"/>
    <n v="20"/>
    <n v="4"/>
    <n v="3"/>
    <n v="80"/>
    <n v="0"/>
    <n v="7"/>
    <n v="5"/>
    <n v="3"/>
    <n v="7"/>
    <n v="7"/>
    <n v="5"/>
    <n v="7"/>
    <x v="2"/>
    <x v="1"/>
    <n v="0"/>
    <n v="0"/>
    <x v="3"/>
    <x v="0"/>
    <n v="49"/>
  </r>
  <r>
    <n v="55"/>
    <x v="1"/>
    <s v="Travel_Rarely"/>
    <n v="1441"/>
    <x v="1"/>
    <n v="22"/>
    <n v="3"/>
    <s v="Technical Degree"/>
    <n v="1"/>
    <n v="1694"/>
    <n v="1"/>
    <x v="1"/>
    <n v="94"/>
    <n v="2"/>
    <n v="1"/>
    <x v="1"/>
    <n v="2"/>
    <s v="Divorced"/>
    <n v="3537"/>
    <n v="23737"/>
    <n v="5"/>
    <s v="Y"/>
    <x v="1"/>
    <n v="12"/>
    <n v="3"/>
    <n v="4"/>
    <n v="80"/>
    <n v="1"/>
    <n v="8"/>
    <n v="1"/>
    <n v="3"/>
    <n v="4"/>
    <n v="2"/>
    <n v="1"/>
    <n v="2"/>
    <x v="3"/>
    <x v="1"/>
    <n v="0"/>
    <n v="0"/>
    <x v="3"/>
    <x v="0"/>
    <n v="54"/>
  </r>
  <r>
    <n v="34"/>
    <x v="1"/>
    <s v="Travel_Rarely"/>
    <n v="1157"/>
    <x v="1"/>
    <n v="5"/>
    <n v="2"/>
    <s v="Medical"/>
    <n v="1"/>
    <n v="1696"/>
    <n v="2"/>
    <x v="1"/>
    <n v="57"/>
    <n v="2"/>
    <n v="2"/>
    <x v="2"/>
    <n v="4"/>
    <s v="Married"/>
    <n v="3986"/>
    <n v="11912"/>
    <n v="1"/>
    <s v="Y"/>
    <x v="1"/>
    <n v="14"/>
    <n v="3"/>
    <n v="3"/>
    <n v="80"/>
    <n v="1"/>
    <n v="15"/>
    <n v="3"/>
    <n v="4"/>
    <n v="15"/>
    <n v="10"/>
    <n v="4"/>
    <n v="13"/>
    <x v="1"/>
    <x v="1"/>
    <n v="0"/>
    <n v="0"/>
    <x v="0"/>
    <x v="2"/>
    <n v="34"/>
  </r>
  <r>
    <n v="60"/>
    <x v="1"/>
    <s v="Travel_Rarely"/>
    <n v="370"/>
    <x v="1"/>
    <n v="1"/>
    <n v="4"/>
    <s v="Medical"/>
    <n v="1"/>
    <n v="1697"/>
    <n v="3"/>
    <x v="1"/>
    <n v="92"/>
    <n v="1"/>
    <n v="3"/>
    <x v="4"/>
    <n v="4"/>
    <s v="Divorced"/>
    <n v="10883"/>
    <n v="20467"/>
    <n v="3"/>
    <s v="Y"/>
    <x v="1"/>
    <n v="20"/>
    <n v="4"/>
    <n v="3"/>
    <n v="80"/>
    <n v="1"/>
    <n v="19"/>
    <n v="2"/>
    <n v="4"/>
    <n v="1"/>
    <n v="0"/>
    <n v="0"/>
    <n v="0"/>
    <x v="3"/>
    <x v="0"/>
    <n v="0"/>
    <n v="0"/>
    <x v="2"/>
    <x v="0"/>
    <n v="51"/>
  </r>
  <r>
    <n v="33"/>
    <x v="1"/>
    <s v="Travel_Rarely"/>
    <n v="267"/>
    <x v="1"/>
    <n v="21"/>
    <n v="3"/>
    <s v="Medical"/>
    <n v="1"/>
    <n v="1698"/>
    <n v="2"/>
    <x v="1"/>
    <n v="79"/>
    <n v="4"/>
    <n v="1"/>
    <x v="2"/>
    <n v="2"/>
    <s v="Married"/>
    <n v="2028"/>
    <n v="13637"/>
    <n v="1"/>
    <s v="Y"/>
    <x v="1"/>
    <n v="18"/>
    <n v="3"/>
    <n v="4"/>
    <n v="80"/>
    <n v="3"/>
    <n v="14"/>
    <n v="6"/>
    <n v="3"/>
    <n v="14"/>
    <n v="11"/>
    <n v="2"/>
    <n v="13"/>
    <x v="1"/>
    <x v="1"/>
    <n v="0"/>
    <n v="0"/>
    <x v="3"/>
    <x v="0"/>
    <n v="47"/>
  </r>
  <r>
    <n v="37"/>
    <x v="1"/>
    <s v="Travel_Frequently"/>
    <n v="1278"/>
    <x v="0"/>
    <n v="1"/>
    <n v="4"/>
    <s v="Medical"/>
    <n v="1"/>
    <n v="1700"/>
    <n v="3"/>
    <x v="1"/>
    <n v="31"/>
    <n v="1"/>
    <n v="2"/>
    <x v="0"/>
    <n v="4"/>
    <s v="Divorced"/>
    <n v="9525"/>
    <n v="7677"/>
    <n v="1"/>
    <s v="Y"/>
    <x v="1"/>
    <n v="14"/>
    <n v="3"/>
    <n v="3"/>
    <n v="80"/>
    <n v="2"/>
    <n v="6"/>
    <n v="2"/>
    <n v="2"/>
    <n v="6"/>
    <n v="3"/>
    <n v="1"/>
    <n v="3"/>
    <x v="1"/>
    <x v="0"/>
    <n v="0"/>
    <n v="0"/>
    <x v="2"/>
    <x v="0"/>
    <n v="39"/>
  </r>
  <r>
    <n v="34"/>
    <x v="1"/>
    <s v="Travel_Rarely"/>
    <n v="678"/>
    <x v="1"/>
    <n v="19"/>
    <n v="3"/>
    <s v="Life Sciences"/>
    <n v="1"/>
    <n v="1701"/>
    <n v="2"/>
    <x v="0"/>
    <n v="35"/>
    <n v="2"/>
    <n v="1"/>
    <x v="1"/>
    <n v="4"/>
    <s v="Married"/>
    <n v="2929"/>
    <n v="20338"/>
    <n v="1"/>
    <s v="Y"/>
    <x v="1"/>
    <n v="12"/>
    <n v="3"/>
    <n v="2"/>
    <n v="80"/>
    <n v="0"/>
    <n v="10"/>
    <n v="3"/>
    <n v="3"/>
    <n v="10"/>
    <n v="9"/>
    <n v="8"/>
    <n v="7"/>
    <x v="1"/>
    <x v="1"/>
    <n v="0"/>
    <n v="0"/>
    <x v="3"/>
    <x v="0"/>
    <n v="39"/>
  </r>
  <r>
    <n v="23"/>
    <x v="0"/>
    <s v="Travel_Rarely"/>
    <n v="427"/>
    <x v="0"/>
    <n v="7"/>
    <n v="3"/>
    <s v="Life Sciences"/>
    <n v="1"/>
    <n v="1702"/>
    <n v="3"/>
    <x v="1"/>
    <n v="99"/>
    <n v="3"/>
    <n v="1"/>
    <x v="6"/>
    <n v="4"/>
    <s v="Divorced"/>
    <n v="2275"/>
    <n v="25103"/>
    <n v="1"/>
    <s v="Y"/>
    <x v="0"/>
    <n v="21"/>
    <n v="4"/>
    <n v="2"/>
    <n v="80"/>
    <n v="1"/>
    <n v="3"/>
    <n v="2"/>
    <n v="3"/>
    <n v="3"/>
    <n v="2"/>
    <n v="0"/>
    <n v="2"/>
    <x v="2"/>
    <x v="1"/>
    <n v="1"/>
    <n v="1"/>
    <x v="3"/>
    <x v="1"/>
    <n v="81"/>
  </r>
  <r>
    <n v="44"/>
    <x v="1"/>
    <s v="Travel_Rarely"/>
    <n v="921"/>
    <x v="1"/>
    <n v="2"/>
    <n v="3"/>
    <s v="Life Sciences"/>
    <n v="1"/>
    <n v="1703"/>
    <n v="3"/>
    <x v="0"/>
    <n v="96"/>
    <n v="4"/>
    <n v="3"/>
    <x v="4"/>
    <n v="4"/>
    <s v="Married"/>
    <n v="7879"/>
    <n v="14810"/>
    <n v="1"/>
    <s v="Y"/>
    <x v="0"/>
    <n v="19"/>
    <n v="3"/>
    <n v="2"/>
    <n v="80"/>
    <n v="1"/>
    <n v="9"/>
    <n v="2"/>
    <n v="3"/>
    <n v="8"/>
    <n v="7"/>
    <n v="6"/>
    <n v="7"/>
    <x v="0"/>
    <x v="0"/>
    <n v="0"/>
    <n v="1"/>
    <x v="3"/>
    <x v="0"/>
    <n v="54"/>
  </r>
  <r>
    <n v="35"/>
    <x v="1"/>
    <s v="Travel_Frequently"/>
    <n v="146"/>
    <x v="1"/>
    <n v="2"/>
    <n v="4"/>
    <s v="Medical"/>
    <n v="1"/>
    <n v="1704"/>
    <n v="1"/>
    <x v="1"/>
    <n v="79"/>
    <n v="2"/>
    <n v="1"/>
    <x v="1"/>
    <n v="4"/>
    <s v="Single"/>
    <n v="4930"/>
    <n v="13970"/>
    <n v="0"/>
    <s v="Y"/>
    <x v="0"/>
    <n v="14"/>
    <n v="3"/>
    <n v="3"/>
    <n v="80"/>
    <n v="0"/>
    <n v="6"/>
    <n v="2"/>
    <n v="4"/>
    <n v="5"/>
    <n v="4"/>
    <n v="1"/>
    <n v="4"/>
    <x v="1"/>
    <x v="1"/>
    <n v="0"/>
    <n v="1"/>
    <x v="2"/>
    <x v="1"/>
    <n v="71"/>
  </r>
  <r>
    <n v="43"/>
    <x v="1"/>
    <s v="Travel_Rarely"/>
    <n v="1179"/>
    <x v="0"/>
    <n v="2"/>
    <n v="3"/>
    <s v="Medical"/>
    <n v="1"/>
    <n v="1706"/>
    <n v="4"/>
    <x v="1"/>
    <n v="73"/>
    <n v="3"/>
    <n v="2"/>
    <x v="0"/>
    <n v="4"/>
    <s v="Married"/>
    <n v="7847"/>
    <n v="6069"/>
    <n v="1"/>
    <s v="Y"/>
    <x v="0"/>
    <n v="17"/>
    <n v="3"/>
    <n v="1"/>
    <n v="80"/>
    <n v="1"/>
    <n v="10"/>
    <n v="3"/>
    <n v="3"/>
    <n v="10"/>
    <n v="9"/>
    <n v="8"/>
    <n v="8"/>
    <x v="0"/>
    <x v="0"/>
    <n v="0"/>
    <n v="1"/>
    <x v="3"/>
    <x v="0"/>
    <n v="54"/>
  </r>
  <r>
    <n v="24"/>
    <x v="1"/>
    <s v="Travel_Rarely"/>
    <n v="581"/>
    <x v="1"/>
    <n v="9"/>
    <n v="3"/>
    <s v="Medical"/>
    <n v="1"/>
    <n v="1707"/>
    <n v="3"/>
    <x v="1"/>
    <n v="62"/>
    <n v="4"/>
    <n v="1"/>
    <x v="1"/>
    <n v="3"/>
    <s v="Married"/>
    <n v="4401"/>
    <n v="17616"/>
    <n v="1"/>
    <s v="Y"/>
    <x v="1"/>
    <n v="16"/>
    <n v="3"/>
    <n v="4"/>
    <n v="80"/>
    <n v="1"/>
    <n v="5"/>
    <n v="1"/>
    <n v="3"/>
    <n v="5"/>
    <n v="3"/>
    <n v="0"/>
    <n v="4"/>
    <x v="2"/>
    <x v="1"/>
    <n v="0"/>
    <n v="0"/>
    <x v="3"/>
    <x v="1"/>
    <n v="63"/>
  </r>
  <r>
    <n v="41"/>
    <x v="1"/>
    <s v="Travel_Rarely"/>
    <n v="918"/>
    <x v="0"/>
    <n v="6"/>
    <n v="3"/>
    <s v="Marketing"/>
    <n v="1"/>
    <n v="1708"/>
    <n v="4"/>
    <x v="1"/>
    <n v="35"/>
    <n v="3"/>
    <n v="3"/>
    <x v="0"/>
    <n v="3"/>
    <s v="Single"/>
    <n v="9241"/>
    <n v="15869"/>
    <n v="1"/>
    <s v="Y"/>
    <x v="1"/>
    <n v="12"/>
    <n v="3"/>
    <n v="2"/>
    <n v="80"/>
    <n v="0"/>
    <n v="10"/>
    <n v="3"/>
    <n v="3"/>
    <n v="10"/>
    <n v="8"/>
    <n v="8"/>
    <n v="7"/>
    <x v="0"/>
    <x v="0"/>
    <n v="0"/>
    <n v="0"/>
    <x v="3"/>
    <x v="0"/>
    <n v="36"/>
  </r>
  <r>
    <n v="29"/>
    <x v="1"/>
    <s v="Travel_Rarely"/>
    <n v="1082"/>
    <x v="1"/>
    <n v="9"/>
    <n v="4"/>
    <s v="Medical"/>
    <n v="1"/>
    <n v="1709"/>
    <n v="4"/>
    <x v="0"/>
    <n v="43"/>
    <n v="3"/>
    <n v="1"/>
    <x v="2"/>
    <n v="3"/>
    <s v="Married"/>
    <n v="2974"/>
    <n v="25412"/>
    <n v="9"/>
    <s v="Y"/>
    <x v="1"/>
    <n v="17"/>
    <n v="3"/>
    <n v="3"/>
    <n v="80"/>
    <n v="1"/>
    <n v="9"/>
    <n v="2"/>
    <n v="3"/>
    <n v="5"/>
    <n v="3"/>
    <n v="1"/>
    <n v="2"/>
    <x v="2"/>
    <x v="1"/>
    <n v="0"/>
    <n v="0"/>
    <x v="2"/>
    <x v="1"/>
    <n v="63"/>
  </r>
  <r>
    <n v="36"/>
    <x v="1"/>
    <s v="Travel_Rarely"/>
    <n v="530"/>
    <x v="0"/>
    <n v="2"/>
    <n v="4"/>
    <s v="Life Sciences"/>
    <n v="1"/>
    <n v="1710"/>
    <n v="3"/>
    <x v="0"/>
    <n v="51"/>
    <n v="3"/>
    <n v="2"/>
    <x v="6"/>
    <n v="4"/>
    <s v="Single"/>
    <n v="4502"/>
    <n v="7439"/>
    <n v="3"/>
    <s v="Y"/>
    <x v="1"/>
    <n v="15"/>
    <n v="3"/>
    <n v="3"/>
    <n v="80"/>
    <n v="0"/>
    <n v="17"/>
    <n v="2"/>
    <n v="2"/>
    <n v="13"/>
    <n v="7"/>
    <n v="6"/>
    <n v="7"/>
    <x v="1"/>
    <x v="1"/>
    <n v="0"/>
    <n v="0"/>
    <x v="2"/>
    <x v="2"/>
    <n v="34"/>
  </r>
  <r>
    <n v="45"/>
    <x v="1"/>
    <s v="Non-Travel"/>
    <n v="1238"/>
    <x v="1"/>
    <n v="1"/>
    <n v="1"/>
    <s v="Life Sciences"/>
    <n v="1"/>
    <n v="1712"/>
    <n v="3"/>
    <x v="1"/>
    <n v="74"/>
    <n v="2"/>
    <n v="3"/>
    <x v="4"/>
    <n v="3"/>
    <s v="Married"/>
    <n v="10748"/>
    <n v="3395"/>
    <n v="3"/>
    <s v="Y"/>
    <x v="1"/>
    <n v="23"/>
    <n v="4"/>
    <n v="4"/>
    <n v="80"/>
    <n v="1"/>
    <n v="25"/>
    <n v="3"/>
    <n v="2"/>
    <n v="23"/>
    <n v="15"/>
    <n v="14"/>
    <n v="4"/>
    <x v="0"/>
    <x v="0"/>
    <n v="0"/>
    <n v="0"/>
    <x v="1"/>
    <x v="2"/>
    <n v="31"/>
  </r>
  <r>
    <n v="24"/>
    <x v="0"/>
    <s v="Travel_Rarely"/>
    <n v="240"/>
    <x v="2"/>
    <n v="22"/>
    <n v="1"/>
    <s v="Human Resources"/>
    <n v="1"/>
    <n v="1714"/>
    <n v="4"/>
    <x v="1"/>
    <n v="58"/>
    <n v="1"/>
    <n v="1"/>
    <x v="8"/>
    <n v="3"/>
    <s v="Married"/>
    <n v="1555"/>
    <n v="11585"/>
    <n v="1"/>
    <s v="Y"/>
    <x v="1"/>
    <n v="11"/>
    <n v="3"/>
    <n v="3"/>
    <n v="80"/>
    <n v="1"/>
    <n v="1"/>
    <n v="2"/>
    <n v="3"/>
    <n v="1"/>
    <n v="0"/>
    <n v="0"/>
    <n v="0"/>
    <x v="2"/>
    <x v="1"/>
    <n v="1"/>
    <n v="0"/>
    <x v="1"/>
    <x v="1"/>
    <n v="73"/>
  </r>
  <r>
    <n v="47"/>
    <x v="0"/>
    <s v="Travel_Frequently"/>
    <n v="1093"/>
    <x v="0"/>
    <n v="9"/>
    <n v="3"/>
    <s v="Life Sciences"/>
    <n v="1"/>
    <n v="1716"/>
    <n v="3"/>
    <x v="1"/>
    <n v="82"/>
    <n v="1"/>
    <n v="4"/>
    <x v="0"/>
    <n v="3"/>
    <s v="Married"/>
    <n v="12936"/>
    <n v="24164"/>
    <n v="7"/>
    <s v="Y"/>
    <x v="1"/>
    <n v="11"/>
    <n v="3"/>
    <n v="3"/>
    <n v="80"/>
    <n v="0"/>
    <n v="25"/>
    <n v="3"/>
    <n v="1"/>
    <n v="23"/>
    <n v="5"/>
    <n v="14"/>
    <n v="10"/>
    <x v="0"/>
    <x v="0"/>
    <n v="1"/>
    <n v="0"/>
    <x v="3"/>
    <x v="2"/>
    <n v="31"/>
  </r>
  <r>
    <n v="26"/>
    <x v="1"/>
    <s v="Travel_Rarely"/>
    <n v="390"/>
    <x v="1"/>
    <n v="17"/>
    <n v="4"/>
    <s v="Medical"/>
    <n v="1"/>
    <n v="1718"/>
    <n v="4"/>
    <x v="1"/>
    <n v="62"/>
    <n v="1"/>
    <n v="1"/>
    <x v="2"/>
    <n v="3"/>
    <s v="Married"/>
    <n v="2305"/>
    <n v="6217"/>
    <n v="1"/>
    <s v="Y"/>
    <x v="1"/>
    <n v="15"/>
    <n v="3"/>
    <n v="3"/>
    <n v="80"/>
    <n v="3"/>
    <n v="3"/>
    <n v="3"/>
    <n v="4"/>
    <n v="3"/>
    <n v="2"/>
    <n v="0"/>
    <n v="2"/>
    <x v="2"/>
    <x v="1"/>
    <n v="0"/>
    <n v="0"/>
    <x v="2"/>
    <x v="1"/>
    <n v="63"/>
  </r>
  <r>
    <n v="45"/>
    <x v="1"/>
    <s v="Travel_Rarely"/>
    <n v="1005"/>
    <x v="1"/>
    <n v="28"/>
    <n v="2"/>
    <s v="Technical Degree"/>
    <n v="1"/>
    <n v="1719"/>
    <n v="4"/>
    <x v="0"/>
    <n v="48"/>
    <n v="2"/>
    <n v="4"/>
    <x v="7"/>
    <n v="2"/>
    <s v="Single"/>
    <n v="16704"/>
    <n v="17119"/>
    <n v="1"/>
    <s v="Y"/>
    <x v="1"/>
    <n v="11"/>
    <n v="3"/>
    <n v="3"/>
    <n v="80"/>
    <n v="0"/>
    <n v="21"/>
    <n v="2"/>
    <n v="3"/>
    <n v="21"/>
    <n v="6"/>
    <n v="8"/>
    <n v="6"/>
    <x v="0"/>
    <x v="2"/>
    <n v="0"/>
    <n v="0"/>
    <x v="0"/>
    <x v="0"/>
    <n v="37"/>
  </r>
  <r>
    <n v="32"/>
    <x v="1"/>
    <s v="Travel_Frequently"/>
    <n v="585"/>
    <x v="1"/>
    <n v="10"/>
    <n v="3"/>
    <s v="Life Sciences"/>
    <n v="1"/>
    <n v="1720"/>
    <n v="1"/>
    <x v="1"/>
    <n v="56"/>
    <n v="3"/>
    <n v="1"/>
    <x v="1"/>
    <n v="3"/>
    <s v="Married"/>
    <n v="3433"/>
    <n v="17360"/>
    <n v="6"/>
    <s v="Y"/>
    <x v="1"/>
    <n v="13"/>
    <n v="3"/>
    <n v="1"/>
    <n v="80"/>
    <n v="1"/>
    <n v="10"/>
    <n v="3"/>
    <n v="2"/>
    <n v="5"/>
    <n v="2"/>
    <n v="1"/>
    <n v="3"/>
    <x v="1"/>
    <x v="1"/>
    <n v="0"/>
    <n v="0"/>
    <x v="3"/>
    <x v="0"/>
    <n v="53"/>
  </r>
  <r>
    <n v="31"/>
    <x v="1"/>
    <s v="Travel_Rarely"/>
    <n v="741"/>
    <x v="1"/>
    <n v="2"/>
    <n v="4"/>
    <s v="Life Sciences"/>
    <n v="1"/>
    <n v="1721"/>
    <n v="2"/>
    <x v="1"/>
    <n v="69"/>
    <n v="3"/>
    <n v="1"/>
    <x v="2"/>
    <n v="3"/>
    <s v="Married"/>
    <n v="3477"/>
    <n v="18103"/>
    <n v="1"/>
    <s v="Y"/>
    <x v="1"/>
    <n v="14"/>
    <n v="3"/>
    <n v="4"/>
    <n v="80"/>
    <n v="1"/>
    <n v="6"/>
    <n v="2"/>
    <n v="4"/>
    <n v="5"/>
    <n v="2"/>
    <n v="0"/>
    <n v="3"/>
    <x v="1"/>
    <x v="1"/>
    <n v="0"/>
    <n v="0"/>
    <x v="2"/>
    <x v="0"/>
    <n v="53"/>
  </r>
  <r>
    <n v="41"/>
    <x v="1"/>
    <s v="Non-Travel"/>
    <n v="552"/>
    <x v="2"/>
    <n v="4"/>
    <n v="3"/>
    <s v="Human Resources"/>
    <n v="1"/>
    <n v="1722"/>
    <n v="3"/>
    <x v="1"/>
    <n v="60"/>
    <n v="1"/>
    <n v="2"/>
    <x v="8"/>
    <n v="2"/>
    <s v="Married"/>
    <n v="6430"/>
    <n v="20794"/>
    <n v="6"/>
    <s v="Y"/>
    <x v="1"/>
    <n v="19"/>
    <n v="3"/>
    <n v="2"/>
    <n v="80"/>
    <n v="1"/>
    <n v="10"/>
    <n v="4"/>
    <n v="3"/>
    <n v="3"/>
    <n v="2"/>
    <n v="1"/>
    <n v="2"/>
    <x v="0"/>
    <x v="0"/>
    <n v="0"/>
    <n v="0"/>
    <x v="3"/>
    <x v="0"/>
    <n v="49"/>
  </r>
  <r>
    <n v="40"/>
    <x v="1"/>
    <s v="Travel_Rarely"/>
    <n v="369"/>
    <x v="1"/>
    <n v="8"/>
    <n v="2"/>
    <s v="Life Sciences"/>
    <n v="1"/>
    <n v="1724"/>
    <n v="2"/>
    <x v="0"/>
    <n v="92"/>
    <n v="3"/>
    <n v="2"/>
    <x v="3"/>
    <n v="1"/>
    <s v="Married"/>
    <n v="6516"/>
    <n v="5041"/>
    <n v="2"/>
    <s v="Y"/>
    <x v="0"/>
    <n v="16"/>
    <n v="3"/>
    <n v="2"/>
    <n v="80"/>
    <n v="1"/>
    <n v="18"/>
    <n v="3"/>
    <n v="3"/>
    <n v="1"/>
    <n v="0"/>
    <n v="0"/>
    <n v="0"/>
    <x v="0"/>
    <x v="0"/>
    <n v="0"/>
    <n v="1"/>
    <x v="0"/>
    <x v="1"/>
    <n v="90"/>
  </r>
  <r>
    <n v="24"/>
    <x v="1"/>
    <s v="Travel_Rarely"/>
    <n v="506"/>
    <x v="1"/>
    <n v="29"/>
    <n v="1"/>
    <s v="Medical"/>
    <n v="1"/>
    <n v="1725"/>
    <n v="2"/>
    <x v="1"/>
    <n v="91"/>
    <n v="3"/>
    <n v="1"/>
    <x v="2"/>
    <n v="1"/>
    <s v="Divorced"/>
    <n v="3907"/>
    <n v="3622"/>
    <n v="1"/>
    <s v="Y"/>
    <x v="1"/>
    <n v="13"/>
    <n v="3"/>
    <n v="2"/>
    <n v="80"/>
    <n v="3"/>
    <n v="6"/>
    <n v="2"/>
    <n v="4"/>
    <n v="6"/>
    <n v="2"/>
    <n v="1"/>
    <n v="2"/>
    <x v="2"/>
    <x v="1"/>
    <n v="0"/>
    <n v="0"/>
    <x v="1"/>
    <x v="1"/>
    <n v="68"/>
  </r>
  <r>
    <n v="46"/>
    <x v="1"/>
    <s v="Travel_Rarely"/>
    <n v="717"/>
    <x v="1"/>
    <n v="13"/>
    <n v="4"/>
    <s v="Life Sciences"/>
    <n v="1"/>
    <n v="1727"/>
    <n v="3"/>
    <x v="1"/>
    <n v="34"/>
    <n v="3"/>
    <n v="2"/>
    <x v="4"/>
    <n v="2"/>
    <s v="Single"/>
    <n v="5562"/>
    <n v="9697"/>
    <n v="6"/>
    <s v="Y"/>
    <x v="1"/>
    <n v="14"/>
    <n v="3"/>
    <n v="4"/>
    <n v="80"/>
    <n v="0"/>
    <n v="19"/>
    <n v="3"/>
    <n v="3"/>
    <n v="10"/>
    <n v="7"/>
    <n v="0"/>
    <n v="9"/>
    <x v="0"/>
    <x v="0"/>
    <n v="0"/>
    <n v="0"/>
    <x v="2"/>
    <x v="0"/>
    <n v="42"/>
  </r>
  <r>
    <n v="35"/>
    <x v="1"/>
    <s v="Travel_Rarely"/>
    <n v="1370"/>
    <x v="1"/>
    <n v="27"/>
    <n v="4"/>
    <s v="Life Sciences"/>
    <n v="1"/>
    <n v="1728"/>
    <n v="4"/>
    <x v="1"/>
    <n v="49"/>
    <n v="3"/>
    <n v="2"/>
    <x v="3"/>
    <n v="3"/>
    <s v="Married"/>
    <n v="6883"/>
    <n v="5151"/>
    <n v="2"/>
    <s v="Y"/>
    <x v="1"/>
    <n v="16"/>
    <n v="3"/>
    <n v="2"/>
    <n v="80"/>
    <n v="1"/>
    <n v="17"/>
    <n v="3"/>
    <n v="3"/>
    <n v="7"/>
    <n v="7"/>
    <n v="0"/>
    <n v="7"/>
    <x v="1"/>
    <x v="0"/>
    <n v="0"/>
    <n v="0"/>
    <x v="2"/>
    <x v="0"/>
    <n v="46"/>
  </r>
  <r>
    <n v="30"/>
    <x v="1"/>
    <s v="Travel_Rarely"/>
    <n v="793"/>
    <x v="1"/>
    <n v="16"/>
    <n v="1"/>
    <s v="Life Sciences"/>
    <n v="1"/>
    <n v="1729"/>
    <n v="2"/>
    <x v="1"/>
    <n v="33"/>
    <n v="3"/>
    <n v="1"/>
    <x v="1"/>
    <n v="4"/>
    <s v="Married"/>
    <n v="2862"/>
    <n v="3811"/>
    <n v="1"/>
    <s v="Y"/>
    <x v="1"/>
    <n v="12"/>
    <n v="3"/>
    <n v="2"/>
    <n v="80"/>
    <n v="1"/>
    <n v="10"/>
    <n v="2"/>
    <n v="2"/>
    <n v="10"/>
    <n v="0"/>
    <n v="0"/>
    <n v="8"/>
    <x v="1"/>
    <x v="1"/>
    <n v="0"/>
    <n v="0"/>
    <x v="1"/>
    <x v="0"/>
    <n v="39"/>
  </r>
  <r>
    <n v="47"/>
    <x v="1"/>
    <s v="Non-Travel"/>
    <n v="543"/>
    <x v="0"/>
    <n v="2"/>
    <n v="4"/>
    <s v="Marketing"/>
    <n v="1"/>
    <n v="1731"/>
    <n v="3"/>
    <x v="1"/>
    <n v="87"/>
    <n v="3"/>
    <n v="2"/>
    <x v="0"/>
    <n v="2"/>
    <s v="Married"/>
    <n v="4978"/>
    <n v="3536"/>
    <n v="7"/>
    <s v="Y"/>
    <x v="1"/>
    <n v="11"/>
    <n v="3"/>
    <n v="4"/>
    <n v="80"/>
    <n v="1"/>
    <n v="4"/>
    <n v="3"/>
    <n v="1"/>
    <n v="1"/>
    <n v="0"/>
    <n v="0"/>
    <n v="0"/>
    <x v="0"/>
    <x v="1"/>
    <n v="0"/>
    <n v="0"/>
    <x v="2"/>
    <x v="1"/>
    <n v="59"/>
  </r>
  <r>
    <n v="46"/>
    <x v="1"/>
    <s v="Travel_Rarely"/>
    <n v="1277"/>
    <x v="0"/>
    <n v="2"/>
    <n v="3"/>
    <s v="Life Sciences"/>
    <n v="1"/>
    <n v="1732"/>
    <n v="3"/>
    <x v="1"/>
    <n v="74"/>
    <n v="3"/>
    <n v="3"/>
    <x v="0"/>
    <n v="4"/>
    <s v="Divorced"/>
    <n v="10368"/>
    <n v="5596"/>
    <n v="4"/>
    <s v="Y"/>
    <x v="0"/>
    <n v="12"/>
    <n v="3"/>
    <n v="2"/>
    <n v="80"/>
    <n v="1"/>
    <n v="13"/>
    <n v="5"/>
    <n v="2"/>
    <n v="10"/>
    <n v="6"/>
    <n v="0"/>
    <n v="3"/>
    <x v="0"/>
    <x v="0"/>
    <n v="0"/>
    <n v="1"/>
    <x v="3"/>
    <x v="0"/>
    <n v="54"/>
  </r>
  <r>
    <n v="36"/>
    <x v="0"/>
    <s v="Travel_Rarely"/>
    <n v="1456"/>
    <x v="0"/>
    <n v="13"/>
    <n v="5"/>
    <s v="Marketing"/>
    <n v="1"/>
    <n v="1733"/>
    <n v="2"/>
    <x v="1"/>
    <n v="96"/>
    <n v="2"/>
    <n v="2"/>
    <x v="0"/>
    <n v="1"/>
    <s v="Divorced"/>
    <n v="6134"/>
    <n v="8658"/>
    <n v="5"/>
    <s v="Y"/>
    <x v="0"/>
    <n v="13"/>
    <n v="3"/>
    <n v="2"/>
    <n v="80"/>
    <n v="3"/>
    <n v="16"/>
    <n v="3"/>
    <n v="3"/>
    <n v="2"/>
    <n v="2"/>
    <n v="2"/>
    <n v="2"/>
    <x v="1"/>
    <x v="0"/>
    <n v="1"/>
    <n v="1"/>
    <x v="4"/>
    <x v="1"/>
    <n v="100"/>
  </r>
  <r>
    <n v="32"/>
    <x v="0"/>
    <s v="Travel_Rarely"/>
    <n v="964"/>
    <x v="0"/>
    <n v="1"/>
    <n v="2"/>
    <s v="Life Sciences"/>
    <n v="1"/>
    <n v="1734"/>
    <n v="1"/>
    <x v="1"/>
    <n v="34"/>
    <n v="1"/>
    <n v="2"/>
    <x v="0"/>
    <n v="2"/>
    <s v="Single"/>
    <n v="6735"/>
    <n v="12147"/>
    <n v="6"/>
    <s v="Y"/>
    <x v="1"/>
    <n v="15"/>
    <n v="3"/>
    <n v="2"/>
    <n v="80"/>
    <n v="0"/>
    <n v="10"/>
    <n v="2"/>
    <n v="3"/>
    <n v="0"/>
    <n v="0"/>
    <n v="0"/>
    <n v="0"/>
    <x v="1"/>
    <x v="0"/>
    <n v="1"/>
    <n v="0"/>
    <x v="0"/>
    <x v="1"/>
    <n v="69"/>
  </r>
  <r>
    <n v="23"/>
    <x v="1"/>
    <s v="Travel_Rarely"/>
    <n v="160"/>
    <x v="1"/>
    <n v="4"/>
    <n v="1"/>
    <s v="Medical"/>
    <n v="1"/>
    <n v="1735"/>
    <n v="3"/>
    <x v="0"/>
    <n v="51"/>
    <n v="3"/>
    <n v="1"/>
    <x v="2"/>
    <n v="2"/>
    <s v="Single"/>
    <n v="3295"/>
    <n v="12862"/>
    <n v="1"/>
    <s v="Y"/>
    <x v="1"/>
    <n v="13"/>
    <n v="3"/>
    <n v="3"/>
    <n v="80"/>
    <n v="0"/>
    <n v="3"/>
    <n v="3"/>
    <n v="1"/>
    <n v="3"/>
    <n v="2"/>
    <n v="1"/>
    <n v="2"/>
    <x v="2"/>
    <x v="1"/>
    <n v="0"/>
    <n v="0"/>
    <x v="1"/>
    <x v="1"/>
    <n v="69"/>
  </r>
  <r>
    <n v="31"/>
    <x v="1"/>
    <s v="Travel_Frequently"/>
    <n v="163"/>
    <x v="1"/>
    <n v="24"/>
    <n v="1"/>
    <s v="Technical Degree"/>
    <n v="1"/>
    <n v="1736"/>
    <n v="4"/>
    <x v="0"/>
    <n v="30"/>
    <n v="3"/>
    <n v="2"/>
    <x v="3"/>
    <n v="4"/>
    <s v="Single"/>
    <n v="5238"/>
    <n v="6670"/>
    <n v="2"/>
    <s v="Y"/>
    <x v="1"/>
    <n v="20"/>
    <n v="4"/>
    <n v="4"/>
    <n v="80"/>
    <n v="0"/>
    <n v="9"/>
    <n v="3"/>
    <n v="2"/>
    <n v="5"/>
    <n v="4"/>
    <n v="1"/>
    <n v="4"/>
    <x v="1"/>
    <x v="0"/>
    <n v="0"/>
    <n v="0"/>
    <x v="1"/>
    <x v="0"/>
    <n v="46"/>
  </r>
  <r>
    <n v="39"/>
    <x v="1"/>
    <s v="Non-Travel"/>
    <n v="792"/>
    <x v="1"/>
    <n v="1"/>
    <n v="3"/>
    <s v="Life Sciences"/>
    <n v="1"/>
    <n v="1737"/>
    <n v="4"/>
    <x v="1"/>
    <n v="77"/>
    <n v="3"/>
    <n v="2"/>
    <x v="2"/>
    <n v="4"/>
    <s v="Married"/>
    <n v="6472"/>
    <n v="8989"/>
    <n v="1"/>
    <s v="Y"/>
    <x v="0"/>
    <n v="15"/>
    <n v="3"/>
    <n v="4"/>
    <n v="80"/>
    <n v="1"/>
    <n v="9"/>
    <n v="2"/>
    <n v="3"/>
    <n v="9"/>
    <n v="8"/>
    <n v="5"/>
    <n v="8"/>
    <x v="1"/>
    <x v="0"/>
    <n v="0"/>
    <n v="1"/>
    <x v="3"/>
    <x v="1"/>
    <n v="64"/>
  </r>
  <r>
    <n v="32"/>
    <x v="1"/>
    <s v="Travel_Rarely"/>
    <n v="371"/>
    <x v="0"/>
    <n v="19"/>
    <n v="3"/>
    <s v="Life Sciences"/>
    <n v="1"/>
    <n v="1739"/>
    <n v="4"/>
    <x v="1"/>
    <n v="80"/>
    <n v="1"/>
    <n v="3"/>
    <x v="0"/>
    <n v="3"/>
    <s v="Married"/>
    <n v="9610"/>
    <n v="3840"/>
    <n v="3"/>
    <s v="Y"/>
    <x v="1"/>
    <n v="13"/>
    <n v="3"/>
    <n v="3"/>
    <n v="80"/>
    <n v="1"/>
    <n v="10"/>
    <n v="2"/>
    <n v="1"/>
    <n v="4"/>
    <n v="3"/>
    <n v="0"/>
    <n v="2"/>
    <x v="1"/>
    <x v="0"/>
    <n v="0"/>
    <n v="0"/>
    <x v="3"/>
    <x v="0"/>
    <n v="53"/>
  </r>
  <r>
    <n v="40"/>
    <x v="1"/>
    <s v="Travel_Rarely"/>
    <n v="611"/>
    <x v="0"/>
    <n v="7"/>
    <n v="4"/>
    <s v="Medical"/>
    <n v="1"/>
    <n v="1740"/>
    <n v="2"/>
    <x v="1"/>
    <n v="88"/>
    <n v="3"/>
    <n v="5"/>
    <x v="5"/>
    <n v="2"/>
    <s v="Single"/>
    <n v="19833"/>
    <n v="4349"/>
    <n v="1"/>
    <s v="Y"/>
    <x v="1"/>
    <n v="14"/>
    <n v="3"/>
    <n v="2"/>
    <n v="80"/>
    <n v="0"/>
    <n v="21"/>
    <n v="3"/>
    <n v="2"/>
    <n v="21"/>
    <n v="8"/>
    <n v="12"/>
    <n v="8"/>
    <x v="0"/>
    <x v="2"/>
    <n v="0"/>
    <n v="0"/>
    <x v="2"/>
    <x v="0"/>
    <n v="37"/>
  </r>
  <r>
    <n v="45"/>
    <x v="1"/>
    <s v="Travel_Rarely"/>
    <n v="176"/>
    <x v="2"/>
    <n v="4"/>
    <n v="3"/>
    <s v="Life Sciences"/>
    <n v="1"/>
    <n v="1744"/>
    <n v="3"/>
    <x v="0"/>
    <n v="56"/>
    <n v="1"/>
    <n v="3"/>
    <x v="8"/>
    <n v="3"/>
    <s v="Married"/>
    <n v="9756"/>
    <n v="6595"/>
    <n v="4"/>
    <s v="Y"/>
    <x v="1"/>
    <n v="21"/>
    <n v="4"/>
    <n v="3"/>
    <n v="80"/>
    <n v="2"/>
    <n v="9"/>
    <n v="2"/>
    <n v="4"/>
    <n v="5"/>
    <n v="0"/>
    <n v="0"/>
    <n v="3"/>
    <x v="0"/>
    <x v="0"/>
    <n v="0"/>
    <n v="0"/>
    <x v="3"/>
    <x v="0"/>
    <n v="43"/>
  </r>
  <r>
    <n v="30"/>
    <x v="1"/>
    <s v="Travel_Frequently"/>
    <n v="1312"/>
    <x v="1"/>
    <n v="2"/>
    <n v="4"/>
    <s v="Technical Degree"/>
    <n v="1"/>
    <n v="1745"/>
    <n v="4"/>
    <x v="0"/>
    <n v="78"/>
    <n v="2"/>
    <n v="1"/>
    <x v="1"/>
    <n v="1"/>
    <s v="Single"/>
    <n v="4968"/>
    <n v="26427"/>
    <n v="0"/>
    <s v="Y"/>
    <x v="1"/>
    <n v="16"/>
    <n v="3"/>
    <n v="4"/>
    <n v="80"/>
    <n v="0"/>
    <n v="10"/>
    <n v="2"/>
    <n v="3"/>
    <n v="9"/>
    <n v="7"/>
    <n v="0"/>
    <n v="7"/>
    <x v="1"/>
    <x v="1"/>
    <n v="0"/>
    <n v="0"/>
    <x v="2"/>
    <x v="1"/>
    <n v="58"/>
  </r>
  <r>
    <n v="24"/>
    <x v="1"/>
    <s v="Travel_Frequently"/>
    <n v="897"/>
    <x v="2"/>
    <n v="10"/>
    <n v="3"/>
    <s v="Medical"/>
    <n v="1"/>
    <n v="1746"/>
    <n v="1"/>
    <x v="1"/>
    <n v="59"/>
    <n v="3"/>
    <n v="1"/>
    <x v="8"/>
    <n v="4"/>
    <s v="Married"/>
    <n v="2145"/>
    <n v="2097"/>
    <n v="0"/>
    <s v="Y"/>
    <x v="1"/>
    <n v="14"/>
    <n v="3"/>
    <n v="4"/>
    <n v="80"/>
    <n v="1"/>
    <n v="3"/>
    <n v="2"/>
    <n v="3"/>
    <n v="2"/>
    <n v="2"/>
    <n v="2"/>
    <n v="1"/>
    <x v="2"/>
    <x v="1"/>
    <n v="0"/>
    <n v="0"/>
    <x v="3"/>
    <x v="1"/>
    <n v="66"/>
  </r>
  <r>
    <n v="30"/>
    <x v="0"/>
    <s v="Travel_Frequently"/>
    <n v="600"/>
    <x v="2"/>
    <n v="8"/>
    <n v="3"/>
    <s v="Human Resources"/>
    <n v="1"/>
    <n v="1747"/>
    <n v="3"/>
    <x v="0"/>
    <n v="66"/>
    <n v="2"/>
    <n v="1"/>
    <x v="8"/>
    <n v="4"/>
    <s v="Divorced"/>
    <n v="2180"/>
    <n v="9732"/>
    <n v="6"/>
    <s v="Y"/>
    <x v="1"/>
    <n v="11"/>
    <n v="3"/>
    <n v="3"/>
    <n v="80"/>
    <n v="1"/>
    <n v="6"/>
    <n v="0"/>
    <n v="2"/>
    <n v="4"/>
    <n v="2"/>
    <n v="1"/>
    <n v="2"/>
    <x v="1"/>
    <x v="1"/>
    <n v="1"/>
    <n v="0"/>
    <x v="3"/>
    <x v="0"/>
    <n v="46"/>
  </r>
  <r>
    <n v="31"/>
    <x v="1"/>
    <s v="Travel_Rarely"/>
    <n v="1003"/>
    <x v="0"/>
    <n v="5"/>
    <n v="3"/>
    <s v="Technical Degree"/>
    <n v="1"/>
    <n v="1749"/>
    <n v="1"/>
    <x v="1"/>
    <n v="51"/>
    <n v="3"/>
    <n v="2"/>
    <x v="0"/>
    <n v="3"/>
    <s v="Married"/>
    <n v="8346"/>
    <n v="20943"/>
    <n v="1"/>
    <s v="Y"/>
    <x v="1"/>
    <n v="19"/>
    <n v="3"/>
    <n v="3"/>
    <n v="80"/>
    <n v="1"/>
    <n v="6"/>
    <n v="3"/>
    <n v="3"/>
    <n v="5"/>
    <n v="2"/>
    <n v="0"/>
    <n v="2"/>
    <x v="1"/>
    <x v="0"/>
    <n v="0"/>
    <n v="0"/>
    <x v="3"/>
    <x v="0"/>
    <n v="53"/>
  </r>
  <r>
    <n v="27"/>
    <x v="1"/>
    <s v="Travel_Rarely"/>
    <n v="1054"/>
    <x v="1"/>
    <n v="8"/>
    <n v="3"/>
    <s v="Medical"/>
    <n v="1"/>
    <n v="1751"/>
    <n v="3"/>
    <x v="0"/>
    <n v="67"/>
    <n v="3"/>
    <n v="1"/>
    <x v="1"/>
    <n v="4"/>
    <s v="Single"/>
    <n v="3445"/>
    <n v="6152"/>
    <n v="1"/>
    <s v="Y"/>
    <x v="1"/>
    <n v="11"/>
    <n v="3"/>
    <n v="3"/>
    <n v="80"/>
    <n v="0"/>
    <n v="6"/>
    <n v="5"/>
    <n v="2"/>
    <n v="6"/>
    <n v="2"/>
    <n v="1"/>
    <n v="4"/>
    <x v="2"/>
    <x v="1"/>
    <n v="0"/>
    <n v="0"/>
    <x v="3"/>
    <x v="0"/>
    <n v="49"/>
  </r>
  <r>
    <n v="29"/>
    <x v="0"/>
    <s v="Travel_Rarely"/>
    <n v="428"/>
    <x v="0"/>
    <n v="9"/>
    <n v="3"/>
    <s v="Marketing"/>
    <n v="1"/>
    <n v="1752"/>
    <n v="2"/>
    <x v="0"/>
    <n v="52"/>
    <n v="1"/>
    <n v="1"/>
    <x v="6"/>
    <n v="2"/>
    <s v="Single"/>
    <n v="2760"/>
    <n v="14630"/>
    <n v="1"/>
    <s v="Y"/>
    <x v="1"/>
    <n v="13"/>
    <n v="3"/>
    <n v="3"/>
    <n v="80"/>
    <n v="0"/>
    <n v="2"/>
    <n v="3"/>
    <n v="3"/>
    <n v="2"/>
    <n v="2"/>
    <n v="2"/>
    <n v="2"/>
    <x v="2"/>
    <x v="1"/>
    <n v="1"/>
    <n v="0"/>
    <x v="3"/>
    <x v="1"/>
    <n v="79"/>
  </r>
  <r>
    <n v="29"/>
    <x v="1"/>
    <s v="Travel_Frequently"/>
    <n v="461"/>
    <x v="1"/>
    <n v="1"/>
    <n v="3"/>
    <s v="Life Sciences"/>
    <n v="1"/>
    <n v="1753"/>
    <n v="4"/>
    <x v="1"/>
    <n v="70"/>
    <n v="4"/>
    <n v="2"/>
    <x v="4"/>
    <n v="3"/>
    <s v="Single"/>
    <n v="6294"/>
    <n v="23060"/>
    <n v="8"/>
    <s v="Y"/>
    <x v="0"/>
    <n v="12"/>
    <n v="3"/>
    <n v="4"/>
    <n v="80"/>
    <n v="0"/>
    <n v="10"/>
    <n v="5"/>
    <n v="4"/>
    <n v="3"/>
    <n v="2"/>
    <n v="0"/>
    <n v="2"/>
    <x v="2"/>
    <x v="0"/>
    <n v="0"/>
    <n v="1"/>
    <x v="3"/>
    <x v="1"/>
    <n v="88"/>
  </r>
  <r>
    <n v="30"/>
    <x v="1"/>
    <s v="Travel_Rarely"/>
    <n v="979"/>
    <x v="0"/>
    <n v="15"/>
    <n v="2"/>
    <s v="Marketing"/>
    <n v="1"/>
    <n v="1754"/>
    <n v="3"/>
    <x v="1"/>
    <n v="94"/>
    <n v="2"/>
    <n v="3"/>
    <x v="0"/>
    <n v="1"/>
    <s v="Divorced"/>
    <n v="7140"/>
    <n v="3088"/>
    <n v="2"/>
    <s v="Y"/>
    <x v="1"/>
    <n v="11"/>
    <n v="3"/>
    <n v="1"/>
    <n v="80"/>
    <n v="1"/>
    <n v="12"/>
    <n v="2"/>
    <n v="3"/>
    <n v="7"/>
    <n v="7"/>
    <n v="1"/>
    <n v="7"/>
    <x v="1"/>
    <x v="0"/>
    <n v="0"/>
    <n v="0"/>
    <x v="0"/>
    <x v="1"/>
    <n v="58"/>
  </r>
  <r>
    <n v="34"/>
    <x v="1"/>
    <s v="Travel_Rarely"/>
    <n v="181"/>
    <x v="1"/>
    <n v="2"/>
    <n v="4"/>
    <s v="Medical"/>
    <n v="1"/>
    <n v="1755"/>
    <n v="4"/>
    <x v="1"/>
    <n v="97"/>
    <n v="4"/>
    <n v="1"/>
    <x v="1"/>
    <n v="4"/>
    <s v="Married"/>
    <n v="2932"/>
    <n v="5586"/>
    <n v="0"/>
    <s v="Y"/>
    <x v="0"/>
    <n v="14"/>
    <n v="3"/>
    <n v="1"/>
    <n v="80"/>
    <n v="3"/>
    <n v="6"/>
    <n v="3"/>
    <n v="3"/>
    <n v="5"/>
    <n v="0"/>
    <n v="1"/>
    <n v="2"/>
    <x v="1"/>
    <x v="1"/>
    <n v="0"/>
    <n v="1"/>
    <x v="2"/>
    <x v="1"/>
    <n v="71"/>
  </r>
  <r>
    <n v="33"/>
    <x v="1"/>
    <s v="Non-Travel"/>
    <n v="1283"/>
    <x v="0"/>
    <n v="2"/>
    <n v="3"/>
    <s v="Marketing"/>
    <n v="1"/>
    <n v="1756"/>
    <n v="4"/>
    <x v="0"/>
    <n v="62"/>
    <n v="3"/>
    <n v="2"/>
    <x v="0"/>
    <n v="2"/>
    <s v="Single"/>
    <n v="5147"/>
    <n v="10697"/>
    <n v="8"/>
    <s v="Y"/>
    <x v="1"/>
    <n v="15"/>
    <n v="3"/>
    <n v="4"/>
    <n v="80"/>
    <n v="0"/>
    <n v="13"/>
    <n v="2"/>
    <n v="2"/>
    <n v="11"/>
    <n v="7"/>
    <n v="1"/>
    <n v="7"/>
    <x v="1"/>
    <x v="0"/>
    <n v="0"/>
    <n v="0"/>
    <x v="3"/>
    <x v="0"/>
    <n v="47"/>
  </r>
  <r>
    <n v="49"/>
    <x v="1"/>
    <s v="Travel_Rarely"/>
    <n v="1313"/>
    <x v="0"/>
    <n v="11"/>
    <n v="4"/>
    <s v="Marketing"/>
    <n v="1"/>
    <n v="1757"/>
    <n v="4"/>
    <x v="0"/>
    <n v="80"/>
    <n v="3"/>
    <n v="2"/>
    <x v="0"/>
    <n v="4"/>
    <s v="Single"/>
    <n v="4507"/>
    <n v="8191"/>
    <n v="3"/>
    <s v="Y"/>
    <x v="1"/>
    <n v="12"/>
    <n v="3"/>
    <n v="3"/>
    <n v="80"/>
    <n v="0"/>
    <n v="8"/>
    <n v="1"/>
    <n v="4"/>
    <n v="5"/>
    <n v="1"/>
    <n v="0"/>
    <n v="4"/>
    <x v="0"/>
    <x v="1"/>
    <n v="0"/>
    <n v="0"/>
    <x v="2"/>
    <x v="0"/>
    <n v="36"/>
  </r>
  <r>
    <n v="33"/>
    <x v="0"/>
    <s v="Travel_Rarely"/>
    <n v="211"/>
    <x v="0"/>
    <n v="16"/>
    <n v="3"/>
    <s v="Life Sciences"/>
    <n v="1"/>
    <n v="1758"/>
    <n v="1"/>
    <x v="0"/>
    <n v="74"/>
    <n v="3"/>
    <n v="3"/>
    <x v="0"/>
    <n v="1"/>
    <s v="Single"/>
    <n v="8564"/>
    <n v="10092"/>
    <n v="2"/>
    <s v="Y"/>
    <x v="0"/>
    <n v="20"/>
    <n v="4"/>
    <n v="3"/>
    <n v="80"/>
    <n v="0"/>
    <n v="11"/>
    <n v="2"/>
    <n v="2"/>
    <n v="0"/>
    <n v="0"/>
    <n v="0"/>
    <n v="0"/>
    <x v="1"/>
    <x v="0"/>
    <n v="1"/>
    <n v="1"/>
    <x v="3"/>
    <x v="1"/>
    <n v="100"/>
  </r>
  <r>
    <n v="38"/>
    <x v="1"/>
    <s v="Travel_Frequently"/>
    <n v="594"/>
    <x v="1"/>
    <n v="2"/>
    <n v="2"/>
    <s v="Medical"/>
    <n v="1"/>
    <n v="1760"/>
    <n v="3"/>
    <x v="0"/>
    <n v="75"/>
    <n v="2"/>
    <n v="1"/>
    <x v="2"/>
    <n v="2"/>
    <s v="Married"/>
    <n v="2468"/>
    <n v="15963"/>
    <n v="4"/>
    <s v="Y"/>
    <x v="1"/>
    <n v="14"/>
    <n v="3"/>
    <n v="2"/>
    <n v="80"/>
    <n v="1"/>
    <n v="9"/>
    <n v="4"/>
    <n v="2"/>
    <n v="6"/>
    <n v="1"/>
    <n v="0"/>
    <n v="5"/>
    <x v="1"/>
    <x v="1"/>
    <n v="0"/>
    <n v="0"/>
    <x v="0"/>
    <x v="0"/>
    <n v="52"/>
  </r>
  <r>
    <n v="31"/>
    <x v="0"/>
    <s v="Travel_Rarely"/>
    <n v="1079"/>
    <x v="0"/>
    <n v="16"/>
    <n v="4"/>
    <s v="Marketing"/>
    <n v="1"/>
    <n v="1761"/>
    <n v="1"/>
    <x v="1"/>
    <n v="70"/>
    <n v="3"/>
    <n v="3"/>
    <x v="0"/>
    <n v="3"/>
    <s v="Married"/>
    <n v="8161"/>
    <n v="19002"/>
    <n v="2"/>
    <s v="Y"/>
    <x v="1"/>
    <n v="13"/>
    <n v="3"/>
    <n v="1"/>
    <n v="80"/>
    <n v="3"/>
    <n v="10"/>
    <n v="2"/>
    <n v="3"/>
    <n v="1"/>
    <n v="0"/>
    <n v="0"/>
    <n v="0"/>
    <x v="1"/>
    <x v="0"/>
    <n v="1"/>
    <n v="0"/>
    <x v="2"/>
    <x v="1"/>
    <n v="63"/>
  </r>
  <r>
    <n v="29"/>
    <x v="1"/>
    <s v="Travel_Rarely"/>
    <n v="590"/>
    <x v="1"/>
    <n v="4"/>
    <n v="3"/>
    <s v="Technical Degree"/>
    <n v="1"/>
    <n v="1762"/>
    <n v="4"/>
    <x v="0"/>
    <n v="91"/>
    <n v="2"/>
    <n v="1"/>
    <x v="1"/>
    <n v="1"/>
    <s v="Divorced"/>
    <n v="2109"/>
    <n v="10007"/>
    <n v="1"/>
    <s v="Y"/>
    <x v="1"/>
    <n v="13"/>
    <n v="3"/>
    <n v="3"/>
    <n v="80"/>
    <n v="1"/>
    <n v="1"/>
    <n v="2"/>
    <n v="3"/>
    <n v="1"/>
    <n v="0"/>
    <n v="0"/>
    <n v="0"/>
    <x v="2"/>
    <x v="1"/>
    <n v="0"/>
    <n v="0"/>
    <x v="3"/>
    <x v="1"/>
    <n v="85"/>
  </r>
  <r>
    <n v="30"/>
    <x v="1"/>
    <s v="Travel_Rarely"/>
    <n v="305"/>
    <x v="1"/>
    <n v="16"/>
    <n v="3"/>
    <s v="Life Sciences"/>
    <n v="1"/>
    <n v="1763"/>
    <n v="3"/>
    <x v="1"/>
    <n v="58"/>
    <n v="4"/>
    <n v="2"/>
    <x v="4"/>
    <n v="3"/>
    <s v="Married"/>
    <n v="5294"/>
    <n v="9128"/>
    <n v="3"/>
    <s v="Y"/>
    <x v="1"/>
    <n v="16"/>
    <n v="3"/>
    <n v="3"/>
    <n v="80"/>
    <n v="1"/>
    <n v="10"/>
    <n v="3"/>
    <n v="3"/>
    <n v="7"/>
    <n v="0"/>
    <n v="1"/>
    <n v="7"/>
    <x v="1"/>
    <x v="0"/>
    <n v="0"/>
    <n v="0"/>
    <x v="3"/>
    <x v="0"/>
    <n v="46"/>
  </r>
  <r>
    <n v="32"/>
    <x v="1"/>
    <s v="Non-Travel"/>
    <n v="953"/>
    <x v="1"/>
    <n v="5"/>
    <n v="4"/>
    <s v="Technical Degree"/>
    <n v="1"/>
    <n v="1764"/>
    <n v="2"/>
    <x v="1"/>
    <n v="65"/>
    <n v="3"/>
    <n v="1"/>
    <x v="1"/>
    <n v="2"/>
    <s v="Single"/>
    <n v="2718"/>
    <n v="17674"/>
    <n v="2"/>
    <s v="Y"/>
    <x v="1"/>
    <n v="14"/>
    <n v="3"/>
    <n v="2"/>
    <n v="80"/>
    <n v="0"/>
    <n v="12"/>
    <n v="3"/>
    <n v="3"/>
    <n v="7"/>
    <n v="7"/>
    <n v="0"/>
    <n v="7"/>
    <x v="1"/>
    <x v="1"/>
    <n v="0"/>
    <n v="0"/>
    <x v="2"/>
    <x v="0"/>
    <n v="52"/>
  </r>
  <r>
    <n v="38"/>
    <x v="1"/>
    <s v="Travel_Rarely"/>
    <n v="833"/>
    <x v="1"/>
    <n v="18"/>
    <n v="3"/>
    <s v="Medical"/>
    <n v="1"/>
    <n v="1766"/>
    <n v="2"/>
    <x v="1"/>
    <n v="60"/>
    <n v="1"/>
    <n v="2"/>
    <x v="4"/>
    <n v="4"/>
    <s v="Married"/>
    <n v="5811"/>
    <n v="24539"/>
    <n v="3"/>
    <s v="Y"/>
    <x v="0"/>
    <n v="16"/>
    <n v="3"/>
    <n v="3"/>
    <n v="80"/>
    <n v="1"/>
    <n v="15"/>
    <n v="2"/>
    <n v="3"/>
    <n v="1"/>
    <n v="0"/>
    <n v="1"/>
    <n v="0"/>
    <x v="1"/>
    <x v="0"/>
    <n v="0"/>
    <n v="1"/>
    <x v="3"/>
    <x v="1"/>
    <n v="81"/>
  </r>
  <r>
    <n v="43"/>
    <x v="0"/>
    <s v="Travel_Frequently"/>
    <n v="807"/>
    <x v="1"/>
    <n v="17"/>
    <n v="3"/>
    <s v="Technical Degree"/>
    <n v="1"/>
    <n v="1767"/>
    <n v="3"/>
    <x v="1"/>
    <n v="38"/>
    <n v="2"/>
    <n v="1"/>
    <x v="1"/>
    <n v="3"/>
    <s v="Married"/>
    <n v="2437"/>
    <n v="15587"/>
    <n v="9"/>
    <s v="Y"/>
    <x v="0"/>
    <n v="16"/>
    <n v="3"/>
    <n v="4"/>
    <n v="80"/>
    <n v="1"/>
    <n v="6"/>
    <n v="4"/>
    <n v="3"/>
    <n v="1"/>
    <n v="0"/>
    <n v="0"/>
    <n v="0"/>
    <x v="0"/>
    <x v="1"/>
    <n v="1"/>
    <n v="1"/>
    <x v="3"/>
    <x v="1"/>
    <n v="78"/>
  </r>
  <r>
    <n v="42"/>
    <x v="1"/>
    <s v="Travel_Rarely"/>
    <n v="855"/>
    <x v="1"/>
    <n v="12"/>
    <n v="3"/>
    <s v="Medical"/>
    <n v="1"/>
    <n v="1768"/>
    <n v="2"/>
    <x v="1"/>
    <n v="57"/>
    <n v="3"/>
    <n v="1"/>
    <x v="2"/>
    <n v="2"/>
    <s v="Divorced"/>
    <n v="2766"/>
    <n v="8952"/>
    <n v="8"/>
    <s v="Y"/>
    <x v="1"/>
    <n v="22"/>
    <n v="4"/>
    <n v="2"/>
    <n v="80"/>
    <n v="3"/>
    <n v="7"/>
    <n v="6"/>
    <n v="2"/>
    <n v="5"/>
    <n v="3"/>
    <n v="0"/>
    <n v="4"/>
    <x v="0"/>
    <x v="1"/>
    <n v="0"/>
    <n v="0"/>
    <x v="3"/>
    <x v="0"/>
    <n v="49"/>
  </r>
  <r>
    <n v="55"/>
    <x v="1"/>
    <s v="Travel_Rarely"/>
    <n v="478"/>
    <x v="1"/>
    <n v="2"/>
    <n v="3"/>
    <s v="Medical"/>
    <n v="1"/>
    <n v="1770"/>
    <n v="3"/>
    <x v="1"/>
    <n v="60"/>
    <n v="2"/>
    <n v="5"/>
    <x v="7"/>
    <n v="1"/>
    <s v="Married"/>
    <n v="19038"/>
    <n v="19805"/>
    <n v="8"/>
    <s v="Y"/>
    <x v="1"/>
    <n v="12"/>
    <n v="3"/>
    <n v="2"/>
    <n v="80"/>
    <n v="3"/>
    <n v="34"/>
    <n v="2"/>
    <n v="3"/>
    <n v="1"/>
    <n v="0"/>
    <n v="0"/>
    <n v="0"/>
    <x v="3"/>
    <x v="2"/>
    <n v="0"/>
    <n v="0"/>
    <x v="3"/>
    <x v="1"/>
    <n v="70"/>
  </r>
  <r>
    <n v="33"/>
    <x v="1"/>
    <s v="Non-Travel"/>
    <n v="775"/>
    <x v="1"/>
    <n v="4"/>
    <n v="3"/>
    <s v="Technical Degree"/>
    <n v="1"/>
    <n v="1771"/>
    <n v="4"/>
    <x v="1"/>
    <n v="90"/>
    <n v="3"/>
    <n v="2"/>
    <x v="1"/>
    <n v="2"/>
    <s v="Divorced"/>
    <n v="3055"/>
    <n v="6194"/>
    <n v="5"/>
    <s v="Y"/>
    <x v="1"/>
    <n v="15"/>
    <n v="3"/>
    <n v="4"/>
    <n v="80"/>
    <n v="2"/>
    <n v="11"/>
    <n v="2"/>
    <n v="2"/>
    <n v="9"/>
    <n v="8"/>
    <n v="1"/>
    <n v="7"/>
    <x v="1"/>
    <x v="1"/>
    <n v="0"/>
    <n v="0"/>
    <x v="3"/>
    <x v="0"/>
    <n v="52"/>
  </r>
  <r>
    <n v="41"/>
    <x v="1"/>
    <s v="Travel_Rarely"/>
    <n v="548"/>
    <x v="1"/>
    <n v="9"/>
    <n v="4"/>
    <s v="Life Sciences"/>
    <n v="1"/>
    <n v="1772"/>
    <n v="3"/>
    <x v="1"/>
    <n v="94"/>
    <n v="3"/>
    <n v="1"/>
    <x v="2"/>
    <n v="1"/>
    <s v="Divorced"/>
    <n v="2289"/>
    <n v="20520"/>
    <n v="1"/>
    <s v="Y"/>
    <x v="1"/>
    <n v="20"/>
    <n v="4"/>
    <n v="2"/>
    <n v="80"/>
    <n v="2"/>
    <n v="5"/>
    <n v="2"/>
    <n v="3"/>
    <n v="5"/>
    <n v="3"/>
    <n v="0"/>
    <n v="4"/>
    <x v="0"/>
    <x v="1"/>
    <n v="0"/>
    <n v="0"/>
    <x v="2"/>
    <x v="1"/>
    <n v="55"/>
  </r>
  <r>
    <n v="34"/>
    <x v="1"/>
    <s v="Non-Travel"/>
    <n v="1375"/>
    <x v="0"/>
    <n v="10"/>
    <n v="3"/>
    <s v="Life Sciences"/>
    <n v="1"/>
    <n v="1774"/>
    <n v="4"/>
    <x v="1"/>
    <n v="87"/>
    <n v="3"/>
    <n v="2"/>
    <x v="0"/>
    <n v="3"/>
    <s v="Divorced"/>
    <n v="4001"/>
    <n v="12313"/>
    <n v="1"/>
    <s v="Y"/>
    <x v="0"/>
    <n v="14"/>
    <n v="3"/>
    <n v="3"/>
    <n v="80"/>
    <n v="1"/>
    <n v="15"/>
    <n v="3"/>
    <n v="3"/>
    <n v="15"/>
    <n v="14"/>
    <n v="0"/>
    <n v="7"/>
    <x v="1"/>
    <x v="1"/>
    <n v="0"/>
    <n v="1"/>
    <x v="3"/>
    <x v="1"/>
    <n v="66"/>
  </r>
  <r>
    <n v="53"/>
    <x v="1"/>
    <s v="Non-Travel"/>
    <n v="661"/>
    <x v="1"/>
    <n v="1"/>
    <n v="4"/>
    <s v="Medical"/>
    <n v="1"/>
    <n v="1775"/>
    <n v="1"/>
    <x v="0"/>
    <n v="60"/>
    <n v="2"/>
    <n v="4"/>
    <x v="3"/>
    <n v="3"/>
    <s v="Married"/>
    <n v="12965"/>
    <n v="22308"/>
    <n v="4"/>
    <s v="Y"/>
    <x v="0"/>
    <n v="20"/>
    <n v="4"/>
    <n v="4"/>
    <n v="80"/>
    <n v="3"/>
    <n v="27"/>
    <n v="2"/>
    <n v="2"/>
    <n v="3"/>
    <n v="2"/>
    <n v="0"/>
    <n v="2"/>
    <x v="3"/>
    <x v="0"/>
    <n v="0"/>
    <n v="1"/>
    <x v="2"/>
    <x v="1"/>
    <n v="73"/>
  </r>
  <r>
    <n v="43"/>
    <x v="1"/>
    <s v="Travel_Rarely"/>
    <n v="244"/>
    <x v="2"/>
    <n v="2"/>
    <n v="3"/>
    <s v="Life Sciences"/>
    <n v="1"/>
    <n v="1778"/>
    <n v="2"/>
    <x v="1"/>
    <n v="97"/>
    <n v="3"/>
    <n v="1"/>
    <x v="8"/>
    <n v="4"/>
    <s v="Single"/>
    <n v="3539"/>
    <n v="5033"/>
    <n v="0"/>
    <s v="Y"/>
    <x v="1"/>
    <n v="13"/>
    <n v="3"/>
    <n v="2"/>
    <n v="80"/>
    <n v="0"/>
    <n v="10"/>
    <n v="5"/>
    <n v="3"/>
    <n v="9"/>
    <n v="7"/>
    <n v="1"/>
    <n v="8"/>
    <x v="0"/>
    <x v="1"/>
    <n v="0"/>
    <n v="0"/>
    <x v="3"/>
    <x v="2"/>
    <n v="29"/>
  </r>
  <r>
    <n v="34"/>
    <x v="1"/>
    <s v="Travel_Rarely"/>
    <n v="511"/>
    <x v="0"/>
    <n v="3"/>
    <n v="2"/>
    <s v="Life Sciences"/>
    <n v="1"/>
    <n v="1779"/>
    <n v="4"/>
    <x v="0"/>
    <n v="32"/>
    <n v="1"/>
    <n v="2"/>
    <x v="0"/>
    <n v="4"/>
    <s v="Single"/>
    <n v="6029"/>
    <n v="25353"/>
    <n v="5"/>
    <s v="Y"/>
    <x v="1"/>
    <n v="12"/>
    <n v="3"/>
    <n v="1"/>
    <n v="80"/>
    <n v="0"/>
    <n v="6"/>
    <n v="3"/>
    <n v="3"/>
    <n v="2"/>
    <n v="2"/>
    <n v="2"/>
    <n v="2"/>
    <x v="1"/>
    <x v="0"/>
    <n v="0"/>
    <n v="0"/>
    <x v="0"/>
    <x v="1"/>
    <n v="56"/>
  </r>
  <r>
    <n v="21"/>
    <x v="0"/>
    <s v="Travel_Rarely"/>
    <n v="337"/>
    <x v="0"/>
    <n v="7"/>
    <n v="1"/>
    <s v="Marketing"/>
    <n v="1"/>
    <n v="1780"/>
    <n v="2"/>
    <x v="1"/>
    <n v="31"/>
    <n v="3"/>
    <n v="1"/>
    <x v="6"/>
    <n v="2"/>
    <s v="Single"/>
    <n v="2679"/>
    <n v="4567"/>
    <n v="1"/>
    <s v="Y"/>
    <x v="1"/>
    <n v="13"/>
    <n v="3"/>
    <n v="2"/>
    <n v="80"/>
    <n v="0"/>
    <n v="1"/>
    <n v="3"/>
    <n v="3"/>
    <n v="1"/>
    <n v="0"/>
    <n v="1"/>
    <n v="0"/>
    <x v="2"/>
    <x v="1"/>
    <n v="1"/>
    <n v="0"/>
    <x v="1"/>
    <x v="1"/>
    <n v="79"/>
  </r>
  <r>
    <n v="38"/>
    <x v="1"/>
    <s v="Travel_Rarely"/>
    <n v="1153"/>
    <x v="1"/>
    <n v="6"/>
    <n v="2"/>
    <s v="Other"/>
    <n v="1"/>
    <n v="1782"/>
    <n v="4"/>
    <x v="0"/>
    <n v="40"/>
    <n v="2"/>
    <n v="1"/>
    <x v="2"/>
    <n v="3"/>
    <s v="Married"/>
    <n v="3702"/>
    <n v="16376"/>
    <n v="1"/>
    <s v="Y"/>
    <x v="1"/>
    <n v="11"/>
    <n v="3"/>
    <n v="2"/>
    <n v="80"/>
    <n v="1"/>
    <n v="5"/>
    <n v="3"/>
    <n v="3"/>
    <n v="5"/>
    <n v="4"/>
    <n v="0"/>
    <n v="4"/>
    <x v="1"/>
    <x v="1"/>
    <n v="0"/>
    <n v="0"/>
    <x v="0"/>
    <x v="0"/>
    <n v="53"/>
  </r>
  <r>
    <n v="22"/>
    <x v="0"/>
    <s v="Travel_Rarely"/>
    <n v="1294"/>
    <x v="1"/>
    <n v="8"/>
    <n v="1"/>
    <s v="Medical"/>
    <n v="1"/>
    <n v="1783"/>
    <n v="3"/>
    <x v="0"/>
    <n v="79"/>
    <n v="3"/>
    <n v="1"/>
    <x v="2"/>
    <n v="1"/>
    <s v="Married"/>
    <n v="2398"/>
    <n v="15999"/>
    <n v="1"/>
    <s v="Y"/>
    <x v="0"/>
    <n v="17"/>
    <n v="3"/>
    <n v="3"/>
    <n v="80"/>
    <n v="0"/>
    <n v="1"/>
    <n v="6"/>
    <n v="3"/>
    <n v="1"/>
    <n v="0"/>
    <n v="0"/>
    <n v="0"/>
    <x v="2"/>
    <x v="1"/>
    <n v="1"/>
    <n v="1"/>
    <x v="1"/>
    <x v="1"/>
    <n v="110"/>
  </r>
  <r>
    <n v="31"/>
    <x v="1"/>
    <s v="Travel_Rarely"/>
    <n v="196"/>
    <x v="0"/>
    <n v="29"/>
    <n v="4"/>
    <s v="Marketing"/>
    <n v="1"/>
    <n v="1784"/>
    <n v="1"/>
    <x v="0"/>
    <n v="91"/>
    <n v="2"/>
    <n v="2"/>
    <x v="0"/>
    <n v="4"/>
    <s v="Married"/>
    <n v="5468"/>
    <n v="13402"/>
    <n v="1"/>
    <s v="Y"/>
    <x v="1"/>
    <n v="14"/>
    <n v="3"/>
    <n v="1"/>
    <n v="80"/>
    <n v="2"/>
    <n v="13"/>
    <n v="3"/>
    <n v="3"/>
    <n v="12"/>
    <n v="7"/>
    <n v="5"/>
    <n v="7"/>
    <x v="1"/>
    <x v="0"/>
    <n v="0"/>
    <n v="0"/>
    <x v="2"/>
    <x v="2"/>
    <n v="34"/>
  </r>
  <r>
    <n v="51"/>
    <x v="1"/>
    <s v="Travel_Rarely"/>
    <n v="942"/>
    <x v="1"/>
    <n v="3"/>
    <n v="3"/>
    <s v="Technical Degree"/>
    <n v="1"/>
    <n v="1786"/>
    <n v="1"/>
    <x v="0"/>
    <n v="53"/>
    <n v="3"/>
    <n v="3"/>
    <x v="5"/>
    <n v="3"/>
    <s v="Married"/>
    <n v="13116"/>
    <n v="22984"/>
    <n v="2"/>
    <s v="Y"/>
    <x v="1"/>
    <n v="11"/>
    <n v="3"/>
    <n v="4"/>
    <n v="80"/>
    <n v="0"/>
    <n v="15"/>
    <n v="2"/>
    <n v="3"/>
    <n v="2"/>
    <n v="2"/>
    <n v="2"/>
    <n v="2"/>
    <x v="3"/>
    <x v="0"/>
    <n v="0"/>
    <n v="0"/>
    <x v="3"/>
    <x v="1"/>
    <n v="58"/>
  </r>
  <r>
    <n v="37"/>
    <x v="1"/>
    <s v="Travel_Rarely"/>
    <n v="589"/>
    <x v="0"/>
    <n v="9"/>
    <n v="2"/>
    <s v="Marketing"/>
    <n v="1"/>
    <n v="1787"/>
    <n v="2"/>
    <x v="1"/>
    <n v="46"/>
    <n v="2"/>
    <n v="2"/>
    <x v="0"/>
    <n v="2"/>
    <s v="Married"/>
    <n v="4189"/>
    <n v="8800"/>
    <n v="1"/>
    <s v="Y"/>
    <x v="1"/>
    <n v="14"/>
    <n v="3"/>
    <n v="1"/>
    <n v="80"/>
    <n v="2"/>
    <n v="5"/>
    <n v="2"/>
    <n v="3"/>
    <n v="5"/>
    <n v="2"/>
    <n v="0"/>
    <n v="3"/>
    <x v="1"/>
    <x v="1"/>
    <n v="0"/>
    <n v="0"/>
    <x v="0"/>
    <x v="1"/>
    <n v="59"/>
  </r>
  <r>
    <n v="46"/>
    <x v="1"/>
    <s v="Travel_Rarely"/>
    <n v="734"/>
    <x v="1"/>
    <n v="2"/>
    <n v="4"/>
    <s v="Medical"/>
    <n v="1"/>
    <n v="1789"/>
    <n v="3"/>
    <x v="1"/>
    <n v="46"/>
    <n v="3"/>
    <n v="5"/>
    <x v="7"/>
    <n v="4"/>
    <s v="Divorced"/>
    <n v="19328"/>
    <n v="14218"/>
    <n v="7"/>
    <s v="Y"/>
    <x v="0"/>
    <n v="17"/>
    <n v="3"/>
    <n v="3"/>
    <n v="80"/>
    <n v="1"/>
    <n v="24"/>
    <n v="3"/>
    <n v="3"/>
    <n v="2"/>
    <n v="1"/>
    <n v="2"/>
    <n v="2"/>
    <x v="0"/>
    <x v="2"/>
    <n v="0"/>
    <n v="1"/>
    <x v="2"/>
    <x v="1"/>
    <n v="71"/>
  </r>
  <r>
    <n v="36"/>
    <x v="1"/>
    <s v="Travel_Rarely"/>
    <n v="1383"/>
    <x v="1"/>
    <n v="10"/>
    <n v="3"/>
    <s v="Life Sciences"/>
    <n v="1"/>
    <n v="1790"/>
    <n v="4"/>
    <x v="1"/>
    <n v="90"/>
    <n v="3"/>
    <n v="3"/>
    <x v="4"/>
    <n v="1"/>
    <s v="Married"/>
    <n v="8321"/>
    <n v="25949"/>
    <n v="7"/>
    <s v="Y"/>
    <x v="0"/>
    <n v="13"/>
    <n v="3"/>
    <n v="4"/>
    <n v="80"/>
    <n v="1"/>
    <n v="15"/>
    <n v="1"/>
    <n v="3"/>
    <n v="12"/>
    <n v="8"/>
    <n v="5"/>
    <n v="7"/>
    <x v="1"/>
    <x v="0"/>
    <n v="0"/>
    <n v="1"/>
    <x v="3"/>
    <x v="1"/>
    <n v="78"/>
  </r>
  <r>
    <n v="44"/>
    <x v="0"/>
    <s v="Travel_Frequently"/>
    <n v="429"/>
    <x v="1"/>
    <n v="1"/>
    <n v="2"/>
    <s v="Medical"/>
    <n v="1"/>
    <n v="1792"/>
    <n v="3"/>
    <x v="1"/>
    <n v="99"/>
    <n v="3"/>
    <n v="1"/>
    <x v="1"/>
    <n v="2"/>
    <s v="Divorced"/>
    <n v="2342"/>
    <n v="11092"/>
    <n v="1"/>
    <s v="Y"/>
    <x v="0"/>
    <n v="12"/>
    <n v="3"/>
    <n v="3"/>
    <n v="80"/>
    <n v="3"/>
    <n v="6"/>
    <n v="2"/>
    <n v="2"/>
    <n v="5"/>
    <n v="3"/>
    <n v="2"/>
    <n v="3"/>
    <x v="0"/>
    <x v="1"/>
    <n v="1"/>
    <n v="1"/>
    <x v="0"/>
    <x v="1"/>
    <n v="74"/>
  </r>
  <r>
    <n v="37"/>
    <x v="1"/>
    <s v="Travel_Rarely"/>
    <n v="1239"/>
    <x v="2"/>
    <n v="8"/>
    <n v="2"/>
    <s v="Other"/>
    <n v="1"/>
    <n v="1794"/>
    <n v="3"/>
    <x v="1"/>
    <n v="89"/>
    <n v="3"/>
    <n v="2"/>
    <x v="8"/>
    <n v="2"/>
    <s v="Divorced"/>
    <n v="4071"/>
    <n v="12832"/>
    <n v="2"/>
    <s v="Y"/>
    <x v="1"/>
    <n v="13"/>
    <n v="3"/>
    <n v="3"/>
    <n v="80"/>
    <n v="0"/>
    <n v="19"/>
    <n v="4"/>
    <n v="2"/>
    <n v="10"/>
    <n v="0"/>
    <n v="4"/>
    <n v="7"/>
    <x v="1"/>
    <x v="1"/>
    <n v="0"/>
    <n v="0"/>
    <x v="0"/>
    <x v="0"/>
    <n v="52"/>
  </r>
  <r>
    <n v="35"/>
    <x v="0"/>
    <s v="Travel_Rarely"/>
    <n v="303"/>
    <x v="0"/>
    <n v="27"/>
    <n v="3"/>
    <s v="Life Sciences"/>
    <n v="1"/>
    <n v="1797"/>
    <n v="3"/>
    <x v="1"/>
    <n v="84"/>
    <n v="3"/>
    <n v="2"/>
    <x v="0"/>
    <n v="4"/>
    <s v="Single"/>
    <n v="5813"/>
    <n v="13492"/>
    <n v="1"/>
    <s v="Y"/>
    <x v="0"/>
    <n v="18"/>
    <n v="3"/>
    <n v="4"/>
    <n v="80"/>
    <n v="0"/>
    <n v="10"/>
    <n v="2"/>
    <n v="3"/>
    <n v="10"/>
    <n v="7"/>
    <n v="7"/>
    <n v="7"/>
    <x v="1"/>
    <x v="0"/>
    <n v="1"/>
    <n v="1"/>
    <x v="3"/>
    <x v="1"/>
    <n v="64"/>
  </r>
  <r>
    <n v="33"/>
    <x v="1"/>
    <s v="Travel_Rarely"/>
    <n v="867"/>
    <x v="1"/>
    <n v="8"/>
    <n v="4"/>
    <s v="Life Sciences"/>
    <n v="1"/>
    <n v="1798"/>
    <n v="4"/>
    <x v="1"/>
    <n v="90"/>
    <n v="4"/>
    <n v="1"/>
    <x v="1"/>
    <n v="1"/>
    <s v="Married"/>
    <n v="3143"/>
    <n v="6076"/>
    <n v="6"/>
    <s v="Y"/>
    <x v="1"/>
    <n v="19"/>
    <n v="3"/>
    <n v="2"/>
    <n v="80"/>
    <n v="1"/>
    <n v="14"/>
    <n v="1"/>
    <n v="3"/>
    <n v="10"/>
    <n v="8"/>
    <n v="7"/>
    <n v="6"/>
    <x v="1"/>
    <x v="1"/>
    <n v="0"/>
    <n v="0"/>
    <x v="2"/>
    <x v="1"/>
    <n v="58"/>
  </r>
  <r>
    <n v="28"/>
    <x v="1"/>
    <s v="Travel_Rarely"/>
    <n v="1181"/>
    <x v="1"/>
    <n v="1"/>
    <n v="3"/>
    <s v="Life Sciences"/>
    <n v="1"/>
    <n v="1799"/>
    <n v="3"/>
    <x v="1"/>
    <n v="82"/>
    <n v="3"/>
    <n v="1"/>
    <x v="1"/>
    <n v="4"/>
    <s v="Married"/>
    <n v="2044"/>
    <n v="5531"/>
    <n v="1"/>
    <s v="Y"/>
    <x v="1"/>
    <n v="11"/>
    <n v="3"/>
    <n v="3"/>
    <n v="80"/>
    <n v="1"/>
    <n v="5"/>
    <n v="6"/>
    <n v="4"/>
    <n v="5"/>
    <n v="3"/>
    <n v="0"/>
    <n v="3"/>
    <x v="2"/>
    <x v="1"/>
    <n v="0"/>
    <n v="0"/>
    <x v="3"/>
    <x v="1"/>
    <n v="56"/>
  </r>
  <r>
    <n v="39"/>
    <x v="1"/>
    <s v="Travel_Rarely"/>
    <n v="1253"/>
    <x v="1"/>
    <n v="10"/>
    <n v="1"/>
    <s v="Medical"/>
    <n v="1"/>
    <n v="1800"/>
    <n v="3"/>
    <x v="1"/>
    <n v="65"/>
    <n v="3"/>
    <n v="3"/>
    <x v="7"/>
    <n v="3"/>
    <s v="Single"/>
    <n v="13464"/>
    <n v="7914"/>
    <n v="7"/>
    <s v="Y"/>
    <x v="1"/>
    <n v="21"/>
    <n v="4"/>
    <n v="3"/>
    <n v="80"/>
    <n v="0"/>
    <n v="9"/>
    <n v="3"/>
    <n v="3"/>
    <n v="4"/>
    <n v="3"/>
    <n v="2"/>
    <n v="2"/>
    <x v="1"/>
    <x v="0"/>
    <n v="0"/>
    <n v="0"/>
    <x v="1"/>
    <x v="0"/>
    <n v="53"/>
  </r>
  <r>
    <n v="46"/>
    <x v="1"/>
    <s v="Non-Travel"/>
    <n v="849"/>
    <x v="0"/>
    <n v="26"/>
    <n v="2"/>
    <s v="Life Sciences"/>
    <n v="1"/>
    <n v="1801"/>
    <n v="2"/>
    <x v="1"/>
    <n v="98"/>
    <n v="2"/>
    <n v="2"/>
    <x v="0"/>
    <n v="2"/>
    <s v="Single"/>
    <n v="7991"/>
    <n v="25166"/>
    <n v="8"/>
    <s v="Y"/>
    <x v="1"/>
    <n v="15"/>
    <n v="3"/>
    <n v="3"/>
    <n v="80"/>
    <n v="0"/>
    <n v="6"/>
    <n v="3"/>
    <n v="3"/>
    <n v="2"/>
    <n v="2"/>
    <n v="2"/>
    <n v="2"/>
    <x v="0"/>
    <x v="0"/>
    <n v="0"/>
    <n v="0"/>
    <x v="0"/>
    <x v="1"/>
    <n v="59"/>
  </r>
  <r>
    <n v="40"/>
    <x v="1"/>
    <s v="Travel_Rarely"/>
    <n v="616"/>
    <x v="1"/>
    <n v="2"/>
    <n v="2"/>
    <s v="Life Sciences"/>
    <n v="1"/>
    <n v="1802"/>
    <n v="3"/>
    <x v="0"/>
    <n v="99"/>
    <n v="3"/>
    <n v="1"/>
    <x v="2"/>
    <n v="1"/>
    <s v="Married"/>
    <n v="3377"/>
    <n v="25605"/>
    <n v="4"/>
    <s v="Y"/>
    <x v="1"/>
    <n v="17"/>
    <n v="3"/>
    <n v="4"/>
    <n v="80"/>
    <n v="1"/>
    <n v="7"/>
    <n v="5"/>
    <n v="2"/>
    <n v="4"/>
    <n v="3"/>
    <n v="0"/>
    <n v="2"/>
    <x v="0"/>
    <x v="1"/>
    <n v="0"/>
    <n v="0"/>
    <x v="0"/>
    <x v="1"/>
    <n v="55"/>
  </r>
  <r>
    <n v="42"/>
    <x v="1"/>
    <s v="Travel_Rarely"/>
    <n v="1128"/>
    <x v="1"/>
    <n v="13"/>
    <n v="3"/>
    <s v="Medical"/>
    <n v="1"/>
    <n v="1803"/>
    <n v="2"/>
    <x v="1"/>
    <n v="95"/>
    <n v="4"/>
    <n v="2"/>
    <x v="4"/>
    <n v="1"/>
    <s v="Married"/>
    <n v="5538"/>
    <n v="5696"/>
    <n v="5"/>
    <s v="Y"/>
    <x v="1"/>
    <n v="18"/>
    <n v="3"/>
    <n v="3"/>
    <n v="80"/>
    <n v="2"/>
    <n v="10"/>
    <n v="2"/>
    <n v="2"/>
    <n v="0"/>
    <n v="0"/>
    <n v="0"/>
    <n v="0"/>
    <x v="0"/>
    <x v="0"/>
    <n v="0"/>
    <n v="0"/>
    <x v="3"/>
    <x v="1"/>
    <n v="65"/>
  </r>
  <r>
    <n v="35"/>
    <x v="1"/>
    <s v="Non-Travel"/>
    <n v="1180"/>
    <x v="1"/>
    <n v="2"/>
    <n v="2"/>
    <s v="Medical"/>
    <n v="1"/>
    <n v="1804"/>
    <n v="2"/>
    <x v="1"/>
    <n v="90"/>
    <n v="3"/>
    <n v="2"/>
    <x v="3"/>
    <n v="4"/>
    <s v="Divorced"/>
    <n v="5762"/>
    <n v="24442"/>
    <n v="2"/>
    <s v="Y"/>
    <x v="1"/>
    <n v="14"/>
    <n v="3"/>
    <n v="3"/>
    <n v="80"/>
    <n v="1"/>
    <n v="15"/>
    <n v="6"/>
    <n v="3"/>
    <n v="7"/>
    <n v="7"/>
    <n v="1"/>
    <n v="7"/>
    <x v="1"/>
    <x v="0"/>
    <n v="0"/>
    <n v="0"/>
    <x v="0"/>
    <x v="0"/>
    <n v="39"/>
  </r>
  <r>
    <n v="38"/>
    <x v="1"/>
    <s v="Non-Travel"/>
    <n v="1336"/>
    <x v="2"/>
    <n v="2"/>
    <n v="3"/>
    <s v="Human Resources"/>
    <n v="1"/>
    <n v="1805"/>
    <n v="1"/>
    <x v="1"/>
    <n v="100"/>
    <n v="3"/>
    <n v="1"/>
    <x v="8"/>
    <n v="2"/>
    <s v="Divorced"/>
    <n v="2592"/>
    <n v="7129"/>
    <n v="5"/>
    <s v="Y"/>
    <x v="1"/>
    <n v="13"/>
    <n v="3"/>
    <n v="4"/>
    <n v="80"/>
    <n v="3"/>
    <n v="13"/>
    <n v="3"/>
    <n v="3"/>
    <n v="11"/>
    <n v="10"/>
    <n v="3"/>
    <n v="8"/>
    <x v="1"/>
    <x v="1"/>
    <n v="0"/>
    <n v="0"/>
    <x v="3"/>
    <x v="0"/>
    <n v="47"/>
  </r>
  <r>
    <n v="34"/>
    <x v="0"/>
    <s v="Travel_Frequently"/>
    <n v="234"/>
    <x v="1"/>
    <n v="9"/>
    <n v="4"/>
    <s v="Life Sciences"/>
    <n v="1"/>
    <n v="1807"/>
    <n v="4"/>
    <x v="1"/>
    <n v="93"/>
    <n v="3"/>
    <n v="2"/>
    <x v="2"/>
    <n v="1"/>
    <s v="Married"/>
    <n v="5346"/>
    <n v="6208"/>
    <n v="4"/>
    <s v="Y"/>
    <x v="1"/>
    <n v="17"/>
    <n v="3"/>
    <n v="3"/>
    <n v="80"/>
    <n v="1"/>
    <n v="11"/>
    <n v="3"/>
    <n v="2"/>
    <n v="7"/>
    <n v="1"/>
    <n v="0"/>
    <n v="7"/>
    <x v="1"/>
    <x v="0"/>
    <n v="1"/>
    <n v="0"/>
    <x v="2"/>
    <x v="1"/>
    <n v="58"/>
  </r>
  <r>
    <n v="37"/>
    <x v="0"/>
    <s v="Travel_Rarely"/>
    <n v="370"/>
    <x v="1"/>
    <n v="10"/>
    <n v="4"/>
    <s v="Medical"/>
    <n v="1"/>
    <n v="1809"/>
    <n v="4"/>
    <x v="1"/>
    <n v="58"/>
    <n v="3"/>
    <n v="2"/>
    <x v="3"/>
    <n v="1"/>
    <s v="Single"/>
    <n v="4213"/>
    <n v="4992"/>
    <n v="1"/>
    <s v="Y"/>
    <x v="1"/>
    <n v="15"/>
    <n v="3"/>
    <n v="2"/>
    <n v="80"/>
    <n v="0"/>
    <n v="10"/>
    <n v="4"/>
    <n v="1"/>
    <n v="10"/>
    <n v="3"/>
    <n v="0"/>
    <n v="8"/>
    <x v="1"/>
    <x v="1"/>
    <n v="1"/>
    <n v="0"/>
    <x v="2"/>
    <x v="1"/>
    <n v="58"/>
  </r>
  <r>
    <n v="39"/>
    <x v="1"/>
    <s v="Travel_Frequently"/>
    <n v="766"/>
    <x v="0"/>
    <n v="20"/>
    <n v="3"/>
    <s v="Life Sciences"/>
    <n v="1"/>
    <n v="1812"/>
    <n v="3"/>
    <x v="1"/>
    <n v="83"/>
    <n v="3"/>
    <n v="2"/>
    <x v="0"/>
    <n v="4"/>
    <s v="Divorced"/>
    <n v="4127"/>
    <n v="19188"/>
    <n v="2"/>
    <s v="Y"/>
    <x v="1"/>
    <n v="18"/>
    <n v="3"/>
    <n v="4"/>
    <n v="80"/>
    <n v="1"/>
    <n v="7"/>
    <n v="6"/>
    <n v="3"/>
    <n v="2"/>
    <n v="1"/>
    <n v="2"/>
    <n v="2"/>
    <x v="1"/>
    <x v="1"/>
    <n v="0"/>
    <n v="0"/>
    <x v="3"/>
    <x v="1"/>
    <n v="56"/>
  </r>
  <r>
    <n v="43"/>
    <x v="1"/>
    <s v="Non-Travel"/>
    <n v="343"/>
    <x v="1"/>
    <n v="9"/>
    <n v="3"/>
    <s v="Life Sciences"/>
    <n v="1"/>
    <n v="1813"/>
    <n v="1"/>
    <x v="1"/>
    <n v="52"/>
    <n v="3"/>
    <n v="1"/>
    <x v="1"/>
    <n v="3"/>
    <s v="Single"/>
    <n v="2438"/>
    <n v="24978"/>
    <n v="4"/>
    <s v="Y"/>
    <x v="1"/>
    <n v="13"/>
    <n v="3"/>
    <n v="3"/>
    <n v="80"/>
    <n v="0"/>
    <n v="7"/>
    <n v="2"/>
    <n v="2"/>
    <n v="3"/>
    <n v="2"/>
    <n v="1"/>
    <n v="2"/>
    <x v="0"/>
    <x v="1"/>
    <n v="0"/>
    <n v="0"/>
    <x v="3"/>
    <x v="0"/>
    <n v="43"/>
  </r>
  <r>
    <n v="41"/>
    <x v="1"/>
    <s v="Travel_Rarely"/>
    <n v="447"/>
    <x v="1"/>
    <n v="5"/>
    <n v="3"/>
    <s v="Life Sciences"/>
    <n v="1"/>
    <n v="1814"/>
    <n v="2"/>
    <x v="1"/>
    <n v="85"/>
    <n v="4"/>
    <n v="2"/>
    <x v="4"/>
    <n v="2"/>
    <s v="Single"/>
    <n v="6870"/>
    <n v="15530"/>
    <n v="3"/>
    <s v="Y"/>
    <x v="1"/>
    <n v="12"/>
    <n v="3"/>
    <n v="1"/>
    <n v="80"/>
    <n v="0"/>
    <n v="11"/>
    <n v="3"/>
    <n v="1"/>
    <n v="3"/>
    <n v="2"/>
    <n v="1"/>
    <n v="2"/>
    <x v="0"/>
    <x v="0"/>
    <n v="0"/>
    <n v="0"/>
    <x v="3"/>
    <x v="0"/>
    <n v="49"/>
  </r>
  <r>
    <n v="41"/>
    <x v="1"/>
    <s v="Travel_Rarely"/>
    <n v="796"/>
    <x v="0"/>
    <n v="4"/>
    <n v="1"/>
    <s v="Marketing"/>
    <n v="1"/>
    <n v="1815"/>
    <n v="3"/>
    <x v="0"/>
    <n v="81"/>
    <n v="3"/>
    <n v="3"/>
    <x v="0"/>
    <n v="3"/>
    <s v="Divorced"/>
    <n v="10447"/>
    <n v="26458"/>
    <n v="0"/>
    <s v="Y"/>
    <x v="0"/>
    <n v="13"/>
    <n v="3"/>
    <n v="4"/>
    <n v="80"/>
    <n v="1"/>
    <n v="23"/>
    <n v="3"/>
    <n v="4"/>
    <n v="22"/>
    <n v="14"/>
    <n v="13"/>
    <n v="5"/>
    <x v="0"/>
    <x v="0"/>
    <n v="0"/>
    <n v="1"/>
    <x v="1"/>
    <x v="1"/>
    <n v="56"/>
  </r>
  <r>
    <n v="30"/>
    <x v="1"/>
    <s v="Travel_Rarely"/>
    <n v="1092"/>
    <x v="1"/>
    <n v="10"/>
    <n v="3"/>
    <s v="Medical"/>
    <n v="1"/>
    <n v="1816"/>
    <n v="1"/>
    <x v="0"/>
    <n v="64"/>
    <n v="3"/>
    <n v="3"/>
    <x v="3"/>
    <n v="3"/>
    <s v="Single"/>
    <n v="9667"/>
    <n v="2739"/>
    <n v="9"/>
    <s v="Y"/>
    <x v="1"/>
    <n v="14"/>
    <n v="3"/>
    <n v="2"/>
    <n v="80"/>
    <n v="0"/>
    <n v="9"/>
    <n v="3"/>
    <n v="3"/>
    <n v="7"/>
    <n v="7"/>
    <n v="0"/>
    <n v="2"/>
    <x v="1"/>
    <x v="0"/>
    <n v="0"/>
    <n v="0"/>
    <x v="3"/>
    <x v="0"/>
    <n v="46"/>
  </r>
  <r>
    <n v="26"/>
    <x v="0"/>
    <s v="Travel_Rarely"/>
    <n v="920"/>
    <x v="2"/>
    <n v="20"/>
    <n v="2"/>
    <s v="Medical"/>
    <n v="1"/>
    <n v="1818"/>
    <n v="4"/>
    <x v="0"/>
    <n v="69"/>
    <n v="3"/>
    <n v="1"/>
    <x v="8"/>
    <n v="2"/>
    <s v="Married"/>
    <n v="2148"/>
    <n v="6889"/>
    <n v="0"/>
    <s v="Y"/>
    <x v="0"/>
    <n v="11"/>
    <n v="3"/>
    <n v="3"/>
    <n v="80"/>
    <n v="0"/>
    <n v="6"/>
    <n v="3"/>
    <n v="3"/>
    <n v="5"/>
    <n v="1"/>
    <n v="1"/>
    <n v="4"/>
    <x v="2"/>
    <x v="1"/>
    <n v="1"/>
    <n v="1"/>
    <x v="0"/>
    <x v="1"/>
    <n v="94"/>
  </r>
  <r>
    <n v="46"/>
    <x v="0"/>
    <s v="Travel_Rarely"/>
    <n v="261"/>
    <x v="1"/>
    <n v="21"/>
    <n v="2"/>
    <s v="Medical"/>
    <n v="1"/>
    <n v="1821"/>
    <n v="4"/>
    <x v="0"/>
    <n v="66"/>
    <n v="3"/>
    <n v="2"/>
    <x v="4"/>
    <n v="2"/>
    <s v="Married"/>
    <n v="8926"/>
    <n v="10842"/>
    <n v="4"/>
    <s v="Y"/>
    <x v="1"/>
    <n v="22"/>
    <n v="4"/>
    <n v="4"/>
    <n v="80"/>
    <n v="1"/>
    <n v="13"/>
    <n v="2"/>
    <n v="4"/>
    <n v="9"/>
    <n v="7"/>
    <n v="3"/>
    <n v="7"/>
    <x v="0"/>
    <x v="0"/>
    <n v="1"/>
    <n v="0"/>
    <x v="0"/>
    <x v="0"/>
    <n v="42"/>
  </r>
  <r>
    <n v="40"/>
    <x v="1"/>
    <s v="Travel_Rarely"/>
    <n v="1194"/>
    <x v="1"/>
    <n v="1"/>
    <n v="3"/>
    <s v="Life Sciences"/>
    <n v="1"/>
    <n v="1822"/>
    <n v="3"/>
    <x v="0"/>
    <n v="52"/>
    <n v="3"/>
    <n v="2"/>
    <x v="4"/>
    <n v="4"/>
    <s v="Divorced"/>
    <n v="6513"/>
    <n v="9060"/>
    <n v="4"/>
    <s v="Y"/>
    <x v="1"/>
    <n v="17"/>
    <n v="3"/>
    <n v="4"/>
    <n v="80"/>
    <n v="1"/>
    <n v="12"/>
    <n v="3"/>
    <n v="3"/>
    <n v="5"/>
    <n v="3"/>
    <n v="0"/>
    <n v="3"/>
    <x v="0"/>
    <x v="0"/>
    <n v="0"/>
    <n v="0"/>
    <x v="3"/>
    <x v="0"/>
    <n v="36"/>
  </r>
  <r>
    <n v="34"/>
    <x v="1"/>
    <s v="Travel_Rarely"/>
    <n v="810"/>
    <x v="0"/>
    <n v="8"/>
    <n v="2"/>
    <s v="Technical Degree"/>
    <n v="1"/>
    <n v="1823"/>
    <n v="2"/>
    <x v="1"/>
    <n v="92"/>
    <n v="4"/>
    <n v="2"/>
    <x v="0"/>
    <n v="3"/>
    <s v="Married"/>
    <n v="6799"/>
    <n v="22128"/>
    <n v="1"/>
    <s v="Y"/>
    <x v="1"/>
    <n v="21"/>
    <n v="4"/>
    <n v="3"/>
    <n v="80"/>
    <n v="2"/>
    <n v="10"/>
    <n v="5"/>
    <n v="3"/>
    <n v="10"/>
    <n v="8"/>
    <n v="4"/>
    <n v="8"/>
    <x v="1"/>
    <x v="0"/>
    <n v="0"/>
    <n v="0"/>
    <x v="0"/>
    <x v="0"/>
    <n v="46"/>
  </r>
  <r>
    <n v="58"/>
    <x v="1"/>
    <s v="Non-Travel"/>
    <n v="350"/>
    <x v="0"/>
    <n v="2"/>
    <n v="3"/>
    <s v="Medical"/>
    <n v="1"/>
    <n v="1824"/>
    <n v="2"/>
    <x v="1"/>
    <n v="52"/>
    <n v="3"/>
    <n v="4"/>
    <x v="5"/>
    <n v="2"/>
    <s v="Divorced"/>
    <n v="16291"/>
    <n v="22577"/>
    <n v="4"/>
    <s v="Y"/>
    <x v="1"/>
    <n v="22"/>
    <n v="4"/>
    <n v="4"/>
    <n v="80"/>
    <n v="1"/>
    <n v="37"/>
    <n v="0"/>
    <n v="2"/>
    <n v="16"/>
    <n v="9"/>
    <n v="14"/>
    <n v="14"/>
    <x v="3"/>
    <x v="2"/>
    <n v="0"/>
    <n v="0"/>
    <x v="3"/>
    <x v="0"/>
    <n v="42"/>
  </r>
  <r>
    <n v="35"/>
    <x v="1"/>
    <s v="Travel_Rarely"/>
    <n v="185"/>
    <x v="1"/>
    <n v="23"/>
    <n v="4"/>
    <s v="Medical"/>
    <n v="1"/>
    <n v="1826"/>
    <n v="2"/>
    <x v="1"/>
    <n v="91"/>
    <n v="1"/>
    <n v="1"/>
    <x v="2"/>
    <n v="3"/>
    <s v="Married"/>
    <n v="2705"/>
    <n v="9696"/>
    <n v="0"/>
    <s v="Y"/>
    <x v="1"/>
    <n v="16"/>
    <n v="3"/>
    <n v="2"/>
    <n v="80"/>
    <n v="1"/>
    <n v="6"/>
    <n v="2"/>
    <n v="4"/>
    <n v="5"/>
    <n v="4"/>
    <n v="0"/>
    <n v="3"/>
    <x v="1"/>
    <x v="1"/>
    <n v="0"/>
    <n v="0"/>
    <x v="2"/>
    <x v="0"/>
    <n v="53"/>
  </r>
  <r>
    <n v="47"/>
    <x v="1"/>
    <s v="Travel_Rarely"/>
    <n v="1001"/>
    <x v="1"/>
    <n v="4"/>
    <n v="3"/>
    <s v="Life Sciences"/>
    <n v="1"/>
    <n v="1827"/>
    <n v="3"/>
    <x v="0"/>
    <n v="92"/>
    <n v="2"/>
    <n v="3"/>
    <x v="3"/>
    <n v="2"/>
    <s v="Divorced"/>
    <n v="10333"/>
    <n v="19271"/>
    <n v="8"/>
    <s v="Y"/>
    <x v="0"/>
    <n v="12"/>
    <n v="3"/>
    <n v="3"/>
    <n v="80"/>
    <n v="1"/>
    <n v="28"/>
    <n v="4"/>
    <n v="3"/>
    <n v="22"/>
    <n v="11"/>
    <n v="14"/>
    <n v="10"/>
    <x v="0"/>
    <x v="0"/>
    <n v="0"/>
    <n v="1"/>
    <x v="3"/>
    <x v="1"/>
    <n v="62"/>
  </r>
  <r>
    <n v="40"/>
    <x v="1"/>
    <s v="Travel_Rarely"/>
    <n v="750"/>
    <x v="1"/>
    <n v="12"/>
    <n v="3"/>
    <s v="Life Sciences"/>
    <n v="1"/>
    <n v="1829"/>
    <n v="2"/>
    <x v="0"/>
    <n v="47"/>
    <n v="3"/>
    <n v="2"/>
    <x v="4"/>
    <n v="1"/>
    <s v="Divorced"/>
    <n v="4448"/>
    <n v="10748"/>
    <n v="2"/>
    <s v="Y"/>
    <x v="1"/>
    <n v="12"/>
    <n v="3"/>
    <n v="2"/>
    <n v="80"/>
    <n v="1"/>
    <n v="15"/>
    <n v="3"/>
    <n v="3"/>
    <n v="7"/>
    <n v="4"/>
    <n v="7"/>
    <n v="7"/>
    <x v="0"/>
    <x v="1"/>
    <n v="0"/>
    <n v="0"/>
    <x v="3"/>
    <x v="0"/>
    <n v="48"/>
  </r>
  <r>
    <n v="54"/>
    <x v="1"/>
    <s v="Travel_Rarely"/>
    <n v="431"/>
    <x v="1"/>
    <n v="7"/>
    <n v="4"/>
    <s v="Medical"/>
    <n v="1"/>
    <n v="1830"/>
    <n v="4"/>
    <x v="0"/>
    <n v="68"/>
    <n v="3"/>
    <n v="2"/>
    <x v="1"/>
    <n v="4"/>
    <s v="Married"/>
    <n v="6854"/>
    <n v="15696"/>
    <n v="4"/>
    <s v="Y"/>
    <x v="1"/>
    <n v="15"/>
    <n v="3"/>
    <n v="2"/>
    <n v="80"/>
    <n v="1"/>
    <n v="14"/>
    <n v="2"/>
    <n v="2"/>
    <n v="7"/>
    <n v="1"/>
    <n v="1"/>
    <n v="7"/>
    <x v="3"/>
    <x v="0"/>
    <n v="0"/>
    <n v="0"/>
    <x v="2"/>
    <x v="2"/>
    <n v="34"/>
  </r>
  <r>
    <n v="31"/>
    <x v="1"/>
    <s v="Travel_Frequently"/>
    <n v="1125"/>
    <x v="0"/>
    <n v="7"/>
    <n v="4"/>
    <s v="Marketing"/>
    <n v="1"/>
    <n v="1833"/>
    <n v="1"/>
    <x v="0"/>
    <n v="68"/>
    <n v="3"/>
    <n v="3"/>
    <x v="0"/>
    <n v="1"/>
    <s v="Married"/>
    <n v="9637"/>
    <n v="8277"/>
    <n v="2"/>
    <s v="Y"/>
    <x v="1"/>
    <n v="14"/>
    <n v="3"/>
    <n v="4"/>
    <n v="80"/>
    <n v="2"/>
    <n v="9"/>
    <n v="3"/>
    <n v="3"/>
    <n v="3"/>
    <n v="2"/>
    <n v="2"/>
    <n v="2"/>
    <x v="1"/>
    <x v="0"/>
    <n v="0"/>
    <n v="0"/>
    <x v="2"/>
    <x v="1"/>
    <n v="65"/>
  </r>
  <r>
    <n v="28"/>
    <x v="1"/>
    <s v="Travel_Rarely"/>
    <n v="1217"/>
    <x v="1"/>
    <n v="1"/>
    <n v="3"/>
    <s v="Medical"/>
    <n v="1"/>
    <n v="1834"/>
    <n v="3"/>
    <x v="0"/>
    <n v="67"/>
    <n v="3"/>
    <n v="1"/>
    <x v="1"/>
    <n v="1"/>
    <s v="Married"/>
    <n v="3591"/>
    <n v="12719"/>
    <n v="1"/>
    <s v="Y"/>
    <x v="1"/>
    <n v="25"/>
    <n v="4"/>
    <n v="3"/>
    <n v="80"/>
    <n v="1"/>
    <n v="3"/>
    <n v="3"/>
    <n v="3"/>
    <n v="3"/>
    <n v="2"/>
    <n v="1"/>
    <n v="2"/>
    <x v="2"/>
    <x v="1"/>
    <n v="0"/>
    <n v="0"/>
    <x v="3"/>
    <x v="1"/>
    <n v="75"/>
  </r>
  <r>
    <n v="38"/>
    <x v="1"/>
    <s v="Travel_Rarely"/>
    <n v="723"/>
    <x v="0"/>
    <n v="2"/>
    <n v="4"/>
    <s v="Marketing"/>
    <n v="1"/>
    <n v="1835"/>
    <n v="2"/>
    <x v="0"/>
    <n v="77"/>
    <n v="1"/>
    <n v="2"/>
    <x v="6"/>
    <n v="4"/>
    <s v="Married"/>
    <n v="5405"/>
    <n v="4244"/>
    <n v="2"/>
    <s v="Y"/>
    <x v="0"/>
    <n v="20"/>
    <n v="4"/>
    <n v="1"/>
    <n v="80"/>
    <n v="2"/>
    <n v="20"/>
    <n v="4"/>
    <n v="2"/>
    <n v="4"/>
    <n v="2"/>
    <n v="0"/>
    <n v="3"/>
    <x v="1"/>
    <x v="0"/>
    <n v="0"/>
    <n v="1"/>
    <x v="2"/>
    <x v="1"/>
    <n v="71"/>
  </r>
  <r>
    <n v="26"/>
    <x v="1"/>
    <s v="Travel_Rarely"/>
    <n v="572"/>
    <x v="0"/>
    <n v="10"/>
    <n v="3"/>
    <s v="Medical"/>
    <n v="1"/>
    <n v="1836"/>
    <n v="3"/>
    <x v="1"/>
    <n v="46"/>
    <n v="3"/>
    <n v="2"/>
    <x v="0"/>
    <n v="4"/>
    <s v="Single"/>
    <n v="4684"/>
    <n v="9125"/>
    <n v="1"/>
    <s v="Y"/>
    <x v="1"/>
    <n v="13"/>
    <n v="3"/>
    <n v="1"/>
    <n v="80"/>
    <n v="0"/>
    <n v="5"/>
    <n v="4"/>
    <n v="3"/>
    <n v="5"/>
    <n v="3"/>
    <n v="1"/>
    <n v="2"/>
    <x v="2"/>
    <x v="1"/>
    <n v="0"/>
    <n v="0"/>
    <x v="3"/>
    <x v="1"/>
    <n v="56"/>
  </r>
  <r>
    <n v="58"/>
    <x v="1"/>
    <s v="Travel_Frequently"/>
    <n v="1216"/>
    <x v="1"/>
    <n v="15"/>
    <n v="4"/>
    <s v="Life Sciences"/>
    <n v="1"/>
    <n v="1837"/>
    <n v="1"/>
    <x v="1"/>
    <n v="87"/>
    <n v="3"/>
    <n v="4"/>
    <x v="7"/>
    <n v="3"/>
    <s v="Married"/>
    <n v="15787"/>
    <n v="21624"/>
    <n v="2"/>
    <s v="Y"/>
    <x v="0"/>
    <n v="14"/>
    <n v="3"/>
    <n v="2"/>
    <n v="80"/>
    <n v="0"/>
    <n v="23"/>
    <n v="3"/>
    <n v="3"/>
    <n v="2"/>
    <n v="2"/>
    <n v="2"/>
    <n v="2"/>
    <x v="3"/>
    <x v="2"/>
    <n v="0"/>
    <n v="1"/>
    <x v="2"/>
    <x v="1"/>
    <n v="83"/>
  </r>
  <r>
    <n v="18"/>
    <x v="1"/>
    <s v="Non-Travel"/>
    <n v="1431"/>
    <x v="1"/>
    <n v="14"/>
    <n v="3"/>
    <s v="Medical"/>
    <n v="1"/>
    <n v="1839"/>
    <n v="2"/>
    <x v="0"/>
    <n v="33"/>
    <n v="3"/>
    <n v="1"/>
    <x v="1"/>
    <n v="3"/>
    <s v="Single"/>
    <n v="1514"/>
    <n v="8018"/>
    <n v="1"/>
    <s v="Y"/>
    <x v="1"/>
    <n v="16"/>
    <n v="3"/>
    <n v="3"/>
    <n v="80"/>
    <n v="0"/>
    <n v="0"/>
    <n v="4"/>
    <n v="1"/>
    <n v="0"/>
    <n v="0"/>
    <n v="0"/>
    <n v="0"/>
    <x v="2"/>
    <x v="1"/>
    <n v="0"/>
    <n v="0"/>
    <x v="3"/>
    <x v="1"/>
    <n v="73"/>
  </r>
  <r>
    <n v="31"/>
    <x v="0"/>
    <s v="Travel_Rarely"/>
    <n v="359"/>
    <x v="2"/>
    <n v="18"/>
    <n v="5"/>
    <s v="Human Resources"/>
    <n v="1"/>
    <n v="1842"/>
    <n v="4"/>
    <x v="1"/>
    <n v="89"/>
    <n v="4"/>
    <n v="1"/>
    <x v="8"/>
    <n v="1"/>
    <s v="Married"/>
    <n v="2956"/>
    <n v="21495"/>
    <n v="0"/>
    <s v="Y"/>
    <x v="1"/>
    <n v="17"/>
    <n v="3"/>
    <n v="3"/>
    <n v="80"/>
    <n v="0"/>
    <n v="2"/>
    <n v="4"/>
    <n v="3"/>
    <n v="1"/>
    <n v="0"/>
    <n v="0"/>
    <n v="0"/>
    <x v="1"/>
    <x v="1"/>
    <n v="1"/>
    <n v="0"/>
    <x v="4"/>
    <x v="1"/>
    <n v="75"/>
  </r>
  <r>
    <n v="29"/>
    <x v="0"/>
    <s v="Travel_Rarely"/>
    <n v="350"/>
    <x v="2"/>
    <n v="13"/>
    <n v="3"/>
    <s v="Human Resources"/>
    <n v="1"/>
    <n v="1844"/>
    <n v="1"/>
    <x v="1"/>
    <n v="56"/>
    <n v="2"/>
    <n v="1"/>
    <x v="8"/>
    <n v="1"/>
    <s v="Divorced"/>
    <n v="2335"/>
    <n v="3157"/>
    <n v="4"/>
    <s v="Y"/>
    <x v="0"/>
    <n v="15"/>
    <n v="3"/>
    <n v="4"/>
    <n v="80"/>
    <n v="3"/>
    <n v="4"/>
    <n v="3"/>
    <n v="3"/>
    <n v="2"/>
    <n v="2"/>
    <n v="2"/>
    <n v="0"/>
    <x v="2"/>
    <x v="1"/>
    <n v="1"/>
    <n v="1"/>
    <x v="3"/>
    <x v="1"/>
    <n v="110"/>
  </r>
  <r>
    <n v="45"/>
    <x v="1"/>
    <s v="Non-Travel"/>
    <n v="589"/>
    <x v="0"/>
    <n v="2"/>
    <n v="4"/>
    <s v="Life Sciences"/>
    <n v="1"/>
    <n v="1845"/>
    <n v="3"/>
    <x v="0"/>
    <n v="67"/>
    <n v="3"/>
    <n v="2"/>
    <x v="0"/>
    <n v="3"/>
    <s v="Married"/>
    <n v="5154"/>
    <n v="19665"/>
    <n v="4"/>
    <s v="Y"/>
    <x v="1"/>
    <n v="22"/>
    <n v="4"/>
    <n v="2"/>
    <n v="80"/>
    <n v="2"/>
    <n v="10"/>
    <n v="3"/>
    <n v="4"/>
    <n v="8"/>
    <n v="7"/>
    <n v="5"/>
    <n v="7"/>
    <x v="0"/>
    <x v="0"/>
    <n v="0"/>
    <n v="0"/>
    <x v="2"/>
    <x v="0"/>
    <n v="36"/>
  </r>
  <r>
    <n v="36"/>
    <x v="1"/>
    <s v="Travel_Rarely"/>
    <n v="430"/>
    <x v="1"/>
    <n v="2"/>
    <n v="4"/>
    <s v="Other"/>
    <n v="1"/>
    <n v="1847"/>
    <n v="4"/>
    <x v="0"/>
    <n v="73"/>
    <n v="3"/>
    <n v="2"/>
    <x v="1"/>
    <n v="2"/>
    <s v="Married"/>
    <n v="6962"/>
    <n v="19573"/>
    <n v="4"/>
    <s v="Y"/>
    <x v="0"/>
    <n v="22"/>
    <n v="4"/>
    <n v="4"/>
    <n v="80"/>
    <n v="1"/>
    <n v="15"/>
    <n v="2"/>
    <n v="3"/>
    <n v="1"/>
    <n v="0"/>
    <n v="0"/>
    <n v="0"/>
    <x v="1"/>
    <x v="0"/>
    <n v="0"/>
    <n v="1"/>
    <x v="2"/>
    <x v="1"/>
    <n v="94"/>
  </r>
  <r>
    <n v="43"/>
    <x v="1"/>
    <s v="Travel_Frequently"/>
    <n v="1422"/>
    <x v="0"/>
    <n v="2"/>
    <n v="4"/>
    <s v="Life Sciences"/>
    <n v="1"/>
    <n v="1849"/>
    <n v="1"/>
    <x v="1"/>
    <n v="92"/>
    <n v="3"/>
    <n v="2"/>
    <x v="0"/>
    <n v="4"/>
    <s v="Married"/>
    <n v="5675"/>
    <n v="19246"/>
    <n v="1"/>
    <s v="Y"/>
    <x v="1"/>
    <n v="20"/>
    <n v="4"/>
    <n v="3"/>
    <n v="80"/>
    <n v="1"/>
    <n v="7"/>
    <n v="5"/>
    <n v="3"/>
    <n v="7"/>
    <n v="7"/>
    <n v="7"/>
    <n v="7"/>
    <x v="0"/>
    <x v="0"/>
    <n v="0"/>
    <n v="0"/>
    <x v="2"/>
    <x v="2"/>
    <n v="29"/>
  </r>
  <r>
    <n v="27"/>
    <x v="1"/>
    <s v="Travel_Frequently"/>
    <n v="1297"/>
    <x v="1"/>
    <n v="5"/>
    <n v="2"/>
    <s v="Life Sciences"/>
    <n v="1"/>
    <n v="1850"/>
    <n v="4"/>
    <x v="0"/>
    <n v="53"/>
    <n v="3"/>
    <n v="1"/>
    <x v="2"/>
    <n v="4"/>
    <s v="Single"/>
    <n v="2379"/>
    <n v="19826"/>
    <n v="0"/>
    <s v="Y"/>
    <x v="0"/>
    <n v="14"/>
    <n v="3"/>
    <n v="3"/>
    <n v="80"/>
    <n v="0"/>
    <n v="6"/>
    <n v="3"/>
    <n v="2"/>
    <n v="5"/>
    <n v="4"/>
    <n v="0"/>
    <n v="2"/>
    <x v="2"/>
    <x v="1"/>
    <n v="0"/>
    <n v="1"/>
    <x v="0"/>
    <x v="1"/>
    <n v="81"/>
  </r>
  <r>
    <n v="29"/>
    <x v="1"/>
    <s v="Travel_Frequently"/>
    <n v="574"/>
    <x v="1"/>
    <n v="20"/>
    <n v="1"/>
    <s v="Medical"/>
    <n v="1"/>
    <n v="1852"/>
    <n v="4"/>
    <x v="1"/>
    <n v="40"/>
    <n v="3"/>
    <n v="1"/>
    <x v="2"/>
    <n v="4"/>
    <s v="Married"/>
    <n v="3812"/>
    <n v="7003"/>
    <n v="1"/>
    <s v="Y"/>
    <x v="1"/>
    <n v="13"/>
    <n v="3"/>
    <n v="2"/>
    <n v="80"/>
    <n v="0"/>
    <n v="11"/>
    <n v="3"/>
    <n v="4"/>
    <n v="11"/>
    <n v="8"/>
    <n v="3"/>
    <n v="10"/>
    <x v="2"/>
    <x v="1"/>
    <n v="0"/>
    <n v="0"/>
    <x v="1"/>
    <x v="0"/>
    <n v="44"/>
  </r>
  <r>
    <n v="32"/>
    <x v="1"/>
    <s v="Travel_Frequently"/>
    <n v="1318"/>
    <x v="0"/>
    <n v="10"/>
    <n v="4"/>
    <s v="Marketing"/>
    <n v="1"/>
    <n v="1853"/>
    <n v="4"/>
    <x v="1"/>
    <n v="79"/>
    <n v="3"/>
    <n v="2"/>
    <x v="0"/>
    <n v="4"/>
    <s v="Single"/>
    <n v="4648"/>
    <n v="26075"/>
    <n v="8"/>
    <s v="Y"/>
    <x v="1"/>
    <n v="13"/>
    <n v="3"/>
    <n v="3"/>
    <n v="80"/>
    <n v="0"/>
    <n v="4"/>
    <n v="2"/>
    <n v="4"/>
    <n v="0"/>
    <n v="0"/>
    <n v="0"/>
    <n v="0"/>
    <x v="1"/>
    <x v="1"/>
    <n v="0"/>
    <n v="0"/>
    <x v="2"/>
    <x v="1"/>
    <n v="56"/>
  </r>
  <r>
    <n v="42"/>
    <x v="1"/>
    <s v="Non-Travel"/>
    <n v="355"/>
    <x v="1"/>
    <n v="10"/>
    <n v="4"/>
    <s v="Technical Degree"/>
    <n v="1"/>
    <n v="1854"/>
    <n v="3"/>
    <x v="1"/>
    <n v="38"/>
    <n v="3"/>
    <n v="1"/>
    <x v="1"/>
    <n v="3"/>
    <s v="Married"/>
    <n v="2936"/>
    <n v="6161"/>
    <n v="3"/>
    <s v="Y"/>
    <x v="1"/>
    <n v="22"/>
    <n v="4"/>
    <n v="2"/>
    <n v="80"/>
    <n v="2"/>
    <n v="10"/>
    <n v="1"/>
    <n v="2"/>
    <n v="6"/>
    <n v="3"/>
    <n v="3"/>
    <n v="3"/>
    <x v="0"/>
    <x v="1"/>
    <n v="0"/>
    <n v="0"/>
    <x v="2"/>
    <x v="0"/>
    <n v="36"/>
  </r>
  <r>
    <n v="47"/>
    <x v="1"/>
    <s v="Travel_Rarely"/>
    <n v="207"/>
    <x v="1"/>
    <n v="9"/>
    <n v="4"/>
    <s v="Life Sciences"/>
    <n v="1"/>
    <n v="1856"/>
    <n v="2"/>
    <x v="0"/>
    <n v="64"/>
    <n v="3"/>
    <n v="1"/>
    <x v="2"/>
    <n v="3"/>
    <s v="Single"/>
    <n v="2105"/>
    <n v="5411"/>
    <n v="4"/>
    <s v="Y"/>
    <x v="1"/>
    <n v="12"/>
    <n v="3"/>
    <n v="3"/>
    <n v="80"/>
    <n v="0"/>
    <n v="7"/>
    <n v="2"/>
    <n v="3"/>
    <n v="2"/>
    <n v="2"/>
    <n v="2"/>
    <n v="0"/>
    <x v="0"/>
    <x v="1"/>
    <n v="0"/>
    <n v="0"/>
    <x v="2"/>
    <x v="0"/>
    <n v="53"/>
  </r>
  <r>
    <n v="46"/>
    <x v="1"/>
    <s v="Travel_Rarely"/>
    <n v="706"/>
    <x v="1"/>
    <n v="2"/>
    <n v="2"/>
    <s v="Life Sciences"/>
    <n v="1"/>
    <n v="1857"/>
    <n v="4"/>
    <x v="1"/>
    <n v="82"/>
    <n v="3"/>
    <n v="3"/>
    <x v="3"/>
    <n v="4"/>
    <s v="Divorced"/>
    <n v="8578"/>
    <n v="19989"/>
    <n v="3"/>
    <s v="Y"/>
    <x v="1"/>
    <n v="14"/>
    <n v="3"/>
    <n v="3"/>
    <n v="80"/>
    <n v="1"/>
    <n v="12"/>
    <n v="4"/>
    <n v="2"/>
    <n v="9"/>
    <n v="8"/>
    <n v="4"/>
    <n v="7"/>
    <x v="0"/>
    <x v="0"/>
    <n v="0"/>
    <n v="0"/>
    <x v="0"/>
    <x v="2"/>
    <n v="29"/>
  </r>
  <r>
    <n v="28"/>
    <x v="1"/>
    <s v="Non-Travel"/>
    <n v="280"/>
    <x v="2"/>
    <n v="1"/>
    <n v="2"/>
    <s v="Life Sciences"/>
    <n v="1"/>
    <n v="1858"/>
    <n v="3"/>
    <x v="1"/>
    <n v="43"/>
    <n v="3"/>
    <n v="1"/>
    <x v="8"/>
    <n v="4"/>
    <s v="Divorced"/>
    <n v="2706"/>
    <n v="10494"/>
    <n v="1"/>
    <s v="Y"/>
    <x v="1"/>
    <n v="15"/>
    <n v="3"/>
    <n v="2"/>
    <n v="80"/>
    <n v="1"/>
    <n v="3"/>
    <n v="2"/>
    <n v="3"/>
    <n v="3"/>
    <n v="2"/>
    <n v="2"/>
    <n v="2"/>
    <x v="2"/>
    <x v="1"/>
    <n v="0"/>
    <n v="0"/>
    <x v="0"/>
    <x v="1"/>
    <n v="56"/>
  </r>
  <r>
    <n v="29"/>
    <x v="1"/>
    <s v="Travel_Rarely"/>
    <n v="726"/>
    <x v="1"/>
    <n v="29"/>
    <n v="1"/>
    <s v="Life Sciences"/>
    <n v="1"/>
    <n v="1859"/>
    <n v="4"/>
    <x v="1"/>
    <n v="93"/>
    <n v="1"/>
    <n v="2"/>
    <x v="4"/>
    <n v="3"/>
    <s v="Divorced"/>
    <n v="6384"/>
    <n v="21143"/>
    <n v="8"/>
    <s v="Y"/>
    <x v="1"/>
    <n v="17"/>
    <n v="3"/>
    <n v="4"/>
    <n v="80"/>
    <n v="2"/>
    <n v="11"/>
    <n v="3"/>
    <n v="3"/>
    <n v="7"/>
    <n v="0"/>
    <n v="1"/>
    <n v="6"/>
    <x v="2"/>
    <x v="0"/>
    <n v="0"/>
    <n v="0"/>
    <x v="1"/>
    <x v="1"/>
    <n v="56"/>
  </r>
  <r>
    <n v="42"/>
    <x v="1"/>
    <s v="Travel_Rarely"/>
    <n v="1142"/>
    <x v="1"/>
    <n v="8"/>
    <n v="3"/>
    <s v="Life Sciences"/>
    <n v="1"/>
    <n v="1860"/>
    <n v="4"/>
    <x v="1"/>
    <n v="81"/>
    <n v="3"/>
    <n v="1"/>
    <x v="2"/>
    <n v="3"/>
    <s v="Single"/>
    <n v="3968"/>
    <n v="13624"/>
    <n v="4"/>
    <s v="Y"/>
    <x v="1"/>
    <n v="13"/>
    <n v="3"/>
    <n v="4"/>
    <n v="80"/>
    <n v="0"/>
    <n v="8"/>
    <n v="3"/>
    <n v="3"/>
    <n v="0"/>
    <n v="0"/>
    <n v="0"/>
    <n v="0"/>
    <x v="0"/>
    <x v="1"/>
    <n v="0"/>
    <n v="0"/>
    <x v="3"/>
    <x v="0"/>
    <n v="53"/>
  </r>
  <r>
    <n v="32"/>
    <x v="0"/>
    <s v="Travel_Rarely"/>
    <n v="414"/>
    <x v="0"/>
    <n v="2"/>
    <n v="4"/>
    <s v="Marketing"/>
    <n v="1"/>
    <n v="1862"/>
    <n v="3"/>
    <x v="1"/>
    <n v="82"/>
    <n v="2"/>
    <n v="2"/>
    <x v="0"/>
    <n v="2"/>
    <s v="Single"/>
    <n v="9907"/>
    <n v="26186"/>
    <n v="7"/>
    <s v="Y"/>
    <x v="0"/>
    <n v="12"/>
    <n v="3"/>
    <n v="3"/>
    <n v="80"/>
    <n v="0"/>
    <n v="7"/>
    <n v="3"/>
    <n v="2"/>
    <n v="2"/>
    <n v="2"/>
    <n v="2"/>
    <n v="2"/>
    <x v="1"/>
    <x v="0"/>
    <n v="1"/>
    <n v="1"/>
    <x v="2"/>
    <x v="1"/>
    <n v="94"/>
  </r>
  <r>
    <n v="46"/>
    <x v="1"/>
    <s v="Travel_Rarely"/>
    <n v="1319"/>
    <x v="0"/>
    <n v="3"/>
    <n v="3"/>
    <s v="Technical Degree"/>
    <n v="1"/>
    <n v="1863"/>
    <n v="1"/>
    <x v="0"/>
    <n v="45"/>
    <n v="4"/>
    <n v="4"/>
    <x v="0"/>
    <n v="1"/>
    <s v="Divorced"/>
    <n v="13225"/>
    <n v="7739"/>
    <n v="2"/>
    <s v="Y"/>
    <x v="1"/>
    <n v="12"/>
    <n v="3"/>
    <n v="4"/>
    <n v="80"/>
    <n v="1"/>
    <n v="25"/>
    <n v="5"/>
    <n v="3"/>
    <n v="19"/>
    <n v="17"/>
    <n v="2"/>
    <n v="8"/>
    <x v="0"/>
    <x v="0"/>
    <n v="0"/>
    <n v="0"/>
    <x v="3"/>
    <x v="0"/>
    <n v="43"/>
  </r>
  <r>
    <n v="27"/>
    <x v="1"/>
    <s v="Travel_Rarely"/>
    <n v="728"/>
    <x v="0"/>
    <n v="23"/>
    <n v="1"/>
    <s v="Medical"/>
    <n v="1"/>
    <n v="1864"/>
    <n v="2"/>
    <x v="0"/>
    <n v="36"/>
    <n v="2"/>
    <n v="2"/>
    <x v="6"/>
    <n v="3"/>
    <s v="Married"/>
    <n v="3540"/>
    <n v="7018"/>
    <n v="1"/>
    <s v="Y"/>
    <x v="1"/>
    <n v="21"/>
    <n v="4"/>
    <n v="4"/>
    <n v="80"/>
    <n v="1"/>
    <n v="9"/>
    <n v="5"/>
    <n v="3"/>
    <n v="9"/>
    <n v="8"/>
    <n v="5"/>
    <n v="8"/>
    <x v="2"/>
    <x v="1"/>
    <n v="0"/>
    <n v="0"/>
    <x v="1"/>
    <x v="1"/>
    <n v="56"/>
  </r>
  <r>
    <n v="29"/>
    <x v="1"/>
    <s v="Travel_Rarely"/>
    <n v="352"/>
    <x v="2"/>
    <n v="6"/>
    <n v="1"/>
    <s v="Medical"/>
    <n v="1"/>
    <n v="1865"/>
    <n v="4"/>
    <x v="1"/>
    <n v="87"/>
    <n v="2"/>
    <n v="1"/>
    <x v="8"/>
    <n v="2"/>
    <s v="Married"/>
    <n v="2804"/>
    <n v="15434"/>
    <n v="1"/>
    <s v="Y"/>
    <x v="1"/>
    <n v="11"/>
    <n v="3"/>
    <n v="4"/>
    <n v="80"/>
    <n v="0"/>
    <n v="1"/>
    <n v="3"/>
    <n v="3"/>
    <n v="1"/>
    <n v="0"/>
    <n v="0"/>
    <n v="0"/>
    <x v="2"/>
    <x v="1"/>
    <n v="0"/>
    <n v="0"/>
    <x v="1"/>
    <x v="1"/>
    <n v="79"/>
  </r>
  <r>
    <n v="43"/>
    <x v="1"/>
    <s v="Travel_Rarely"/>
    <n v="823"/>
    <x v="1"/>
    <n v="6"/>
    <n v="3"/>
    <s v="Medical"/>
    <n v="1"/>
    <n v="1866"/>
    <n v="1"/>
    <x v="0"/>
    <n v="81"/>
    <n v="2"/>
    <n v="5"/>
    <x v="5"/>
    <n v="3"/>
    <s v="Married"/>
    <n v="19392"/>
    <n v="22539"/>
    <n v="7"/>
    <s v="Y"/>
    <x v="1"/>
    <n v="13"/>
    <n v="3"/>
    <n v="4"/>
    <n v="80"/>
    <n v="0"/>
    <n v="21"/>
    <n v="2"/>
    <n v="3"/>
    <n v="16"/>
    <n v="12"/>
    <n v="6"/>
    <n v="14"/>
    <x v="0"/>
    <x v="2"/>
    <n v="0"/>
    <n v="0"/>
    <x v="3"/>
    <x v="2"/>
    <n v="31"/>
  </r>
  <r>
    <n v="48"/>
    <x v="1"/>
    <s v="Travel_Rarely"/>
    <n v="1224"/>
    <x v="1"/>
    <n v="10"/>
    <n v="3"/>
    <s v="Life Sciences"/>
    <n v="1"/>
    <n v="1867"/>
    <n v="4"/>
    <x v="1"/>
    <n v="91"/>
    <n v="2"/>
    <n v="5"/>
    <x v="7"/>
    <n v="2"/>
    <s v="Married"/>
    <n v="19665"/>
    <n v="13583"/>
    <n v="4"/>
    <s v="Y"/>
    <x v="1"/>
    <n v="12"/>
    <n v="3"/>
    <n v="4"/>
    <n v="80"/>
    <n v="0"/>
    <n v="29"/>
    <n v="3"/>
    <n v="3"/>
    <n v="22"/>
    <n v="10"/>
    <n v="12"/>
    <n v="9"/>
    <x v="0"/>
    <x v="2"/>
    <n v="0"/>
    <n v="0"/>
    <x v="3"/>
    <x v="0"/>
    <n v="37"/>
  </r>
  <r>
    <n v="29"/>
    <x v="0"/>
    <s v="Travel_Frequently"/>
    <n v="459"/>
    <x v="1"/>
    <n v="24"/>
    <n v="2"/>
    <s v="Life Sciences"/>
    <n v="1"/>
    <n v="1868"/>
    <n v="4"/>
    <x v="1"/>
    <n v="73"/>
    <n v="2"/>
    <n v="1"/>
    <x v="1"/>
    <n v="4"/>
    <s v="Single"/>
    <n v="2439"/>
    <n v="14753"/>
    <n v="1"/>
    <s v="Y"/>
    <x v="0"/>
    <n v="24"/>
    <n v="4"/>
    <n v="2"/>
    <n v="80"/>
    <n v="0"/>
    <n v="1"/>
    <n v="3"/>
    <n v="2"/>
    <n v="1"/>
    <n v="0"/>
    <n v="1"/>
    <n v="0"/>
    <x v="2"/>
    <x v="1"/>
    <n v="1"/>
    <n v="1"/>
    <x v="0"/>
    <x v="1"/>
    <n v="91"/>
  </r>
  <r>
    <n v="46"/>
    <x v="0"/>
    <s v="Travel_Rarely"/>
    <n v="1254"/>
    <x v="0"/>
    <n v="10"/>
    <n v="3"/>
    <s v="Life Sciences"/>
    <n v="1"/>
    <n v="1869"/>
    <n v="3"/>
    <x v="0"/>
    <n v="64"/>
    <n v="3"/>
    <n v="3"/>
    <x v="0"/>
    <n v="2"/>
    <s v="Married"/>
    <n v="7314"/>
    <n v="14011"/>
    <n v="5"/>
    <s v="Y"/>
    <x v="1"/>
    <n v="21"/>
    <n v="4"/>
    <n v="3"/>
    <n v="80"/>
    <n v="3"/>
    <n v="14"/>
    <n v="2"/>
    <n v="3"/>
    <n v="8"/>
    <n v="7"/>
    <n v="0"/>
    <n v="7"/>
    <x v="0"/>
    <x v="0"/>
    <n v="1"/>
    <n v="0"/>
    <x v="3"/>
    <x v="0"/>
    <n v="42"/>
  </r>
  <r>
    <n v="27"/>
    <x v="1"/>
    <s v="Travel_Frequently"/>
    <n v="1131"/>
    <x v="1"/>
    <n v="15"/>
    <n v="3"/>
    <s v="Life Sciences"/>
    <n v="1"/>
    <n v="1870"/>
    <n v="4"/>
    <x v="0"/>
    <n v="77"/>
    <n v="2"/>
    <n v="1"/>
    <x v="1"/>
    <n v="1"/>
    <s v="Married"/>
    <n v="4774"/>
    <n v="23844"/>
    <n v="0"/>
    <s v="Y"/>
    <x v="1"/>
    <n v="19"/>
    <n v="3"/>
    <n v="4"/>
    <n v="80"/>
    <n v="1"/>
    <n v="8"/>
    <n v="2"/>
    <n v="2"/>
    <n v="7"/>
    <n v="6"/>
    <n v="7"/>
    <n v="3"/>
    <x v="2"/>
    <x v="1"/>
    <n v="0"/>
    <n v="0"/>
    <x v="3"/>
    <x v="1"/>
    <n v="68"/>
  </r>
  <r>
    <n v="39"/>
    <x v="1"/>
    <s v="Travel_Rarely"/>
    <n v="835"/>
    <x v="1"/>
    <n v="19"/>
    <n v="4"/>
    <s v="Other"/>
    <n v="1"/>
    <n v="1871"/>
    <n v="4"/>
    <x v="1"/>
    <n v="41"/>
    <n v="3"/>
    <n v="2"/>
    <x v="1"/>
    <n v="4"/>
    <s v="Divorced"/>
    <n v="3902"/>
    <n v="5141"/>
    <n v="8"/>
    <s v="Y"/>
    <x v="1"/>
    <n v="14"/>
    <n v="3"/>
    <n v="2"/>
    <n v="80"/>
    <n v="3"/>
    <n v="7"/>
    <n v="2"/>
    <n v="3"/>
    <n v="2"/>
    <n v="2"/>
    <n v="2"/>
    <n v="2"/>
    <x v="1"/>
    <x v="1"/>
    <n v="0"/>
    <n v="0"/>
    <x v="2"/>
    <x v="1"/>
    <n v="56"/>
  </r>
  <r>
    <n v="55"/>
    <x v="1"/>
    <s v="Travel_Rarely"/>
    <n v="836"/>
    <x v="1"/>
    <n v="2"/>
    <n v="4"/>
    <s v="Technical Degree"/>
    <n v="1"/>
    <n v="1873"/>
    <n v="2"/>
    <x v="1"/>
    <n v="98"/>
    <n v="2"/>
    <n v="1"/>
    <x v="1"/>
    <n v="4"/>
    <s v="Married"/>
    <n v="2662"/>
    <n v="7975"/>
    <n v="8"/>
    <s v="Y"/>
    <x v="1"/>
    <n v="20"/>
    <n v="4"/>
    <n v="2"/>
    <n v="80"/>
    <n v="1"/>
    <n v="19"/>
    <n v="2"/>
    <n v="4"/>
    <n v="5"/>
    <n v="2"/>
    <n v="0"/>
    <n v="4"/>
    <x v="3"/>
    <x v="1"/>
    <n v="0"/>
    <n v="0"/>
    <x v="2"/>
    <x v="0"/>
    <n v="41"/>
  </r>
  <r>
    <n v="28"/>
    <x v="1"/>
    <s v="Travel_Rarely"/>
    <n v="1172"/>
    <x v="0"/>
    <n v="3"/>
    <n v="3"/>
    <s v="Medical"/>
    <n v="1"/>
    <n v="1875"/>
    <n v="2"/>
    <x v="0"/>
    <n v="78"/>
    <n v="3"/>
    <n v="1"/>
    <x v="6"/>
    <n v="2"/>
    <s v="Married"/>
    <n v="2856"/>
    <n v="3692"/>
    <n v="1"/>
    <s v="Y"/>
    <x v="1"/>
    <n v="19"/>
    <n v="3"/>
    <n v="4"/>
    <n v="80"/>
    <n v="1"/>
    <n v="1"/>
    <n v="3"/>
    <n v="3"/>
    <n v="1"/>
    <n v="0"/>
    <n v="0"/>
    <n v="0"/>
    <x v="2"/>
    <x v="1"/>
    <n v="0"/>
    <n v="0"/>
    <x v="3"/>
    <x v="1"/>
    <n v="79"/>
  </r>
  <r>
    <n v="30"/>
    <x v="0"/>
    <s v="Travel_Rarely"/>
    <n v="945"/>
    <x v="0"/>
    <n v="9"/>
    <n v="3"/>
    <s v="Medical"/>
    <n v="1"/>
    <n v="1876"/>
    <n v="2"/>
    <x v="1"/>
    <n v="89"/>
    <n v="3"/>
    <n v="1"/>
    <x v="6"/>
    <n v="4"/>
    <s v="Single"/>
    <n v="1081"/>
    <n v="16019"/>
    <n v="1"/>
    <s v="Y"/>
    <x v="1"/>
    <n v="13"/>
    <n v="3"/>
    <n v="3"/>
    <n v="80"/>
    <n v="0"/>
    <n v="1"/>
    <n v="3"/>
    <n v="2"/>
    <n v="1"/>
    <n v="0"/>
    <n v="0"/>
    <n v="0"/>
    <x v="1"/>
    <x v="1"/>
    <n v="1"/>
    <n v="0"/>
    <x v="3"/>
    <x v="1"/>
    <n v="56"/>
  </r>
  <r>
    <n v="22"/>
    <x v="0"/>
    <s v="Travel_Rarely"/>
    <n v="391"/>
    <x v="1"/>
    <n v="7"/>
    <n v="1"/>
    <s v="Life Sciences"/>
    <n v="1"/>
    <n v="1878"/>
    <n v="4"/>
    <x v="1"/>
    <n v="75"/>
    <n v="3"/>
    <n v="1"/>
    <x v="1"/>
    <n v="2"/>
    <s v="Single"/>
    <n v="2472"/>
    <n v="26092"/>
    <n v="1"/>
    <s v="Y"/>
    <x v="0"/>
    <n v="23"/>
    <n v="4"/>
    <n v="1"/>
    <n v="80"/>
    <n v="0"/>
    <n v="1"/>
    <n v="2"/>
    <n v="3"/>
    <n v="1"/>
    <n v="0"/>
    <n v="0"/>
    <n v="0"/>
    <x v="2"/>
    <x v="1"/>
    <n v="1"/>
    <n v="1"/>
    <x v="1"/>
    <x v="1"/>
    <n v="104"/>
  </r>
  <r>
    <n v="36"/>
    <x v="1"/>
    <s v="Travel_Rarely"/>
    <n v="1266"/>
    <x v="0"/>
    <n v="10"/>
    <n v="4"/>
    <s v="Technical Degree"/>
    <n v="1"/>
    <n v="1880"/>
    <n v="2"/>
    <x v="0"/>
    <n v="63"/>
    <n v="2"/>
    <n v="2"/>
    <x v="0"/>
    <n v="3"/>
    <s v="Married"/>
    <n v="5673"/>
    <n v="6060"/>
    <n v="1"/>
    <s v="Y"/>
    <x v="0"/>
    <n v="13"/>
    <n v="3"/>
    <n v="1"/>
    <n v="80"/>
    <n v="1"/>
    <n v="10"/>
    <n v="4"/>
    <n v="3"/>
    <n v="10"/>
    <n v="9"/>
    <n v="1"/>
    <n v="7"/>
    <x v="1"/>
    <x v="0"/>
    <n v="0"/>
    <n v="1"/>
    <x v="2"/>
    <x v="1"/>
    <n v="71"/>
  </r>
  <r>
    <n v="31"/>
    <x v="1"/>
    <s v="Travel_Rarely"/>
    <n v="311"/>
    <x v="1"/>
    <n v="20"/>
    <n v="3"/>
    <s v="Life Sciences"/>
    <n v="1"/>
    <n v="1881"/>
    <n v="2"/>
    <x v="1"/>
    <n v="89"/>
    <n v="3"/>
    <n v="2"/>
    <x v="2"/>
    <n v="3"/>
    <s v="Divorced"/>
    <n v="4197"/>
    <n v="18624"/>
    <n v="1"/>
    <s v="Y"/>
    <x v="1"/>
    <n v="11"/>
    <n v="3"/>
    <n v="1"/>
    <n v="80"/>
    <n v="1"/>
    <n v="10"/>
    <n v="2"/>
    <n v="3"/>
    <n v="10"/>
    <n v="8"/>
    <n v="0"/>
    <n v="2"/>
    <x v="1"/>
    <x v="1"/>
    <n v="0"/>
    <n v="0"/>
    <x v="3"/>
    <x v="0"/>
    <n v="46"/>
  </r>
  <r>
    <n v="34"/>
    <x v="1"/>
    <s v="Travel_Rarely"/>
    <n v="1480"/>
    <x v="0"/>
    <n v="4"/>
    <n v="3"/>
    <s v="Life Sciences"/>
    <n v="1"/>
    <n v="1882"/>
    <n v="3"/>
    <x v="1"/>
    <n v="64"/>
    <n v="3"/>
    <n v="3"/>
    <x v="0"/>
    <n v="4"/>
    <s v="Married"/>
    <n v="9713"/>
    <n v="24444"/>
    <n v="2"/>
    <s v="Y"/>
    <x v="0"/>
    <n v="13"/>
    <n v="3"/>
    <n v="4"/>
    <n v="80"/>
    <n v="3"/>
    <n v="9"/>
    <n v="3"/>
    <n v="3"/>
    <n v="5"/>
    <n v="3"/>
    <n v="1"/>
    <n v="0"/>
    <x v="1"/>
    <x v="0"/>
    <n v="0"/>
    <n v="1"/>
    <x v="3"/>
    <x v="1"/>
    <n v="71"/>
  </r>
  <r>
    <n v="29"/>
    <x v="1"/>
    <s v="Travel_Rarely"/>
    <n v="592"/>
    <x v="1"/>
    <n v="7"/>
    <n v="3"/>
    <s v="Life Sciences"/>
    <n v="1"/>
    <n v="1883"/>
    <n v="4"/>
    <x v="1"/>
    <n v="59"/>
    <n v="3"/>
    <n v="1"/>
    <x v="2"/>
    <n v="1"/>
    <s v="Single"/>
    <n v="2062"/>
    <n v="19384"/>
    <n v="3"/>
    <s v="Y"/>
    <x v="1"/>
    <n v="14"/>
    <n v="3"/>
    <n v="2"/>
    <n v="80"/>
    <n v="0"/>
    <n v="11"/>
    <n v="2"/>
    <n v="3"/>
    <n v="3"/>
    <n v="2"/>
    <n v="1"/>
    <n v="2"/>
    <x v="2"/>
    <x v="1"/>
    <n v="0"/>
    <n v="0"/>
    <x v="3"/>
    <x v="1"/>
    <n v="75"/>
  </r>
  <r>
    <n v="37"/>
    <x v="1"/>
    <s v="Travel_Rarely"/>
    <n v="783"/>
    <x v="1"/>
    <n v="7"/>
    <n v="4"/>
    <s v="Medical"/>
    <n v="1"/>
    <n v="1885"/>
    <n v="4"/>
    <x v="1"/>
    <n v="78"/>
    <n v="3"/>
    <n v="2"/>
    <x v="1"/>
    <n v="1"/>
    <s v="Married"/>
    <n v="4284"/>
    <n v="13588"/>
    <n v="5"/>
    <s v="Y"/>
    <x v="0"/>
    <n v="22"/>
    <n v="4"/>
    <n v="3"/>
    <n v="80"/>
    <n v="1"/>
    <n v="16"/>
    <n v="2"/>
    <n v="3"/>
    <n v="5"/>
    <n v="3"/>
    <n v="0"/>
    <n v="4"/>
    <x v="1"/>
    <x v="1"/>
    <n v="0"/>
    <n v="1"/>
    <x v="2"/>
    <x v="1"/>
    <n v="90"/>
  </r>
  <r>
    <n v="35"/>
    <x v="1"/>
    <s v="Travel_Rarely"/>
    <n v="219"/>
    <x v="1"/>
    <n v="16"/>
    <n v="2"/>
    <s v="Other"/>
    <n v="1"/>
    <n v="1886"/>
    <n v="4"/>
    <x v="0"/>
    <n v="44"/>
    <n v="2"/>
    <n v="2"/>
    <x v="3"/>
    <n v="2"/>
    <s v="Married"/>
    <n v="4788"/>
    <n v="25388"/>
    <n v="0"/>
    <s v="Y"/>
    <x v="0"/>
    <n v="11"/>
    <n v="3"/>
    <n v="4"/>
    <n v="80"/>
    <n v="0"/>
    <n v="4"/>
    <n v="2"/>
    <n v="3"/>
    <n v="3"/>
    <n v="2"/>
    <n v="0"/>
    <n v="2"/>
    <x v="1"/>
    <x v="1"/>
    <n v="0"/>
    <n v="1"/>
    <x v="0"/>
    <x v="1"/>
    <n v="84"/>
  </r>
  <r>
    <n v="45"/>
    <x v="1"/>
    <s v="Travel_Rarely"/>
    <n v="556"/>
    <x v="1"/>
    <n v="25"/>
    <n v="2"/>
    <s v="Life Sciences"/>
    <n v="1"/>
    <n v="1888"/>
    <n v="2"/>
    <x v="0"/>
    <n v="93"/>
    <n v="2"/>
    <n v="2"/>
    <x v="3"/>
    <n v="4"/>
    <s v="Married"/>
    <n v="5906"/>
    <n v="23888"/>
    <n v="0"/>
    <s v="Y"/>
    <x v="1"/>
    <n v="13"/>
    <n v="3"/>
    <n v="4"/>
    <n v="80"/>
    <n v="2"/>
    <n v="10"/>
    <n v="2"/>
    <n v="2"/>
    <n v="9"/>
    <n v="8"/>
    <n v="3"/>
    <n v="8"/>
    <x v="0"/>
    <x v="0"/>
    <n v="0"/>
    <n v="0"/>
    <x v="0"/>
    <x v="2"/>
    <n v="29"/>
  </r>
  <r>
    <n v="36"/>
    <x v="1"/>
    <s v="Travel_Frequently"/>
    <n v="1213"/>
    <x v="2"/>
    <n v="2"/>
    <n v="1"/>
    <s v="Human Resources"/>
    <n v="1"/>
    <n v="1890"/>
    <n v="2"/>
    <x v="1"/>
    <n v="94"/>
    <n v="2"/>
    <n v="2"/>
    <x v="8"/>
    <n v="4"/>
    <s v="Single"/>
    <n v="3886"/>
    <n v="4223"/>
    <n v="1"/>
    <s v="Y"/>
    <x v="1"/>
    <n v="21"/>
    <n v="4"/>
    <n v="4"/>
    <n v="80"/>
    <n v="0"/>
    <n v="10"/>
    <n v="2"/>
    <n v="2"/>
    <n v="10"/>
    <n v="1"/>
    <n v="0"/>
    <n v="8"/>
    <x v="1"/>
    <x v="1"/>
    <n v="0"/>
    <n v="0"/>
    <x v="1"/>
    <x v="0"/>
    <n v="39"/>
  </r>
  <r>
    <n v="40"/>
    <x v="1"/>
    <s v="Travel_Rarely"/>
    <n v="1137"/>
    <x v="1"/>
    <n v="1"/>
    <n v="4"/>
    <s v="Life Sciences"/>
    <n v="1"/>
    <n v="1892"/>
    <n v="1"/>
    <x v="1"/>
    <n v="98"/>
    <n v="3"/>
    <n v="4"/>
    <x v="5"/>
    <n v="1"/>
    <s v="Divorced"/>
    <n v="16823"/>
    <n v="18991"/>
    <n v="2"/>
    <s v="Y"/>
    <x v="1"/>
    <n v="11"/>
    <n v="3"/>
    <n v="1"/>
    <n v="80"/>
    <n v="1"/>
    <n v="22"/>
    <n v="3"/>
    <n v="3"/>
    <n v="19"/>
    <n v="7"/>
    <n v="11"/>
    <n v="16"/>
    <x v="0"/>
    <x v="2"/>
    <n v="0"/>
    <n v="0"/>
    <x v="2"/>
    <x v="0"/>
    <n v="43"/>
  </r>
  <r>
    <n v="26"/>
    <x v="1"/>
    <s v="Travel_Rarely"/>
    <n v="482"/>
    <x v="1"/>
    <n v="1"/>
    <n v="2"/>
    <s v="Life Sciences"/>
    <n v="1"/>
    <n v="1893"/>
    <n v="2"/>
    <x v="0"/>
    <n v="90"/>
    <n v="2"/>
    <n v="1"/>
    <x v="1"/>
    <n v="3"/>
    <s v="Married"/>
    <n v="2933"/>
    <n v="14908"/>
    <n v="1"/>
    <s v="Y"/>
    <x v="0"/>
    <n v="13"/>
    <n v="3"/>
    <n v="3"/>
    <n v="80"/>
    <n v="1"/>
    <n v="1"/>
    <n v="3"/>
    <n v="2"/>
    <n v="1"/>
    <n v="0"/>
    <n v="1"/>
    <n v="0"/>
    <x v="2"/>
    <x v="1"/>
    <n v="0"/>
    <n v="1"/>
    <x v="0"/>
    <x v="1"/>
    <n v="98"/>
  </r>
  <r>
    <n v="27"/>
    <x v="1"/>
    <s v="Travel_Rarely"/>
    <n v="511"/>
    <x v="0"/>
    <n v="2"/>
    <n v="2"/>
    <s v="Medical"/>
    <n v="1"/>
    <n v="1898"/>
    <n v="1"/>
    <x v="0"/>
    <n v="89"/>
    <n v="4"/>
    <n v="2"/>
    <x v="0"/>
    <n v="3"/>
    <s v="Single"/>
    <n v="6500"/>
    <n v="26997"/>
    <n v="0"/>
    <s v="Y"/>
    <x v="1"/>
    <n v="14"/>
    <n v="3"/>
    <n v="2"/>
    <n v="80"/>
    <n v="0"/>
    <n v="9"/>
    <n v="5"/>
    <n v="2"/>
    <n v="8"/>
    <n v="7"/>
    <n v="0"/>
    <n v="7"/>
    <x v="2"/>
    <x v="0"/>
    <n v="0"/>
    <n v="0"/>
    <x v="0"/>
    <x v="1"/>
    <n v="56"/>
  </r>
  <r>
    <n v="48"/>
    <x v="1"/>
    <s v="Travel_Frequently"/>
    <n v="117"/>
    <x v="1"/>
    <n v="22"/>
    <n v="3"/>
    <s v="Medical"/>
    <n v="1"/>
    <n v="1900"/>
    <n v="4"/>
    <x v="0"/>
    <n v="58"/>
    <n v="3"/>
    <n v="4"/>
    <x v="5"/>
    <n v="4"/>
    <s v="Divorced"/>
    <n v="17174"/>
    <n v="2437"/>
    <n v="3"/>
    <s v="Y"/>
    <x v="1"/>
    <n v="11"/>
    <n v="3"/>
    <n v="2"/>
    <n v="80"/>
    <n v="1"/>
    <n v="24"/>
    <n v="3"/>
    <n v="3"/>
    <n v="22"/>
    <n v="17"/>
    <n v="4"/>
    <n v="7"/>
    <x v="0"/>
    <x v="2"/>
    <n v="0"/>
    <n v="0"/>
    <x v="3"/>
    <x v="2"/>
    <n v="24"/>
  </r>
  <r>
    <n v="44"/>
    <x v="1"/>
    <s v="Travel_Rarely"/>
    <n v="170"/>
    <x v="1"/>
    <n v="1"/>
    <n v="4"/>
    <s v="Life Sciences"/>
    <n v="1"/>
    <n v="1903"/>
    <n v="2"/>
    <x v="1"/>
    <n v="78"/>
    <n v="4"/>
    <n v="2"/>
    <x v="4"/>
    <n v="1"/>
    <s v="Married"/>
    <n v="5033"/>
    <n v="9364"/>
    <n v="2"/>
    <s v="Y"/>
    <x v="1"/>
    <n v="15"/>
    <n v="3"/>
    <n v="4"/>
    <n v="80"/>
    <n v="1"/>
    <n v="10"/>
    <n v="5"/>
    <n v="3"/>
    <n v="2"/>
    <n v="0"/>
    <n v="2"/>
    <n v="2"/>
    <x v="0"/>
    <x v="0"/>
    <n v="0"/>
    <n v="0"/>
    <x v="2"/>
    <x v="1"/>
    <n v="65"/>
  </r>
  <r>
    <n v="34"/>
    <x v="0"/>
    <s v="Non-Travel"/>
    <n v="967"/>
    <x v="1"/>
    <n v="16"/>
    <n v="4"/>
    <s v="Technical Degree"/>
    <n v="1"/>
    <n v="1905"/>
    <n v="4"/>
    <x v="1"/>
    <n v="85"/>
    <n v="1"/>
    <n v="1"/>
    <x v="1"/>
    <n v="1"/>
    <s v="Married"/>
    <n v="2307"/>
    <n v="14460"/>
    <n v="1"/>
    <s v="Y"/>
    <x v="0"/>
    <n v="23"/>
    <n v="4"/>
    <n v="2"/>
    <n v="80"/>
    <n v="1"/>
    <n v="5"/>
    <n v="2"/>
    <n v="3"/>
    <n v="5"/>
    <n v="2"/>
    <n v="3"/>
    <n v="0"/>
    <x v="1"/>
    <x v="1"/>
    <n v="1"/>
    <n v="1"/>
    <x v="2"/>
    <x v="1"/>
    <n v="90"/>
  </r>
  <r>
    <n v="56"/>
    <x v="0"/>
    <s v="Travel_Rarely"/>
    <n v="1162"/>
    <x v="1"/>
    <n v="24"/>
    <n v="2"/>
    <s v="Life Sciences"/>
    <n v="1"/>
    <n v="1907"/>
    <n v="1"/>
    <x v="1"/>
    <n v="97"/>
    <n v="3"/>
    <n v="1"/>
    <x v="2"/>
    <n v="4"/>
    <s v="Single"/>
    <n v="2587"/>
    <n v="10261"/>
    <n v="1"/>
    <s v="Y"/>
    <x v="1"/>
    <n v="16"/>
    <n v="3"/>
    <n v="4"/>
    <n v="80"/>
    <n v="0"/>
    <n v="5"/>
    <n v="3"/>
    <n v="3"/>
    <n v="4"/>
    <n v="2"/>
    <n v="1"/>
    <n v="0"/>
    <x v="3"/>
    <x v="1"/>
    <n v="1"/>
    <n v="0"/>
    <x v="0"/>
    <x v="0"/>
    <n v="41"/>
  </r>
  <r>
    <n v="36"/>
    <x v="1"/>
    <s v="Travel_Rarely"/>
    <n v="335"/>
    <x v="0"/>
    <n v="17"/>
    <n v="2"/>
    <s v="Marketing"/>
    <n v="1"/>
    <n v="1908"/>
    <n v="3"/>
    <x v="1"/>
    <n v="33"/>
    <n v="2"/>
    <n v="2"/>
    <x v="0"/>
    <n v="2"/>
    <s v="Married"/>
    <n v="5507"/>
    <n v="16822"/>
    <n v="2"/>
    <s v="Y"/>
    <x v="1"/>
    <n v="16"/>
    <n v="3"/>
    <n v="3"/>
    <n v="80"/>
    <n v="2"/>
    <n v="12"/>
    <n v="1"/>
    <n v="1"/>
    <n v="4"/>
    <n v="2"/>
    <n v="1"/>
    <n v="3"/>
    <x v="1"/>
    <x v="0"/>
    <n v="0"/>
    <n v="0"/>
    <x v="0"/>
    <x v="1"/>
    <n v="59"/>
  </r>
  <r>
    <n v="41"/>
    <x v="1"/>
    <s v="Travel_Rarely"/>
    <n v="337"/>
    <x v="0"/>
    <n v="8"/>
    <n v="3"/>
    <s v="Marketing"/>
    <n v="1"/>
    <n v="1909"/>
    <n v="3"/>
    <x v="0"/>
    <n v="54"/>
    <n v="3"/>
    <n v="2"/>
    <x v="0"/>
    <n v="2"/>
    <s v="Married"/>
    <n v="4393"/>
    <n v="26841"/>
    <n v="5"/>
    <s v="Y"/>
    <x v="1"/>
    <n v="21"/>
    <n v="4"/>
    <n v="3"/>
    <n v="80"/>
    <n v="1"/>
    <n v="14"/>
    <n v="3"/>
    <n v="3"/>
    <n v="5"/>
    <n v="4"/>
    <n v="1"/>
    <n v="4"/>
    <x v="0"/>
    <x v="1"/>
    <n v="0"/>
    <n v="0"/>
    <x v="3"/>
    <x v="0"/>
    <n v="49"/>
  </r>
  <r>
    <n v="42"/>
    <x v="1"/>
    <s v="Travel_Rarely"/>
    <n v="1396"/>
    <x v="1"/>
    <n v="6"/>
    <n v="3"/>
    <s v="Medical"/>
    <n v="1"/>
    <n v="1911"/>
    <n v="3"/>
    <x v="1"/>
    <n v="83"/>
    <n v="3"/>
    <n v="3"/>
    <x v="7"/>
    <n v="1"/>
    <s v="Married"/>
    <n v="13348"/>
    <n v="14842"/>
    <n v="9"/>
    <s v="Y"/>
    <x v="1"/>
    <n v="13"/>
    <n v="3"/>
    <n v="2"/>
    <n v="80"/>
    <n v="1"/>
    <n v="18"/>
    <n v="3"/>
    <n v="4"/>
    <n v="13"/>
    <n v="7"/>
    <n v="5"/>
    <n v="7"/>
    <x v="0"/>
    <x v="0"/>
    <n v="0"/>
    <n v="0"/>
    <x v="3"/>
    <x v="0"/>
    <n v="43"/>
  </r>
  <r>
    <n v="31"/>
    <x v="1"/>
    <s v="Travel_Rarely"/>
    <n v="1079"/>
    <x v="0"/>
    <n v="10"/>
    <n v="2"/>
    <s v="Medical"/>
    <n v="1"/>
    <n v="1912"/>
    <n v="3"/>
    <x v="0"/>
    <n v="86"/>
    <n v="3"/>
    <n v="2"/>
    <x v="0"/>
    <n v="4"/>
    <s v="Divorced"/>
    <n v="6583"/>
    <n v="20115"/>
    <n v="2"/>
    <s v="Y"/>
    <x v="0"/>
    <n v="11"/>
    <n v="3"/>
    <n v="4"/>
    <n v="80"/>
    <n v="1"/>
    <n v="8"/>
    <n v="2"/>
    <n v="3"/>
    <n v="5"/>
    <n v="2"/>
    <n v="1"/>
    <n v="4"/>
    <x v="1"/>
    <x v="0"/>
    <n v="0"/>
    <n v="1"/>
    <x v="0"/>
    <x v="1"/>
    <n v="71"/>
  </r>
  <r>
    <n v="34"/>
    <x v="1"/>
    <s v="Travel_Rarely"/>
    <n v="735"/>
    <x v="0"/>
    <n v="3"/>
    <n v="1"/>
    <s v="Medical"/>
    <n v="1"/>
    <n v="1915"/>
    <n v="4"/>
    <x v="0"/>
    <n v="75"/>
    <n v="2"/>
    <n v="2"/>
    <x v="0"/>
    <n v="4"/>
    <s v="Married"/>
    <n v="8103"/>
    <n v="16495"/>
    <n v="3"/>
    <s v="Y"/>
    <x v="0"/>
    <n v="12"/>
    <n v="3"/>
    <n v="3"/>
    <n v="80"/>
    <n v="0"/>
    <n v="9"/>
    <n v="3"/>
    <n v="2"/>
    <n v="4"/>
    <n v="2"/>
    <n v="0"/>
    <n v="1"/>
    <x v="1"/>
    <x v="0"/>
    <n v="0"/>
    <n v="1"/>
    <x v="1"/>
    <x v="1"/>
    <n v="71"/>
  </r>
  <r>
    <n v="31"/>
    <x v="1"/>
    <s v="Travel_Rarely"/>
    <n v="471"/>
    <x v="1"/>
    <n v="4"/>
    <n v="3"/>
    <s v="Medical"/>
    <n v="1"/>
    <n v="1916"/>
    <n v="1"/>
    <x v="0"/>
    <n v="62"/>
    <n v="4"/>
    <n v="1"/>
    <x v="2"/>
    <n v="3"/>
    <s v="Divorced"/>
    <n v="3978"/>
    <n v="16031"/>
    <n v="8"/>
    <s v="Y"/>
    <x v="1"/>
    <n v="12"/>
    <n v="3"/>
    <n v="2"/>
    <n v="80"/>
    <n v="1"/>
    <n v="4"/>
    <n v="0"/>
    <n v="2"/>
    <n v="2"/>
    <n v="2"/>
    <n v="2"/>
    <n v="2"/>
    <x v="1"/>
    <x v="1"/>
    <n v="0"/>
    <n v="0"/>
    <x v="3"/>
    <x v="1"/>
    <n v="63"/>
  </r>
  <r>
    <n v="26"/>
    <x v="1"/>
    <s v="Travel_Frequently"/>
    <n v="1096"/>
    <x v="1"/>
    <n v="6"/>
    <n v="3"/>
    <s v="Other"/>
    <n v="1"/>
    <n v="1918"/>
    <n v="3"/>
    <x v="1"/>
    <n v="61"/>
    <n v="4"/>
    <n v="1"/>
    <x v="2"/>
    <n v="4"/>
    <s v="Married"/>
    <n v="2544"/>
    <n v="7102"/>
    <n v="0"/>
    <s v="Y"/>
    <x v="1"/>
    <n v="18"/>
    <n v="3"/>
    <n v="1"/>
    <n v="80"/>
    <n v="1"/>
    <n v="8"/>
    <n v="3"/>
    <n v="3"/>
    <n v="7"/>
    <n v="7"/>
    <n v="7"/>
    <n v="7"/>
    <x v="2"/>
    <x v="1"/>
    <n v="0"/>
    <n v="0"/>
    <x v="3"/>
    <x v="0"/>
    <n v="49"/>
  </r>
  <r>
    <n v="45"/>
    <x v="1"/>
    <s v="Travel_Frequently"/>
    <n v="1297"/>
    <x v="1"/>
    <n v="1"/>
    <n v="4"/>
    <s v="Medical"/>
    <n v="1"/>
    <n v="1922"/>
    <n v="2"/>
    <x v="1"/>
    <n v="44"/>
    <n v="3"/>
    <n v="2"/>
    <x v="4"/>
    <n v="3"/>
    <s v="Single"/>
    <n v="5399"/>
    <n v="14511"/>
    <n v="4"/>
    <s v="Y"/>
    <x v="1"/>
    <n v="12"/>
    <n v="3"/>
    <n v="3"/>
    <n v="80"/>
    <n v="0"/>
    <n v="12"/>
    <n v="3"/>
    <n v="3"/>
    <n v="4"/>
    <n v="2"/>
    <n v="0"/>
    <n v="3"/>
    <x v="0"/>
    <x v="0"/>
    <n v="0"/>
    <n v="0"/>
    <x v="2"/>
    <x v="0"/>
    <n v="43"/>
  </r>
  <r>
    <n v="33"/>
    <x v="1"/>
    <s v="Travel_Rarely"/>
    <n v="217"/>
    <x v="0"/>
    <n v="10"/>
    <n v="4"/>
    <s v="Marketing"/>
    <n v="1"/>
    <n v="1924"/>
    <n v="2"/>
    <x v="1"/>
    <n v="43"/>
    <n v="3"/>
    <n v="2"/>
    <x v="0"/>
    <n v="3"/>
    <s v="Single"/>
    <n v="5487"/>
    <n v="10410"/>
    <n v="1"/>
    <s v="Y"/>
    <x v="1"/>
    <n v="14"/>
    <n v="3"/>
    <n v="2"/>
    <n v="80"/>
    <n v="0"/>
    <n v="10"/>
    <n v="2"/>
    <n v="2"/>
    <n v="10"/>
    <n v="4"/>
    <n v="0"/>
    <n v="9"/>
    <x v="1"/>
    <x v="0"/>
    <n v="0"/>
    <n v="0"/>
    <x v="2"/>
    <x v="0"/>
    <n v="46"/>
  </r>
  <r>
    <n v="28"/>
    <x v="1"/>
    <s v="Travel_Frequently"/>
    <n v="783"/>
    <x v="0"/>
    <n v="1"/>
    <n v="2"/>
    <s v="Life Sciences"/>
    <n v="1"/>
    <n v="1927"/>
    <n v="3"/>
    <x v="1"/>
    <n v="42"/>
    <n v="2"/>
    <n v="2"/>
    <x v="0"/>
    <n v="4"/>
    <s v="Married"/>
    <n v="6834"/>
    <n v="19255"/>
    <n v="1"/>
    <s v="Y"/>
    <x v="0"/>
    <n v="12"/>
    <n v="3"/>
    <n v="3"/>
    <n v="80"/>
    <n v="1"/>
    <n v="7"/>
    <n v="2"/>
    <n v="3"/>
    <n v="7"/>
    <n v="7"/>
    <n v="0"/>
    <n v="7"/>
    <x v="2"/>
    <x v="0"/>
    <n v="0"/>
    <n v="1"/>
    <x v="0"/>
    <x v="1"/>
    <n v="74"/>
  </r>
  <r>
    <n v="29"/>
    <x v="0"/>
    <s v="Travel_Frequently"/>
    <n v="746"/>
    <x v="0"/>
    <n v="24"/>
    <n v="3"/>
    <s v="Technical Degree"/>
    <n v="1"/>
    <n v="1928"/>
    <n v="3"/>
    <x v="1"/>
    <n v="45"/>
    <n v="4"/>
    <n v="1"/>
    <x v="6"/>
    <n v="1"/>
    <s v="Single"/>
    <n v="1091"/>
    <n v="10642"/>
    <n v="1"/>
    <s v="Y"/>
    <x v="1"/>
    <n v="17"/>
    <n v="3"/>
    <n v="4"/>
    <n v="80"/>
    <n v="0"/>
    <n v="1"/>
    <n v="3"/>
    <n v="3"/>
    <n v="1"/>
    <n v="0"/>
    <n v="0"/>
    <n v="0"/>
    <x v="2"/>
    <x v="1"/>
    <n v="1"/>
    <n v="0"/>
    <x v="3"/>
    <x v="1"/>
    <n v="85"/>
  </r>
  <r>
    <n v="39"/>
    <x v="1"/>
    <s v="Non-Travel"/>
    <n v="1251"/>
    <x v="0"/>
    <n v="21"/>
    <n v="4"/>
    <s v="Life Sciences"/>
    <n v="1"/>
    <n v="1929"/>
    <n v="1"/>
    <x v="0"/>
    <n v="32"/>
    <n v="1"/>
    <n v="2"/>
    <x v="0"/>
    <n v="3"/>
    <s v="Married"/>
    <n v="5736"/>
    <n v="3987"/>
    <n v="6"/>
    <s v="Y"/>
    <x v="1"/>
    <n v="19"/>
    <n v="3"/>
    <n v="3"/>
    <n v="80"/>
    <n v="1"/>
    <n v="10"/>
    <n v="1"/>
    <n v="3"/>
    <n v="3"/>
    <n v="2"/>
    <n v="1"/>
    <n v="2"/>
    <x v="1"/>
    <x v="0"/>
    <n v="0"/>
    <n v="0"/>
    <x v="2"/>
    <x v="0"/>
    <n v="53"/>
  </r>
  <r>
    <n v="27"/>
    <x v="1"/>
    <s v="Travel_Rarely"/>
    <n v="1354"/>
    <x v="1"/>
    <n v="2"/>
    <n v="4"/>
    <s v="Technical Degree"/>
    <n v="1"/>
    <n v="1931"/>
    <n v="2"/>
    <x v="1"/>
    <n v="41"/>
    <n v="3"/>
    <n v="1"/>
    <x v="1"/>
    <n v="2"/>
    <s v="Married"/>
    <n v="2226"/>
    <n v="6073"/>
    <n v="1"/>
    <s v="Y"/>
    <x v="1"/>
    <n v="11"/>
    <n v="3"/>
    <n v="3"/>
    <n v="80"/>
    <n v="1"/>
    <n v="6"/>
    <n v="3"/>
    <n v="2"/>
    <n v="5"/>
    <n v="3"/>
    <n v="1"/>
    <n v="2"/>
    <x v="2"/>
    <x v="1"/>
    <n v="0"/>
    <n v="0"/>
    <x v="2"/>
    <x v="1"/>
    <n v="69"/>
  </r>
  <r>
    <n v="34"/>
    <x v="1"/>
    <s v="Travel_Frequently"/>
    <n v="735"/>
    <x v="1"/>
    <n v="22"/>
    <n v="4"/>
    <s v="Other"/>
    <n v="1"/>
    <n v="1932"/>
    <n v="3"/>
    <x v="1"/>
    <n v="86"/>
    <n v="2"/>
    <n v="2"/>
    <x v="1"/>
    <n v="4"/>
    <s v="Married"/>
    <n v="5747"/>
    <n v="26496"/>
    <n v="1"/>
    <s v="Y"/>
    <x v="0"/>
    <n v="15"/>
    <n v="3"/>
    <n v="2"/>
    <n v="80"/>
    <n v="0"/>
    <n v="16"/>
    <n v="3"/>
    <n v="3"/>
    <n v="15"/>
    <n v="10"/>
    <n v="6"/>
    <n v="11"/>
    <x v="1"/>
    <x v="0"/>
    <n v="0"/>
    <n v="1"/>
    <x v="2"/>
    <x v="1"/>
    <n v="59"/>
  </r>
  <r>
    <n v="28"/>
    <x v="0"/>
    <s v="Travel_Rarely"/>
    <n v="1475"/>
    <x v="0"/>
    <n v="13"/>
    <n v="2"/>
    <s v="Marketing"/>
    <n v="1"/>
    <n v="1933"/>
    <n v="4"/>
    <x v="0"/>
    <n v="84"/>
    <n v="3"/>
    <n v="2"/>
    <x v="0"/>
    <n v="3"/>
    <s v="Single"/>
    <n v="9854"/>
    <n v="23352"/>
    <n v="3"/>
    <s v="Y"/>
    <x v="0"/>
    <n v="11"/>
    <n v="3"/>
    <n v="4"/>
    <n v="80"/>
    <n v="0"/>
    <n v="6"/>
    <n v="0"/>
    <n v="3"/>
    <n v="2"/>
    <n v="0"/>
    <n v="2"/>
    <n v="2"/>
    <x v="2"/>
    <x v="0"/>
    <n v="1"/>
    <n v="1"/>
    <x v="0"/>
    <x v="1"/>
    <n v="98"/>
  </r>
  <r>
    <n v="47"/>
    <x v="1"/>
    <s v="Non-Travel"/>
    <n v="1169"/>
    <x v="1"/>
    <n v="14"/>
    <n v="4"/>
    <s v="Technical Degree"/>
    <n v="1"/>
    <n v="1934"/>
    <n v="3"/>
    <x v="1"/>
    <n v="64"/>
    <n v="3"/>
    <n v="2"/>
    <x v="1"/>
    <n v="2"/>
    <s v="Married"/>
    <n v="5467"/>
    <n v="2125"/>
    <n v="8"/>
    <s v="Y"/>
    <x v="1"/>
    <n v="18"/>
    <n v="3"/>
    <n v="3"/>
    <n v="80"/>
    <n v="1"/>
    <n v="16"/>
    <n v="4"/>
    <n v="4"/>
    <n v="8"/>
    <n v="7"/>
    <n v="1"/>
    <n v="7"/>
    <x v="0"/>
    <x v="0"/>
    <n v="0"/>
    <n v="0"/>
    <x v="2"/>
    <x v="0"/>
    <n v="42"/>
  </r>
  <r>
    <n v="56"/>
    <x v="1"/>
    <s v="Travel_Rarely"/>
    <n v="1443"/>
    <x v="0"/>
    <n v="11"/>
    <n v="5"/>
    <s v="Marketing"/>
    <n v="1"/>
    <n v="1935"/>
    <n v="4"/>
    <x v="0"/>
    <n v="89"/>
    <n v="2"/>
    <n v="2"/>
    <x v="0"/>
    <n v="1"/>
    <s v="Married"/>
    <n v="5380"/>
    <n v="20328"/>
    <n v="4"/>
    <s v="Y"/>
    <x v="1"/>
    <n v="16"/>
    <n v="3"/>
    <n v="3"/>
    <n v="80"/>
    <n v="1"/>
    <n v="6"/>
    <n v="3"/>
    <n v="3"/>
    <n v="0"/>
    <n v="0"/>
    <n v="0"/>
    <n v="0"/>
    <x v="3"/>
    <x v="0"/>
    <n v="0"/>
    <n v="0"/>
    <x v="4"/>
    <x v="1"/>
    <n v="70"/>
  </r>
  <r>
    <n v="39"/>
    <x v="1"/>
    <s v="Travel_Rarely"/>
    <n v="867"/>
    <x v="1"/>
    <n v="9"/>
    <n v="2"/>
    <s v="Medical"/>
    <n v="1"/>
    <n v="1936"/>
    <n v="1"/>
    <x v="1"/>
    <n v="87"/>
    <n v="3"/>
    <n v="2"/>
    <x v="3"/>
    <n v="1"/>
    <s v="Married"/>
    <n v="5151"/>
    <n v="12315"/>
    <n v="1"/>
    <s v="Y"/>
    <x v="1"/>
    <n v="25"/>
    <n v="4"/>
    <n v="4"/>
    <n v="80"/>
    <n v="1"/>
    <n v="10"/>
    <n v="3"/>
    <n v="3"/>
    <n v="10"/>
    <n v="0"/>
    <n v="7"/>
    <n v="9"/>
    <x v="1"/>
    <x v="0"/>
    <n v="0"/>
    <n v="0"/>
    <x v="0"/>
    <x v="1"/>
    <n v="58"/>
  </r>
  <r>
    <n v="38"/>
    <x v="1"/>
    <s v="Travel_Frequently"/>
    <n v="1394"/>
    <x v="1"/>
    <n v="8"/>
    <n v="3"/>
    <s v="Medical"/>
    <n v="1"/>
    <n v="1937"/>
    <n v="4"/>
    <x v="0"/>
    <n v="58"/>
    <n v="2"/>
    <n v="2"/>
    <x v="1"/>
    <n v="2"/>
    <s v="Divorced"/>
    <n v="2133"/>
    <n v="18115"/>
    <n v="1"/>
    <s v="Y"/>
    <x v="0"/>
    <n v="16"/>
    <n v="3"/>
    <n v="3"/>
    <n v="80"/>
    <n v="1"/>
    <n v="20"/>
    <n v="3"/>
    <n v="3"/>
    <n v="20"/>
    <n v="11"/>
    <n v="0"/>
    <n v="7"/>
    <x v="1"/>
    <x v="1"/>
    <n v="0"/>
    <n v="1"/>
    <x v="3"/>
    <x v="1"/>
    <n v="72"/>
  </r>
  <r>
    <n v="58"/>
    <x v="1"/>
    <s v="Travel_Rarely"/>
    <n v="605"/>
    <x v="0"/>
    <n v="21"/>
    <n v="3"/>
    <s v="Life Sciences"/>
    <n v="1"/>
    <n v="1938"/>
    <n v="4"/>
    <x v="0"/>
    <n v="72"/>
    <n v="3"/>
    <n v="4"/>
    <x v="5"/>
    <n v="4"/>
    <s v="Married"/>
    <n v="17875"/>
    <n v="11761"/>
    <n v="4"/>
    <s v="Y"/>
    <x v="0"/>
    <n v="13"/>
    <n v="3"/>
    <n v="3"/>
    <n v="80"/>
    <n v="1"/>
    <n v="29"/>
    <n v="2"/>
    <n v="2"/>
    <n v="1"/>
    <n v="0"/>
    <n v="0"/>
    <n v="0"/>
    <x v="3"/>
    <x v="2"/>
    <n v="0"/>
    <n v="1"/>
    <x v="3"/>
    <x v="1"/>
    <n v="76"/>
  </r>
  <r>
    <n v="32"/>
    <x v="0"/>
    <s v="Travel_Frequently"/>
    <n v="238"/>
    <x v="1"/>
    <n v="5"/>
    <n v="2"/>
    <s v="Life Sciences"/>
    <n v="1"/>
    <n v="1939"/>
    <n v="1"/>
    <x v="0"/>
    <n v="47"/>
    <n v="4"/>
    <n v="1"/>
    <x v="1"/>
    <n v="3"/>
    <s v="Single"/>
    <n v="2432"/>
    <n v="15318"/>
    <n v="3"/>
    <s v="Y"/>
    <x v="0"/>
    <n v="14"/>
    <n v="3"/>
    <n v="1"/>
    <n v="80"/>
    <n v="0"/>
    <n v="8"/>
    <n v="2"/>
    <n v="3"/>
    <n v="4"/>
    <n v="1"/>
    <n v="0"/>
    <n v="3"/>
    <x v="1"/>
    <x v="1"/>
    <n v="1"/>
    <n v="1"/>
    <x v="0"/>
    <x v="1"/>
    <n v="78"/>
  </r>
  <r>
    <n v="38"/>
    <x v="1"/>
    <s v="Travel_Rarely"/>
    <n v="1206"/>
    <x v="1"/>
    <n v="9"/>
    <n v="2"/>
    <s v="Life Sciences"/>
    <n v="1"/>
    <n v="1940"/>
    <n v="2"/>
    <x v="1"/>
    <n v="71"/>
    <n v="3"/>
    <n v="1"/>
    <x v="1"/>
    <n v="4"/>
    <s v="Divorced"/>
    <n v="4771"/>
    <n v="14293"/>
    <n v="2"/>
    <s v="Y"/>
    <x v="1"/>
    <n v="19"/>
    <n v="3"/>
    <n v="4"/>
    <n v="80"/>
    <n v="2"/>
    <n v="10"/>
    <n v="0"/>
    <n v="4"/>
    <n v="5"/>
    <n v="2"/>
    <n v="0"/>
    <n v="3"/>
    <x v="1"/>
    <x v="1"/>
    <n v="0"/>
    <n v="0"/>
    <x v="0"/>
    <x v="0"/>
    <n v="46"/>
  </r>
  <r>
    <n v="49"/>
    <x v="1"/>
    <s v="Travel_Frequently"/>
    <n v="1064"/>
    <x v="1"/>
    <n v="2"/>
    <n v="1"/>
    <s v="Life Sciences"/>
    <n v="1"/>
    <n v="1941"/>
    <n v="2"/>
    <x v="1"/>
    <n v="42"/>
    <n v="3"/>
    <n v="5"/>
    <x v="7"/>
    <n v="4"/>
    <s v="Married"/>
    <n v="19161"/>
    <n v="13738"/>
    <n v="3"/>
    <s v="Y"/>
    <x v="1"/>
    <n v="15"/>
    <n v="3"/>
    <n v="4"/>
    <n v="80"/>
    <n v="0"/>
    <n v="28"/>
    <n v="3"/>
    <n v="3"/>
    <n v="5"/>
    <n v="4"/>
    <n v="4"/>
    <n v="3"/>
    <x v="0"/>
    <x v="2"/>
    <n v="0"/>
    <n v="0"/>
    <x v="1"/>
    <x v="0"/>
    <n v="36"/>
  </r>
  <r>
    <n v="42"/>
    <x v="1"/>
    <s v="Travel_Rarely"/>
    <n v="419"/>
    <x v="0"/>
    <n v="12"/>
    <n v="4"/>
    <s v="Marketing"/>
    <n v="1"/>
    <n v="1943"/>
    <n v="2"/>
    <x v="1"/>
    <n v="77"/>
    <n v="3"/>
    <n v="2"/>
    <x v="0"/>
    <n v="4"/>
    <s v="Divorced"/>
    <n v="5087"/>
    <n v="2900"/>
    <n v="3"/>
    <s v="Y"/>
    <x v="0"/>
    <n v="12"/>
    <n v="3"/>
    <n v="3"/>
    <n v="80"/>
    <n v="2"/>
    <n v="14"/>
    <n v="4"/>
    <n v="3"/>
    <n v="0"/>
    <n v="0"/>
    <n v="0"/>
    <n v="0"/>
    <x v="0"/>
    <x v="0"/>
    <n v="0"/>
    <n v="1"/>
    <x v="2"/>
    <x v="1"/>
    <n v="71"/>
  </r>
  <r>
    <n v="27"/>
    <x v="0"/>
    <s v="Travel_Frequently"/>
    <n v="1337"/>
    <x v="2"/>
    <n v="22"/>
    <n v="3"/>
    <s v="Human Resources"/>
    <n v="1"/>
    <n v="1944"/>
    <n v="1"/>
    <x v="0"/>
    <n v="58"/>
    <n v="2"/>
    <n v="1"/>
    <x v="8"/>
    <n v="2"/>
    <s v="Married"/>
    <n v="2863"/>
    <n v="19555"/>
    <n v="1"/>
    <s v="Y"/>
    <x v="1"/>
    <n v="12"/>
    <n v="3"/>
    <n v="1"/>
    <n v="80"/>
    <n v="0"/>
    <n v="1"/>
    <n v="2"/>
    <n v="3"/>
    <n v="1"/>
    <n v="0"/>
    <n v="0"/>
    <n v="0"/>
    <x v="2"/>
    <x v="1"/>
    <n v="1"/>
    <n v="0"/>
    <x v="3"/>
    <x v="1"/>
    <n v="79"/>
  </r>
  <r>
    <n v="35"/>
    <x v="1"/>
    <s v="Travel_Rarely"/>
    <n v="682"/>
    <x v="0"/>
    <n v="18"/>
    <n v="4"/>
    <s v="Medical"/>
    <n v="1"/>
    <n v="1945"/>
    <n v="2"/>
    <x v="1"/>
    <n v="71"/>
    <n v="3"/>
    <n v="2"/>
    <x v="0"/>
    <n v="1"/>
    <s v="Married"/>
    <n v="5561"/>
    <n v="15975"/>
    <n v="0"/>
    <s v="Y"/>
    <x v="1"/>
    <n v="16"/>
    <n v="3"/>
    <n v="4"/>
    <n v="80"/>
    <n v="1"/>
    <n v="6"/>
    <n v="2"/>
    <n v="1"/>
    <n v="5"/>
    <n v="3"/>
    <n v="0"/>
    <n v="4"/>
    <x v="1"/>
    <x v="0"/>
    <n v="0"/>
    <n v="0"/>
    <x v="2"/>
    <x v="1"/>
    <n v="65"/>
  </r>
  <r>
    <n v="28"/>
    <x v="1"/>
    <s v="Non-Travel"/>
    <n v="1103"/>
    <x v="1"/>
    <n v="16"/>
    <n v="3"/>
    <s v="Medical"/>
    <n v="1"/>
    <n v="1947"/>
    <n v="3"/>
    <x v="1"/>
    <n v="49"/>
    <n v="3"/>
    <n v="1"/>
    <x v="1"/>
    <n v="3"/>
    <s v="Single"/>
    <n v="2144"/>
    <n v="2122"/>
    <n v="1"/>
    <s v="Y"/>
    <x v="1"/>
    <n v="14"/>
    <n v="3"/>
    <n v="3"/>
    <n v="80"/>
    <n v="0"/>
    <n v="5"/>
    <n v="3"/>
    <n v="2"/>
    <n v="5"/>
    <n v="3"/>
    <n v="1"/>
    <n v="4"/>
    <x v="2"/>
    <x v="1"/>
    <n v="0"/>
    <n v="0"/>
    <x v="3"/>
    <x v="1"/>
    <n v="63"/>
  </r>
  <r>
    <n v="31"/>
    <x v="1"/>
    <s v="Non-Travel"/>
    <n v="976"/>
    <x v="1"/>
    <n v="3"/>
    <n v="2"/>
    <s v="Medical"/>
    <n v="1"/>
    <n v="1948"/>
    <n v="3"/>
    <x v="1"/>
    <n v="48"/>
    <n v="3"/>
    <n v="1"/>
    <x v="1"/>
    <n v="1"/>
    <s v="Divorced"/>
    <n v="3065"/>
    <n v="3995"/>
    <n v="1"/>
    <s v="Y"/>
    <x v="0"/>
    <n v="13"/>
    <n v="3"/>
    <n v="4"/>
    <n v="80"/>
    <n v="1"/>
    <n v="4"/>
    <n v="3"/>
    <n v="4"/>
    <n v="4"/>
    <n v="2"/>
    <n v="2"/>
    <n v="3"/>
    <x v="1"/>
    <x v="1"/>
    <n v="0"/>
    <n v="1"/>
    <x v="0"/>
    <x v="1"/>
    <n v="90"/>
  </r>
  <r>
    <n v="36"/>
    <x v="1"/>
    <s v="Non-Travel"/>
    <n v="1351"/>
    <x v="1"/>
    <n v="9"/>
    <n v="4"/>
    <s v="Life Sciences"/>
    <n v="1"/>
    <n v="1949"/>
    <n v="1"/>
    <x v="1"/>
    <n v="66"/>
    <n v="4"/>
    <n v="1"/>
    <x v="2"/>
    <n v="2"/>
    <s v="Married"/>
    <n v="2810"/>
    <n v="9238"/>
    <n v="1"/>
    <s v="Y"/>
    <x v="1"/>
    <n v="22"/>
    <n v="4"/>
    <n v="2"/>
    <n v="80"/>
    <n v="0"/>
    <n v="5"/>
    <n v="3"/>
    <n v="3"/>
    <n v="5"/>
    <n v="4"/>
    <n v="0"/>
    <n v="2"/>
    <x v="1"/>
    <x v="1"/>
    <n v="0"/>
    <n v="0"/>
    <x v="2"/>
    <x v="1"/>
    <n v="59"/>
  </r>
  <r>
    <n v="34"/>
    <x v="1"/>
    <s v="Travel_Rarely"/>
    <n v="937"/>
    <x v="0"/>
    <n v="1"/>
    <n v="3"/>
    <s v="Marketing"/>
    <n v="1"/>
    <n v="1950"/>
    <n v="1"/>
    <x v="1"/>
    <n v="32"/>
    <n v="3"/>
    <n v="3"/>
    <x v="0"/>
    <n v="4"/>
    <s v="Single"/>
    <n v="9888"/>
    <n v="6770"/>
    <n v="1"/>
    <s v="Y"/>
    <x v="1"/>
    <n v="21"/>
    <n v="4"/>
    <n v="1"/>
    <n v="80"/>
    <n v="0"/>
    <n v="14"/>
    <n v="3"/>
    <n v="2"/>
    <n v="14"/>
    <n v="8"/>
    <n v="2"/>
    <n v="1"/>
    <x v="1"/>
    <x v="0"/>
    <n v="0"/>
    <n v="0"/>
    <x v="3"/>
    <x v="2"/>
    <n v="34"/>
  </r>
  <r>
    <n v="34"/>
    <x v="1"/>
    <s v="Travel_Rarely"/>
    <n v="1239"/>
    <x v="0"/>
    <n v="13"/>
    <n v="4"/>
    <s v="Medical"/>
    <n v="1"/>
    <n v="1951"/>
    <n v="4"/>
    <x v="1"/>
    <n v="39"/>
    <n v="3"/>
    <n v="3"/>
    <x v="0"/>
    <n v="3"/>
    <s v="Divorced"/>
    <n v="8628"/>
    <n v="22914"/>
    <n v="1"/>
    <s v="Y"/>
    <x v="1"/>
    <n v="18"/>
    <n v="3"/>
    <n v="3"/>
    <n v="80"/>
    <n v="1"/>
    <n v="9"/>
    <n v="2"/>
    <n v="2"/>
    <n v="8"/>
    <n v="7"/>
    <n v="1"/>
    <n v="1"/>
    <x v="1"/>
    <x v="0"/>
    <n v="0"/>
    <n v="0"/>
    <x v="2"/>
    <x v="0"/>
    <n v="46"/>
  </r>
  <r>
    <n v="26"/>
    <x v="1"/>
    <s v="Travel_Rarely"/>
    <n v="157"/>
    <x v="1"/>
    <n v="1"/>
    <n v="3"/>
    <s v="Medical"/>
    <n v="1"/>
    <n v="1952"/>
    <n v="3"/>
    <x v="1"/>
    <n v="95"/>
    <n v="3"/>
    <n v="1"/>
    <x v="2"/>
    <n v="1"/>
    <s v="Single"/>
    <n v="2867"/>
    <n v="20006"/>
    <n v="0"/>
    <s v="Y"/>
    <x v="1"/>
    <n v="13"/>
    <n v="3"/>
    <n v="4"/>
    <n v="80"/>
    <n v="0"/>
    <n v="8"/>
    <n v="6"/>
    <n v="2"/>
    <n v="7"/>
    <n v="7"/>
    <n v="7"/>
    <n v="6"/>
    <x v="2"/>
    <x v="1"/>
    <n v="0"/>
    <n v="0"/>
    <x v="3"/>
    <x v="1"/>
    <n v="68"/>
  </r>
  <r>
    <n v="29"/>
    <x v="1"/>
    <s v="Travel_Rarely"/>
    <n v="136"/>
    <x v="1"/>
    <n v="1"/>
    <n v="3"/>
    <s v="Life Sciences"/>
    <n v="1"/>
    <n v="1954"/>
    <n v="1"/>
    <x v="1"/>
    <n v="89"/>
    <n v="3"/>
    <n v="2"/>
    <x v="4"/>
    <n v="1"/>
    <s v="Married"/>
    <n v="5373"/>
    <n v="6225"/>
    <n v="0"/>
    <s v="Y"/>
    <x v="1"/>
    <n v="12"/>
    <n v="3"/>
    <n v="1"/>
    <n v="80"/>
    <n v="1"/>
    <n v="6"/>
    <n v="5"/>
    <n v="2"/>
    <n v="5"/>
    <n v="3"/>
    <n v="0"/>
    <n v="2"/>
    <x v="2"/>
    <x v="0"/>
    <n v="0"/>
    <n v="0"/>
    <x v="3"/>
    <x v="1"/>
    <n v="75"/>
  </r>
  <r>
    <n v="32"/>
    <x v="1"/>
    <s v="Non-Travel"/>
    <n v="1146"/>
    <x v="1"/>
    <n v="15"/>
    <n v="4"/>
    <s v="Medical"/>
    <n v="1"/>
    <n v="1955"/>
    <n v="3"/>
    <x v="0"/>
    <n v="34"/>
    <n v="3"/>
    <n v="2"/>
    <x v="4"/>
    <n v="4"/>
    <s v="Divorced"/>
    <n v="6667"/>
    <n v="16542"/>
    <n v="5"/>
    <s v="Y"/>
    <x v="1"/>
    <n v="18"/>
    <n v="3"/>
    <n v="2"/>
    <n v="80"/>
    <n v="1"/>
    <n v="9"/>
    <n v="6"/>
    <n v="3"/>
    <n v="5"/>
    <n v="1"/>
    <n v="1"/>
    <n v="2"/>
    <x v="1"/>
    <x v="0"/>
    <n v="0"/>
    <n v="0"/>
    <x v="2"/>
    <x v="0"/>
    <n v="46"/>
  </r>
  <r>
    <n v="31"/>
    <x v="1"/>
    <s v="Travel_Frequently"/>
    <n v="1125"/>
    <x v="1"/>
    <n v="1"/>
    <n v="3"/>
    <s v="Life Sciences"/>
    <n v="1"/>
    <n v="1956"/>
    <n v="4"/>
    <x v="1"/>
    <n v="48"/>
    <n v="1"/>
    <n v="2"/>
    <x v="1"/>
    <n v="1"/>
    <s v="Married"/>
    <n v="5003"/>
    <n v="5771"/>
    <n v="1"/>
    <s v="Y"/>
    <x v="1"/>
    <n v="21"/>
    <n v="4"/>
    <n v="2"/>
    <n v="80"/>
    <n v="0"/>
    <n v="10"/>
    <n v="6"/>
    <n v="3"/>
    <n v="10"/>
    <n v="8"/>
    <n v="8"/>
    <n v="7"/>
    <x v="1"/>
    <x v="0"/>
    <n v="0"/>
    <n v="0"/>
    <x v="3"/>
    <x v="1"/>
    <n v="58"/>
  </r>
  <r>
    <n v="28"/>
    <x v="0"/>
    <s v="Travel_Rarely"/>
    <n v="1404"/>
    <x v="1"/>
    <n v="17"/>
    <n v="3"/>
    <s v="Technical Degree"/>
    <n v="1"/>
    <n v="1960"/>
    <n v="3"/>
    <x v="1"/>
    <n v="32"/>
    <n v="2"/>
    <n v="1"/>
    <x v="2"/>
    <n v="4"/>
    <s v="Divorced"/>
    <n v="2367"/>
    <n v="18779"/>
    <n v="5"/>
    <s v="Y"/>
    <x v="1"/>
    <n v="12"/>
    <n v="3"/>
    <n v="1"/>
    <n v="80"/>
    <n v="1"/>
    <n v="6"/>
    <n v="2"/>
    <n v="2"/>
    <n v="4"/>
    <n v="1"/>
    <n v="0"/>
    <n v="3"/>
    <x v="2"/>
    <x v="1"/>
    <n v="1"/>
    <n v="0"/>
    <x v="3"/>
    <x v="1"/>
    <n v="56"/>
  </r>
  <r>
    <n v="38"/>
    <x v="1"/>
    <s v="Travel_Rarely"/>
    <n v="1404"/>
    <x v="0"/>
    <n v="1"/>
    <n v="3"/>
    <s v="Life Sciences"/>
    <n v="1"/>
    <n v="1961"/>
    <n v="1"/>
    <x v="1"/>
    <n v="59"/>
    <n v="2"/>
    <n v="1"/>
    <x v="6"/>
    <n v="1"/>
    <s v="Single"/>
    <n v="2858"/>
    <n v="11473"/>
    <n v="4"/>
    <s v="Y"/>
    <x v="1"/>
    <n v="14"/>
    <n v="3"/>
    <n v="1"/>
    <n v="80"/>
    <n v="0"/>
    <n v="20"/>
    <n v="3"/>
    <n v="2"/>
    <n v="1"/>
    <n v="0"/>
    <n v="0"/>
    <n v="0"/>
    <x v="1"/>
    <x v="1"/>
    <n v="0"/>
    <n v="0"/>
    <x v="3"/>
    <x v="1"/>
    <n v="75"/>
  </r>
  <r>
    <n v="35"/>
    <x v="1"/>
    <s v="Travel_Rarely"/>
    <n v="1224"/>
    <x v="0"/>
    <n v="7"/>
    <n v="4"/>
    <s v="Life Sciences"/>
    <n v="1"/>
    <n v="1962"/>
    <n v="3"/>
    <x v="0"/>
    <n v="55"/>
    <n v="3"/>
    <n v="2"/>
    <x v="0"/>
    <n v="4"/>
    <s v="Married"/>
    <n v="5204"/>
    <n v="13586"/>
    <n v="1"/>
    <s v="Y"/>
    <x v="0"/>
    <n v="11"/>
    <n v="3"/>
    <n v="4"/>
    <n v="80"/>
    <n v="0"/>
    <n v="10"/>
    <n v="2"/>
    <n v="3"/>
    <n v="10"/>
    <n v="8"/>
    <n v="0"/>
    <n v="9"/>
    <x v="1"/>
    <x v="0"/>
    <n v="0"/>
    <n v="1"/>
    <x v="2"/>
    <x v="1"/>
    <n v="64"/>
  </r>
  <r>
    <n v="27"/>
    <x v="1"/>
    <s v="Travel_Rarely"/>
    <n v="954"/>
    <x v="0"/>
    <n v="9"/>
    <n v="3"/>
    <s v="Marketing"/>
    <n v="1"/>
    <n v="1965"/>
    <n v="4"/>
    <x v="1"/>
    <n v="44"/>
    <n v="3"/>
    <n v="2"/>
    <x v="0"/>
    <n v="4"/>
    <s v="Single"/>
    <n v="4105"/>
    <n v="5099"/>
    <n v="1"/>
    <s v="Y"/>
    <x v="1"/>
    <n v="14"/>
    <n v="3"/>
    <n v="1"/>
    <n v="80"/>
    <n v="0"/>
    <n v="7"/>
    <n v="5"/>
    <n v="3"/>
    <n v="7"/>
    <n v="7"/>
    <n v="0"/>
    <n v="7"/>
    <x v="2"/>
    <x v="1"/>
    <n v="0"/>
    <n v="0"/>
    <x v="3"/>
    <x v="0"/>
    <n v="49"/>
  </r>
  <r>
    <n v="32"/>
    <x v="1"/>
    <s v="Travel_Rarely"/>
    <n v="1373"/>
    <x v="1"/>
    <n v="5"/>
    <n v="4"/>
    <s v="Life Sciences"/>
    <n v="1"/>
    <n v="1966"/>
    <n v="4"/>
    <x v="1"/>
    <n v="56"/>
    <n v="2"/>
    <n v="2"/>
    <x v="3"/>
    <n v="4"/>
    <s v="Single"/>
    <n v="9679"/>
    <n v="10138"/>
    <n v="8"/>
    <s v="Y"/>
    <x v="1"/>
    <n v="24"/>
    <n v="4"/>
    <n v="2"/>
    <n v="80"/>
    <n v="0"/>
    <n v="8"/>
    <n v="1"/>
    <n v="3"/>
    <n v="1"/>
    <n v="0"/>
    <n v="0"/>
    <n v="0"/>
    <x v="1"/>
    <x v="0"/>
    <n v="0"/>
    <n v="0"/>
    <x v="2"/>
    <x v="1"/>
    <n v="56"/>
  </r>
  <r>
    <n v="31"/>
    <x v="0"/>
    <s v="Travel_Frequently"/>
    <n v="754"/>
    <x v="0"/>
    <n v="26"/>
    <n v="4"/>
    <s v="Marketing"/>
    <n v="1"/>
    <n v="1967"/>
    <n v="1"/>
    <x v="1"/>
    <n v="63"/>
    <n v="3"/>
    <n v="2"/>
    <x v="0"/>
    <n v="4"/>
    <s v="Married"/>
    <n v="5617"/>
    <n v="21075"/>
    <n v="1"/>
    <s v="Y"/>
    <x v="0"/>
    <n v="11"/>
    <n v="3"/>
    <n v="3"/>
    <n v="80"/>
    <n v="0"/>
    <n v="10"/>
    <n v="4"/>
    <n v="3"/>
    <n v="10"/>
    <n v="7"/>
    <n v="0"/>
    <n v="8"/>
    <x v="1"/>
    <x v="0"/>
    <n v="1"/>
    <n v="1"/>
    <x v="2"/>
    <x v="1"/>
    <n v="64"/>
  </r>
  <r>
    <n v="53"/>
    <x v="0"/>
    <s v="Travel_Rarely"/>
    <n v="1168"/>
    <x v="0"/>
    <n v="24"/>
    <n v="4"/>
    <s v="Life Sciences"/>
    <n v="1"/>
    <n v="1968"/>
    <n v="1"/>
    <x v="1"/>
    <n v="66"/>
    <n v="3"/>
    <n v="3"/>
    <x v="0"/>
    <n v="1"/>
    <s v="Single"/>
    <n v="10448"/>
    <n v="5843"/>
    <n v="6"/>
    <s v="Y"/>
    <x v="0"/>
    <n v="13"/>
    <n v="3"/>
    <n v="2"/>
    <n v="80"/>
    <n v="0"/>
    <n v="15"/>
    <n v="2"/>
    <n v="2"/>
    <n v="2"/>
    <n v="2"/>
    <n v="2"/>
    <n v="2"/>
    <x v="3"/>
    <x v="0"/>
    <n v="1"/>
    <n v="1"/>
    <x v="2"/>
    <x v="1"/>
    <n v="95"/>
  </r>
  <r>
    <n v="54"/>
    <x v="1"/>
    <s v="Travel_Rarely"/>
    <n v="155"/>
    <x v="1"/>
    <n v="9"/>
    <n v="2"/>
    <s v="Life Sciences"/>
    <n v="1"/>
    <n v="1969"/>
    <n v="1"/>
    <x v="0"/>
    <n v="67"/>
    <n v="3"/>
    <n v="2"/>
    <x v="1"/>
    <n v="3"/>
    <s v="Married"/>
    <n v="2897"/>
    <n v="22474"/>
    <n v="3"/>
    <s v="Y"/>
    <x v="1"/>
    <n v="11"/>
    <n v="3"/>
    <n v="3"/>
    <n v="80"/>
    <n v="2"/>
    <n v="9"/>
    <n v="6"/>
    <n v="2"/>
    <n v="4"/>
    <n v="3"/>
    <n v="2"/>
    <n v="3"/>
    <x v="3"/>
    <x v="1"/>
    <n v="0"/>
    <n v="0"/>
    <x v="0"/>
    <x v="0"/>
    <n v="48"/>
  </r>
  <r>
    <n v="33"/>
    <x v="1"/>
    <s v="Travel_Frequently"/>
    <n v="1303"/>
    <x v="1"/>
    <n v="7"/>
    <n v="2"/>
    <s v="Life Sciences"/>
    <n v="1"/>
    <n v="1970"/>
    <n v="4"/>
    <x v="1"/>
    <n v="36"/>
    <n v="3"/>
    <n v="2"/>
    <x v="4"/>
    <n v="3"/>
    <s v="Divorced"/>
    <n v="5968"/>
    <n v="18079"/>
    <n v="1"/>
    <s v="Y"/>
    <x v="1"/>
    <n v="20"/>
    <n v="4"/>
    <n v="3"/>
    <n v="80"/>
    <n v="3"/>
    <n v="9"/>
    <n v="2"/>
    <n v="3"/>
    <n v="9"/>
    <n v="7"/>
    <n v="2"/>
    <n v="8"/>
    <x v="1"/>
    <x v="0"/>
    <n v="0"/>
    <n v="0"/>
    <x v="0"/>
    <x v="0"/>
    <n v="46"/>
  </r>
  <r>
    <n v="43"/>
    <x v="1"/>
    <s v="Travel_Rarely"/>
    <n v="574"/>
    <x v="1"/>
    <n v="11"/>
    <n v="3"/>
    <s v="Life Sciences"/>
    <n v="1"/>
    <n v="1971"/>
    <n v="1"/>
    <x v="1"/>
    <n v="30"/>
    <n v="3"/>
    <n v="3"/>
    <x v="4"/>
    <n v="3"/>
    <s v="Married"/>
    <n v="7510"/>
    <n v="16873"/>
    <n v="1"/>
    <s v="Y"/>
    <x v="1"/>
    <n v="17"/>
    <n v="3"/>
    <n v="2"/>
    <n v="80"/>
    <n v="1"/>
    <n v="10"/>
    <n v="1"/>
    <n v="3"/>
    <n v="10"/>
    <n v="9"/>
    <n v="0"/>
    <n v="9"/>
    <x v="0"/>
    <x v="0"/>
    <n v="0"/>
    <n v="0"/>
    <x v="3"/>
    <x v="0"/>
    <n v="36"/>
  </r>
  <r>
    <n v="38"/>
    <x v="1"/>
    <s v="Travel_Frequently"/>
    <n v="1444"/>
    <x v="2"/>
    <n v="1"/>
    <n v="4"/>
    <s v="Other"/>
    <n v="1"/>
    <n v="1972"/>
    <n v="4"/>
    <x v="1"/>
    <n v="88"/>
    <n v="3"/>
    <n v="1"/>
    <x v="8"/>
    <n v="2"/>
    <s v="Married"/>
    <n v="2991"/>
    <n v="5224"/>
    <n v="0"/>
    <s v="Y"/>
    <x v="0"/>
    <n v="11"/>
    <n v="3"/>
    <n v="2"/>
    <n v="80"/>
    <n v="1"/>
    <n v="7"/>
    <n v="2"/>
    <n v="3"/>
    <n v="6"/>
    <n v="2"/>
    <n v="1"/>
    <n v="2"/>
    <x v="1"/>
    <x v="1"/>
    <n v="0"/>
    <n v="1"/>
    <x v="2"/>
    <x v="1"/>
    <n v="77"/>
  </r>
  <r>
    <n v="55"/>
    <x v="1"/>
    <s v="Travel_Rarely"/>
    <n v="189"/>
    <x v="2"/>
    <n v="26"/>
    <n v="4"/>
    <s v="Human Resources"/>
    <n v="1"/>
    <n v="1973"/>
    <n v="3"/>
    <x v="1"/>
    <n v="71"/>
    <n v="4"/>
    <n v="5"/>
    <x v="5"/>
    <n v="2"/>
    <s v="Married"/>
    <n v="19636"/>
    <n v="25811"/>
    <n v="4"/>
    <s v="Y"/>
    <x v="0"/>
    <n v="18"/>
    <n v="3"/>
    <n v="1"/>
    <n v="80"/>
    <n v="1"/>
    <n v="35"/>
    <n v="0"/>
    <n v="3"/>
    <n v="10"/>
    <n v="9"/>
    <n v="1"/>
    <n v="4"/>
    <x v="3"/>
    <x v="2"/>
    <n v="0"/>
    <n v="1"/>
    <x v="2"/>
    <x v="1"/>
    <n v="72"/>
  </r>
  <r>
    <n v="31"/>
    <x v="1"/>
    <s v="Travel_Rarely"/>
    <n v="1276"/>
    <x v="1"/>
    <n v="2"/>
    <n v="1"/>
    <s v="Medical"/>
    <n v="1"/>
    <n v="1974"/>
    <n v="4"/>
    <x v="0"/>
    <n v="59"/>
    <n v="1"/>
    <n v="1"/>
    <x v="2"/>
    <n v="4"/>
    <s v="Divorced"/>
    <n v="1129"/>
    <n v="17536"/>
    <n v="1"/>
    <s v="Y"/>
    <x v="0"/>
    <n v="11"/>
    <n v="3"/>
    <n v="3"/>
    <n v="80"/>
    <n v="3"/>
    <n v="1"/>
    <n v="4"/>
    <n v="3"/>
    <n v="1"/>
    <n v="0"/>
    <n v="0"/>
    <n v="0"/>
    <x v="1"/>
    <x v="1"/>
    <n v="0"/>
    <n v="1"/>
    <x v="1"/>
    <x v="1"/>
    <n v="81"/>
  </r>
  <r>
    <n v="39"/>
    <x v="1"/>
    <s v="Travel_Rarely"/>
    <n v="119"/>
    <x v="0"/>
    <n v="15"/>
    <n v="4"/>
    <s v="Marketing"/>
    <n v="1"/>
    <n v="1975"/>
    <n v="2"/>
    <x v="1"/>
    <n v="77"/>
    <n v="3"/>
    <n v="4"/>
    <x v="0"/>
    <n v="1"/>
    <s v="Single"/>
    <n v="13341"/>
    <n v="25098"/>
    <n v="0"/>
    <s v="Y"/>
    <x v="1"/>
    <n v="12"/>
    <n v="3"/>
    <n v="1"/>
    <n v="80"/>
    <n v="0"/>
    <n v="21"/>
    <n v="3"/>
    <n v="3"/>
    <n v="20"/>
    <n v="8"/>
    <n v="11"/>
    <n v="10"/>
    <x v="1"/>
    <x v="0"/>
    <n v="0"/>
    <n v="0"/>
    <x v="2"/>
    <x v="0"/>
    <n v="53"/>
  </r>
  <r>
    <n v="42"/>
    <x v="1"/>
    <s v="Non-Travel"/>
    <n v="335"/>
    <x v="1"/>
    <n v="23"/>
    <n v="2"/>
    <s v="Life Sciences"/>
    <n v="1"/>
    <n v="1976"/>
    <n v="4"/>
    <x v="1"/>
    <n v="37"/>
    <n v="2"/>
    <n v="2"/>
    <x v="1"/>
    <n v="3"/>
    <s v="Single"/>
    <n v="4332"/>
    <n v="14811"/>
    <n v="1"/>
    <s v="Y"/>
    <x v="1"/>
    <n v="12"/>
    <n v="3"/>
    <n v="4"/>
    <n v="80"/>
    <n v="0"/>
    <n v="20"/>
    <n v="2"/>
    <n v="3"/>
    <n v="20"/>
    <n v="9"/>
    <n v="3"/>
    <n v="7"/>
    <x v="0"/>
    <x v="1"/>
    <n v="0"/>
    <n v="0"/>
    <x v="0"/>
    <x v="2"/>
    <n v="31"/>
  </r>
  <r>
    <n v="31"/>
    <x v="1"/>
    <s v="Non-Travel"/>
    <n v="697"/>
    <x v="1"/>
    <n v="10"/>
    <n v="3"/>
    <s v="Medical"/>
    <n v="1"/>
    <n v="1979"/>
    <n v="3"/>
    <x v="0"/>
    <n v="40"/>
    <n v="3"/>
    <n v="3"/>
    <x v="7"/>
    <n v="3"/>
    <s v="Married"/>
    <n v="11031"/>
    <n v="26862"/>
    <n v="4"/>
    <s v="Y"/>
    <x v="1"/>
    <n v="20"/>
    <n v="4"/>
    <n v="3"/>
    <n v="80"/>
    <n v="1"/>
    <n v="13"/>
    <n v="2"/>
    <n v="4"/>
    <n v="11"/>
    <n v="7"/>
    <n v="4"/>
    <n v="8"/>
    <x v="1"/>
    <x v="0"/>
    <n v="0"/>
    <n v="0"/>
    <x v="3"/>
    <x v="0"/>
    <n v="41"/>
  </r>
  <r>
    <n v="54"/>
    <x v="1"/>
    <s v="Travel_Rarely"/>
    <n v="157"/>
    <x v="1"/>
    <n v="10"/>
    <n v="3"/>
    <s v="Medical"/>
    <n v="1"/>
    <n v="1980"/>
    <n v="3"/>
    <x v="0"/>
    <n v="77"/>
    <n v="3"/>
    <n v="2"/>
    <x v="3"/>
    <n v="1"/>
    <s v="Single"/>
    <n v="4440"/>
    <n v="25198"/>
    <n v="6"/>
    <s v="Y"/>
    <x v="0"/>
    <n v="19"/>
    <n v="3"/>
    <n v="4"/>
    <n v="80"/>
    <n v="0"/>
    <n v="9"/>
    <n v="3"/>
    <n v="3"/>
    <n v="5"/>
    <n v="2"/>
    <n v="1"/>
    <n v="4"/>
    <x v="3"/>
    <x v="1"/>
    <n v="0"/>
    <n v="1"/>
    <x v="3"/>
    <x v="1"/>
    <n v="85"/>
  </r>
  <r>
    <n v="24"/>
    <x v="1"/>
    <s v="Travel_Rarely"/>
    <n v="771"/>
    <x v="1"/>
    <n v="1"/>
    <n v="2"/>
    <s v="Life Sciences"/>
    <n v="1"/>
    <n v="1981"/>
    <n v="2"/>
    <x v="1"/>
    <n v="45"/>
    <n v="2"/>
    <n v="2"/>
    <x v="4"/>
    <n v="3"/>
    <s v="Single"/>
    <n v="4617"/>
    <n v="14120"/>
    <n v="1"/>
    <s v="Y"/>
    <x v="1"/>
    <n v="12"/>
    <n v="3"/>
    <n v="2"/>
    <n v="80"/>
    <n v="0"/>
    <n v="4"/>
    <n v="2"/>
    <n v="2"/>
    <n v="4"/>
    <n v="3"/>
    <n v="1"/>
    <n v="2"/>
    <x v="2"/>
    <x v="1"/>
    <n v="0"/>
    <n v="0"/>
    <x v="0"/>
    <x v="1"/>
    <n v="63"/>
  </r>
  <r>
    <n v="23"/>
    <x v="1"/>
    <s v="Travel_Rarely"/>
    <n v="571"/>
    <x v="1"/>
    <n v="12"/>
    <n v="2"/>
    <s v="Other"/>
    <n v="1"/>
    <n v="1982"/>
    <n v="4"/>
    <x v="1"/>
    <n v="78"/>
    <n v="3"/>
    <n v="1"/>
    <x v="2"/>
    <n v="4"/>
    <s v="Single"/>
    <n v="2647"/>
    <n v="13672"/>
    <n v="1"/>
    <s v="Y"/>
    <x v="1"/>
    <n v="13"/>
    <n v="3"/>
    <n v="3"/>
    <n v="80"/>
    <n v="0"/>
    <n v="5"/>
    <n v="6"/>
    <n v="4"/>
    <n v="5"/>
    <n v="2"/>
    <n v="1"/>
    <n v="4"/>
    <x v="2"/>
    <x v="1"/>
    <n v="0"/>
    <n v="0"/>
    <x v="0"/>
    <x v="1"/>
    <n v="56"/>
  </r>
  <r>
    <n v="40"/>
    <x v="1"/>
    <s v="Travel_Frequently"/>
    <n v="692"/>
    <x v="1"/>
    <n v="11"/>
    <n v="3"/>
    <s v="Technical Degree"/>
    <n v="1"/>
    <n v="1985"/>
    <n v="4"/>
    <x v="0"/>
    <n v="73"/>
    <n v="3"/>
    <n v="2"/>
    <x v="2"/>
    <n v="3"/>
    <s v="Married"/>
    <n v="6323"/>
    <n v="26849"/>
    <n v="1"/>
    <s v="Y"/>
    <x v="1"/>
    <n v="11"/>
    <n v="3"/>
    <n v="1"/>
    <n v="80"/>
    <n v="1"/>
    <n v="10"/>
    <n v="2"/>
    <n v="4"/>
    <n v="10"/>
    <n v="9"/>
    <n v="9"/>
    <n v="4"/>
    <x v="0"/>
    <x v="0"/>
    <n v="0"/>
    <n v="0"/>
    <x v="3"/>
    <x v="0"/>
    <n v="36"/>
  </r>
  <r>
    <n v="40"/>
    <x v="1"/>
    <s v="Travel_Rarely"/>
    <n v="444"/>
    <x v="0"/>
    <n v="2"/>
    <n v="2"/>
    <s v="Marketing"/>
    <n v="1"/>
    <n v="1986"/>
    <n v="2"/>
    <x v="0"/>
    <n v="92"/>
    <n v="3"/>
    <n v="2"/>
    <x v="0"/>
    <n v="2"/>
    <s v="Married"/>
    <n v="5677"/>
    <n v="4258"/>
    <n v="3"/>
    <s v="Y"/>
    <x v="1"/>
    <n v="14"/>
    <n v="3"/>
    <n v="3"/>
    <n v="80"/>
    <n v="1"/>
    <n v="15"/>
    <n v="4"/>
    <n v="3"/>
    <n v="11"/>
    <n v="8"/>
    <n v="5"/>
    <n v="10"/>
    <x v="0"/>
    <x v="0"/>
    <n v="0"/>
    <n v="0"/>
    <x v="0"/>
    <x v="0"/>
    <n v="37"/>
  </r>
  <r>
    <n v="25"/>
    <x v="1"/>
    <s v="Travel_Rarely"/>
    <n v="309"/>
    <x v="2"/>
    <n v="2"/>
    <n v="3"/>
    <s v="Human Resources"/>
    <n v="1"/>
    <n v="1987"/>
    <n v="3"/>
    <x v="0"/>
    <n v="82"/>
    <n v="3"/>
    <n v="1"/>
    <x v="8"/>
    <n v="2"/>
    <s v="Married"/>
    <n v="2187"/>
    <n v="19655"/>
    <n v="4"/>
    <s v="Y"/>
    <x v="1"/>
    <n v="14"/>
    <n v="3"/>
    <n v="3"/>
    <n v="80"/>
    <n v="0"/>
    <n v="6"/>
    <n v="3"/>
    <n v="3"/>
    <n v="2"/>
    <n v="0"/>
    <n v="1"/>
    <n v="2"/>
    <x v="2"/>
    <x v="1"/>
    <n v="0"/>
    <n v="0"/>
    <x v="3"/>
    <x v="1"/>
    <n v="79"/>
  </r>
  <r>
    <n v="30"/>
    <x v="1"/>
    <s v="Travel_Rarely"/>
    <n v="911"/>
    <x v="1"/>
    <n v="1"/>
    <n v="2"/>
    <s v="Medical"/>
    <n v="1"/>
    <n v="1989"/>
    <n v="4"/>
    <x v="1"/>
    <n v="76"/>
    <n v="3"/>
    <n v="1"/>
    <x v="2"/>
    <n v="2"/>
    <s v="Married"/>
    <n v="3748"/>
    <n v="4077"/>
    <n v="1"/>
    <s v="Y"/>
    <x v="1"/>
    <n v="13"/>
    <n v="3"/>
    <n v="3"/>
    <n v="80"/>
    <n v="0"/>
    <n v="12"/>
    <n v="6"/>
    <n v="2"/>
    <n v="12"/>
    <n v="8"/>
    <n v="1"/>
    <n v="7"/>
    <x v="1"/>
    <x v="1"/>
    <n v="0"/>
    <n v="0"/>
    <x v="0"/>
    <x v="0"/>
    <n v="47"/>
  </r>
  <r>
    <n v="25"/>
    <x v="1"/>
    <s v="Travel_Rarely"/>
    <n v="977"/>
    <x v="1"/>
    <n v="2"/>
    <n v="1"/>
    <s v="Other"/>
    <n v="1"/>
    <n v="1992"/>
    <n v="4"/>
    <x v="1"/>
    <n v="57"/>
    <n v="3"/>
    <n v="1"/>
    <x v="2"/>
    <n v="3"/>
    <s v="Divorced"/>
    <n v="3977"/>
    <n v="7298"/>
    <n v="6"/>
    <s v="Y"/>
    <x v="0"/>
    <n v="19"/>
    <n v="3"/>
    <n v="3"/>
    <n v="80"/>
    <n v="1"/>
    <n v="7"/>
    <n v="2"/>
    <n v="2"/>
    <n v="2"/>
    <n v="2"/>
    <n v="0"/>
    <n v="2"/>
    <x v="2"/>
    <x v="1"/>
    <n v="0"/>
    <n v="1"/>
    <x v="1"/>
    <x v="1"/>
    <n v="98"/>
  </r>
  <r>
    <n v="47"/>
    <x v="1"/>
    <s v="Travel_Rarely"/>
    <n v="1180"/>
    <x v="1"/>
    <n v="25"/>
    <n v="3"/>
    <s v="Medical"/>
    <n v="1"/>
    <n v="1993"/>
    <n v="1"/>
    <x v="1"/>
    <n v="84"/>
    <n v="3"/>
    <n v="3"/>
    <x v="4"/>
    <n v="3"/>
    <s v="Single"/>
    <n v="8633"/>
    <n v="13084"/>
    <n v="2"/>
    <s v="Y"/>
    <x v="1"/>
    <n v="23"/>
    <n v="4"/>
    <n v="2"/>
    <n v="80"/>
    <n v="0"/>
    <n v="25"/>
    <n v="3"/>
    <n v="3"/>
    <n v="17"/>
    <n v="14"/>
    <n v="12"/>
    <n v="11"/>
    <x v="0"/>
    <x v="0"/>
    <n v="0"/>
    <n v="0"/>
    <x v="3"/>
    <x v="2"/>
    <n v="31"/>
  </r>
  <r>
    <n v="33"/>
    <x v="1"/>
    <s v="Non-Travel"/>
    <n v="1313"/>
    <x v="1"/>
    <n v="1"/>
    <n v="2"/>
    <s v="Medical"/>
    <n v="1"/>
    <n v="1994"/>
    <n v="2"/>
    <x v="1"/>
    <n v="59"/>
    <n v="2"/>
    <n v="1"/>
    <x v="2"/>
    <n v="3"/>
    <s v="Divorced"/>
    <n v="2008"/>
    <n v="20439"/>
    <n v="1"/>
    <s v="Y"/>
    <x v="1"/>
    <n v="12"/>
    <n v="3"/>
    <n v="3"/>
    <n v="80"/>
    <n v="3"/>
    <n v="1"/>
    <n v="2"/>
    <n v="2"/>
    <n v="1"/>
    <n v="1"/>
    <n v="0"/>
    <n v="0"/>
    <x v="1"/>
    <x v="1"/>
    <n v="0"/>
    <n v="0"/>
    <x v="0"/>
    <x v="1"/>
    <n v="63"/>
  </r>
  <r>
    <n v="38"/>
    <x v="1"/>
    <s v="Travel_Rarely"/>
    <n v="1321"/>
    <x v="0"/>
    <n v="1"/>
    <n v="4"/>
    <s v="Life Sciences"/>
    <n v="1"/>
    <n v="1995"/>
    <n v="4"/>
    <x v="1"/>
    <n v="86"/>
    <n v="3"/>
    <n v="2"/>
    <x v="0"/>
    <n v="2"/>
    <s v="Married"/>
    <n v="4440"/>
    <n v="7636"/>
    <n v="0"/>
    <s v="Y"/>
    <x v="1"/>
    <n v="15"/>
    <n v="3"/>
    <n v="1"/>
    <n v="80"/>
    <n v="2"/>
    <n v="16"/>
    <n v="3"/>
    <n v="3"/>
    <n v="15"/>
    <n v="13"/>
    <n v="5"/>
    <n v="8"/>
    <x v="1"/>
    <x v="1"/>
    <n v="0"/>
    <n v="0"/>
    <x v="2"/>
    <x v="0"/>
    <n v="47"/>
  </r>
  <r>
    <n v="31"/>
    <x v="1"/>
    <s v="Travel_Rarely"/>
    <n v="1154"/>
    <x v="0"/>
    <n v="2"/>
    <n v="2"/>
    <s v="Life Sciences"/>
    <n v="1"/>
    <n v="1996"/>
    <n v="1"/>
    <x v="1"/>
    <n v="54"/>
    <n v="3"/>
    <n v="1"/>
    <x v="6"/>
    <n v="3"/>
    <s v="Married"/>
    <n v="3067"/>
    <n v="6393"/>
    <n v="0"/>
    <s v="Y"/>
    <x v="1"/>
    <n v="19"/>
    <n v="3"/>
    <n v="3"/>
    <n v="80"/>
    <n v="1"/>
    <n v="3"/>
    <n v="1"/>
    <n v="3"/>
    <n v="2"/>
    <n v="2"/>
    <n v="1"/>
    <n v="2"/>
    <x v="1"/>
    <x v="1"/>
    <n v="0"/>
    <n v="0"/>
    <x v="0"/>
    <x v="1"/>
    <n v="63"/>
  </r>
  <r>
    <n v="38"/>
    <x v="1"/>
    <s v="Travel_Frequently"/>
    <n v="508"/>
    <x v="1"/>
    <n v="6"/>
    <n v="4"/>
    <s v="Life Sciences"/>
    <n v="1"/>
    <n v="1997"/>
    <n v="1"/>
    <x v="1"/>
    <n v="72"/>
    <n v="2"/>
    <n v="2"/>
    <x v="3"/>
    <n v="3"/>
    <s v="Married"/>
    <n v="5321"/>
    <n v="14284"/>
    <n v="2"/>
    <s v="Y"/>
    <x v="1"/>
    <n v="11"/>
    <n v="3"/>
    <n v="4"/>
    <n v="80"/>
    <n v="1"/>
    <n v="10"/>
    <n v="1"/>
    <n v="3"/>
    <n v="8"/>
    <n v="3"/>
    <n v="7"/>
    <n v="7"/>
    <x v="1"/>
    <x v="0"/>
    <n v="0"/>
    <n v="0"/>
    <x v="2"/>
    <x v="0"/>
    <n v="46"/>
  </r>
  <r>
    <n v="42"/>
    <x v="1"/>
    <s v="Travel_Rarely"/>
    <n v="557"/>
    <x v="1"/>
    <n v="18"/>
    <n v="4"/>
    <s v="Life Sciences"/>
    <n v="1"/>
    <n v="1998"/>
    <n v="4"/>
    <x v="1"/>
    <n v="35"/>
    <n v="3"/>
    <n v="2"/>
    <x v="1"/>
    <n v="1"/>
    <s v="Divorced"/>
    <n v="5410"/>
    <n v="11189"/>
    <n v="6"/>
    <s v="Y"/>
    <x v="0"/>
    <n v="17"/>
    <n v="3"/>
    <n v="3"/>
    <n v="80"/>
    <n v="1"/>
    <n v="9"/>
    <n v="3"/>
    <n v="2"/>
    <n v="4"/>
    <n v="3"/>
    <n v="1"/>
    <n v="2"/>
    <x v="0"/>
    <x v="0"/>
    <n v="0"/>
    <n v="1"/>
    <x v="2"/>
    <x v="1"/>
    <n v="80"/>
  </r>
  <r>
    <n v="41"/>
    <x v="1"/>
    <s v="Travel_Rarely"/>
    <n v="642"/>
    <x v="1"/>
    <n v="1"/>
    <n v="3"/>
    <s v="Life Sciences"/>
    <n v="1"/>
    <n v="1999"/>
    <n v="4"/>
    <x v="1"/>
    <n v="76"/>
    <n v="3"/>
    <n v="1"/>
    <x v="1"/>
    <n v="4"/>
    <s v="Married"/>
    <n v="2782"/>
    <n v="21412"/>
    <n v="3"/>
    <s v="Y"/>
    <x v="1"/>
    <n v="22"/>
    <n v="4"/>
    <n v="1"/>
    <n v="80"/>
    <n v="1"/>
    <n v="12"/>
    <n v="3"/>
    <n v="3"/>
    <n v="5"/>
    <n v="3"/>
    <n v="1"/>
    <n v="0"/>
    <x v="0"/>
    <x v="1"/>
    <n v="0"/>
    <n v="0"/>
    <x v="3"/>
    <x v="0"/>
    <n v="36"/>
  </r>
  <r>
    <n v="47"/>
    <x v="1"/>
    <s v="Non-Travel"/>
    <n v="1162"/>
    <x v="1"/>
    <n v="1"/>
    <n v="1"/>
    <s v="Medical"/>
    <n v="1"/>
    <n v="2000"/>
    <n v="3"/>
    <x v="0"/>
    <n v="98"/>
    <n v="3"/>
    <n v="3"/>
    <x v="7"/>
    <n v="2"/>
    <s v="Married"/>
    <n v="11957"/>
    <n v="17231"/>
    <n v="0"/>
    <s v="Y"/>
    <x v="1"/>
    <n v="18"/>
    <n v="3"/>
    <n v="1"/>
    <n v="80"/>
    <n v="2"/>
    <n v="14"/>
    <n v="3"/>
    <n v="1"/>
    <n v="13"/>
    <n v="8"/>
    <n v="5"/>
    <n v="12"/>
    <x v="0"/>
    <x v="0"/>
    <n v="0"/>
    <n v="0"/>
    <x v="1"/>
    <x v="0"/>
    <n v="37"/>
  </r>
  <r>
    <n v="35"/>
    <x v="1"/>
    <s v="Travel_Rarely"/>
    <n v="1490"/>
    <x v="1"/>
    <n v="11"/>
    <n v="4"/>
    <s v="Medical"/>
    <n v="1"/>
    <n v="2003"/>
    <n v="4"/>
    <x v="1"/>
    <n v="43"/>
    <n v="3"/>
    <n v="1"/>
    <x v="2"/>
    <n v="3"/>
    <s v="Married"/>
    <n v="2660"/>
    <n v="20232"/>
    <n v="7"/>
    <s v="Y"/>
    <x v="0"/>
    <n v="11"/>
    <n v="3"/>
    <n v="3"/>
    <n v="80"/>
    <n v="1"/>
    <n v="5"/>
    <n v="3"/>
    <n v="3"/>
    <n v="2"/>
    <n v="2"/>
    <n v="2"/>
    <n v="2"/>
    <x v="1"/>
    <x v="1"/>
    <n v="0"/>
    <n v="1"/>
    <x v="2"/>
    <x v="1"/>
    <n v="88"/>
  </r>
  <r>
    <n v="22"/>
    <x v="1"/>
    <s v="Travel_Rarely"/>
    <n v="581"/>
    <x v="1"/>
    <n v="1"/>
    <n v="2"/>
    <s v="Life Sciences"/>
    <n v="1"/>
    <n v="2007"/>
    <n v="4"/>
    <x v="1"/>
    <n v="63"/>
    <n v="3"/>
    <n v="1"/>
    <x v="1"/>
    <n v="3"/>
    <s v="Single"/>
    <n v="3375"/>
    <n v="17624"/>
    <n v="0"/>
    <s v="Y"/>
    <x v="1"/>
    <n v="12"/>
    <n v="3"/>
    <n v="4"/>
    <n v="80"/>
    <n v="0"/>
    <n v="4"/>
    <n v="2"/>
    <n v="4"/>
    <n v="3"/>
    <n v="2"/>
    <n v="1"/>
    <n v="2"/>
    <x v="2"/>
    <x v="1"/>
    <n v="0"/>
    <n v="0"/>
    <x v="0"/>
    <x v="1"/>
    <n v="63"/>
  </r>
  <r>
    <n v="35"/>
    <x v="1"/>
    <s v="Travel_Rarely"/>
    <n v="1395"/>
    <x v="1"/>
    <n v="9"/>
    <n v="4"/>
    <s v="Medical"/>
    <n v="1"/>
    <n v="2008"/>
    <n v="2"/>
    <x v="1"/>
    <n v="48"/>
    <n v="3"/>
    <n v="2"/>
    <x v="1"/>
    <n v="3"/>
    <s v="Single"/>
    <n v="5098"/>
    <n v="18698"/>
    <n v="1"/>
    <s v="Y"/>
    <x v="1"/>
    <n v="19"/>
    <n v="3"/>
    <n v="2"/>
    <n v="80"/>
    <n v="0"/>
    <n v="10"/>
    <n v="5"/>
    <n v="3"/>
    <n v="10"/>
    <n v="7"/>
    <n v="0"/>
    <n v="8"/>
    <x v="1"/>
    <x v="0"/>
    <n v="0"/>
    <n v="0"/>
    <x v="2"/>
    <x v="0"/>
    <n v="46"/>
  </r>
  <r>
    <n v="33"/>
    <x v="1"/>
    <s v="Travel_Rarely"/>
    <n v="501"/>
    <x v="1"/>
    <n v="15"/>
    <n v="2"/>
    <s v="Medical"/>
    <n v="1"/>
    <n v="2009"/>
    <n v="2"/>
    <x v="0"/>
    <n v="95"/>
    <n v="3"/>
    <n v="2"/>
    <x v="4"/>
    <n v="4"/>
    <s v="Married"/>
    <n v="4878"/>
    <n v="21653"/>
    <n v="0"/>
    <s v="Y"/>
    <x v="0"/>
    <n v="13"/>
    <n v="3"/>
    <n v="1"/>
    <n v="80"/>
    <n v="1"/>
    <n v="10"/>
    <n v="6"/>
    <n v="3"/>
    <n v="9"/>
    <n v="7"/>
    <n v="8"/>
    <n v="1"/>
    <x v="1"/>
    <x v="1"/>
    <n v="0"/>
    <n v="1"/>
    <x v="0"/>
    <x v="1"/>
    <n v="64"/>
  </r>
  <r>
    <n v="32"/>
    <x v="1"/>
    <s v="Travel_Rarely"/>
    <n v="267"/>
    <x v="1"/>
    <n v="29"/>
    <n v="4"/>
    <s v="Life Sciences"/>
    <n v="1"/>
    <n v="2010"/>
    <n v="3"/>
    <x v="0"/>
    <n v="49"/>
    <n v="2"/>
    <n v="1"/>
    <x v="2"/>
    <n v="2"/>
    <s v="Single"/>
    <n v="2837"/>
    <n v="15919"/>
    <n v="1"/>
    <s v="Y"/>
    <x v="1"/>
    <n v="13"/>
    <n v="3"/>
    <n v="3"/>
    <n v="80"/>
    <n v="0"/>
    <n v="6"/>
    <n v="3"/>
    <n v="3"/>
    <n v="6"/>
    <n v="2"/>
    <n v="4"/>
    <n v="1"/>
    <x v="1"/>
    <x v="1"/>
    <n v="0"/>
    <n v="0"/>
    <x v="2"/>
    <x v="0"/>
    <n v="52"/>
  </r>
  <r>
    <n v="40"/>
    <x v="1"/>
    <s v="Travel_Rarely"/>
    <n v="543"/>
    <x v="1"/>
    <n v="1"/>
    <n v="4"/>
    <s v="Life Sciences"/>
    <n v="1"/>
    <n v="2012"/>
    <n v="1"/>
    <x v="1"/>
    <n v="83"/>
    <n v="3"/>
    <n v="1"/>
    <x v="2"/>
    <n v="4"/>
    <s v="Married"/>
    <n v="2406"/>
    <n v="4060"/>
    <n v="8"/>
    <s v="Y"/>
    <x v="1"/>
    <n v="19"/>
    <n v="3"/>
    <n v="3"/>
    <n v="80"/>
    <n v="2"/>
    <n v="8"/>
    <n v="3"/>
    <n v="2"/>
    <n v="1"/>
    <n v="0"/>
    <n v="0"/>
    <n v="0"/>
    <x v="0"/>
    <x v="1"/>
    <n v="0"/>
    <n v="0"/>
    <x v="2"/>
    <x v="0"/>
    <n v="46"/>
  </r>
  <r>
    <n v="32"/>
    <x v="1"/>
    <s v="Travel_Rarely"/>
    <n v="234"/>
    <x v="0"/>
    <n v="1"/>
    <n v="4"/>
    <s v="Medical"/>
    <n v="1"/>
    <n v="2013"/>
    <n v="2"/>
    <x v="1"/>
    <n v="68"/>
    <n v="2"/>
    <n v="1"/>
    <x v="6"/>
    <n v="2"/>
    <s v="Married"/>
    <n v="2269"/>
    <n v="18024"/>
    <n v="0"/>
    <s v="Y"/>
    <x v="1"/>
    <n v="14"/>
    <n v="3"/>
    <n v="2"/>
    <n v="80"/>
    <n v="1"/>
    <n v="3"/>
    <n v="2"/>
    <n v="3"/>
    <n v="2"/>
    <n v="2"/>
    <n v="2"/>
    <n v="2"/>
    <x v="1"/>
    <x v="1"/>
    <n v="0"/>
    <n v="0"/>
    <x v="2"/>
    <x v="1"/>
    <n v="69"/>
  </r>
  <r>
    <n v="39"/>
    <x v="1"/>
    <s v="Travel_Rarely"/>
    <n v="116"/>
    <x v="1"/>
    <n v="24"/>
    <n v="1"/>
    <s v="Life Sciences"/>
    <n v="1"/>
    <n v="2014"/>
    <n v="1"/>
    <x v="1"/>
    <n v="52"/>
    <n v="3"/>
    <n v="2"/>
    <x v="1"/>
    <n v="4"/>
    <s v="Single"/>
    <n v="4108"/>
    <n v="5340"/>
    <n v="7"/>
    <s v="Y"/>
    <x v="1"/>
    <n v="13"/>
    <n v="3"/>
    <n v="1"/>
    <n v="80"/>
    <n v="0"/>
    <n v="18"/>
    <n v="2"/>
    <n v="3"/>
    <n v="7"/>
    <n v="7"/>
    <n v="1"/>
    <n v="7"/>
    <x v="1"/>
    <x v="1"/>
    <n v="0"/>
    <n v="0"/>
    <x v="1"/>
    <x v="0"/>
    <n v="39"/>
  </r>
  <r>
    <n v="38"/>
    <x v="1"/>
    <s v="Travel_Rarely"/>
    <n v="201"/>
    <x v="1"/>
    <n v="10"/>
    <n v="3"/>
    <s v="Medical"/>
    <n v="1"/>
    <n v="2015"/>
    <n v="2"/>
    <x v="0"/>
    <n v="99"/>
    <n v="1"/>
    <n v="3"/>
    <x v="7"/>
    <n v="3"/>
    <s v="Married"/>
    <n v="13206"/>
    <n v="3376"/>
    <n v="3"/>
    <s v="Y"/>
    <x v="1"/>
    <n v="12"/>
    <n v="3"/>
    <n v="1"/>
    <n v="80"/>
    <n v="1"/>
    <n v="20"/>
    <n v="3"/>
    <n v="3"/>
    <n v="18"/>
    <n v="16"/>
    <n v="1"/>
    <n v="11"/>
    <x v="1"/>
    <x v="0"/>
    <n v="0"/>
    <n v="0"/>
    <x v="3"/>
    <x v="0"/>
    <n v="41"/>
  </r>
  <r>
    <n v="32"/>
    <x v="1"/>
    <s v="Travel_Rarely"/>
    <n v="801"/>
    <x v="0"/>
    <n v="1"/>
    <n v="4"/>
    <s v="Marketing"/>
    <n v="1"/>
    <n v="2016"/>
    <n v="3"/>
    <x v="0"/>
    <n v="48"/>
    <n v="3"/>
    <n v="3"/>
    <x v="0"/>
    <n v="4"/>
    <s v="Married"/>
    <n v="10422"/>
    <n v="24032"/>
    <n v="1"/>
    <s v="Y"/>
    <x v="1"/>
    <n v="19"/>
    <n v="3"/>
    <n v="3"/>
    <n v="80"/>
    <n v="2"/>
    <n v="14"/>
    <n v="3"/>
    <n v="3"/>
    <n v="14"/>
    <n v="10"/>
    <n v="5"/>
    <n v="7"/>
    <x v="1"/>
    <x v="0"/>
    <n v="0"/>
    <n v="0"/>
    <x v="2"/>
    <x v="2"/>
    <n v="34"/>
  </r>
  <r>
    <n v="37"/>
    <x v="1"/>
    <s v="Travel_Rarely"/>
    <n v="161"/>
    <x v="1"/>
    <n v="10"/>
    <n v="3"/>
    <s v="Life Sciences"/>
    <n v="1"/>
    <n v="2017"/>
    <n v="3"/>
    <x v="0"/>
    <n v="42"/>
    <n v="4"/>
    <n v="3"/>
    <x v="7"/>
    <n v="4"/>
    <s v="Married"/>
    <n v="13744"/>
    <n v="15471"/>
    <n v="1"/>
    <s v="Y"/>
    <x v="0"/>
    <n v="25"/>
    <n v="4"/>
    <n v="1"/>
    <n v="80"/>
    <n v="1"/>
    <n v="16"/>
    <n v="2"/>
    <n v="3"/>
    <n v="16"/>
    <n v="11"/>
    <n v="6"/>
    <n v="8"/>
    <x v="1"/>
    <x v="0"/>
    <n v="0"/>
    <n v="1"/>
    <x v="3"/>
    <x v="1"/>
    <n v="59"/>
  </r>
  <r>
    <n v="25"/>
    <x v="1"/>
    <s v="Travel_Rarely"/>
    <n v="1382"/>
    <x v="0"/>
    <n v="8"/>
    <n v="2"/>
    <s v="Other"/>
    <n v="1"/>
    <n v="2018"/>
    <n v="1"/>
    <x v="0"/>
    <n v="85"/>
    <n v="3"/>
    <n v="2"/>
    <x v="0"/>
    <n v="3"/>
    <s v="Divorced"/>
    <n v="4907"/>
    <n v="13684"/>
    <n v="0"/>
    <s v="Y"/>
    <x v="0"/>
    <n v="22"/>
    <n v="4"/>
    <n v="2"/>
    <n v="80"/>
    <n v="1"/>
    <n v="6"/>
    <n v="3"/>
    <n v="2"/>
    <n v="5"/>
    <n v="3"/>
    <n v="0"/>
    <n v="4"/>
    <x v="2"/>
    <x v="1"/>
    <n v="0"/>
    <n v="1"/>
    <x v="0"/>
    <x v="1"/>
    <n v="88"/>
  </r>
  <r>
    <n v="52"/>
    <x v="1"/>
    <s v="Non-Travel"/>
    <n v="585"/>
    <x v="0"/>
    <n v="29"/>
    <n v="4"/>
    <s v="Life Sciences"/>
    <n v="1"/>
    <n v="2019"/>
    <n v="1"/>
    <x v="1"/>
    <n v="40"/>
    <n v="3"/>
    <n v="1"/>
    <x v="6"/>
    <n v="4"/>
    <s v="Divorced"/>
    <n v="3482"/>
    <n v="19788"/>
    <n v="2"/>
    <s v="Y"/>
    <x v="1"/>
    <n v="15"/>
    <n v="3"/>
    <n v="2"/>
    <n v="80"/>
    <n v="2"/>
    <n v="16"/>
    <n v="3"/>
    <n v="2"/>
    <n v="9"/>
    <n v="8"/>
    <n v="0"/>
    <n v="0"/>
    <x v="3"/>
    <x v="1"/>
    <n v="0"/>
    <n v="0"/>
    <x v="2"/>
    <x v="2"/>
    <n v="34"/>
  </r>
  <r>
    <n v="44"/>
    <x v="1"/>
    <s v="Travel_Rarely"/>
    <n v="1037"/>
    <x v="1"/>
    <n v="1"/>
    <n v="3"/>
    <s v="Medical"/>
    <n v="1"/>
    <n v="2020"/>
    <n v="2"/>
    <x v="1"/>
    <n v="42"/>
    <n v="3"/>
    <n v="1"/>
    <x v="1"/>
    <n v="4"/>
    <s v="Single"/>
    <n v="2436"/>
    <n v="13422"/>
    <n v="6"/>
    <s v="Y"/>
    <x v="0"/>
    <n v="12"/>
    <n v="3"/>
    <n v="3"/>
    <n v="80"/>
    <n v="0"/>
    <n v="6"/>
    <n v="2"/>
    <n v="3"/>
    <n v="4"/>
    <n v="3"/>
    <n v="1"/>
    <n v="2"/>
    <x v="0"/>
    <x v="1"/>
    <n v="0"/>
    <n v="1"/>
    <x v="3"/>
    <x v="1"/>
    <n v="61"/>
  </r>
  <r>
    <n v="21"/>
    <x v="1"/>
    <s v="Travel_Rarely"/>
    <n v="501"/>
    <x v="0"/>
    <n v="5"/>
    <n v="1"/>
    <s v="Medical"/>
    <n v="1"/>
    <n v="2021"/>
    <n v="3"/>
    <x v="1"/>
    <n v="58"/>
    <n v="3"/>
    <n v="1"/>
    <x v="6"/>
    <n v="1"/>
    <s v="Single"/>
    <n v="2380"/>
    <n v="25479"/>
    <n v="1"/>
    <s v="Y"/>
    <x v="0"/>
    <n v="11"/>
    <n v="3"/>
    <n v="4"/>
    <n v="80"/>
    <n v="0"/>
    <n v="2"/>
    <n v="6"/>
    <n v="3"/>
    <n v="2"/>
    <n v="2"/>
    <n v="1"/>
    <n v="2"/>
    <x v="2"/>
    <x v="1"/>
    <n v="0"/>
    <n v="1"/>
    <x v="1"/>
    <x v="1"/>
    <n v="110"/>
  </r>
  <r>
    <n v="39"/>
    <x v="1"/>
    <s v="Non-Travel"/>
    <n v="105"/>
    <x v="1"/>
    <n v="9"/>
    <n v="3"/>
    <s v="Life Sciences"/>
    <n v="1"/>
    <n v="2022"/>
    <n v="4"/>
    <x v="1"/>
    <n v="87"/>
    <n v="3"/>
    <n v="5"/>
    <x v="5"/>
    <n v="4"/>
    <s v="Single"/>
    <n v="19431"/>
    <n v="15302"/>
    <n v="2"/>
    <s v="Y"/>
    <x v="1"/>
    <n v="13"/>
    <n v="3"/>
    <n v="3"/>
    <n v="80"/>
    <n v="0"/>
    <n v="21"/>
    <n v="3"/>
    <n v="2"/>
    <n v="6"/>
    <n v="0"/>
    <n v="1"/>
    <n v="3"/>
    <x v="1"/>
    <x v="2"/>
    <n v="0"/>
    <n v="0"/>
    <x v="3"/>
    <x v="0"/>
    <n v="39"/>
  </r>
  <r>
    <n v="23"/>
    <x v="0"/>
    <s v="Travel_Frequently"/>
    <n v="638"/>
    <x v="0"/>
    <n v="9"/>
    <n v="3"/>
    <s v="Marketing"/>
    <n v="1"/>
    <n v="2023"/>
    <n v="4"/>
    <x v="1"/>
    <n v="33"/>
    <n v="3"/>
    <n v="1"/>
    <x v="6"/>
    <n v="1"/>
    <s v="Married"/>
    <n v="1790"/>
    <n v="26956"/>
    <n v="1"/>
    <s v="Y"/>
    <x v="1"/>
    <n v="19"/>
    <n v="3"/>
    <n v="1"/>
    <n v="80"/>
    <n v="1"/>
    <n v="1"/>
    <n v="3"/>
    <n v="2"/>
    <n v="1"/>
    <n v="0"/>
    <n v="1"/>
    <n v="0"/>
    <x v="2"/>
    <x v="1"/>
    <n v="1"/>
    <n v="0"/>
    <x v="3"/>
    <x v="1"/>
    <n v="85"/>
  </r>
  <r>
    <n v="36"/>
    <x v="1"/>
    <s v="Travel_Rarely"/>
    <n v="557"/>
    <x v="0"/>
    <n v="3"/>
    <n v="3"/>
    <s v="Medical"/>
    <n v="1"/>
    <n v="2024"/>
    <n v="1"/>
    <x v="0"/>
    <n v="94"/>
    <n v="2"/>
    <n v="3"/>
    <x v="0"/>
    <n v="4"/>
    <s v="Married"/>
    <n v="7644"/>
    <n v="12695"/>
    <n v="0"/>
    <s v="Y"/>
    <x v="1"/>
    <n v="19"/>
    <n v="3"/>
    <n v="3"/>
    <n v="80"/>
    <n v="2"/>
    <n v="10"/>
    <n v="2"/>
    <n v="3"/>
    <n v="9"/>
    <n v="7"/>
    <n v="3"/>
    <n v="4"/>
    <x v="1"/>
    <x v="0"/>
    <n v="0"/>
    <n v="0"/>
    <x v="3"/>
    <x v="0"/>
    <n v="39"/>
  </r>
  <r>
    <n v="36"/>
    <x v="1"/>
    <s v="Travel_Frequently"/>
    <n v="688"/>
    <x v="1"/>
    <n v="4"/>
    <n v="2"/>
    <s v="Life Sciences"/>
    <n v="1"/>
    <n v="2025"/>
    <n v="4"/>
    <x v="0"/>
    <n v="97"/>
    <n v="3"/>
    <n v="2"/>
    <x v="3"/>
    <n v="2"/>
    <s v="Divorced"/>
    <n v="5131"/>
    <n v="9192"/>
    <n v="7"/>
    <s v="Y"/>
    <x v="1"/>
    <n v="13"/>
    <n v="3"/>
    <n v="2"/>
    <n v="80"/>
    <n v="3"/>
    <n v="18"/>
    <n v="3"/>
    <n v="3"/>
    <n v="4"/>
    <n v="2"/>
    <n v="0"/>
    <n v="2"/>
    <x v="1"/>
    <x v="0"/>
    <n v="0"/>
    <n v="0"/>
    <x v="0"/>
    <x v="1"/>
    <n v="59"/>
  </r>
  <r>
    <n v="56"/>
    <x v="1"/>
    <s v="Non-Travel"/>
    <n v="667"/>
    <x v="1"/>
    <n v="1"/>
    <n v="4"/>
    <s v="Life Sciences"/>
    <n v="1"/>
    <n v="2026"/>
    <n v="3"/>
    <x v="1"/>
    <n v="57"/>
    <n v="3"/>
    <n v="2"/>
    <x v="4"/>
    <n v="3"/>
    <s v="Divorced"/>
    <n v="6306"/>
    <n v="26236"/>
    <n v="1"/>
    <s v="Y"/>
    <x v="1"/>
    <n v="21"/>
    <n v="4"/>
    <n v="1"/>
    <n v="80"/>
    <n v="1"/>
    <n v="13"/>
    <n v="2"/>
    <n v="2"/>
    <n v="13"/>
    <n v="12"/>
    <n v="1"/>
    <n v="9"/>
    <x v="3"/>
    <x v="0"/>
    <n v="0"/>
    <n v="0"/>
    <x v="2"/>
    <x v="0"/>
    <n v="36"/>
  </r>
  <r>
    <n v="29"/>
    <x v="0"/>
    <s v="Travel_Rarely"/>
    <n v="1092"/>
    <x v="1"/>
    <n v="1"/>
    <n v="4"/>
    <s v="Medical"/>
    <n v="1"/>
    <n v="2027"/>
    <n v="1"/>
    <x v="1"/>
    <n v="36"/>
    <n v="3"/>
    <n v="1"/>
    <x v="1"/>
    <n v="4"/>
    <s v="Married"/>
    <n v="4787"/>
    <n v="26124"/>
    <n v="9"/>
    <s v="Y"/>
    <x v="0"/>
    <n v="14"/>
    <n v="3"/>
    <n v="2"/>
    <n v="80"/>
    <n v="3"/>
    <n v="4"/>
    <n v="3"/>
    <n v="4"/>
    <n v="2"/>
    <n v="2"/>
    <n v="2"/>
    <n v="2"/>
    <x v="2"/>
    <x v="1"/>
    <n v="1"/>
    <n v="1"/>
    <x v="2"/>
    <x v="1"/>
    <n v="91"/>
  </r>
  <r>
    <n v="42"/>
    <x v="1"/>
    <s v="Travel_Rarely"/>
    <n v="300"/>
    <x v="1"/>
    <n v="2"/>
    <n v="3"/>
    <s v="Life Sciences"/>
    <n v="1"/>
    <n v="2031"/>
    <n v="1"/>
    <x v="1"/>
    <n v="56"/>
    <n v="3"/>
    <n v="5"/>
    <x v="5"/>
    <n v="3"/>
    <s v="Married"/>
    <n v="18880"/>
    <n v="17312"/>
    <n v="5"/>
    <s v="Y"/>
    <x v="1"/>
    <n v="11"/>
    <n v="3"/>
    <n v="1"/>
    <n v="80"/>
    <n v="0"/>
    <n v="24"/>
    <n v="2"/>
    <n v="2"/>
    <n v="22"/>
    <n v="6"/>
    <n v="4"/>
    <n v="14"/>
    <x v="0"/>
    <x v="2"/>
    <n v="0"/>
    <n v="0"/>
    <x v="3"/>
    <x v="2"/>
    <n v="31"/>
  </r>
  <r>
    <n v="56"/>
    <x v="0"/>
    <s v="Travel_Rarely"/>
    <n v="310"/>
    <x v="1"/>
    <n v="7"/>
    <n v="2"/>
    <s v="Technical Degree"/>
    <n v="1"/>
    <n v="2032"/>
    <n v="4"/>
    <x v="1"/>
    <n v="72"/>
    <n v="3"/>
    <n v="1"/>
    <x v="2"/>
    <n v="3"/>
    <s v="Married"/>
    <n v="2339"/>
    <n v="3666"/>
    <n v="8"/>
    <s v="Y"/>
    <x v="1"/>
    <n v="11"/>
    <n v="3"/>
    <n v="4"/>
    <n v="80"/>
    <n v="1"/>
    <n v="14"/>
    <n v="4"/>
    <n v="1"/>
    <n v="10"/>
    <n v="9"/>
    <n v="9"/>
    <n v="8"/>
    <x v="3"/>
    <x v="1"/>
    <n v="1"/>
    <n v="0"/>
    <x v="0"/>
    <x v="0"/>
    <n v="41"/>
  </r>
  <r>
    <n v="41"/>
    <x v="1"/>
    <s v="Travel_Rarely"/>
    <n v="582"/>
    <x v="1"/>
    <n v="28"/>
    <n v="4"/>
    <s v="Life Sciences"/>
    <n v="1"/>
    <n v="2034"/>
    <n v="1"/>
    <x v="0"/>
    <n v="60"/>
    <n v="2"/>
    <n v="4"/>
    <x v="3"/>
    <n v="2"/>
    <s v="Married"/>
    <n v="13570"/>
    <n v="5640"/>
    <n v="0"/>
    <s v="Y"/>
    <x v="1"/>
    <n v="23"/>
    <n v="4"/>
    <n v="3"/>
    <n v="80"/>
    <n v="1"/>
    <n v="21"/>
    <n v="3"/>
    <n v="3"/>
    <n v="20"/>
    <n v="7"/>
    <n v="0"/>
    <n v="10"/>
    <x v="0"/>
    <x v="0"/>
    <n v="0"/>
    <n v="0"/>
    <x v="2"/>
    <x v="0"/>
    <n v="37"/>
  </r>
  <r>
    <n v="34"/>
    <x v="1"/>
    <s v="Travel_Rarely"/>
    <n v="704"/>
    <x v="0"/>
    <n v="28"/>
    <n v="3"/>
    <s v="Marketing"/>
    <n v="1"/>
    <n v="2035"/>
    <n v="4"/>
    <x v="0"/>
    <n v="95"/>
    <n v="2"/>
    <n v="2"/>
    <x v="0"/>
    <n v="3"/>
    <s v="Married"/>
    <n v="6712"/>
    <n v="8978"/>
    <n v="1"/>
    <s v="Y"/>
    <x v="1"/>
    <n v="21"/>
    <n v="4"/>
    <n v="4"/>
    <n v="80"/>
    <n v="2"/>
    <n v="8"/>
    <n v="2"/>
    <n v="3"/>
    <n v="8"/>
    <n v="7"/>
    <n v="1"/>
    <n v="7"/>
    <x v="1"/>
    <x v="0"/>
    <n v="0"/>
    <n v="0"/>
    <x v="3"/>
    <x v="0"/>
    <n v="46"/>
  </r>
  <r>
    <n v="36"/>
    <x v="1"/>
    <s v="Non-Travel"/>
    <n v="301"/>
    <x v="0"/>
    <n v="15"/>
    <n v="4"/>
    <s v="Marketing"/>
    <n v="1"/>
    <n v="2036"/>
    <n v="4"/>
    <x v="1"/>
    <n v="88"/>
    <n v="1"/>
    <n v="2"/>
    <x v="0"/>
    <n v="4"/>
    <s v="Divorced"/>
    <n v="5406"/>
    <n v="10436"/>
    <n v="1"/>
    <s v="Y"/>
    <x v="1"/>
    <n v="24"/>
    <n v="4"/>
    <n v="1"/>
    <n v="80"/>
    <n v="1"/>
    <n v="15"/>
    <n v="4"/>
    <n v="2"/>
    <n v="15"/>
    <n v="12"/>
    <n v="11"/>
    <n v="11"/>
    <x v="1"/>
    <x v="0"/>
    <n v="0"/>
    <n v="0"/>
    <x v="2"/>
    <x v="2"/>
    <n v="34"/>
  </r>
  <r>
    <n v="41"/>
    <x v="1"/>
    <s v="Travel_Rarely"/>
    <n v="930"/>
    <x v="0"/>
    <n v="3"/>
    <n v="3"/>
    <s v="Life Sciences"/>
    <n v="1"/>
    <n v="2037"/>
    <n v="3"/>
    <x v="1"/>
    <n v="57"/>
    <n v="2"/>
    <n v="2"/>
    <x v="0"/>
    <n v="2"/>
    <s v="Divorced"/>
    <n v="8938"/>
    <n v="12227"/>
    <n v="2"/>
    <s v="Y"/>
    <x v="1"/>
    <n v="11"/>
    <n v="3"/>
    <n v="3"/>
    <n v="80"/>
    <n v="1"/>
    <n v="14"/>
    <n v="5"/>
    <n v="3"/>
    <n v="5"/>
    <n v="4"/>
    <n v="0"/>
    <n v="4"/>
    <x v="0"/>
    <x v="0"/>
    <n v="0"/>
    <n v="0"/>
    <x v="3"/>
    <x v="0"/>
    <n v="49"/>
  </r>
  <r>
    <n v="32"/>
    <x v="1"/>
    <s v="Travel_Rarely"/>
    <n v="529"/>
    <x v="1"/>
    <n v="2"/>
    <n v="3"/>
    <s v="Technical Degree"/>
    <n v="1"/>
    <n v="2038"/>
    <n v="4"/>
    <x v="1"/>
    <n v="78"/>
    <n v="3"/>
    <n v="1"/>
    <x v="1"/>
    <n v="1"/>
    <s v="Single"/>
    <n v="2439"/>
    <n v="11288"/>
    <n v="1"/>
    <s v="Y"/>
    <x v="1"/>
    <n v="14"/>
    <n v="3"/>
    <n v="4"/>
    <n v="80"/>
    <n v="0"/>
    <n v="4"/>
    <n v="4"/>
    <n v="3"/>
    <n v="4"/>
    <n v="2"/>
    <n v="1"/>
    <n v="2"/>
    <x v="1"/>
    <x v="1"/>
    <n v="0"/>
    <n v="0"/>
    <x v="3"/>
    <x v="1"/>
    <n v="65"/>
  </r>
  <r>
    <n v="35"/>
    <x v="1"/>
    <s v="Travel_Rarely"/>
    <n v="1146"/>
    <x v="2"/>
    <n v="26"/>
    <n v="4"/>
    <s v="Life Sciences"/>
    <n v="1"/>
    <n v="2040"/>
    <n v="3"/>
    <x v="0"/>
    <n v="31"/>
    <n v="3"/>
    <n v="3"/>
    <x v="8"/>
    <n v="4"/>
    <s v="Single"/>
    <n v="8837"/>
    <n v="16642"/>
    <n v="1"/>
    <s v="Y"/>
    <x v="0"/>
    <n v="16"/>
    <n v="3"/>
    <n v="3"/>
    <n v="80"/>
    <n v="0"/>
    <n v="9"/>
    <n v="2"/>
    <n v="3"/>
    <n v="9"/>
    <n v="0"/>
    <n v="1"/>
    <n v="7"/>
    <x v="1"/>
    <x v="0"/>
    <n v="0"/>
    <n v="1"/>
    <x v="2"/>
    <x v="1"/>
    <n v="64"/>
  </r>
  <r>
    <n v="38"/>
    <x v="1"/>
    <s v="Travel_Rarely"/>
    <n v="345"/>
    <x v="0"/>
    <n v="10"/>
    <n v="2"/>
    <s v="Life Sciences"/>
    <n v="1"/>
    <n v="2041"/>
    <n v="1"/>
    <x v="0"/>
    <n v="100"/>
    <n v="3"/>
    <n v="2"/>
    <x v="0"/>
    <n v="4"/>
    <s v="Married"/>
    <n v="5343"/>
    <n v="5982"/>
    <n v="1"/>
    <s v="Y"/>
    <x v="1"/>
    <n v="11"/>
    <n v="3"/>
    <n v="3"/>
    <n v="80"/>
    <n v="1"/>
    <n v="10"/>
    <n v="1"/>
    <n v="3"/>
    <n v="10"/>
    <n v="7"/>
    <n v="1"/>
    <n v="9"/>
    <x v="1"/>
    <x v="0"/>
    <n v="0"/>
    <n v="0"/>
    <x v="0"/>
    <x v="0"/>
    <n v="39"/>
  </r>
  <r>
    <n v="50"/>
    <x v="0"/>
    <s v="Travel_Frequently"/>
    <n v="878"/>
    <x v="0"/>
    <n v="1"/>
    <n v="4"/>
    <s v="Life Sciences"/>
    <n v="1"/>
    <n v="2044"/>
    <n v="2"/>
    <x v="1"/>
    <n v="94"/>
    <n v="3"/>
    <n v="2"/>
    <x v="0"/>
    <n v="3"/>
    <s v="Divorced"/>
    <n v="6728"/>
    <n v="14255"/>
    <n v="7"/>
    <s v="Y"/>
    <x v="1"/>
    <n v="12"/>
    <n v="3"/>
    <n v="4"/>
    <n v="80"/>
    <n v="2"/>
    <n v="12"/>
    <n v="3"/>
    <n v="3"/>
    <n v="6"/>
    <n v="3"/>
    <n v="0"/>
    <n v="1"/>
    <x v="3"/>
    <x v="0"/>
    <n v="1"/>
    <n v="0"/>
    <x v="2"/>
    <x v="0"/>
    <n v="41"/>
  </r>
  <r>
    <n v="36"/>
    <x v="1"/>
    <s v="Travel_Rarely"/>
    <n v="1120"/>
    <x v="0"/>
    <n v="11"/>
    <n v="4"/>
    <s v="Marketing"/>
    <n v="1"/>
    <n v="2045"/>
    <n v="2"/>
    <x v="0"/>
    <n v="100"/>
    <n v="2"/>
    <n v="2"/>
    <x v="0"/>
    <n v="4"/>
    <s v="Married"/>
    <n v="6652"/>
    <n v="14369"/>
    <n v="4"/>
    <s v="Y"/>
    <x v="1"/>
    <n v="13"/>
    <n v="3"/>
    <n v="1"/>
    <n v="80"/>
    <n v="1"/>
    <n v="8"/>
    <n v="2"/>
    <n v="2"/>
    <n v="6"/>
    <n v="3"/>
    <n v="0"/>
    <n v="0"/>
    <x v="1"/>
    <x v="0"/>
    <n v="0"/>
    <n v="0"/>
    <x v="2"/>
    <x v="0"/>
    <n v="39"/>
  </r>
  <r>
    <n v="45"/>
    <x v="1"/>
    <s v="Travel_Rarely"/>
    <n v="374"/>
    <x v="0"/>
    <n v="20"/>
    <n v="3"/>
    <s v="Life Sciences"/>
    <n v="1"/>
    <n v="2046"/>
    <n v="4"/>
    <x v="0"/>
    <n v="50"/>
    <n v="3"/>
    <n v="2"/>
    <x v="0"/>
    <n v="3"/>
    <s v="Single"/>
    <n v="4850"/>
    <n v="23333"/>
    <n v="8"/>
    <s v="Y"/>
    <x v="1"/>
    <n v="15"/>
    <n v="3"/>
    <n v="3"/>
    <n v="80"/>
    <n v="0"/>
    <n v="8"/>
    <n v="3"/>
    <n v="3"/>
    <n v="5"/>
    <n v="3"/>
    <n v="0"/>
    <n v="1"/>
    <x v="0"/>
    <x v="1"/>
    <n v="0"/>
    <n v="0"/>
    <x v="3"/>
    <x v="0"/>
    <n v="43"/>
  </r>
  <r>
    <n v="40"/>
    <x v="1"/>
    <s v="Travel_Rarely"/>
    <n v="1322"/>
    <x v="1"/>
    <n v="2"/>
    <n v="4"/>
    <s v="Life Sciences"/>
    <n v="1"/>
    <n v="2048"/>
    <n v="3"/>
    <x v="1"/>
    <n v="52"/>
    <n v="2"/>
    <n v="1"/>
    <x v="1"/>
    <n v="3"/>
    <s v="Single"/>
    <n v="2809"/>
    <n v="2725"/>
    <n v="2"/>
    <s v="Y"/>
    <x v="1"/>
    <n v="14"/>
    <n v="3"/>
    <n v="4"/>
    <n v="80"/>
    <n v="0"/>
    <n v="8"/>
    <n v="2"/>
    <n v="3"/>
    <n v="2"/>
    <n v="2"/>
    <n v="2"/>
    <n v="2"/>
    <x v="0"/>
    <x v="1"/>
    <n v="0"/>
    <n v="0"/>
    <x v="2"/>
    <x v="0"/>
    <n v="53"/>
  </r>
  <r>
    <n v="35"/>
    <x v="1"/>
    <s v="Travel_Frequently"/>
    <n v="1199"/>
    <x v="1"/>
    <n v="18"/>
    <n v="4"/>
    <s v="Life Sciences"/>
    <n v="1"/>
    <n v="2049"/>
    <n v="3"/>
    <x v="1"/>
    <n v="80"/>
    <n v="3"/>
    <n v="2"/>
    <x v="4"/>
    <n v="3"/>
    <s v="Married"/>
    <n v="5689"/>
    <n v="24594"/>
    <n v="1"/>
    <s v="Y"/>
    <x v="0"/>
    <n v="14"/>
    <n v="3"/>
    <n v="4"/>
    <n v="80"/>
    <n v="2"/>
    <n v="10"/>
    <n v="2"/>
    <n v="4"/>
    <n v="10"/>
    <n v="2"/>
    <n v="0"/>
    <n v="2"/>
    <x v="1"/>
    <x v="0"/>
    <n v="0"/>
    <n v="1"/>
    <x v="2"/>
    <x v="1"/>
    <n v="71"/>
  </r>
  <r>
    <n v="40"/>
    <x v="1"/>
    <s v="Travel_Rarely"/>
    <n v="1194"/>
    <x v="1"/>
    <n v="2"/>
    <n v="4"/>
    <s v="Medical"/>
    <n v="1"/>
    <n v="2051"/>
    <n v="3"/>
    <x v="0"/>
    <n v="98"/>
    <n v="3"/>
    <n v="1"/>
    <x v="1"/>
    <n v="3"/>
    <s v="Married"/>
    <n v="2001"/>
    <n v="12549"/>
    <n v="2"/>
    <s v="Y"/>
    <x v="1"/>
    <n v="14"/>
    <n v="3"/>
    <n v="2"/>
    <n v="80"/>
    <n v="3"/>
    <n v="20"/>
    <n v="2"/>
    <n v="3"/>
    <n v="5"/>
    <n v="3"/>
    <n v="0"/>
    <n v="2"/>
    <x v="0"/>
    <x v="1"/>
    <n v="0"/>
    <n v="0"/>
    <x v="2"/>
    <x v="0"/>
    <n v="43"/>
  </r>
  <r>
    <n v="35"/>
    <x v="1"/>
    <s v="Travel_Rarely"/>
    <n v="287"/>
    <x v="1"/>
    <n v="1"/>
    <n v="4"/>
    <s v="Life Sciences"/>
    <n v="1"/>
    <n v="2052"/>
    <n v="3"/>
    <x v="0"/>
    <n v="62"/>
    <n v="1"/>
    <n v="1"/>
    <x v="1"/>
    <n v="4"/>
    <s v="Married"/>
    <n v="2977"/>
    <n v="8952"/>
    <n v="1"/>
    <s v="Y"/>
    <x v="1"/>
    <n v="12"/>
    <n v="3"/>
    <n v="4"/>
    <n v="80"/>
    <n v="1"/>
    <n v="4"/>
    <n v="5"/>
    <n v="3"/>
    <n v="4"/>
    <n v="3"/>
    <n v="1"/>
    <n v="1"/>
    <x v="1"/>
    <x v="1"/>
    <n v="0"/>
    <n v="0"/>
    <x v="2"/>
    <x v="0"/>
    <n v="46"/>
  </r>
  <r>
    <n v="29"/>
    <x v="1"/>
    <s v="Travel_Rarely"/>
    <n v="1378"/>
    <x v="1"/>
    <n v="13"/>
    <n v="2"/>
    <s v="Other"/>
    <n v="1"/>
    <n v="2053"/>
    <n v="4"/>
    <x v="1"/>
    <n v="46"/>
    <n v="2"/>
    <n v="2"/>
    <x v="2"/>
    <n v="2"/>
    <s v="Married"/>
    <n v="4025"/>
    <n v="23679"/>
    <n v="4"/>
    <s v="Y"/>
    <x v="0"/>
    <n v="13"/>
    <n v="3"/>
    <n v="1"/>
    <n v="80"/>
    <n v="1"/>
    <n v="10"/>
    <n v="2"/>
    <n v="3"/>
    <n v="4"/>
    <n v="3"/>
    <n v="0"/>
    <n v="3"/>
    <x v="2"/>
    <x v="1"/>
    <n v="0"/>
    <n v="1"/>
    <x v="0"/>
    <x v="1"/>
    <n v="94"/>
  </r>
  <r>
    <n v="29"/>
    <x v="1"/>
    <s v="Travel_Rarely"/>
    <n v="468"/>
    <x v="1"/>
    <n v="28"/>
    <n v="4"/>
    <s v="Medical"/>
    <n v="1"/>
    <n v="2054"/>
    <n v="4"/>
    <x v="0"/>
    <n v="73"/>
    <n v="2"/>
    <n v="1"/>
    <x v="1"/>
    <n v="1"/>
    <s v="Single"/>
    <n v="3785"/>
    <n v="8489"/>
    <n v="1"/>
    <s v="Y"/>
    <x v="1"/>
    <n v="14"/>
    <n v="3"/>
    <n v="2"/>
    <n v="80"/>
    <n v="0"/>
    <n v="5"/>
    <n v="3"/>
    <n v="1"/>
    <n v="5"/>
    <n v="4"/>
    <n v="0"/>
    <n v="4"/>
    <x v="2"/>
    <x v="1"/>
    <n v="0"/>
    <n v="0"/>
    <x v="2"/>
    <x v="1"/>
    <n v="75"/>
  </r>
  <r>
    <n v="50"/>
    <x v="0"/>
    <s v="Travel_Rarely"/>
    <n v="410"/>
    <x v="0"/>
    <n v="28"/>
    <n v="3"/>
    <s v="Marketing"/>
    <n v="1"/>
    <n v="2055"/>
    <n v="4"/>
    <x v="1"/>
    <n v="39"/>
    <n v="2"/>
    <n v="3"/>
    <x v="0"/>
    <n v="1"/>
    <s v="Divorced"/>
    <n v="10854"/>
    <n v="16586"/>
    <n v="4"/>
    <s v="Y"/>
    <x v="0"/>
    <n v="13"/>
    <n v="3"/>
    <n v="2"/>
    <n v="80"/>
    <n v="1"/>
    <n v="20"/>
    <n v="3"/>
    <n v="3"/>
    <n v="3"/>
    <n v="2"/>
    <n v="2"/>
    <n v="0"/>
    <x v="3"/>
    <x v="0"/>
    <n v="1"/>
    <n v="1"/>
    <x v="3"/>
    <x v="1"/>
    <n v="85"/>
  </r>
  <r>
    <n v="39"/>
    <x v="1"/>
    <s v="Travel_Rarely"/>
    <n v="722"/>
    <x v="0"/>
    <n v="24"/>
    <n v="1"/>
    <s v="Marketing"/>
    <n v="1"/>
    <n v="2056"/>
    <n v="2"/>
    <x v="0"/>
    <n v="60"/>
    <n v="2"/>
    <n v="4"/>
    <x v="0"/>
    <n v="4"/>
    <s v="Married"/>
    <n v="12031"/>
    <n v="8828"/>
    <n v="0"/>
    <s v="Y"/>
    <x v="1"/>
    <n v="11"/>
    <n v="3"/>
    <n v="1"/>
    <n v="80"/>
    <n v="1"/>
    <n v="21"/>
    <n v="2"/>
    <n v="2"/>
    <n v="20"/>
    <n v="9"/>
    <n v="9"/>
    <n v="6"/>
    <x v="1"/>
    <x v="0"/>
    <n v="0"/>
    <n v="0"/>
    <x v="1"/>
    <x v="2"/>
    <n v="34"/>
  </r>
  <r>
    <n v="31"/>
    <x v="1"/>
    <s v="Non-Travel"/>
    <n v="325"/>
    <x v="1"/>
    <n v="5"/>
    <n v="3"/>
    <s v="Medical"/>
    <n v="1"/>
    <n v="2057"/>
    <n v="2"/>
    <x v="1"/>
    <n v="74"/>
    <n v="3"/>
    <n v="2"/>
    <x v="3"/>
    <n v="1"/>
    <s v="Single"/>
    <n v="9936"/>
    <n v="3787"/>
    <n v="0"/>
    <s v="Y"/>
    <x v="1"/>
    <n v="19"/>
    <n v="3"/>
    <n v="2"/>
    <n v="80"/>
    <n v="0"/>
    <n v="10"/>
    <n v="2"/>
    <n v="3"/>
    <n v="9"/>
    <n v="4"/>
    <n v="1"/>
    <n v="7"/>
    <x v="1"/>
    <x v="0"/>
    <n v="0"/>
    <n v="0"/>
    <x v="3"/>
    <x v="1"/>
    <n v="58"/>
  </r>
  <r>
    <n v="26"/>
    <x v="1"/>
    <s v="Travel_Rarely"/>
    <n v="1167"/>
    <x v="0"/>
    <n v="5"/>
    <n v="3"/>
    <s v="Other"/>
    <n v="1"/>
    <n v="2060"/>
    <n v="4"/>
    <x v="0"/>
    <n v="30"/>
    <n v="2"/>
    <n v="1"/>
    <x v="6"/>
    <n v="3"/>
    <s v="Single"/>
    <n v="2966"/>
    <n v="21378"/>
    <n v="0"/>
    <s v="Y"/>
    <x v="1"/>
    <n v="18"/>
    <n v="3"/>
    <n v="4"/>
    <n v="80"/>
    <n v="0"/>
    <n v="5"/>
    <n v="2"/>
    <n v="3"/>
    <n v="4"/>
    <n v="2"/>
    <n v="0"/>
    <n v="0"/>
    <x v="2"/>
    <x v="1"/>
    <n v="0"/>
    <n v="0"/>
    <x v="3"/>
    <x v="1"/>
    <n v="63"/>
  </r>
  <r>
    <n v="36"/>
    <x v="1"/>
    <s v="Travel_Frequently"/>
    <n v="884"/>
    <x v="1"/>
    <n v="23"/>
    <n v="2"/>
    <s v="Medical"/>
    <n v="1"/>
    <n v="2061"/>
    <n v="3"/>
    <x v="1"/>
    <n v="41"/>
    <n v="4"/>
    <n v="2"/>
    <x v="2"/>
    <n v="4"/>
    <s v="Married"/>
    <n v="2571"/>
    <n v="12290"/>
    <n v="4"/>
    <s v="Y"/>
    <x v="1"/>
    <n v="17"/>
    <n v="3"/>
    <n v="3"/>
    <n v="80"/>
    <n v="1"/>
    <n v="17"/>
    <n v="3"/>
    <n v="3"/>
    <n v="5"/>
    <n v="2"/>
    <n v="0"/>
    <n v="3"/>
    <x v="1"/>
    <x v="1"/>
    <n v="0"/>
    <n v="0"/>
    <x v="0"/>
    <x v="0"/>
    <n v="46"/>
  </r>
  <r>
    <n v="39"/>
    <x v="1"/>
    <s v="Travel_Rarely"/>
    <n v="613"/>
    <x v="1"/>
    <n v="6"/>
    <n v="1"/>
    <s v="Medical"/>
    <n v="1"/>
    <n v="2062"/>
    <n v="4"/>
    <x v="1"/>
    <n v="42"/>
    <n v="2"/>
    <n v="3"/>
    <x v="4"/>
    <n v="1"/>
    <s v="Married"/>
    <n v="9991"/>
    <n v="21457"/>
    <n v="4"/>
    <s v="Y"/>
    <x v="1"/>
    <n v="15"/>
    <n v="3"/>
    <n v="1"/>
    <n v="80"/>
    <n v="1"/>
    <n v="9"/>
    <n v="5"/>
    <n v="3"/>
    <n v="7"/>
    <n v="7"/>
    <n v="1"/>
    <n v="7"/>
    <x v="1"/>
    <x v="0"/>
    <n v="0"/>
    <n v="0"/>
    <x v="1"/>
    <x v="1"/>
    <n v="58"/>
  </r>
  <r>
    <n v="27"/>
    <x v="1"/>
    <s v="Travel_Rarely"/>
    <n v="155"/>
    <x v="1"/>
    <n v="4"/>
    <n v="3"/>
    <s v="Life Sciences"/>
    <n v="1"/>
    <n v="2064"/>
    <n v="2"/>
    <x v="1"/>
    <n v="87"/>
    <n v="4"/>
    <n v="2"/>
    <x v="3"/>
    <n v="2"/>
    <s v="Married"/>
    <n v="6142"/>
    <n v="5174"/>
    <n v="1"/>
    <s v="Y"/>
    <x v="0"/>
    <n v="20"/>
    <n v="4"/>
    <n v="2"/>
    <n v="80"/>
    <n v="1"/>
    <n v="6"/>
    <n v="0"/>
    <n v="3"/>
    <n v="6"/>
    <n v="2"/>
    <n v="0"/>
    <n v="3"/>
    <x v="2"/>
    <x v="0"/>
    <n v="0"/>
    <n v="1"/>
    <x v="3"/>
    <x v="1"/>
    <n v="87"/>
  </r>
  <r>
    <n v="49"/>
    <x v="1"/>
    <s v="Travel_Frequently"/>
    <n v="1023"/>
    <x v="0"/>
    <n v="2"/>
    <n v="3"/>
    <s v="Medical"/>
    <n v="1"/>
    <n v="2065"/>
    <n v="4"/>
    <x v="1"/>
    <n v="63"/>
    <n v="2"/>
    <n v="2"/>
    <x v="0"/>
    <n v="2"/>
    <s v="Married"/>
    <n v="5390"/>
    <n v="13243"/>
    <n v="2"/>
    <s v="Y"/>
    <x v="1"/>
    <n v="14"/>
    <n v="3"/>
    <n v="4"/>
    <n v="80"/>
    <n v="0"/>
    <n v="17"/>
    <n v="3"/>
    <n v="2"/>
    <n v="9"/>
    <n v="6"/>
    <n v="0"/>
    <n v="8"/>
    <x v="0"/>
    <x v="0"/>
    <n v="0"/>
    <n v="0"/>
    <x v="3"/>
    <x v="0"/>
    <n v="42"/>
  </r>
  <r>
    <n v="34"/>
    <x v="1"/>
    <s v="Travel_Rarely"/>
    <n v="628"/>
    <x v="1"/>
    <n v="8"/>
    <n v="3"/>
    <s v="Medical"/>
    <n v="1"/>
    <n v="2068"/>
    <n v="2"/>
    <x v="1"/>
    <n v="82"/>
    <n v="4"/>
    <n v="2"/>
    <x v="2"/>
    <n v="3"/>
    <s v="Married"/>
    <n v="4404"/>
    <n v="10228"/>
    <n v="2"/>
    <s v="Y"/>
    <x v="1"/>
    <n v="12"/>
    <n v="3"/>
    <n v="1"/>
    <n v="80"/>
    <n v="0"/>
    <n v="6"/>
    <n v="3"/>
    <n v="4"/>
    <n v="4"/>
    <n v="3"/>
    <n v="1"/>
    <n v="2"/>
    <x v="1"/>
    <x v="1"/>
    <n v="0"/>
    <n v="0"/>
    <x v="3"/>
    <x v="0"/>
    <n v="5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s v="40-49"/>
    <s v="High Income"/>
    <n v="1"/>
    <n v="1"/>
    <s v="College"/>
    <x v="0"/>
    <s v="Elevated"/>
    <n v="10"/>
    <n v="5"/>
    <n v="25"/>
    <n v="6.25"/>
    <n v="8"/>
    <n v="54"/>
    <s v="Medium Risk"/>
  </r>
  <r>
    <n v="2"/>
    <s v="40-49"/>
    <s v="High Income"/>
    <n v="0"/>
    <n v="0"/>
    <s v="Below College"/>
    <x v="0"/>
    <s v="Normal"/>
    <n v="10"/>
    <n v="5"/>
    <n v="0"/>
    <n v="18.75"/>
    <n v="8"/>
    <n v="42"/>
    <s v="Medium Risk"/>
  </r>
  <r>
    <n v="4"/>
    <s v="30-39"/>
    <s v="High Income"/>
    <n v="1"/>
    <n v="1"/>
    <s v="College"/>
    <x v="1"/>
    <s v="Normal"/>
    <n v="20"/>
    <n v="5"/>
    <n v="25"/>
    <n v="12.5"/>
    <n v="25"/>
    <n v="88"/>
    <s v="High Risk"/>
  </r>
  <r>
    <n v="5"/>
    <s v="30-39"/>
    <s v="High Income"/>
    <n v="0"/>
    <n v="1"/>
    <s v="Master"/>
    <x v="0"/>
    <s v="Normal"/>
    <n v="20"/>
    <n v="5"/>
    <n v="25"/>
    <n v="12.5"/>
    <n v="8"/>
    <n v="71"/>
    <s v="High Risk"/>
  </r>
  <r>
    <n v="7"/>
    <s v="Under 30"/>
    <s v="High Income"/>
    <n v="0"/>
    <n v="0"/>
    <s v="Below College"/>
    <x v="1"/>
    <s v="Normal"/>
    <n v="30"/>
    <n v="5"/>
    <n v="0"/>
    <n v="18.75"/>
    <n v="25"/>
    <n v="79"/>
    <s v="High Risk"/>
  </r>
  <r>
    <n v="8"/>
    <s v="30-39"/>
    <s v="High Income"/>
    <n v="0"/>
    <n v="0"/>
    <s v="College"/>
    <x v="0"/>
    <s v="Elevated"/>
    <n v="20"/>
    <n v="5"/>
    <n v="0"/>
    <n v="6.25"/>
    <n v="8"/>
    <n v="39"/>
    <s v="Medium Risk"/>
  </r>
  <r>
    <n v="10"/>
    <s v="50+"/>
    <s v="High Income"/>
    <n v="0"/>
    <n v="1"/>
    <s v="Bachelor"/>
    <x v="1"/>
    <s v="Elevated"/>
    <n v="15"/>
    <n v="5"/>
    <n v="25"/>
    <n v="25"/>
    <n v="25"/>
    <n v="95"/>
    <s v="High Risk"/>
  </r>
  <r>
    <n v="11"/>
    <s v="30-39"/>
    <s v="High Income"/>
    <n v="0"/>
    <n v="0"/>
    <s v="Below College"/>
    <x v="1"/>
    <s v="Normal"/>
    <n v="20"/>
    <n v="5"/>
    <n v="0"/>
    <n v="12.5"/>
    <n v="25"/>
    <n v="63"/>
    <s v="High Risk"/>
  </r>
  <r>
    <n v="12"/>
    <s v="30-39"/>
    <s v="High Income"/>
    <n v="0"/>
    <n v="0"/>
    <s v="Bachelor"/>
    <x v="0"/>
    <s v="Normal"/>
    <n v="20"/>
    <n v="5"/>
    <n v="0"/>
    <n v="12.5"/>
    <n v="8"/>
    <n v="46"/>
    <s v="Medium Risk"/>
  </r>
  <r>
    <n v="13"/>
    <s v="30-39"/>
    <s v="High Income"/>
    <n v="0"/>
    <n v="0"/>
    <s v="Bachelor"/>
    <x v="0"/>
    <s v="Elevated"/>
    <n v="20"/>
    <n v="5"/>
    <n v="0"/>
    <n v="12.5"/>
    <n v="8"/>
    <n v="46"/>
    <s v="Medium Risk"/>
  </r>
  <r>
    <n v="14"/>
    <s v="30-39"/>
    <s v="High Income"/>
    <n v="0"/>
    <n v="0"/>
    <s v="Bachelor"/>
    <x v="2"/>
    <s v="Normal"/>
    <n v="20"/>
    <n v="5"/>
    <n v="0"/>
    <n v="18.75"/>
    <n v="15"/>
    <n v="59"/>
    <s v="High Risk"/>
  </r>
  <r>
    <n v="15"/>
    <s v="Under 30"/>
    <s v="High Income"/>
    <n v="0"/>
    <n v="1"/>
    <s v="College"/>
    <x v="0"/>
    <s v="Normal"/>
    <n v="30"/>
    <n v="5"/>
    <n v="25"/>
    <n v="12.5"/>
    <n v="8"/>
    <n v="81"/>
    <s v="High Risk"/>
  </r>
  <r>
    <n v="16"/>
    <s v="30-39"/>
    <s v="High Income"/>
    <n v="0"/>
    <n v="0"/>
    <s v="Below College"/>
    <x v="2"/>
    <s v="Elevated"/>
    <n v="20"/>
    <n v="5"/>
    <n v="0"/>
    <n v="12.5"/>
    <n v="15"/>
    <n v="53"/>
    <s v="Medium Risk"/>
  </r>
  <r>
    <n v="18"/>
    <s v="30-39"/>
    <s v="High Income"/>
    <n v="0"/>
    <n v="0"/>
    <s v="College"/>
    <x v="1"/>
    <s v="Normal"/>
    <n v="20"/>
    <n v="5"/>
    <n v="0"/>
    <n v="6.25"/>
    <n v="25"/>
    <n v="56"/>
    <s v="High Risk"/>
  </r>
  <r>
    <n v="19"/>
    <s v="Under 30"/>
    <s v="High Income"/>
    <n v="1"/>
    <n v="1"/>
    <s v="Bachelor"/>
    <x v="2"/>
    <s v="Normal"/>
    <n v="30"/>
    <n v="5"/>
    <n v="25"/>
    <n v="12.5"/>
    <n v="15"/>
    <n v="88"/>
    <s v="High Risk"/>
  </r>
  <r>
    <n v="20"/>
    <s v="Under 30"/>
    <s v="High Income"/>
    <n v="0"/>
    <n v="0"/>
    <s v="Master"/>
    <x v="0"/>
    <s v="Normal"/>
    <n v="30"/>
    <n v="5"/>
    <n v="0"/>
    <n v="25"/>
    <n v="8"/>
    <n v="68"/>
    <s v="High Risk"/>
  </r>
  <r>
    <n v="21"/>
    <s v="30-39"/>
    <s v="High Income"/>
    <n v="0"/>
    <n v="1"/>
    <s v="College"/>
    <x v="0"/>
    <s v="Elevated"/>
    <n v="20"/>
    <n v="5"/>
    <n v="25"/>
    <n v="18.75"/>
    <n v="8"/>
    <n v="77"/>
    <s v="High Risk"/>
  </r>
  <r>
    <n v="22"/>
    <s v="Under 30"/>
    <s v="High Income"/>
    <n v="0"/>
    <n v="1"/>
    <s v="College"/>
    <x v="1"/>
    <s v="Elevated"/>
    <n v="30"/>
    <n v="5"/>
    <n v="25"/>
    <n v="6.25"/>
    <n v="25"/>
    <n v="91"/>
    <s v="High Risk"/>
  </r>
  <r>
    <n v="23"/>
    <s v="50+"/>
    <s v="High Income"/>
    <n v="0"/>
    <n v="0"/>
    <s v="Master"/>
    <x v="3"/>
    <s v="Normal"/>
    <n v="15"/>
    <n v="5"/>
    <n v="0"/>
    <n v="6.25"/>
    <n v="3"/>
    <n v="29"/>
    <s v="Low Risk"/>
  </r>
  <r>
    <n v="24"/>
    <s v="30-39"/>
    <s v="High Income"/>
    <n v="0"/>
    <n v="1"/>
    <s v="Bachelor"/>
    <x v="2"/>
    <s v="Normal"/>
    <n v="20"/>
    <n v="5"/>
    <n v="25"/>
    <n v="6.25"/>
    <n v="15"/>
    <n v="71"/>
    <s v="High Risk"/>
  </r>
  <r>
    <n v="26"/>
    <s v="Under 30"/>
    <s v="High Income"/>
    <n v="0"/>
    <n v="0"/>
    <s v="College"/>
    <x v="2"/>
    <s v="Elevated"/>
    <n v="30"/>
    <n v="5"/>
    <n v="0"/>
    <n v="12.5"/>
    <n v="15"/>
    <n v="63"/>
    <s v="High Risk"/>
  </r>
  <r>
    <n v="27"/>
    <s v="30-39"/>
    <s v="High Income"/>
    <n v="1"/>
    <n v="0"/>
    <s v="Master"/>
    <x v="2"/>
    <s v="Normal"/>
    <n v="20"/>
    <n v="5"/>
    <n v="0"/>
    <n v="25"/>
    <n v="15"/>
    <n v="65"/>
    <s v="High Risk"/>
  </r>
  <r>
    <n v="28"/>
    <s v="30-39"/>
    <s v="High Income"/>
    <n v="0"/>
    <n v="0"/>
    <s v="Master"/>
    <x v="3"/>
    <s v="Normal"/>
    <n v="20"/>
    <n v="5"/>
    <n v="0"/>
    <n v="18.75"/>
    <n v="3"/>
    <n v="47"/>
    <s v="Medium Risk"/>
  </r>
  <r>
    <n v="30"/>
    <s v="Under 30"/>
    <s v="High Income"/>
    <n v="0"/>
    <n v="0"/>
    <s v="College"/>
    <x v="1"/>
    <s v="Normal"/>
    <n v="30"/>
    <n v="5"/>
    <n v="0"/>
    <n v="6.25"/>
    <n v="25"/>
    <n v="66"/>
    <s v="High Risk"/>
  </r>
  <r>
    <n v="31"/>
    <s v="30-39"/>
    <s v="High Income"/>
    <n v="1"/>
    <n v="0"/>
    <s v="Below College"/>
    <x v="2"/>
    <s v="Normal"/>
    <n v="20"/>
    <n v="5"/>
    <n v="0"/>
    <n v="25"/>
    <n v="15"/>
    <n v="65"/>
    <s v="High Risk"/>
  </r>
  <r>
    <n v="32"/>
    <s v="50+"/>
    <s v="High Income"/>
    <n v="0"/>
    <n v="0"/>
    <s v="Bachelor"/>
    <x v="3"/>
    <s v="Elevated"/>
    <n v="15"/>
    <n v="5"/>
    <n v="0"/>
    <n v="12.5"/>
    <n v="3"/>
    <n v="36"/>
    <s v="Medium Risk"/>
  </r>
  <r>
    <n v="33"/>
    <s v="30-39"/>
    <s v="High Income"/>
    <n v="1"/>
    <n v="1"/>
    <s v="Below College"/>
    <x v="0"/>
    <s v="Normal"/>
    <n v="20"/>
    <n v="5"/>
    <n v="25"/>
    <n v="25"/>
    <n v="8"/>
    <n v="83"/>
    <s v="High Risk"/>
  </r>
  <r>
    <n v="35"/>
    <s v="40-49"/>
    <s v="High Income"/>
    <n v="0"/>
    <n v="0"/>
    <s v="Master"/>
    <x v="0"/>
    <s v="Normal"/>
    <n v="10"/>
    <n v="5"/>
    <n v="0"/>
    <n v="18.75"/>
    <n v="8"/>
    <n v="42"/>
    <s v="Medium Risk"/>
  </r>
  <r>
    <n v="36"/>
    <s v="40-49"/>
    <s v="High Income"/>
    <n v="0"/>
    <n v="0"/>
    <s v="Master"/>
    <x v="3"/>
    <s v="Normal"/>
    <n v="10"/>
    <n v="5"/>
    <n v="0"/>
    <n v="6.25"/>
    <n v="3"/>
    <n v="24"/>
    <s v="Low Risk"/>
  </r>
  <r>
    <n v="38"/>
    <s v="40-49"/>
    <s v="High Income"/>
    <n v="0"/>
    <n v="0"/>
    <s v="Master"/>
    <x v="1"/>
    <s v="Elevated"/>
    <n v="10"/>
    <n v="5"/>
    <n v="0"/>
    <n v="25"/>
    <n v="25"/>
    <n v="65"/>
    <s v="High Risk"/>
  </r>
  <r>
    <n v="39"/>
    <s v="30-39"/>
    <s v="High Income"/>
    <n v="0"/>
    <n v="0"/>
    <s v="Bachelor"/>
    <x v="1"/>
    <s v="Normal"/>
    <n v="20"/>
    <n v="5"/>
    <n v="0"/>
    <n v="6.25"/>
    <n v="25"/>
    <n v="56"/>
    <s v="High Risk"/>
  </r>
  <r>
    <n v="40"/>
    <s v="40-49"/>
    <s v="High Income"/>
    <n v="0"/>
    <n v="1"/>
    <s v="Master"/>
    <x v="2"/>
    <s v="Normal"/>
    <n v="10"/>
    <n v="5"/>
    <n v="25"/>
    <n v="6.25"/>
    <n v="15"/>
    <n v="61"/>
    <s v="High Risk"/>
  </r>
  <r>
    <n v="41"/>
    <s v="30-39"/>
    <s v="High Income"/>
    <n v="0"/>
    <n v="0"/>
    <s v="College"/>
    <x v="0"/>
    <s v="Normal"/>
    <n v="20"/>
    <n v="5"/>
    <n v="0"/>
    <n v="12.5"/>
    <n v="8"/>
    <n v="46"/>
    <s v="Medium Risk"/>
  </r>
  <r>
    <n v="42"/>
    <s v="30-39"/>
    <s v="High Income"/>
    <n v="1"/>
    <n v="0"/>
    <s v="Bachelor"/>
    <x v="1"/>
    <s v="Normal"/>
    <n v="20"/>
    <n v="5"/>
    <n v="0"/>
    <n v="6.25"/>
    <n v="25"/>
    <n v="56"/>
    <s v="High Risk"/>
  </r>
  <r>
    <n v="45"/>
    <s v="Under 30"/>
    <s v="High Income"/>
    <n v="1"/>
    <n v="1"/>
    <s v="Bachelor"/>
    <x v="1"/>
    <s v="Elevated"/>
    <n v="30"/>
    <n v="5"/>
    <n v="25"/>
    <n v="6.25"/>
    <n v="25"/>
    <n v="91"/>
    <s v="High Risk"/>
  </r>
  <r>
    <n v="46"/>
    <s v="40-49"/>
    <s v="High Income"/>
    <n v="0"/>
    <n v="0"/>
    <s v="College"/>
    <x v="2"/>
    <s v="Elevated"/>
    <n v="10"/>
    <n v="5"/>
    <n v="0"/>
    <n v="12.5"/>
    <n v="15"/>
    <n v="43"/>
    <s v="Medium Risk"/>
  </r>
  <r>
    <n v="47"/>
    <s v="50+"/>
    <s v="High Income"/>
    <n v="1"/>
    <n v="1"/>
    <s v="College"/>
    <x v="2"/>
    <s v="Normal"/>
    <n v="15"/>
    <n v="5"/>
    <n v="25"/>
    <n v="12.5"/>
    <n v="15"/>
    <n v="73"/>
    <s v="High Risk"/>
  </r>
  <r>
    <n v="49"/>
    <s v="30-39"/>
    <s v="High Income"/>
    <n v="0"/>
    <n v="0"/>
    <s v="Bachelor"/>
    <x v="1"/>
    <s v="Normal"/>
    <n v="20"/>
    <n v="5"/>
    <n v="0"/>
    <n v="6.25"/>
    <n v="25"/>
    <n v="56"/>
    <s v="High Risk"/>
  </r>
  <r>
    <n v="51"/>
    <s v="30-39"/>
    <s v="High Income"/>
    <n v="0"/>
    <n v="1"/>
    <s v="Master"/>
    <x v="1"/>
    <s v="Normal"/>
    <n v="20"/>
    <n v="5"/>
    <n v="25"/>
    <n v="25"/>
    <n v="25"/>
    <n v="100"/>
    <s v="High Risk"/>
  </r>
  <r>
    <n v="52"/>
    <s v="30-39"/>
    <s v="High Income"/>
    <n v="0"/>
    <n v="0"/>
    <s v="Bachelor"/>
    <x v="2"/>
    <s v="Normal"/>
    <n v="20"/>
    <n v="5"/>
    <n v="0"/>
    <n v="25"/>
    <n v="15"/>
    <n v="65"/>
    <s v="High Risk"/>
  </r>
  <r>
    <n v="53"/>
    <s v="30-39"/>
    <s v="High Income"/>
    <n v="0"/>
    <n v="0"/>
    <s v="College"/>
    <x v="1"/>
    <s v="Normal"/>
    <n v="20"/>
    <n v="5"/>
    <n v="0"/>
    <n v="6.25"/>
    <n v="25"/>
    <n v="56"/>
    <s v="High Risk"/>
  </r>
  <r>
    <n v="54"/>
    <s v="Under 30"/>
    <s v="High Income"/>
    <n v="0"/>
    <n v="0"/>
    <s v="Master"/>
    <x v="1"/>
    <s v="Normal"/>
    <n v="30"/>
    <n v="5"/>
    <n v="0"/>
    <n v="25"/>
    <n v="25"/>
    <n v="85"/>
    <s v="High Risk"/>
  </r>
  <r>
    <n v="55"/>
    <s v="Under 30"/>
    <s v="High Income"/>
    <n v="1"/>
    <n v="0"/>
    <s v="Bachelor"/>
    <x v="1"/>
    <s v="Elevated"/>
    <n v="30"/>
    <n v="5"/>
    <n v="0"/>
    <n v="12.5"/>
    <n v="25"/>
    <n v="73"/>
    <s v="High Risk"/>
  </r>
  <r>
    <n v="56"/>
    <s v="Under 30"/>
    <s v="High Income"/>
    <n v="0"/>
    <n v="0"/>
    <s v="Bachelor"/>
    <x v="0"/>
    <s v="Normal"/>
    <n v="30"/>
    <n v="5"/>
    <n v="0"/>
    <n v="12.5"/>
    <n v="8"/>
    <n v="56"/>
    <s v="High Risk"/>
  </r>
  <r>
    <n v="57"/>
    <s v="30-39"/>
    <s v="High Income"/>
    <n v="0"/>
    <n v="0"/>
    <s v="College"/>
    <x v="3"/>
    <s v="Normal"/>
    <n v="20"/>
    <n v="5"/>
    <n v="0"/>
    <n v="6.25"/>
    <n v="3"/>
    <n v="34"/>
    <s v="Low Risk"/>
  </r>
  <r>
    <n v="58"/>
    <s v="40-49"/>
    <s v="High Income"/>
    <n v="1"/>
    <n v="0"/>
    <s v="Bachelor"/>
    <x v="3"/>
    <s v="Normal"/>
    <n v="10"/>
    <n v="5"/>
    <n v="0"/>
    <n v="12.5"/>
    <n v="3"/>
    <n v="31"/>
    <s v="Low Risk"/>
  </r>
  <r>
    <n v="60"/>
    <s v="30-39"/>
    <s v="High Income"/>
    <n v="0"/>
    <n v="0"/>
    <s v="Master"/>
    <x v="0"/>
    <s v="Normal"/>
    <n v="20"/>
    <n v="5"/>
    <n v="0"/>
    <n v="12.5"/>
    <n v="8"/>
    <n v="46"/>
    <s v="Medium Risk"/>
  </r>
  <r>
    <n v="61"/>
    <s v="30-39"/>
    <s v="High Income"/>
    <n v="0"/>
    <n v="0"/>
    <s v="College"/>
    <x v="1"/>
    <s v="Normal"/>
    <n v="20"/>
    <n v="5"/>
    <n v="0"/>
    <n v="18.75"/>
    <n v="25"/>
    <n v="69"/>
    <s v="High Risk"/>
  </r>
  <r>
    <n v="62"/>
    <s v="40-49"/>
    <s v="High Income"/>
    <n v="0"/>
    <n v="1"/>
    <s v="Master"/>
    <x v="0"/>
    <s v="Normal"/>
    <n v="10"/>
    <n v="5"/>
    <n v="25"/>
    <n v="6.25"/>
    <n v="8"/>
    <n v="54"/>
    <s v="Medium Risk"/>
  </r>
  <r>
    <n v="63"/>
    <s v="30-39"/>
    <s v="High Income"/>
    <n v="0"/>
    <n v="0"/>
    <s v="Below College"/>
    <x v="1"/>
    <s v="Normal"/>
    <n v="20"/>
    <n v="5"/>
    <n v="0"/>
    <n v="6.25"/>
    <n v="25"/>
    <n v="56"/>
    <s v="High Risk"/>
  </r>
  <r>
    <n v="64"/>
    <s v="40-49"/>
    <s v="High Income"/>
    <n v="1"/>
    <n v="1"/>
    <s v="College"/>
    <x v="1"/>
    <s v="Normal"/>
    <n v="10"/>
    <n v="5"/>
    <n v="25"/>
    <n v="12.5"/>
    <n v="25"/>
    <n v="78"/>
    <s v="High Risk"/>
  </r>
  <r>
    <n v="65"/>
    <s v="Under 30"/>
    <s v="High Income"/>
    <n v="1"/>
    <n v="1"/>
    <s v="Master"/>
    <x v="1"/>
    <s v="Elevated"/>
    <n v="30"/>
    <n v="5"/>
    <n v="25"/>
    <n v="12.5"/>
    <n v="25"/>
    <n v="98"/>
    <s v="High Risk"/>
  </r>
  <r>
    <n v="68"/>
    <s v="40-49"/>
    <s v="High Income"/>
    <n v="0"/>
    <n v="1"/>
    <s v="Doctor"/>
    <x v="2"/>
    <s v="Elevated"/>
    <n v="10"/>
    <n v="5"/>
    <n v="25"/>
    <n v="25"/>
    <n v="15"/>
    <n v="80"/>
    <s v="High Risk"/>
  </r>
  <r>
    <n v="70"/>
    <s v="30-39"/>
    <s v="High Income"/>
    <n v="0"/>
    <n v="1"/>
    <s v="College"/>
    <x v="2"/>
    <s v="Normal"/>
    <n v="20"/>
    <n v="5"/>
    <n v="25"/>
    <n v="25"/>
    <n v="15"/>
    <n v="90"/>
    <s v="High Risk"/>
  </r>
  <r>
    <n v="72"/>
    <s v="Under 30"/>
    <s v="High Income"/>
    <n v="0"/>
    <n v="1"/>
    <s v="Bachelor"/>
    <x v="1"/>
    <s v="Elevated"/>
    <n v="30"/>
    <n v="5"/>
    <n v="25"/>
    <n v="6.25"/>
    <n v="25"/>
    <n v="91"/>
    <s v="High Risk"/>
  </r>
  <r>
    <n v="73"/>
    <s v="30-39"/>
    <s v="High Income"/>
    <n v="0"/>
    <n v="1"/>
    <s v="College"/>
    <x v="3"/>
    <s v="Normal"/>
    <n v="20"/>
    <n v="5"/>
    <n v="25"/>
    <n v="6.25"/>
    <n v="3"/>
    <n v="59"/>
    <s v="High Risk"/>
  </r>
  <r>
    <n v="74"/>
    <s v="30-39"/>
    <s v="High Income"/>
    <n v="0"/>
    <n v="0"/>
    <s v="Doctor"/>
    <x v="0"/>
    <s v="Elevated"/>
    <n v="20"/>
    <n v="5"/>
    <n v="0"/>
    <n v="25"/>
    <n v="8"/>
    <n v="58"/>
    <s v="High Risk"/>
  </r>
  <r>
    <n v="75"/>
    <s v="30-39"/>
    <s v="High Income"/>
    <n v="0"/>
    <n v="1"/>
    <s v="Master"/>
    <x v="1"/>
    <s v="Normal"/>
    <n v="20"/>
    <n v="5"/>
    <n v="25"/>
    <n v="25"/>
    <n v="25"/>
    <n v="100"/>
    <s v="High Risk"/>
  </r>
  <r>
    <n v="76"/>
    <s v="30-39"/>
    <s v="High Income"/>
    <n v="0"/>
    <n v="0"/>
    <s v="Master"/>
    <x v="0"/>
    <s v="Elevated"/>
    <n v="20"/>
    <n v="5"/>
    <n v="0"/>
    <n v="6.25"/>
    <n v="8"/>
    <n v="39"/>
    <s v="Medium Risk"/>
  </r>
  <r>
    <n v="77"/>
    <s v="30-39"/>
    <s v="High Income"/>
    <n v="0"/>
    <n v="0"/>
    <s v="Master"/>
    <x v="0"/>
    <s v="Normal"/>
    <n v="20"/>
    <n v="5"/>
    <n v="0"/>
    <n v="12.5"/>
    <n v="8"/>
    <n v="46"/>
    <s v="Medium Risk"/>
  </r>
  <r>
    <n v="78"/>
    <s v="30-39"/>
    <s v="High Income"/>
    <n v="0"/>
    <n v="1"/>
    <s v="Bachelor"/>
    <x v="0"/>
    <s v="Normal"/>
    <n v="20"/>
    <n v="5"/>
    <n v="25"/>
    <n v="6.25"/>
    <n v="8"/>
    <n v="64"/>
    <s v="High Risk"/>
  </r>
  <r>
    <n v="79"/>
    <s v="30-39"/>
    <s v="High Income"/>
    <n v="0"/>
    <n v="0"/>
    <s v="Doctor"/>
    <x v="0"/>
    <s v="Normal"/>
    <n v="20"/>
    <n v="5"/>
    <n v="0"/>
    <n v="6.25"/>
    <n v="8"/>
    <n v="39"/>
    <s v="Medium Risk"/>
  </r>
  <r>
    <n v="80"/>
    <s v="50+"/>
    <s v="High Income"/>
    <n v="0"/>
    <n v="1"/>
    <s v="College"/>
    <x v="3"/>
    <s v="Elevated"/>
    <n v="15"/>
    <n v="5"/>
    <n v="25"/>
    <n v="12.5"/>
    <n v="3"/>
    <n v="61"/>
    <s v="High Risk"/>
  </r>
  <r>
    <n v="81"/>
    <s v="50+"/>
    <s v="High Income"/>
    <n v="0"/>
    <n v="0"/>
    <s v="Bachelor"/>
    <x v="3"/>
    <s v="Elevated"/>
    <n v="15"/>
    <n v="5"/>
    <n v="0"/>
    <n v="25"/>
    <n v="3"/>
    <n v="48"/>
    <s v="Medium Risk"/>
  </r>
  <r>
    <n v="83"/>
    <s v="30-39"/>
    <s v="High Income"/>
    <n v="0"/>
    <n v="0"/>
    <s v="Bachelor"/>
    <x v="3"/>
    <s v="Normal"/>
    <n v="20"/>
    <n v="5"/>
    <n v="0"/>
    <n v="12.5"/>
    <n v="3"/>
    <n v="41"/>
    <s v="Medium Risk"/>
  </r>
  <r>
    <n v="84"/>
    <s v="50+"/>
    <s v="High Income"/>
    <n v="0"/>
    <n v="1"/>
    <s v="Bachelor"/>
    <x v="2"/>
    <s v="Normal"/>
    <n v="15"/>
    <n v="5"/>
    <n v="25"/>
    <n v="12.5"/>
    <n v="15"/>
    <n v="73"/>
    <s v="High Risk"/>
  </r>
  <r>
    <n v="85"/>
    <s v="30-39"/>
    <s v="High Income"/>
    <n v="0"/>
    <n v="0"/>
    <s v="Bachelor"/>
    <x v="0"/>
    <s v="Normal"/>
    <n v="20"/>
    <n v="5"/>
    <n v="0"/>
    <n v="18.75"/>
    <n v="8"/>
    <n v="52"/>
    <s v="Medium Risk"/>
  </r>
  <r>
    <n v="86"/>
    <s v="40-49"/>
    <s v="High Income"/>
    <n v="0"/>
    <n v="0"/>
    <s v="Bachelor"/>
    <x v="1"/>
    <s v="Normal"/>
    <n v="10"/>
    <n v="5"/>
    <n v="0"/>
    <n v="25"/>
    <n v="25"/>
    <n v="65"/>
    <s v="High Risk"/>
  </r>
  <r>
    <n v="88"/>
    <s v="30-39"/>
    <s v="High Income"/>
    <n v="0"/>
    <n v="0"/>
    <s v="Bachelor"/>
    <x v="2"/>
    <s v="Elevated"/>
    <n v="20"/>
    <n v="5"/>
    <n v="0"/>
    <n v="25"/>
    <n v="15"/>
    <n v="65"/>
    <s v="High Risk"/>
  </r>
  <r>
    <n v="90"/>
    <s v="30-39"/>
    <s v="High Income"/>
    <n v="1"/>
    <n v="1"/>
    <s v="Bachelor"/>
    <x v="1"/>
    <s v="Elevated"/>
    <n v="20"/>
    <n v="5"/>
    <n v="25"/>
    <n v="12.5"/>
    <n v="25"/>
    <n v="88"/>
    <s v="High Risk"/>
  </r>
  <r>
    <n v="91"/>
    <s v="50+"/>
    <s v="High Income"/>
    <n v="0"/>
    <n v="0"/>
    <s v="Below College"/>
    <x v="2"/>
    <s v="Elevated"/>
    <n v="15"/>
    <n v="5"/>
    <n v="0"/>
    <n v="12.5"/>
    <n v="15"/>
    <n v="48"/>
    <s v="Medium Risk"/>
  </r>
  <r>
    <n v="94"/>
    <s v="Under 30"/>
    <s v="High Income"/>
    <n v="0"/>
    <n v="0"/>
    <s v="Bachelor"/>
    <x v="2"/>
    <s v="Normal"/>
    <n v="30"/>
    <n v="5"/>
    <n v="0"/>
    <n v="18.75"/>
    <n v="15"/>
    <n v="69"/>
    <s v="High Risk"/>
  </r>
  <r>
    <n v="95"/>
    <s v="30-39"/>
    <s v="High Income"/>
    <n v="0"/>
    <n v="0"/>
    <s v="Master"/>
    <x v="1"/>
    <s v="Normal"/>
    <n v="20"/>
    <n v="5"/>
    <n v="0"/>
    <n v="18.75"/>
    <n v="25"/>
    <n v="69"/>
    <s v="High Risk"/>
  </r>
  <r>
    <n v="96"/>
    <s v="30-39"/>
    <s v="High Income"/>
    <n v="0"/>
    <n v="0"/>
    <s v="Bachelor"/>
    <x v="0"/>
    <s v="Normal"/>
    <n v="20"/>
    <n v="5"/>
    <n v="0"/>
    <n v="18.75"/>
    <n v="8"/>
    <n v="52"/>
    <s v="Medium Risk"/>
  </r>
  <r>
    <n v="97"/>
    <s v="30-39"/>
    <s v="High Income"/>
    <n v="0"/>
    <n v="0"/>
    <s v="Bachelor"/>
    <x v="1"/>
    <s v="Normal"/>
    <n v="20"/>
    <n v="5"/>
    <n v="0"/>
    <n v="6.25"/>
    <n v="25"/>
    <n v="56"/>
    <s v="High Risk"/>
  </r>
  <r>
    <n v="98"/>
    <s v="30-39"/>
    <s v="High Income"/>
    <n v="0"/>
    <n v="0"/>
    <s v="Master"/>
    <x v="3"/>
    <s v="Normal"/>
    <n v="20"/>
    <n v="5"/>
    <n v="0"/>
    <n v="6.25"/>
    <n v="3"/>
    <n v="34"/>
    <s v="Low Risk"/>
  </r>
  <r>
    <n v="100"/>
    <s v="30-39"/>
    <s v="High Income"/>
    <n v="0"/>
    <n v="0"/>
    <s v="Master"/>
    <x v="3"/>
    <s v="Normal"/>
    <n v="20"/>
    <n v="5"/>
    <n v="0"/>
    <n v="25"/>
    <n v="3"/>
    <n v="53"/>
    <s v="Medium Risk"/>
  </r>
  <r>
    <n v="101"/>
    <s v="40-49"/>
    <s v="High Income"/>
    <n v="0"/>
    <n v="1"/>
    <s v="Master"/>
    <x v="1"/>
    <s v="Normal"/>
    <n v="10"/>
    <n v="5"/>
    <n v="25"/>
    <n v="25"/>
    <n v="25"/>
    <n v="90"/>
    <s v="High Risk"/>
  </r>
  <r>
    <n v="102"/>
    <s v="30-39"/>
    <s v="High Income"/>
    <n v="0"/>
    <n v="0"/>
    <s v="Master"/>
    <x v="2"/>
    <s v="Normal"/>
    <n v="20"/>
    <n v="5"/>
    <n v="0"/>
    <n v="12.5"/>
    <n v="15"/>
    <n v="53"/>
    <s v="Medium Risk"/>
  </r>
  <r>
    <n v="103"/>
    <s v="40-49"/>
    <s v="High Income"/>
    <n v="0"/>
    <n v="1"/>
    <s v="College"/>
    <x v="2"/>
    <s v="Normal"/>
    <n v="10"/>
    <n v="5"/>
    <n v="25"/>
    <n v="18.75"/>
    <n v="15"/>
    <n v="74"/>
    <s v="High Risk"/>
  </r>
  <r>
    <n v="104"/>
    <s v="30-39"/>
    <s v="High Income"/>
    <n v="0"/>
    <n v="1"/>
    <s v="Below College"/>
    <x v="0"/>
    <s v="Elevated"/>
    <n v="20"/>
    <n v="5"/>
    <n v="25"/>
    <n v="6.25"/>
    <n v="8"/>
    <n v="64"/>
    <s v="High Risk"/>
  </r>
  <r>
    <n v="105"/>
    <s v="30-39"/>
    <s v="High Income"/>
    <n v="0"/>
    <n v="0"/>
    <s v="Bachelor"/>
    <x v="0"/>
    <s v="Normal"/>
    <n v="20"/>
    <n v="5"/>
    <n v="0"/>
    <n v="12.5"/>
    <n v="8"/>
    <n v="46"/>
    <s v="Medium Risk"/>
  </r>
  <r>
    <n v="106"/>
    <s v="50+"/>
    <s v="High Income"/>
    <n v="0"/>
    <n v="0"/>
    <s v="College"/>
    <x v="1"/>
    <s v="Normal"/>
    <n v="15"/>
    <n v="5"/>
    <n v="0"/>
    <n v="6.25"/>
    <n v="25"/>
    <n v="51"/>
    <s v="Medium Risk"/>
  </r>
  <r>
    <n v="107"/>
    <s v="30-39"/>
    <s v="High Income"/>
    <n v="0"/>
    <n v="1"/>
    <s v="Bachelor"/>
    <x v="3"/>
    <s v="Normal"/>
    <n v="20"/>
    <n v="5"/>
    <n v="25"/>
    <n v="6.25"/>
    <n v="3"/>
    <n v="59"/>
    <s v="High Risk"/>
  </r>
  <r>
    <n v="110"/>
    <s v="30-39"/>
    <s v="High Income"/>
    <n v="0"/>
    <n v="0"/>
    <s v="College"/>
    <x v="2"/>
    <s v="Normal"/>
    <n v="20"/>
    <n v="5"/>
    <n v="0"/>
    <n v="18.75"/>
    <n v="15"/>
    <n v="59"/>
    <s v="High Risk"/>
  </r>
  <r>
    <n v="112"/>
    <s v="50+"/>
    <s v="High Income"/>
    <n v="0"/>
    <n v="0"/>
    <s v="Bachelor"/>
    <x v="0"/>
    <s v="Elevated"/>
    <n v="15"/>
    <n v="5"/>
    <n v="0"/>
    <n v="6.25"/>
    <n v="8"/>
    <n v="34"/>
    <s v="Low Risk"/>
  </r>
  <r>
    <n v="113"/>
    <s v="Under 30"/>
    <s v="High Income"/>
    <n v="0"/>
    <n v="0"/>
    <s v="Below College"/>
    <x v="1"/>
    <s v="Normal"/>
    <n v="30"/>
    <n v="5"/>
    <n v="0"/>
    <n v="25"/>
    <n v="25"/>
    <n v="85"/>
    <s v="High Risk"/>
  </r>
  <r>
    <n v="116"/>
    <s v="50+"/>
    <s v="High Income"/>
    <n v="0"/>
    <n v="0"/>
    <s v="Master"/>
    <x v="2"/>
    <s v="Normal"/>
    <n v="15"/>
    <n v="5"/>
    <n v="0"/>
    <n v="6.25"/>
    <n v="15"/>
    <n v="41"/>
    <s v="Medium Risk"/>
  </r>
  <r>
    <n v="117"/>
    <s v="30-39"/>
    <s v="High Income"/>
    <n v="0"/>
    <n v="0"/>
    <s v="Bachelor"/>
    <x v="3"/>
    <s v="Normal"/>
    <n v="20"/>
    <n v="5"/>
    <n v="0"/>
    <n v="6.25"/>
    <n v="3"/>
    <n v="34"/>
    <s v="Low Risk"/>
  </r>
  <r>
    <n v="118"/>
    <s v="40-49"/>
    <s v="High Income"/>
    <n v="1"/>
    <n v="0"/>
    <s v="College"/>
    <x v="0"/>
    <s v="Normal"/>
    <n v="10"/>
    <n v="5"/>
    <n v="0"/>
    <n v="6.25"/>
    <n v="8"/>
    <n v="29"/>
    <s v="Low Risk"/>
  </r>
  <r>
    <n v="119"/>
    <s v="40-49"/>
    <s v="High Income"/>
    <n v="0"/>
    <n v="0"/>
    <s v="Master"/>
    <x v="3"/>
    <s v="Elevated"/>
    <n v="10"/>
    <n v="5"/>
    <n v="0"/>
    <n v="18.75"/>
    <n v="3"/>
    <n v="37"/>
    <s v="Medium Risk"/>
  </r>
  <r>
    <n v="120"/>
    <s v="50+"/>
    <s v="High Income"/>
    <n v="0"/>
    <n v="1"/>
    <s v="Master"/>
    <x v="0"/>
    <s v="Elevated"/>
    <n v="15"/>
    <n v="5"/>
    <n v="25"/>
    <n v="6.25"/>
    <n v="8"/>
    <n v="59"/>
    <s v="High Risk"/>
  </r>
  <r>
    <n v="121"/>
    <s v="30-39"/>
    <s v="High Income"/>
    <n v="0"/>
    <n v="1"/>
    <s v="College"/>
    <x v="3"/>
    <s v="Elevated"/>
    <n v="20"/>
    <n v="5"/>
    <n v="25"/>
    <n v="18.75"/>
    <n v="3"/>
    <n v="72"/>
    <s v="High Risk"/>
  </r>
  <r>
    <n v="124"/>
    <s v="40-49"/>
    <s v="High Income"/>
    <n v="0"/>
    <n v="1"/>
    <s v="Bachelor"/>
    <x v="0"/>
    <s v="Elevated"/>
    <n v="10"/>
    <n v="5"/>
    <n v="25"/>
    <n v="25"/>
    <n v="8"/>
    <n v="73"/>
    <s v="High Risk"/>
  </r>
  <r>
    <n v="125"/>
    <s v="30-39"/>
    <s v="High Income"/>
    <n v="0"/>
    <n v="0"/>
    <s v="Master"/>
    <x v="3"/>
    <s v="Normal"/>
    <n v="20"/>
    <n v="5"/>
    <n v="0"/>
    <n v="12.5"/>
    <n v="3"/>
    <n v="41"/>
    <s v="Medium Risk"/>
  </r>
  <r>
    <n v="126"/>
    <s v="50+"/>
    <s v="High Income"/>
    <n v="0"/>
    <n v="0"/>
    <s v="Master"/>
    <x v="2"/>
    <s v="Elevated"/>
    <n v="15"/>
    <n v="5"/>
    <n v="0"/>
    <n v="12.5"/>
    <n v="15"/>
    <n v="48"/>
    <s v="Medium Risk"/>
  </r>
  <r>
    <n v="128"/>
    <s v="Under 30"/>
    <s v="High Income"/>
    <n v="0"/>
    <n v="0"/>
    <s v="College"/>
    <x v="2"/>
    <s v="Elevated"/>
    <n v="30"/>
    <n v="5"/>
    <n v="0"/>
    <n v="12.5"/>
    <n v="15"/>
    <n v="63"/>
    <s v="High Risk"/>
  </r>
  <r>
    <n v="129"/>
    <s v="Under 30"/>
    <s v="High Income"/>
    <n v="0"/>
    <n v="0"/>
    <s v="Bachelor"/>
    <x v="2"/>
    <s v="Normal"/>
    <n v="30"/>
    <n v="5"/>
    <n v="0"/>
    <n v="12.5"/>
    <n v="15"/>
    <n v="63"/>
    <s v="High Risk"/>
  </r>
  <r>
    <n v="131"/>
    <s v="50+"/>
    <s v="High Income"/>
    <n v="0"/>
    <n v="0"/>
    <s v="Master"/>
    <x v="3"/>
    <s v="Elevated"/>
    <n v="15"/>
    <n v="5"/>
    <n v="0"/>
    <n v="12.5"/>
    <n v="3"/>
    <n v="36"/>
    <s v="Medium Risk"/>
  </r>
  <r>
    <n v="132"/>
    <s v="40-49"/>
    <s v="High Income"/>
    <n v="0"/>
    <n v="0"/>
    <s v="Bachelor"/>
    <x v="2"/>
    <s v="Normal"/>
    <n v="10"/>
    <n v="5"/>
    <n v="0"/>
    <n v="18.75"/>
    <n v="15"/>
    <n v="49"/>
    <s v="Medium Risk"/>
  </r>
  <r>
    <n v="133"/>
    <s v="30-39"/>
    <s v="High Income"/>
    <n v="1"/>
    <n v="1"/>
    <s v="Master"/>
    <x v="2"/>
    <s v="Normal"/>
    <n v="20"/>
    <n v="5"/>
    <n v="25"/>
    <n v="25"/>
    <n v="15"/>
    <n v="90"/>
    <s v="High Risk"/>
  </r>
  <r>
    <n v="134"/>
    <s v="30-39"/>
    <s v="High Income"/>
    <n v="0"/>
    <n v="0"/>
    <s v="Below College"/>
    <x v="1"/>
    <s v="Normal"/>
    <n v="20"/>
    <n v="5"/>
    <n v="0"/>
    <n v="25"/>
    <n v="25"/>
    <n v="75"/>
    <s v="High Risk"/>
  </r>
  <r>
    <n v="137"/>
    <s v="Under 30"/>
    <s v="High Income"/>
    <n v="1"/>
    <n v="1"/>
    <s v="Bachelor"/>
    <x v="1"/>
    <s v="Normal"/>
    <n v="30"/>
    <n v="5"/>
    <n v="25"/>
    <n v="6.25"/>
    <n v="25"/>
    <n v="91"/>
    <s v="High Risk"/>
  </r>
  <r>
    <n v="138"/>
    <s v="30-39"/>
    <s v="High Income"/>
    <n v="0"/>
    <n v="0"/>
    <s v="Master"/>
    <x v="3"/>
    <s v="Normal"/>
    <n v="20"/>
    <n v="5"/>
    <n v="0"/>
    <n v="12.5"/>
    <n v="3"/>
    <n v="41"/>
    <s v="Medium Risk"/>
  </r>
  <r>
    <n v="139"/>
    <s v="30-39"/>
    <s v="High Income"/>
    <n v="0"/>
    <n v="0"/>
    <s v="College"/>
    <x v="1"/>
    <s v="Normal"/>
    <n v="20"/>
    <n v="5"/>
    <n v="0"/>
    <n v="6.25"/>
    <n v="25"/>
    <n v="56"/>
    <s v="High Risk"/>
  </r>
  <r>
    <n v="140"/>
    <s v="50+"/>
    <s v="High Income"/>
    <n v="0"/>
    <n v="0"/>
    <s v="Master"/>
    <x v="2"/>
    <s v="Normal"/>
    <n v="15"/>
    <n v="5"/>
    <n v="0"/>
    <n v="6.25"/>
    <n v="15"/>
    <n v="41"/>
    <s v="Medium Risk"/>
  </r>
  <r>
    <n v="141"/>
    <s v="50+"/>
    <s v="High Income"/>
    <n v="0"/>
    <n v="1"/>
    <s v="Bachelor"/>
    <x v="0"/>
    <s v="Elevated"/>
    <n v="15"/>
    <n v="5"/>
    <n v="25"/>
    <n v="18.75"/>
    <n v="8"/>
    <n v="72"/>
    <s v="High Risk"/>
  </r>
  <r>
    <n v="142"/>
    <s v="Under 30"/>
    <s v="High Income"/>
    <n v="1"/>
    <n v="1"/>
    <s v="Bachelor"/>
    <x v="0"/>
    <s v="Normal"/>
    <n v="30"/>
    <n v="5"/>
    <n v="25"/>
    <n v="12.5"/>
    <n v="8"/>
    <n v="81"/>
    <s v="High Risk"/>
  </r>
  <r>
    <n v="143"/>
    <s v="Under 30"/>
    <s v="High Income"/>
    <n v="0"/>
    <n v="0"/>
    <s v="Below College"/>
    <x v="1"/>
    <s v="Normal"/>
    <n v="30"/>
    <n v="5"/>
    <n v="0"/>
    <n v="6.25"/>
    <n v="25"/>
    <n v="66"/>
    <s v="High Risk"/>
  </r>
  <r>
    <n v="144"/>
    <s v="Under 30"/>
    <s v="High Income"/>
    <n v="0"/>
    <n v="0"/>
    <s v="Bachelor"/>
    <x v="1"/>
    <s v="Normal"/>
    <n v="30"/>
    <n v="5"/>
    <n v="0"/>
    <n v="6.25"/>
    <n v="25"/>
    <n v="66"/>
    <s v="High Risk"/>
  </r>
  <r>
    <n v="145"/>
    <s v="50+"/>
    <s v="High Income"/>
    <n v="0"/>
    <n v="0"/>
    <s v="Master"/>
    <x v="3"/>
    <s v="Elevated"/>
    <n v="15"/>
    <n v="5"/>
    <n v="0"/>
    <n v="25"/>
    <n v="3"/>
    <n v="48"/>
    <s v="Medium Risk"/>
  </r>
  <r>
    <n v="147"/>
    <s v="30-39"/>
    <s v="High Income"/>
    <n v="1"/>
    <n v="1"/>
    <s v="Bachelor"/>
    <x v="0"/>
    <s v="Normal"/>
    <n v="20"/>
    <n v="5"/>
    <n v="25"/>
    <n v="12.5"/>
    <n v="8"/>
    <n v="71"/>
    <s v="High Risk"/>
  </r>
  <r>
    <n v="148"/>
    <s v="50+"/>
    <s v="High Income"/>
    <n v="0"/>
    <n v="1"/>
    <s v="Bachelor"/>
    <x v="2"/>
    <s v="Normal"/>
    <n v="15"/>
    <n v="5"/>
    <n v="25"/>
    <n v="6.25"/>
    <n v="15"/>
    <n v="66"/>
    <s v="High Risk"/>
  </r>
  <r>
    <n v="150"/>
    <s v="Under 30"/>
    <s v="High Income"/>
    <n v="0"/>
    <n v="0"/>
    <s v="Below College"/>
    <x v="2"/>
    <s v="Normal"/>
    <n v="30"/>
    <n v="5"/>
    <n v="0"/>
    <n v="12.5"/>
    <n v="15"/>
    <n v="63"/>
    <s v="High Risk"/>
  </r>
  <r>
    <n v="151"/>
    <s v="30-39"/>
    <s v="High Income"/>
    <n v="0"/>
    <n v="0"/>
    <s v="Master"/>
    <x v="1"/>
    <s v="Normal"/>
    <n v="20"/>
    <n v="5"/>
    <n v="0"/>
    <n v="18.75"/>
    <n v="25"/>
    <n v="69"/>
    <s v="High Risk"/>
  </r>
  <r>
    <n v="152"/>
    <s v="30-39"/>
    <s v="High Income"/>
    <n v="0"/>
    <n v="0"/>
    <s v="Bachelor"/>
    <x v="2"/>
    <s v="Normal"/>
    <n v="20"/>
    <n v="5"/>
    <n v="0"/>
    <n v="6.25"/>
    <n v="15"/>
    <n v="46"/>
    <s v="Medium Risk"/>
  </r>
  <r>
    <n v="153"/>
    <s v="30-39"/>
    <s v="High Income"/>
    <n v="0"/>
    <n v="0"/>
    <s v="Bachelor"/>
    <x v="3"/>
    <s v="Normal"/>
    <n v="20"/>
    <n v="5"/>
    <n v="0"/>
    <n v="25"/>
    <n v="3"/>
    <n v="53"/>
    <s v="Medium Risk"/>
  </r>
  <r>
    <n v="154"/>
    <s v="30-39"/>
    <s v="High Income"/>
    <n v="0"/>
    <n v="0"/>
    <s v="College"/>
    <x v="0"/>
    <s v="Normal"/>
    <n v="20"/>
    <n v="5"/>
    <n v="0"/>
    <n v="6.25"/>
    <n v="8"/>
    <n v="39"/>
    <s v="Medium Risk"/>
  </r>
  <r>
    <n v="155"/>
    <s v="30-39"/>
    <s v="High Income"/>
    <n v="0"/>
    <n v="0"/>
    <s v="College"/>
    <x v="1"/>
    <s v="Normal"/>
    <n v="20"/>
    <n v="5"/>
    <n v="0"/>
    <n v="6.25"/>
    <n v="25"/>
    <n v="56"/>
    <s v="High Risk"/>
  </r>
  <r>
    <n v="158"/>
    <s v="40-49"/>
    <s v="High Income"/>
    <n v="0"/>
    <n v="1"/>
    <s v="College"/>
    <x v="3"/>
    <s v="Normal"/>
    <n v="10"/>
    <n v="5"/>
    <n v="25"/>
    <n v="6.25"/>
    <n v="3"/>
    <n v="49"/>
    <s v="Medium Risk"/>
  </r>
  <r>
    <n v="159"/>
    <s v="30-39"/>
    <s v="High Income"/>
    <n v="0"/>
    <n v="0"/>
    <s v="Bachelor"/>
    <x v="0"/>
    <s v="Elevated"/>
    <n v="20"/>
    <n v="5"/>
    <n v="0"/>
    <n v="12.5"/>
    <n v="8"/>
    <n v="46"/>
    <s v="Medium Risk"/>
  </r>
  <r>
    <n v="160"/>
    <s v="30-39"/>
    <s v="High Income"/>
    <n v="0"/>
    <n v="0"/>
    <s v="College"/>
    <x v="0"/>
    <s v="Normal"/>
    <n v="20"/>
    <n v="5"/>
    <n v="0"/>
    <n v="18.75"/>
    <n v="8"/>
    <n v="52"/>
    <s v="Medium Risk"/>
  </r>
  <r>
    <n v="161"/>
    <s v="50+"/>
    <s v="High Income"/>
    <n v="1"/>
    <n v="1"/>
    <s v="Master"/>
    <x v="2"/>
    <s v="Normal"/>
    <n v="15"/>
    <n v="5"/>
    <n v="25"/>
    <n v="18.75"/>
    <n v="15"/>
    <n v="79"/>
    <s v="High Risk"/>
  </r>
  <r>
    <n v="162"/>
    <s v="50+"/>
    <s v="High Income"/>
    <n v="0"/>
    <n v="0"/>
    <s v="Bachelor"/>
    <x v="3"/>
    <s v="Normal"/>
    <n v="15"/>
    <n v="5"/>
    <n v="0"/>
    <n v="12.5"/>
    <n v="3"/>
    <n v="36"/>
    <s v="Medium Risk"/>
  </r>
  <r>
    <n v="163"/>
    <s v="30-39"/>
    <s v="High Income"/>
    <n v="1"/>
    <n v="1"/>
    <s v="Master"/>
    <x v="0"/>
    <s v="Elevated"/>
    <n v="20"/>
    <n v="5"/>
    <n v="25"/>
    <n v="12.5"/>
    <n v="8"/>
    <n v="71"/>
    <s v="High Risk"/>
  </r>
  <r>
    <n v="164"/>
    <s v="Under 30"/>
    <s v="High Income"/>
    <n v="0"/>
    <n v="0"/>
    <s v="Bachelor"/>
    <x v="2"/>
    <s v="Elevated"/>
    <n v="30"/>
    <n v="5"/>
    <n v="0"/>
    <n v="18.75"/>
    <n v="15"/>
    <n v="69"/>
    <s v="High Risk"/>
  </r>
  <r>
    <n v="165"/>
    <s v="50+"/>
    <s v="High Income"/>
    <n v="1"/>
    <n v="0"/>
    <s v="Master"/>
    <x v="3"/>
    <s v="Elevated"/>
    <n v="15"/>
    <n v="5"/>
    <n v="0"/>
    <n v="6.25"/>
    <n v="3"/>
    <n v="29"/>
    <s v="Low Risk"/>
  </r>
  <r>
    <n v="167"/>
    <s v="Under 30"/>
    <s v="High Income"/>
    <n v="1"/>
    <n v="1"/>
    <s v="Below College"/>
    <x v="1"/>
    <s v="Elevated"/>
    <n v="30"/>
    <n v="5"/>
    <n v="25"/>
    <n v="12.5"/>
    <n v="25"/>
    <n v="98"/>
    <s v="High Risk"/>
  </r>
  <r>
    <n v="169"/>
    <s v="Under 30"/>
    <s v="High Income"/>
    <n v="0"/>
    <n v="0"/>
    <s v="Below College"/>
    <x v="1"/>
    <s v="Normal"/>
    <n v="30"/>
    <n v="5"/>
    <n v="0"/>
    <n v="6.25"/>
    <n v="25"/>
    <n v="66"/>
    <s v="High Risk"/>
  </r>
  <r>
    <n v="170"/>
    <s v="40-49"/>
    <s v="High Income"/>
    <n v="0"/>
    <n v="0"/>
    <s v="Master"/>
    <x v="3"/>
    <s v="Elevated"/>
    <n v="10"/>
    <n v="5"/>
    <n v="0"/>
    <n v="25"/>
    <n v="3"/>
    <n v="43"/>
    <s v="Medium Risk"/>
  </r>
  <r>
    <n v="171"/>
    <s v="40-49"/>
    <s v="High Income"/>
    <n v="0"/>
    <n v="0"/>
    <s v="Bachelor"/>
    <x v="2"/>
    <s v="Normal"/>
    <n v="10"/>
    <n v="5"/>
    <n v="0"/>
    <n v="12.5"/>
    <n v="15"/>
    <n v="43"/>
    <s v="Medium Risk"/>
  </r>
  <r>
    <n v="174"/>
    <s v="50+"/>
    <s v="High Income"/>
    <n v="0"/>
    <n v="0"/>
    <s v="Bachelor"/>
    <x v="1"/>
    <s v="Normal"/>
    <n v="15"/>
    <n v="5"/>
    <n v="0"/>
    <n v="6.25"/>
    <n v="25"/>
    <n v="51"/>
    <s v="Medium Risk"/>
  </r>
  <r>
    <n v="175"/>
    <s v="30-39"/>
    <s v="High Income"/>
    <n v="1"/>
    <n v="1"/>
    <s v="Bachelor"/>
    <x v="1"/>
    <s v="Normal"/>
    <n v="20"/>
    <n v="5"/>
    <n v="25"/>
    <n v="12.5"/>
    <n v="25"/>
    <n v="88"/>
    <s v="High Risk"/>
  </r>
  <r>
    <n v="176"/>
    <s v="40-49"/>
    <s v="High Income"/>
    <n v="0"/>
    <n v="1"/>
    <s v="Below College"/>
    <x v="0"/>
    <s v="Normal"/>
    <n v="10"/>
    <n v="5"/>
    <n v="25"/>
    <n v="12.5"/>
    <n v="8"/>
    <n v="61"/>
    <s v="High Risk"/>
  </r>
  <r>
    <n v="177"/>
    <s v="Under 30"/>
    <s v="High Income"/>
    <n v="0"/>
    <n v="0"/>
    <s v="Below College"/>
    <x v="0"/>
    <s v="Normal"/>
    <n v="30"/>
    <n v="5"/>
    <n v="0"/>
    <n v="12.5"/>
    <n v="8"/>
    <n v="56"/>
    <s v="High Risk"/>
  </r>
  <r>
    <n v="178"/>
    <s v="30-39"/>
    <s v="High Income"/>
    <n v="0"/>
    <n v="0"/>
    <s v="College"/>
    <x v="2"/>
    <s v="Normal"/>
    <n v="20"/>
    <n v="5"/>
    <n v="0"/>
    <n v="18.75"/>
    <n v="15"/>
    <n v="59"/>
    <s v="High Risk"/>
  </r>
  <r>
    <n v="179"/>
    <s v="50+"/>
    <s v="High Income"/>
    <n v="1"/>
    <n v="0"/>
    <s v="Master"/>
    <x v="2"/>
    <s v="Normal"/>
    <n v="15"/>
    <n v="5"/>
    <n v="0"/>
    <n v="6.25"/>
    <n v="15"/>
    <n v="41"/>
    <s v="Medium Risk"/>
  </r>
  <r>
    <n v="182"/>
    <s v="30-39"/>
    <s v="High Income"/>
    <n v="0"/>
    <n v="0"/>
    <s v="Master"/>
    <x v="3"/>
    <s v="Normal"/>
    <n v="20"/>
    <n v="5"/>
    <n v="0"/>
    <n v="12.5"/>
    <n v="3"/>
    <n v="41"/>
    <s v="Medium Risk"/>
  </r>
  <r>
    <n v="183"/>
    <s v="Under 30"/>
    <s v="High Income"/>
    <n v="0"/>
    <n v="0"/>
    <s v="Bachelor"/>
    <x v="1"/>
    <s v="Normal"/>
    <n v="30"/>
    <n v="5"/>
    <n v="0"/>
    <n v="12.5"/>
    <n v="25"/>
    <n v="73"/>
    <s v="High Risk"/>
  </r>
  <r>
    <n v="184"/>
    <s v="30-39"/>
    <s v="High Income"/>
    <n v="0"/>
    <n v="1"/>
    <s v="Bachelor"/>
    <x v="3"/>
    <s v="Elevated"/>
    <n v="20"/>
    <n v="5"/>
    <n v="25"/>
    <n v="6.25"/>
    <n v="3"/>
    <n v="59"/>
    <s v="High Risk"/>
  </r>
  <r>
    <n v="190"/>
    <s v="30-39"/>
    <s v="High Income"/>
    <n v="1"/>
    <n v="0"/>
    <s v="Bachelor"/>
    <x v="2"/>
    <s v="Normal"/>
    <n v="20"/>
    <n v="5"/>
    <n v="0"/>
    <n v="25"/>
    <n v="15"/>
    <n v="65"/>
    <s v="High Risk"/>
  </r>
  <r>
    <n v="192"/>
    <s v="40-49"/>
    <s v="High Income"/>
    <n v="0"/>
    <n v="0"/>
    <s v="Bachelor"/>
    <x v="0"/>
    <s v="Elevated"/>
    <n v="10"/>
    <n v="5"/>
    <n v="0"/>
    <n v="6.25"/>
    <n v="8"/>
    <n v="29"/>
    <s v="Low Risk"/>
  </r>
  <r>
    <n v="193"/>
    <s v="30-39"/>
    <s v="High Income"/>
    <n v="0"/>
    <n v="1"/>
    <s v="Doctor"/>
    <x v="2"/>
    <s v="Normal"/>
    <n v="20"/>
    <n v="5"/>
    <n v="25"/>
    <n v="12.5"/>
    <n v="15"/>
    <n v="78"/>
    <s v="High Risk"/>
  </r>
  <r>
    <n v="194"/>
    <s v="30-39"/>
    <s v="High Income"/>
    <n v="0"/>
    <n v="0"/>
    <s v="Bachelor"/>
    <x v="2"/>
    <s v="Elevated"/>
    <n v="20"/>
    <n v="5"/>
    <n v="0"/>
    <n v="12.5"/>
    <n v="15"/>
    <n v="53"/>
    <s v="Medium Risk"/>
  </r>
  <r>
    <n v="195"/>
    <s v="30-39"/>
    <s v="High Income"/>
    <n v="0"/>
    <n v="0"/>
    <s v="College"/>
    <x v="0"/>
    <s v="Normal"/>
    <n v="20"/>
    <n v="5"/>
    <n v="0"/>
    <n v="6.25"/>
    <n v="8"/>
    <n v="39"/>
    <s v="Medium Risk"/>
  </r>
  <r>
    <n v="197"/>
    <s v="30-39"/>
    <s v="High Income"/>
    <n v="0"/>
    <n v="0"/>
    <s v="Bachelor"/>
    <x v="2"/>
    <s v="Normal"/>
    <n v="20"/>
    <n v="5"/>
    <n v="0"/>
    <n v="25"/>
    <n v="15"/>
    <n v="65"/>
    <s v="High Risk"/>
  </r>
  <r>
    <n v="198"/>
    <s v="30-39"/>
    <s v="High Income"/>
    <n v="0"/>
    <n v="0"/>
    <s v="Below College"/>
    <x v="2"/>
    <s v="Normal"/>
    <n v="20"/>
    <n v="5"/>
    <n v="0"/>
    <n v="6.25"/>
    <n v="15"/>
    <n v="46"/>
    <s v="Medium Risk"/>
  </r>
  <r>
    <n v="199"/>
    <s v="40-49"/>
    <s v="High Income"/>
    <n v="0"/>
    <n v="0"/>
    <s v="Bachelor"/>
    <x v="0"/>
    <s v="Elevated"/>
    <n v="10"/>
    <n v="5"/>
    <n v="0"/>
    <n v="25"/>
    <n v="8"/>
    <n v="48"/>
    <s v="Medium Risk"/>
  </r>
  <r>
    <n v="200"/>
    <s v="40-49"/>
    <s v="High Income"/>
    <n v="0"/>
    <n v="0"/>
    <s v="Master"/>
    <x v="2"/>
    <s v="Normal"/>
    <n v="10"/>
    <n v="5"/>
    <n v="0"/>
    <n v="25"/>
    <n v="15"/>
    <n v="55"/>
    <s v="High Risk"/>
  </r>
  <r>
    <n v="201"/>
    <s v="Under 30"/>
    <s v="High Income"/>
    <n v="0"/>
    <n v="0"/>
    <s v="Below College"/>
    <x v="1"/>
    <s v="Normal"/>
    <n v="30"/>
    <n v="5"/>
    <n v="0"/>
    <n v="18.75"/>
    <n v="25"/>
    <n v="79"/>
    <s v="High Risk"/>
  </r>
  <r>
    <n v="202"/>
    <s v="40-49"/>
    <s v="High Income"/>
    <n v="0"/>
    <n v="0"/>
    <s v="Bachelor"/>
    <x v="3"/>
    <s v="Normal"/>
    <n v="10"/>
    <n v="5"/>
    <n v="0"/>
    <n v="18.75"/>
    <n v="3"/>
    <n v="37"/>
    <s v="Medium Risk"/>
  </r>
  <r>
    <n v="204"/>
    <s v="30-39"/>
    <s v="High Income"/>
    <n v="0"/>
    <n v="0"/>
    <s v="Doctor"/>
    <x v="0"/>
    <s v="Normal"/>
    <n v="20"/>
    <n v="5"/>
    <n v="0"/>
    <n v="18.75"/>
    <n v="8"/>
    <n v="52"/>
    <s v="Medium Risk"/>
  </r>
  <r>
    <n v="205"/>
    <s v="50+"/>
    <s v="High Income"/>
    <n v="0"/>
    <n v="1"/>
    <s v="College"/>
    <x v="0"/>
    <s v="Elevated"/>
    <n v="15"/>
    <n v="5"/>
    <n v="25"/>
    <n v="12.5"/>
    <n v="8"/>
    <n v="66"/>
    <s v="High Risk"/>
  </r>
  <r>
    <n v="206"/>
    <s v="40-49"/>
    <s v="High Income"/>
    <n v="0"/>
    <n v="0"/>
    <s v="Bachelor"/>
    <x v="3"/>
    <s v="Elevated"/>
    <n v="10"/>
    <n v="5"/>
    <n v="0"/>
    <n v="18.75"/>
    <n v="3"/>
    <n v="37"/>
    <s v="Medium Risk"/>
  </r>
  <r>
    <n v="207"/>
    <s v="30-39"/>
    <s v="High Income"/>
    <n v="0"/>
    <n v="0"/>
    <s v="Bachelor"/>
    <x v="0"/>
    <s v="Normal"/>
    <n v="20"/>
    <n v="5"/>
    <n v="0"/>
    <n v="6.25"/>
    <n v="8"/>
    <n v="39"/>
    <s v="Medium Risk"/>
  </r>
  <r>
    <n v="208"/>
    <s v="Under 30"/>
    <s v="High Income"/>
    <n v="0"/>
    <n v="0"/>
    <s v="Below College"/>
    <x v="0"/>
    <s v="Normal"/>
    <n v="30"/>
    <n v="5"/>
    <n v="0"/>
    <n v="12.5"/>
    <n v="8"/>
    <n v="56"/>
    <s v="High Risk"/>
  </r>
  <r>
    <n v="211"/>
    <s v="50+"/>
    <s v="High Income"/>
    <n v="0"/>
    <n v="0"/>
    <s v="Master"/>
    <x v="1"/>
    <s v="Normal"/>
    <n v="15"/>
    <n v="5"/>
    <n v="0"/>
    <n v="12.5"/>
    <n v="25"/>
    <n v="58"/>
    <s v="High Risk"/>
  </r>
  <r>
    <n v="214"/>
    <s v="50+"/>
    <s v="High Income"/>
    <n v="0"/>
    <n v="1"/>
    <s v="Bachelor"/>
    <x v="1"/>
    <s v="Elevated"/>
    <n v="15"/>
    <n v="5"/>
    <n v="25"/>
    <n v="18.75"/>
    <n v="25"/>
    <n v="89"/>
    <s v="High Risk"/>
  </r>
  <r>
    <n v="215"/>
    <s v="40-49"/>
    <s v="High Income"/>
    <n v="0"/>
    <n v="0"/>
    <s v="Master"/>
    <x v="3"/>
    <s v="Elevated"/>
    <n v="10"/>
    <n v="5"/>
    <n v="0"/>
    <n v="6.25"/>
    <n v="3"/>
    <n v="24"/>
    <s v="Low Risk"/>
  </r>
  <r>
    <n v="216"/>
    <s v="30-39"/>
    <s v="High Income"/>
    <n v="0"/>
    <n v="0"/>
    <s v="Master"/>
    <x v="2"/>
    <s v="Normal"/>
    <n v="20"/>
    <n v="5"/>
    <n v="0"/>
    <n v="12.5"/>
    <n v="15"/>
    <n v="53"/>
    <s v="Medium Risk"/>
  </r>
  <r>
    <n v="217"/>
    <s v="Under 30"/>
    <s v="High Income"/>
    <n v="0"/>
    <n v="0"/>
    <s v="Below College"/>
    <x v="1"/>
    <s v="Normal"/>
    <n v="30"/>
    <n v="5"/>
    <n v="0"/>
    <n v="6.25"/>
    <n v="25"/>
    <n v="66"/>
    <s v="High Risk"/>
  </r>
  <r>
    <n v="218"/>
    <s v="Under 30"/>
    <s v="High Income"/>
    <n v="0"/>
    <n v="0"/>
    <s v="Bachelor"/>
    <x v="1"/>
    <s v="Elevated"/>
    <n v="30"/>
    <n v="5"/>
    <n v="0"/>
    <n v="18.75"/>
    <n v="25"/>
    <n v="79"/>
    <s v="High Risk"/>
  </r>
  <r>
    <n v="221"/>
    <s v="Under 30"/>
    <s v="High Income"/>
    <n v="0"/>
    <n v="0"/>
    <s v="Bachelor"/>
    <x v="2"/>
    <s v="Elevated"/>
    <n v="30"/>
    <n v="5"/>
    <n v="0"/>
    <n v="6.25"/>
    <n v="15"/>
    <n v="56"/>
    <s v="High Risk"/>
  </r>
  <r>
    <n v="223"/>
    <s v="50+"/>
    <s v="High Income"/>
    <n v="0"/>
    <n v="1"/>
    <s v="College"/>
    <x v="2"/>
    <s v="Elevated"/>
    <n v="15"/>
    <n v="5"/>
    <n v="25"/>
    <n v="6.25"/>
    <n v="15"/>
    <n v="66"/>
    <s v="High Risk"/>
  </r>
  <r>
    <n v="224"/>
    <s v="Under 30"/>
    <s v="High Income"/>
    <n v="0"/>
    <n v="1"/>
    <s v="Bachelor"/>
    <x v="1"/>
    <s v="Elevated"/>
    <n v="30"/>
    <n v="5"/>
    <n v="25"/>
    <n v="12.5"/>
    <n v="25"/>
    <n v="98"/>
    <s v="High Risk"/>
  </r>
  <r>
    <n v="226"/>
    <s v="50+"/>
    <s v="High Income"/>
    <n v="0"/>
    <n v="0"/>
    <s v="Bachelor"/>
    <x v="2"/>
    <s v="Normal"/>
    <n v="15"/>
    <n v="5"/>
    <n v="0"/>
    <n v="18.75"/>
    <n v="15"/>
    <n v="54"/>
    <s v="Medium Risk"/>
  </r>
  <r>
    <n v="227"/>
    <s v="40-49"/>
    <s v="High Income"/>
    <n v="0"/>
    <n v="0"/>
    <s v="Bachelor"/>
    <x v="0"/>
    <s v="Normal"/>
    <n v="10"/>
    <n v="5"/>
    <n v="0"/>
    <n v="12.5"/>
    <n v="8"/>
    <n v="36"/>
    <s v="Medium Risk"/>
  </r>
  <r>
    <n v="228"/>
    <s v="30-39"/>
    <s v="High Income"/>
    <n v="0"/>
    <n v="0"/>
    <s v="Bachelor"/>
    <x v="0"/>
    <s v="Normal"/>
    <n v="20"/>
    <n v="5"/>
    <n v="0"/>
    <n v="6.25"/>
    <n v="8"/>
    <n v="39"/>
    <s v="Medium Risk"/>
  </r>
  <r>
    <n v="230"/>
    <s v="30-39"/>
    <s v="High Income"/>
    <n v="0"/>
    <n v="0"/>
    <s v="Master"/>
    <x v="0"/>
    <s v="Normal"/>
    <n v="20"/>
    <n v="5"/>
    <n v="0"/>
    <n v="6.25"/>
    <n v="8"/>
    <n v="39"/>
    <s v="Medium Risk"/>
  </r>
  <r>
    <n v="231"/>
    <s v="30-39"/>
    <s v="High Income"/>
    <n v="0"/>
    <n v="0"/>
    <s v="Doctor"/>
    <x v="2"/>
    <s v="Normal"/>
    <n v="20"/>
    <n v="5"/>
    <n v="0"/>
    <n v="12.5"/>
    <n v="15"/>
    <n v="53"/>
    <s v="Medium Risk"/>
  </r>
  <r>
    <n v="233"/>
    <s v="Under 30"/>
    <s v="High Income"/>
    <n v="0"/>
    <n v="1"/>
    <s v="Bachelor"/>
    <x v="2"/>
    <s v="Elevated"/>
    <n v="30"/>
    <n v="5"/>
    <n v="25"/>
    <n v="18.75"/>
    <n v="15"/>
    <n v="94"/>
    <s v="High Risk"/>
  </r>
  <r>
    <n v="235"/>
    <s v="Under 30"/>
    <s v="High Income"/>
    <n v="1"/>
    <n v="0"/>
    <s v="Below College"/>
    <x v="1"/>
    <s v="Normal"/>
    <n v="30"/>
    <n v="5"/>
    <n v="0"/>
    <n v="25"/>
    <n v="25"/>
    <n v="85"/>
    <s v="High Risk"/>
  </r>
  <r>
    <n v="238"/>
    <s v="30-39"/>
    <s v="High Income"/>
    <n v="0"/>
    <n v="0"/>
    <s v="College"/>
    <x v="0"/>
    <s v="Elevated"/>
    <n v="20"/>
    <n v="5"/>
    <n v="0"/>
    <n v="18.75"/>
    <n v="8"/>
    <n v="52"/>
    <s v="Medium Risk"/>
  </r>
  <r>
    <n v="239"/>
    <s v="30-39"/>
    <s v="High Income"/>
    <n v="0"/>
    <n v="0"/>
    <s v="Bachelor"/>
    <x v="3"/>
    <s v="Normal"/>
    <n v="20"/>
    <n v="5"/>
    <n v="0"/>
    <n v="25"/>
    <n v="3"/>
    <n v="53"/>
    <s v="Medium Risk"/>
  </r>
  <r>
    <n v="240"/>
    <s v="40-49"/>
    <s v="High Income"/>
    <n v="0"/>
    <n v="1"/>
    <s v="College"/>
    <x v="2"/>
    <s v="Normal"/>
    <n v="10"/>
    <n v="5"/>
    <n v="25"/>
    <n v="25"/>
    <n v="15"/>
    <n v="80"/>
    <s v="High Risk"/>
  </r>
  <r>
    <n v="241"/>
    <s v="50+"/>
    <s v="High Income"/>
    <n v="0"/>
    <n v="1"/>
    <s v="Bachelor"/>
    <x v="1"/>
    <s v="Normal"/>
    <n v="15"/>
    <n v="5"/>
    <n v="25"/>
    <n v="25"/>
    <n v="25"/>
    <n v="95"/>
    <s v="High Risk"/>
  </r>
  <r>
    <n v="242"/>
    <s v="30-39"/>
    <s v="High Income"/>
    <n v="0"/>
    <n v="0"/>
    <s v="Bachelor"/>
    <x v="2"/>
    <s v="Normal"/>
    <n v="20"/>
    <n v="5"/>
    <n v="0"/>
    <n v="6.25"/>
    <n v="15"/>
    <n v="46"/>
    <s v="Medium Risk"/>
  </r>
  <r>
    <n v="243"/>
    <s v="Under 30"/>
    <s v="High Income"/>
    <n v="1"/>
    <n v="0"/>
    <s v="Bachelor"/>
    <x v="1"/>
    <s v="Elevated"/>
    <n v="30"/>
    <n v="5"/>
    <n v="0"/>
    <n v="6.25"/>
    <n v="25"/>
    <n v="66"/>
    <s v="High Risk"/>
  </r>
  <r>
    <n v="244"/>
    <s v="40-49"/>
    <s v="High Income"/>
    <n v="0"/>
    <n v="0"/>
    <s v="College"/>
    <x v="3"/>
    <s v="Normal"/>
    <n v="10"/>
    <n v="5"/>
    <n v="0"/>
    <n v="25"/>
    <n v="3"/>
    <n v="43"/>
    <s v="Medium Risk"/>
  </r>
  <r>
    <n v="245"/>
    <s v="30-39"/>
    <s v="High Income"/>
    <n v="0"/>
    <n v="0"/>
    <s v="College"/>
    <x v="1"/>
    <s v="Normal"/>
    <n v="20"/>
    <n v="5"/>
    <n v="0"/>
    <n v="6.25"/>
    <n v="25"/>
    <n v="56"/>
    <s v="High Risk"/>
  </r>
  <r>
    <n v="246"/>
    <s v="30-39"/>
    <s v="High Income"/>
    <n v="0"/>
    <n v="1"/>
    <s v="Below College"/>
    <x v="2"/>
    <s v="Normal"/>
    <n v="20"/>
    <n v="5"/>
    <n v="25"/>
    <n v="6.25"/>
    <n v="15"/>
    <n v="71"/>
    <s v="High Risk"/>
  </r>
  <r>
    <n v="247"/>
    <s v="30-39"/>
    <s v="High Income"/>
    <n v="0"/>
    <n v="0"/>
    <s v="College"/>
    <x v="2"/>
    <s v="Normal"/>
    <n v="20"/>
    <n v="5"/>
    <n v="0"/>
    <n v="18.75"/>
    <n v="15"/>
    <n v="59"/>
    <s v="High Risk"/>
  </r>
  <r>
    <n v="248"/>
    <s v="40-49"/>
    <s v="High Income"/>
    <n v="1"/>
    <n v="1"/>
    <s v="College"/>
    <x v="2"/>
    <s v="Elevated"/>
    <n v="10"/>
    <n v="5"/>
    <n v="25"/>
    <n v="18.75"/>
    <n v="15"/>
    <n v="74"/>
    <s v="High Risk"/>
  </r>
  <r>
    <n v="249"/>
    <s v="50+"/>
    <s v="High Income"/>
    <n v="0"/>
    <n v="0"/>
    <s v="Bachelor"/>
    <x v="2"/>
    <s v="Elevated"/>
    <n v="15"/>
    <n v="5"/>
    <n v="0"/>
    <n v="12.5"/>
    <n v="15"/>
    <n v="48"/>
    <s v="Medium Risk"/>
  </r>
  <r>
    <n v="250"/>
    <s v="50+"/>
    <s v="High Income"/>
    <n v="0"/>
    <n v="0"/>
    <s v="College"/>
    <x v="2"/>
    <s v="Normal"/>
    <n v="15"/>
    <n v="5"/>
    <n v="0"/>
    <n v="25"/>
    <n v="15"/>
    <n v="60"/>
    <s v="High Risk"/>
  </r>
  <r>
    <n v="252"/>
    <s v="30-39"/>
    <s v="High Income"/>
    <n v="0"/>
    <n v="0"/>
    <s v="Bachelor"/>
    <x v="0"/>
    <s v="Normal"/>
    <n v="20"/>
    <n v="5"/>
    <n v="0"/>
    <n v="18.75"/>
    <n v="8"/>
    <n v="52"/>
    <s v="Medium Risk"/>
  </r>
  <r>
    <n v="253"/>
    <s v="40-49"/>
    <s v="High Income"/>
    <n v="0"/>
    <n v="0"/>
    <s v="Below College"/>
    <x v="3"/>
    <s v="Normal"/>
    <n v="10"/>
    <n v="5"/>
    <n v="0"/>
    <n v="12.5"/>
    <n v="3"/>
    <n v="31"/>
    <s v="Low Risk"/>
  </r>
  <r>
    <n v="254"/>
    <s v="50+"/>
    <s v="High Income"/>
    <n v="0"/>
    <n v="0"/>
    <s v="Master"/>
    <x v="3"/>
    <s v="Normal"/>
    <n v="15"/>
    <n v="5"/>
    <n v="0"/>
    <n v="18.75"/>
    <n v="3"/>
    <n v="42"/>
    <s v="Medium Risk"/>
  </r>
  <r>
    <n v="256"/>
    <s v="30-39"/>
    <s v="High Income"/>
    <n v="0"/>
    <n v="0"/>
    <s v="Below College"/>
    <x v="0"/>
    <s v="Elevated"/>
    <n v="20"/>
    <n v="5"/>
    <n v="0"/>
    <n v="12.5"/>
    <n v="8"/>
    <n v="46"/>
    <s v="Medium Risk"/>
  </r>
  <r>
    <n v="258"/>
    <s v="50+"/>
    <s v="High Income"/>
    <n v="0"/>
    <n v="0"/>
    <s v="Bachelor"/>
    <x v="0"/>
    <s v="Normal"/>
    <n v="15"/>
    <n v="5"/>
    <n v="0"/>
    <n v="18.75"/>
    <n v="8"/>
    <n v="47"/>
    <s v="Medium Risk"/>
  </r>
  <r>
    <n v="259"/>
    <s v="50+"/>
    <s v="High Income"/>
    <n v="0"/>
    <n v="0"/>
    <s v="Master"/>
    <x v="3"/>
    <s v="Normal"/>
    <n v="15"/>
    <n v="5"/>
    <n v="0"/>
    <n v="12.5"/>
    <n v="3"/>
    <n v="36"/>
    <s v="Medium Risk"/>
  </r>
  <r>
    <n v="260"/>
    <s v="Under 30"/>
    <s v="High Income"/>
    <n v="0"/>
    <n v="0"/>
    <s v="Bachelor"/>
    <x v="0"/>
    <s v="Elevated"/>
    <n v="30"/>
    <n v="5"/>
    <n v="0"/>
    <n v="18.75"/>
    <n v="8"/>
    <n v="62"/>
    <s v="High Risk"/>
  </r>
  <r>
    <n v="261"/>
    <s v="30-39"/>
    <s v="High Income"/>
    <n v="1"/>
    <n v="1"/>
    <s v="College"/>
    <x v="1"/>
    <s v="Normal"/>
    <n v="20"/>
    <n v="5"/>
    <n v="25"/>
    <n v="12.5"/>
    <n v="25"/>
    <n v="88"/>
    <s v="High Risk"/>
  </r>
  <r>
    <n v="262"/>
    <s v="40-49"/>
    <s v="High Income"/>
    <n v="0"/>
    <n v="0"/>
    <s v="Bachelor"/>
    <x v="2"/>
    <s v="Normal"/>
    <n v="10"/>
    <n v="5"/>
    <n v="0"/>
    <n v="6.25"/>
    <n v="15"/>
    <n v="36"/>
    <s v="Medium Risk"/>
  </r>
  <r>
    <n v="264"/>
    <s v="40-49"/>
    <s v="High Income"/>
    <n v="0"/>
    <n v="0"/>
    <s v="College"/>
    <x v="3"/>
    <s v="Normal"/>
    <n v="10"/>
    <n v="5"/>
    <n v="0"/>
    <n v="6.25"/>
    <n v="3"/>
    <n v="24"/>
    <s v="Low Risk"/>
  </r>
  <r>
    <n v="267"/>
    <s v="30-39"/>
    <s v="High Income"/>
    <n v="0"/>
    <n v="1"/>
    <s v="Bachelor"/>
    <x v="0"/>
    <s v="Elevated"/>
    <n v="20"/>
    <n v="5"/>
    <n v="25"/>
    <n v="25"/>
    <n v="8"/>
    <n v="83"/>
    <s v="High Risk"/>
  </r>
  <r>
    <n v="269"/>
    <s v="30-39"/>
    <s v="High Income"/>
    <n v="0"/>
    <n v="0"/>
    <s v="Bachelor"/>
    <x v="0"/>
    <s v="Normal"/>
    <n v="20"/>
    <n v="5"/>
    <n v="0"/>
    <n v="18.75"/>
    <n v="8"/>
    <n v="52"/>
    <s v="Medium Risk"/>
  </r>
  <r>
    <n v="270"/>
    <s v="40-49"/>
    <s v="High Income"/>
    <n v="0"/>
    <n v="0"/>
    <s v="College"/>
    <x v="2"/>
    <s v="Normal"/>
    <n v="10"/>
    <n v="5"/>
    <n v="0"/>
    <n v="12.5"/>
    <n v="15"/>
    <n v="43"/>
    <s v="Medium Risk"/>
  </r>
  <r>
    <n v="271"/>
    <s v="30-39"/>
    <s v="High Income"/>
    <n v="0"/>
    <n v="0"/>
    <s v="Master"/>
    <x v="1"/>
    <s v="Normal"/>
    <n v="20"/>
    <n v="5"/>
    <n v="0"/>
    <n v="12.5"/>
    <n v="25"/>
    <n v="63"/>
    <s v="High Risk"/>
  </r>
  <r>
    <n v="273"/>
    <s v="30-39"/>
    <s v="High Income"/>
    <n v="0"/>
    <n v="0"/>
    <s v="Bachelor"/>
    <x v="0"/>
    <s v="Elevated"/>
    <n v="20"/>
    <n v="5"/>
    <n v="0"/>
    <n v="6.25"/>
    <n v="8"/>
    <n v="39"/>
    <s v="Medium Risk"/>
  </r>
  <r>
    <n v="274"/>
    <s v="Under 30"/>
    <s v="High Income"/>
    <n v="0"/>
    <n v="0"/>
    <s v="Below College"/>
    <x v="1"/>
    <s v="Normal"/>
    <n v="30"/>
    <n v="5"/>
    <n v="0"/>
    <n v="25"/>
    <n v="25"/>
    <n v="85"/>
    <s v="High Risk"/>
  </r>
  <r>
    <n v="275"/>
    <s v="40-49"/>
    <s v="High Income"/>
    <n v="0"/>
    <n v="1"/>
    <s v="Master"/>
    <x v="0"/>
    <s v="Normal"/>
    <n v="10"/>
    <n v="5"/>
    <n v="25"/>
    <n v="6.25"/>
    <n v="8"/>
    <n v="54"/>
    <s v="Medium Risk"/>
  </r>
  <r>
    <n v="277"/>
    <s v="30-39"/>
    <s v="High Income"/>
    <n v="0"/>
    <n v="1"/>
    <s v="Master"/>
    <x v="2"/>
    <s v="Normal"/>
    <n v="20"/>
    <n v="5"/>
    <n v="25"/>
    <n v="12.5"/>
    <n v="15"/>
    <n v="78"/>
    <s v="High Risk"/>
  </r>
  <r>
    <n v="281"/>
    <s v="40-49"/>
    <s v="High Income"/>
    <n v="0"/>
    <n v="1"/>
    <s v="College"/>
    <x v="0"/>
    <s v="Normal"/>
    <n v="10"/>
    <n v="5"/>
    <n v="25"/>
    <n v="6.25"/>
    <n v="8"/>
    <n v="54"/>
    <s v="Medium Risk"/>
  </r>
  <r>
    <n v="282"/>
    <s v="30-39"/>
    <s v="High Income"/>
    <n v="1"/>
    <n v="1"/>
    <s v="Below College"/>
    <x v="1"/>
    <s v="Normal"/>
    <n v="20"/>
    <n v="5"/>
    <n v="25"/>
    <n v="25"/>
    <n v="25"/>
    <n v="100"/>
    <s v="High Risk"/>
  </r>
  <r>
    <n v="283"/>
    <s v="Under 30"/>
    <s v="High Income"/>
    <n v="1"/>
    <n v="0"/>
    <s v="Bachelor"/>
    <x v="0"/>
    <s v="Elevated"/>
    <n v="30"/>
    <n v="5"/>
    <n v="0"/>
    <n v="6.25"/>
    <n v="8"/>
    <n v="49"/>
    <s v="Medium Risk"/>
  </r>
  <r>
    <n v="284"/>
    <s v="Under 30"/>
    <s v="High Income"/>
    <n v="0"/>
    <n v="1"/>
    <s v="Bachelor"/>
    <x v="2"/>
    <s v="Elevated"/>
    <n v="30"/>
    <n v="5"/>
    <n v="25"/>
    <n v="18.75"/>
    <n v="15"/>
    <n v="94"/>
    <s v="High Risk"/>
  </r>
  <r>
    <n v="286"/>
    <s v="30-39"/>
    <s v="High Income"/>
    <n v="0"/>
    <n v="0"/>
    <s v="Below College"/>
    <x v="0"/>
    <s v="Normal"/>
    <n v="20"/>
    <n v="5"/>
    <n v="0"/>
    <n v="6.25"/>
    <n v="8"/>
    <n v="39"/>
    <s v="Medium Risk"/>
  </r>
  <r>
    <n v="287"/>
    <s v="40-49"/>
    <s v="High Income"/>
    <n v="0"/>
    <n v="0"/>
    <s v="Doctor"/>
    <x v="2"/>
    <s v="Elevated"/>
    <n v="10"/>
    <n v="5"/>
    <n v="0"/>
    <n v="6.25"/>
    <n v="15"/>
    <n v="36"/>
    <s v="Medium Risk"/>
  </r>
  <r>
    <n v="288"/>
    <s v="40-49"/>
    <s v="High Income"/>
    <n v="0"/>
    <n v="0"/>
    <s v="Master"/>
    <x v="2"/>
    <s v="Normal"/>
    <n v="10"/>
    <n v="5"/>
    <n v="0"/>
    <n v="25"/>
    <n v="15"/>
    <n v="55"/>
    <s v="High Risk"/>
  </r>
  <r>
    <n v="291"/>
    <s v="30-39"/>
    <s v="High Income"/>
    <n v="1"/>
    <n v="0"/>
    <s v="Master"/>
    <x v="3"/>
    <s v="Elevated"/>
    <n v="20"/>
    <n v="5"/>
    <n v="0"/>
    <n v="6.25"/>
    <n v="3"/>
    <n v="34"/>
    <s v="Low Risk"/>
  </r>
  <r>
    <n v="292"/>
    <s v="30-39"/>
    <s v="High Income"/>
    <n v="0"/>
    <n v="0"/>
    <s v="Below College"/>
    <x v="3"/>
    <s v="Normal"/>
    <n v="20"/>
    <n v="5"/>
    <n v="0"/>
    <n v="12.5"/>
    <n v="3"/>
    <n v="41"/>
    <s v="Medium Risk"/>
  </r>
  <r>
    <n v="293"/>
    <s v="Under 30"/>
    <s v="High Income"/>
    <n v="0"/>
    <n v="0"/>
    <s v="Bachelor"/>
    <x v="0"/>
    <s v="Normal"/>
    <n v="30"/>
    <n v="5"/>
    <n v="0"/>
    <n v="12.5"/>
    <n v="8"/>
    <n v="56"/>
    <s v="High Risk"/>
  </r>
  <r>
    <n v="296"/>
    <s v="50+"/>
    <s v="High Income"/>
    <n v="0"/>
    <n v="0"/>
    <s v="Master"/>
    <x v="0"/>
    <s v="Elevated"/>
    <n v="15"/>
    <n v="5"/>
    <n v="0"/>
    <n v="18.75"/>
    <n v="8"/>
    <n v="47"/>
    <s v="Medium Risk"/>
  </r>
  <r>
    <n v="297"/>
    <s v="30-39"/>
    <s v="High Income"/>
    <n v="1"/>
    <n v="1"/>
    <s v="Bachelor"/>
    <x v="2"/>
    <s v="Normal"/>
    <n v="20"/>
    <n v="5"/>
    <n v="25"/>
    <n v="25"/>
    <n v="15"/>
    <n v="90"/>
    <s v="High Risk"/>
  </r>
  <r>
    <n v="298"/>
    <s v="40-49"/>
    <s v="High Income"/>
    <n v="0"/>
    <n v="1"/>
    <s v="Bachelor"/>
    <x v="1"/>
    <s v="Normal"/>
    <n v="10"/>
    <n v="5"/>
    <n v="25"/>
    <n v="6.25"/>
    <n v="25"/>
    <n v="71"/>
    <s v="High Risk"/>
  </r>
  <r>
    <n v="299"/>
    <s v="30-39"/>
    <s v="High Income"/>
    <n v="1"/>
    <n v="0"/>
    <s v="Master"/>
    <x v="0"/>
    <s v="Elevated"/>
    <n v="20"/>
    <n v="5"/>
    <n v="0"/>
    <n v="25"/>
    <n v="8"/>
    <n v="58"/>
    <s v="High Risk"/>
  </r>
  <r>
    <n v="300"/>
    <s v="Under 30"/>
    <s v="High Income"/>
    <n v="1"/>
    <n v="0"/>
    <s v="Bachelor"/>
    <x v="0"/>
    <s v="Elevated"/>
    <n v="30"/>
    <n v="5"/>
    <n v="0"/>
    <n v="12.5"/>
    <n v="8"/>
    <n v="56"/>
    <s v="High Risk"/>
  </r>
  <r>
    <n v="302"/>
    <s v="40-49"/>
    <s v="High Income"/>
    <n v="0"/>
    <n v="0"/>
    <s v="Bachelor"/>
    <x v="3"/>
    <s v="Normal"/>
    <n v="10"/>
    <n v="5"/>
    <n v="0"/>
    <n v="6.25"/>
    <n v="3"/>
    <n v="24"/>
    <s v="Low Risk"/>
  </r>
  <r>
    <n v="303"/>
    <s v="50+"/>
    <s v="High Income"/>
    <n v="0"/>
    <n v="0"/>
    <s v="Bachelor"/>
    <x v="0"/>
    <s v="Normal"/>
    <n v="15"/>
    <n v="5"/>
    <n v="0"/>
    <n v="25"/>
    <n v="8"/>
    <n v="53"/>
    <s v="Medium Risk"/>
  </r>
  <r>
    <n v="304"/>
    <s v="30-39"/>
    <s v="High Income"/>
    <n v="0"/>
    <n v="0"/>
    <s v="College"/>
    <x v="3"/>
    <s v="Normal"/>
    <n v="20"/>
    <n v="5"/>
    <n v="0"/>
    <n v="18.75"/>
    <n v="3"/>
    <n v="47"/>
    <s v="Medium Risk"/>
  </r>
  <r>
    <n v="305"/>
    <s v="30-39"/>
    <s v="High Income"/>
    <n v="0"/>
    <n v="0"/>
    <s v="Master"/>
    <x v="2"/>
    <s v="Normal"/>
    <n v="20"/>
    <n v="5"/>
    <n v="0"/>
    <n v="18.75"/>
    <n v="15"/>
    <n v="59"/>
    <s v="High Risk"/>
  </r>
  <r>
    <n v="306"/>
    <s v="30-39"/>
    <s v="High Income"/>
    <n v="0"/>
    <n v="1"/>
    <s v="Bachelor"/>
    <x v="0"/>
    <s v="Normal"/>
    <n v="20"/>
    <n v="5"/>
    <n v="25"/>
    <n v="6.25"/>
    <n v="8"/>
    <n v="64"/>
    <s v="High Risk"/>
  </r>
  <r>
    <n v="307"/>
    <s v="30-39"/>
    <s v="High Income"/>
    <n v="0"/>
    <n v="0"/>
    <s v="Bachelor"/>
    <x v="3"/>
    <s v="Elevated"/>
    <n v="20"/>
    <n v="5"/>
    <n v="0"/>
    <n v="12.5"/>
    <n v="3"/>
    <n v="41"/>
    <s v="Medium Risk"/>
  </r>
  <r>
    <n v="308"/>
    <s v="30-39"/>
    <s v="High Income"/>
    <n v="0"/>
    <n v="0"/>
    <s v="Master"/>
    <x v="2"/>
    <s v="Normal"/>
    <n v="20"/>
    <n v="5"/>
    <n v="0"/>
    <n v="12.5"/>
    <n v="15"/>
    <n v="53"/>
    <s v="Medium Risk"/>
  </r>
  <r>
    <n v="309"/>
    <s v="50+"/>
    <s v="High Income"/>
    <n v="0"/>
    <n v="0"/>
    <s v="Bachelor"/>
    <x v="1"/>
    <s v="Normal"/>
    <n v="15"/>
    <n v="5"/>
    <n v="0"/>
    <n v="6.25"/>
    <n v="25"/>
    <n v="51"/>
    <s v="Medium Risk"/>
  </r>
  <r>
    <n v="311"/>
    <s v="30-39"/>
    <s v="High Income"/>
    <n v="0"/>
    <n v="0"/>
    <s v="Master"/>
    <x v="0"/>
    <s v="Normal"/>
    <n v="20"/>
    <n v="5"/>
    <n v="0"/>
    <n v="6.25"/>
    <n v="8"/>
    <n v="39"/>
    <s v="Medium Risk"/>
  </r>
  <r>
    <n v="312"/>
    <s v="Under 30"/>
    <s v="High Income"/>
    <n v="0"/>
    <n v="0"/>
    <s v="Below College"/>
    <x v="3"/>
    <s v="Normal"/>
    <n v="30"/>
    <n v="5"/>
    <n v="0"/>
    <n v="6.25"/>
    <n v="3"/>
    <n v="44"/>
    <s v="Medium Risk"/>
  </r>
  <r>
    <n v="314"/>
    <s v="30-39"/>
    <s v="High Income"/>
    <n v="0"/>
    <n v="0"/>
    <s v="Bachelor"/>
    <x v="0"/>
    <s v="Normal"/>
    <n v="20"/>
    <n v="5"/>
    <n v="0"/>
    <n v="12.5"/>
    <n v="8"/>
    <n v="46"/>
    <s v="Medium Risk"/>
  </r>
  <r>
    <n v="315"/>
    <s v="Under 30"/>
    <s v="High Income"/>
    <n v="1"/>
    <n v="1"/>
    <s v="Below College"/>
    <x v="2"/>
    <s v="Elevated"/>
    <n v="30"/>
    <n v="5"/>
    <n v="25"/>
    <n v="6.25"/>
    <n v="15"/>
    <n v="81"/>
    <s v="High Risk"/>
  </r>
  <r>
    <n v="316"/>
    <s v="50+"/>
    <s v="High Income"/>
    <n v="0"/>
    <n v="0"/>
    <s v="Bachelor"/>
    <x v="1"/>
    <s v="Elevated"/>
    <n v="15"/>
    <n v="5"/>
    <n v="0"/>
    <n v="6.25"/>
    <n v="25"/>
    <n v="51"/>
    <s v="Medium Risk"/>
  </r>
  <r>
    <n v="319"/>
    <s v="40-49"/>
    <s v="High Income"/>
    <n v="0"/>
    <n v="0"/>
    <s v="College"/>
    <x v="3"/>
    <s v="Normal"/>
    <n v="10"/>
    <n v="5"/>
    <n v="0"/>
    <n v="6.25"/>
    <n v="3"/>
    <n v="24"/>
    <s v="Low Risk"/>
  </r>
  <r>
    <n v="321"/>
    <s v="50+"/>
    <s v="High Income"/>
    <n v="0"/>
    <n v="0"/>
    <s v="College"/>
    <x v="1"/>
    <s v="Elevated"/>
    <n v="15"/>
    <n v="5"/>
    <n v="0"/>
    <n v="12.5"/>
    <n v="25"/>
    <n v="58"/>
    <s v="High Risk"/>
  </r>
  <r>
    <n v="323"/>
    <s v="50+"/>
    <s v="High Income"/>
    <n v="0"/>
    <n v="0"/>
    <s v="Master"/>
    <x v="0"/>
    <s v="Elevated"/>
    <n v="15"/>
    <n v="5"/>
    <n v="0"/>
    <n v="6.25"/>
    <n v="8"/>
    <n v="34"/>
    <s v="Low Risk"/>
  </r>
  <r>
    <n v="325"/>
    <s v="30-39"/>
    <s v="High Income"/>
    <n v="1"/>
    <n v="1"/>
    <s v="Bachelor"/>
    <x v="2"/>
    <s v="Elevated"/>
    <n v="20"/>
    <n v="5"/>
    <n v="25"/>
    <n v="6.25"/>
    <n v="15"/>
    <n v="71"/>
    <s v="High Risk"/>
  </r>
  <r>
    <n v="327"/>
    <s v="40-49"/>
    <s v="High Income"/>
    <n v="0"/>
    <n v="1"/>
    <s v="Bachelor"/>
    <x v="3"/>
    <s v="Normal"/>
    <n v="10"/>
    <n v="5"/>
    <n v="25"/>
    <n v="6.25"/>
    <n v="3"/>
    <n v="49"/>
    <s v="Medium Risk"/>
  </r>
  <r>
    <n v="328"/>
    <s v="30-39"/>
    <s v="High Income"/>
    <n v="1"/>
    <n v="0"/>
    <s v="College"/>
    <x v="0"/>
    <s v="Normal"/>
    <n v="20"/>
    <n v="5"/>
    <n v="0"/>
    <n v="25"/>
    <n v="8"/>
    <n v="58"/>
    <s v="High Risk"/>
  </r>
  <r>
    <n v="329"/>
    <s v="50+"/>
    <s v="High Income"/>
    <n v="0"/>
    <n v="1"/>
    <s v="Master"/>
    <x v="3"/>
    <s v="Normal"/>
    <n v="15"/>
    <n v="5"/>
    <n v="25"/>
    <n v="12.5"/>
    <n v="3"/>
    <n v="61"/>
    <s v="High Risk"/>
  </r>
  <r>
    <n v="330"/>
    <s v="30-39"/>
    <s v="High Income"/>
    <n v="0"/>
    <n v="0"/>
    <s v="College"/>
    <x v="2"/>
    <s v="Normal"/>
    <n v="20"/>
    <n v="5"/>
    <n v="0"/>
    <n v="18.75"/>
    <n v="15"/>
    <n v="59"/>
    <s v="High Risk"/>
  </r>
  <r>
    <n v="331"/>
    <s v="30-39"/>
    <s v="High Income"/>
    <n v="1"/>
    <n v="1"/>
    <s v="Bachelor"/>
    <x v="2"/>
    <s v="Elevated"/>
    <n v="20"/>
    <n v="5"/>
    <n v="25"/>
    <n v="12.5"/>
    <n v="15"/>
    <n v="78"/>
    <s v="High Risk"/>
  </r>
  <r>
    <n v="332"/>
    <s v="30-39"/>
    <s v="High Income"/>
    <n v="0"/>
    <n v="0"/>
    <s v="Master"/>
    <x v="2"/>
    <s v="Normal"/>
    <n v="20"/>
    <n v="5"/>
    <n v="0"/>
    <n v="12.5"/>
    <n v="15"/>
    <n v="53"/>
    <s v="Medium Risk"/>
  </r>
  <r>
    <n v="333"/>
    <s v="30-39"/>
    <s v="High Income"/>
    <n v="0"/>
    <n v="0"/>
    <s v="Master"/>
    <x v="2"/>
    <s v="Normal"/>
    <n v="20"/>
    <n v="5"/>
    <n v="0"/>
    <n v="6.25"/>
    <n v="15"/>
    <n v="46"/>
    <s v="Medium Risk"/>
  </r>
  <r>
    <n v="334"/>
    <s v="40-49"/>
    <s v="High Income"/>
    <n v="0"/>
    <n v="0"/>
    <s v="College"/>
    <x v="1"/>
    <s v="Elevated"/>
    <n v="10"/>
    <n v="5"/>
    <n v="0"/>
    <n v="25"/>
    <n v="25"/>
    <n v="65"/>
    <s v="High Risk"/>
  </r>
  <r>
    <n v="335"/>
    <s v="40-49"/>
    <s v="High Income"/>
    <n v="0"/>
    <n v="0"/>
    <s v="College"/>
    <x v="0"/>
    <s v="Normal"/>
    <n v="10"/>
    <n v="5"/>
    <n v="0"/>
    <n v="6.25"/>
    <n v="8"/>
    <n v="29"/>
    <s v="Low Risk"/>
  </r>
  <r>
    <n v="336"/>
    <s v="40-49"/>
    <s v="High Income"/>
    <n v="0"/>
    <n v="0"/>
    <s v="Bachelor"/>
    <x v="3"/>
    <s v="Normal"/>
    <n v="10"/>
    <n v="5"/>
    <n v="0"/>
    <n v="6.25"/>
    <n v="3"/>
    <n v="24"/>
    <s v="Low Risk"/>
  </r>
  <r>
    <n v="337"/>
    <s v="30-39"/>
    <s v="High Income"/>
    <n v="0"/>
    <n v="0"/>
    <s v="Master"/>
    <x v="1"/>
    <s v="Normal"/>
    <n v="20"/>
    <n v="5"/>
    <n v="0"/>
    <n v="12.5"/>
    <n v="25"/>
    <n v="63"/>
    <s v="High Risk"/>
  </r>
  <r>
    <n v="338"/>
    <s v="30-39"/>
    <s v="High Income"/>
    <n v="0"/>
    <n v="0"/>
    <s v="Master"/>
    <x v="1"/>
    <s v="Elevated"/>
    <n v="20"/>
    <n v="5"/>
    <n v="0"/>
    <n v="6.25"/>
    <n v="25"/>
    <n v="56"/>
    <s v="High Risk"/>
  </r>
  <r>
    <n v="339"/>
    <s v="30-39"/>
    <s v="High Income"/>
    <n v="0"/>
    <n v="0"/>
    <s v="Master"/>
    <x v="3"/>
    <s v="Normal"/>
    <n v="20"/>
    <n v="5"/>
    <n v="0"/>
    <n v="25"/>
    <n v="3"/>
    <n v="53"/>
    <s v="Medium Risk"/>
  </r>
  <r>
    <n v="340"/>
    <s v="30-39"/>
    <s v="High Income"/>
    <n v="0"/>
    <n v="0"/>
    <s v="College"/>
    <x v="2"/>
    <s v="Elevated"/>
    <n v="20"/>
    <n v="5"/>
    <n v="0"/>
    <n v="25"/>
    <n v="15"/>
    <n v="65"/>
    <s v="High Risk"/>
  </r>
  <r>
    <n v="341"/>
    <s v="40-49"/>
    <s v="High Income"/>
    <n v="0"/>
    <n v="0"/>
    <s v="Master"/>
    <x v="2"/>
    <s v="Normal"/>
    <n v="10"/>
    <n v="5"/>
    <n v="0"/>
    <n v="12.5"/>
    <n v="15"/>
    <n v="43"/>
    <s v="Medium Risk"/>
  </r>
  <r>
    <n v="342"/>
    <s v="30-39"/>
    <s v="High Income"/>
    <n v="1"/>
    <n v="0"/>
    <s v="Bachelor"/>
    <x v="1"/>
    <s v="Normal"/>
    <n v="20"/>
    <n v="5"/>
    <n v="0"/>
    <n v="12.5"/>
    <n v="25"/>
    <n v="63"/>
    <s v="High Risk"/>
  </r>
  <r>
    <n v="343"/>
    <s v="30-39"/>
    <s v="High Income"/>
    <n v="0"/>
    <n v="0"/>
    <s v="Master"/>
    <x v="3"/>
    <s v="Normal"/>
    <n v="20"/>
    <n v="5"/>
    <n v="0"/>
    <n v="12.5"/>
    <n v="3"/>
    <n v="41"/>
    <s v="Medium Risk"/>
  </r>
  <r>
    <n v="346"/>
    <s v="Under 30"/>
    <s v="High Income"/>
    <n v="0"/>
    <n v="0"/>
    <s v="Bachelor"/>
    <x v="0"/>
    <s v="Normal"/>
    <n v="30"/>
    <n v="5"/>
    <n v="0"/>
    <n v="6.25"/>
    <n v="8"/>
    <n v="49"/>
    <s v="Medium Risk"/>
  </r>
  <r>
    <n v="347"/>
    <s v="40-49"/>
    <s v="High Income"/>
    <n v="0"/>
    <n v="1"/>
    <s v="College"/>
    <x v="2"/>
    <s v="Normal"/>
    <n v="10"/>
    <n v="5"/>
    <n v="25"/>
    <n v="25"/>
    <n v="15"/>
    <n v="80"/>
    <s v="High Risk"/>
  </r>
  <r>
    <n v="349"/>
    <s v="Under 30"/>
    <s v="High Income"/>
    <n v="0"/>
    <n v="0"/>
    <s v="College"/>
    <x v="2"/>
    <s v="Normal"/>
    <n v="30"/>
    <n v="5"/>
    <n v="0"/>
    <n v="6.25"/>
    <n v="15"/>
    <n v="56"/>
    <s v="High Risk"/>
  </r>
  <r>
    <n v="350"/>
    <s v="Under 30"/>
    <s v="High Income"/>
    <n v="0"/>
    <n v="0"/>
    <s v="Bachelor"/>
    <x v="2"/>
    <s v="Normal"/>
    <n v="30"/>
    <n v="5"/>
    <n v="0"/>
    <n v="12.5"/>
    <n v="15"/>
    <n v="63"/>
    <s v="High Risk"/>
  </r>
  <r>
    <n v="351"/>
    <s v="40-49"/>
    <s v="High Income"/>
    <n v="0"/>
    <n v="1"/>
    <s v="Bachelor"/>
    <x v="0"/>
    <s v="Normal"/>
    <n v="10"/>
    <n v="5"/>
    <n v="25"/>
    <n v="25"/>
    <n v="8"/>
    <n v="73"/>
    <s v="High Risk"/>
  </r>
  <r>
    <n v="352"/>
    <s v="40-49"/>
    <s v="High Income"/>
    <n v="0"/>
    <n v="0"/>
    <s v="College"/>
    <x v="3"/>
    <s v="Normal"/>
    <n v="10"/>
    <n v="5"/>
    <n v="0"/>
    <n v="12.5"/>
    <n v="3"/>
    <n v="31"/>
    <s v="Low Risk"/>
  </r>
  <r>
    <n v="353"/>
    <s v="50+"/>
    <s v="High Income"/>
    <n v="0"/>
    <n v="0"/>
    <s v="Bachelor"/>
    <x v="1"/>
    <s v="Elevated"/>
    <n v="15"/>
    <n v="5"/>
    <n v="0"/>
    <n v="6.25"/>
    <n v="25"/>
    <n v="51"/>
    <s v="Medium Risk"/>
  </r>
  <r>
    <n v="355"/>
    <s v="30-39"/>
    <s v="High Income"/>
    <n v="1"/>
    <n v="0"/>
    <s v="College"/>
    <x v="2"/>
    <s v="Normal"/>
    <n v="20"/>
    <n v="5"/>
    <n v="0"/>
    <n v="18.75"/>
    <n v="15"/>
    <n v="59"/>
    <s v="High Risk"/>
  </r>
  <r>
    <n v="359"/>
    <s v="30-39"/>
    <s v="High Income"/>
    <n v="0"/>
    <n v="0"/>
    <s v="Bachelor"/>
    <x v="2"/>
    <s v="Elevated"/>
    <n v="20"/>
    <n v="5"/>
    <n v="0"/>
    <n v="18.75"/>
    <n v="15"/>
    <n v="59"/>
    <s v="High Risk"/>
  </r>
  <r>
    <n v="361"/>
    <s v="30-39"/>
    <s v="High Income"/>
    <n v="0"/>
    <n v="0"/>
    <s v="College"/>
    <x v="0"/>
    <s v="Normal"/>
    <n v="20"/>
    <n v="5"/>
    <n v="0"/>
    <n v="6.25"/>
    <n v="8"/>
    <n v="39"/>
    <s v="Medium Risk"/>
  </r>
  <r>
    <n v="362"/>
    <s v="30-39"/>
    <s v="High Income"/>
    <n v="0"/>
    <n v="0"/>
    <s v="Below College"/>
    <x v="0"/>
    <s v="Normal"/>
    <n v="20"/>
    <n v="5"/>
    <n v="0"/>
    <n v="25"/>
    <n v="8"/>
    <n v="58"/>
    <s v="High Risk"/>
  </r>
  <r>
    <n v="363"/>
    <s v="40-49"/>
    <s v="High Income"/>
    <n v="0"/>
    <n v="1"/>
    <s v="Bachelor"/>
    <x v="0"/>
    <s v="Elevated"/>
    <n v="10"/>
    <n v="5"/>
    <n v="25"/>
    <n v="18.75"/>
    <n v="8"/>
    <n v="67"/>
    <s v="High Risk"/>
  </r>
  <r>
    <n v="364"/>
    <s v="Under 30"/>
    <s v="High Income"/>
    <n v="1"/>
    <n v="0"/>
    <s v="Master"/>
    <x v="1"/>
    <s v="Elevated"/>
    <n v="30"/>
    <n v="5"/>
    <n v="0"/>
    <n v="12.5"/>
    <n v="25"/>
    <n v="73"/>
    <s v="High Risk"/>
  </r>
  <r>
    <n v="366"/>
    <s v="Under 30"/>
    <s v="High Income"/>
    <n v="0"/>
    <n v="0"/>
    <s v="Bachelor"/>
    <x v="1"/>
    <s v="Normal"/>
    <n v="30"/>
    <n v="5"/>
    <n v="0"/>
    <n v="18.75"/>
    <n v="25"/>
    <n v="79"/>
    <s v="High Risk"/>
  </r>
  <r>
    <n v="367"/>
    <s v="30-39"/>
    <s v="High Income"/>
    <n v="0"/>
    <n v="0"/>
    <s v="Bachelor"/>
    <x v="0"/>
    <s v="Normal"/>
    <n v="20"/>
    <n v="5"/>
    <n v="0"/>
    <n v="6.25"/>
    <n v="8"/>
    <n v="39"/>
    <s v="Medium Risk"/>
  </r>
  <r>
    <n v="369"/>
    <s v="Under 30"/>
    <s v="High Income"/>
    <n v="0"/>
    <n v="0"/>
    <s v="College"/>
    <x v="0"/>
    <s v="Normal"/>
    <n v="30"/>
    <n v="5"/>
    <n v="0"/>
    <n v="25"/>
    <n v="8"/>
    <n v="68"/>
    <s v="High Risk"/>
  </r>
  <r>
    <n v="372"/>
    <s v="40-49"/>
    <s v="High Income"/>
    <n v="0"/>
    <n v="1"/>
    <s v="College"/>
    <x v="3"/>
    <s v="Normal"/>
    <n v="10"/>
    <n v="5"/>
    <n v="25"/>
    <n v="6.25"/>
    <n v="3"/>
    <n v="49"/>
    <s v="Medium Risk"/>
  </r>
  <r>
    <n v="373"/>
    <s v="30-39"/>
    <s v="High Income"/>
    <n v="0"/>
    <n v="0"/>
    <s v="Bachelor"/>
    <x v="3"/>
    <s v="Normal"/>
    <n v="20"/>
    <n v="5"/>
    <n v="0"/>
    <n v="6.25"/>
    <n v="3"/>
    <n v="34"/>
    <s v="Low Risk"/>
  </r>
  <r>
    <n v="374"/>
    <s v="50+"/>
    <s v="High Income"/>
    <n v="0"/>
    <n v="1"/>
    <s v="Bachelor"/>
    <x v="3"/>
    <s v="Normal"/>
    <n v="15"/>
    <n v="5"/>
    <n v="25"/>
    <n v="25"/>
    <n v="3"/>
    <n v="73"/>
    <s v="High Risk"/>
  </r>
  <r>
    <n v="376"/>
    <s v="40-49"/>
    <s v="High Income"/>
    <n v="1"/>
    <n v="1"/>
    <s v="Master"/>
    <x v="0"/>
    <s v="Elevated"/>
    <n v="10"/>
    <n v="5"/>
    <n v="25"/>
    <n v="18.75"/>
    <n v="8"/>
    <n v="67"/>
    <s v="High Risk"/>
  </r>
  <r>
    <n v="377"/>
    <s v="Under 30"/>
    <s v="High Income"/>
    <n v="0"/>
    <n v="0"/>
    <s v="Bachelor"/>
    <x v="2"/>
    <s v="Elevated"/>
    <n v="30"/>
    <n v="5"/>
    <n v="0"/>
    <n v="6.25"/>
    <n v="15"/>
    <n v="56"/>
    <s v="High Risk"/>
  </r>
  <r>
    <n v="378"/>
    <s v="30-39"/>
    <s v="High Income"/>
    <n v="0"/>
    <n v="0"/>
    <s v="Master"/>
    <x v="2"/>
    <s v="Normal"/>
    <n v="20"/>
    <n v="5"/>
    <n v="0"/>
    <n v="6.25"/>
    <n v="15"/>
    <n v="46"/>
    <s v="Medium Risk"/>
  </r>
  <r>
    <n v="379"/>
    <s v="Under 30"/>
    <s v="High Income"/>
    <n v="0"/>
    <n v="0"/>
    <s v="College"/>
    <x v="2"/>
    <s v="Normal"/>
    <n v="30"/>
    <n v="5"/>
    <n v="0"/>
    <n v="12.5"/>
    <n v="15"/>
    <n v="63"/>
    <s v="High Risk"/>
  </r>
  <r>
    <n v="380"/>
    <s v="30-39"/>
    <s v="High Income"/>
    <n v="0"/>
    <n v="1"/>
    <s v="Master"/>
    <x v="2"/>
    <s v="Normal"/>
    <n v="20"/>
    <n v="5"/>
    <n v="25"/>
    <n v="6.25"/>
    <n v="15"/>
    <n v="71"/>
    <s v="High Risk"/>
  </r>
  <r>
    <n v="381"/>
    <s v="30-39"/>
    <s v="High Income"/>
    <n v="0"/>
    <n v="0"/>
    <s v="Bachelor"/>
    <x v="0"/>
    <s v="Elevated"/>
    <n v="20"/>
    <n v="5"/>
    <n v="0"/>
    <n v="18.75"/>
    <n v="8"/>
    <n v="52"/>
    <s v="Medium Risk"/>
  </r>
  <r>
    <n v="382"/>
    <s v="30-39"/>
    <s v="High Income"/>
    <n v="0"/>
    <n v="1"/>
    <s v="College"/>
    <x v="0"/>
    <s v="Normal"/>
    <n v="20"/>
    <n v="5"/>
    <n v="25"/>
    <n v="25"/>
    <n v="8"/>
    <n v="83"/>
    <s v="High Risk"/>
  </r>
  <r>
    <n v="384"/>
    <s v="Under 30"/>
    <s v="High Income"/>
    <n v="0"/>
    <n v="0"/>
    <s v="Bachelor"/>
    <x v="0"/>
    <s v="Elevated"/>
    <n v="30"/>
    <n v="5"/>
    <n v="0"/>
    <n v="18.75"/>
    <n v="8"/>
    <n v="62"/>
    <s v="High Risk"/>
  </r>
  <r>
    <n v="385"/>
    <s v="50+"/>
    <s v="High Income"/>
    <n v="0"/>
    <n v="0"/>
    <s v="Below College"/>
    <x v="0"/>
    <s v="Elevated"/>
    <n v="15"/>
    <n v="5"/>
    <n v="0"/>
    <n v="18.75"/>
    <n v="8"/>
    <n v="47"/>
    <s v="Medium Risk"/>
  </r>
  <r>
    <n v="386"/>
    <s v="50+"/>
    <s v="High Income"/>
    <n v="0"/>
    <n v="1"/>
    <s v="Master"/>
    <x v="2"/>
    <s v="Elevated"/>
    <n v="15"/>
    <n v="5"/>
    <n v="25"/>
    <n v="12.5"/>
    <n v="15"/>
    <n v="73"/>
    <s v="High Risk"/>
  </r>
  <r>
    <n v="387"/>
    <s v="40-49"/>
    <s v="High Income"/>
    <n v="0"/>
    <n v="0"/>
    <s v="Below College"/>
    <x v="3"/>
    <s v="Normal"/>
    <n v="10"/>
    <n v="5"/>
    <n v="0"/>
    <n v="12.5"/>
    <n v="3"/>
    <n v="31"/>
    <s v="Low Risk"/>
  </r>
  <r>
    <n v="388"/>
    <s v="Under 30"/>
    <s v="High Income"/>
    <n v="0"/>
    <n v="0"/>
    <s v="College"/>
    <x v="0"/>
    <s v="Elevated"/>
    <n v="30"/>
    <n v="5"/>
    <n v="0"/>
    <n v="6.25"/>
    <n v="8"/>
    <n v="49"/>
    <s v="Medium Risk"/>
  </r>
  <r>
    <n v="389"/>
    <s v="50+"/>
    <s v="High Income"/>
    <n v="0"/>
    <n v="1"/>
    <s v="College"/>
    <x v="0"/>
    <s v="Normal"/>
    <n v="15"/>
    <n v="5"/>
    <n v="25"/>
    <n v="6.25"/>
    <n v="8"/>
    <n v="59"/>
    <s v="High Risk"/>
  </r>
  <r>
    <n v="390"/>
    <s v="Under 30"/>
    <s v="High Income"/>
    <n v="0"/>
    <n v="1"/>
    <s v="College"/>
    <x v="2"/>
    <s v="Normal"/>
    <n v="30"/>
    <n v="5"/>
    <n v="25"/>
    <n v="25"/>
    <n v="15"/>
    <n v="100"/>
    <s v="High Risk"/>
  </r>
  <r>
    <n v="391"/>
    <s v="30-39"/>
    <s v="High Income"/>
    <n v="0"/>
    <n v="0"/>
    <s v="Bachelor"/>
    <x v="3"/>
    <s v="Normal"/>
    <n v="20"/>
    <n v="5"/>
    <n v="0"/>
    <n v="6.25"/>
    <n v="3"/>
    <n v="34"/>
    <s v="Low Risk"/>
  </r>
  <r>
    <n v="392"/>
    <s v="40-49"/>
    <s v="High Income"/>
    <n v="1"/>
    <n v="1"/>
    <s v="Bachelor"/>
    <x v="1"/>
    <s v="Elevated"/>
    <n v="10"/>
    <n v="5"/>
    <n v="25"/>
    <n v="12.5"/>
    <n v="25"/>
    <n v="78"/>
    <s v="High Risk"/>
  </r>
  <r>
    <n v="393"/>
    <s v="30-39"/>
    <s v="High Income"/>
    <n v="0"/>
    <n v="0"/>
    <s v="Master"/>
    <x v="1"/>
    <s v="Normal"/>
    <n v="20"/>
    <n v="5"/>
    <n v="0"/>
    <n v="6.25"/>
    <n v="25"/>
    <n v="56"/>
    <s v="High Risk"/>
  </r>
  <r>
    <n v="394"/>
    <s v="Under 30"/>
    <s v="High Income"/>
    <n v="1"/>
    <n v="1"/>
    <s v="Master"/>
    <x v="2"/>
    <s v="Normal"/>
    <n v="30"/>
    <n v="5"/>
    <n v="25"/>
    <n v="18.75"/>
    <n v="15"/>
    <n v="94"/>
    <s v="High Risk"/>
  </r>
  <r>
    <n v="395"/>
    <s v="Under 30"/>
    <s v="High Income"/>
    <n v="0"/>
    <n v="0"/>
    <s v="College"/>
    <x v="2"/>
    <s v="Normal"/>
    <n v="30"/>
    <n v="5"/>
    <n v="0"/>
    <n v="6.25"/>
    <n v="15"/>
    <n v="56"/>
    <s v="High Risk"/>
  </r>
  <r>
    <n v="396"/>
    <s v="40-49"/>
    <s v="High Income"/>
    <n v="0"/>
    <n v="1"/>
    <s v="Master"/>
    <x v="2"/>
    <s v="Normal"/>
    <n v="10"/>
    <n v="5"/>
    <n v="25"/>
    <n v="25"/>
    <n v="15"/>
    <n v="80"/>
    <s v="High Risk"/>
  </r>
  <r>
    <n v="397"/>
    <s v="30-39"/>
    <s v="High Income"/>
    <n v="0"/>
    <n v="0"/>
    <s v="Bachelor"/>
    <x v="0"/>
    <s v="Normal"/>
    <n v="20"/>
    <n v="5"/>
    <n v="0"/>
    <n v="18.75"/>
    <n v="8"/>
    <n v="52"/>
    <s v="Medium Risk"/>
  </r>
  <r>
    <n v="399"/>
    <s v="30-39"/>
    <s v="High Income"/>
    <n v="0"/>
    <n v="0"/>
    <s v="Bachelor"/>
    <x v="1"/>
    <s v="Elevated"/>
    <n v="20"/>
    <n v="5"/>
    <n v="0"/>
    <n v="18.75"/>
    <n v="25"/>
    <n v="69"/>
    <s v="High Risk"/>
  </r>
  <r>
    <n v="401"/>
    <s v="Under 30"/>
    <s v="High Income"/>
    <n v="1"/>
    <n v="1"/>
    <s v="Master"/>
    <x v="0"/>
    <s v="Normal"/>
    <n v="30"/>
    <n v="5"/>
    <n v="25"/>
    <n v="6.25"/>
    <n v="8"/>
    <n v="74"/>
    <s v="High Risk"/>
  </r>
  <r>
    <n v="403"/>
    <s v="30-39"/>
    <s v="High Income"/>
    <n v="0"/>
    <n v="1"/>
    <s v="Bachelor"/>
    <x v="2"/>
    <s v="Elevated"/>
    <n v="20"/>
    <n v="5"/>
    <n v="25"/>
    <n v="6.25"/>
    <n v="15"/>
    <n v="71"/>
    <s v="High Risk"/>
  </r>
  <r>
    <n v="404"/>
    <s v="40-49"/>
    <s v="High Income"/>
    <n v="0"/>
    <n v="0"/>
    <s v="Bachelor"/>
    <x v="3"/>
    <s v="Normal"/>
    <n v="10"/>
    <n v="5"/>
    <n v="0"/>
    <n v="18.75"/>
    <n v="3"/>
    <n v="37"/>
    <s v="Medium Risk"/>
  </r>
  <r>
    <n v="405"/>
    <s v="Under 30"/>
    <s v="High Income"/>
    <n v="1"/>
    <n v="0"/>
    <s v="Bachelor"/>
    <x v="1"/>
    <s v="Normal"/>
    <n v="30"/>
    <n v="5"/>
    <n v="0"/>
    <n v="12.5"/>
    <n v="25"/>
    <n v="73"/>
    <s v="High Risk"/>
  </r>
  <r>
    <n v="406"/>
    <s v="30-39"/>
    <s v="High Income"/>
    <n v="0"/>
    <n v="0"/>
    <s v="Bachelor"/>
    <x v="3"/>
    <s v="Elevated"/>
    <n v="20"/>
    <n v="5"/>
    <n v="0"/>
    <n v="18.75"/>
    <n v="3"/>
    <n v="47"/>
    <s v="Medium Risk"/>
  </r>
  <r>
    <n v="407"/>
    <s v="30-39"/>
    <s v="High Income"/>
    <n v="0"/>
    <n v="0"/>
    <s v="Master"/>
    <x v="1"/>
    <s v="Normal"/>
    <n v="20"/>
    <n v="5"/>
    <n v="0"/>
    <n v="6.25"/>
    <n v="25"/>
    <n v="56"/>
    <s v="High Risk"/>
  </r>
  <r>
    <n v="408"/>
    <s v="50+"/>
    <s v="High Income"/>
    <n v="0"/>
    <n v="0"/>
    <s v="Bachelor"/>
    <x v="2"/>
    <s v="Normal"/>
    <n v="15"/>
    <n v="5"/>
    <n v="0"/>
    <n v="18.75"/>
    <n v="15"/>
    <n v="54"/>
    <s v="Medium Risk"/>
  </r>
  <r>
    <n v="410"/>
    <s v="40-49"/>
    <s v="High Income"/>
    <n v="0"/>
    <n v="0"/>
    <s v="Master"/>
    <x v="3"/>
    <s v="Normal"/>
    <n v="10"/>
    <n v="5"/>
    <n v="0"/>
    <n v="18.75"/>
    <n v="3"/>
    <n v="37"/>
    <s v="Medium Risk"/>
  </r>
  <r>
    <n v="411"/>
    <s v="Under 30"/>
    <s v="High Income"/>
    <n v="0"/>
    <n v="0"/>
    <s v="Bachelor"/>
    <x v="1"/>
    <s v="Normal"/>
    <n v="30"/>
    <n v="5"/>
    <n v="0"/>
    <n v="12.5"/>
    <n v="25"/>
    <n v="73"/>
    <s v="High Risk"/>
  </r>
  <r>
    <n v="412"/>
    <s v="Under 30"/>
    <s v="High Income"/>
    <n v="0"/>
    <n v="0"/>
    <s v="College"/>
    <x v="0"/>
    <s v="Normal"/>
    <n v="30"/>
    <n v="5"/>
    <n v="0"/>
    <n v="25"/>
    <n v="8"/>
    <n v="68"/>
    <s v="High Risk"/>
  </r>
  <r>
    <n v="416"/>
    <s v="30-39"/>
    <s v="High Income"/>
    <n v="0"/>
    <n v="0"/>
    <s v="Bachelor"/>
    <x v="0"/>
    <s v="Elevated"/>
    <n v="20"/>
    <n v="5"/>
    <n v="0"/>
    <n v="6.25"/>
    <n v="8"/>
    <n v="39"/>
    <s v="Medium Risk"/>
  </r>
  <r>
    <n v="417"/>
    <s v="30-39"/>
    <s v="High Income"/>
    <n v="0"/>
    <n v="0"/>
    <s v="Bachelor"/>
    <x v="3"/>
    <s v="Elevated"/>
    <n v="20"/>
    <n v="5"/>
    <n v="0"/>
    <n v="6.25"/>
    <n v="3"/>
    <n v="34"/>
    <s v="Low Risk"/>
  </r>
  <r>
    <n v="419"/>
    <s v="30-39"/>
    <s v="High Income"/>
    <n v="0"/>
    <n v="0"/>
    <s v="Master"/>
    <x v="0"/>
    <s v="Normal"/>
    <n v="20"/>
    <n v="5"/>
    <n v="0"/>
    <n v="18.75"/>
    <n v="8"/>
    <n v="52"/>
    <s v="Medium Risk"/>
  </r>
  <r>
    <n v="420"/>
    <s v="30-39"/>
    <s v="High Income"/>
    <n v="0"/>
    <n v="0"/>
    <s v="Bachelor"/>
    <x v="3"/>
    <s v="Elevated"/>
    <n v="20"/>
    <n v="5"/>
    <n v="0"/>
    <n v="12.5"/>
    <n v="3"/>
    <n v="41"/>
    <s v="Medium Risk"/>
  </r>
  <r>
    <n v="421"/>
    <s v="30-39"/>
    <s v="High Income"/>
    <n v="0"/>
    <n v="0"/>
    <s v="College"/>
    <x v="0"/>
    <s v="Normal"/>
    <n v="20"/>
    <n v="5"/>
    <n v="0"/>
    <n v="18.75"/>
    <n v="8"/>
    <n v="52"/>
    <s v="Medium Risk"/>
  </r>
  <r>
    <n v="422"/>
    <s v="50+"/>
    <s v="High Income"/>
    <n v="0"/>
    <n v="1"/>
    <s v="Master"/>
    <x v="2"/>
    <s v="Normal"/>
    <n v="15"/>
    <n v="5"/>
    <n v="25"/>
    <n v="12.5"/>
    <n v="15"/>
    <n v="73"/>
    <s v="High Risk"/>
  </r>
  <r>
    <n v="423"/>
    <s v="30-39"/>
    <s v="High Income"/>
    <n v="0"/>
    <n v="1"/>
    <s v="Master"/>
    <x v="2"/>
    <s v="Normal"/>
    <n v="20"/>
    <n v="5"/>
    <n v="25"/>
    <n v="6.25"/>
    <n v="15"/>
    <n v="71"/>
    <s v="High Risk"/>
  </r>
  <r>
    <n v="424"/>
    <s v="30-39"/>
    <s v="High Income"/>
    <n v="0"/>
    <n v="0"/>
    <s v="Bachelor"/>
    <x v="1"/>
    <s v="Normal"/>
    <n v="20"/>
    <n v="5"/>
    <n v="0"/>
    <n v="25"/>
    <n v="25"/>
    <n v="75"/>
    <s v="High Risk"/>
  </r>
  <r>
    <n v="425"/>
    <s v="40-49"/>
    <s v="High Income"/>
    <n v="0"/>
    <n v="0"/>
    <s v="Bachelor"/>
    <x v="3"/>
    <s v="Normal"/>
    <n v="10"/>
    <n v="5"/>
    <n v="0"/>
    <n v="25"/>
    <n v="3"/>
    <n v="43"/>
    <s v="Medium Risk"/>
  </r>
  <r>
    <n v="426"/>
    <s v="30-39"/>
    <s v="High Income"/>
    <n v="0"/>
    <n v="1"/>
    <s v="Master"/>
    <x v="1"/>
    <s v="Elevated"/>
    <n v="20"/>
    <n v="5"/>
    <n v="25"/>
    <n v="6.25"/>
    <n v="25"/>
    <n v="81"/>
    <s v="High Risk"/>
  </r>
  <r>
    <n v="428"/>
    <s v="30-39"/>
    <s v="High Income"/>
    <n v="0"/>
    <n v="0"/>
    <s v="Master"/>
    <x v="0"/>
    <s v="Normal"/>
    <n v="20"/>
    <n v="5"/>
    <n v="0"/>
    <n v="18.75"/>
    <n v="8"/>
    <n v="52"/>
    <s v="Medium Risk"/>
  </r>
  <r>
    <n v="429"/>
    <s v="30-39"/>
    <s v="High Income"/>
    <n v="0"/>
    <n v="1"/>
    <s v="Below College"/>
    <x v="3"/>
    <s v="Normal"/>
    <n v="20"/>
    <n v="5"/>
    <n v="25"/>
    <n v="25"/>
    <n v="3"/>
    <n v="78"/>
    <s v="High Risk"/>
  </r>
  <r>
    <n v="430"/>
    <s v="40-49"/>
    <s v="High Income"/>
    <n v="0"/>
    <n v="0"/>
    <s v="Master"/>
    <x v="0"/>
    <s v="Normal"/>
    <n v="10"/>
    <n v="5"/>
    <n v="0"/>
    <n v="6.25"/>
    <n v="8"/>
    <n v="29"/>
    <s v="Low Risk"/>
  </r>
  <r>
    <n v="431"/>
    <s v="40-49"/>
    <s v="High Income"/>
    <n v="0"/>
    <n v="1"/>
    <s v="College"/>
    <x v="0"/>
    <s v="Normal"/>
    <n v="10"/>
    <n v="5"/>
    <n v="25"/>
    <n v="12.5"/>
    <n v="8"/>
    <n v="61"/>
    <s v="High Risk"/>
  </r>
  <r>
    <n v="433"/>
    <s v="50+"/>
    <s v="High Income"/>
    <n v="1"/>
    <n v="0"/>
    <s v="Master"/>
    <x v="0"/>
    <s v="Elevated"/>
    <n v="15"/>
    <n v="5"/>
    <n v="0"/>
    <n v="18.75"/>
    <n v="8"/>
    <n v="47"/>
    <s v="Medium Risk"/>
  </r>
  <r>
    <n v="434"/>
    <s v="Under 30"/>
    <s v="High Income"/>
    <n v="0"/>
    <n v="1"/>
    <s v="Bachelor"/>
    <x v="2"/>
    <s v="Elevated"/>
    <n v="30"/>
    <n v="5"/>
    <n v="25"/>
    <n v="18.75"/>
    <n v="15"/>
    <n v="94"/>
    <s v="High Risk"/>
  </r>
  <r>
    <n v="436"/>
    <s v="30-39"/>
    <s v="High Income"/>
    <n v="0"/>
    <n v="1"/>
    <s v="College"/>
    <x v="3"/>
    <s v="Normal"/>
    <n v="20"/>
    <n v="5"/>
    <n v="25"/>
    <n v="18.75"/>
    <n v="3"/>
    <n v="72"/>
    <s v="High Risk"/>
  </r>
  <r>
    <n v="437"/>
    <s v="Under 30"/>
    <s v="High Income"/>
    <n v="0"/>
    <n v="1"/>
    <s v="Bachelor"/>
    <x v="2"/>
    <s v="Normal"/>
    <n v="30"/>
    <n v="5"/>
    <n v="25"/>
    <n v="12.5"/>
    <n v="15"/>
    <n v="88"/>
    <s v="High Risk"/>
  </r>
  <r>
    <n v="438"/>
    <s v="30-39"/>
    <s v="High Income"/>
    <n v="0"/>
    <n v="0"/>
    <s v="Bachelor"/>
    <x v="0"/>
    <s v="Normal"/>
    <n v="20"/>
    <n v="5"/>
    <n v="0"/>
    <n v="6.25"/>
    <n v="8"/>
    <n v="39"/>
    <s v="Medium Risk"/>
  </r>
  <r>
    <n v="439"/>
    <s v="30-39"/>
    <s v="High Income"/>
    <n v="0"/>
    <n v="0"/>
    <s v="Master"/>
    <x v="0"/>
    <s v="Elevated"/>
    <n v="20"/>
    <n v="5"/>
    <n v="0"/>
    <n v="6.25"/>
    <n v="8"/>
    <n v="39"/>
    <s v="Medium Risk"/>
  </r>
  <r>
    <n v="440"/>
    <s v="Under 30"/>
    <s v="High Income"/>
    <n v="1"/>
    <n v="1"/>
    <s v="Master"/>
    <x v="2"/>
    <s v="Elevated"/>
    <n v="30"/>
    <n v="5"/>
    <n v="25"/>
    <n v="6.25"/>
    <n v="15"/>
    <n v="81"/>
    <s v="High Risk"/>
  </r>
  <r>
    <n v="441"/>
    <s v="30-39"/>
    <s v="High Income"/>
    <n v="0"/>
    <n v="0"/>
    <s v="College"/>
    <x v="0"/>
    <s v="Normal"/>
    <n v="20"/>
    <n v="5"/>
    <n v="0"/>
    <n v="6.25"/>
    <n v="8"/>
    <n v="39"/>
    <s v="Medium Risk"/>
  </r>
  <r>
    <n v="442"/>
    <s v="30-39"/>
    <s v="High Income"/>
    <n v="0"/>
    <n v="0"/>
    <s v="College"/>
    <x v="0"/>
    <s v="Normal"/>
    <n v="20"/>
    <n v="5"/>
    <n v="0"/>
    <n v="12.5"/>
    <n v="8"/>
    <n v="46"/>
    <s v="Medium Risk"/>
  </r>
  <r>
    <n v="444"/>
    <s v="30-39"/>
    <s v="High Income"/>
    <n v="0"/>
    <n v="0"/>
    <s v="College"/>
    <x v="3"/>
    <s v="Normal"/>
    <n v="20"/>
    <n v="5"/>
    <n v="0"/>
    <n v="6.25"/>
    <n v="3"/>
    <n v="34"/>
    <s v="Low Risk"/>
  </r>
  <r>
    <n v="445"/>
    <s v="30-39"/>
    <s v="High Income"/>
    <n v="1"/>
    <n v="1"/>
    <s v="College"/>
    <x v="1"/>
    <s v="Elevated"/>
    <n v="20"/>
    <n v="5"/>
    <n v="25"/>
    <n v="12.5"/>
    <n v="25"/>
    <n v="88"/>
    <s v="High Risk"/>
  </r>
  <r>
    <n v="446"/>
    <s v="30-39"/>
    <s v="High Income"/>
    <n v="0"/>
    <n v="0"/>
    <s v="Bachelor"/>
    <x v="0"/>
    <s v="Elevated"/>
    <n v="20"/>
    <n v="5"/>
    <n v="0"/>
    <n v="6.25"/>
    <n v="8"/>
    <n v="39"/>
    <s v="Medium Risk"/>
  </r>
  <r>
    <n v="447"/>
    <s v="40-49"/>
    <s v="High Income"/>
    <n v="0"/>
    <n v="0"/>
    <s v="Doctor"/>
    <x v="2"/>
    <s v="Normal"/>
    <n v="10"/>
    <n v="5"/>
    <n v="0"/>
    <n v="12.5"/>
    <n v="15"/>
    <n v="43"/>
    <s v="Medium Risk"/>
  </r>
  <r>
    <n v="448"/>
    <s v="40-49"/>
    <s v="High Income"/>
    <n v="0"/>
    <n v="0"/>
    <s v="Master"/>
    <x v="0"/>
    <s v="Normal"/>
    <n v="10"/>
    <n v="5"/>
    <n v="0"/>
    <n v="12.5"/>
    <n v="8"/>
    <n v="36"/>
    <s v="Medium Risk"/>
  </r>
  <r>
    <n v="449"/>
    <s v="Under 30"/>
    <s v="High Income"/>
    <n v="0"/>
    <n v="1"/>
    <s v="Below College"/>
    <x v="2"/>
    <s v="Normal"/>
    <n v="30"/>
    <n v="5"/>
    <n v="25"/>
    <n v="18.75"/>
    <n v="15"/>
    <n v="94"/>
    <s v="High Risk"/>
  </r>
  <r>
    <n v="450"/>
    <s v="50+"/>
    <s v="High Income"/>
    <n v="0"/>
    <n v="0"/>
    <s v="Master"/>
    <x v="2"/>
    <s v="Elevated"/>
    <n v="15"/>
    <n v="5"/>
    <n v="0"/>
    <n v="12.5"/>
    <n v="15"/>
    <n v="48"/>
    <s v="Medium Risk"/>
  </r>
  <r>
    <n v="451"/>
    <s v="40-49"/>
    <s v="High Income"/>
    <n v="0"/>
    <n v="0"/>
    <s v="Bachelor"/>
    <x v="1"/>
    <s v="Elevated"/>
    <n v="10"/>
    <n v="5"/>
    <n v="0"/>
    <n v="25"/>
    <n v="25"/>
    <n v="65"/>
    <s v="High Risk"/>
  </r>
  <r>
    <n v="452"/>
    <s v="40-49"/>
    <s v="High Income"/>
    <n v="0"/>
    <n v="0"/>
    <s v="Master"/>
    <x v="0"/>
    <s v="Normal"/>
    <n v="10"/>
    <n v="5"/>
    <n v="0"/>
    <n v="6.25"/>
    <n v="8"/>
    <n v="29"/>
    <s v="Low Risk"/>
  </r>
  <r>
    <n v="453"/>
    <s v="40-49"/>
    <s v="High Income"/>
    <n v="0"/>
    <n v="1"/>
    <s v="College"/>
    <x v="2"/>
    <s v="Elevated"/>
    <n v="10"/>
    <n v="5"/>
    <n v="25"/>
    <n v="6.25"/>
    <n v="15"/>
    <n v="61"/>
    <s v="High Risk"/>
  </r>
  <r>
    <n v="454"/>
    <s v="Under 30"/>
    <s v="High Income"/>
    <n v="1"/>
    <n v="1"/>
    <s v="Master"/>
    <x v="0"/>
    <s v="Elevated"/>
    <n v="30"/>
    <n v="5"/>
    <n v="25"/>
    <n v="25"/>
    <n v="8"/>
    <n v="93"/>
    <s v="High Risk"/>
  </r>
  <r>
    <n v="455"/>
    <s v="Under 30"/>
    <s v="High Income"/>
    <n v="0"/>
    <n v="0"/>
    <s v="Doctor"/>
    <x v="2"/>
    <s v="Normal"/>
    <n v="30"/>
    <n v="5"/>
    <n v="0"/>
    <n v="6.25"/>
    <n v="15"/>
    <n v="56"/>
    <s v="High Risk"/>
  </r>
  <r>
    <n v="456"/>
    <s v="30-39"/>
    <s v="High Income"/>
    <n v="0"/>
    <n v="0"/>
    <s v="Bachelor"/>
    <x v="0"/>
    <s v="Normal"/>
    <n v="20"/>
    <n v="5"/>
    <n v="0"/>
    <n v="12.5"/>
    <n v="8"/>
    <n v="46"/>
    <s v="Medium Risk"/>
  </r>
  <r>
    <n v="458"/>
    <s v="Under 30"/>
    <s v="High Income"/>
    <n v="0"/>
    <n v="0"/>
    <s v="Master"/>
    <x v="0"/>
    <s v="Normal"/>
    <n v="30"/>
    <n v="5"/>
    <n v="0"/>
    <n v="18.75"/>
    <n v="8"/>
    <n v="62"/>
    <s v="High Risk"/>
  </r>
  <r>
    <n v="460"/>
    <s v="30-39"/>
    <s v="High Income"/>
    <n v="0"/>
    <n v="0"/>
    <s v="College"/>
    <x v="0"/>
    <s v="Elevated"/>
    <n v="20"/>
    <n v="5"/>
    <n v="0"/>
    <n v="6.25"/>
    <n v="8"/>
    <n v="39"/>
    <s v="Medium Risk"/>
  </r>
  <r>
    <n v="461"/>
    <s v="30-39"/>
    <s v="High Income"/>
    <n v="0"/>
    <n v="1"/>
    <s v="College"/>
    <x v="3"/>
    <s v="Normal"/>
    <n v="20"/>
    <n v="5"/>
    <n v="25"/>
    <n v="6.25"/>
    <n v="3"/>
    <n v="59"/>
    <s v="High Risk"/>
  </r>
  <r>
    <n v="462"/>
    <s v="30-39"/>
    <s v="High Income"/>
    <n v="0"/>
    <n v="1"/>
    <s v="Master"/>
    <x v="3"/>
    <s v="Elevated"/>
    <n v="20"/>
    <n v="5"/>
    <n v="25"/>
    <n v="6.25"/>
    <n v="3"/>
    <n v="59"/>
    <s v="High Risk"/>
  </r>
  <r>
    <n v="463"/>
    <s v="Under 30"/>
    <s v="High Income"/>
    <n v="0"/>
    <n v="1"/>
    <s v="Below College"/>
    <x v="0"/>
    <s v="Normal"/>
    <n v="30"/>
    <n v="5"/>
    <n v="25"/>
    <n v="18.75"/>
    <n v="8"/>
    <n v="87"/>
    <s v="High Risk"/>
  </r>
  <r>
    <n v="464"/>
    <s v="30-39"/>
    <s v="High Income"/>
    <n v="0"/>
    <n v="0"/>
    <s v="Master"/>
    <x v="3"/>
    <s v="Normal"/>
    <n v="20"/>
    <n v="5"/>
    <n v="0"/>
    <n v="18.75"/>
    <n v="3"/>
    <n v="47"/>
    <s v="Medium Risk"/>
  </r>
  <r>
    <n v="465"/>
    <s v="Under 30"/>
    <s v="High Income"/>
    <n v="0"/>
    <n v="0"/>
    <s v="Below College"/>
    <x v="2"/>
    <s v="Elevated"/>
    <n v="30"/>
    <n v="5"/>
    <n v="0"/>
    <n v="6.25"/>
    <n v="15"/>
    <n v="56"/>
    <s v="High Risk"/>
  </r>
  <r>
    <n v="466"/>
    <s v="40-49"/>
    <s v="High Income"/>
    <n v="0"/>
    <n v="1"/>
    <s v="Bachelor"/>
    <x v="2"/>
    <s v="Normal"/>
    <n v="10"/>
    <n v="5"/>
    <n v="25"/>
    <n v="18.75"/>
    <n v="15"/>
    <n v="74"/>
    <s v="High Risk"/>
  </r>
  <r>
    <n v="467"/>
    <s v="40-49"/>
    <s v="High Income"/>
    <n v="0"/>
    <n v="0"/>
    <s v="Below College"/>
    <x v="1"/>
    <s v="Normal"/>
    <n v="10"/>
    <n v="5"/>
    <n v="0"/>
    <n v="12.5"/>
    <n v="25"/>
    <n v="53"/>
    <s v="Medium Risk"/>
  </r>
  <r>
    <n v="468"/>
    <s v="40-49"/>
    <s v="High Income"/>
    <n v="0"/>
    <n v="0"/>
    <s v="Doctor"/>
    <x v="1"/>
    <s v="Normal"/>
    <n v="10"/>
    <n v="5"/>
    <n v="0"/>
    <n v="6.25"/>
    <n v="25"/>
    <n v="46"/>
    <s v="Medium Risk"/>
  </r>
  <r>
    <n v="469"/>
    <s v="Under 30"/>
    <s v="High Income"/>
    <n v="0"/>
    <n v="0"/>
    <s v="Bachelor"/>
    <x v="2"/>
    <s v="Elevated"/>
    <n v="30"/>
    <n v="5"/>
    <n v="0"/>
    <n v="12.5"/>
    <n v="15"/>
    <n v="63"/>
    <s v="High Risk"/>
  </r>
  <r>
    <n v="470"/>
    <s v="40-49"/>
    <s v="High Income"/>
    <n v="0"/>
    <n v="1"/>
    <s v="Below College"/>
    <x v="2"/>
    <s v="Normal"/>
    <n v="10"/>
    <n v="5"/>
    <n v="25"/>
    <n v="12.5"/>
    <n v="15"/>
    <n v="68"/>
    <s v="High Risk"/>
  </r>
  <r>
    <n v="471"/>
    <s v="30-39"/>
    <s v="High Income"/>
    <n v="0"/>
    <n v="0"/>
    <s v="Bachelor"/>
    <x v="0"/>
    <s v="Normal"/>
    <n v="20"/>
    <n v="5"/>
    <n v="0"/>
    <n v="18.75"/>
    <n v="8"/>
    <n v="52"/>
    <s v="Medium Risk"/>
  </r>
  <r>
    <n v="473"/>
    <s v="40-49"/>
    <s v="High Income"/>
    <n v="0"/>
    <n v="0"/>
    <s v="Below College"/>
    <x v="1"/>
    <s v="Elevated"/>
    <n v="10"/>
    <n v="5"/>
    <n v="0"/>
    <n v="12.5"/>
    <n v="25"/>
    <n v="53"/>
    <s v="Medium Risk"/>
  </r>
  <r>
    <n v="474"/>
    <s v="30-39"/>
    <s v="High Income"/>
    <n v="0"/>
    <n v="1"/>
    <s v="Bachelor"/>
    <x v="0"/>
    <s v="Normal"/>
    <n v="20"/>
    <n v="5"/>
    <n v="25"/>
    <n v="25"/>
    <n v="8"/>
    <n v="83"/>
    <s v="High Risk"/>
  </r>
  <r>
    <n v="475"/>
    <s v="30-39"/>
    <s v="High Income"/>
    <n v="0"/>
    <n v="1"/>
    <s v="College"/>
    <x v="1"/>
    <s v="Normal"/>
    <n v="20"/>
    <n v="5"/>
    <n v="25"/>
    <n v="12.5"/>
    <n v="25"/>
    <n v="88"/>
    <s v="High Risk"/>
  </r>
  <r>
    <n v="476"/>
    <s v="Under 30"/>
    <s v="High Income"/>
    <n v="0"/>
    <n v="0"/>
    <s v="Bachelor"/>
    <x v="0"/>
    <s v="Normal"/>
    <n v="30"/>
    <n v="5"/>
    <n v="0"/>
    <n v="12.5"/>
    <n v="8"/>
    <n v="56"/>
    <s v="High Risk"/>
  </r>
  <r>
    <n v="477"/>
    <s v="40-49"/>
    <s v="High Income"/>
    <n v="0"/>
    <n v="0"/>
    <s v="Master"/>
    <x v="1"/>
    <s v="Normal"/>
    <n v="10"/>
    <n v="5"/>
    <n v="0"/>
    <n v="6.25"/>
    <n v="25"/>
    <n v="46"/>
    <s v="Medium Risk"/>
  </r>
  <r>
    <n v="478"/>
    <s v="Under 30"/>
    <s v="High Income"/>
    <n v="1"/>
    <n v="1"/>
    <s v="Below College"/>
    <x v="2"/>
    <s v="Normal"/>
    <n v="30"/>
    <n v="5"/>
    <n v="25"/>
    <n v="18.75"/>
    <n v="15"/>
    <n v="94"/>
    <s v="High Risk"/>
  </r>
  <r>
    <n v="479"/>
    <s v="30-39"/>
    <s v="High Income"/>
    <n v="0"/>
    <n v="0"/>
    <s v="Doctor"/>
    <x v="1"/>
    <s v="Normal"/>
    <n v="20"/>
    <n v="5"/>
    <n v="0"/>
    <n v="6.25"/>
    <n v="25"/>
    <n v="56"/>
    <s v="High Risk"/>
  </r>
  <r>
    <n v="481"/>
    <s v="30-39"/>
    <s v="High Income"/>
    <n v="0"/>
    <n v="0"/>
    <s v="Master"/>
    <x v="3"/>
    <s v="Normal"/>
    <n v="20"/>
    <n v="5"/>
    <n v="0"/>
    <n v="6.25"/>
    <n v="3"/>
    <n v="34"/>
    <s v="Low Risk"/>
  </r>
  <r>
    <n v="482"/>
    <s v="50+"/>
    <s v="High Income"/>
    <n v="0"/>
    <n v="0"/>
    <s v="Master"/>
    <x v="2"/>
    <s v="Normal"/>
    <n v="15"/>
    <n v="5"/>
    <n v="0"/>
    <n v="12.5"/>
    <n v="15"/>
    <n v="48"/>
    <s v="Medium Risk"/>
  </r>
  <r>
    <n v="483"/>
    <s v="40-49"/>
    <s v="High Income"/>
    <n v="0"/>
    <n v="1"/>
    <s v="Master"/>
    <x v="0"/>
    <s v="Normal"/>
    <n v="10"/>
    <n v="5"/>
    <n v="25"/>
    <n v="12.5"/>
    <n v="8"/>
    <n v="61"/>
    <s v="High Risk"/>
  </r>
  <r>
    <n v="484"/>
    <s v="Under 30"/>
    <s v="High Income"/>
    <n v="0"/>
    <n v="0"/>
    <s v="College"/>
    <x v="2"/>
    <s v="Elevated"/>
    <n v="30"/>
    <n v="5"/>
    <n v="0"/>
    <n v="6.25"/>
    <n v="15"/>
    <n v="56"/>
    <s v="High Risk"/>
  </r>
  <r>
    <n v="485"/>
    <s v="30-39"/>
    <s v="High Income"/>
    <n v="1"/>
    <n v="1"/>
    <s v="Bachelor"/>
    <x v="1"/>
    <s v="Normal"/>
    <n v="20"/>
    <n v="5"/>
    <n v="25"/>
    <n v="12.5"/>
    <n v="25"/>
    <n v="88"/>
    <s v="High Risk"/>
  </r>
  <r>
    <n v="486"/>
    <s v="30-39"/>
    <s v="High Income"/>
    <n v="0"/>
    <n v="0"/>
    <s v="Bachelor"/>
    <x v="2"/>
    <s v="Normal"/>
    <n v="20"/>
    <n v="5"/>
    <n v="0"/>
    <n v="25"/>
    <n v="15"/>
    <n v="65"/>
    <s v="High Risk"/>
  </r>
  <r>
    <n v="487"/>
    <s v="40-49"/>
    <s v="High Income"/>
    <n v="0"/>
    <n v="0"/>
    <s v="Master"/>
    <x v="1"/>
    <s v="Normal"/>
    <n v="10"/>
    <n v="5"/>
    <n v="0"/>
    <n v="12.5"/>
    <n v="25"/>
    <n v="53"/>
    <s v="Medium Risk"/>
  </r>
  <r>
    <n v="488"/>
    <s v="40-49"/>
    <s v="High Income"/>
    <n v="1"/>
    <n v="0"/>
    <s v="Bachelor"/>
    <x v="0"/>
    <s v="Normal"/>
    <n v="10"/>
    <n v="5"/>
    <n v="0"/>
    <n v="18.75"/>
    <n v="8"/>
    <n v="42"/>
    <s v="Medium Risk"/>
  </r>
  <r>
    <n v="491"/>
    <s v="50+"/>
    <s v="High Income"/>
    <n v="0"/>
    <n v="0"/>
    <s v="Bachelor"/>
    <x v="2"/>
    <s v="Normal"/>
    <n v="15"/>
    <n v="5"/>
    <n v="0"/>
    <n v="6.25"/>
    <n v="15"/>
    <n v="41"/>
    <s v="Medium Risk"/>
  </r>
  <r>
    <n v="492"/>
    <s v="40-49"/>
    <s v="High Income"/>
    <n v="1"/>
    <n v="1"/>
    <s v="College"/>
    <x v="0"/>
    <s v="Normal"/>
    <n v="10"/>
    <n v="5"/>
    <n v="25"/>
    <n v="12.5"/>
    <n v="8"/>
    <n v="61"/>
    <s v="High Risk"/>
  </r>
  <r>
    <n v="493"/>
    <s v="30-39"/>
    <s v="High Income"/>
    <n v="0"/>
    <n v="1"/>
    <s v="Master"/>
    <x v="1"/>
    <s v="Normal"/>
    <n v="20"/>
    <n v="5"/>
    <n v="25"/>
    <n v="18.75"/>
    <n v="25"/>
    <n v="94"/>
    <s v="High Risk"/>
  </r>
  <r>
    <n v="494"/>
    <s v="Under 30"/>
    <s v="High Income"/>
    <n v="1"/>
    <n v="0"/>
    <s v="Bachelor"/>
    <x v="1"/>
    <s v="Normal"/>
    <n v="30"/>
    <n v="5"/>
    <n v="0"/>
    <n v="18.75"/>
    <n v="25"/>
    <n v="79"/>
    <s v="High Risk"/>
  </r>
  <r>
    <n v="495"/>
    <s v="Under 30"/>
    <s v="High Income"/>
    <n v="0"/>
    <n v="0"/>
    <s v="Bachelor"/>
    <x v="2"/>
    <s v="Normal"/>
    <n v="30"/>
    <n v="5"/>
    <n v="0"/>
    <n v="6.25"/>
    <n v="15"/>
    <n v="56"/>
    <s v="High Risk"/>
  </r>
  <r>
    <n v="496"/>
    <s v="30-39"/>
    <s v="High Income"/>
    <n v="0"/>
    <n v="0"/>
    <s v="Master"/>
    <x v="1"/>
    <s v="Normal"/>
    <n v="20"/>
    <n v="5"/>
    <n v="0"/>
    <n v="18.75"/>
    <n v="25"/>
    <n v="69"/>
    <s v="High Risk"/>
  </r>
  <r>
    <n v="497"/>
    <s v="Under 30"/>
    <s v="High Income"/>
    <n v="0"/>
    <n v="0"/>
    <s v="College"/>
    <x v="2"/>
    <s v="Normal"/>
    <n v="30"/>
    <n v="5"/>
    <n v="0"/>
    <n v="18.75"/>
    <n v="15"/>
    <n v="69"/>
    <s v="High Risk"/>
  </r>
  <r>
    <n v="498"/>
    <s v="Under 30"/>
    <s v="High Income"/>
    <n v="0"/>
    <n v="0"/>
    <s v="Master"/>
    <x v="0"/>
    <s v="Normal"/>
    <n v="30"/>
    <n v="5"/>
    <n v="0"/>
    <n v="6.25"/>
    <n v="8"/>
    <n v="49"/>
    <s v="Medium Risk"/>
  </r>
  <r>
    <n v="499"/>
    <s v="40-49"/>
    <s v="High Income"/>
    <n v="0"/>
    <n v="0"/>
    <s v="Bachelor"/>
    <x v="2"/>
    <s v="Normal"/>
    <n v="10"/>
    <n v="5"/>
    <n v="0"/>
    <n v="12.5"/>
    <n v="15"/>
    <n v="43"/>
    <s v="Medium Risk"/>
  </r>
  <r>
    <n v="500"/>
    <s v="50+"/>
    <s v="High Income"/>
    <n v="0"/>
    <n v="0"/>
    <s v="College"/>
    <x v="0"/>
    <s v="Elevated"/>
    <n v="15"/>
    <n v="5"/>
    <n v="0"/>
    <n v="6.25"/>
    <n v="8"/>
    <n v="34"/>
    <s v="Low Risk"/>
  </r>
  <r>
    <n v="501"/>
    <s v="30-39"/>
    <s v="High Income"/>
    <n v="0"/>
    <n v="0"/>
    <s v="Bachelor"/>
    <x v="1"/>
    <s v="Normal"/>
    <n v="20"/>
    <n v="5"/>
    <n v="0"/>
    <n v="12.5"/>
    <n v="25"/>
    <n v="63"/>
    <s v="High Risk"/>
  </r>
  <r>
    <n v="502"/>
    <s v="30-39"/>
    <s v="High Income"/>
    <n v="1"/>
    <n v="1"/>
    <s v="Bachelor"/>
    <x v="2"/>
    <s v="Elevated"/>
    <n v="20"/>
    <n v="5"/>
    <n v="25"/>
    <n v="6.25"/>
    <n v="15"/>
    <n v="71"/>
    <s v="High Risk"/>
  </r>
  <r>
    <n v="505"/>
    <s v="50+"/>
    <s v="High Income"/>
    <n v="0"/>
    <n v="1"/>
    <s v="Bachelor"/>
    <x v="2"/>
    <s v="Normal"/>
    <n v="15"/>
    <n v="5"/>
    <n v="25"/>
    <n v="6.25"/>
    <n v="15"/>
    <n v="66"/>
    <s v="High Risk"/>
  </r>
  <r>
    <n v="507"/>
    <s v="Under 30"/>
    <s v="High Income"/>
    <n v="0"/>
    <n v="1"/>
    <s v="Master"/>
    <x v="2"/>
    <s v="Normal"/>
    <n v="30"/>
    <n v="5"/>
    <n v="25"/>
    <n v="12.5"/>
    <n v="15"/>
    <n v="88"/>
    <s v="High Risk"/>
  </r>
  <r>
    <n v="508"/>
    <s v="30-39"/>
    <s v="High Income"/>
    <n v="0"/>
    <n v="0"/>
    <s v="Below College"/>
    <x v="1"/>
    <s v="Normal"/>
    <n v="20"/>
    <n v="5"/>
    <n v="0"/>
    <n v="18.75"/>
    <n v="25"/>
    <n v="69"/>
    <s v="High Risk"/>
  </r>
  <r>
    <n v="510"/>
    <s v="Under 30"/>
    <s v="High Income"/>
    <n v="1"/>
    <n v="0"/>
    <s v="Below College"/>
    <x v="0"/>
    <s v="Normal"/>
    <n v="30"/>
    <n v="5"/>
    <n v="0"/>
    <n v="25"/>
    <n v="8"/>
    <n v="68"/>
    <s v="High Risk"/>
  </r>
  <r>
    <n v="511"/>
    <s v="Under 30"/>
    <s v="High Income"/>
    <n v="0"/>
    <n v="0"/>
    <s v="Bachelor"/>
    <x v="1"/>
    <s v="Normal"/>
    <n v="30"/>
    <n v="5"/>
    <n v="0"/>
    <n v="18.75"/>
    <n v="25"/>
    <n v="79"/>
    <s v="High Risk"/>
  </r>
  <r>
    <n v="513"/>
    <s v="30-39"/>
    <s v="High Income"/>
    <n v="0"/>
    <n v="0"/>
    <s v="College"/>
    <x v="0"/>
    <s v="Normal"/>
    <n v="20"/>
    <n v="5"/>
    <n v="0"/>
    <n v="12.5"/>
    <n v="8"/>
    <n v="46"/>
    <s v="Medium Risk"/>
  </r>
  <r>
    <n v="514"/>
    <s v="30-39"/>
    <s v="High Income"/>
    <n v="1"/>
    <n v="1"/>
    <s v="Bachelor"/>
    <x v="1"/>
    <s v="Normal"/>
    <n v="20"/>
    <n v="5"/>
    <n v="25"/>
    <n v="6.25"/>
    <n v="25"/>
    <n v="81"/>
    <s v="High Risk"/>
  </r>
  <r>
    <n v="515"/>
    <s v="30-39"/>
    <s v="High Income"/>
    <n v="0"/>
    <n v="0"/>
    <s v="Bachelor"/>
    <x v="3"/>
    <s v="Elevated"/>
    <n v="20"/>
    <n v="5"/>
    <n v="0"/>
    <n v="25"/>
    <n v="3"/>
    <n v="53"/>
    <s v="Medium Risk"/>
  </r>
  <r>
    <n v="516"/>
    <s v="40-49"/>
    <s v="High Income"/>
    <n v="0"/>
    <n v="0"/>
    <s v="College"/>
    <x v="2"/>
    <s v="Normal"/>
    <n v="10"/>
    <n v="5"/>
    <n v="0"/>
    <n v="18.75"/>
    <n v="15"/>
    <n v="49"/>
    <s v="Medium Risk"/>
  </r>
  <r>
    <n v="517"/>
    <s v="40-49"/>
    <s v="High Income"/>
    <n v="0"/>
    <n v="0"/>
    <s v="Master"/>
    <x v="2"/>
    <s v="Normal"/>
    <n v="10"/>
    <n v="5"/>
    <n v="0"/>
    <n v="25"/>
    <n v="15"/>
    <n v="55"/>
    <s v="High Risk"/>
  </r>
  <r>
    <n v="518"/>
    <s v="30-39"/>
    <s v="High Income"/>
    <n v="0"/>
    <n v="1"/>
    <s v="Master"/>
    <x v="1"/>
    <s v="Elevated"/>
    <n v="20"/>
    <n v="5"/>
    <n v="25"/>
    <n v="18.75"/>
    <n v="25"/>
    <n v="94"/>
    <s v="High Risk"/>
  </r>
  <r>
    <n v="520"/>
    <s v="40-49"/>
    <s v="High Income"/>
    <n v="0"/>
    <n v="0"/>
    <s v="Bachelor"/>
    <x v="3"/>
    <s v="Normal"/>
    <n v="10"/>
    <n v="5"/>
    <n v="0"/>
    <n v="18.75"/>
    <n v="3"/>
    <n v="37"/>
    <s v="Medium Risk"/>
  </r>
  <r>
    <n v="521"/>
    <s v="40-49"/>
    <s v="High Income"/>
    <n v="0"/>
    <n v="0"/>
    <s v="Bachelor"/>
    <x v="1"/>
    <s v="Normal"/>
    <n v="10"/>
    <n v="5"/>
    <n v="0"/>
    <n v="12.5"/>
    <n v="25"/>
    <n v="53"/>
    <s v="Medium Risk"/>
  </r>
  <r>
    <n v="522"/>
    <s v="50+"/>
    <s v="High Income"/>
    <n v="0"/>
    <n v="0"/>
    <s v="College"/>
    <x v="2"/>
    <s v="Elevated"/>
    <n v="15"/>
    <n v="5"/>
    <n v="0"/>
    <n v="25"/>
    <n v="15"/>
    <n v="60"/>
    <s v="High Risk"/>
  </r>
  <r>
    <n v="523"/>
    <s v="30-39"/>
    <s v="High Income"/>
    <n v="0"/>
    <n v="0"/>
    <s v="Master"/>
    <x v="2"/>
    <s v="Normal"/>
    <n v="20"/>
    <n v="5"/>
    <n v="0"/>
    <n v="12.5"/>
    <n v="15"/>
    <n v="53"/>
    <s v="Medium Risk"/>
  </r>
  <r>
    <n v="524"/>
    <s v="30-39"/>
    <s v="High Income"/>
    <n v="0"/>
    <n v="0"/>
    <s v="College"/>
    <x v="3"/>
    <s v="Elevated"/>
    <n v="20"/>
    <n v="5"/>
    <n v="0"/>
    <n v="25"/>
    <n v="3"/>
    <n v="53"/>
    <s v="Medium Risk"/>
  </r>
  <r>
    <n v="525"/>
    <s v="40-49"/>
    <s v="High Income"/>
    <n v="0"/>
    <n v="0"/>
    <s v="Bachelor"/>
    <x v="2"/>
    <s v="Normal"/>
    <n v="10"/>
    <n v="5"/>
    <n v="0"/>
    <n v="6.25"/>
    <n v="15"/>
    <n v="36"/>
    <s v="Medium Risk"/>
  </r>
  <r>
    <n v="526"/>
    <s v="40-49"/>
    <s v="High Income"/>
    <n v="0"/>
    <n v="1"/>
    <s v="Master"/>
    <x v="2"/>
    <s v="Normal"/>
    <n v="10"/>
    <n v="5"/>
    <n v="25"/>
    <n v="12.5"/>
    <n v="15"/>
    <n v="68"/>
    <s v="High Risk"/>
  </r>
  <r>
    <n v="527"/>
    <s v="Under 30"/>
    <s v="High Income"/>
    <n v="0"/>
    <n v="1"/>
    <s v="College"/>
    <x v="2"/>
    <s v="Normal"/>
    <n v="30"/>
    <n v="5"/>
    <n v="25"/>
    <n v="6.25"/>
    <n v="15"/>
    <n v="81"/>
    <s v="High Risk"/>
  </r>
  <r>
    <n v="529"/>
    <s v="30-39"/>
    <s v="High Income"/>
    <n v="0"/>
    <n v="1"/>
    <s v="Doctor"/>
    <x v="3"/>
    <s v="Normal"/>
    <n v="20"/>
    <n v="5"/>
    <n v="25"/>
    <n v="12.5"/>
    <n v="3"/>
    <n v="66"/>
    <s v="High Risk"/>
  </r>
  <r>
    <n v="530"/>
    <s v="30-39"/>
    <s v="High Income"/>
    <n v="0"/>
    <n v="0"/>
    <s v="College"/>
    <x v="2"/>
    <s v="Normal"/>
    <n v="20"/>
    <n v="5"/>
    <n v="0"/>
    <n v="25"/>
    <n v="15"/>
    <n v="65"/>
    <s v="High Risk"/>
  </r>
  <r>
    <n v="531"/>
    <s v="30-39"/>
    <s v="High Income"/>
    <n v="0"/>
    <n v="1"/>
    <s v="Below College"/>
    <x v="3"/>
    <s v="Normal"/>
    <n v="20"/>
    <n v="5"/>
    <n v="25"/>
    <n v="12.5"/>
    <n v="3"/>
    <n v="66"/>
    <s v="High Risk"/>
  </r>
  <r>
    <n v="532"/>
    <s v="50+"/>
    <s v="High Income"/>
    <n v="0"/>
    <n v="0"/>
    <s v="Bachelor"/>
    <x v="0"/>
    <s v="Elevated"/>
    <n v="15"/>
    <n v="5"/>
    <n v="0"/>
    <n v="25"/>
    <n v="8"/>
    <n v="53"/>
    <s v="Medium Risk"/>
  </r>
  <r>
    <n v="533"/>
    <s v="30-39"/>
    <s v="High Income"/>
    <n v="0"/>
    <n v="0"/>
    <s v="Bachelor"/>
    <x v="2"/>
    <s v="Normal"/>
    <n v="20"/>
    <n v="5"/>
    <n v="0"/>
    <n v="12.5"/>
    <n v="15"/>
    <n v="53"/>
    <s v="Medium Risk"/>
  </r>
  <r>
    <n v="534"/>
    <s v="40-49"/>
    <s v="High Income"/>
    <n v="0"/>
    <n v="0"/>
    <s v="Bachelor"/>
    <x v="0"/>
    <s v="Normal"/>
    <n v="10"/>
    <n v="5"/>
    <n v="0"/>
    <n v="25"/>
    <n v="8"/>
    <n v="48"/>
    <s v="Medium Risk"/>
  </r>
  <r>
    <n v="536"/>
    <s v="Under 30"/>
    <s v="High Income"/>
    <n v="0"/>
    <n v="0"/>
    <s v="College"/>
    <x v="0"/>
    <s v="Normal"/>
    <n v="30"/>
    <n v="5"/>
    <n v="0"/>
    <n v="25"/>
    <n v="8"/>
    <n v="68"/>
    <s v="High Risk"/>
  </r>
  <r>
    <n v="538"/>
    <s v="Under 30"/>
    <s v="High Income"/>
    <n v="1"/>
    <n v="0"/>
    <s v="Bachelor"/>
    <x v="1"/>
    <s v="Normal"/>
    <n v="30"/>
    <n v="5"/>
    <n v="0"/>
    <n v="25"/>
    <n v="25"/>
    <n v="85"/>
    <s v="High Risk"/>
  </r>
  <r>
    <n v="543"/>
    <s v="50+"/>
    <s v="High Income"/>
    <n v="0"/>
    <n v="1"/>
    <s v="Bachelor"/>
    <x v="2"/>
    <s v="Normal"/>
    <n v="15"/>
    <n v="5"/>
    <n v="25"/>
    <n v="12.5"/>
    <n v="15"/>
    <n v="73"/>
    <s v="High Risk"/>
  </r>
  <r>
    <n v="544"/>
    <s v="40-49"/>
    <s v="High Income"/>
    <n v="0"/>
    <n v="0"/>
    <s v="College"/>
    <x v="1"/>
    <s v="Elevated"/>
    <n v="10"/>
    <n v="5"/>
    <n v="0"/>
    <n v="6.25"/>
    <n v="25"/>
    <n v="46"/>
    <s v="Medium Risk"/>
  </r>
  <r>
    <n v="546"/>
    <s v="50+"/>
    <s v="High Income"/>
    <n v="0"/>
    <n v="0"/>
    <s v="College"/>
    <x v="2"/>
    <s v="Elevated"/>
    <n v="15"/>
    <n v="5"/>
    <n v="0"/>
    <n v="6.25"/>
    <n v="15"/>
    <n v="41"/>
    <s v="Medium Risk"/>
  </r>
  <r>
    <n v="547"/>
    <s v="40-49"/>
    <s v="High Income"/>
    <n v="0"/>
    <n v="0"/>
    <s v="College"/>
    <x v="2"/>
    <s v="Normal"/>
    <n v="10"/>
    <n v="5"/>
    <n v="0"/>
    <n v="12.5"/>
    <n v="15"/>
    <n v="43"/>
    <s v="Medium Risk"/>
  </r>
  <r>
    <n v="548"/>
    <s v="30-39"/>
    <s v="High Income"/>
    <n v="0"/>
    <n v="0"/>
    <s v="Bachelor"/>
    <x v="2"/>
    <s v="Normal"/>
    <n v="20"/>
    <n v="5"/>
    <n v="0"/>
    <n v="6.25"/>
    <n v="15"/>
    <n v="46"/>
    <s v="Medium Risk"/>
  </r>
  <r>
    <n v="549"/>
    <s v="50+"/>
    <s v="High Income"/>
    <n v="0"/>
    <n v="0"/>
    <s v="Bachelor"/>
    <x v="3"/>
    <s v="Elevated"/>
    <n v="15"/>
    <n v="5"/>
    <n v="0"/>
    <n v="25"/>
    <n v="3"/>
    <n v="48"/>
    <s v="Medium Risk"/>
  </r>
  <r>
    <n v="550"/>
    <s v="40-49"/>
    <s v="High Income"/>
    <n v="0"/>
    <n v="0"/>
    <s v="Bachelor"/>
    <x v="0"/>
    <s v="Elevated"/>
    <n v="10"/>
    <n v="5"/>
    <n v="0"/>
    <n v="12.5"/>
    <n v="8"/>
    <n v="36"/>
    <s v="Medium Risk"/>
  </r>
  <r>
    <n v="551"/>
    <s v="40-49"/>
    <s v="High Income"/>
    <n v="0"/>
    <n v="0"/>
    <s v="Master"/>
    <x v="0"/>
    <s v="Normal"/>
    <n v="10"/>
    <n v="5"/>
    <n v="0"/>
    <n v="6.25"/>
    <n v="8"/>
    <n v="29"/>
    <s v="Low Risk"/>
  </r>
  <r>
    <n v="554"/>
    <s v="Under 30"/>
    <s v="High Income"/>
    <n v="1"/>
    <n v="1"/>
    <s v="Below College"/>
    <x v="2"/>
    <s v="Normal"/>
    <n v="30"/>
    <n v="5"/>
    <n v="25"/>
    <n v="18.75"/>
    <n v="15"/>
    <n v="94"/>
    <s v="High Risk"/>
  </r>
  <r>
    <n v="555"/>
    <s v="30-39"/>
    <s v="High Income"/>
    <n v="1"/>
    <n v="0"/>
    <s v="College"/>
    <x v="1"/>
    <s v="Elevated"/>
    <n v="20"/>
    <n v="5"/>
    <n v="0"/>
    <n v="12.5"/>
    <n v="25"/>
    <n v="63"/>
    <s v="High Risk"/>
  </r>
  <r>
    <n v="556"/>
    <s v="30-39"/>
    <s v="High Income"/>
    <n v="0"/>
    <n v="1"/>
    <s v="College"/>
    <x v="1"/>
    <s v="Normal"/>
    <n v="20"/>
    <n v="5"/>
    <n v="25"/>
    <n v="6.25"/>
    <n v="25"/>
    <n v="81"/>
    <s v="High Risk"/>
  </r>
  <r>
    <n v="558"/>
    <s v="40-49"/>
    <s v="High Income"/>
    <n v="0"/>
    <n v="0"/>
    <s v="Master"/>
    <x v="3"/>
    <s v="Normal"/>
    <n v="10"/>
    <n v="5"/>
    <n v="0"/>
    <n v="12.5"/>
    <n v="3"/>
    <n v="31"/>
    <s v="Low Risk"/>
  </r>
  <r>
    <n v="560"/>
    <s v="Under 30"/>
    <s v="High Income"/>
    <n v="0"/>
    <n v="0"/>
    <s v="Bachelor"/>
    <x v="2"/>
    <s v="Elevated"/>
    <n v="30"/>
    <n v="5"/>
    <n v="0"/>
    <n v="6.25"/>
    <n v="15"/>
    <n v="56"/>
    <s v="High Risk"/>
  </r>
  <r>
    <n v="562"/>
    <s v="30-39"/>
    <s v="High Income"/>
    <n v="0"/>
    <n v="0"/>
    <s v="Bachelor"/>
    <x v="2"/>
    <s v="Elevated"/>
    <n v="20"/>
    <n v="5"/>
    <n v="0"/>
    <n v="6.25"/>
    <n v="15"/>
    <n v="46"/>
    <s v="Medium Risk"/>
  </r>
  <r>
    <n v="564"/>
    <s v="Under 30"/>
    <s v="High Income"/>
    <n v="0"/>
    <n v="0"/>
    <s v="Master"/>
    <x v="0"/>
    <s v="Normal"/>
    <n v="30"/>
    <n v="5"/>
    <n v="0"/>
    <n v="12.5"/>
    <n v="8"/>
    <n v="56"/>
    <s v="High Risk"/>
  </r>
  <r>
    <n v="565"/>
    <s v="Under 30"/>
    <s v="High Income"/>
    <n v="1"/>
    <n v="0"/>
    <s v="Doctor"/>
    <x v="1"/>
    <s v="Normal"/>
    <n v="30"/>
    <n v="5"/>
    <n v="0"/>
    <n v="18.75"/>
    <n v="25"/>
    <n v="79"/>
    <s v="High Risk"/>
  </r>
  <r>
    <n v="566"/>
    <s v="Under 30"/>
    <s v="High Income"/>
    <n v="1"/>
    <n v="0"/>
    <s v="College"/>
    <x v="1"/>
    <s v="Normal"/>
    <n v="30"/>
    <n v="5"/>
    <n v="0"/>
    <n v="6.25"/>
    <n v="25"/>
    <n v="66"/>
    <s v="High Risk"/>
  </r>
  <r>
    <n v="567"/>
    <s v="30-39"/>
    <s v="High Income"/>
    <n v="0"/>
    <n v="0"/>
    <s v="Master"/>
    <x v="0"/>
    <s v="Normal"/>
    <n v="20"/>
    <n v="5"/>
    <n v="0"/>
    <n v="25"/>
    <n v="8"/>
    <n v="58"/>
    <s v="High Risk"/>
  </r>
  <r>
    <n v="568"/>
    <s v="50+"/>
    <s v="High Income"/>
    <n v="0"/>
    <n v="0"/>
    <s v="Bachelor"/>
    <x v="1"/>
    <s v="Elevated"/>
    <n v="15"/>
    <n v="5"/>
    <n v="0"/>
    <n v="6.25"/>
    <n v="25"/>
    <n v="51"/>
    <s v="Medium Risk"/>
  </r>
  <r>
    <n v="569"/>
    <s v="50+"/>
    <s v="High Income"/>
    <n v="0"/>
    <n v="0"/>
    <s v="Master"/>
    <x v="3"/>
    <s v="Normal"/>
    <n v="15"/>
    <n v="5"/>
    <n v="0"/>
    <n v="12.5"/>
    <n v="3"/>
    <n v="36"/>
    <s v="Medium Risk"/>
  </r>
  <r>
    <n v="571"/>
    <s v="30-39"/>
    <s v="High Income"/>
    <n v="0"/>
    <n v="0"/>
    <s v="Bachelor"/>
    <x v="3"/>
    <s v="Elevated"/>
    <n v="20"/>
    <n v="5"/>
    <n v="0"/>
    <n v="6.25"/>
    <n v="3"/>
    <n v="34"/>
    <s v="Low Risk"/>
  </r>
  <r>
    <n v="573"/>
    <s v="50+"/>
    <s v="High Income"/>
    <n v="0"/>
    <n v="0"/>
    <s v="Bachelor"/>
    <x v="3"/>
    <s v="Normal"/>
    <n v="15"/>
    <n v="5"/>
    <n v="0"/>
    <n v="25"/>
    <n v="3"/>
    <n v="48"/>
    <s v="Medium Risk"/>
  </r>
  <r>
    <n v="574"/>
    <s v="40-49"/>
    <s v="High Income"/>
    <n v="0"/>
    <n v="0"/>
    <s v="College"/>
    <x v="2"/>
    <s v="Normal"/>
    <n v="10"/>
    <n v="5"/>
    <n v="0"/>
    <n v="6.25"/>
    <n v="15"/>
    <n v="36"/>
    <s v="Medium Risk"/>
  </r>
  <r>
    <n v="575"/>
    <s v="40-49"/>
    <s v="High Income"/>
    <n v="0"/>
    <n v="0"/>
    <s v="Bachelor"/>
    <x v="2"/>
    <s v="Elevated"/>
    <n v="10"/>
    <n v="5"/>
    <n v="0"/>
    <n v="12.5"/>
    <n v="15"/>
    <n v="43"/>
    <s v="Medium Risk"/>
  </r>
  <r>
    <n v="577"/>
    <s v="30-39"/>
    <s v="High Income"/>
    <n v="0"/>
    <n v="0"/>
    <s v="Bachelor"/>
    <x v="2"/>
    <s v="Normal"/>
    <n v="20"/>
    <n v="5"/>
    <n v="0"/>
    <n v="12.5"/>
    <n v="15"/>
    <n v="53"/>
    <s v="Medium Risk"/>
  </r>
  <r>
    <n v="578"/>
    <s v="50+"/>
    <s v="High Income"/>
    <n v="0"/>
    <n v="0"/>
    <s v="Master"/>
    <x v="1"/>
    <s v="Normal"/>
    <n v="15"/>
    <n v="5"/>
    <n v="0"/>
    <n v="12.5"/>
    <n v="25"/>
    <n v="58"/>
    <s v="High Risk"/>
  </r>
  <r>
    <n v="579"/>
    <s v="30-39"/>
    <s v="High Income"/>
    <n v="0"/>
    <n v="0"/>
    <s v="Master"/>
    <x v="0"/>
    <s v="Normal"/>
    <n v="20"/>
    <n v="5"/>
    <n v="0"/>
    <n v="12.5"/>
    <n v="8"/>
    <n v="46"/>
    <s v="Medium Risk"/>
  </r>
  <r>
    <n v="580"/>
    <s v="40-49"/>
    <s v="High Income"/>
    <n v="0"/>
    <n v="1"/>
    <s v="Bachelor"/>
    <x v="2"/>
    <s v="Normal"/>
    <n v="10"/>
    <n v="5"/>
    <n v="25"/>
    <n v="6.25"/>
    <n v="15"/>
    <n v="61"/>
    <s v="High Risk"/>
  </r>
  <r>
    <n v="581"/>
    <s v="30-39"/>
    <s v="High Income"/>
    <n v="0"/>
    <n v="0"/>
    <s v="Below College"/>
    <x v="3"/>
    <s v="Normal"/>
    <n v="20"/>
    <n v="5"/>
    <n v="0"/>
    <n v="18.75"/>
    <n v="3"/>
    <n v="47"/>
    <s v="Medium Risk"/>
  </r>
  <r>
    <n v="582"/>
    <s v="30-39"/>
    <s v="High Income"/>
    <n v="1"/>
    <n v="1"/>
    <s v="Below College"/>
    <x v="0"/>
    <s v="Normal"/>
    <n v="20"/>
    <n v="5"/>
    <n v="25"/>
    <n v="12.5"/>
    <n v="8"/>
    <n v="71"/>
    <s v="High Risk"/>
  </r>
  <r>
    <n v="584"/>
    <s v="30-39"/>
    <s v="High Income"/>
    <n v="1"/>
    <n v="0"/>
    <s v="Below College"/>
    <x v="2"/>
    <s v="Normal"/>
    <n v="20"/>
    <n v="5"/>
    <n v="0"/>
    <n v="6.25"/>
    <n v="15"/>
    <n v="46"/>
    <s v="Medium Risk"/>
  </r>
  <r>
    <n v="585"/>
    <s v="30-39"/>
    <s v="High Income"/>
    <n v="0"/>
    <n v="0"/>
    <s v="Below College"/>
    <x v="2"/>
    <s v="Normal"/>
    <n v="20"/>
    <n v="5"/>
    <n v="0"/>
    <n v="18.75"/>
    <n v="15"/>
    <n v="59"/>
    <s v="High Risk"/>
  </r>
  <r>
    <n v="586"/>
    <s v="30-39"/>
    <s v="High Income"/>
    <n v="0"/>
    <n v="1"/>
    <s v="Bachelor"/>
    <x v="0"/>
    <s v="Normal"/>
    <n v="20"/>
    <n v="5"/>
    <n v="25"/>
    <n v="12.5"/>
    <n v="8"/>
    <n v="71"/>
    <s v="High Risk"/>
  </r>
  <r>
    <n v="587"/>
    <s v="30-39"/>
    <s v="High Income"/>
    <n v="1"/>
    <n v="0"/>
    <s v="Bachelor"/>
    <x v="1"/>
    <s v="Normal"/>
    <n v="20"/>
    <n v="5"/>
    <n v="0"/>
    <n v="12.5"/>
    <n v="25"/>
    <n v="63"/>
    <s v="High Risk"/>
  </r>
  <r>
    <n v="590"/>
    <s v="30-39"/>
    <s v="High Income"/>
    <n v="1"/>
    <n v="1"/>
    <s v="Bachelor"/>
    <x v="2"/>
    <s v="Normal"/>
    <n v="20"/>
    <n v="5"/>
    <n v="25"/>
    <n v="25"/>
    <n v="15"/>
    <n v="90"/>
    <s v="High Risk"/>
  </r>
  <r>
    <n v="591"/>
    <s v="40-49"/>
    <s v="High Income"/>
    <n v="0"/>
    <n v="0"/>
    <s v="College"/>
    <x v="1"/>
    <s v="Normal"/>
    <n v="10"/>
    <n v="5"/>
    <n v="0"/>
    <n v="12.5"/>
    <n v="25"/>
    <n v="53"/>
    <s v="Medium Risk"/>
  </r>
  <r>
    <n v="592"/>
    <s v="30-39"/>
    <s v="High Income"/>
    <n v="0"/>
    <n v="0"/>
    <s v="Master"/>
    <x v="0"/>
    <s v="Elevated"/>
    <n v="20"/>
    <n v="5"/>
    <n v="0"/>
    <n v="6.25"/>
    <n v="8"/>
    <n v="39"/>
    <s v="Medium Risk"/>
  </r>
  <r>
    <n v="593"/>
    <s v="Under 30"/>
    <s v="High Income"/>
    <n v="1"/>
    <n v="0"/>
    <s v="Below College"/>
    <x v="1"/>
    <s v="Normal"/>
    <n v="30"/>
    <n v="5"/>
    <n v="0"/>
    <n v="12.5"/>
    <n v="25"/>
    <n v="73"/>
    <s v="High Risk"/>
  </r>
  <r>
    <n v="595"/>
    <s v="40-49"/>
    <s v="High Income"/>
    <n v="0"/>
    <n v="0"/>
    <s v="Doctor"/>
    <x v="0"/>
    <s v="Normal"/>
    <n v="10"/>
    <n v="5"/>
    <n v="0"/>
    <n v="6.25"/>
    <n v="8"/>
    <n v="29"/>
    <s v="Low Risk"/>
  </r>
  <r>
    <n v="597"/>
    <s v="50+"/>
    <s v="High Income"/>
    <n v="0"/>
    <n v="0"/>
    <s v="Doctor"/>
    <x v="0"/>
    <s v="Normal"/>
    <n v="15"/>
    <n v="5"/>
    <n v="0"/>
    <n v="18.75"/>
    <n v="8"/>
    <n v="47"/>
    <s v="Medium Risk"/>
  </r>
  <r>
    <n v="599"/>
    <s v="40-49"/>
    <s v="High Income"/>
    <n v="0"/>
    <n v="0"/>
    <s v="College"/>
    <x v="3"/>
    <s v="Normal"/>
    <n v="10"/>
    <n v="5"/>
    <n v="0"/>
    <n v="6.25"/>
    <n v="3"/>
    <n v="24"/>
    <s v="Low Risk"/>
  </r>
  <r>
    <n v="600"/>
    <s v="30-39"/>
    <s v="High Income"/>
    <n v="0"/>
    <n v="0"/>
    <s v="Bachelor"/>
    <x v="3"/>
    <s v="Normal"/>
    <n v="20"/>
    <n v="5"/>
    <n v="0"/>
    <n v="12.5"/>
    <n v="3"/>
    <n v="41"/>
    <s v="Medium Risk"/>
  </r>
  <r>
    <n v="601"/>
    <s v="40-49"/>
    <s v="High Income"/>
    <n v="0"/>
    <n v="0"/>
    <s v="Bachelor"/>
    <x v="3"/>
    <s v="Normal"/>
    <n v="10"/>
    <n v="5"/>
    <n v="0"/>
    <n v="12.5"/>
    <n v="3"/>
    <n v="31"/>
    <s v="Low Risk"/>
  </r>
  <r>
    <n v="602"/>
    <s v="30-39"/>
    <s v="High Income"/>
    <n v="0"/>
    <n v="0"/>
    <s v="Below College"/>
    <x v="0"/>
    <s v="Normal"/>
    <n v="20"/>
    <n v="5"/>
    <n v="0"/>
    <n v="12.5"/>
    <n v="8"/>
    <n v="46"/>
    <s v="Medium Risk"/>
  </r>
  <r>
    <n v="604"/>
    <s v="30-39"/>
    <s v="High Income"/>
    <n v="0"/>
    <n v="1"/>
    <s v="Below College"/>
    <x v="0"/>
    <s v="Normal"/>
    <n v="20"/>
    <n v="5"/>
    <n v="25"/>
    <n v="6.25"/>
    <n v="8"/>
    <n v="64"/>
    <s v="High Risk"/>
  </r>
  <r>
    <n v="605"/>
    <s v="40-49"/>
    <s v="High Income"/>
    <n v="0"/>
    <n v="1"/>
    <s v="Bachelor"/>
    <x v="0"/>
    <s v="Elevated"/>
    <n v="10"/>
    <n v="5"/>
    <n v="25"/>
    <n v="25"/>
    <n v="8"/>
    <n v="73"/>
    <s v="High Risk"/>
  </r>
  <r>
    <n v="606"/>
    <s v="40-49"/>
    <s v="High Income"/>
    <n v="0"/>
    <n v="0"/>
    <s v="Bachelor"/>
    <x v="0"/>
    <s v="Normal"/>
    <n v="10"/>
    <n v="5"/>
    <n v="0"/>
    <n v="18.75"/>
    <n v="8"/>
    <n v="42"/>
    <s v="Medium Risk"/>
  </r>
  <r>
    <n v="608"/>
    <s v="Under 30"/>
    <s v="High Income"/>
    <n v="1"/>
    <n v="1"/>
    <s v="Master"/>
    <x v="0"/>
    <s v="Elevated"/>
    <n v="30"/>
    <n v="5"/>
    <n v="25"/>
    <n v="12.5"/>
    <n v="8"/>
    <n v="81"/>
    <s v="High Risk"/>
  </r>
  <r>
    <n v="611"/>
    <s v="Under 30"/>
    <s v="High Income"/>
    <n v="0"/>
    <n v="0"/>
    <s v="Bachelor"/>
    <x v="2"/>
    <s v="Normal"/>
    <n v="30"/>
    <n v="5"/>
    <n v="0"/>
    <n v="6.25"/>
    <n v="15"/>
    <n v="56"/>
    <s v="High Risk"/>
  </r>
  <r>
    <n v="612"/>
    <s v="30-39"/>
    <s v="High Income"/>
    <n v="0"/>
    <n v="0"/>
    <s v="Doctor"/>
    <x v="0"/>
    <s v="Normal"/>
    <n v="20"/>
    <n v="5"/>
    <n v="0"/>
    <n v="12.5"/>
    <n v="8"/>
    <n v="46"/>
    <s v="Medium Risk"/>
  </r>
  <r>
    <n v="613"/>
    <s v="30-39"/>
    <s v="High Income"/>
    <n v="0"/>
    <n v="0"/>
    <s v="Bachelor"/>
    <x v="2"/>
    <s v="Elevated"/>
    <n v="20"/>
    <n v="5"/>
    <n v="0"/>
    <n v="6.25"/>
    <n v="15"/>
    <n v="46"/>
    <s v="Medium Risk"/>
  </r>
  <r>
    <n v="614"/>
    <s v="Under 30"/>
    <s v="High Income"/>
    <n v="1"/>
    <n v="1"/>
    <s v="Bachelor"/>
    <x v="1"/>
    <s v="Normal"/>
    <n v="30"/>
    <n v="5"/>
    <n v="25"/>
    <n v="18.75"/>
    <n v="25"/>
    <n v="104"/>
    <s v="High Risk"/>
  </r>
  <r>
    <n v="615"/>
    <s v="40-49"/>
    <s v="High Income"/>
    <n v="0"/>
    <n v="0"/>
    <s v="Bachelor"/>
    <x v="1"/>
    <s v="Normal"/>
    <n v="10"/>
    <n v="5"/>
    <n v="0"/>
    <n v="25"/>
    <n v="25"/>
    <n v="65"/>
    <s v="High Risk"/>
  </r>
  <r>
    <n v="616"/>
    <s v="40-49"/>
    <s v="High Income"/>
    <n v="0"/>
    <n v="1"/>
    <s v="Master"/>
    <x v="0"/>
    <s v="Normal"/>
    <n v="10"/>
    <n v="5"/>
    <n v="25"/>
    <n v="12.5"/>
    <n v="8"/>
    <n v="61"/>
    <s v="High Risk"/>
  </r>
  <r>
    <n v="618"/>
    <s v="Under 30"/>
    <s v="High Income"/>
    <n v="0"/>
    <n v="0"/>
    <s v="College"/>
    <x v="1"/>
    <s v="Normal"/>
    <n v="30"/>
    <n v="5"/>
    <n v="0"/>
    <n v="12.5"/>
    <n v="25"/>
    <n v="73"/>
    <s v="High Risk"/>
  </r>
  <r>
    <n v="620"/>
    <s v="30-39"/>
    <s v="High Income"/>
    <n v="0"/>
    <n v="0"/>
    <s v="Bachelor"/>
    <x v="2"/>
    <s v="Normal"/>
    <n v="20"/>
    <n v="5"/>
    <n v="0"/>
    <n v="12.5"/>
    <n v="15"/>
    <n v="53"/>
    <s v="Medium Risk"/>
  </r>
  <r>
    <n v="621"/>
    <s v="30-39"/>
    <s v="High Income"/>
    <n v="0"/>
    <n v="0"/>
    <s v="Master"/>
    <x v="0"/>
    <s v="Normal"/>
    <n v="20"/>
    <n v="5"/>
    <n v="0"/>
    <n v="6.25"/>
    <n v="8"/>
    <n v="39"/>
    <s v="Medium Risk"/>
  </r>
  <r>
    <n v="622"/>
    <s v="Under 30"/>
    <s v="High Income"/>
    <n v="1"/>
    <n v="1"/>
    <s v="Bachelor"/>
    <x v="1"/>
    <s v="Elevated"/>
    <n v="30"/>
    <n v="5"/>
    <n v="25"/>
    <n v="6.25"/>
    <n v="25"/>
    <n v="91"/>
    <s v="High Risk"/>
  </r>
  <r>
    <n v="623"/>
    <s v="30-39"/>
    <s v="High Income"/>
    <n v="0"/>
    <n v="0"/>
    <s v="Bachelor"/>
    <x v="0"/>
    <s v="Normal"/>
    <n v="20"/>
    <n v="5"/>
    <n v="0"/>
    <n v="6.25"/>
    <n v="8"/>
    <n v="39"/>
    <s v="Medium Risk"/>
  </r>
  <r>
    <n v="624"/>
    <s v="40-49"/>
    <s v="High Income"/>
    <n v="0"/>
    <n v="0"/>
    <s v="Below College"/>
    <x v="1"/>
    <s v="Elevated"/>
    <n v="10"/>
    <n v="5"/>
    <n v="0"/>
    <n v="12.5"/>
    <n v="25"/>
    <n v="53"/>
    <s v="Medium Risk"/>
  </r>
  <r>
    <n v="625"/>
    <s v="40-49"/>
    <s v="High Income"/>
    <n v="0"/>
    <n v="0"/>
    <s v="Doctor"/>
    <x v="3"/>
    <s v="Normal"/>
    <n v="10"/>
    <n v="5"/>
    <n v="0"/>
    <n v="25"/>
    <n v="3"/>
    <n v="43"/>
    <s v="Medium Risk"/>
  </r>
  <r>
    <n v="626"/>
    <s v="30-39"/>
    <s v="High Income"/>
    <n v="0"/>
    <n v="0"/>
    <s v="Master"/>
    <x v="0"/>
    <s v="Normal"/>
    <n v="20"/>
    <n v="5"/>
    <n v="0"/>
    <n v="18.75"/>
    <n v="8"/>
    <n v="52"/>
    <s v="Medium Risk"/>
  </r>
  <r>
    <n v="630"/>
    <s v="50+"/>
    <s v="High Income"/>
    <n v="0"/>
    <n v="1"/>
    <s v="College"/>
    <x v="0"/>
    <s v="Normal"/>
    <n v="15"/>
    <n v="5"/>
    <n v="25"/>
    <n v="25"/>
    <n v="8"/>
    <n v="78"/>
    <s v="High Risk"/>
  </r>
  <r>
    <n v="631"/>
    <s v="30-39"/>
    <s v="High Income"/>
    <n v="1"/>
    <n v="0"/>
    <s v="Master"/>
    <x v="2"/>
    <s v="Normal"/>
    <n v="20"/>
    <n v="5"/>
    <n v="0"/>
    <n v="12.5"/>
    <n v="15"/>
    <n v="53"/>
    <s v="Medium Risk"/>
  </r>
  <r>
    <n v="632"/>
    <s v="Under 30"/>
    <s v="High Income"/>
    <n v="0"/>
    <n v="0"/>
    <s v="Bachelor"/>
    <x v="1"/>
    <s v="Normal"/>
    <n v="30"/>
    <n v="5"/>
    <n v="0"/>
    <n v="6.25"/>
    <n v="25"/>
    <n v="66"/>
    <s v="High Risk"/>
  </r>
  <r>
    <n v="634"/>
    <s v="30-39"/>
    <s v="High Income"/>
    <n v="0"/>
    <n v="0"/>
    <s v="Bachelor"/>
    <x v="1"/>
    <s v="Normal"/>
    <n v="20"/>
    <n v="5"/>
    <n v="0"/>
    <n v="12.5"/>
    <n v="25"/>
    <n v="63"/>
    <s v="High Risk"/>
  </r>
  <r>
    <n v="635"/>
    <s v="30-39"/>
    <s v="High Income"/>
    <n v="0"/>
    <n v="0"/>
    <s v="Master"/>
    <x v="0"/>
    <s v="Elevated"/>
    <n v="20"/>
    <n v="5"/>
    <n v="0"/>
    <n v="18.75"/>
    <n v="8"/>
    <n v="52"/>
    <s v="Medium Risk"/>
  </r>
  <r>
    <n v="638"/>
    <s v="40-49"/>
    <s v="High Income"/>
    <n v="0"/>
    <n v="1"/>
    <s v="Master"/>
    <x v="3"/>
    <s v="Normal"/>
    <n v="10"/>
    <n v="5"/>
    <n v="25"/>
    <n v="12.5"/>
    <n v="3"/>
    <n v="56"/>
    <s v="High Risk"/>
  </r>
  <r>
    <n v="639"/>
    <s v="Under 30"/>
    <s v="High Income"/>
    <n v="0"/>
    <n v="1"/>
    <s v="Bachelor"/>
    <x v="0"/>
    <s v="Normal"/>
    <n v="30"/>
    <n v="5"/>
    <n v="25"/>
    <n v="6.25"/>
    <n v="8"/>
    <n v="74"/>
    <s v="High Risk"/>
  </r>
  <r>
    <n v="641"/>
    <s v="Under 30"/>
    <s v="High Income"/>
    <n v="0"/>
    <n v="0"/>
    <s v="College"/>
    <x v="2"/>
    <s v="Normal"/>
    <n v="30"/>
    <n v="5"/>
    <n v="0"/>
    <n v="18.75"/>
    <n v="15"/>
    <n v="69"/>
    <s v="High Risk"/>
  </r>
  <r>
    <n v="643"/>
    <s v="Under 30"/>
    <s v="High Income"/>
    <n v="0"/>
    <n v="0"/>
    <s v="College"/>
    <x v="1"/>
    <s v="Normal"/>
    <n v="30"/>
    <n v="5"/>
    <n v="0"/>
    <n v="18.75"/>
    <n v="25"/>
    <n v="79"/>
    <s v="High Risk"/>
  </r>
  <r>
    <n v="644"/>
    <s v="50+"/>
    <s v="High Income"/>
    <n v="0"/>
    <n v="0"/>
    <s v="Bachelor"/>
    <x v="3"/>
    <s v="Normal"/>
    <n v="15"/>
    <n v="5"/>
    <n v="0"/>
    <n v="18.75"/>
    <n v="3"/>
    <n v="42"/>
    <s v="Medium Risk"/>
  </r>
  <r>
    <n v="645"/>
    <s v="Under 30"/>
    <s v="High Income"/>
    <n v="0"/>
    <n v="0"/>
    <s v="Below College"/>
    <x v="0"/>
    <s v="Normal"/>
    <n v="30"/>
    <n v="5"/>
    <n v="0"/>
    <n v="12.5"/>
    <n v="8"/>
    <n v="56"/>
    <s v="High Risk"/>
  </r>
  <r>
    <n v="647"/>
    <s v="Under 30"/>
    <s v="High Income"/>
    <n v="1"/>
    <n v="1"/>
    <s v="Bachelor"/>
    <x v="0"/>
    <s v="Normal"/>
    <n v="30"/>
    <n v="5"/>
    <n v="25"/>
    <n v="12.5"/>
    <n v="8"/>
    <n v="81"/>
    <s v="High Risk"/>
  </r>
  <r>
    <n v="648"/>
    <s v="30-39"/>
    <s v="High Income"/>
    <n v="1"/>
    <n v="0"/>
    <s v="Master"/>
    <x v="1"/>
    <s v="Normal"/>
    <n v="20"/>
    <n v="5"/>
    <n v="0"/>
    <n v="25"/>
    <n v="25"/>
    <n v="75"/>
    <s v="High Risk"/>
  </r>
  <r>
    <n v="649"/>
    <s v="30-39"/>
    <s v="High Income"/>
    <n v="0"/>
    <n v="1"/>
    <s v="College"/>
    <x v="0"/>
    <s v="Normal"/>
    <n v="20"/>
    <n v="5"/>
    <n v="25"/>
    <n v="6.25"/>
    <n v="8"/>
    <n v="64"/>
    <s v="High Risk"/>
  </r>
  <r>
    <n v="650"/>
    <s v="30-39"/>
    <s v="High Income"/>
    <n v="1"/>
    <n v="0"/>
    <s v="Master"/>
    <x v="2"/>
    <s v="Elevated"/>
    <n v="20"/>
    <n v="5"/>
    <n v="0"/>
    <n v="25"/>
    <n v="15"/>
    <n v="65"/>
    <s v="High Risk"/>
  </r>
  <r>
    <n v="652"/>
    <s v="30-39"/>
    <s v="High Income"/>
    <n v="0"/>
    <n v="0"/>
    <s v="College"/>
    <x v="2"/>
    <s v="Normal"/>
    <n v="20"/>
    <n v="5"/>
    <n v="0"/>
    <n v="6.25"/>
    <n v="15"/>
    <n v="46"/>
    <s v="Medium Risk"/>
  </r>
  <r>
    <n v="653"/>
    <s v="30-39"/>
    <s v="High Income"/>
    <n v="0"/>
    <n v="0"/>
    <s v="Master"/>
    <x v="0"/>
    <s v="Normal"/>
    <n v="20"/>
    <n v="5"/>
    <n v="0"/>
    <n v="6.25"/>
    <n v="8"/>
    <n v="39"/>
    <s v="Medium Risk"/>
  </r>
  <r>
    <n v="655"/>
    <s v="Under 30"/>
    <s v="High Income"/>
    <n v="0"/>
    <n v="0"/>
    <s v="Master"/>
    <x v="2"/>
    <s v="Elevated"/>
    <n v="30"/>
    <n v="5"/>
    <n v="0"/>
    <n v="12.5"/>
    <n v="15"/>
    <n v="63"/>
    <s v="High Risk"/>
  </r>
  <r>
    <n v="656"/>
    <s v="30-39"/>
    <s v="High Income"/>
    <n v="0"/>
    <n v="1"/>
    <s v="Bachelor"/>
    <x v="2"/>
    <s v="Elevated"/>
    <n v="20"/>
    <n v="5"/>
    <n v="25"/>
    <n v="12.5"/>
    <n v="15"/>
    <n v="78"/>
    <s v="High Risk"/>
  </r>
  <r>
    <n v="657"/>
    <s v="Under 30"/>
    <s v="High Income"/>
    <n v="0"/>
    <n v="0"/>
    <s v="Bachelor"/>
    <x v="1"/>
    <s v="Normal"/>
    <n v="30"/>
    <n v="5"/>
    <n v="0"/>
    <n v="18.75"/>
    <n v="25"/>
    <n v="79"/>
    <s v="High Risk"/>
  </r>
  <r>
    <n v="659"/>
    <s v="40-49"/>
    <s v="High Income"/>
    <n v="0"/>
    <n v="0"/>
    <s v="Master"/>
    <x v="0"/>
    <s v="Normal"/>
    <n v="10"/>
    <n v="5"/>
    <n v="0"/>
    <n v="6.25"/>
    <n v="8"/>
    <n v="29"/>
    <s v="Low Risk"/>
  </r>
  <r>
    <n v="661"/>
    <s v="40-49"/>
    <s v="High Income"/>
    <n v="0"/>
    <n v="1"/>
    <s v="Master"/>
    <x v="1"/>
    <s v="Elevated"/>
    <n v="10"/>
    <n v="5"/>
    <n v="25"/>
    <n v="6.25"/>
    <n v="25"/>
    <n v="71"/>
    <s v="High Risk"/>
  </r>
  <r>
    <n v="662"/>
    <s v="30-39"/>
    <s v="High Income"/>
    <n v="0"/>
    <n v="0"/>
    <s v="Below College"/>
    <x v="1"/>
    <s v="Elevated"/>
    <n v="20"/>
    <n v="5"/>
    <n v="0"/>
    <n v="25"/>
    <n v="25"/>
    <n v="75"/>
    <s v="High Risk"/>
  </r>
  <r>
    <n v="663"/>
    <s v="40-49"/>
    <s v="High Income"/>
    <n v="0"/>
    <n v="1"/>
    <s v="Doctor"/>
    <x v="0"/>
    <s v="Normal"/>
    <n v="10"/>
    <n v="5"/>
    <n v="25"/>
    <n v="12.5"/>
    <n v="8"/>
    <n v="61"/>
    <s v="High Risk"/>
  </r>
  <r>
    <n v="664"/>
    <s v="40-49"/>
    <s v="High Income"/>
    <n v="0"/>
    <n v="0"/>
    <s v="Master"/>
    <x v="2"/>
    <s v="Elevated"/>
    <n v="10"/>
    <n v="5"/>
    <n v="0"/>
    <n v="25"/>
    <n v="15"/>
    <n v="55"/>
    <s v="High Risk"/>
  </r>
  <r>
    <n v="665"/>
    <s v="40-49"/>
    <s v="High Income"/>
    <n v="0"/>
    <n v="0"/>
    <s v="Master"/>
    <x v="1"/>
    <s v="Normal"/>
    <n v="10"/>
    <n v="5"/>
    <n v="0"/>
    <n v="12.5"/>
    <n v="25"/>
    <n v="53"/>
    <s v="Medium Risk"/>
  </r>
  <r>
    <n v="666"/>
    <s v="30-39"/>
    <s v="High Income"/>
    <n v="0"/>
    <n v="1"/>
    <s v="Bachelor"/>
    <x v="0"/>
    <s v="Normal"/>
    <n v="20"/>
    <n v="5"/>
    <n v="25"/>
    <n v="12.5"/>
    <n v="8"/>
    <n v="71"/>
    <s v="High Risk"/>
  </r>
  <r>
    <n v="667"/>
    <s v="Under 30"/>
    <s v="High Income"/>
    <n v="1"/>
    <n v="0"/>
    <s v="Below College"/>
    <x v="2"/>
    <s v="Normal"/>
    <n v="30"/>
    <n v="5"/>
    <n v="0"/>
    <n v="25"/>
    <n v="15"/>
    <n v="75"/>
    <s v="High Risk"/>
  </r>
  <r>
    <n v="669"/>
    <s v="Under 30"/>
    <s v="High Income"/>
    <n v="0"/>
    <n v="0"/>
    <s v="Below College"/>
    <x v="2"/>
    <s v="Normal"/>
    <n v="30"/>
    <n v="5"/>
    <n v="0"/>
    <n v="12.5"/>
    <n v="15"/>
    <n v="63"/>
    <s v="High Risk"/>
  </r>
  <r>
    <n v="671"/>
    <s v="40-49"/>
    <s v="High Income"/>
    <n v="0"/>
    <n v="1"/>
    <s v="Master"/>
    <x v="1"/>
    <s v="Normal"/>
    <n v="10"/>
    <n v="5"/>
    <n v="25"/>
    <n v="6.25"/>
    <n v="25"/>
    <n v="71"/>
    <s v="High Risk"/>
  </r>
  <r>
    <n v="675"/>
    <s v="Under 30"/>
    <s v="High Income"/>
    <n v="0"/>
    <n v="0"/>
    <s v="Below College"/>
    <x v="1"/>
    <s v="Normal"/>
    <n v="30"/>
    <n v="5"/>
    <n v="0"/>
    <n v="12.5"/>
    <n v="25"/>
    <n v="73"/>
    <s v="High Risk"/>
  </r>
  <r>
    <n v="677"/>
    <s v="30-39"/>
    <s v="High Income"/>
    <n v="0"/>
    <n v="0"/>
    <s v="Master"/>
    <x v="2"/>
    <s v="Normal"/>
    <n v="20"/>
    <n v="5"/>
    <n v="0"/>
    <n v="12.5"/>
    <n v="15"/>
    <n v="53"/>
    <s v="Medium Risk"/>
  </r>
  <r>
    <n v="679"/>
    <s v="30-39"/>
    <s v="High Income"/>
    <n v="0"/>
    <n v="1"/>
    <s v="Master"/>
    <x v="0"/>
    <s v="Elevated"/>
    <n v="20"/>
    <n v="5"/>
    <n v="25"/>
    <n v="6.25"/>
    <n v="8"/>
    <n v="64"/>
    <s v="High Risk"/>
  </r>
  <r>
    <n v="680"/>
    <s v="30-39"/>
    <s v="High Income"/>
    <n v="0"/>
    <n v="0"/>
    <s v="Bachelor"/>
    <x v="1"/>
    <s v="Normal"/>
    <n v="20"/>
    <n v="5"/>
    <n v="0"/>
    <n v="12.5"/>
    <n v="25"/>
    <n v="63"/>
    <s v="High Risk"/>
  </r>
  <r>
    <n v="682"/>
    <s v="50+"/>
    <s v="High Income"/>
    <n v="0"/>
    <n v="0"/>
    <s v="Below College"/>
    <x v="3"/>
    <s v="Normal"/>
    <n v="15"/>
    <n v="5"/>
    <n v="0"/>
    <n v="25"/>
    <n v="3"/>
    <n v="48"/>
    <s v="Medium Risk"/>
  </r>
  <r>
    <n v="683"/>
    <s v="30-39"/>
    <s v="High Income"/>
    <n v="0"/>
    <n v="0"/>
    <s v="Doctor"/>
    <x v="0"/>
    <s v="Elevated"/>
    <n v="20"/>
    <n v="5"/>
    <n v="0"/>
    <n v="6.25"/>
    <n v="8"/>
    <n v="39"/>
    <s v="Medium Risk"/>
  </r>
  <r>
    <n v="684"/>
    <s v="40-49"/>
    <s v="High Income"/>
    <n v="1"/>
    <n v="0"/>
    <s v="Master"/>
    <x v="1"/>
    <s v="Normal"/>
    <n v="10"/>
    <n v="5"/>
    <n v="0"/>
    <n v="25"/>
    <n v="25"/>
    <n v="65"/>
    <s v="High Risk"/>
  </r>
  <r>
    <n v="686"/>
    <s v="Under 30"/>
    <s v="High Income"/>
    <n v="0"/>
    <n v="1"/>
    <s v="Bachelor"/>
    <x v="2"/>
    <s v="Normal"/>
    <n v="30"/>
    <n v="5"/>
    <n v="25"/>
    <n v="6.25"/>
    <n v="15"/>
    <n v="81"/>
    <s v="High Risk"/>
  </r>
  <r>
    <n v="689"/>
    <s v="30-39"/>
    <s v="High Income"/>
    <n v="0"/>
    <n v="0"/>
    <s v="Bachelor"/>
    <x v="0"/>
    <s v="Normal"/>
    <n v="20"/>
    <n v="5"/>
    <n v="0"/>
    <n v="12.5"/>
    <n v="8"/>
    <n v="46"/>
    <s v="Medium Risk"/>
  </r>
  <r>
    <n v="690"/>
    <s v="Under 30"/>
    <s v="High Income"/>
    <n v="0"/>
    <n v="0"/>
    <s v="College"/>
    <x v="0"/>
    <s v="Elevated"/>
    <n v="30"/>
    <n v="5"/>
    <n v="0"/>
    <n v="12.5"/>
    <n v="8"/>
    <n v="56"/>
    <s v="High Risk"/>
  </r>
  <r>
    <n v="691"/>
    <s v="30-39"/>
    <s v="High Income"/>
    <n v="0"/>
    <n v="0"/>
    <s v="Master"/>
    <x v="3"/>
    <s v="Normal"/>
    <n v="20"/>
    <n v="5"/>
    <n v="0"/>
    <n v="6.25"/>
    <n v="3"/>
    <n v="34"/>
    <s v="Low Risk"/>
  </r>
  <r>
    <n v="692"/>
    <s v="30-39"/>
    <s v="High Income"/>
    <n v="0"/>
    <n v="0"/>
    <s v="Bachelor"/>
    <x v="3"/>
    <s v="Elevated"/>
    <n v="20"/>
    <n v="5"/>
    <n v="0"/>
    <n v="6.25"/>
    <n v="3"/>
    <n v="34"/>
    <s v="Low Risk"/>
  </r>
  <r>
    <n v="698"/>
    <s v="50+"/>
    <s v="High Income"/>
    <n v="0"/>
    <n v="0"/>
    <s v="Master"/>
    <x v="0"/>
    <s v="Normal"/>
    <n v="15"/>
    <n v="5"/>
    <n v="0"/>
    <n v="18.75"/>
    <n v="8"/>
    <n v="47"/>
    <s v="Medium Risk"/>
  </r>
  <r>
    <n v="699"/>
    <s v="30-39"/>
    <s v="High Income"/>
    <n v="0"/>
    <n v="1"/>
    <s v="College"/>
    <x v="2"/>
    <s v="Normal"/>
    <n v="20"/>
    <n v="5"/>
    <n v="25"/>
    <n v="18.75"/>
    <n v="15"/>
    <n v="84"/>
    <s v="High Risk"/>
  </r>
  <r>
    <n v="700"/>
    <s v="Under 30"/>
    <s v="High Income"/>
    <n v="0"/>
    <n v="0"/>
    <s v="Master"/>
    <x v="2"/>
    <s v="Normal"/>
    <n v="30"/>
    <n v="5"/>
    <n v="0"/>
    <n v="6.25"/>
    <n v="15"/>
    <n v="56"/>
    <s v="High Risk"/>
  </r>
  <r>
    <n v="701"/>
    <s v="Under 30"/>
    <s v="High Income"/>
    <n v="1"/>
    <n v="1"/>
    <s v="Below College"/>
    <x v="1"/>
    <s v="Normal"/>
    <n v="30"/>
    <n v="5"/>
    <n v="25"/>
    <n v="12.5"/>
    <n v="25"/>
    <n v="98"/>
    <s v="High Risk"/>
  </r>
  <r>
    <n v="702"/>
    <s v="30-39"/>
    <s v="High Income"/>
    <n v="1"/>
    <n v="1"/>
    <s v="Bachelor"/>
    <x v="0"/>
    <s v="Normal"/>
    <n v="20"/>
    <n v="5"/>
    <n v="25"/>
    <n v="25"/>
    <n v="8"/>
    <n v="83"/>
    <s v="High Risk"/>
  </r>
  <r>
    <n v="704"/>
    <s v="30-39"/>
    <s v="High Income"/>
    <n v="0"/>
    <n v="0"/>
    <s v="Bachelor"/>
    <x v="1"/>
    <s v="Normal"/>
    <n v="20"/>
    <n v="5"/>
    <n v="0"/>
    <n v="12.5"/>
    <n v="25"/>
    <n v="63"/>
    <s v="High Risk"/>
  </r>
  <r>
    <n v="705"/>
    <s v="Under 30"/>
    <s v="High Income"/>
    <n v="0"/>
    <n v="0"/>
    <s v="Bachelor"/>
    <x v="2"/>
    <s v="Normal"/>
    <n v="30"/>
    <n v="5"/>
    <n v="0"/>
    <n v="25"/>
    <n v="15"/>
    <n v="75"/>
    <s v="High Risk"/>
  </r>
  <r>
    <n v="707"/>
    <s v="Under 30"/>
    <s v="High Income"/>
    <n v="0"/>
    <n v="0"/>
    <s v="Bachelor"/>
    <x v="2"/>
    <s v="Normal"/>
    <n v="30"/>
    <n v="5"/>
    <n v="0"/>
    <n v="18.75"/>
    <n v="15"/>
    <n v="69"/>
    <s v="High Risk"/>
  </r>
  <r>
    <n v="709"/>
    <s v="30-39"/>
    <s v="High Income"/>
    <n v="0"/>
    <n v="0"/>
    <s v="Master"/>
    <x v="0"/>
    <s v="Normal"/>
    <n v="20"/>
    <n v="5"/>
    <n v="0"/>
    <n v="6.25"/>
    <n v="8"/>
    <n v="39"/>
    <s v="Medium Risk"/>
  </r>
  <r>
    <n v="710"/>
    <s v="Under 30"/>
    <s v="High Income"/>
    <n v="0"/>
    <n v="0"/>
    <s v="Master"/>
    <x v="0"/>
    <s v="Normal"/>
    <n v="30"/>
    <n v="5"/>
    <n v="0"/>
    <n v="6.25"/>
    <n v="8"/>
    <n v="49"/>
    <s v="Medium Risk"/>
  </r>
  <r>
    <n v="712"/>
    <s v="40-49"/>
    <s v="High Income"/>
    <n v="0"/>
    <n v="0"/>
    <s v="Below College"/>
    <x v="1"/>
    <s v="Normal"/>
    <n v="10"/>
    <n v="5"/>
    <n v="0"/>
    <n v="18.75"/>
    <n v="25"/>
    <n v="59"/>
    <s v="High Risk"/>
  </r>
  <r>
    <n v="714"/>
    <s v="Under 30"/>
    <s v="High Income"/>
    <n v="0"/>
    <n v="1"/>
    <s v="Below College"/>
    <x v="0"/>
    <s v="Normal"/>
    <n v="30"/>
    <n v="5"/>
    <n v="25"/>
    <n v="6.25"/>
    <n v="8"/>
    <n v="74"/>
    <s v="High Risk"/>
  </r>
  <r>
    <n v="715"/>
    <s v="30-39"/>
    <s v="High Income"/>
    <n v="0"/>
    <n v="0"/>
    <s v="College"/>
    <x v="1"/>
    <s v="Normal"/>
    <n v="20"/>
    <n v="5"/>
    <n v="0"/>
    <n v="6.25"/>
    <n v="25"/>
    <n v="56"/>
    <s v="High Risk"/>
  </r>
  <r>
    <n v="716"/>
    <s v="50+"/>
    <s v="High Income"/>
    <n v="0"/>
    <n v="1"/>
    <s v="Below College"/>
    <x v="3"/>
    <s v="Normal"/>
    <n v="15"/>
    <n v="5"/>
    <n v="25"/>
    <n v="12.5"/>
    <n v="3"/>
    <n v="61"/>
    <s v="High Risk"/>
  </r>
  <r>
    <n v="717"/>
    <s v="30-39"/>
    <s v="High Income"/>
    <n v="0"/>
    <n v="0"/>
    <s v="Bachelor"/>
    <x v="0"/>
    <s v="Normal"/>
    <n v="20"/>
    <n v="5"/>
    <n v="0"/>
    <n v="18.75"/>
    <n v="8"/>
    <n v="52"/>
    <s v="Medium Risk"/>
  </r>
  <r>
    <n v="720"/>
    <s v="Under 30"/>
    <s v="High Income"/>
    <n v="1"/>
    <n v="0"/>
    <s v="College"/>
    <x v="1"/>
    <s v="Normal"/>
    <n v="30"/>
    <n v="5"/>
    <n v="0"/>
    <n v="12.5"/>
    <n v="25"/>
    <n v="73"/>
    <s v="High Risk"/>
  </r>
  <r>
    <n v="721"/>
    <s v="30-39"/>
    <s v="High Income"/>
    <n v="0"/>
    <n v="0"/>
    <s v="Master"/>
    <x v="3"/>
    <s v="Normal"/>
    <n v="20"/>
    <n v="5"/>
    <n v="0"/>
    <n v="12.5"/>
    <n v="3"/>
    <n v="41"/>
    <s v="Medium Risk"/>
  </r>
  <r>
    <n v="722"/>
    <s v="30-39"/>
    <s v="High Income"/>
    <n v="0"/>
    <n v="0"/>
    <s v="Bachelor"/>
    <x v="0"/>
    <s v="Elevated"/>
    <n v="20"/>
    <n v="5"/>
    <n v="0"/>
    <n v="6.25"/>
    <n v="8"/>
    <n v="39"/>
    <s v="Medium Risk"/>
  </r>
  <r>
    <n v="723"/>
    <s v="50+"/>
    <s v="High Income"/>
    <n v="1"/>
    <n v="1"/>
    <s v="College"/>
    <x v="2"/>
    <s v="Normal"/>
    <n v="15"/>
    <n v="5"/>
    <n v="25"/>
    <n v="12.5"/>
    <n v="15"/>
    <n v="73"/>
    <s v="High Risk"/>
  </r>
  <r>
    <n v="724"/>
    <s v="30-39"/>
    <s v="High Income"/>
    <n v="0"/>
    <n v="0"/>
    <s v="Master"/>
    <x v="0"/>
    <s v="Elevated"/>
    <n v="20"/>
    <n v="5"/>
    <n v="0"/>
    <n v="6.25"/>
    <n v="8"/>
    <n v="39"/>
    <s v="Medium Risk"/>
  </r>
  <r>
    <n v="725"/>
    <s v="Under 30"/>
    <s v="High Income"/>
    <n v="0"/>
    <n v="0"/>
    <s v="College"/>
    <x v="0"/>
    <s v="Normal"/>
    <n v="30"/>
    <n v="5"/>
    <n v="0"/>
    <n v="25"/>
    <n v="8"/>
    <n v="68"/>
    <s v="High Risk"/>
  </r>
  <r>
    <n v="727"/>
    <s v="30-39"/>
    <s v="High Income"/>
    <n v="0"/>
    <n v="0"/>
    <s v="College"/>
    <x v="0"/>
    <s v="Normal"/>
    <n v="20"/>
    <n v="5"/>
    <n v="0"/>
    <n v="6.25"/>
    <n v="8"/>
    <n v="39"/>
    <s v="Medium Risk"/>
  </r>
  <r>
    <n v="728"/>
    <s v="40-49"/>
    <s v="High Income"/>
    <n v="0"/>
    <n v="0"/>
    <s v="Master"/>
    <x v="0"/>
    <s v="Normal"/>
    <n v="10"/>
    <n v="5"/>
    <n v="0"/>
    <n v="25"/>
    <n v="8"/>
    <n v="48"/>
    <s v="Medium Risk"/>
  </r>
  <r>
    <n v="729"/>
    <s v="40-49"/>
    <s v="High Income"/>
    <n v="0"/>
    <n v="1"/>
    <s v="Master"/>
    <x v="3"/>
    <s v="Normal"/>
    <n v="10"/>
    <n v="5"/>
    <n v="25"/>
    <n v="25"/>
    <n v="3"/>
    <n v="68"/>
    <s v="High Risk"/>
  </r>
  <r>
    <n v="730"/>
    <s v="50+"/>
    <s v="High Income"/>
    <n v="0"/>
    <n v="0"/>
    <s v="Bachelor"/>
    <x v="2"/>
    <s v="Normal"/>
    <n v="15"/>
    <n v="5"/>
    <n v="0"/>
    <n v="12.5"/>
    <n v="15"/>
    <n v="48"/>
    <s v="Medium Risk"/>
  </r>
  <r>
    <n v="731"/>
    <s v="40-49"/>
    <s v="High Income"/>
    <n v="0"/>
    <n v="0"/>
    <s v="Master"/>
    <x v="3"/>
    <s v="Elevated"/>
    <n v="10"/>
    <n v="5"/>
    <n v="0"/>
    <n v="6.25"/>
    <n v="3"/>
    <n v="24"/>
    <s v="Low Risk"/>
  </r>
  <r>
    <n v="732"/>
    <s v="50+"/>
    <s v="High Income"/>
    <n v="0"/>
    <n v="0"/>
    <s v="Master"/>
    <x v="1"/>
    <s v="Normal"/>
    <n v="15"/>
    <n v="5"/>
    <n v="0"/>
    <n v="25"/>
    <n v="25"/>
    <n v="70"/>
    <s v="High Risk"/>
  </r>
  <r>
    <n v="733"/>
    <s v="Under 30"/>
    <s v="High Income"/>
    <n v="0"/>
    <n v="0"/>
    <s v="College"/>
    <x v="0"/>
    <s v="Elevated"/>
    <n v="30"/>
    <n v="5"/>
    <n v="0"/>
    <n v="25"/>
    <n v="8"/>
    <n v="68"/>
    <s v="High Risk"/>
  </r>
  <r>
    <n v="734"/>
    <s v="40-49"/>
    <s v="High Income"/>
    <n v="0"/>
    <n v="0"/>
    <s v="Bachelor"/>
    <x v="3"/>
    <s v="Normal"/>
    <n v="10"/>
    <n v="5"/>
    <n v="0"/>
    <n v="12.5"/>
    <n v="3"/>
    <n v="31"/>
    <s v="Low Risk"/>
  </r>
  <r>
    <n v="738"/>
    <s v="50+"/>
    <s v="High Income"/>
    <n v="0"/>
    <n v="0"/>
    <s v="Master"/>
    <x v="1"/>
    <s v="Normal"/>
    <n v="15"/>
    <n v="5"/>
    <n v="0"/>
    <n v="18.75"/>
    <n v="25"/>
    <n v="64"/>
    <s v="High Risk"/>
  </r>
  <r>
    <n v="741"/>
    <s v="Under 30"/>
    <s v="High Income"/>
    <n v="1"/>
    <n v="1"/>
    <s v="College"/>
    <x v="0"/>
    <s v="Normal"/>
    <n v="30"/>
    <n v="5"/>
    <n v="25"/>
    <n v="18.75"/>
    <n v="8"/>
    <n v="87"/>
    <s v="High Risk"/>
  </r>
  <r>
    <n v="742"/>
    <s v="30-39"/>
    <s v="High Income"/>
    <n v="0"/>
    <n v="0"/>
    <s v="Bachelor"/>
    <x v="0"/>
    <s v="Normal"/>
    <n v="20"/>
    <n v="5"/>
    <n v="0"/>
    <n v="25"/>
    <n v="8"/>
    <n v="58"/>
    <s v="High Risk"/>
  </r>
  <r>
    <n v="743"/>
    <s v="30-39"/>
    <s v="High Income"/>
    <n v="0"/>
    <n v="1"/>
    <s v="Bachelor"/>
    <x v="1"/>
    <s v="Normal"/>
    <n v="20"/>
    <n v="5"/>
    <n v="25"/>
    <n v="12.5"/>
    <n v="25"/>
    <n v="88"/>
    <s v="High Risk"/>
  </r>
  <r>
    <n v="744"/>
    <s v="40-49"/>
    <s v="High Income"/>
    <n v="0"/>
    <n v="0"/>
    <s v="Bachelor"/>
    <x v="2"/>
    <s v="Normal"/>
    <n v="10"/>
    <n v="5"/>
    <n v="0"/>
    <n v="12.5"/>
    <n v="15"/>
    <n v="43"/>
    <s v="Medium Risk"/>
  </r>
  <r>
    <n v="746"/>
    <s v="40-49"/>
    <s v="High Income"/>
    <n v="0"/>
    <n v="1"/>
    <s v="Bachelor"/>
    <x v="3"/>
    <s v="Elevated"/>
    <n v="10"/>
    <n v="5"/>
    <n v="25"/>
    <n v="12.5"/>
    <n v="3"/>
    <n v="56"/>
    <s v="High Risk"/>
  </r>
  <r>
    <n v="747"/>
    <s v="30-39"/>
    <s v="High Income"/>
    <n v="0"/>
    <n v="0"/>
    <s v="Doctor"/>
    <x v="0"/>
    <s v="Elevated"/>
    <n v="20"/>
    <n v="5"/>
    <n v="0"/>
    <n v="6.25"/>
    <n v="8"/>
    <n v="39"/>
    <s v="Medium Risk"/>
  </r>
  <r>
    <n v="749"/>
    <s v="Under 30"/>
    <s v="High Income"/>
    <n v="0"/>
    <n v="0"/>
    <s v="Bachelor"/>
    <x v="1"/>
    <s v="Normal"/>
    <n v="30"/>
    <n v="5"/>
    <n v="0"/>
    <n v="12.5"/>
    <n v="25"/>
    <n v="73"/>
    <s v="High Risk"/>
  </r>
  <r>
    <n v="752"/>
    <s v="40-49"/>
    <s v="High Income"/>
    <n v="1"/>
    <n v="1"/>
    <s v="Bachelor"/>
    <x v="1"/>
    <s v="Normal"/>
    <n v="10"/>
    <n v="5"/>
    <n v="25"/>
    <n v="12.5"/>
    <n v="25"/>
    <n v="78"/>
    <s v="High Risk"/>
  </r>
  <r>
    <n v="754"/>
    <s v="40-49"/>
    <s v="High Income"/>
    <n v="0"/>
    <n v="0"/>
    <s v="Bachelor"/>
    <x v="1"/>
    <s v="Normal"/>
    <n v="10"/>
    <n v="5"/>
    <n v="0"/>
    <n v="6.25"/>
    <n v="25"/>
    <n v="46"/>
    <s v="Medium Risk"/>
  </r>
  <r>
    <n v="757"/>
    <s v="30-39"/>
    <s v="High Income"/>
    <n v="0"/>
    <n v="0"/>
    <s v="College"/>
    <x v="2"/>
    <s v="Normal"/>
    <n v="20"/>
    <n v="5"/>
    <n v="0"/>
    <n v="12.5"/>
    <n v="15"/>
    <n v="53"/>
    <s v="Medium Risk"/>
  </r>
  <r>
    <n v="758"/>
    <s v="Under 30"/>
    <s v="High Income"/>
    <n v="0"/>
    <n v="0"/>
    <s v="Below College"/>
    <x v="2"/>
    <s v="Normal"/>
    <n v="30"/>
    <n v="5"/>
    <n v="0"/>
    <n v="25"/>
    <n v="15"/>
    <n v="75"/>
    <s v="High Risk"/>
  </r>
  <r>
    <n v="760"/>
    <s v="30-39"/>
    <s v="High Income"/>
    <n v="0"/>
    <n v="0"/>
    <s v="Bachelor"/>
    <x v="0"/>
    <s v="Elevated"/>
    <n v="20"/>
    <n v="5"/>
    <n v="0"/>
    <n v="18.75"/>
    <n v="8"/>
    <n v="52"/>
    <s v="Medium Risk"/>
  </r>
  <r>
    <n v="762"/>
    <s v="50+"/>
    <s v="High Income"/>
    <n v="0"/>
    <n v="0"/>
    <s v="Bachelor"/>
    <x v="0"/>
    <s v="Elevated"/>
    <n v="15"/>
    <n v="5"/>
    <n v="0"/>
    <n v="6.25"/>
    <n v="8"/>
    <n v="34"/>
    <s v="Low Risk"/>
  </r>
  <r>
    <n v="763"/>
    <s v="40-49"/>
    <s v="High Income"/>
    <n v="0"/>
    <n v="1"/>
    <s v="Below College"/>
    <x v="2"/>
    <s v="Elevated"/>
    <n v="10"/>
    <n v="5"/>
    <n v="25"/>
    <n v="6.25"/>
    <n v="15"/>
    <n v="61"/>
    <s v="High Risk"/>
  </r>
  <r>
    <n v="764"/>
    <s v="Under 30"/>
    <s v="High Income"/>
    <n v="0"/>
    <n v="0"/>
    <s v="Bachelor"/>
    <x v="0"/>
    <s v="Elevated"/>
    <n v="30"/>
    <n v="5"/>
    <n v="0"/>
    <n v="25"/>
    <n v="8"/>
    <n v="68"/>
    <s v="High Risk"/>
  </r>
  <r>
    <n v="766"/>
    <s v="Under 30"/>
    <s v="High Income"/>
    <n v="0"/>
    <n v="0"/>
    <s v="Bachelor"/>
    <x v="1"/>
    <s v="Normal"/>
    <n v="30"/>
    <n v="5"/>
    <n v="0"/>
    <n v="18.75"/>
    <n v="25"/>
    <n v="79"/>
    <s v="High Risk"/>
  </r>
  <r>
    <n v="769"/>
    <s v="50+"/>
    <s v="High Income"/>
    <n v="0"/>
    <n v="0"/>
    <s v="Bachelor"/>
    <x v="1"/>
    <s v="Normal"/>
    <n v="15"/>
    <n v="5"/>
    <n v="0"/>
    <n v="6.25"/>
    <n v="25"/>
    <n v="51"/>
    <s v="Medium Risk"/>
  </r>
  <r>
    <n v="771"/>
    <s v="30-39"/>
    <s v="High Income"/>
    <n v="0"/>
    <n v="0"/>
    <s v="Master"/>
    <x v="1"/>
    <s v="Normal"/>
    <n v="20"/>
    <n v="5"/>
    <n v="0"/>
    <n v="25"/>
    <n v="25"/>
    <n v="75"/>
    <s v="High Risk"/>
  </r>
  <r>
    <n v="772"/>
    <s v="30-39"/>
    <s v="High Income"/>
    <n v="0"/>
    <n v="0"/>
    <s v="Master"/>
    <x v="0"/>
    <s v="Normal"/>
    <n v="20"/>
    <n v="5"/>
    <n v="0"/>
    <n v="6.25"/>
    <n v="8"/>
    <n v="39"/>
    <s v="Medium Risk"/>
  </r>
  <r>
    <n v="773"/>
    <s v="30-39"/>
    <s v="High Income"/>
    <n v="0"/>
    <n v="1"/>
    <s v="Doctor"/>
    <x v="1"/>
    <s v="Elevated"/>
    <n v="20"/>
    <n v="5"/>
    <n v="25"/>
    <n v="12.5"/>
    <n v="25"/>
    <n v="88"/>
    <s v="High Risk"/>
  </r>
  <r>
    <n v="775"/>
    <s v="30-39"/>
    <s v="High Income"/>
    <n v="0"/>
    <n v="0"/>
    <s v="Doctor"/>
    <x v="1"/>
    <s v="Normal"/>
    <n v="20"/>
    <n v="5"/>
    <n v="0"/>
    <n v="25"/>
    <n v="25"/>
    <n v="75"/>
    <s v="High Risk"/>
  </r>
  <r>
    <n v="776"/>
    <s v="50+"/>
    <s v="High Income"/>
    <n v="0"/>
    <n v="0"/>
    <s v="Master"/>
    <x v="3"/>
    <s v="Normal"/>
    <n v="15"/>
    <n v="5"/>
    <n v="0"/>
    <n v="25"/>
    <n v="3"/>
    <n v="48"/>
    <s v="Medium Risk"/>
  </r>
  <r>
    <n v="780"/>
    <s v="30-39"/>
    <s v="High Income"/>
    <n v="1"/>
    <n v="1"/>
    <s v="Master"/>
    <x v="0"/>
    <s v="Elevated"/>
    <n v="20"/>
    <n v="5"/>
    <n v="25"/>
    <n v="6.25"/>
    <n v="8"/>
    <n v="64"/>
    <s v="High Risk"/>
  </r>
  <r>
    <n v="781"/>
    <s v="Under 30"/>
    <s v="High Income"/>
    <n v="0"/>
    <n v="0"/>
    <s v="Below College"/>
    <x v="0"/>
    <s v="Elevated"/>
    <n v="30"/>
    <n v="5"/>
    <n v="0"/>
    <n v="6.25"/>
    <n v="8"/>
    <n v="49"/>
    <s v="Medium Risk"/>
  </r>
  <r>
    <n v="783"/>
    <s v="40-49"/>
    <s v="High Income"/>
    <n v="0"/>
    <n v="0"/>
    <s v="College"/>
    <x v="0"/>
    <s v="Normal"/>
    <n v="10"/>
    <n v="5"/>
    <n v="0"/>
    <n v="12.5"/>
    <n v="8"/>
    <n v="36"/>
    <s v="Medium Risk"/>
  </r>
  <r>
    <n v="784"/>
    <s v="Under 30"/>
    <s v="High Income"/>
    <n v="0"/>
    <n v="0"/>
    <s v="Below College"/>
    <x v="1"/>
    <s v="Normal"/>
    <n v="30"/>
    <n v="5"/>
    <n v="0"/>
    <n v="12.5"/>
    <n v="25"/>
    <n v="73"/>
    <s v="High Risk"/>
  </r>
  <r>
    <n v="785"/>
    <s v="40-49"/>
    <s v="High Income"/>
    <n v="1"/>
    <n v="1"/>
    <s v="College"/>
    <x v="2"/>
    <s v="Normal"/>
    <n v="10"/>
    <n v="5"/>
    <n v="25"/>
    <n v="12.5"/>
    <n v="15"/>
    <n v="68"/>
    <s v="High Risk"/>
  </r>
  <r>
    <n v="786"/>
    <s v="30-39"/>
    <s v="High Income"/>
    <n v="0"/>
    <n v="0"/>
    <s v="Bachelor"/>
    <x v="0"/>
    <s v="Normal"/>
    <n v="20"/>
    <n v="5"/>
    <n v="0"/>
    <n v="6.25"/>
    <n v="8"/>
    <n v="39"/>
    <s v="Medium Risk"/>
  </r>
  <r>
    <n v="787"/>
    <s v="50+"/>
    <s v="High Income"/>
    <n v="1"/>
    <n v="1"/>
    <s v="Bachelor"/>
    <x v="2"/>
    <s v="Normal"/>
    <n v="15"/>
    <n v="5"/>
    <n v="25"/>
    <n v="25"/>
    <n v="15"/>
    <n v="85"/>
    <s v="High Risk"/>
  </r>
  <r>
    <n v="789"/>
    <s v="30-39"/>
    <s v="High Income"/>
    <n v="0"/>
    <n v="0"/>
    <s v="Master"/>
    <x v="0"/>
    <s v="Normal"/>
    <n v="20"/>
    <n v="5"/>
    <n v="0"/>
    <n v="25"/>
    <n v="8"/>
    <n v="58"/>
    <s v="High Risk"/>
  </r>
  <r>
    <n v="791"/>
    <s v="50+"/>
    <s v="High Income"/>
    <n v="0"/>
    <n v="0"/>
    <s v="Master"/>
    <x v="2"/>
    <s v="Normal"/>
    <n v="15"/>
    <n v="5"/>
    <n v="0"/>
    <n v="6.25"/>
    <n v="15"/>
    <n v="41"/>
    <s v="Medium Risk"/>
  </r>
  <r>
    <n v="792"/>
    <s v="Under 30"/>
    <s v="High Income"/>
    <n v="0"/>
    <n v="0"/>
    <s v="College"/>
    <x v="1"/>
    <s v="Normal"/>
    <n v="30"/>
    <n v="5"/>
    <n v="0"/>
    <n v="6.25"/>
    <n v="25"/>
    <n v="66"/>
    <s v="High Risk"/>
  </r>
  <r>
    <n v="793"/>
    <s v="Under 30"/>
    <s v="High Income"/>
    <n v="0"/>
    <n v="0"/>
    <s v="Bachelor"/>
    <x v="0"/>
    <s v="Elevated"/>
    <n v="30"/>
    <n v="5"/>
    <n v="0"/>
    <n v="12.5"/>
    <n v="8"/>
    <n v="56"/>
    <s v="High Risk"/>
  </r>
  <r>
    <n v="796"/>
    <s v="Under 30"/>
    <s v="High Income"/>
    <n v="1"/>
    <n v="0"/>
    <s v="Bachelor"/>
    <x v="2"/>
    <s v="Elevated"/>
    <n v="30"/>
    <n v="5"/>
    <n v="0"/>
    <n v="25"/>
    <n v="15"/>
    <n v="75"/>
    <s v="High Risk"/>
  </r>
  <r>
    <n v="797"/>
    <s v="30-39"/>
    <s v="High Income"/>
    <n v="0"/>
    <n v="0"/>
    <s v="Master"/>
    <x v="2"/>
    <s v="Normal"/>
    <n v="20"/>
    <n v="5"/>
    <n v="0"/>
    <n v="6.25"/>
    <n v="15"/>
    <n v="46"/>
    <s v="Medium Risk"/>
  </r>
  <r>
    <n v="799"/>
    <s v="50+"/>
    <s v="High Income"/>
    <n v="0"/>
    <n v="1"/>
    <s v="Master"/>
    <x v="2"/>
    <s v="Normal"/>
    <n v="15"/>
    <n v="5"/>
    <n v="25"/>
    <n v="25"/>
    <n v="15"/>
    <n v="85"/>
    <s v="High Risk"/>
  </r>
  <r>
    <n v="800"/>
    <s v="Under 30"/>
    <s v="High Income"/>
    <n v="0"/>
    <n v="0"/>
    <s v="Below College"/>
    <x v="2"/>
    <s v="Normal"/>
    <n v="30"/>
    <n v="5"/>
    <n v="0"/>
    <n v="6.25"/>
    <n v="15"/>
    <n v="56"/>
    <s v="High Risk"/>
  </r>
  <r>
    <n v="802"/>
    <s v="30-39"/>
    <s v="High Income"/>
    <n v="0"/>
    <n v="1"/>
    <s v="Below College"/>
    <x v="2"/>
    <s v="Elevated"/>
    <n v="20"/>
    <n v="5"/>
    <n v="25"/>
    <n v="25"/>
    <n v="15"/>
    <n v="90"/>
    <s v="High Risk"/>
  </r>
  <r>
    <n v="803"/>
    <s v="30-39"/>
    <s v="High Income"/>
    <n v="0"/>
    <n v="1"/>
    <s v="Master"/>
    <x v="3"/>
    <s v="Normal"/>
    <n v="20"/>
    <n v="5"/>
    <n v="25"/>
    <n v="25"/>
    <n v="3"/>
    <n v="78"/>
    <s v="High Risk"/>
  </r>
  <r>
    <n v="804"/>
    <s v="30-39"/>
    <s v="High Income"/>
    <n v="0"/>
    <n v="0"/>
    <s v="Master"/>
    <x v="0"/>
    <s v="Normal"/>
    <n v="20"/>
    <n v="5"/>
    <n v="0"/>
    <n v="25"/>
    <n v="8"/>
    <n v="58"/>
    <s v="High Risk"/>
  </r>
  <r>
    <n v="805"/>
    <s v="30-39"/>
    <s v="High Income"/>
    <n v="0"/>
    <n v="0"/>
    <s v="Master"/>
    <x v="2"/>
    <s v="Elevated"/>
    <n v="20"/>
    <n v="5"/>
    <n v="0"/>
    <n v="6.25"/>
    <n v="15"/>
    <n v="46"/>
    <s v="Medium Risk"/>
  </r>
  <r>
    <n v="806"/>
    <s v="30-39"/>
    <s v="High Income"/>
    <n v="0"/>
    <n v="0"/>
    <s v="Bachelor"/>
    <x v="1"/>
    <s v="Normal"/>
    <n v="20"/>
    <n v="5"/>
    <n v="0"/>
    <n v="12.5"/>
    <n v="25"/>
    <n v="63"/>
    <s v="High Risk"/>
  </r>
  <r>
    <n v="807"/>
    <s v="40-49"/>
    <s v="High Income"/>
    <n v="0"/>
    <n v="0"/>
    <s v="College"/>
    <x v="0"/>
    <s v="Normal"/>
    <n v="10"/>
    <n v="5"/>
    <n v="0"/>
    <n v="18.75"/>
    <n v="8"/>
    <n v="42"/>
    <s v="Medium Risk"/>
  </r>
  <r>
    <n v="808"/>
    <s v="30-39"/>
    <s v="High Income"/>
    <n v="0"/>
    <n v="0"/>
    <s v="College"/>
    <x v="2"/>
    <s v="Normal"/>
    <n v="20"/>
    <n v="5"/>
    <n v="0"/>
    <n v="25"/>
    <n v="15"/>
    <n v="65"/>
    <s v="High Risk"/>
  </r>
  <r>
    <n v="809"/>
    <s v="40-49"/>
    <s v="High Income"/>
    <n v="0"/>
    <n v="0"/>
    <s v="Bachelor"/>
    <x v="3"/>
    <s v="Elevated"/>
    <n v="10"/>
    <n v="5"/>
    <n v="0"/>
    <n v="6.25"/>
    <n v="3"/>
    <n v="24"/>
    <s v="Low Risk"/>
  </r>
  <r>
    <n v="811"/>
    <s v="Under 30"/>
    <s v="High Income"/>
    <n v="1"/>
    <n v="1"/>
    <s v="Bachelor"/>
    <x v="1"/>
    <s v="Normal"/>
    <n v="30"/>
    <n v="5"/>
    <n v="25"/>
    <n v="25"/>
    <n v="25"/>
    <n v="110"/>
    <s v="High Risk"/>
  </r>
  <r>
    <n v="812"/>
    <s v="Under 30"/>
    <s v="High Income"/>
    <n v="0"/>
    <n v="0"/>
    <s v="Bachelor"/>
    <x v="1"/>
    <s v="Normal"/>
    <n v="30"/>
    <n v="5"/>
    <n v="0"/>
    <n v="18.75"/>
    <n v="25"/>
    <n v="79"/>
    <s v="High Risk"/>
  </r>
  <r>
    <n v="813"/>
    <s v="50+"/>
    <s v="High Income"/>
    <n v="0"/>
    <n v="0"/>
    <s v="Master"/>
    <x v="2"/>
    <s v="Normal"/>
    <n v="15"/>
    <n v="5"/>
    <n v="0"/>
    <n v="12.5"/>
    <n v="15"/>
    <n v="48"/>
    <s v="Medium Risk"/>
  </r>
  <r>
    <n v="815"/>
    <s v="50+"/>
    <s v="High Income"/>
    <n v="0"/>
    <n v="0"/>
    <s v="Bachelor"/>
    <x v="2"/>
    <s v="Normal"/>
    <n v="15"/>
    <n v="5"/>
    <n v="0"/>
    <n v="12.5"/>
    <n v="15"/>
    <n v="48"/>
    <s v="Medium Risk"/>
  </r>
  <r>
    <n v="816"/>
    <s v="Under 30"/>
    <s v="High Income"/>
    <n v="1"/>
    <n v="1"/>
    <s v="College"/>
    <x v="1"/>
    <s v="Normal"/>
    <n v="30"/>
    <n v="5"/>
    <n v="25"/>
    <n v="25"/>
    <n v="25"/>
    <n v="110"/>
    <s v="High Risk"/>
  </r>
  <r>
    <n v="817"/>
    <s v="30-39"/>
    <s v="High Income"/>
    <n v="0"/>
    <n v="0"/>
    <s v="Bachelor"/>
    <x v="3"/>
    <s v="Normal"/>
    <n v="20"/>
    <n v="5"/>
    <n v="0"/>
    <n v="12.5"/>
    <n v="3"/>
    <n v="41"/>
    <s v="Medium Risk"/>
  </r>
  <r>
    <n v="819"/>
    <s v="30-39"/>
    <s v="High Income"/>
    <n v="1"/>
    <n v="0"/>
    <s v="Bachelor"/>
    <x v="2"/>
    <s v="Normal"/>
    <n v="20"/>
    <n v="5"/>
    <n v="0"/>
    <n v="25"/>
    <n v="15"/>
    <n v="65"/>
    <s v="High Risk"/>
  </r>
  <r>
    <n v="820"/>
    <s v="40-49"/>
    <s v="High Income"/>
    <n v="0"/>
    <n v="1"/>
    <s v="College"/>
    <x v="3"/>
    <s v="Elevated"/>
    <n v="10"/>
    <n v="5"/>
    <n v="25"/>
    <n v="6.25"/>
    <n v="3"/>
    <n v="49"/>
    <s v="Medium Risk"/>
  </r>
  <r>
    <n v="823"/>
    <s v="30-39"/>
    <s v="High Income"/>
    <n v="0"/>
    <n v="0"/>
    <s v="Bachelor"/>
    <x v="0"/>
    <s v="Normal"/>
    <n v="20"/>
    <n v="5"/>
    <n v="0"/>
    <n v="18.75"/>
    <n v="8"/>
    <n v="52"/>
    <s v="Medium Risk"/>
  </r>
  <r>
    <n v="824"/>
    <s v="Under 30"/>
    <s v="High Income"/>
    <n v="0"/>
    <n v="0"/>
    <s v="College"/>
    <x v="0"/>
    <s v="Normal"/>
    <n v="30"/>
    <n v="5"/>
    <n v="0"/>
    <n v="12.5"/>
    <n v="8"/>
    <n v="56"/>
    <s v="High Risk"/>
  </r>
  <r>
    <n v="825"/>
    <s v="50+"/>
    <s v="High Income"/>
    <n v="1"/>
    <n v="1"/>
    <s v="Master"/>
    <x v="3"/>
    <s v="Normal"/>
    <n v="15"/>
    <n v="5"/>
    <n v="25"/>
    <n v="18.75"/>
    <n v="3"/>
    <n v="67"/>
    <s v="High Risk"/>
  </r>
  <r>
    <n v="826"/>
    <s v="30-39"/>
    <s v="High Income"/>
    <n v="0"/>
    <n v="0"/>
    <s v="Master"/>
    <x v="1"/>
    <s v="Normal"/>
    <n v="20"/>
    <n v="5"/>
    <n v="0"/>
    <n v="12.5"/>
    <n v="25"/>
    <n v="63"/>
    <s v="High Risk"/>
  </r>
  <r>
    <n v="827"/>
    <s v="40-49"/>
    <s v="High Income"/>
    <n v="0"/>
    <n v="1"/>
    <s v="College"/>
    <x v="2"/>
    <s v="Normal"/>
    <n v="10"/>
    <n v="5"/>
    <n v="25"/>
    <n v="6.25"/>
    <n v="15"/>
    <n v="61"/>
    <s v="High Risk"/>
  </r>
  <r>
    <n v="828"/>
    <s v="Under 30"/>
    <s v="High Income"/>
    <n v="1"/>
    <n v="0"/>
    <s v="Master"/>
    <x v="1"/>
    <s v="Elevated"/>
    <n v="30"/>
    <n v="5"/>
    <n v="0"/>
    <n v="12.5"/>
    <n v="25"/>
    <n v="73"/>
    <s v="High Risk"/>
  </r>
  <r>
    <n v="829"/>
    <s v="30-39"/>
    <s v="High Income"/>
    <n v="0"/>
    <n v="0"/>
    <s v="Bachelor"/>
    <x v="2"/>
    <s v="Normal"/>
    <n v="20"/>
    <n v="5"/>
    <n v="0"/>
    <n v="18.75"/>
    <n v="15"/>
    <n v="59"/>
    <s v="High Risk"/>
  </r>
  <r>
    <n v="830"/>
    <s v="30-39"/>
    <s v="High Income"/>
    <n v="0"/>
    <n v="0"/>
    <s v="Bachelor"/>
    <x v="3"/>
    <s v="Normal"/>
    <n v="20"/>
    <n v="5"/>
    <n v="0"/>
    <n v="12.5"/>
    <n v="3"/>
    <n v="41"/>
    <s v="Medium Risk"/>
  </r>
  <r>
    <n v="832"/>
    <s v="40-49"/>
    <s v="High Income"/>
    <n v="0"/>
    <n v="0"/>
    <s v="Master"/>
    <x v="1"/>
    <s v="Normal"/>
    <n v="10"/>
    <n v="5"/>
    <n v="0"/>
    <n v="12.5"/>
    <n v="25"/>
    <n v="53"/>
    <s v="Medium Risk"/>
  </r>
  <r>
    <n v="833"/>
    <s v="30-39"/>
    <s v="High Income"/>
    <n v="0"/>
    <n v="1"/>
    <s v="Bachelor"/>
    <x v="1"/>
    <s v="Elevated"/>
    <n v="20"/>
    <n v="5"/>
    <n v="25"/>
    <n v="6.25"/>
    <n v="25"/>
    <n v="81"/>
    <s v="High Risk"/>
  </r>
  <r>
    <n v="834"/>
    <s v="40-49"/>
    <s v="High Income"/>
    <n v="0"/>
    <n v="0"/>
    <s v="Bachelor"/>
    <x v="1"/>
    <s v="Normal"/>
    <n v="10"/>
    <n v="5"/>
    <n v="0"/>
    <n v="12.5"/>
    <n v="25"/>
    <n v="53"/>
    <s v="Medium Risk"/>
  </r>
  <r>
    <n v="836"/>
    <s v="40-49"/>
    <s v="High Income"/>
    <n v="0"/>
    <n v="0"/>
    <s v="Bachelor"/>
    <x v="0"/>
    <s v="Elevated"/>
    <n v="10"/>
    <n v="5"/>
    <n v="0"/>
    <n v="18.75"/>
    <n v="8"/>
    <n v="42"/>
    <s v="Medium Risk"/>
  </r>
  <r>
    <n v="837"/>
    <s v="30-39"/>
    <s v="High Income"/>
    <n v="0"/>
    <n v="0"/>
    <s v="Bachelor"/>
    <x v="2"/>
    <s v="Elevated"/>
    <n v="20"/>
    <n v="5"/>
    <n v="0"/>
    <n v="25"/>
    <n v="15"/>
    <n v="65"/>
    <s v="High Risk"/>
  </r>
  <r>
    <n v="838"/>
    <s v="30-39"/>
    <s v="High Income"/>
    <n v="0"/>
    <n v="0"/>
    <s v="Master"/>
    <x v="2"/>
    <s v="Normal"/>
    <n v="20"/>
    <n v="5"/>
    <n v="0"/>
    <n v="6.25"/>
    <n v="15"/>
    <n v="46"/>
    <s v="Medium Risk"/>
  </r>
  <r>
    <n v="840"/>
    <s v="40-49"/>
    <s v="High Income"/>
    <n v="1"/>
    <n v="0"/>
    <s v="Bachelor"/>
    <x v="0"/>
    <s v="Normal"/>
    <n v="10"/>
    <n v="5"/>
    <n v="0"/>
    <n v="6.25"/>
    <n v="8"/>
    <n v="29"/>
    <s v="Low Risk"/>
  </r>
  <r>
    <n v="842"/>
    <s v="50+"/>
    <s v="High Income"/>
    <n v="1"/>
    <n v="0"/>
    <s v="Below College"/>
    <x v="0"/>
    <s v="Elevated"/>
    <n v="15"/>
    <n v="5"/>
    <n v="0"/>
    <n v="6.25"/>
    <n v="8"/>
    <n v="34"/>
    <s v="Low Risk"/>
  </r>
  <r>
    <n v="843"/>
    <s v="40-49"/>
    <s v="High Income"/>
    <n v="0"/>
    <n v="0"/>
    <s v="College"/>
    <x v="2"/>
    <s v="Normal"/>
    <n v="10"/>
    <n v="5"/>
    <n v="0"/>
    <n v="25"/>
    <n v="15"/>
    <n v="55"/>
    <s v="High Risk"/>
  </r>
  <r>
    <n v="844"/>
    <s v="Under 30"/>
    <s v="High Income"/>
    <n v="0"/>
    <n v="1"/>
    <s v="Below College"/>
    <x v="0"/>
    <s v="Normal"/>
    <n v="30"/>
    <n v="5"/>
    <n v="25"/>
    <n v="6.25"/>
    <n v="8"/>
    <n v="74"/>
    <s v="High Risk"/>
  </r>
  <r>
    <n v="845"/>
    <s v="30-39"/>
    <s v="High Income"/>
    <n v="0"/>
    <n v="0"/>
    <s v="Bachelor"/>
    <x v="0"/>
    <s v="Normal"/>
    <n v="20"/>
    <n v="5"/>
    <n v="0"/>
    <n v="12.5"/>
    <n v="8"/>
    <n v="46"/>
    <s v="Medium Risk"/>
  </r>
  <r>
    <n v="846"/>
    <s v="Under 30"/>
    <s v="High Income"/>
    <n v="0"/>
    <n v="1"/>
    <s v="Master"/>
    <x v="0"/>
    <s v="Normal"/>
    <n v="30"/>
    <n v="5"/>
    <n v="25"/>
    <n v="18.75"/>
    <n v="8"/>
    <n v="87"/>
    <s v="High Risk"/>
  </r>
  <r>
    <n v="847"/>
    <s v="30-39"/>
    <s v="High Income"/>
    <n v="0"/>
    <n v="0"/>
    <s v="College"/>
    <x v="2"/>
    <s v="Elevated"/>
    <n v="20"/>
    <n v="5"/>
    <n v="0"/>
    <n v="6.25"/>
    <n v="15"/>
    <n v="46"/>
    <s v="Medium Risk"/>
  </r>
  <r>
    <n v="848"/>
    <s v="Under 30"/>
    <s v="High Income"/>
    <n v="1"/>
    <n v="1"/>
    <s v="College"/>
    <x v="0"/>
    <s v="Normal"/>
    <n v="30"/>
    <n v="5"/>
    <n v="25"/>
    <n v="12.5"/>
    <n v="8"/>
    <n v="81"/>
    <s v="High Risk"/>
  </r>
  <r>
    <n v="850"/>
    <s v="Under 30"/>
    <s v="High Income"/>
    <n v="0"/>
    <n v="0"/>
    <s v="Bachelor"/>
    <x v="1"/>
    <s v="Elevated"/>
    <n v="30"/>
    <n v="5"/>
    <n v="0"/>
    <n v="6.25"/>
    <n v="25"/>
    <n v="66"/>
    <s v="High Risk"/>
  </r>
  <r>
    <n v="851"/>
    <s v="50+"/>
    <s v="High Income"/>
    <n v="0"/>
    <n v="0"/>
    <s v="Master"/>
    <x v="3"/>
    <s v="Elevated"/>
    <n v="15"/>
    <n v="5"/>
    <n v="0"/>
    <n v="12.5"/>
    <n v="3"/>
    <n v="36"/>
    <s v="Medium Risk"/>
  </r>
  <r>
    <n v="852"/>
    <s v="40-49"/>
    <s v="High Income"/>
    <n v="0"/>
    <n v="0"/>
    <s v="Bachelor"/>
    <x v="2"/>
    <s v="Elevated"/>
    <n v="10"/>
    <n v="5"/>
    <n v="0"/>
    <n v="18.75"/>
    <n v="15"/>
    <n v="49"/>
    <s v="Medium Risk"/>
  </r>
  <r>
    <n v="854"/>
    <s v="Under 30"/>
    <s v="High Income"/>
    <n v="0"/>
    <n v="0"/>
    <s v="Below College"/>
    <x v="2"/>
    <s v="Elevated"/>
    <n v="30"/>
    <n v="5"/>
    <n v="0"/>
    <n v="25"/>
    <n v="15"/>
    <n v="75"/>
    <s v="High Risk"/>
  </r>
  <r>
    <n v="855"/>
    <s v="30-39"/>
    <s v="High Income"/>
    <n v="0"/>
    <n v="0"/>
    <s v="Bachelor"/>
    <x v="0"/>
    <s v="Normal"/>
    <n v="20"/>
    <n v="5"/>
    <n v="0"/>
    <n v="25"/>
    <n v="8"/>
    <n v="58"/>
    <s v="High Risk"/>
  </r>
  <r>
    <n v="856"/>
    <s v="30-39"/>
    <s v="High Income"/>
    <n v="0"/>
    <n v="0"/>
    <s v="Below College"/>
    <x v="0"/>
    <s v="Elevated"/>
    <n v="20"/>
    <n v="5"/>
    <n v="0"/>
    <n v="25"/>
    <n v="8"/>
    <n v="58"/>
    <s v="High Risk"/>
  </r>
  <r>
    <n v="857"/>
    <s v="30-39"/>
    <s v="High Income"/>
    <n v="0"/>
    <n v="1"/>
    <s v="College"/>
    <x v="3"/>
    <s v="Elevated"/>
    <n v="20"/>
    <n v="5"/>
    <n v="25"/>
    <n v="6.25"/>
    <n v="3"/>
    <n v="59"/>
    <s v="High Risk"/>
  </r>
  <r>
    <n v="859"/>
    <s v="30-39"/>
    <s v="High Income"/>
    <n v="0"/>
    <n v="0"/>
    <s v="Master"/>
    <x v="2"/>
    <s v="Elevated"/>
    <n v="20"/>
    <n v="5"/>
    <n v="0"/>
    <n v="6.25"/>
    <n v="15"/>
    <n v="46"/>
    <s v="Medium Risk"/>
  </r>
  <r>
    <n v="861"/>
    <s v="30-39"/>
    <s v="High Income"/>
    <n v="0"/>
    <n v="0"/>
    <s v="Master"/>
    <x v="2"/>
    <s v="Elevated"/>
    <n v="20"/>
    <n v="5"/>
    <n v="0"/>
    <n v="6.25"/>
    <n v="15"/>
    <n v="46"/>
    <s v="Medium Risk"/>
  </r>
  <r>
    <n v="862"/>
    <s v="50+"/>
    <s v="High Income"/>
    <n v="0"/>
    <n v="1"/>
    <s v="College"/>
    <x v="2"/>
    <s v="Normal"/>
    <n v="15"/>
    <n v="5"/>
    <n v="25"/>
    <n v="6.25"/>
    <n v="15"/>
    <n v="66"/>
    <s v="High Risk"/>
  </r>
  <r>
    <n v="864"/>
    <s v="40-49"/>
    <s v="High Income"/>
    <n v="0"/>
    <n v="1"/>
    <s v="Bachelor"/>
    <x v="2"/>
    <s v="Normal"/>
    <n v="10"/>
    <n v="5"/>
    <n v="25"/>
    <n v="25"/>
    <n v="15"/>
    <n v="80"/>
    <s v="High Risk"/>
  </r>
  <r>
    <n v="865"/>
    <s v="30-39"/>
    <s v="High Income"/>
    <n v="0"/>
    <n v="0"/>
    <s v="College"/>
    <x v="2"/>
    <s v="Elevated"/>
    <n v="20"/>
    <n v="5"/>
    <n v="0"/>
    <n v="12.5"/>
    <n v="15"/>
    <n v="53"/>
    <s v="Medium Risk"/>
  </r>
  <r>
    <n v="867"/>
    <s v="50+"/>
    <s v="High Income"/>
    <n v="0"/>
    <n v="0"/>
    <s v="Master"/>
    <x v="0"/>
    <s v="Normal"/>
    <n v="15"/>
    <n v="5"/>
    <n v="0"/>
    <n v="6.25"/>
    <n v="8"/>
    <n v="34"/>
    <s v="Low Risk"/>
  </r>
  <r>
    <n v="868"/>
    <s v="30-39"/>
    <s v="High Income"/>
    <n v="0"/>
    <n v="0"/>
    <s v="Master"/>
    <x v="1"/>
    <s v="Normal"/>
    <n v="20"/>
    <n v="5"/>
    <n v="0"/>
    <n v="12.5"/>
    <n v="25"/>
    <n v="63"/>
    <s v="High Risk"/>
  </r>
  <r>
    <n v="869"/>
    <s v="Under 30"/>
    <s v="High Income"/>
    <n v="0"/>
    <n v="0"/>
    <s v="College"/>
    <x v="2"/>
    <s v="Normal"/>
    <n v="30"/>
    <n v="5"/>
    <n v="0"/>
    <n v="6.25"/>
    <n v="15"/>
    <n v="56"/>
    <s v="High Risk"/>
  </r>
  <r>
    <n v="872"/>
    <s v="Under 30"/>
    <s v="High Income"/>
    <n v="0"/>
    <n v="0"/>
    <s v="College"/>
    <x v="1"/>
    <s v="Elevated"/>
    <n v="30"/>
    <n v="5"/>
    <n v="0"/>
    <n v="6.25"/>
    <n v="25"/>
    <n v="66"/>
    <s v="High Risk"/>
  </r>
  <r>
    <n v="874"/>
    <s v="40-49"/>
    <s v="High Income"/>
    <n v="0"/>
    <n v="1"/>
    <s v="Master"/>
    <x v="2"/>
    <s v="Elevated"/>
    <n v="10"/>
    <n v="5"/>
    <n v="25"/>
    <n v="6.25"/>
    <n v="15"/>
    <n v="61"/>
    <s v="High Risk"/>
  </r>
  <r>
    <n v="875"/>
    <s v="40-49"/>
    <s v="High Income"/>
    <n v="0"/>
    <n v="1"/>
    <s v="Below College"/>
    <x v="1"/>
    <s v="Normal"/>
    <n v="10"/>
    <n v="5"/>
    <n v="25"/>
    <n v="6.25"/>
    <n v="25"/>
    <n v="71"/>
    <s v="High Risk"/>
  </r>
  <r>
    <n v="878"/>
    <s v="30-39"/>
    <s v="High Income"/>
    <n v="0"/>
    <n v="0"/>
    <s v="Bachelor"/>
    <x v="2"/>
    <s v="Normal"/>
    <n v="20"/>
    <n v="5"/>
    <n v="0"/>
    <n v="25"/>
    <n v="15"/>
    <n v="65"/>
    <s v="High Risk"/>
  </r>
  <r>
    <n v="879"/>
    <s v="Under 30"/>
    <s v="High Income"/>
    <n v="0"/>
    <n v="1"/>
    <s v="Below College"/>
    <x v="2"/>
    <s v="Normal"/>
    <n v="30"/>
    <n v="5"/>
    <n v="25"/>
    <n v="25"/>
    <n v="15"/>
    <n v="100"/>
    <s v="High Risk"/>
  </r>
  <r>
    <n v="880"/>
    <s v="30-39"/>
    <s v="High Income"/>
    <n v="0"/>
    <n v="1"/>
    <s v="Bachelor"/>
    <x v="3"/>
    <s v="Normal"/>
    <n v="20"/>
    <n v="5"/>
    <n v="25"/>
    <n v="12.5"/>
    <n v="3"/>
    <n v="66"/>
    <s v="High Risk"/>
  </r>
  <r>
    <n v="881"/>
    <s v="30-39"/>
    <s v="High Income"/>
    <n v="1"/>
    <n v="1"/>
    <s v="Master"/>
    <x v="0"/>
    <s v="Elevated"/>
    <n v="20"/>
    <n v="5"/>
    <n v="25"/>
    <n v="18.75"/>
    <n v="8"/>
    <n v="77"/>
    <s v="High Risk"/>
  </r>
  <r>
    <n v="882"/>
    <s v="30-39"/>
    <s v="High Income"/>
    <n v="0"/>
    <n v="0"/>
    <s v="Bachelor"/>
    <x v="2"/>
    <s v="Normal"/>
    <n v="20"/>
    <n v="5"/>
    <n v="0"/>
    <n v="6.25"/>
    <n v="15"/>
    <n v="46"/>
    <s v="Medium Risk"/>
  </r>
  <r>
    <n v="885"/>
    <s v="Under 30"/>
    <s v="High Income"/>
    <n v="0"/>
    <n v="0"/>
    <s v="Below College"/>
    <x v="2"/>
    <s v="Normal"/>
    <n v="30"/>
    <n v="5"/>
    <n v="0"/>
    <n v="25"/>
    <n v="15"/>
    <n v="75"/>
    <s v="High Risk"/>
  </r>
  <r>
    <n v="887"/>
    <s v="40-49"/>
    <s v="High Income"/>
    <n v="0"/>
    <n v="0"/>
    <s v="Bachelor"/>
    <x v="2"/>
    <s v="Normal"/>
    <n v="10"/>
    <n v="5"/>
    <n v="0"/>
    <n v="25"/>
    <n v="15"/>
    <n v="55"/>
    <s v="High Risk"/>
  </r>
  <r>
    <n v="888"/>
    <s v="Under 30"/>
    <s v="High Income"/>
    <n v="0"/>
    <n v="0"/>
    <s v="Below College"/>
    <x v="2"/>
    <s v="Elevated"/>
    <n v="30"/>
    <n v="5"/>
    <n v="0"/>
    <n v="6.25"/>
    <n v="15"/>
    <n v="56"/>
    <s v="High Risk"/>
  </r>
  <r>
    <n v="889"/>
    <s v="30-39"/>
    <s v="High Income"/>
    <n v="0"/>
    <n v="0"/>
    <s v="College"/>
    <x v="0"/>
    <s v="Normal"/>
    <n v="20"/>
    <n v="5"/>
    <n v="0"/>
    <n v="18.75"/>
    <n v="8"/>
    <n v="52"/>
    <s v="Medium Risk"/>
  </r>
  <r>
    <n v="893"/>
    <s v="30-39"/>
    <s v="High Income"/>
    <n v="0"/>
    <n v="0"/>
    <s v="Bachelor"/>
    <x v="1"/>
    <s v="Normal"/>
    <n v="20"/>
    <n v="5"/>
    <n v="0"/>
    <n v="18.75"/>
    <n v="25"/>
    <n v="69"/>
    <s v="High Risk"/>
  </r>
  <r>
    <n v="894"/>
    <s v="40-49"/>
    <s v="High Income"/>
    <n v="0"/>
    <n v="1"/>
    <s v="Bachelor"/>
    <x v="2"/>
    <s v="Elevated"/>
    <n v="10"/>
    <n v="5"/>
    <n v="25"/>
    <n v="6.25"/>
    <n v="15"/>
    <n v="61"/>
    <s v="High Risk"/>
  </r>
  <r>
    <n v="895"/>
    <s v="30-39"/>
    <s v="High Income"/>
    <n v="0"/>
    <n v="1"/>
    <s v="Master"/>
    <x v="0"/>
    <s v="Normal"/>
    <n v="20"/>
    <n v="5"/>
    <n v="25"/>
    <n v="6.25"/>
    <n v="8"/>
    <n v="64"/>
    <s v="High Risk"/>
  </r>
  <r>
    <n v="896"/>
    <s v="Under 30"/>
    <s v="High Income"/>
    <n v="1"/>
    <n v="1"/>
    <s v="Bachelor"/>
    <x v="2"/>
    <s v="Normal"/>
    <n v="30"/>
    <n v="5"/>
    <n v="25"/>
    <n v="12.5"/>
    <n v="15"/>
    <n v="88"/>
    <s v="High Risk"/>
  </r>
  <r>
    <n v="897"/>
    <s v="50+"/>
    <s v="High Income"/>
    <n v="0"/>
    <n v="0"/>
    <s v="Bachelor"/>
    <x v="1"/>
    <s v="Normal"/>
    <n v="15"/>
    <n v="5"/>
    <n v="0"/>
    <n v="6.25"/>
    <n v="25"/>
    <n v="51"/>
    <s v="Medium Risk"/>
  </r>
  <r>
    <n v="899"/>
    <s v="30-39"/>
    <s v="High Income"/>
    <n v="0"/>
    <n v="0"/>
    <s v="Bachelor"/>
    <x v="3"/>
    <s v="Normal"/>
    <n v="20"/>
    <n v="5"/>
    <n v="0"/>
    <n v="18.75"/>
    <n v="3"/>
    <n v="47"/>
    <s v="Medium Risk"/>
  </r>
  <r>
    <n v="900"/>
    <s v="30-39"/>
    <s v="High Income"/>
    <n v="0"/>
    <n v="0"/>
    <s v="College"/>
    <x v="2"/>
    <s v="Normal"/>
    <n v="20"/>
    <n v="5"/>
    <n v="0"/>
    <n v="6.25"/>
    <n v="15"/>
    <n v="46"/>
    <s v="Medium Risk"/>
  </r>
  <r>
    <n v="901"/>
    <s v="50+"/>
    <s v="High Income"/>
    <n v="0"/>
    <n v="0"/>
    <s v="Master"/>
    <x v="3"/>
    <s v="Normal"/>
    <n v="15"/>
    <n v="5"/>
    <n v="0"/>
    <n v="6.25"/>
    <n v="3"/>
    <n v="29"/>
    <s v="Low Risk"/>
  </r>
  <r>
    <n v="902"/>
    <s v="40-49"/>
    <s v="High Income"/>
    <n v="0"/>
    <n v="0"/>
    <s v="Bachelor"/>
    <x v="2"/>
    <s v="Elevated"/>
    <n v="10"/>
    <n v="5"/>
    <n v="0"/>
    <n v="6.25"/>
    <n v="15"/>
    <n v="36"/>
    <s v="Medium Risk"/>
  </r>
  <r>
    <n v="903"/>
    <s v="40-49"/>
    <s v="High Income"/>
    <n v="0"/>
    <n v="1"/>
    <s v="College"/>
    <x v="0"/>
    <s v="Normal"/>
    <n v="10"/>
    <n v="5"/>
    <n v="25"/>
    <n v="6.25"/>
    <n v="8"/>
    <n v="54"/>
    <s v="Medium Risk"/>
  </r>
  <r>
    <n v="904"/>
    <s v="30-39"/>
    <s v="High Income"/>
    <n v="0"/>
    <n v="1"/>
    <s v="College"/>
    <x v="0"/>
    <s v="Normal"/>
    <n v="20"/>
    <n v="5"/>
    <n v="25"/>
    <n v="18.75"/>
    <n v="8"/>
    <n v="77"/>
    <s v="High Risk"/>
  </r>
  <r>
    <n v="905"/>
    <s v="50+"/>
    <s v="High Income"/>
    <n v="0"/>
    <n v="0"/>
    <s v="Master"/>
    <x v="3"/>
    <s v="Normal"/>
    <n v="15"/>
    <n v="5"/>
    <n v="0"/>
    <n v="25"/>
    <n v="3"/>
    <n v="48"/>
    <s v="Medium Risk"/>
  </r>
  <r>
    <n v="909"/>
    <s v="30-39"/>
    <s v="High Income"/>
    <n v="0"/>
    <n v="0"/>
    <s v="Bachelor"/>
    <x v="2"/>
    <s v="Normal"/>
    <n v="20"/>
    <n v="5"/>
    <n v="0"/>
    <n v="6.25"/>
    <n v="15"/>
    <n v="46"/>
    <s v="Medium Risk"/>
  </r>
  <r>
    <n v="910"/>
    <s v="30-39"/>
    <s v="High Income"/>
    <n v="0"/>
    <n v="1"/>
    <s v="College"/>
    <x v="2"/>
    <s v="Normal"/>
    <n v="20"/>
    <n v="5"/>
    <n v="25"/>
    <n v="18.75"/>
    <n v="15"/>
    <n v="84"/>
    <s v="High Risk"/>
  </r>
  <r>
    <n v="911"/>
    <s v="30-39"/>
    <s v="High Income"/>
    <n v="1"/>
    <n v="1"/>
    <s v="Master"/>
    <x v="1"/>
    <s v="Elevated"/>
    <n v="20"/>
    <n v="5"/>
    <n v="25"/>
    <n v="6.25"/>
    <n v="25"/>
    <n v="81"/>
    <s v="High Risk"/>
  </r>
  <r>
    <n v="912"/>
    <s v="Under 30"/>
    <s v="High Income"/>
    <n v="0"/>
    <n v="0"/>
    <s v="Below College"/>
    <x v="2"/>
    <s v="Normal"/>
    <n v="30"/>
    <n v="5"/>
    <n v="0"/>
    <n v="6.25"/>
    <n v="15"/>
    <n v="56"/>
    <s v="High Risk"/>
  </r>
  <r>
    <n v="913"/>
    <s v="40-49"/>
    <s v="High Income"/>
    <n v="0"/>
    <n v="1"/>
    <s v="College"/>
    <x v="0"/>
    <s v="Normal"/>
    <n v="10"/>
    <n v="5"/>
    <n v="25"/>
    <n v="25"/>
    <n v="8"/>
    <n v="73"/>
    <s v="High Risk"/>
  </r>
  <r>
    <n v="916"/>
    <s v="Under 30"/>
    <s v="High Income"/>
    <n v="0"/>
    <n v="0"/>
    <s v="Master"/>
    <x v="2"/>
    <s v="Normal"/>
    <n v="30"/>
    <n v="5"/>
    <n v="0"/>
    <n v="6.25"/>
    <n v="15"/>
    <n v="56"/>
    <s v="High Risk"/>
  </r>
  <r>
    <n v="918"/>
    <s v="50+"/>
    <s v="High Income"/>
    <n v="1"/>
    <n v="1"/>
    <s v="Below College"/>
    <x v="1"/>
    <s v="Elevated"/>
    <n v="15"/>
    <n v="5"/>
    <n v="25"/>
    <n v="6.25"/>
    <n v="25"/>
    <n v="76"/>
    <s v="High Risk"/>
  </r>
  <r>
    <n v="920"/>
    <s v="40-49"/>
    <s v="High Income"/>
    <n v="0"/>
    <n v="0"/>
    <s v="Bachelor"/>
    <x v="1"/>
    <s v="Normal"/>
    <n v="10"/>
    <n v="5"/>
    <n v="0"/>
    <n v="18.75"/>
    <n v="25"/>
    <n v="59"/>
    <s v="High Risk"/>
  </r>
  <r>
    <n v="922"/>
    <s v="Under 30"/>
    <s v="High Income"/>
    <n v="1"/>
    <n v="0"/>
    <s v="Bachelor"/>
    <x v="1"/>
    <s v="Elevated"/>
    <n v="30"/>
    <n v="5"/>
    <n v="0"/>
    <n v="12.5"/>
    <n v="25"/>
    <n v="73"/>
    <s v="High Risk"/>
  </r>
  <r>
    <n v="923"/>
    <s v="Under 30"/>
    <s v="High Income"/>
    <n v="1"/>
    <n v="0"/>
    <s v="Below College"/>
    <x v="1"/>
    <s v="Elevated"/>
    <n v="30"/>
    <n v="5"/>
    <n v="0"/>
    <n v="6.25"/>
    <n v="25"/>
    <n v="66"/>
    <s v="High Risk"/>
  </r>
  <r>
    <n v="924"/>
    <s v="30-39"/>
    <s v="High Income"/>
    <n v="0"/>
    <n v="1"/>
    <s v="Below College"/>
    <x v="3"/>
    <s v="Elevated"/>
    <n v="20"/>
    <n v="5"/>
    <n v="25"/>
    <n v="6.25"/>
    <n v="3"/>
    <n v="59"/>
    <s v="High Risk"/>
  </r>
  <r>
    <n v="925"/>
    <s v="40-49"/>
    <s v="High Income"/>
    <n v="0"/>
    <n v="1"/>
    <s v="Master"/>
    <x v="2"/>
    <s v="Elevated"/>
    <n v="10"/>
    <n v="5"/>
    <n v="25"/>
    <n v="6.25"/>
    <n v="15"/>
    <n v="61"/>
    <s v="High Risk"/>
  </r>
  <r>
    <n v="926"/>
    <s v="Under 30"/>
    <s v="High Income"/>
    <n v="1"/>
    <n v="1"/>
    <s v="Below College"/>
    <x v="2"/>
    <s v="Normal"/>
    <n v="30"/>
    <n v="5"/>
    <n v="25"/>
    <n v="12.5"/>
    <n v="15"/>
    <n v="88"/>
    <s v="High Risk"/>
  </r>
  <r>
    <n v="927"/>
    <s v="40-49"/>
    <s v="High Income"/>
    <n v="1"/>
    <n v="1"/>
    <s v="Master"/>
    <x v="0"/>
    <s v="Elevated"/>
    <n v="10"/>
    <n v="5"/>
    <n v="25"/>
    <n v="6.25"/>
    <n v="8"/>
    <n v="54"/>
    <s v="Medium Risk"/>
  </r>
  <r>
    <n v="930"/>
    <s v="Under 30"/>
    <s v="High Income"/>
    <n v="0"/>
    <n v="0"/>
    <s v="Bachelor"/>
    <x v="1"/>
    <s v="Normal"/>
    <n v="30"/>
    <n v="5"/>
    <n v="0"/>
    <n v="12.5"/>
    <n v="25"/>
    <n v="73"/>
    <s v="High Risk"/>
  </r>
  <r>
    <n v="932"/>
    <s v="30-39"/>
    <s v="High Income"/>
    <n v="1"/>
    <n v="1"/>
    <s v="Bachelor"/>
    <x v="1"/>
    <s v="Elevated"/>
    <n v="20"/>
    <n v="5"/>
    <n v="25"/>
    <n v="25"/>
    <n v="25"/>
    <n v="100"/>
    <s v="High Risk"/>
  </r>
  <r>
    <n v="933"/>
    <s v="Under 30"/>
    <s v="High Income"/>
    <n v="0"/>
    <n v="0"/>
    <s v="Bachelor"/>
    <x v="1"/>
    <s v="Normal"/>
    <n v="30"/>
    <n v="5"/>
    <n v="0"/>
    <n v="12.5"/>
    <n v="25"/>
    <n v="73"/>
    <s v="High Risk"/>
  </r>
  <r>
    <n v="934"/>
    <s v="30-39"/>
    <s v="High Income"/>
    <n v="0"/>
    <n v="0"/>
    <s v="Bachelor"/>
    <x v="1"/>
    <s v="Normal"/>
    <n v="20"/>
    <n v="5"/>
    <n v="0"/>
    <n v="18.75"/>
    <n v="25"/>
    <n v="69"/>
    <s v="High Risk"/>
  </r>
  <r>
    <n v="936"/>
    <s v="40-49"/>
    <s v="High Income"/>
    <n v="0"/>
    <n v="0"/>
    <s v="College"/>
    <x v="2"/>
    <s v="Normal"/>
    <n v="10"/>
    <n v="5"/>
    <n v="0"/>
    <n v="12.5"/>
    <n v="15"/>
    <n v="43"/>
    <s v="Medium Risk"/>
  </r>
  <r>
    <n v="939"/>
    <s v="30-39"/>
    <s v="High Income"/>
    <n v="0"/>
    <n v="1"/>
    <s v="Master"/>
    <x v="2"/>
    <s v="Normal"/>
    <n v="20"/>
    <n v="5"/>
    <n v="25"/>
    <n v="25"/>
    <n v="15"/>
    <n v="90"/>
    <s v="High Risk"/>
  </r>
  <r>
    <n v="940"/>
    <s v="50+"/>
    <s v="High Income"/>
    <n v="0"/>
    <n v="1"/>
    <s v="Bachelor"/>
    <x v="0"/>
    <s v="Normal"/>
    <n v="15"/>
    <n v="5"/>
    <n v="25"/>
    <n v="18.75"/>
    <n v="8"/>
    <n v="72"/>
    <s v="High Risk"/>
  </r>
  <r>
    <n v="941"/>
    <s v="30-39"/>
    <s v="High Income"/>
    <n v="0"/>
    <n v="0"/>
    <s v="Master"/>
    <x v="0"/>
    <s v="Normal"/>
    <n v="20"/>
    <n v="5"/>
    <n v="0"/>
    <n v="12.5"/>
    <n v="8"/>
    <n v="46"/>
    <s v="Medium Risk"/>
  </r>
  <r>
    <n v="942"/>
    <s v="30-39"/>
    <s v="High Income"/>
    <n v="0"/>
    <n v="1"/>
    <s v="Below College"/>
    <x v="0"/>
    <s v="Elevated"/>
    <n v="20"/>
    <n v="5"/>
    <n v="25"/>
    <n v="6.25"/>
    <n v="8"/>
    <n v="64"/>
    <s v="High Risk"/>
  </r>
  <r>
    <n v="944"/>
    <s v="40-49"/>
    <s v="High Income"/>
    <n v="0"/>
    <n v="0"/>
    <s v="College"/>
    <x v="3"/>
    <s v="Elevated"/>
    <n v="10"/>
    <n v="5"/>
    <n v="0"/>
    <n v="18.75"/>
    <n v="3"/>
    <n v="37"/>
    <s v="Medium Risk"/>
  </r>
  <r>
    <n v="945"/>
    <s v="40-49"/>
    <s v="High Income"/>
    <n v="0"/>
    <n v="0"/>
    <s v="Master"/>
    <x v="1"/>
    <s v="Elevated"/>
    <n v="10"/>
    <n v="5"/>
    <n v="0"/>
    <n v="12.5"/>
    <n v="25"/>
    <n v="53"/>
    <s v="Medium Risk"/>
  </r>
  <r>
    <n v="947"/>
    <s v="30-39"/>
    <s v="High Income"/>
    <n v="0"/>
    <n v="0"/>
    <s v="College"/>
    <x v="0"/>
    <s v="Elevated"/>
    <n v="20"/>
    <n v="5"/>
    <n v="0"/>
    <n v="12.5"/>
    <n v="8"/>
    <n v="46"/>
    <s v="Medium Risk"/>
  </r>
  <r>
    <n v="949"/>
    <s v="30-39"/>
    <s v="High Income"/>
    <n v="0"/>
    <n v="0"/>
    <s v="Master"/>
    <x v="0"/>
    <s v="Normal"/>
    <n v="20"/>
    <n v="5"/>
    <n v="0"/>
    <n v="6.25"/>
    <n v="8"/>
    <n v="39"/>
    <s v="Medium Risk"/>
  </r>
  <r>
    <n v="950"/>
    <s v="30-39"/>
    <s v="High Income"/>
    <n v="0"/>
    <n v="0"/>
    <s v="Bachelor"/>
    <x v="3"/>
    <s v="Normal"/>
    <n v="20"/>
    <n v="5"/>
    <n v="0"/>
    <n v="25"/>
    <n v="3"/>
    <n v="53"/>
    <s v="Medium Risk"/>
  </r>
  <r>
    <n v="951"/>
    <s v="30-39"/>
    <s v="High Income"/>
    <n v="0"/>
    <n v="0"/>
    <s v="Bachelor"/>
    <x v="2"/>
    <s v="Normal"/>
    <n v="20"/>
    <n v="5"/>
    <n v="0"/>
    <n v="18.75"/>
    <n v="15"/>
    <n v="59"/>
    <s v="High Risk"/>
  </r>
  <r>
    <n v="952"/>
    <s v="Under 30"/>
    <s v="High Income"/>
    <n v="1"/>
    <n v="1"/>
    <s v="College"/>
    <x v="1"/>
    <s v="Normal"/>
    <n v="30"/>
    <n v="5"/>
    <n v="25"/>
    <n v="18.75"/>
    <n v="25"/>
    <n v="104"/>
    <s v="High Risk"/>
  </r>
  <r>
    <n v="954"/>
    <s v="40-49"/>
    <s v="High Income"/>
    <n v="0"/>
    <n v="0"/>
    <s v="Master"/>
    <x v="1"/>
    <s v="Elevated"/>
    <n v="10"/>
    <n v="5"/>
    <n v="0"/>
    <n v="18.75"/>
    <n v="25"/>
    <n v="59"/>
    <s v="High Risk"/>
  </r>
  <r>
    <n v="956"/>
    <s v="Under 30"/>
    <s v="High Income"/>
    <n v="0"/>
    <n v="0"/>
    <s v="Bachelor"/>
    <x v="0"/>
    <s v="Normal"/>
    <n v="30"/>
    <n v="5"/>
    <n v="0"/>
    <n v="25"/>
    <n v="8"/>
    <n v="68"/>
    <s v="High Risk"/>
  </r>
  <r>
    <n v="957"/>
    <s v="40-49"/>
    <s v="High Income"/>
    <n v="0"/>
    <n v="1"/>
    <s v="Bachelor"/>
    <x v="3"/>
    <s v="Normal"/>
    <n v="10"/>
    <n v="5"/>
    <n v="25"/>
    <n v="25"/>
    <n v="3"/>
    <n v="68"/>
    <s v="High Risk"/>
  </r>
  <r>
    <n v="958"/>
    <s v="30-39"/>
    <s v="High Income"/>
    <n v="0"/>
    <n v="0"/>
    <s v="Master"/>
    <x v="3"/>
    <s v="Normal"/>
    <n v="20"/>
    <n v="5"/>
    <n v="0"/>
    <n v="12.5"/>
    <n v="3"/>
    <n v="41"/>
    <s v="Medium Risk"/>
  </r>
  <r>
    <n v="959"/>
    <s v="Under 30"/>
    <s v="High Income"/>
    <n v="1"/>
    <n v="1"/>
    <s v="Bachelor"/>
    <x v="1"/>
    <s v="Normal"/>
    <n v="30"/>
    <n v="5"/>
    <n v="25"/>
    <n v="18.75"/>
    <n v="25"/>
    <n v="104"/>
    <s v="High Risk"/>
  </r>
  <r>
    <n v="960"/>
    <s v="Under 30"/>
    <s v="High Income"/>
    <n v="1"/>
    <n v="0"/>
    <s v="Bachelor"/>
    <x v="1"/>
    <s v="Normal"/>
    <n v="30"/>
    <n v="5"/>
    <n v="0"/>
    <n v="25"/>
    <n v="25"/>
    <n v="85"/>
    <s v="High Risk"/>
  </r>
  <r>
    <n v="961"/>
    <s v="30-39"/>
    <s v="High Income"/>
    <n v="0"/>
    <n v="1"/>
    <s v="Bachelor"/>
    <x v="0"/>
    <s v="Elevated"/>
    <n v="20"/>
    <n v="5"/>
    <n v="25"/>
    <n v="6.25"/>
    <n v="8"/>
    <n v="64"/>
    <s v="High Risk"/>
  </r>
  <r>
    <n v="964"/>
    <s v="40-49"/>
    <s v="High Income"/>
    <n v="0"/>
    <n v="1"/>
    <s v="Master"/>
    <x v="1"/>
    <s v="Normal"/>
    <n v="10"/>
    <n v="5"/>
    <n v="25"/>
    <n v="18.75"/>
    <n v="25"/>
    <n v="84"/>
    <s v="High Risk"/>
  </r>
  <r>
    <n v="966"/>
    <s v="30-39"/>
    <s v="High Income"/>
    <n v="0"/>
    <n v="0"/>
    <s v="Master"/>
    <x v="0"/>
    <s v="Normal"/>
    <n v="20"/>
    <n v="5"/>
    <n v="0"/>
    <n v="25"/>
    <n v="8"/>
    <n v="58"/>
    <s v="High Risk"/>
  </r>
  <r>
    <n v="967"/>
    <s v="30-39"/>
    <s v="High Income"/>
    <n v="1"/>
    <n v="1"/>
    <s v="Below College"/>
    <x v="3"/>
    <s v="Normal"/>
    <n v="20"/>
    <n v="5"/>
    <n v="25"/>
    <n v="6.25"/>
    <n v="3"/>
    <n v="59"/>
    <s v="High Risk"/>
  </r>
  <r>
    <n v="969"/>
    <s v="30-39"/>
    <s v="High Income"/>
    <n v="0"/>
    <n v="0"/>
    <s v="Bachelor"/>
    <x v="2"/>
    <s v="Normal"/>
    <n v="20"/>
    <n v="5"/>
    <n v="0"/>
    <n v="6.25"/>
    <n v="15"/>
    <n v="46"/>
    <s v="Medium Risk"/>
  </r>
  <r>
    <n v="970"/>
    <s v="30-39"/>
    <s v="High Income"/>
    <n v="1"/>
    <n v="0"/>
    <s v="Master"/>
    <x v="3"/>
    <s v="Elevated"/>
    <n v="20"/>
    <n v="5"/>
    <n v="0"/>
    <n v="12.5"/>
    <n v="3"/>
    <n v="41"/>
    <s v="Medium Risk"/>
  </r>
  <r>
    <n v="972"/>
    <s v="40-49"/>
    <s v="High Income"/>
    <n v="0"/>
    <n v="0"/>
    <s v="College"/>
    <x v="0"/>
    <s v="Elevated"/>
    <n v="10"/>
    <n v="5"/>
    <n v="0"/>
    <n v="18.75"/>
    <n v="8"/>
    <n v="42"/>
    <s v="Medium Risk"/>
  </r>
  <r>
    <n v="974"/>
    <s v="Under 30"/>
    <s v="High Income"/>
    <n v="0"/>
    <n v="0"/>
    <s v="Bachelor"/>
    <x v="2"/>
    <s v="Normal"/>
    <n v="30"/>
    <n v="5"/>
    <n v="0"/>
    <n v="6.25"/>
    <n v="15"/>
    <n v="56"/>
    <s v="High Risk"/>
  </r>
  <r>
    <n v="975"/>
    <s v="30-39"/>
    <s v="High Income"/>
    <n v="0"/>
    <n v="0"/>
    <s v="Bachelor"/>
    <x v="2"/>
    <s v="Normal"/>
    <n v="20"/>
    <n v="5"/>
    <n v="0"/>
    <n v="12.5"/>
    <n v="15"/>
    <n v="53"/>
    <s v="Medium Risk"/>
  </r>
  <r>
    <n v="976"/>
    <s v="50+"/>
    <s v="High Income"/>
    <n v="0"/>
    <n v="0"/>
    <s v="College"/>
    <x v="0"/>
    <s v="Elevated"/>
    <n v="15"/>
    <n v="5"/>
    <n v="0"/>
    <n v="6.25"/>
    <n v="8"/>
    <n v="34"/>
    <s v="Low Risk"/>
  </r>
  <r>
    <n v="977"/>
    <s v="50+"/>
    <s v="High Income"/>
    <n v="1"/>
    <n v="0"/>
    <s v="Bachelor"/>
    <x v="1"/>
    <s v="Normal"/>
    <n v="15"/>
    <n v="5"/>
    <n v="0"/>
    <n v="12.5"/>
    <n v="25"/>
    <n v="58"/>
    <s v="High Risk"/>
  </r>
  <r>
    <n v="981"/>
    <s v="50+"/>
    <s v="High Income"/>
    <n v="0"/>
    <n v="0"/>
    <s v="College"/>
    <x v="3"/>
    <s v="Normal"/>
    <n v="15"/>
    <n v="5"/>
    <n v="0"/>
    <n v="12.5"/>
    <n v="3"/>
    <n v="36"/>
    <s v="Medium Risk"/>
  </r>
  <r>
    <n v="982"/>
    <s v="30-39"/>
    <s v="High Income"/>
    <n v="0"/>
    <n v="0"/>
    <s v="College"/>
    <x v="0"/>
    <s v="Normal"/>
    <n v="20"/>
    <n v="5"/>
    <n v="0"/>
    <n v="12.5"/>
    <n v="8"/>
    <n v="46"/>
    <s v="Medium Risk"/>
  </r>
  <r>
    <n v="983"/>
    <s v="30-39"/>
    <s v="High Income"/>
    <n v="0"/>
    <n v="1"/>
    <s v="Bachelor"/>
    <x v="2"/>
    <s v="Normal"/>
    <n v="20"/>
    <n v="5"/>
    <n v="25"/>
    <n v="6.25"/>
    <n v="15"/>
    <n v="71"/>
    <s v="High Risk"/>
  </r>
  <r>
    <n v="984"/>
    <s v="30-39"/>
    <s v="High Income"/>
    <n v="0"/>
    <n v="0"/>
    <s v="Master"/>
    <x v="0"/>
    <s v="Normal"/>
    <n v="20"/>
    <n v="5"/>
    <n v="0"/>
    <n v="6.25"/>
    <n v="8"/>
    <n v="39"/>
    <s v="Medium Risk"/>
  </r>
  <r>
    <n v="985"/>
    <s v="30-39"/>
    <s v="High Income"/>
    <n v="0"/>
    <n v="0"/>
    <s v="Doctor"/>
    <x v="0"/>
    <s v="Normal"/>
    <n v="20"/>
    <n v="5"/>
    <n v="0"/>
    <n v="12.5"/>
    <n v="8"/>
    <n v="46"/>
    <s v="Medium Risk"/>
  </r>
  <r>
    <n v="986"/>
    <s v="40-49"/>
    <s v="High Income"/>
    <n v="1"/>
    <n v="1"/>
    <s v="Bachelor"/>
    <x v="1"/>
    <s v="Elevated"/>
    <n v="10"/>
    <n v="5"/>
    <n v="25"/>
    <n v="18.75"/>
    <n v="25"/>
    <n v="84"/>
    <s v="High Risk"/>
  </r>
  <r>
    <n v="987"/>
    <s v="40-49"/>
    <s v="High Income"/>
    <n v="0"/>
    <n v="1"/>
    <s v="Master"/>
    <x v="3"/>
    <s v="Normal"/>
    <n v="10"/>
    <n v="5"/>
    <n v="25"/>
    <n v="12.5"/>
    <n v="3"/>
    <n v="56"/>
    <s v="High Risk"/>
  </r>
  <r>
    <n v="990"/>
    <s v="30-39"/>
    <s v="High Income"/>
    <n v="0"/>
    <n v="0"/>
    <s v="Master"/>
    <x v="0"/>
    <s v="Normal"/>
    <n v="20"/>
    <n v="5"/>
    <n v="0"/>
    <n v="6.25"/>
    <n v="8"/>
    <n v="39"/>
    <s v="Medium Risk"/>
  </r>
  <r>
    <n v="991"/>
    <s v="30-39"/>
    <s v="High Income"/>
    <n v="1"/>
    <n v="1"/>
    <s v="College"/>
    <x v="2"/>
    <s v="Normal"/>
    <n v="20"/>
    <n v="5"/>
    <n v="25"/>
    <n v="25"/>
    <n v="15"/>
    <n v="90"/>
    <s v="High Risk"/>
  </r>
  <r>
    <n v="992"/>
    <s v="30-39"/>
    <s v="High Income"/>
    <n v="0"/>
    <n v="0"/>
    <s v="Bachelor"/>
    <x v="0"/>
    <s v="Normal"/>
    <n v="20"/>
    <n v="5"/>
    <n v="0"/>
    <n v="12.5"/>
    <n v="8"/>
    <n v="46"/>
    <s v="Medium Risk"/>
  </r>
  <r>
    <n v="994"/>
    <s v="Under 30"/>
    <s v="High Income"/>
    <n v="1"/>
    <n v="1"/>
    <s v="Bachelor"/>
    <x v="1"/>
    <s v="Normal"/>
    <n v="30"/>
    <n v="5"/>
    <n v="25"/>
    <n v="25"/>
    <n v="25"/>
    <n v="110"/>
    <s v="High Risk"/>
  </r>
  <r>
    <n v="995"/>
    <s v="30-39"/>
    <s v="High Income"/>
    <n v="0"/>
    <n v="0"/>
    <s v="Below College"/>
    <x v="2"/>
    <s v="Normal"/>
    <n v="20"/>
    <n v="5"/>
    <n v="0"/>
    <n v="6.25"/>
    <n v="15"/>
    <n v="46"/>
    <s v="Medium Risk"/>
  </r>
  <r>
    <n v="996"/>
    <s v="40-49"/>
    <s v="High Income"/>
    <n v="0"/>
    <n v="0"/>
    <s v="Master"/>
    <x v="2"/>
    <s v="Normal"/>
    <n v="10"/>
    <n v="5"/>
    <n v="0"/>
    <n v="6.25"/>
    <n v="15"/>
    <n v="36"/>
    <s v="Medium Risk"/>
  </r>
  <r>
    <n v="997"/>
    <s v="50+"/>
    <s v="High Income"/>
    <n v="0"/>
    <n v="0"/>
    <s v="College"/>
    <x v="2"/>
    <s v="Elevated"/>
    <n v="15"/>
    <n v="5"/>
    <n v="0"/>
    <n v="6.25"/>
    <n v="15"/>
    <n v="41"/>
    <s v="Medium Risk"/>
  </r>
  <r>
    <n v="998"/>
    <s v="30-39"/>
    <s v="High Income"/>
    <n v="0"/>
    <n v="1"/>
    <s v="Master"/>
    <x v="0"/>
    <s v="Normal"/>
    <n v="20"/>
    <n v="5"/>
    <n v="25"/>
    <n v="18.75"/>
    <n v="8"/>
    <n v="77"/>
    <s v="High Risk"/>
  </r>
  <r>
    <n v="999"/>
    <s v="40-49"/>
    <s v="High Income"/>
    <n v="0"/>
    <n v="0"/>
    <s v="Bachelor"/>
    <x v="3"/>
    <s v="Normal"/>
    <n v="10"/>
    <n v="5"/>
    <n v="0"/>
    <n v="12.5"/>
    <n v="3"/>
    <n v="31"/>
    <s v="Low Risk"/>
  </r>
  <r>
    <n v="1001"/>
    <s v="Under 30"/>
    <s v="High Income"/>
    <n v="0"/>
    <n v="0"/>
    <s v="Master"/>
    <x v="1"/>
    <s v="Normal"/>
    <n v="30"/>
    <n v="5"/>
    <n v="0"/>
    <n v="18.75"/>
    <n v="25"/>
    <n v="79"/>
    <s v="High Risk"/>
  </r>
  <r>
    <n v="1002"/>
    <s v="40-49"/>
    <s v="High Income"/>
    <n v="0"/>
    <n v="1"/>
    <s v="College"/>
    <x v="0"/>
    <s v="Normal"/>
    <n v="10"/>
    <n v="5"/>
    <n v="25"/>
    <n v="25"/>
    <n v="8"/>
    <n v="73"/>
    <s v="High Risk"/>
  </r>
  <r>
    <n v="1003"/>
    <s v="40-49"/>
    <s v="High Income"/>
    <n v="0"/>
    <n v="1"/>
    <s v="College"/>
    <x v="0"/>
    <s v="Normal"/>
    <n v="10"/>
    <n v="5"/>
    <n v="25"/>
    <n v="6.25"/>
    <n v="8"/>
    <n v="54"/>
    <s v="Medium Risk"/>
  </r>
  <r>
    <n v="1004"/>
    <s v="30-39"/>
    <s v="High Income"/>
    <n v="1"/>
    <n v="1"/>
    <s v="Bachelor"/>
    <x v="2"/>
    <s v="Normal"/>
    <n v="20"/>
    <n v="5"/>
    <n v="25"/>
    <n v="12.5"/>
    <n v="15"/>
    <n v="78"/>
    <s v="High Risk"/>
  </r>
  <r>
    <n v="1005"/>
    <s v="50+"/>
    <s v="High Income"/>
    <n v="0"/>
    <n v="1"/>
    <s v="Bachelor"/>
    <x v="3"/>
    <s v="Normal"/>
    <n v="15"/>
    <n v="5"/>
    <n v="25"/>
    <n v="12.5"/>
    <n v="3"/>
    <n v="61"/>
    <s v="High Risk"/>
  </r>
  <r>
    <n v="1006"/>
    <s v="30-39"/>
    <s v="High Income"/>
    <n v="0"/>
    <n v="0"/>
    <s v="Below College"/>
    <x v="1"/>
    <s v="Elevated"/>
    <n v="20"/>
    <n v="5"/>
    <n v="0"/>
    <n v="12.5"/>
    <n v="25"/>
    <n v="63"/>
    <s v="High Risk"/>
  </r>
  <r>
    <n v="1007"/>
    <s v="40-49"/>
    <s v="High Income"/>
    <n v="0"/>
    <n v="0"/>
    <s v="College"/>
    <x v="0"/>
    <s v="Normal"/>
    <n v="10"/>
    <n v="5"/>
    <n v="0"/>
    <n v="12.5"/>
    <n v="8"/>
    <n v="36"/>
    <s v="Medium Risk"/>
  </r>
  <r>
    <n v="1009"/>
    <s v="Under 30"/>
    <s v="High Income"/>
    <n v="0"/>
    <n v="0"/>
    <s v="Below College"/>
    <x v="2"/>
    <s v="Normal"/>
    <n v="30"/>
    <n v="5"/>
    <n v="0"/>
    <n v="12.5"/>
    <n v="15"/>
    <n v="63"/>
    <s v="High Risk"/>
  </r>
  <r>
    <n v="1010"/>
    <s v="30-39"/>
    <s v="High Income"/>
    <n v="1"/>
    <n v="1"/>
    <s v="Master"/>
    <x v="2"/>
    <s v="Elevated"/>
    <n v="20"/>
    <n v="5"/>
    <n v="25"/>
    <n v="18.75"/>
    <n v="15"/>
    <n v="84"/>
    <s v="High Risk"/>
  </r>
  <r>
    <n v="1011"/>
    <s v="30-39"/>
    <s v="High Income"/>
    <n v="0"/>
    <n v="0"/>
    <s v="Below College"/>
    <x v="2"/>
    <s v="Normal"/>
    <n v="20"/>
    <n v="5"/>
    <n v="0"/>
    <n v="25"/>
    <n v="15"/>
    <n v="65"/>
    <s v="High Risk"/>
  </r>
  <r>
    <n v="1012"/>
    <s v="Under 30"/>
    <s v="High Income"/>
    <n v="0"/>
    <n v="0"/>
    <s v="College"/>
    <x v="1"/>
    <s v="Normal"/>
    <n v="30"/>
    <n v="5"/>
    <n v="0"/>
    <n v="6.25"/>
    <n v="25"/>
    <n v="66"/>
    <s v="High Risk"/>
  </r>
  <r>
    <n v="1013"/>
    <s v="50+"/>
    <s v="High Income"/>
    <n v="0"/>
    <n v="0"/>
    <s v="Bachelor"/>
    <x v="0"/>
    <s v="Normal"/>
    <n v="15"/>
    <n v="5"/>
    <n v="0"/>
    <n v="12.5"/>
    <n v="8"/>
    <n v="41"/>
    <s v="Medium Risk"/>
  </r>
  <r>
    <n v="1014"/>
    <s v="30-39"/>
    <s v="High Income"/>
    <n v="0"/>
    <n v="1"/>
    <s v="Master"/>
    <x v="3"/>
    <s v="Elevated"/>
    <n v="20"/>
    <n v="5"/>
    <n v="25"/>
    <n v="12.5"/>
    <n v="3"/>
    <n v="66"/>
    <s v="High Risk"/>
  </r>
  <r>
    <n v="1015"/>
    <s v="30-39"/>
    <s v="High Income"/>
    <n v="0"/>
    <n v="1"/>
    <s v="College"/>
    <x v="0"/>
    <s v="Elevated"/>
    <n v="20"/>
    <n v="5"/>
    <n v="25"/>
    <n v="25"/>
    <n v="8"/>
    <n v="83"/>
    <s v="High Risk"/>
  </r>
  <r>
    <n v="1016"/>
    <s v="Under 30"/>
    <s v="High Income"/>
    <n v="1"/>
    <n v="1"/>
    <s v="Bachelor"/>
    <x v="1"/>
    <s v="Normal"/>
    <n v="30"/>
    <n v="5"/>
    <n v="25"/>
    <n v="25"/>
    <n v="25"/>
    <n v="110"/>
    <s v="High Risk"/>
  </r>
  <r>
    <n v="1017"/>
    <s v="30-39"/>
    <s v="High Income"/>
    <n v="1"/>
    <n v="0"/>
    <s v="Bachelor"/>
    <x v="2"/>
    <s v="Normal"/>
    <n v="20"/>
    <n v="5"/>
    <n v="0"/>
    <n v="18.75"/>
    <n v="15"/>
    <n v="59"/>
    <s v="High Risk"/>
  </r>
  <r>
    <n v="1018"/>
    <s v="Under 30"/>
    <s v="High Income"/>
    <n v="0"/>
    <n v="0"/>
    <s v="College"/>
    <x v="0"/>
    <s v="Normal"/>
    <n v="30"/>
    <n v="5"/>
    <n v="0"/>
    <n v="6.25"/>
    <n v="8"/>
    <n v="49"/>
    <s v="Medium Risk"/>
  </r>
  <r>
    <n v="1019"/>
    <s v="Under 30"/>
    <s v="High Income"/>
    <n v="0"/>
    <n v="0"/>
    <s v="Below College"/>
    <x v="2"/>
    <s v="Elevated"/>
    <n v="30"/>
    <n v="5"/>
    <n v="0"/>
    <n v="25"/>
    <n v="15"/>
    <n v="75"/>
    <s v="High Risk"/>
  </r>
  <r>
    <n v="1022"/>
    <s v="40-49"/>
    <s v="High Income"/>
    <n v="0"/>
    <n v="0"/>
    <s v="Bachelor"/>
    <x v="1"/>
    <s v="Normal"/>
    <n v="10"/>
    <n v="5"/>
    <n v="0"/>
    <n v="12.5"/>
    <n v="25"/>
    <n v="53"/>
    <s v="Medium Risk"/>
  </r>
  <r>
    <n v="1024"/>
    <s v="40-49"/>
    <s v="High Income"/>
    <n v="0"/>
    <n v="0"/>
    <s v="Master"/>
    <x v="3"/>
    <s v="Normal"/>
    <n v="10"/>
    <n v="5"/>
    <n v="0"/>
    <n v="12.5"/>
    <n v="3"/>
    <n v="31"/>
    <s v="Low Risk"/>
  </r>
  <r>
    <n v="1025"/>
    <s v="40-49"/>
    <s v="High Income"/>
    <n v="0"/>
    <n v="0"/>
    <s v="College"/>
    <x v="1"/>
    <s v="Normal"/>
    <n v="10"/>
    <n v="5"/>
    <n v="0"/>
    <n v="12.5"/>
    <n v="25"/>
    <n v="53"/>
    <s v="Medium Risk"/>
  </r>
  <r>
    <n v="1026"/>
    <s v="30-39"/>
    <s v="High Income"/>
    <n v="0"/>
    <n v="0"/>
    <s v="Below College"/>
    <x v="3"/>
    <s v="Normal"/>
    <n v="20"/>
    <n v="5"/>
    <n v="0"/>
    <n v="6.25"/>
    <n v="3"/>
    <n v="34"/>
    <s v="Low Risk"/>
  </r>
  <r>
    <n v="1027"/>
    <s v="Under 30"/>
    <s v="High Income"/>
    <n v="0"/>
    <n v="0"/>
    <s v="Master"/>
    <x v="2"/>
    <s v="Normal"/>
    <n v="30"/>
    <n v="5"/>
    <n v="0"/>
    <n v="6.25"/>
    <n v="15"/>
    <n v="56"/>
    <s v="High Risk"/>
  </r>
  <r>
    <n v="1028"/>
    <s v="30-39"/>
    <s v="High Income"/>
    <n v="0"/>
    <n v="0"/>
    <s v="Bachelor"/>
    <x v="2"/>
    <s v="Elevated"/>
    <n v="20"/>
    <n v="5"/>
    <n v="0"/>
    <n v="6.25"/>
    <n v="15"/>
    <n v="46"/>
    <s v="Medium Risk"/>
  </r>
  <r>
    <n v="1029"/>
    <s v="40-49"/>
    <s v="High Income"/>
    <n v="0"/>
    <n v="0"/>
    <s v="College"/>
    <x v="1"/>
    <s v="Normal"/>
    <n v="10"/>
    <n v="5"/>
    <n v="0"/>
    <n v="12.5"/>
    <n v="25"/>
    <n v="53"/>
    <s v="Medium Risk"/>
  </r>
  <r>
    <n v="1030"/>
    <s v="50+"/>
    <s v="High Income"/>
    <n v="0"/>
    <n v="0"/>
    <s v="Bachelor"/>
    <x v="1"/>
    <s v="Normal"/>
    <n v="15"/>
    <n v="5"/>
    <n v="0"/>
    <n v="6.25"/>
    <n v="25"/>
    <n v="51"/>
    <s v="Medium Risk"/>
  </r>
  <r>
    <n v="1032"/>
    <s v="50+"/>
    <s v="High Income"/>
    <n v="0"/>
    <n v="1"/>
    <s v="Bachelor"/>
    <x v="2"/>
    <s v="Normal"/>
    <n v="15"/>
    <n v="5"/>
    <n v="25"/>
    <n v="6.25"/>
    <n v="15"/>
    <n v="66"/>
    <s v="High Risk"/>
  </r>
  <r>
    <n v="1033"/>
    <s v="30-39"/>
    <s v="High Income"/>
    <n v="1"/>
    <n v="0"/>
    <s v="College"/>
    <x v="1"/>
    <s v="Elevated"/>
    <n v="20"/>
    <n v="5"/>
    <n v="0"/>
    <n v="18.75"/>
    <n v="25"/>
    <n v="69"/>
    <s v="High Risk"/>
  </r>
  <r>
    <n v="1034"/>
    <s v="50+"/>
    <s v="High Income"/>
    <n v="0"/>
    <n v="1"/>
    <s v="Master"/>
    <x v="0"/>
    <s v="Normal"/>
    <n v="15"/>
    <n v="5"/>
    <n v="25"/>
    <n v="18.75"/>
    <n v="8"/>
    <n v="72"/>
    <s v="High Risk"/>
  </r>
  <r>
    <n v="1035"/>
    <s v="40-49"/>
    <s v="High Income"/>
    <n v="0"/>
    <n v="0"/>
    <s v="Below College"/>
    <x v="3"/>
    <s v="Normal"/>
    <n v="10"/>
    <n v="5"/>
    <n v="0"/>
    <n v="12.5"/>
    <n v="3"/>
    <n v="31"/>
    <s v="Low Risk"/>
  </r>
  <r>
    <n v="1036"/>
    <s v="30-39"/>
    <s v="High Income"/>
    <n v="0"/>
    <n v="1"/>
    <s v="Master"/>
    <x v="1"/>
    <s v="Normal"/>
    <n v="20"/>
    <n v="5"/>
    <n v="25"/>
    <n v="6.25"/>
    <n v="25"/>
    <n v="81"/>
    <s v="High Risk"/>
  </r>
  <r>
    <n v="1037"/>
    <s v="Under 30"/>
    <s v="High Income"/>
    <n v="1"/>
    <n v="0"/>
    <s v="College"/>
    <x v="1"/>
    <s v="Normal"/>
    <n v="30"/>
    <n v="5"/>
    <n v="0"/>
    <n v="25"/>
    <n v="25"/>
    <n v="85"/>
    <s v="High Risk"/>
  </r>
  <r>
    <n v="1038"/>
    <s v="50+"/>
    <s v="High Income"/>
    <n v="1"/>
    <n v="0"/>
    <s v="Below College"/>
    <x v="3"/>
    <s v="Normal"/>
    <n v="15"/>
    <n v="5"/>
    <n v="0"/>
    <n v="6.25"/>
    <n v="3"/>
    <n v="29"/>
    <s v="Low Risk"/>
  </r>
  <r>
    <n v="1039"/>
    <s v="40-49"/>
    <s v="High Income"/>
    <n v="0"/>
    <n v="1"/>
    <s v="Bachelor"/>
    <x v="3"/>
    <s v="Normal"/>
    <n v="10"/>
    <n v="5"/>
    <n v="25"/>
    <n v="6.25"/>
    <n v="3"/>
    <n v="49"/>
    <s v="Medium Risk"/>
  </r>
  <r>
    <n v="1040"/>
    <s v="50+"/>
    <s v="High Income"/>
    <n v="0"/>
    <n v="0"/>
    <s v="Bachelor"/>
    <x v="3"/>
    <s v="Normal"/>
    <n v="15"/>
    <n v="5"/>
    <n v="0"/>
    <n v="12.5"/>
    <n v="3"/>
    <n v="36"/>
    <s v="Medium Risk"/>
  </r>
  <r>
    <n v="1042"/>
    <s v="30-39"/>
    <s v="High Income"/>
    <n v="1"/>
    <n v="0"/>
    <s v="Master"/>
    <x v="3"/>
    <s v="Normal"/>
    <n v="20"/>
    <n v="5"/>
    <n v="0"/>
    <n v="25"/>
    <n v="3"/>
    <n v="53"/>
    <s v="Medium Risk"/>
  </r>
  <r>
    <n v="1043"/>
    <s v="30-39"/>
    <s v="High Income"/>
    <n v="0"/>
    <n v="1"/>
    <s v="Bachelor"/>
    <x v="3"/>
    <s v="Normal"/>
    <n v="20"/>
    <n v="5"/>
    <n v="25"/>
    <n v="25"/>
    <n v="3"/>
    <n v="78"/>
    <s v="High Risk"/>
  </r>
  <r>
    <n v="1044"/>
    <s v="30-39"/>
    <s v="High Income"/>
    <n v="0"/>
    <n v="0"/>
    <s v="Below College"/>
    <x v="1"/>
    <s v="Elevated"/>
    <n v="20"/>
    <n v="5"/>
    <n v="0"/>
    <n v="6.25"/>
    <n v="25"/>
    <n v="56"/>
    <s v="High Risk"/>
  </r>
  <r>
    <n v="1045"/>
    <s v="40-49"/>
    <s v="High Income"/>
    <n v="0"/>
    <n v="0"/>
    <s v="College"/>
    <x v="0"/>
    <s v="Normal"/>
    <n v="10"/>
    <n v="5"/>
    <n v="0"/>
    <n v="6.25"/>
    <n v="8"/>
    <n v="29"/>
    <s v="Low Risk"/>
  </r>
  <r>
    <n v="1046"/>
    <s v="30-39"/>
    <s v="High Income"/>
    <n v="0"/>
    <n v="0"/>
    <s v="Master"/>
    <x v="0"/>
    <s v="Normal"/>
    <n v="20"/>
    <n v="5"/>
    <n v="0"/>
    <n v="12.5"/>
    <n v="8"/>
    <n v="46"/>
    <s v="Medium Risk"/>
  </r>
  <r>
    <n v="1047"/>
    <s v="30-39"/>
    <s v="High Income"/>
    <n v="0"/>
    <n v="0"/>
    <s v="Master"/>
    <x v="3"/>
    <s v="Elevated"/>
    <n v="20"/>
    <n v="5"/>
    <n v="0"/>
    <n v="6.25"/>
    <n v="3"/>
    <n v="34"/>
    <s v="Low Risk"/>
  </r>
  <r>
    <n v="1048"/>
    <s v="50+"/>
    <s v="High Income"/>
    <n v="0"/>
    <n v="1"/>
    <s v="College"/>
    <x v="0"/>
    <s v="Elevated"/>
    <n v="15"/>
    <n v="5"/>
    <n v="25"/>
    <n v="6.25"/>
    <n v="8"/>
    <n v="59"/>
    <s v="High Risk"/>
  </r>
  <r>
    <n v="1049"/>
    <s v="40-49"/>
    <s v="High Income"/>
    <n v="0"/>
    <n v="0"/>
    <s v="Master"/>
    <x v="0"/>
    <s v="Normal"/>
    <n v="10"/>
    <n v="5"/>
    <n v="0"/>
    <n v="18.75"/>
    <n v="8"/>
    <n v="42"/>
    <s v="Medium Risk"/>
  </r>
  <r>
    <n v="1050"/>
    <s v="50+"/>
    <s v="High Income"/>
    <n v="0"/>
    <n v="0"/>
    <s v="Bachelor"/>
    <x v="3"/>
    <s v="Normal"/>
    <n v="15"/>
    <n v="5"/>
    <n v="0"/>
    <n v="18.75"/>
    <n v="3"/>
    <n v="42"/>
    <s v="Medium Risk"/>
  </r>
  <r>
    <n v="1052"/>
    <s v="30-39"/>
    <s v="High Income"/>
    <n v="1"/>
    <n v="0"/>
    <s v="Bachelor"/>
    <x v="1"/>
    <s v="Elevated"/>
    <n v="20"/>
    <n v="5"/>
    <n v="0"/>
    <n v="12.5"/>
    <n v="25"/>
    <n v="63"/>
    <s v="High Risk"/>
  </r>
  <r>
    <n v="1053"/>
    <s v="Under 30"/>
    <s v="High Income"/>
    <n v="1"/>
    <n v="1"/>
    <s v="Bachelor"/>
    <x v="2"/>
    <s v="Normal"/>
    <n v="30"/>
    <n v="5"/>
    <n v="25"/>
    <n v="25"/>
    <n v="15"/>
    <n v="100"/>
    <s v="High Risk"/>
  </r>
  <r>
    <n v="1055"/>
    <s v="30-39"/>
    <s v="High Income"/>
    <n v="0"/>
    <n v="1"/>
    <s v="Master"/>
    <x v="1"/>
    <s v="Normal"/>
    <n v="20"/>
    <n v="5"/>
    <n v="25"/>
    <n v="12.5"/>
    <n v="25"/>
    <n v="88"/>
    <s v="High Risk"/>
  </r>
  <r>
    <n v="1056"/>
    <s v="Under 30"/>
    <s v="High Income"/>
    <n v="0"/>
    <n v="0"/>
    <s v="Below College"/>
    <x v="1"/>
    <s v="Normal"/>
    <n v="30"/>
    <n v="5"/>
    <n v="0"/>
    <n v="18.75"/>
    <n v="25"/>
    <n v="79"/>
    <s v="High Risk"/>
  </r>
  <r>
    <n v="1060"/>
    <s v="30-39"/>
    <s v="High Income"/>
    <n v="0"/>
    <n v="0"/>
    <s v="Master"/>
    <x v="1"/>
    <s v="Normal"/>
    <n v="20"/>
    <n v="5"/>
    <n v="0"/>
    <n v="12.5"/>
    <n v="25"/>
    <n v="63"/>
    <s v="High Risk"/>
  </r>
  <r>
    <n v="1061"/>
    <s v="50+"/>
    <s v="High Income"/>
    <n v="0"/>
    <n v="1"/>
    <s v="Master"/>
    <x v="0"/>
    <s v="Elevated"/>
    <n v="15"/>
    <n v="5"/>
    <n v="25"/>
    <n v="12.5"/>
    <n v="8"/>
    <n v="66"/>
    <s v="High Risk"/>
  </r>
  <r>
    <n v="1062"/>
    <s v="30-39"/>
    <s v="High Income"/>
    <n v="0"/>
    <n v="0"/>
    <s v="Bachelor"/>
    <x v="2"/>
    <s v="Elevated"/>
    <n v="20"/>
    <n v="5"/>
    <n v="0"/>
    <n v="18.75"/>
    <n v="15"/>
    <n v="59"/>
    <s v="High Risk"/>
  </r>
  <r>
    <n v="1066"/>
    <s v="40-49"/>
    <s v="High Income"/>
    <n v="0"/>
    <n v="0"/>
    <s v="Bachelor"/>
    <x v="0"/>
    <s v="Elevated"/>
    <n v="10"/>
    <n v="5"/>
    <n v="0"/>
    <n v="25"/>
    <n v="8"/>
    <n v="48"/>
    <s v="Medium Risk"/>
  </r>
  <r>
    <n v="1068"/>
    <s v="Under 30"/>
    <s v="High Income"/>
    <n v="0"/>
    <n v="0"/>
    <s v="Below College"/>
    <x v="2"/>
    <s v="Normal"/>
    <n v="30"/>
    <n v="5"/>
    <n v="0"/>
    <n v="12.5"/>
    <n v="15"/>
    <n v="63"/>
    <s v="High Risk"/>
  </r>
  <r>
    <n v="1069"/>
    <s v="40-49"/>
    <s v="High Income"/>
    <n v="0"/>
    <n v="0"/>
    <s v="Master"/>
    <x v="1"/>
    <s v="Normal"/>
    <n v="10"/>
    <n v="5"/>
    <n v="0"/>
    <n v="6.25"/>
    <n v="25"/>
    <n v="46"/>
    <s v="Medium Risk"/>
  </r>
  <r>
    <n v="1070"/>
    <s v="50+"/>
    <s v="High Income"/>
    <n v="0"/>
    <n v="0"/>
    <s v="Master"/>
    <x v="0"/>
    <s v="Normal"/>
    <n v="15"/>
    <n v="5"/>
    <n v="0"/>
    <n v="12.5"/>
    <n v="8"/>
    <n v="41"/>
    <s v="Medium Risk"/>
  </r>
  <r>
    <n v="1071"/>
    <s v="50+"/>
    <s v="High Income"/>
    <n v="0"/>
    <n v="0"/>
    <s v="Bachelor"/>
    <x v="2"/>
    <s v="Normal"/>
    <n v="15"/>
    <n v="5"/>
    <n v="0"/>
    <n v="12.5"/>
    <n v="15"/>
    <n v="48"/>
    <s v="Medium Risk"/>
  </r>
  <r>
    <n v="1073"/>
    <s v="30-39"/>
    <s v="High Income"/>
    <n v="0"/>
    <n v="0"/>
    <s v="Doctor"/>
    <x v="3"/>
    <s v="Elevated"/>
    <n v="20"/>
    <n v="5"/>
    <n v="0"/>
    <n v="6.25"/>
    <n v="3"/>
    <n v="34"/>
    <s v="Low Risk"/>
  </r>
  <r>
    <n v="1074"/>
    <s v="50+"/>
    <s v="High Income"/>
    <n v="0"/>
    <n v="0"/>
    <s v="Below College"/>
    <x v="0"/>
    <s v="Normal"/>
    <n v="15"/>
    <n v="5"/>
    <n v="0"/>
    <n v="25"/>
    <n v="8"/>
    <n v="53"/>
    <s v="Medium Risk"/>
  </r>
  <r>
    <n v="1076"/>
    <s v="40-49"/>
    <s v="High Income"/>
    <n v="0"/>
    <n v="0"/>
    <s v="Bachelor"/>
    <x v="1"/>
    <s v="Normal"/>
    <n v="10"/>
    <n v="5"/>
    <n v="0"/>
    <n v="6.25"/>
    <n v="25"/>
    <n v="46"/>
    <s v="Medium Risk"/>
  </r>
  <r>
    <n v="1077"/>
    <s v="Under 30"/>
    <s v="High Income"/>
    <n v="1"/>
    <n v="1"/>
    <s v="Bachelor"/>
    <x v="1"/>
    <s v="Normal"/>
    <n v="30"/>
    <n v="5"/>
    <n v="25"/>
    <n v="6.25"/>
    <n v="25"/>
    <n v="91"/>
    <s v="High Risk"/>
  </r>
  <r>
    <n v="1079"/>
    <s v="Under 30"/>
    <s v="High Income"/>
    <n v="1"/>
    <n v="0"/>
    <s v="Bachelor"/>
    <x v="1"/>
    <s v="Elevated"/>
    <n v="30"/>
    <n v="5"/>
    <n v="0"/>
    <n v="25"/>
    <n v="25"/>
    <n v="85"/>
    <s v="High Risk"/>
  </r>
  <r>
    <n v="1080"/>
    <s v="40-49"/>
    <s v="High Income"/>
    <n v="0"/>
    <n v="1"/>
    <s v="Master"/>
    <x v="3"/>
    <s v="Normal"/>
    <n v="10"/>
    <n v="5"/>
    <n v="25"/>
    <n v="25"/>
    <n v="3"/>
    <n v="68"/>
    <s v="High Risk"/>
  </r>
  <r>
    <n v="1081"/>
    <s v="50+"/>
    <s v="High Income"/>
    <n v="1"/>
    <n v="1"/>
    <s v="Master"/>
    <x v="0"/>
    <s v="Normal"/>
    <n v="15"/>
    <n v="5"/>
    <n v="25"/>
    <n v="12.5"/>
    <n v="8"/>
    <n v="66"/>
    <s v="High Risk"/>
  </r>
  <r>
    <n v="1082"/>
    <s v="Under 30"/>
    <s v="High Income"/>
    <n v="1"/>
    <n v="0"/>
    <s v="College"/>
    <x v="0"/>
    <s v="Elevated"/>
    <n v="30"/>
    <n v="5"/>
    <n v="0"/>
    <n v="25"/>
    <n v="8"/>
    <n v="68"/>
    <s v="High Risk"/>
  </r>
  <r>
    <n v="1083"/>
    <s v="Under 30"/>
    <s v="High Income"/>
    <n v="0"/>
    <n v="0"/>
    <s v="College"/>
    <x v="2"/>
    <s v="Normal"/>
    <n v="30"/>
    <n v="5"/>
    <n v="0"/>
    <n v="25"/>
    <n v="15"/>
    <n v="75"/>
    <s v="High Risk"/>
  </r>
  <r>
    <n v="1084"/>
    <s v="30-39"/>
    <s v="High Income"/>
    <n v="0"/>
    <n v="0"/>
    <s v="Bachelor"/>
    <x v="0"/>
    <s v="Elevated"/>
    <n v="20"/>
    <n v="5"/>
    <n v="0"/>
    <n v="25"/>
    <n v="8"/>
    <n v="58"/>
    <s v="High Risk"/>
  </r>
  <r>
    <n v="1085"/>
    <s v="40-49"/>
    <s v="High Income"/>
    <n v="0"/>
    <n v="0"/>
    <s v="College"/>
    <x v="0"/>
    <s v="Normal"/>
    <n v="10"/>
    <n v="5"/>
    <n v="0"/>
    <n v="12.5"/>
    <n v="8"/>
    <n v="36"/>
    <s v="Medium Risk"/>
  </r>
  <r>
    <n v="1088"/>
    <s v="30-39"/>
    <s v="High Income"/>
    <n v="0"/>
    <n v="0"/>
    <s v="Below College"/>
    <x v="3"/>
    <s v="Elevated"/>
    <n v="20"/>
    <n v="5"/>
    <n v="0"/>
    <n v="12.5"/>
    <n v="3"/>
    <n v="41"/>
    <s v="Medium Risk"/>
  </r>
  <r>
    <n v="1092"/>
    <s v="40-49"/>
    <s v="High Income"/>
    <n v="0"/>
    <n v="0"/>
    <s v="Master"/>
    <x v="3"/>
    <s v="Normal"/>
    <n v="10"/>
    <n v="5"/>
    <n v="0"/>
    <n v="6.25"/>
    <n v="3"/>
    <n v="24"/>
    <s v="Low Risk"/>
  </r>
  <r>
    <n v="1094"/>
    <s v="Under 30"/>
    <s v="High Income"/>
    <n v="0"/>
    <n v="0"/>
    <s v="Doctor"/>
    <x v="2"/>
    <s v="Normal"/>
    <n v="30"/>
    <n v="5"/>
    <n v="0"/>
    <n v="12.5"/>
    <n v="15"/>
    <n v="63"/>
    <s v="High Risk"/>
  </r>
  <r>
    <n v="1096"/>
    <s v="50+"/>
    <s v="High Income"/>
    <n v="0"/>
    <n v="0"/>
    <s v="Below College"/>
    <x v="2"/>
    <s v="Normal"/>
    <n v="15"/>
    <n v="5"/>
    <n v="0"/>
    <n v="18.75"/>
    <n v="15"/>
    <n v="54"/>
    <s v="Medium Risk"/>
  </r>
  <r>
    <n v="1097"/>
    <s v="Under 30"/>
    <s v="High Income"/>
    <n v="0"/>
    <n v="0"/>
    <s v="Bachelor"/>
    <x v="0"/>
    <s v="Normal"/>
    <n v="30"/>
    <n v="5"/>
    <n v="0"/>
    <n v="12.5"/>
    <n v="8"/>
    <n v="56"/>
    <s v="High Risk"/>
  </r>
  <r>
    <n v="1098"/>
    <s v="40-49"/>
    <s v="High Income"/>
    <n v="1"/>
    <n v="0"/>
    <s v="College"/>
    <x v="3"/>
    <s v="Normal"/>
    <n v="10"/>
    <n v="5"/>
    <n v="0"/>
    <n v="25"/>
    <n v="3"/>
    <n v="43"/>
    <s v="Medium Risk"/>
  </r>
  <r>
    <n v="1099"/>
    <s v="30-39"/>
    <s v="High Income"/>
    <n v="0"/>
    <n v="0"/>
    <s v="Bachelor"/>
    <x v="2"/>
    <s v="Normal"/>
    <n v="20"/>
    <n v="5"/>
    <n v="0"/>
    <n v="6.25"/>
    <n v="15"/>
    <n v="46"/>
    <s v="Medium Risk"/>
  </r>
  <r>
    <n v="1100"/>
    <s v="30-39"/>
    <s v="High Income"/>
    <n v="1"/>
    <n v="1"/>
    <s v="Bachelor"/>
    <x v="0"/>
    <s v="Normal"/>
    <n v="20"/>
    <n v="5"/>
    <n v="25"/>
    <n v="25"/>
    <n v="8"/>
    <n v="83"/>
    <s v="High Risk"/>
  </r>
  <r>
    <n v="1101"/>
    <s v="30-39"/>
    <s v="High Income"/>
    <n v="1"/>
    <n v="0"/>
    <s v="Master"/>
    <x v="3"/>
    <s v="Normal"/>
    <n v="20"/>
    <n v="5"/>
    <n v="0"/>
    <n v="12.5"/>
    <n v="3"/>
    <n v="41"/>
    <s v="Medium Risk"/>
  </r>
  <r>
    <n v="1102"/>
    <s v="Under 30"/>
    <s v="High Income"/>
    <n v="0"/>
    <n v="0"/>
    <s v="College"/>
    <x v="2"/>
    <s v="Elevated"/>
    <n v="30"/>
    <n v="5"/>
    <n v="0"/>
    <n v="12.5"/>
    <n v="15"/>
    <n v="63"/>
    <s v="High Risk"/>
  </r>
  <r>
    <n v="1103"/>
    <s v="30-39"/>
    <s v="High Income"/>
    <n v="0"/>
    <n v="0"/>
    <s v="Below College"/>
    <x v="0"/>
    <s v="Elevated"/>
    <n v="20"/>
    <n v="5"/>
    <n v="0"/>
    <n v="6.25"/>
    <n v="8"/>
    <n v="39"/>
    <s v="Medium Risk"/>
  </r>
  <r>
    <n v="1105"/>
    <s v="30-39"/>
    <s v="High Income"/>
    <n v="0"/>
    <n v="1"/>
    <s v="Master"/>
    <x v="1"/>
    <s v="Normal"/>
    <n v="20"/>
    <n v="5"/>
    <n v="25"/>
    <n v="6.25"/>
    <n v="25"/>
    <n v="81"/>
    <s v="High Risk"/>
  </r>
  <r>
    <n v="1106"/>
    <s v="Under 30"/>
    <s v="High Income"/>
    <n v="1"/>
    <n v="1"/>
    <s v="Below College"/>
    <x v="0"/>
    <s v="Normal"/>
    <n v="30"/>
    <n v="5"/>
    <n v="25"/>
    <n v="6.25"/>
    <n v="8"/>
    <n v="74"/>
    <s v="High Risk"/>
  </r>
  <r>
    <n v="1107"/>
    <s v="Under 30"/>
    <s v="High Income"/>
    <n v="1"/>
    <n v="0"/>
    <s v="Bachelor"/>
    <x v="1"/>
    <s v="Elevated"/>
    <n v="30"/>
    <n v="5"/>
    <n v="0"/>
    <n v="12.5"/>
    <n v="25"/>
    <n v="73"/>
    <s v="High Risk"/>
  </r>
  <r>
    <n v="1108"/>
    <s v="30-39"/>
    <s v="High Income"/>
    <n v="1"/>
    <n v="1"/>
    <s v="Bachelor"/>
    <x v="1"/>
    <s v="Normal"/>
    <n v="20"/>
    <n v="5"/>
    <n v="25"/>
    <n v="18.75"/>
    <n v="25"/>
    <n v="94"/>
    <s v="High Risk"/>
  </r>
  <r>
    <n v="1109"/>
    <s v="40-49"/>
    <s v="High Income"/>
    <n v="0"/>
    <n v="0"/>
    <s v="College"/>
    <x v="3"/>
    <s v="Normal"/>
    <n v="10"/>
    <n v="5"/>
    <n v="0"/>
    <n v="25"/>
    <n v="3"/>
    <n v="43"/>
    <s v="Medium Risk"/>
  </r>
  <r>
    <n v="1111"/>
    <s v="Under 30"/>
    <s v="High Income"/>
    <n v="1"/>
    <n v="0"/>
    <s v="Bachelor"/>
    <x v="1"/>
    <s v="Normal"/>
    <n v="30"/>
    <n v="5"/>
    <n v="0"/>
    <n v="18.75"/>
    <n v="25"/>
    <n v="79"/>
    <s v="High Risk"/>
  </r>
  <r>
    <n v="1113"/>
    <s v="50+"/>
    <s v="High Income"/>
    <n v="1"/>
    <n v="1"/>
    <s v="Master"/>
    <x v="1"/>
    <s v="Normal"/>
    <n v="15"/>
    <n v="5"/>
    <n v="25"/>
    <n v="12.5"/>
    <n v="25"/>
    <n v="83"/>
    <s v="High Risk"/>
  </r>
  <r>
    <n v="1114"/>
    <s v="30-39"/>
    <s v="High Income"/>
    <n v="0"/>
    <n v="0"/>
    <s v="Bachelor"/>
    <x v="2"/>
    <s v="Normal"/>
    <n v="20"/>
    <n v="5"/>
    <n v="0"/>
    <n v="18.75"/>
    <n v="15"/>
    <n v="59"/>
    <s v="High Risk"/>
  </r>
  <r>
    <n v="1115"/>
    <s v="30-39"/>
    <s v="High Income"/>
    <n v="0"/>
    <n v="0"/>
    <s v="Master"/>
    <x v="1"/>
    <s v="Normal"/>
    <n v="20"/>
    <n v="5"/>
    <n v="0"/>
    <n v="6.25"/>
    <n v="25"/>
    <n v="56"/>
    <s v="High Risk"/>
  </r>
  <r>
    <n v="1116"/>
    <s v="40-49"/>
    <s v="High Income"/>
    <n v="0"/>
    <n v="0"/>
    <s v="Master"/>
    <x v="2"/>
    <s v="Elevated"/>
    <n v="10"/>
    <n v="5"/>
    <n v="0"/>
    <n v="6.25"/>
    <n v="15"/>
    <n v="36"/>
    <s v="Medium Risk"/>
  </r>
  <r>
    <n v="1117"/>
    <s v="40-49"/>
    <s v="High Income"/>
    <n v="0"/>
    <n v="0"/>
    <s v="Master"/>
    <x v="3"/>
    <s v="Normal"/>
    <n v="10"/>
    <n v="5"/>
    <n v="0"/>
    <n v="12.5"/>
    <n v="3"/>
    <n v="31"/>
    <s v="Low Risk"/>
  </r>
  <r>
    <n v="1118"/>
    <s v="50+"/>
    <s v="High Income"/>
    <n v="0"/>
    <n v="0"/>
    <s v="Master"/>
    <x v="0"/>
    <s v="Normal"/>
    <n v="15"/>
    <n v="5"/>
    <n v="0"/>
    <n v="18.75"/>
    <n v="8"/>
    <n v="47"/>
    <s v="Medium Risk"/>
  </r>
  <r>
    <n v="1119"/>
    <s v="30-39"/>
    <s v="High Income"/>
    <n v="0"/>
    <n v="1"/>
    <s v="Master"/>
    <x v="0"/>
    <s v="Normal"/>
    <n v="20"/>
    <n v="5"/>
    <n v="25"/>
    <n v="12.5"/>
    <n v="8"/>
    <n v="71"/>
    <s v="High Risk"/>
  </r>
  <r>
    <n v="1120"/>
    <s v="Under 30"/>
    <s v="High Income"/>
    <n v="0"/>
    <n v="0"/>
    <s v="Master"/>
    <x v="0"/>
    <s v="Normal"/>
    <n v="30"/>
    <n v="5"/>
    <n v="0"/>
    <n v="6.25"/>
    <n v="8"/>
    <n v="49"/>
    <s v="Medium Risk"/>
  </r>
  <r>
    <n v="1121"/>
    <s v="Under 30"/>
    <s v="High Income"/>
    <n v="0"/>
    <n v="0"/>
    <s v="Bachelor"/>
    <x v="0"/>
    <s v="Elevated"/>
    <n v="30"/>
    <n v="5"/>
    <n v="0"/>
    <n v="18.75"/>
    <n v="8"/>
    <n v="62"/>
    <s v="High Risk"/>
  </r>
  <r>
    <n v="1124"/>
    <s v="40-49"/>
    <s v="High Income"/>
    <n v="0"/>
    <n v="0"/>
    <s v="Below College"/>
    <x v="3"/>
    <s v="Normal"/>
    <n v="10"/>
    <n v="5"/>
    <n v="0"/>
    <n v="12.5"/>
    <n v="3"/>
    <n v="31"/>
    <s v="Low Risk"/>
  </r>
  <r>
    <n v="1125"/>
    <s v="30-39"/>
    <s v="High Income"/>
    <n v="0"/>
    <n v="0"/>
    <s v="College"/>
    <x v="1"/>
    <s v="Normal"/>
    <n v="20"/>
    <n v="5"/>
    <n v="0"/>
    <n v="18.75"/>
    <n v="25"/>
    <n v="69"/>
    <s v="High Risk"/>
  </r>
  <r>
    <n v="1126"/>
    <s v="40-49"/>
    <s v="High Income"/>
    <n v="0"/>
    <n v="0"/>
    <s v="Bachelor"/>
    <x v="0"/>
    <s v="Normal"/>
    <n v="10"/>
    <n v="5"/>
    <n v="0"/>
    <n v="25"/>
    <n v="8"/>
    <n v="48"/>
    <s v="Medium Risk"/>
  </r>
  <r>
    <n v="1127"/>
    <s v="30-39"/>
    <s v="High Income"/>
    <n v="1"/>
    <n v="0"/>
    <s v="Bachelor"/>
    <x v="3"/>
    <s v="Normal"/>
    <n v="20"/>
    <n v="5"/>
    <n v="0"/>
    <n v="6.25"/>
    <n v="3"/>
    <n v="34"/>
    <s v="Low Risk"/>
  </r>
  <r>
    <n v="1128"/>
    <s v="40-49"/>
    <s v="High Income"/>
    <n v="0"/>
    <n v="0"/>
    <s v="Bachelor"/>
    <x v="3"/>
    <s v="Normal"/>
    <n v="10"/>
    <n v="5"/>
    <n v="0"/>
    <n v="12.5"/>
    <n v="3"/>
    <n v="31"/>
    <s v="Low Risk"/>
  </r>
  <r>
    <n v="1131"/>
    <s v="Under 30"/>
    <s v="High Income"/>
    <n v="0"/>
    <n v="1"/>
    <s v="Below College"/>
    <x v="1"/>
    <s v="Normal"/>
    <n v="30"/>
    <n v="5"/>
    <n v="25"/>
    <n v="18.75"/>
    <n v="25"/>
    <n v="104"/>
    <s v="High Risk"/>
  </r>
  <r>
    <n v="1132"/>
    <s v="30-39"/>
    <s v="High Income"/>
    <n v="0"/>
    <n v="0"/>
    <s v="Bachelor"/>
    <x v="2"/>
    <s v="Elevated"/>
    <n v="20"/>
    <n v="5"/>
    <n v="0"/>
    <n v="18.75"/>
    <n v="15"/>
    <n v="59"/>
    <s v="High Risk"/>
  </r>
  <r>
    <n v="1133"/>
    <s v="30-39"/>
    <s v="High Income"/>
    <n v="0"/>
    <n v="0"/>
    <s v="Master"/>
    <x v="3"/>
    <s v="Normal"/>
    <n v="20"/>
    <n v="5"/>
    <n v="0"/>
    <n v="6.25"/>
    <n v="3"/>
    <n v="34"/>
    <s v="Low Risk"/>
  </r>
  <r>
    <n v="1135"/>
    <s v="30-39"/>
    <s v="High Income"/>
    <n v="0"/>
    <n v="0"/>
    <s v="Bachelor"/>
    <x v="1"/>
    <s v="Normal"/>
    <n v="20"/>
    <n v="5"/>
    <n v="0"/>
    <n v="6.25"/>
    <n v="25"/>
    <n v="56"/>
    <s v="High Risk"/>
  </r>
  <r>
    <n v="1136"/>
    <s v="Under 30"/>
    <s v="High Income"/>
    <n v="0"/>
    <n v="0"/>
    <s v="Below College"/>
    <x v="2"/>
    <s v="Elevated"/>
    <n v="30"/>
    <n v="5"/>
    <n v="0"/>
    <n v="18.75"/>
    <n v="15"/>
    <n v="69"/>
    <s v="High Risk"/>
  </r>
  <r>
    <n v="1137"/>
    <s v="30-39"/>
    <s v="High Income"/>
    <n v="0"/>
    <n v="0"/>
    <s v="College"/>
    <x v="2"/>
    <s v="Normal"/>
    <n v="20"/>
    <n v="5"/>
    <n v="0"/>
    <n v="6.25"/>
    <n v="15"/>
    <n v="46"/>
    <s v="Medium Risk"/>
  </r>
  <r>
    <n v="1138"/>
    <s v="40-49"/>
    <s v="High Income"/>
    <n v="0"/>
    <n v="0"/>
    <s v="Master"/>
    <x v="0"/>
    <s v="Normal"/>
    <n v="10"/>
    <n v="5"/>
    <n v="0"/>
    <n v="18.75"/>
    <n v="8"/>
    <n v="42"/>
    <s v="Medium Risk"/>
  </r>
  <r>
    <n v="1140"/>
    <s v="30-39"/>
    <s v="High Income"/>
    <n v="0"/>
    <n v="0"/>
    <s v="College"/>
    <x v="2"/>
    <s v="Elevated"/>
    <n v="20"/>
    <n v="5"/>
    <n v="0"/>
    <n v="12.5"/>
    <n v="15"/>
    <n v="53"/>
    <s v="Medium Risk"/>
  </r>
  <r>
    <n v="1143"/>
    <s v="Under 30"/>
    <s v="High Income"/>
    <n v="0"/>
    <n v="0"/>
    <s v="Bachelor"/>
    <x v="0"/>
    <s v="Elevated"/>
    <n v="30"/>
    <n v="5"/>
    <n v="0"/>
    <n v="18.75"/>
    <n v="8"/>
    <n v="62"/>
    <s v="High Risk"/>
  </r>
  <r>
    <n v="1148"/>
    <s v="40-49"/>
    <s v="High Income"/>
    <n v="0"/>
    <n v="0"/>
    <s v="Bachelor"/>
    <x v="1"/>
    <s v="Normal"/>
    <n v="10"/>
    <n v="5"/>
    <n v="0"/>
    <n v="6.25"/>
    <n v="25"/>
    <n v="46"/>
    <s v="Medium Risk"/>
  </r>
  <r>
    <n v="1150"/>
    <s v="Under 30"/>
    <s v="High Income"/>
    <n v="0"/>
    <n v="1"/>
    <s v="Below College"/>
    <x v="0"/>
    <s v="Elevated"/>
    <n v="30"/>
    <n v="5"/>
    <n v="25"/>
    <n v="6.25"/>
    <n v="8"/>
    <n v="74"/>
    <s v="High Risk"/>
  </r>
  <r>
    <n v="1152"/>
    <s v="30-39"/>
    <s v="High Income"/>
    <n v="0"/>
    <n v="0"/>
    <s v="Bachelor"/>
    <x v="0"/>
    <s v="Normal"/>
    <n v="20"/>
    <n v="5"/>
    <n v="0"/>
    <n v="12.5"/>
    <n v="8"/>
    <n v="46"/>
    <s v="Medium Risk"/>
  </r>
  <r>
    <n v="1154"/>
    <s v="Under 30"/>
    <s v="High Income"/>
    <n v="0"/>
    <n v="1"/>
    <s v="Bachelor"/>
    <x v="2"/>
    <s v="Normal"/>
    <n v="30"/>
    <n v="5"/>
    <n v="25"/>
    <n v="12.5"/>
    <n v="15"/>
    <n v="88"/>
    <s v="High Risk"/>
  </r>
  <r>
    <n v="1156"/>
    <s v="Under 30"/>
    <s v="High Income"/>
    <n v="1"/>
    <n v="0"/>
    <s v="Below College"/>
    <x v="1"/>
    <s v="Normal"/>
    <n v="30"/>
    <n v="5"/>
    <n v="0"/>
    <n v="12.5"/>
    <n v="25"/>
    <n v="73"/>
    <s v="High Risk"/>
  </r>
  <r>
    <n v="1157"/>
    <s v="30-39"/>
    <s v="High Income"/>
    <n v="1"/>
    <n v="1"/>
    <s v="Master"/>
    <x v="2"/>
    <s v="Normal"/>
    <n v="20"/>
    <n v="5"/>
    <n v="25"/>
    <n v="25"/>
    <n v="15"/>
    <n v="90"/>
    <s v="High Risk"/>
  </r>
  <r>
    <n v="1158"/>
    <s v="40-49"/>
    <s v="High Income"/>
    <n v="0"/>
    <n v="1"/>
    <s v="Master"/>
    <x v="1"/>
    <s v="Normal"/>
    <n v="10"/>
    <n v="5"/>
    <n v="25"/>
    <n v="6.25"/>
    <n v="25"/>
    <n v="71"/>
    <s v="High Risk"/>
  </r>
  <r>
    <n v="1160"/>
    <s v="30-39"/>
    <s v="High Income"/>
    <n v="1"/>
    <n v="0"/>
    <s v="Bachelor"/>
    <x v="1"/>
    <s v="Elevated"/>
    <n v="20"/>
    <n v="5"/>
    <n v="0"/>
    <n v="12.5"/>
    <n v="25"/>
    <n v="63"/>
    <s v="High Risk"/>
  </r>
  <r>
    <n v="1161"/>
    <s v="30-39"/>
    <s v="High Income"/>
    <n v="0"/>
    <n v="0"/>
    <s v="College"/>
    <x v="0"/>
    <s v="Normal"/>
    <n v="20"/>
    <n v="5"/>
    <n v="0"/>
    <n v="6.25"/>
    <n v="8"/>
    <n v="39"/>
    <s v="Medium Risk"/>
  </r>
  <r>
    <n v="1162"/>
    <s v="Under 30"/>
    <s v="High Income"/>
    <n v="0"/>
    <n v="0"/>
    <s v="Bachelor"/>
    <x v="2"/>
    <s v="Normal"/>
    <n v="30"/>
    <n v="5"/>
    <n v="0"/>
    <n v="12.5"/>
    <n v="15"/>
    <n v="63"/>
    <s v="High Risk"/>
  </r>
  <r>
    <n v="1163"/>
    <s v="30-39"/>
    <s v="High Income"/>
    <n v="0"/>
    <n v="0"/>
    <s v="Below College"/>
    <x v="0"/>
    <s v="Elevated"/>
    <n v="20"/>
    <n v="5"/>
    <n v="0"/>
    <n v="12.5"/>
    <n v="8"/>
    <n v="46"/>
    <s v="Medium Risk"/>
  </r>
  <r>
    <n v="1164"/>
    <s v="30-39"/>
    <s v="High Income"/>
    <n v="0"/>
    <n v="0"/>
    <s v="Master"/>
    <x v="2"/>
    <s v="Elevated"/>
    <n v="20"/>
    <n v="5"/>
    <n v="0"/>
    <n v="12.5"/>
    <n v="15"/>
    <n v="53"/>
    <s v="Medium Risk"/>
  </r>
  <r>
    <n v="1165"/>
    <s v="Under 30"/>
    <s v="High Income"/>
    <n v="1"/>
    <n v="0"/>
    <s v="Below College"/>
    <x v="3"/>
    <s v="Elevated"/>
    <n v="30"/>
    <n v="5"/>
    <n v="0"/>
    <n v="25"/>
    <n v="3"/>
    <n v="63"/>
    <s v="High Risk"/>
  </r>
  <r>
    <n v="1166"/>
    <s v="40-49"/>
    <s v="High Income"/>
    <n v="0"/>
    <n v="0"/>
    <s v="Master"/>
    <x v="3"/>
    <s v="Elevated"/>
    <n v="10"/>
    <n v="5"/>
    <n v="0"/>
    <n v="12.5"/>
    <n v="3"/>
    <n v="31"/>
    <s v="Low Risk"/>
  </r>
  <r>
    <n v="1167"/>
    <s v="40-49"/>
    <s v="High Income"/>
    <n v="1"/>
    <n v="1"/>
    <s v="Bachelor"/>
    <x v="3"/>
    <s v="Elevated"/>
    <n v="10"/>
    <n v="5"/>
    <n v="25"/>
    <n v="25"/>
    <n v="3"/>
    <n v="68"/>
    <s v="High Risk"/>
  </r>
  <r>
    <n v="1171"/>
    <s v="40-49"/>
    <s v="High Income"/>
    <n v="0"/>
    <n v="0"/>
    <s v="Master"/>
    <x v="0"/>
    <s v="Normal"/>
    <n v="10"/>
    <n v="5"/>
    <n v="0"/>
    <n v="25"/>
    <n v="8"/>
    <n v="48"/>
    <s v="Medium Risk"/>
  </r>
  <r>
    <n v="1172"/>
    <s v="30-39"/>
    <s v="High Income"/>
    <n v="0"/>
    <n v="0"/>
    <s v="Master"/>
    <x v="0"/>
    <s v="Normal"/>
    <n v="20"/>
    <n v="5"/>
    <n v="0"/>
    <n v="12.5"/>
    <n v="8"/>
    <n v="46"/>
    <s v="Medium Risk"/>
  </r>
  <r>
    <n v="1173"/>
    <s v="Under 30"/>
    <s v="High Income"/>
    <n v="0"/>
    <n v="0"/>
    <s v="Bachelor"/>
    <x v="2"/>
    <s v="Normal"/>
    <n v="30"/>
    <n v="5"/>
    <n v="0"/>
    <n v="18.75"/>
    <n v="15"/>
    <n v="69"/>
    <s v="High Risk"/>
  </r>
  <r>
    <n v="1175"/>
    <s v="Under 30"/>
    <s v="High Income"/>
    <n v="1"/>
    <n v="1"/>
    <s v="Below College"/>
    <x v="1"/>
    <s v="Elevated"/>
    <n v="30"/>
    <n v="5"/>
    <n v="25"/>
    <n v="6.25"/>
    <n v="25"/>
    <n v="91"/>
    <s v="High Risk"/>
  </r>
  <r>
    <n v="1177"/>
    <s v="Under 30"/>
    <s v="High Income"/>
    <n v="0"/>
    <n v="0"/>
    <s v="Master"/>
    <x v="0"/>
    <s v="Normal"/>
    <n v="30"/>
    <n v="5"/>
    <n v="0"/>
    <n v="6.25"/>
    <n v="8"/>
    <n v="49"/>
    <s v="Medium Risk"/>
  </r>
  <r>
    <n v="1179"/>
    <s v="30-39"/>
    <s v="High Income"/>
    <n v="0"/>
    <n v="0"/>
    <s v="Bachelor"/>
    <x v="0"/>
    <s v="Normal"/>
    <n v="20"/>
    <n v="5"/>
    <n v="0"/>
    <n v="12.5"/>
    <n v="8"/>
    <n v="46"/>
    <s v="Medium Risk"/>
  </r>
  <r>
    <n v="1180"/>
    <s v="40-49"/>
    <s v="High Income"/>
    <n v="0"/>
    <n v="1"/>
    <s v="College"/>
    <x v="1"/>
    <s v="Elevated"/>
    <n v="10"/>
    <n v="5"/>
    <n v="25"/>
    <n v="6.25"/>
    <n v="25"/>
    <n v="71"/>
    <s v="High Risk"/>
  </r>
  <r>
    <n v="1182"/>
    <s v="30-39"/>
    <s v="High Income"/>
    <n v="0"/>
    <n v="0"/>
    <s v="Bachelor"/>
    <x v="0"/>
    <s v="Normal"/>
    <n v="20"/>
    <n v="5"/>
    <n v="0"/>
    <n v="18.75"/>
    <n v="8"/>
    <n v="52"/>
    <s v="Medium Risk"/>
  </r>
  <r>
    <n v="1184"/>
    <s v="30-39"/>
    <s v="High Income"/>
    <n v="0"/>
    <n v="0"/>
    <s v="Bachelor"/>
    <x v="3"/>
    <s v="Normal"/>
    <n v="20"/>
    <n v="5"/>
    <n v="0"/>
    <n v="25"/>
    <n v="3"/>
    <n v="53"/>
    <s v="Medium Risk"/>
  </r>
  <r>
    <n v="1185"/>
    <s v="30-39"/>
    <s v="High Income"/>
    <n v="0"/>
    <n v="0"/>
    <s v="Master"/>
    <x v="1"/>
    <s v="Normal"/>
    <n v="20"/>
    <n v="5"/>
    <n v="0"/>
    <n v="6.25"/>
    <n v="25"/>
    <n v="56"/>
    <s v="High Risk"/>
  </r>
  <r>
    <n v="1188"/>
    <s v="40-49"/>
    <s v="High Income"/>
    <n v="1"/>
    <n v="0"/>
    <s v="Bachelor"/>
    <x v="2"/>
    <s v="Elevated"/>
    <n v="10"/>
    <n v="5"/>
    <n v="0"/>
    <n v="12.5"/>
    <n v="15"/>
    <n v="43"/>
    <s v="Medium Risk"/>
  </r>
  <r>
    <n v="1190"/>
    <s v="30-39"/>
    <s v="High Income"/>
    <n v="0"/>
    <n v="0"/>
    <s v="Below College"/>
    <x v="1"/>
    <s v="Normal"/>
    <n v="20"/>
    <n v="5"/>
    <n v="0"/>
    <n v="25"/>
    <n v="25"/>
    <n v="75"/>
    <s v="High Risk"/>
  </r>
  <r>
    <n v="1191"/>
    <s v="50+"/>
    <s v="High Income"/>
    <n v="0"/>
    <n v="0"/>
    <s v="Master"/>
    <x v="2"/>
    <s v="Normal"/>
    <n v="15"/>
    <n v="5"/>
    <n v="0"/>
    <n v="25"/>
    <n v="15"/>
    <n v="60"/>
    <s v="High Risk"/>
  </r>
  <r>
    <n v="1192"/>
    <s v="Under 30"/>
    <s v="High Income"/>
    <n v="0"/>
    <n v="0"/>
    <s v="Below College"/>
    <x v="0"/>
    <s v="Normal"/>
    <n v="30"/>
    <n v="5"/>
    <n v="0"/>
    <n v="6.25"/>
    <n v="8"/>
    <n v="49"/>
    <s v="Medium Risk"/>
  </r>
  <r>
    <n v="1193"/>
    <s v="Under 30"/>
    <s v="High Income"/>
    <n v="0"/>
    <n v="0"/>
    <s v="College"/>
    <x v="1"/>
    <s v="Normal"/>
    <n v="30"/>
    <n v="5"/>
    <n v="0"/>
    <n v="25"/>
    <n v="25"/>
    <n v="85"/>
    <s v="High Risk"/>
  </r>
  <r>
    <n v="1195"/>
    <s v="40-49"/>
    <s v="High Income"/>
    <n v="0"/>
    <n v="1"/>
    <s v="Bachelor"/>
    <x v="2"/>
    <s v="Elevated"/>
    <n v="10"/>
    <n v="5"/>
    <n v="25"/>
    <n v="12.5"/>
    <n v="15"/>
    <n v="68"/>
    <s v="High Risk"/>
  </r>
  <r>
    <n v="1196"/>
    <s v="30-39"/>
    <s v="High Income"/>
    <n v="0"/>
    <n v="0"/>
    <s v="Bachelor"/>
    <x v="3"/>
    <s v="Elevated"/>
    <n v="20"/>
    <n v="5"/>
    <n v="0"/>
    <n v="6.25"/>
    <n v="3"/>
    <n v="34"/>
    <s v="Low Risk"/>
  </r>
  <r>
    <n v="1198"/>
    <s v="Under 30"/>
    <s v="High Income"/>
    <n v="0"/>
    <n v="0"/>
    <s v="Bachelor"/>
    <x v="1"/>
    <s v="Elevated"/>
    <n v="30"/>
    <n v="5"/>
    <n v="0"/>
    <n v="12.5"/>
    <n v="25"/>
    <n v="73"/>
    <s v="High Risk"/>
  </r>
  <r>
    <n v="1200"/>
    <s v="40-49"/>
    <s v="High Income"/>
    <n v="1"/>
    <n v="1"/>
    <s v="Master"/>
    <x v="0"/>
    <s v="Normal"/>
    <n v="10"/>
    <n v="5"/>
    <n v="25"/>
    <n v="12.5"/>
    <n v="8"/>
    <n v="61"/>
    <s v="High Risk"/>
  </r>
  <r>
    <n v="1201"/>
    <s v="50+"/>
    <s v="High Income"/>
    <n v="0"/>
    <n v="0"/>
    <s v="College"/>
    <x v="0"/>
    <s v="Normal"/>
    <n v="15"/>
    <n v="5"/>
    <n v="0"/>
    <n v="12.5"/>
    <n v="8"/>
    <n v="41"/>
    <s v="Medium Risk"/>
  </r>
  <r>
    <n v="1202"/>
    <s v="Under 30"/>
    <s v="High Income"/>
    <n v="0"/>
    <n v="1"/>
    <s v="Below College"/>
    <x v="2"/>
    <s v="Elevated"/>
    <n v="30"/>
    <n v="5"/>
    <n v="25"/>
    <n v="6.25"/>
    <n v="15"/>
    <n v="81"/>
    <s v="High Risk"/>
  </r>
  <r>
    <n v="1203"/>
    <s v="Under 30"/>
    <s v="High Income"/>
    <n v="1"/>
    <n v="1"/>
    <s v="Master"/>
    <x v="1"/>
    <s v="Normal"/>
    <n v="30"/>
    <n v="5"/>
    <n v="25"/>
    <n v="6.25"/>
    <n v="25"/>
    <n v="91"/>
    <s v="High Risk"/>
  </r>
  <r>
    <n v="1204"/>
    <s v="40-49"/>
    <s v="High Income"/>
    <n v="0"/>
    <n v="0"/>
    <s v="Bachelor"/>
    <x v="3"/>
    <s v="Normal"/>
    <n v="10"/>
    <n v="5"/>
    <n v="0"/>
    <n v="25"/>
    <n v="3"/>
    <n v="43"/>
    <s v="Medium Risk"/>
  </r>
  <r>
    <n v="1206"/>
    <s v="40-49"/>
    <s v="High Income"/>
    <n v="0"/>
    <n v="0"/>
    <s v="Bachelor"/>
    <x v="1"/>
    <s v="Normal"/>
    <n v="10"/>
    <n v="5"/>
    <n v="0"/>
    <n v="12.5"/>
    <n v="25"/>
    <n v="53"/>
    <s v="Medium Risk"/>
  </r>
  <r>
    <n v="1207"/>
    <s v="30-39"/>
    <s v="High Income"/>
    <n v="0"/>
    <n v="0"/>
    <s v="Bachelor"/>
    <x v="2"/>
    <s v="Normal"/>
    <n v="20"/>
    <n v="5"/>
    <n v="0"/>
    <n v="12.5"/>
    <n v="15"/>
    <n v="53"/>
    <s v="Medium Risk"/>
  </r>
  <r>
    <n v="1210"/>
    <s v="40-49"/>
    <s v="High Income"/>
    <n v="1"/>
    <n v="0"/>
    <s v="College"/>
    <x v="1"/>
    <s v="Elevated"/>
    <n v="10"/>
    <n v="5"/>
    <n v="0"/>
    <n v="25"/>
    <n v="25"/>
    <n v="65"/>
    <s v="High Risk"/>
  </r>
  <r>
    <n v="1211"/>
    <s v="30-39"/>
    <s v="High Income"/>
    <n v="0"/>
    <n v="0"/>
    <s v="Master"/>
    <x v="2"/>
    <s v="Normal"/>
    <n v="20"/>
    <n v="5"/>
    <n v="0"/>
    <n v="25"/>
    <n v="15"/>
    <n v="65"/>
    <s v="High Risk"/>
  </r>
  <r>
    <n v="1212"/>
    <s v="40-49"/>
    <s v="High Income"/>
    <n v="0"/>
    <n v="0"/>
    <s v="Master"/>
    <x v="1"/>
    <s v="Normal"/>
    <n v="10"/>
    <n v="5"/>
    <n v="0"/>
    <n v="18.75"/>
    <n v="25"/>
    <n v="59"/>
    <s v="High Risk"/>
  </r>
  <r>
    <n v="1215"/>
    <s v="50+"/>
    <s v="High Income"/>
    <n v="0"/>
    <n v="0"/>
    <s v="Bachelor"/>
    <x v="1"/>
    <s v="Normal"/>
    <n v="15"/>
    <n v="5"/>
    <n v="0"/>
    <n v="25"/>
    <n v="25"/>
    <n v="70"/>
    <s v="High Risk"/>
  </r>
  <r>
    <n v="1216"/>
    <s v="Under 30"/>
    <s v="High Income"/>
    <n v="0"/>
    <n v="0"/>
    <s v="Master"/>
    <x v="0"/>
    <s v="Normal"/>
    <n v="30"/>
    <n v="5"/>
    <n v="0"/>
    <n v="25"/>
    <n v="8"/>
    <n v="68"/>
    <s v="High Risk"/>
  </r>
  <r>
    <n v="1217"/>
    <s v="40-49"/>
    <s v="High Income"/>
    <n v="0"/>
    <n v="0"/>
    <s v="College"/>
    <x v="2"/>
    <s v="Normal"/>
    <n v="10"/>
    <n v="5"/>
    <n v="0"/>
    <n v="18.75"/>
    <n v="15"/>
    <n v="49"/>
    <s v="Medium Risk"/>
  </r>
  <r>
    <n v="1218"/>
    <s v="30-39"/>
    <s v="High Income"/>
    <n v="0"/>
    <n v="1"/>
    <s v="Master"/>
    <x v="0"/>
    <s v="Normal"/>
    <n v="20"/>
    <n v="5"/>
    <n v="25"/>
    <n v="25"/>
    <n v="8"/>
    <n v="83"/>
    <s v="High Risk"/>
  </r>
  <r>
    <n v="1219"/>
    <s v="Under 30"/>
    <s v="High Income"/>
    <n v="1"/>
    <n v="0"/>
    <s v="College"/>
    <x v="1"/>
    <s v="Elevated"/>
    <n v="30"/>
    <n v="5"/>
    <n v="0"/>
    <n v="18.75"/>
    <n v="25"/>
    <n v="79"/>
    <s v="High Risk"/>
  </r>
  <r>
    <n v="1220"/>
    <s v="30-39"/>
    <s v="High Income"/>
    <n v="0"/>
    <n v="0"/>
    <s v="Bachelor"/>
    <x v="0"/>
    <s v="Elevated"/>
    <n v="20"/>
    <n v="5"/>
    <n v="0"/>
    <n v="12.5"/>
    <n v="8"/>
    <n v="46"/>
    <s v="Medium Risk"/>
  </r>
  <r>
    <n v="1221"/>
    <s v="30-39"/>
    <s v="High Income"/>
    <n v="0"/>
    <n v="0"/>
    <s v="Master"/>
    <x v="0"/>
    <s v="Normal"/>
    <n v="20"/>
    <n v="5"/>
    <n v="0"/>
    <n v="12.5"/>
    <n v="8"/>
    <n v="46"/>
    <s v="Medium Risk"/>
  </r>
  <r>
    <n v="1224"/>
    <s v="30-39"/>
    <s v="High Income"/>
    <n v="0"/>
    <n v="0"/>
    <s v="Master"/>
    <x v="0"/>
    <s v="Elevated"/>
    <n v="20"/>
    <n v="5"/>
    <n v="0"/>
    <n v="12.5"/>
    <n v="8"/>
    <n v="46"/>
    <s v="Medium Risk"/>
  </r>
  <r>
    <n v="1225"/>
    <s v="40-49"/>
    <s v="High Income"/>
    <n v="0"/>
    <n v="0"/>
    <s v="Master"/>
    <x v="3"/>
    <s v="Normal"/>
    <n v="10"/>
    <n v="5"/>
    <n v="0"/>
    <n v="6.25"/>
    <n v="3"/>
    <n v="24"/>
    <s v="Low Risk"/>
  </r>
  <r>
    <n v="1226"/>
    <s v="Under 30"/>
    <s v="High Income"/>
    <n v="0"/>
    <n v="0"/>
    <s v="Bachelor"/>
    <x v="1"/>
    <s v="Normal"/>
    <n v="30"/>
    <n v="5"/>
    <n v="0"/>
    <n v="6.25"/>
    <n v="25"/>
    <n v="66"/>
    <s v="High Risk"/>
  </r>
  <r>
    <n v="1228"/>
    <s v="40-49"/>
    <s v="High Income"/>
    <n v="0"/>
    <n v="0"/>
    <s v="Master"/>
    <x v="0"/>
    <s v="Elevated"/>
    <n v="10"/>
    <n v="5"/>
    <n v="0"/>
    <n v="6.25"/>
    <n v="8"/>
    <n v="29"/>
    <s v="Low Risk"/>
  </r>
  <r>
    <n v="1231"/>
    <s v="40-49"/>
    <s v="High Income"/>
    <n v="0"/>
    <n v="0"/>
    <s v="Doctor"/>
    <x v="2"/>
    <s v="Normal"/>
    <n v="10"/>
    <n v="5"/>
    <n v="0"/>
    <n v="25"/>
    <n v="15"/>
    <n v="55"/>
    <s v="High Risk"/>
  </r>
  <r>
    <n v="1233"/>
    <s v="50+"/>
    <s v="High Income"/>
    <n v="0"/>
    <n v="1"/>
    <s v="Master"/>
    <x v="3"/>
    <s v="Normal"/>
    <n v="15"/>
    <n v="5"/>
    <n v="25"/>
    <n v="6.25"/>
    <n v="3"/>
    <n v="54"/>
    <s v="Medium Risk"/>
  </r>
  <r>
    <n v="1234"/>
    <s v="30-39"/>
    <s v="High Income"/>
    <n v="0"/>
    <n v="0"/>
    <s v="Bachelor"/>
    <x v="1"/>
    <s v="Normal"/>
    <n v="20"/>
    <n v="5"/>
    <n v="0"/>
    <n v="18.75"/>
    <n v="25"/>
    <n v="69"/>
    <s v="High Risk"/>
  </r>
  <r>
    <n v="1235"/>
    <s v="30-39"/>
    <s v="High Income"/>
    <n v="0"/>
    <n v="1"/>
    <s v="College"/>
    <x v="0"/>
    <s v="Normal"/>
    <n v="20"/>
    <n v="5"/>
    <n v="25"/>
    <n v="12.5"/>
    <n v="8"/>
    <n v="71"/>
    <s v="High Risk"/>
  </r>
  <r>
    <n v="1237"/>
    <s v="30-39"/>
    <s v="High Income"/>
    <n v="0"/>
    <n v="1"/>
    <s v="Bachelor"/>
    <x v="0"/>
    <s v="Normal"/>
    <n v="20"/>
    <n v="5"/>
    <n v="25"/>
    <n v="25"/>
    <n v="8"/>
    <n v="83"/>
    <s v="High Risk"/>
  </r>
  <r>
    <n v="1238"/>
    <s v="30-39"/>
    <s v="High Income"/>
    <n v="0"/>
    <n v="0"/>
    <s v="Bachelor"/>
    <x v="3"/>
    <s v="Normal"/>
    <n v="20"/>
    <n v="5"/>
    <n v="0"/>
    <n v="6.25"/>
    <n v="3"/>
    <n v="34"/>
    <s v="Low Risk"/>
  </r>
  <r>
    <n v="1239"/>
    <s v="40-49"/>
    <s v="High Income"/>
    <n v="0"/>
    <n v="0"/>
    <s v="Bachelor"/>
    <x v="2"/>
    <s v="Normal"/>
    <n v="10"/>
    <n v="5"/>
    <n v="0"/>
    <n v="18.75"/>
    <n v="15"/>
    <n v="49"/>
    <s v="Medium Risk"/>
  </r>
  <r>
    <n v="1240"/>
    <s v="Under 30"/>
    <s v="High Income"/>
    <n v="0"/>
    <n v="0"/>
    <s v="Master"/>
    <x v="2"/>
    <s v="Normal"/>
    <n v="30"/>
    <n v="5"/>
    <n v="0"/>
    <n v="6.25"/>
    <n v="15"/>
    <n v="56"/>
    <s v="High Risk"/>
  </r>
  <r>
    <n v="1241"/>
    <s v="30-39"/>
    <s v="High Income"/>
    <n v="0"/>
    <n v="1"/>
    <s v="Bachelor"/>
    <x v="3"/>
    <s v="Normal"/>
    <n v="20"/>
    <n v="5"/>
    <n v="25"/>
    <n v="18.75"/>
    <n v="3"/>
    <n v="72"/>
    <s v="High Risk"/>
  </r>
  <r>
    <n v="1242"/>
    <s v="40-49"/>
    <s v="High Income"/>
    <n v="0"/>
    <n v="1"/>
    <s v="Doctor"/>
    <x v="1"/>
    <s v="Normal"/>
    <n v="10"/>
    <n v="5"/>
    <n v="25"/>
    <n v="25"/>
    <n v="25"/>
    <n v="90"/>
    <s v="High Risk"/>
  </r>
  <r>
    <n v="1243"/>
    <s v="30-39"/>
    <s v="High Income"/>
    <n v="0"/>
    <n v="1"/>
    <s v="College"/>
    <x v="3"/>
    <s v="Elevated"/>
    <n v="20"/>
    <n v="5"/>
    <n v="25"/>
    <n v="6.25"/>
    <n v="3"/>
    <n v="59"/>
    <s v="High Risk"/>
  </r>
  <r>
    <n v="1244"/>
    <s v="Under 30"/>
    <s v="High Income"/>
    <n v="0"/>
    <n v="1"/>
    <s v="Bachelor"/>
    <x v="0"/>
    <s v="Elevated"/>
    <n v="30"/>
    <n v="5"/>
    <n v="25"/>
    <n v="25"/>
    <n v="8"/>
    <n v="93"/>
    <s v="High Risk"/>
  </r>
  <r>
    <n v="1245"/>
    <s v="50+"/>
    <s v="High Income"/>
    <n v="0"/>
    <n v="0"/>
    <s v="Master"/>
    <x v="2"/>
    <s v="Elevated"/>
    <n v="15"/>
    <n v="5"/>
    <n v="0"/>
    <n v="12.5"/>
    <n v="15"/>
    <n v="48"/>
    <s v="Medium Risk"/>
  </r>
  <r>
    <n v="1246"/>
    <s v="40-49"/>
    <s v="High Income"/>
    <n v="0"/>
    <n v="0"/>
    <s v="Below College"/>
    <x v="0"/>
    <s v="Normal"/>
    <n v="10"/>
    <n v="5"/>
    <n v="0"/>
    <n v="6.25"/>
    <n v="8"/>
    <n v="29"/>
    <s v="Low Risk"/>
  </r>
  <r>
    <n v="1248"/>
    <s v="Under 30"/>
    <s v="High Income"/>
    <n v="1"/>
    <n v="1"/>
    <s v="Bachelor"/>
    <x v="1"/>
    <s v="Normal"/>
    <n v="30"/>
    <n v="5"/>
    <n v="25"/>
    <n v="18.75"/>
    <n v="25"/>
    <n v="104"/>
    <s v="High Risk"/>
  </r>
  <r>
    <n v="1249"/>
    <s v="Under 30"/>
    <s v="High Income"/>
    <n v="0"/>
    <n v="0"/>
    <s v="Bachelor"/>
    <x v="2"/>
    <s v="Normal"/>
    <n v="30"/>
    <n v="5"/>
    <n v="0"/>
    <n v="6.25"/>
    <n v="15"/>
    <n v="56"/>
    <s v="High Risk"/>
  </r>
  <r>
    <n v="1250"/>
    <s v="50+"/>
    <s v="High Income"/>
    <n v="0"/>
    <n v="0"/>
    <s v="Bachelor"/>
    <x v="0"/>
    <s v="Normal"/>
    <n v="15"/>
    <n v="5"/>
    <n v="0"/>
    <n v="6.25"/>
    <n v="8"/>
    <n v="34"/>
    <s v="Low Risk"/>
  </r>
  <r>
    <n v="1251"/>
    <s v="30-39"/>
    <s v="High Income"/>
    <n v="0"/>
    <n v="1"/>
    <s v="College"/>
    <x v="0"/>
    <s v="Elevated"/>
    <n v="20"/>
    <n v="5"/>
    <n v="25"/>
    <n v="25"/>
    <n v="8"/>
    <n v="83"/>
    <s v="High Risk"/>
  </r>
  <r>
    <n v="1252"/>
    <s v="30-39"/>
    <s v="High Income"/>
    <n v="0"/>
    <n v="0"/>
    <s v="Bachelor"/>
    <x v="0"/>
    <s v="Normal"/>
    <n v="20"/>
    <n v="5"/>
    <n v="0"/>
    <n v="25"/>
    <n v="8"/>
    <n v="58"/>
    <s v="High Risk"/>
  </r>
  <r>
    <n v="1254"/>
    <s v="50+"/>
    <s v="High Income"/>
    <n v="0"/>
    <n v="0"/>
    <s v="Bachelor"/>
    <x v="0"/>
    <s v="Normal"/>
    <n v="15"/>
    <n v="5"/>
    <n v="0"/>
    <n v="6.25"/>
    <n v="8"/>
    <n v="34"/>
    <s v="Low Risk"/>
  </r>
  <r>
    <n v="1255"/>
    <s v="40-49"/>
    <s v="High Income"/>
    <n v="0"/>
    <n v="0"/>
    <s v="Bachelor"/>
    <x v="0"/>
    <s v="Normal"/>
    <n v="10"/>
    <n v="5"/>
    <n v="0"/>
    <n v="6.25"/>
    <n v="8"/>
    <n v="29"/>
    <s v="Low Risk"/>
  </r>
  <r>
    <n v="1256"/>
    <s v="40-49"/>
    <s v="High Income"/>
    <n v="0"/>
    <n v="0"/>
    <s v="College"/>
    <x v="1"/>
    <s v="Normal"/>
    <n v="10"/>
    <n v="5"/>
    <n v="0"/>
    <n v="12.5"/>
    <n v="25"/>
    <n v="53"/>
    <s v="Medium Risk"/>
  </r>
  <r>
    <n v="1257"/>
    <s v="30-39"/>
    <s v="High Income"/>
    <n v="0"/>
    <n v="0"/>
    <s v="Bachelor"/>
    <x v="3"/>
    <s v="Elevated"/>
    <n v="20"/>
    <n v="5"/>
    <n v="0"/>
    <n v="18.75"/>
    <n v="3"/>
    <n v="47"/>
    <s v="Medium Risk"/>
  </r>
  <r>
    <n v="1258"/>
    <s v="40-49"/>
    <s v="High Income"/>
    <n v="0"/>
    <n v="0"/>
    <s v="College"/>
    <x v="1"/>
    <s v="Elevated"/>
    <n v="10"/>
    <n v="5"/>
    <n v="0"/>
    <n v="18.75"/>
    <n v="25"/>
    <n v="59"/>
    <s v="High Risk"/>
  </r>
  <r>
    <n v="1259"/>
    <s v="Under 30"/>
    <s v="High Income"/>
    <n v="0"/>
    <n v="0"/>
    <s v="College"/>
    <x v="2"/>
    <s v="Normal"/>
    <n v="30"/>
    <n v="5"/>
    <n v="0"/>
    <n v="12.5"/>
    <n v="15"/>
    <n v="63"/>
    <s v="High Risk"/>
  </r>
  <r>
    <n v="1260"/>
    <s v="Under 30"/>
    <s v="High Income"/>
    <n v="0"/>
    <n v="1"/>
    <s v="Bachelor"/>
    <x v="0"/>
    <s v="Normal"/>
    <n v="30"/>
    <n v="5"/>
    <n v="25"/>
    <n v="6.25"/>
    <n v="8"/>
    <n v="74"/>
    <s v="High Risk"/>
  </r>
  <r>
    <n v="1263"/>
    <s v="40-49"/>
    <s v="High Income"/>
    <n v="0"/>
    <n v="0"/>
    <s v="Bachelor"/>
    <x v="1"/>
    <s v="Normal"/>
    <n v="10"/>
    <n v="5"/>
    <n v="0"/>
    <n v="6.25"/>
    <n v="25"/>
    <n v="46"/>
    <s v="Medium Risk"/>
  </r>
  <r>
    <n v="1264"/>
    <s v="Under 30"/>
    <s v="High Income"/>
    <n v="0"/>
    <n v="0"/>
    <s v="Bachelor"/>
    <x v="0"/>
    <s v="Elevated"/>
    <n v="30"/>
    <n v="5"/>
    <n v="0"/>
    <n v="6.25"/>
    <n v="8"/>
    <n v="49"/>
    <s v="Medium Risk"/>
  </r>
  <r>
    <n v="1265"/>
    <s v="30-39"/>
    <s v="High Income"/>
    <n v="0"/>
    <n v="0"/>
    <s v="Bachelor"/>
    <x v="1"/>
    <s v="Elevated"/>
    <n v="20"/>
    <n v="5"/>
    <n v="0"/>
    <n v="12.5"/>
    <n v="25"/>
    <n v="63"/>
    <s v="High Risk"/>
  </r>
  <r>
    <n v="1267"/>
    <s v="40-49"/>
    <s v="High Income"/>
    <n v="0"/>
    <n v="0"/>
    <s v="Bachelor"/>
    <x v="3"/>
    <s v="Normal"/>
    <n v="10"/>
    <n v="5"/>
    <n v="0"/>
    <n v="18.75"/>
    <n v="3"/>
    <n v="37"/>
    <s v="Medium Risk"/>
  </r>
  <r>
    <n v="1268"/>
    <s v="30-39"/>
    <s v="High Income"/>
    <n v="0"/>
    <n v="1"/>
    <s v="Doctor"/>
    <x v="0"/>
    <s v="Normal"/>
    <n v="20"/>
    <n v="5"/>
    <n v="25"/>
    <n v="12.5"/>
    <n v="8"/>
    <n v="71"/>
    <s v="High Risk"/>
  </r>
  <r>
    <n v="1269"/>
    <s v="Under 30"/>
    <s v="High Income"/>
    <n v="0"/>
    <n v="1"/>
    <s v="Bachelor"/>
    <x v="1"/>
    <s v="Normal"/>
    <n v="30"/>
    <n v="5"/>
    <n v="25"/>
    <n v="6.25"/>
    <n v="25"/>
    <n v="91"/>
    <s v="High Risk"/>
  </r>
  <r>
    <n v="1270"/>
    <s v="Under 30"/>
    <s v="High Income"/>
    <n v="0"/>
    <n v="0"/>
    <s v="College"/>
    <x v="1"/>
    <s v="Normal"/>
    <n v="30"/>
    <n v="5"/>
    <n v="0"/>
    <n v="12.5"/>
    <n v="25"/>
    <n v="73"/>
    <s v="High Risk"/>
  </r>
  <r>
    <n v="1273"/>
    <s v="Under 30"/>
    <s v="High Income"/>
    <n v="1"/>
    <n v="1"/>
    <s v="Below College"/>
    <x v="1"/>
    <s v="Normal"/>
    <n v="30"/>
    <n v="5"/>
    <n v="25"/>
    <n v="6.25"/>
    <n v="25"/>
    <n v="91"/>
    <s v="High Risk"/>
  </r>
  <r>
    <n v="1275"/>
    <s v="Under 30"/>
    <s v="High Income"/>
    <n v="0"/>
    <n v="1"/>
    <s v="College"/>
    <x v="0"/>
    <s v="Elevated"/>
    <n v="30"/>
    <n v="5"/>
    <n v="25"/>
    <n v="6.25"/>
    <n v="8"/>
    <n v="74"/>
    <s v="High Risk"/>
  </r>
  <r>
    <n v="1277"/>
    <s v="40-49"/>
    <s v="High Income"/>
    <n v="1"/>
    <n v="1"/>
    <s v="Bachelor"/>
    <x v="3"/>
    <s v="Normal"/>
    <n v="10"/>
    <n v="5"/>
    <n v="25"/>
    <n v="18.75"/>
    <n v="3"/>
    <n v="62"/>
    <s v="High Risk"/>
  </r>
  <r>
    <n v="1278"/>
    <s v="50+"/>
    <s v="High Income"/>
    <n v="0"/>
    <n v="1"/>
    <s v="Below College"/>
    <x v="3"/>
    <s v="Normal"/>
    <n v="15"/>
    <n v="5"/>
    <n v="25"/>
    <n v="18.75"/>
    <n v="3"/>
    <n v="67"/>
    <s v="High Risk"/>
  </r>
  <r>
    <n v="1279"/>
    <s v="Under 30"/>
    <s v="High Income"/>
    <n v="1"/>
    <n v="0"/>
    <s v="College"/>
    <x v="1"/>
    <s v="Elevated"/>
    <n v="30"/>
    <n v="5"/>
    <n v="0"/>
    <n v="12.5"/>
    <n v="25"/>
    <n v="73"/>
    <s v="High Risk"/>
  </r>
  <r>
    <n v="1280"/>
    <s v="40-49"/>
    <s v="High Income"/>
    <n v="0"/>
    <n v="0"/>
    <s v="College"/>
    <x v="3"/>
    <s v="Normal"/>
    <n v="10"/>
    <n v="5"/>
    <n v="0"/>
    <n v="18.75"/>
    <n v="3"/>
    <n v="37"/>
    <s v="Medium Risk"/>
  </r>
  <r>
    <n v="1281"/>
    <s v="30-39"/>
    <s v="High Income"/>
    <n v="0"/>
    <n v="1"/>
    <s v="Bachelor"/>
    <x v="2"/>
    <s v="Normal"/>
    <n v="20"/>
    <n v="5"/>
    <n v="25"/>
    <n v="25"/>
    <n v="15"/>
    <n v="90"/>
    <s v="High Risk"/>
  </r>
  <r>
    <n v="1282"/>
    <s v="50+"/>
    <s v="High Income"/>
    <n v="0"/>
    <n v="1"/>
    <s v="Bachelor"/>
    <x v="3"/>
    <s v="Elevated"/>
    <n v="15"/>
    <n v="5"/>
    <n v="25"/>
    <n v="18.75"/>
    <n v="3"/>
    <n v="67"/>
    <s v="High Risk"/>
  </r>
  <r>
    <n v="1283"/>
    <s v="50+"/>
    <s v="High Income"/>
    <n v="0"/>
    <n v="0"/>
    <s v="Master"/>
    <x v="0"/>
    <s v="Elevated"/>
    <n v="15"/>
    <n v="5"/>
    <n v="0"/>
    <n v="6.25"/>
    <n v="8"/>
    <n v="34"/>
    <s v="Low Risk"/>
  </r>
  <r>
    <n v="1285"/>
    <s v="30-39"/>
    <s v="High Income"/>
    <n v="0"/>
    <n v="0"/>
    <s v="Bachelor"/>
    <x v="3"/>
    <s v="Normal"/>
    <n v="20"/>
    <n v="5"/>
    <n v="0"/>
    <n v="18.75"/>
    <n v="3"/>
    <n v="47"/>
    <s v="Medium Risk"/>
  </r>
  <r>
    <n v="1286"/>
    <s v="Under 30"/>
    <s v="High Income"/>
    <n v="0"/>
    <n v="1"/>
    <s v="Master"/>
    <x v="2"/>
    <s v="Elevated"/>
    <n v="30"/>
    <n v="5"/>
    <n v="25"/>
    <n v="12.5"/>
    <n v="15"/>
    <n v="88"/>
    <s v="High Risk"/>
  </r>
  <r>
    <n v="1288"/>
    <s v="40-49"/>
    <s v="High Income"/>
    <n v="0"/>
    <n v="0"/>
    <s v="College"/>
    <x v="3"/>
    <s v="Elevated"/>
    <n v="10"/>
    <n v="5"/>
    <n v="0"/>
    <n v="25"/>
    <n v="3"/>
    <n v="43"/>
    <s v="Medium Risk"/>
  </r>
  <r>
    <n v="1289"/>
    <s v="30-39"/>
    <s v="High Income"/>
    <n v="0"/>
    <n v="0"/>
    <s v="Bachelor"/>
    <x v="0"/>
    <s v="Normal"/>
    <n v="20"/>
    <n v="5"/>
    <n v="0"/>
    <n v="18.75"/>
    <n v="8"/>
    <n v="52"/>
    <s v="Medium Risk"/>
  </r>
  <r>
    <n v="1291"/>
    <s v="30-39"/>
    <s v="High Income"/>
    <n v="0"/>
    <n v="1"/>
    <s v="Below College"/>
    <x v="2"/>
    <s v="Normal"/>
    <n v="20"/>
    <n v="5"/>
    <n v="25"/>
    <n v="12.5"/>
    <n v="15"/>
    <n v="78"/>
    <s v="High Risk"/>
  </r>
  <r>
    <n v="1292"/>
    <s v="40-49"/>
    <s v="High Income"/>
    <n v="0"/>
    <n v="1"/>
    <s v="Master"/>
    <x v="1"/>
    <s v="Normal"/>
    <n v="10"/>
    <n v="5"/>
    <n v="25"/>
    <n v="18.75"/>
    <n v="25"/>
    <n v="84"/>
    <s v="High Risk"/>
  </r>
  <r>
    <n v="1293"/>
    <s v="40-49"/>
    <s v="High Income"/>
    <n v="0"/>
    <n v="0"/>
    <s v="Master"/>
    <x v="3"/>
    <s v="Normal"/>
    <n v="10"/>
    <n v="5"/>
    <n v="0"/>
    <n v="6.25"/>
    <n v="3"/>
    <n v="24"/>
    <s v="Low Risk"/>
  </r>
  <r>
    <n v="1294"/>
    <s v="30-39"/>
    <s v="High Income"/>
    <n v="0"/>
    <n v="1"/>
    <s v="Master"/>
    <x v="3"/>
    <s v="Normal"/>
    <n v="20"/>
    <n v="5"/>
    <n v="25"/>
    <n v="18.75"/>
    <n v="3"/>
    <n v="72"/>
    <s v="High Risk"/>
  </r>
  <r>
    <n v="1295"/>
    <s v="40-49"/>
    <s v="High Income"/>
    <n v="1"/>
    <n v="0"/>
    <s v="Bachelor"/>
    <x v="0"/>
    <s v="Normal"/>
    <n v="10"/>
    <n v="5"/>
    <n v="0"/>
    <n v="6.25"/>
    <n v="8"/>
    <n v="29"/>
    <s v="Low Risk"/>
  </r>
  <r>
    <n v="1296"/>
    <s v="Under 30"/>
    <s v="High Income"/>
    <n v="0"/>
    <n v="1"/>
    <s v="Bachelor"/>
    <x v="1"/>
    <s v="Normal"/>
    <n v="30"/>
    <n v="5"/>
    <n v="25"/>
    <n v="6.25"/>
    <n v="25"/>
    <n v="91"/>
    <s v="High Risk"/>
  </r>
  <r>
    <n v="1297"/>
    <s v="50+"/>
    <s v="High Income"/>
    <n v="0"/>
    <n v="0"/>
    <s v="College"/>
    <x v="0"/>
    <s v="Elevated"/>
    <n v="15"/>
    <n v="5"/>
    <n v="0"/>
    <n v="12.5"/>
    <n v="8"/>
    <n v="41"/>
    <s v="Medium Risk"/>
  </r>
  <r>
    <n v="1298"/>
    <s v="30-39"/>
    <s v="High Income"/>
    <n v="0"/>
    <n v="1"/>
    <s v="College"/>
    <x v="0"/>
    <s v="Normal"/>
    <n v="20"/>
    <n v="5"/>
    <n v="25"/>
    <n v="12.5"/>
    <n v="8"/>
    <n v="71"/>
    <s v="High Risk"/>
  </r>
  <r>
    <n v="1299"/>
    <s v="Under 30"/>
    <s v="High Income"/>
    <n v="1"/>
    <n v="1"/>
    <s v="Bachelor"/>
    <x v="0"/>
    <s v="Normal"/>
    <n v="30"/>
    <n v="5"/>
    <n v="25"/>
    <n v="12.5"/>
    <n v="8"/>
    <n v="81"/>
    <s v="High Risk"/>
  </r>
  <r>
    <n v="1301"/>
    <s v="Under 30"/>
    <s v="High Income"/>
    <n v="0"/>
    <n v="0"/>
    <s v="Bachelor"/>
    <x v="2"/>
    <s v="Elevated"/>
    <n v="30"/>
    <n v="5"/>
    <n v="0"/>
    <n v="25"/>
    <n v="15"/>
    <n v="75"/>
    <s v="High Risk"/>
  </r>
  <r>
    <n v="1303"/>
    <s v="Under 30"/>
    <s v="High Income"/>
    <n v="0"/>
    <n v="0"/>
    <s v="Bachelor"/>
    <x v="1"/>
    <s v="Elevated"/>
    <n v="30"/>
    <n v="5"/>
    <n v="0"/>
    <n v="18.75"/>
    <n v="25"/>
    <n v="79"/>
    <s v="High Risk"/>
  </r>
  <r>
    <n v="1304"/>
    <s v="30-39"/>
    <s v="High Income"/>
    <n v="0"/>
    <n v="0"/>
    <s v="Bachelor"/>
    <x v="0"/>
    <s v="Normal"/>
    <n v="20"/>
    <n v="5"/>
    <n v="0"/>
    <n v="6.25"/>
    <n v="8"/>
    <n v="39"/>
    <s v="Medium Risk"/>
  </r>
  <r>
    <n v="1306"/>
    <s v="40-49"/>
    <s v="High Income"/>
    <n v="0"/>
    <n v="0"/>
    <s v="Bachelor"/>
    <x v="1"/>
    <s v="Normal"/>
    <n v="10"/>
    <n v="5"/>
    <n v="0"/>
    <n v="18.75"/>
    <n v="25"/>
    <n v="59"/>
    <s v="High Risk"/>
  </r>
  <r>
    <n v="1307"/>
    <s v="30-39"/>
    <s v="High Income"/>
    <n v="0"/>
    <n v="1"/>
    <s v="Master"/>
    <x v="3"/>
    <s v="Normal"/>
    <n v="20"/>
    <n v="5"/>
    <n v="25"/>
    <n v="18.75"/>
    <n v="3"/>
    <n v="72"/>
    <s v="High Risk"/>
  </r>
  <r>
    <n v="1308"/>
    <s v="50+"/>
    <s v="High Income"/>
    <n v="0"/>
    <n v="0"/>
    <s v="Master"/>
    <x v="1"/>
    <s v="Normal"/>
    <n v="15"/>
    <n v="5"/>
    <n v="0"/>
    <n v="12.5"/>
    <n v="25"/>
    <n v="58"/>
    <s v="High Risk"/>
  </r>
  <r>
    <n v="1309"/>
    <s v="30-39"/>
    <s v="High Income"/>
    <n v="1"/>
    <n v="0"/>
    <s v="College"/>
    <x v="0"/>
    <s v="Normal"/>
    <n v="20"/>
    <n v="5"/>
    <n v="0"/>
    <n v="12.5"/>
    <n v="8"/>
    <n v="46"/>
    <s v="Medium Risk"/>
  </r>
  <r>
    <n v="1310"/>
    <s v="30-39"/>
    <s v="High Income"/>
    <n v="1"/>
    <n v="0"/>
    <s v="Bachelor"/>
    <x v="2"/>
    <s v="Normal"/>
    <n v="20"/>
    <n v="5"/>
    <n v="0"/>
    <n v="25"/>
    <n v="15"/>
    <n v="65"/>
    <s v="High Risk"/>
  </r>
  <r>
    <n v="1311"/>
    <s v="30-39"/>
    <s v="High Income"/>
    <n v="0"/>
    <n v="0"/>
    <s v="Bachelor"/>
    <x v="0"/>
    <s v="Normal"/>
    <n v="20"/>
    <n v="5"/>
    <n v="0"/>
    <n v="6.25"/>
    <n v="8"/>
    <n v="39"/>
    <s v="Medium Risk"/>
  </r>
  <r>
    <n v="1312"/>
    <s v="30-39"/>
    <s v="High Income"/>
    <n v="0"/>
    <n v="0"/>
    <s v="Master"/>
    <x v="0"/>
    <s v="Normal"/>
    <n v="20"/>
    <n v="5"/>
    <n v="0"/>
    <n v="12.5"/>
    <n v="8"/>
    <n v="46"/>
    <s v="Medium Risk"/>
  </r>
  <r>
    <n v="1314"/>
    <s v="40-49"/>
    <s v="High Income"/>
    <n v="0"/>
    <n v="0"/>
    <s v="College"/>
    <x v="0"/>
    <s v="Normal"/>
    <n v="10"/>
    <n v="5"/>
    <n v="0"/>
    <n v="25"/>
    <n v="8"/>
    <n v="48"/>
    <s v="Medium Risk"/>
  </r>
  <r>
    <n v="1315"/>
    <s v="Under 30"/>
    <s v="High Income"/>
    <n v="0"/>
    <n v="0"/>
    <s v="Bachelor"/>
    <x v="0"/>
    <s v="Normal"/>
    <n v="30"/>
    <n v="5"/>
    <n v="0"/>
    <n v="6.25"/>
    <n v="8"/>
    <n v="49"/>
    <s v="Medium Risk"/>
  </r>
  <r>
    <n v="1317"/>
    <s v="50+"/>
    <s v="High Income"/>
    <n v="0"/>
    <n v="1"/>
    <s v="Bachelor"/>
    <x v="2"/>
    <s v="Normal"/>
    <n v="15"/>
    <n v="5"/>
    <n v="25"/>
    <n v="25"/>
    <n v="15"/>
    <n v="85"/>
    <s v="High Risk"/>
  </r>
  <r>
    <n v="1318"/>
    <s v="40-49"/>
    <s v="High Income"/>
    <n v="1"/>
    <n v="1"/>
    <s v="Master"/>
    <x v="2"/>
    <s v="Normal"/>
    <n v="10"/>
    <n v="5"/>
    <n v="25"/>
    <n v="18.75"/>
    <n v="15"/>
    <n v="74"/>
    <s v="High Risk"/>
  </r>
  <r>
    <n v="1319"/>
    <s v="50+"/>
    <s v="High Income"/>
    <n v="1"/>
    <n v="1"/>
    <s v="Bachelor"/>
    <x v="0"/>
    <s v="Elevated"/>
    <n v="15"/>
    <n v="5"/>
    <n v="25"/>
    <n v="18.75"/>
    <n v="8"/>
    <n v="72"/>
    <s v="High Risk"/>
  </r>
  <r>
    <n v="1321"/>
    <s v="30-39"/>
    <s v="High Income"/>
    <n v="0"/>
    <n v="1"/>
    <s v="Master"/>
    <x v="0"/>
    <s v="Normal"/>
    <n v="20"/>
    <n v="5"/>
    <n v="25"/>
    <n v="25"/>
    <n v="8"/>
    <n v="83"/>
    <s v="High Risk"/>
  </r>
  <r>
    <n v="1322"/>
    <s v="30-39"/>
    <s v="High Income"/>
    <n v="0"/>
    <n v="0"/>
    <s v="College"/>
    <x v="0"/>
    <s v="Normal"/>
    <n v="20"/>
    <n v="5"/>
    <n v="0"/>
    <n v="12.5"/>
    <n v="8"/>
    <n v="46"/>
    <s v="Medium Risk"/>
  </r>
  <r>
    <n v="1324"/>
    <s v="30-39"/>
    <s v="High Income"/>
    <n v="0"/>
    <n v="1"/>
    <s v="Master"/>
    <x v="0"/>
    <s v="Elevated"/>
    <n v="20"/>
    <n v="5"/>
    <n v="25"/>
    <n v="12.5"/>
    <n v="8"/>
    <n v="71"/>
    <s v="High Risk"/>
  </r>
  <r>
    <n v="1329"/>
    <s v="40-49"/>
    <s v="High Income"/>
    <n v="0"/>
    <n v="0"/>
    <s v="College"/>
    <x v="3"/>
    <s v="Normal"/>
    <n v="10"/>
    <n v="5"/>
    <n v="0"/>
    <n v="18.75"/>
    <n v="3"/>
    <n v="37"/>
    <s v="Medium Risk"/>
  </r>
  <r>
    <n v="1331"/>
    <s v="30-39"/>
    <s v="High Income"/>
    <n v="1"/>
    <n v="1"/>
    <s v="Bachelor"/>
    <x v="2"/>
    <s v="Normal"/>
    <n v="20"/>
    <n v="5"/>
    <n v="25"/>
    <n v="18.75"/>
    <n v="15"/>
    <n v="84"/>
    <s v="High Risk"/>
  </r>
  <r>
    <n v="1333"/>
    <s v="40-49"/>
    <s v="High Income"/>
    <n v="1"/>
    <n v="0"/>
    <s v="Bachelor"/>
    <x v="2"/>
    <s v="Normal"/>
    <n v="10"/>
    <n v="5"/>
    <n v="0"/>
    <n v="25"/>
    <n v="15"/>
    <n v="55"/>
    <s v="High Risk"/>
  </r>
  <r>
    <n v="1334"/>
    <s v="40-49"/>
    <s v="High Income"/>
    <n v="0"/>
    <n v="1"/>
    <s v="Below College"/>
    <x v="3"/>
    <s v="Elevated"/>
    <n v="10"/>
    <n v="5"/>
    <n v="25"/>
    <n v="12.5"/>
    <n v="3"/>
    <n v="56"/>
    <s v="High Risk"/>
  </r>
  <r>
    <n v="1336"/>
    <s v="50+"/>
    <s v="High Income"/>
    <n v="0"/>
    <n v="0"/>
    <s v="College"/>
    <x v="3"/>
    <s v="Normal"/>
    <n v="15"/>
    <n v="5"/>
    <n v="0"/>
    <n v="12.5"/>
    <n v="3"/>
    <n v="36"/>
    <s v="Medium Risk"/>
  </r>
  <r>
    <n v="1338"/>
    <s v="50+"/>
    <s v="High Income"/>
    <n v="0"/>
    <n v="0"/>
    <s v="Master"/>
    <x v="0"/>
    <s v="Normal"/>
    <n v="15"/>
    <n v="5"/>
    <n v="0"/>
    <n v="18.75"/>
    <n v="8"/>
    <n v="47"/>
    <s v="Medium Risk"/>
  </r>
  <r>
    <n v="1340"/>
    <s v="40-49"/>
    <s v="High Income"/>
    <n v="0"/>
    <n v="0"/>
    <s v="College"/>
    <x v="2"/>
    <s v="Normal"/>
    <n v="10"/>
    <n v="5"/>
    <n v="0"/>
    <n v="12.5"/>
    <n v="15"/>
    <n v="43"/>
    <s v="Medium Risk"/>
  </r>
  <r>
    <n v="1344"/>
    <s v="30-39"/>
    <s v="High Income"/>
    <n v="0"/>
    <n v="0"/>
    <s v="Bachelor"/>
    <x v="0"/>
    <s v="Elevated"/>
    <n v="20"/>
    <n v="5"/>
    <n v="0"/>
    <n v="6.25"/>
    <n v="8"/>
    <n v="39"/>
    <s v="Medium Risk"/>
  </r>
  <r>
    <n v="1346"/>
    <s v="40-49"/>
    <s v="High Income"/>
    <n v="0"/>
    <n v="0"/>
    <s v="Bachelor"/>
    <x v="0"/>
    <s v="Normal"/>
    <n v="10"/>
    <n v="5"/>
    <n v="0"/>
    <n v="6.25"/>
    <n v="8"/>
    <n v="29"/>
    <s v="Low Risk"/>
  </r>
  <r>
    <n v="1349"/>
    <s v="40-49"/>
    <s v="High Income"/>
    <n v="0"/>
    <n v="0"/>
    <s v="Bachelor"/>
    <x v="0"/>
    <s v="Normal"/>
    <n v="10"/>
    <n v="5"/>
    <n v="0"/>
    <n v="25"/>
    <n v="8"/>
    <n v="48"/>
    <s v="Medium Risk"/>
  </r>
  <r>
    <n v="1350"/>
    <s v="30-39"/>
    <s v="High Income"/>
    <n v="0"/>
    <n v="1"/>
    <s v="Master"/>
    <x v="0"/>
    <s v="Normal"/>
    <n v="20"/>
    <n v="5"/>
    <n v="25"/>
    <n v="12.5"/>
    <n v="8"/>
    <n v="71"/>
    <s v="High Risk"/>
  </r>
  <r>
    <n v="1352"/>
    <s v="50+"/>
    <s v="High Income"/>
    <n v="0"/>
    <n v="1"/>
    <s v="Bachelor"/>
    <x v="3"/>
    <s v="Normal"/>
    <n v="15"/>
    <n v="5"/>
    <n v="25"/>
    <n v="18.75"/>
    <n v="3"/>
    <n v="67"/>
    <s v="High Risk"/>
  </r>
  <r>
    <n v="1355"/>
    <s v="30-39"/>
    <s v="High Income"/>
    <n v="0"/>
    <n v="0"/>
    <s v="College"/>
    <x v="0"/>
    <s v="Normal"/>
    <n v="20"/>
    <n v="5"/>
    <n v="0"/>
    <n v="25"/>
    <n v="8"/>
    <n v="58"/>
    <s v="High Risk"/>
  </r>
  <r>
    <n v="1356"/>
    <s v="30-39"/>
    <s v="High Income"/>
    <n v="0"/>
    <n v="0"/>
    <s v="College"/>
    <x v="0"/>
    <s v="Normal"/>
    <n v="20"/>
    <n v="5"/>
    <n v="0"/>
    <n v="25"/>
    <n v="8"/>
    <n v="58"/>
    <s v="High Risk"/>
  </r>
  <r>
    <n v="1358"/>
    <s v="Under 30"/>
    <s v="High Income"/>
    <n v="0"/>
    <n v="0"/>
    <s v="Below College"/>
    <x v="2"/>
    <s v="Elevated"/>
    <n v="30"/>
    <n v="5"/>
    <n v="0"/>
    <n v="6.25"/>
    <n v="15"/>
    <n v="56"/>
    <s v="High Risk"/>
  </r>
  <r>
    <n v="1360"/>
    <s v="50+"/>
    <s v="High Income"/>
    <n v="1"/>
    <n v="1"/>
    <s v="Master"/>
    <x v="0"/>
    <s v="Elevated"/>
    <n v="15"/>
    <n v="5"/>
    <n v="25"/>
    <n v="25"/>
    <n v="8"/>
    <n v="78"/>
    <s v="High Risk"/>
  </r>
  <r>
    <n v="1361"/>
    <s v="40-49"/>
    <s v="High Income"/>
    <n v="0"/>
    <n v="0"/>
    <s v="Master"/>
    <x v="2"/>
    <s v="Normal"/>
    <n v="10"/>
    <n v="5"/>
    <n v="0"/>
    <n v="18.75"/>
    <n v="15"/>
    <n v="49"/>
    <s v="Medium Risk"/>
  </r>
  <r>
    <n v="1362"/>
    <s v="30-39"/>
    <s v="High Income"/>
    <n v="0"/>
    <n v="0"/>
    <s v="Bachelor"/>
    <x v="3"/>
    <s v="Elevated"/>
    <n v="20"/>
    <n v="5"/>
    <n v="0"/>
    <n v="25"/>
    <n v="3"/>
    <n v="53"/>
    <s v="Medium Risk"/>
  </r>
  <r>
    <n v="1363"/>
    <s v="40-49"/>
    <s v="High Income"/>
    <n v="0"/>
    <n v="0"/>
    <s v="Bachelor"/>
    <x v="0"/>
    <s v="Normal"/>
    <n v="10"/>
    <n v="5"/>
    <n v="0"/>
    <n v="6.25"/>
    <n v="8"/>
    <n v="29"/>
    <s v="Low Risk"/>
  </r>
  <r>
    <n v="1364"/>
    <s v="Under 30"/>
    <s v="High Income"/>
    <n v="0"/>
    <n v="0"/>
    <s v="Bachelor"/>
    <x v="1"/>
    <s v="Normal"/>
    <n v="30"/>
    <n v="5"/>
    <n v="0"/>
    <n v="6.25"/>
    <n v="25"/>
    <n v="66"/>
    <s v="High Risk"/>
  </r>
  <r>
    <n v="1367"/>
    <s v="50+"/>
    <s v="High Income"/>
    <n v="0"/>
    <n v="0"/>
    <s v="College"/>
    <x v="2"/>
    <s v="Elevated"/>
    <n v="15"/>
    <n v="5"/>
    <n v="0"/>
    <n v="18.75"/>
    <n v="15"/>
    <n v="54"/>
    <s v="Medium Risk"/>
  </r>
  <r>
    <n v="1368"/>
    <s v="Under 30"/>
    <s v="High Income"/>
    <n v="0"/>
    <n v="0"/>
    <s v="Bachelor"/>
    <x v="1"/>
    <s v="Normal"/>
    <n v="30"/>
    <n v="5"/>
    <n v="0"/>
    <n v="6.25"/>
    <n v="25"/>
    <n v="66"/>
    <s v="High Risk"/>
  </r>
  <r>
    <n v="1369"/>
    <s v="30-39"/>
    <s v="High Income"/>
    <n v="0"/>
    <n v="0"/>
    <s v="Bachelor"/>
    <x v="0"/>
    <s v="Normal"/>
    <n v="20"/>
    <n v="5"/>
    <n v="0"/>
    <n v="6.25"/>
    <n v="8"/>
    <n v="39"/>
    <s v="Medium Risk"/>
  </r>
  <r>
    <n v="1371"/>
    <s v="Under 30"/>
    <s v="High Income"/>
    <n v="0"/>
    <n v="0"/>
    <s v="Below College"/>
    <x v="0"/>
    <s v="Normal"/>
    <n v="30"/>
    <n v="5"/>
    <n v="0"/>
    <n v="6.25"/>
    <n v="8"/>
    <n v="49"/>
    <s v="Medium Risk"/>
  </r>
  <r>
    <n v="1372"/>
    <s v="50+"/>
    <s v="High Income"/>
    <n v="1"/>
    <n v="1"/>
    <s v="Master"/>
    <x v="3"/>
    <s v="Elevated"/>
    <n v="15"/>
    <n v="5"/>
    <n v="25"/>
    <n v="12.5"/>
    <n v="3"/>
    <n v="61"/>
    <s v="High Risk"/>
  </r>
  <r>
    <n v="1373"/>
    <s v="50+"/>
    <s v="High Income"/>
    <n v="0"/>
    <n v="1"/>
    <s v="Bachelor"/>
    <x v="3"/>
    <s v="Normal"/>
    <n v="15"/>
    <n v="5"/>
    <n v="25"/>
    <n v="18.75"/>
    <n v="3"/>
    <n v="67"/>
    <s v="High Risk"/>
  </r>
  <r>
    <n v="1374"/>
    <s v="30-39"/>
    <s v="High Income"/>
    <n v="0"/>
    <n v="0"/>
    <s v="Below College"/>
    <x v="2"/>
    <s v="Normal"/>
    <n v="20"/>
    <n v="5"/>
    <n v="0"/>
    <n v="12.5"/>
    <n v="15"/>
    <n v="53"/>
    <s v="Medium Risk"/>
  </r>
  <r>
    <n v="1375"/>
    <s v="40-49"/>
    <s v="High Income"/>
    <n v="0"/>
    <n v="0"/>
    <s v="Below College"/>
    <x v="3"/>
    <s v="Normal"/>
    <n v="10"/>
    <n v="5"/>
    <n v="0"/>
    <n v="12.5"/>
    <n v="3"/>
    <n v="31"/>
    <s v="Low Risk"/>
  </r>
  <r>
    <n v="1377"/>
    <s v="30-39"/>
    <s v="High Income"/>
    <n v="0"/>
    <n v="0"/>
    <s v="Bachelor"/>
    <x v="0"/>
    <s v="Normal"/>
    <n v="20"/>
    <n v="5"/>
    <n v="0"/>
    <n v="12.5"/>
    <n v="8"/>
    <n v="46"/>
    <s v="Medium Risk"/>
  </r>
  <r>
    <n v="1379"/>
    <s v="30-39"/>
    <s v="High Income"/>
    <n v="1"/>
    <n v="0"/>
    <s v="Bachelor"/>
    <x v="1"/>
    <s v="Normal"/>
    <n v="20"/>
    <n v="5"/>
    <n v="0"/>
    <n v="6.25"/>
    <n v="25"/>
    <n v="56"/>
    <s v="High Risk"/>
  </r>
  <r>
    <n v="1380"/>
    <s v="30-39"/>
    <s v="High Income"/>
    <n v="1"/>
    <n v="1"/>
    <s v="Master"/>
    <x v="2"/>
    <s v="Elevated"/>
    <n v="20"/>
    <n v="5"/>
    <n v="25"/>
    <n v="12.5"/>
    <n v="15"/>
    <n v="78"/>
    <s v="High Risk"/>
  </r>
  <r>
    <n v="1382"/>
    <s v="30-39"/>
    <s v="High Income"/>
    <n v="0"/>
    <n v="0"/>
    <s v="Bachelor"/>
    <x v="2"/>
    <s v="Normal"/>
    <n v="20"/>
    <n v="5"/>
    <n v="0"/>
    <n v="12.5"/>
    <n v="15"/>
    <n v="53"/>
    <s v="Medium Risk"/>
  </r>
  <r>
    <n v="1383"/>
    <s v="30-39"/>
    <s v="High Income"/>
    <n v="0"/>
    <n v="0"/>
    <s v="Master"/>
    <x v="3"/>
    <s v="Normal"/>
    <n v="20"/>
    <n v="5"/>
    <n v="0"/>
    <n v="6.25"/>
    <n v="3"/>
    <n v="34"/>
    <s v="Low Risk"/>
  </r>
  <r>
    <n v="1387"/>
    <s v="Under 30"/>
    <s v="High Income"/>
    <n v="0"/>
    <n v="0"/>
    <s v="Bachelor"/>
    <x v="2"/>
    <s v="Normal"/>
    <n v="30"/>
    <n v="5"/>
    <n v="0"/>
    <n v="25"/>
    <n v="15"/>
    <n v="75"/>
    <s v="High Risk"/>
  </r>
  <r>
    <n v="1389"/>
    <s v="30-39"/>
    <s v="High Income"/>
    <n v="1"/>
    <n v="1"/>
    <s v="Master"/>
    <x v="0"/>
    <s v="Elevated"/>
    <n v="20"/>
    <n v="5"/>
    <n v="25"/>
    <n v="12.5"/>
    <n v="8"/>
    <n v="71"/>
    <s v="High Risk"/>
  </r>
  <r>
    <n v="1390"/>
    <s v="30-39"/>
    <s v="High Income"/>
    <n v="0"/>
    <n v="1"/>
    <s v="Master"/>
    <x v="2"/>
    <s v="Normal"/>
    <n v="20"/>
    <n v="5"/>
    <n v="25"/>
    <n v="6.25"/>
    <n v="15"/>
    <n v="71"/>
    <s v="High Risk"/>
  </r>
  <r>
    <n v="1391"/>
    <s v="50+"/>
    <s v="High Income"/>
    <n v="0"/>
    <n v="0"/>
    <s v="Bachelor"/>
    <x v="2"/>
    <s v="Normal"/>
    <n v="15"/>
    <n v="5"/>
    <n v="0"/>
    <n v="18.75"/>
    <n v="15"/>
    <n v="54"/>
    <s v="Medium Risk"/>
  </r>
  <r>
    <n v="1392"/>
    <s v="40-49"/>
    <s v="High Income"/>
    <n v="0"/>
    <n v="1"/>
    <s v="Bachelor"/>
    <x v="0"/>
    <s v="Elevated"/>
    <n v="10"/>
    <n v="5"/>
    <n v="25"/>
    <n v="6.25"/>
    <n v="8"/>
    <n v="54"/>
    <s v="Medium Risk"/>
  </r>
  <r>
    <n v="1394"/>
    <s v="30-39"/>
    <s v="High Income"/>
    <n v="0"/>
    <n v="1"/>
    <s v="Below College"/>
    <x v="0"/>
    <s v="Normal"/>
    <n v="20"/>
    <n v="5"/>
    <n v="25"/>
    <n v="12.5"/>
    <n v="8"/>
    <n v="71"/>
    <s v="High Risk"/>
  </r>
  <r>
    <n v="1395"/>
    <s v="30-39"/>
    <s v="High Income"/>
    <n v="0"/>
    <n v="0"/>
    <s v="Below College"/>
    <x v="2"/>
    <s v="Normal"/>
    <n v="20"/>
    <n v="5"/>
    <n v="0"/>
    <n v="6.25"/>
    <n v="15"/>
    <n v="46"/>
    <s v="Medium Risk"/>
  </r>
  <r>
    <n v="1396"/>
    <s v="30-39"/>
    <s v="High Income"/>
    <n v="0"/>
    <n v="1"/>
    <s v="Below College"/>
    <x v="2"/>
    <s v="Elevated"/>
    <n v="20"/>
    <n v="5"/>
    <n v="25"/>
    <n v="18.75"/>
    <n v="15"/>
    <n v="84"/>
    <s v="High Risk"/>
  </r>
  <r>
    <n v="1397"/>
    <s v="30-39"/>
    <s v="High Income"/>
    <n v="0"/>
    <n v="0"/>
    <s v="College"/>
    <x v="0"/>
    <s v="Normal"/>
    <n v="20"/>
    <n v="5"/>
    <n v="0"/>
    <n v="12.5"/>
    <n v="8"/>
    <n v="46"/>
    <s v="Medium Risk"/>
  </r>
  <r>
    <n v="1399"/>
    <s v="Under 30"/>
    <s v="High Income"/>
    <n v="0"/>
    <n v="0"/>
    <s v="Below College"/>
    <x v="2"/>
    <s v="Elevated"/>
    <n v="30"/>
    <n v="5"/>
    <n v="0"/>
    <n v="12.5"/>
    <n v="15"/>
    <n v="63"/>
    <s v="High Risk"/>
  </r>
  <r>
    <n v="1401"/>
    <s v="50+"/>
    <s v="High Income"/>
    <n v="0"/>
    <n v="1"/>
    <s v="College"/>
    <x v="2"/>
    <s v="Elevated"/>
    <n v="15"/>
    <n v="5"/>
    <n v="25"/>
    <n v="12.5"/>
    <n v="15"/>
    <n v="73"/>
    <s v="High Risk"/>
  </r>
  <r>
    <n v="1402"/>
    <s v="40-49"/>
    <s v="High Income"/>
    <n v="0"/>
    <n v="1"/>
    <s v="Bachelor"/>
    <x v="3"/>
    <s v="Elevated"/>
    <n v="10"/>
    <n v="5"/>
    <n v="25"/>
    <n v="12.5"/>
    <n v="3"/>
    <n v="56"/>
    <s v="High Risk"/>
  </r>
  <r>
    <n v="1403"/>
    <s v="Under 30"/>
    <s v="High Income"/>
    <n v="0"/>
    <n v="1"/>
    <s v="Bachelor"/>
    <x v="0"/>
    <s v="Normal"/>
    <n v="30"/>
    <n v="5"/>
    <n v="25"/>
    <n v="6.25"/>
    <n v="8"/>
    <n v="74"/>
    <s v="High Risk"/>
  </r>
  <r>
    <n v="1405"/>
    <s v="Under 30"/>
    <s v="High Income"/>
    <n v="1"/>
    <n v="1"/>
    <s v="Master"/>
    <x v="0"/>
    <s v="Normal"/>
    <n v="30"/>
    <n v="5"/>
    <n v="25"/>
    <n v="12.5"/>
    <n v="8"/>
    <n v="81"/>
    <s v="High Risk"/>
  </r>
  <r>
    <n v="1407"/>
    <s v="Under 30"/>
    <s v="High Income"/>
    <n v="0"/>
    <n v="0"/>
    <s v="Below College"/>
    <x v="2"/>
    <s v="Normal"/>
    <n v="30"/>
    <n v="5"/>
    <n v="0"/>
    <n v="6.25"/>
    <n v="15"/>
    <n v="56"/>
    <s v="High Risk"/>
  </r>
  <r>
    <n v="1408"/>
    <s v="40-49"/>
    <s v="High Income"/>
    <n v="0"/>
    <n v="0"/>
    <s v="Bachelor"/>
    <x v="3"/>
    <s v="Normal"/>
    <n v="10"/>
    <n v="5"/>
    <n v="0"/>
    <n v="25"/>
    <n v="3"/>
    <n v="43"/>
    <s v="Medium Risk"/>
  </r>
  <r>
    <n v="1409"/>
    <s v="50+"/>
    <s v="High Income"/>
    <n v="0"/>
    <n v="0"/>
    <s v="Master"/>
    <x v="2"/>
    <s v="Elevated"/>
    <n v="15"/>
    <n v="5"/>
    <n v="0"/>
    <n v="25"/>
    <n v="15"/>
    <n v="60"/>
    <s v="High Risk"/>
  </r>
  <r>
    <n v="1411"/>
    <s v="30-39"/>
    <s v="High Income"/>
    <n v="0"/>
    <n v="0"/>
    <s v="Bachelor"/>
    <x v="2"/>
    <s v="Normal"/>
    <n v="20"/>
    <n v="5"/>
    <n v="0"/>
    <n v="12.5"/>
    <n v="15"/>
    <n v="53"/>
    <s v="Medium Risk"/>
  </r>
  <r>
    <n v="1412"/>
    <s v="30-39"/>
    <s v="High Income"/>
    <n v="0"/>
    <n v="0"/>
    <s v="College"/>
    <x v="1"/>
    <s v="Normal"/>
    <n v="20"/>
    <n v="5"/>
    <n v="0"/>
    <n v="6.25"/>
    <n v="25"/>
    <n v="56"/>
    <s v="High Risk"/>
  </r>
  <r>
    <n v="1415"/>
    <s v="Under 30"/>
    <s v="High Income"/>
    <n v="0"/>
    <n v="0"/>
    <s v="Bachelor"/>
    <x v="2"/>
    <s v="Elevated"/>
    <n v="30"/>
    <n v="5"/>
    <n v="0"/>
    <n v="6.25"/>
    <n v="15"/>
    <n v="56"/>
    <s v="High Risk"/>
  </r>
  <r>
    <n v="1417"/>
    <s v="Under 30"/>
    <s v="High Income"/>
    <n v="0"/>
    <n v="0"/>
    <s v="Bachelor"/>
    <x v="0"/>
    <s v="Normal"/>
    <n v="30"/>
    <n v="5"/>
    <n v="0"/>
    <n v="25"/>
    <n v="8"/>
    <n v="68"/>
    <s v="High Risk"/>
  </r>
  <r>
    <n v="1419"/>
    <s v="Under 30"/>
    <s v="High Income"/>
    <n v="0"/>
    <n v="0"/>
    <s v="Bachelor"/>
    <x v="0"/>
    <s v="Elevated"/>
    <n v="30"/>
    <n v="5"/>
    <n v="0"/>
    <n v="25"/>
    <n v="8"/>
    <n v="68"/>
    <s v="High Risk"/>
  </r>
  <r>
    <n v="1420"/>
    <s v="40-49"/>
    <s v="High Income"/>
    <n v="1"/>
    <n v="0"/>
    <s v="College"/>
    <x v="2"/>
    <s v="Normal"/>
    <n v="10"/>
    <n v="5"/>
    <n v="0"/>
    <n v="25"/>
    <n v="15"/>
    <n v="55"/>
    <s v="High Risk"/>
  </r>
  <r>
    <n v="1421"/>
    <s v="Under 30"/>
    <s v="High Income"/>
    <n v="1"/>
    <n v="1"/>
    <s v="Below College"/>
    <x v="0"/>
    <s v="Normal"/>
    <n v="30"/>
    <n v="5"/>
    <n v="25"/>
    <n v="6.25"/>
    <n v="8"/>
    <n v="74"/>
    <s v="High Risk"/>
  </r>
  <r>
    <n v="1422"/>
    <s v="50+"/>
    <s v="High Income"/>
    <n v="0"/>
    <n v="0"/>
    <s v="Bachelor"/>
    <x v="3"/>
    <s v="Elevated"/>
    <n v="15"/>
    <n v="5"/>
    <n v="0"/>
    <n v="6.25"/>
    <n v="3"/>
    <n v="29"/>
    <s v="Low Risk"/>
  </r>
  <r>
    <n v="1423"/>
    <s v="50+"/>
    <s v="High Income"/>
    <n v="0"/>
    <n v="1"/>
    <s v="Bachelor"/>
    <x v="0"/>
    <s v="Normal"/>
    <n v="15"/>
    <n v="5"/>
    <n v="25"/>
    <n v="25"/>
    <n v="8"/>
    <n v="78"/>
    <s v="High Risk"/>
  </r>
  <r>
    <n v="1424"/>
    <s v="50+"/>
    <s v="High Income"/>
    <n v="0"/>
    <n v="0"/>
    <s v="Master"/>
    <x v="0"/>
    <s v="Normal"/>
    <n v="15"/>
    <n v="5"/>
    <n v="0"/>
    <n v="6.25"/>
    <n v="8"/>
    <n v="34"/>
    <s v="Low Risk"/>
  </r>
  <r>
    <n v="1425"/>
    <s v="30-39"/>
    <s v="High Income"/>
    <n v="0"/>
    <n v="1"/>
    <s v="Master"/>
    <x v="2"/>
    <s v="Normal"/>
    <n v="20"/>
    <n v="5"/>
    <n v="25"/>
    <n v="18.75"/>
    <n v="15"/>
    <n v="84"/>
    <s v="High Risk"/>
  </r>
  <r>
    <n v="1427"/>
    <s v="30-39"/>
    <s v="High Income"/>
    <n v="1"/>
    <n v="0"/>
    <s v="Master"/>
    <x v="1"/>
    <s v="Normal"/>
    <n v="20"/>
    <n v="5"/>
    <n v="0"/>
    <n v="12.5"/>
    <n v="25"/>
    <n v="63"/>
    <s v="High Risk"/>
  </r>
  <r>
    <n v="1428"/>
    <s v="30-39"/>
    <s v="High Income"/>
    <n v="0"/>
    <n v="0"/>
    <s v="Master"/>
    <x v="2"/>
    <s v="Normal"/>
    <n v="20"/>
    <n v="5"/>
    <n v="0"/>
    <n v="25"/>
    <n v="15"/>
    <n v="65"/>
    <s v="High Risk"/>
  </r>
  <r>
    <n v="1430"/>
    <s v="30-39"/>
    <s v="High Income"/>
    <n v="0"/>
    <n v="0"/>
    <s v="Doctor"/>
    <x v="2"/>
    <s v="Normal"/>
    <n v="20"/>
    <n v="5"/>
    <n v="0"/>
    <n v="18.75"/>
    <n v="15"/>
    <n v="59"/>
    <s v="High Risk"/>
  </r>
  <r>
    <n v="1431"/>
    <s v="30-39"/>
    <s v="High Income"/>
    <n v="0"/>
    <n v="0"/>
    <s v="Master"/>
    <x v="2"/>
    <s v="Normal"/>
    <n v="20"/>
    <n v="5"/>
    <n v="0"/>
    <n v="25"/>
    <n v="15"/>
    <n v="65"/>
    <s v="High Risk"/>
  </r>
  <r>
    <n v="1433"/>
    <s v="30-39"/>
    <s v="High Income"/>
    <n v="1"/>
    <n v="0"/>
    <s v="Bachelor"/>
    <x v="1"/>
    <s v="Normal"/>
    <n v="20"/>
    <n v="5"/>
    <n v="0"/>
    <n v="18.75"/>
    <n v="25"/>
    <n v="69"/>
    <s v="High Risk"/>
  </r>
  <r>
    <n v="1434"/>
    <s v="Under 30"/>
    <s v="High Income"/>
    <n v="0"/>
    <n v="0"/>
    <s v="Below College"/>
    <x v="2"/>
    <s v="Normal"/>
    <n v="30"/>
    <n v="5"/>
    <n v="0"/>
    <n v="25"/>
    <n v="15"/>
    <n v="75"/>
    <s v="High Risk"/>
  </r>
  <r>
    <n v="1435"/>
    <s v="30-39"/>
    <s v="High Income"/>
    <n v="0"/>
    <n v="0"/>
    <s v="Master"/>
    <x v="0"/>
    <s v="Elevated"/>
    <n v="20"/>
    <n v="5"/>
    <n v="0"/>
    <n v="6.25"/>
    <n v="8"/>
    <n v="39"/>
    <s v="Medium Risk"/>
  </r>
  <r>
    <n v="1436"/>
    <s v="30-39"/>
    <s v="High Income"/>
    <n v="0"/>
    <n v="0"/>
    <s v="Master"/>
    <x v="2"/>
    <s v="Elevated"/>
    <n v="20"/>
    <n v="5"/>
    <n v="0"/>
    <n v="25"/>
    <n v="15"/>
    <n v="65"/>
    <s v="High Risk"/>
  </r>
  <r>
    <n v="1438"/>
    <s v="40-49"/>
    <s v="High Income"/>
    <n v="0"/>
    <n v="0"/>
    <s v="Bachelor"/>
    <x v="0"/>
    <s v="Elevated"/>
    <n v="10"/>
    <n v="5"/>
    <n v="0"/>
    <n v="6.25"/>
    <n v="8"/>
    <n v="29"/>
    <s v="Low Risk"/>
  </r>
  <r>
    <n v="1439"/>
    <s v="Under 30"/>
    <s v="High Income"/>
    <n v="1"/>
    <n v="0"/>
    <s v="College"/>
    <x v="2"/>
    <s v="Normal"/>
    <n v="30"/>
    <n v="5"/>
    <n v="0"/>
    <n v="25"/>
    <n v="15"/>
    <n v="75"/>
    <s v="High Risk"/>
  </r>
  <r>
    <n v="1440"/>
    <s v="30-39"/>
    <s v="High Income"/>
    <n v="0"/>
    <n v="0"/>
    <s v="College"/>
    <x v="0"/>
    <s v="Elevated"/>
    <n v="20"/>
    <n v="5"/>
    <n v="0"/>
    <n v="12.5"/>
    <n v="8"/>
    <n v="46"/>
    <s v="Medium Risk"/>
  </r>
  <r>
    <n v="1441"/>
    <s v="50+"/>
    <s v="High Income"/>
    <n v="0"/>
    <n v="0"/>
    <s v="College"/>
    <x v="2"/>
    <s v="Normal"/>
    <n v="15"/>
    <n v="5"/>
    <n v="0"/>
    <n v="25"/>
    <n v="15"/>
    <n v="60"/>
    <s v="High Risk"/>
  </r>
  <r>
    <n v="1443"/>
    <s v="40-49"/>
    <s v="High Income"/>
    <n v="0"/>
    <n v="0"/>
    <s v="Master"/>
    <x v="3"/>
    <s v="Normal"/>
    <n v="10"/>
    <n v="5"/>
    <n v="0"/>
    <n v="12.5"/>
    <n v="3"/>
    <n v="31"/>
    <s v="Low Risk"/>
  </r>
  <r>
    <n v="1445"/>
    <s v="Under 30"/>
    <s v="High Income"/>
    <n v="0"/>
    <n v="1"/>
    <s v="Below College"/>
    <x v="2"/>
    <s v="Normal"/>
    <n v="30"/>
    <n v="5"/>
    <n v="25"/>
    <n v="12.5"/>
    <n v="15"/>
    <n v="88"/>
    <s v="High Risk"/>
  </r>
  <r>
    <n v="1446"/>
    <s v="30-39"/>
    <s v="High Income"/>
    <n v="0"/>
    <n v="0"/>
    <s v="Doctor"/>
    <x v="2"/>
    <s v="Elevated"/>
    <n v="20"/>
    <n v="5"/>
    <n v="0"/>
    <n v="6.25"/>
    <n v="15"/>
    <n v="46"/>
    <s v="Medium Risk"/>
  </r>
  <r>
    <n v="1447"/>
    <s v="30-39"/>
    <s v="High Income"/>
    <n v="0"/>
    <n v="0"/>
    <s v="Bachelor"/>
    <x v="2"/>
    <s v="Elevated"/>
    <n v="20"/>
    <n v="5"/>
    <n v="0"/>
    <n v="18.75"/>
    <n v="15"/>
    <n v="59"/>
    <s v="High Risk"/>
  </r>
  <r>
    <n v="1448"/>
    <s v="40-49"/>
    <s v="High Income"/>
    <n v="0"/>
    <n v="1"/>
    <s v="Doctor"/>
    <x v="2"/>
    <s v="Elevated"/>
    <n v="10"/>
    <n v="5"/>
    <n v="25"/>
    <n v="12.5"/>
    <n v="15"/>
    <n v="68"/>
    <s v="High Risk"/>
  </r>
  <r>
    <n v="1449"/>
    <s v="40-49"/>
    <s v="High Income"/>
    <n v="0"/>
    <n v="0"/>
    <s v="Master"/>
    <x v="0"/>
    <s v="Normal"/>
    <n v="10"/>
    <n v="5"/>
    <n v="0"/>
    <n v="12.5"/>
    <n v="8"/>
    <n v="36"/>
    <s v="Medium Risk"/>
  </r>
  <r>
    <n v="1453"/>
    <s v="30-39"/>
    <s v="High Income"/>
    <n v="0"/>
    <n v="0"/>
    <s v="College"/>
    <x v="3"/>
    <s v="Normal"/>
    <n v="20"/>
    <n v="5"/>
    <n v="0"/>
    <n v="6.25"/>
    <n v="3"/>
    <n v="34"/>
    <s v="Low Risk"/>
  </r>
  <r>
    <n v="1457"/>
    <s v="40-49"/>
    <s v="High Income"/>
    <n v="1"/>
    <n v="0"/>
    <s v="Bachelor"/>
    <x v="0"/>
    <s v="Normal"/>
    <n v="10"/>
    <n v="5"/>
    <n v="0"/>
    <n v="6.25"/>
    <n v="8"/>
    <n v="29"/>
    <s v="Low Risk"/>
  </r>
  <r>
    <n v="1458"/>
    <s v="30-39"/>
    <s v="High Income"/>
    <n v="1"/>
    <n v="1"/>
    <s v="Bachelor"/>
    <x v="1"/>
    <s v="Normal"/>
    <n v="20"/>
    <n v="5"/>
    <n v="25"/>
    <n v="25"/>
    <n v="25"/>
    <n v="100"/>
    <s v="High Risk"/>
  </r>
  <r>
    <n v="1459"/>
    <s v="30-39"/>
    <s v="High Income"/>
    <n v="1"/>
    <n v="0"/>
    <s v="Doctor"/>
    <x v="0"/>
    <s v="Normal"/>
    <n v="20"/>
    <n v="5"/>
    <n v="0"/>
    <n v="18.75"/>
    <n v="8"/>
    <n v="52"/>
    <s v="Medium Risk"/>
  </r>
  <r>
    <n v="1460"/>
    <s v="40-49"/>
    <s v="High Income"/>
    <n v="0"/>
    <n v="1"/>
    <s v="Bachelor"/>
    <x v="0"/>
    <s v="Normal"/>
    <n v="10"/>
    <n v="5"/>
    <n v="25"/>
    <n v="25"/>
    <n v="8"/>
    <n v="73"/>
    <s v="High Risk"/>
  </r>
  <r>
    <n v="1461"/>
    <s v="30-39"/>
    <s v="High Income"/>
    <n v="0"/>
    <n v="0"/>
    <s v="College"/>
    <x v="2"/>
    <s v="Normal"/>
    <n v="20"/>
    <n v="5"/>
    <n v="0"/>
    <n v="18.75"/>
    <n v="15"/>
    <n v="59"/>
    <s v="High Risk"/>
  </r>
  <r>
    <n v="1464"/>
    <s v="30-39"/>
    <s v="High Income"/>
    <n v="1"/>
    <n v="1"/>
    <s v="Bachelor"/>
    <x v="1"/>
    <s v="Elevated"/>
    <n v="20"/>
    <n v="5"/>
    <n v="25"/>
    <n v="6.25"/>
    <n v="25"/>
    <n v="81"/>
    <s v="High Risk"/>
  </r>
  <r>
    <n v="1465"/>
    <s v="40-49"/>
    <s v="High Income"/>
    <n v="0"/>
    <n v="1"/>
    <s v="Bachelor"/>
    <x v="2"/>
    <s v="Normal"/>
    <n v="10"/>
    <n v="5"/>
    <n v="25"/>
    <n v="6.25"/>
    <n v="15"/>
    <n v="61"/>
    <s v="High Risk"/>
  </r>
  <r>
    <n v="1466"/>
    <s v="40-49"/>
    <s v="High Income"/>
    <n v="0"/>
    <n v="0"/>
    <s v="Bachelor"/>
    <x v="1"/>
    <s v="Normal"/>
    <n v="10"/>
    <n v="5"/>
    <n v="0"/>
    <n v="25"/>
    <n v="25"/>
    <n v="65"/>
    <s v="High Risk"/>
  </r>
  <r>
    <n v="1467"/>
    <s v="30-39"/>
    <s v="High Income"/>
    <n v="1"/>
    <n v="0"/>
    <s v="Master"/>
    <x v="1"/>
    <s v="Normal"/>
    <n v="20"/>
    <n v="5"/>
    <n v="0"/>
    <n v="12.5"/>
    <n v="25"/>
    <n v="63"/>
    <s v="High Risk"/>
  </r>
  <r>
    <n v="1468"/>
    <s v="40-49"/>
    <s v="High Income"/>
    <n v="0"/>
    <n v="0"/>
    <s v="Below College"/>
    <x v="0"/>
    <s v="Normal"/>
    <n v="10"/>
    <n v="5"/>
    <n v="0"/>
    <n v="18.75"/>
    <n v="8"/>
    <n v="42"/>
    <s v="Medium Risk"/>
  </r>
  <r>
    <n v="1469"/>
    <s v="Under 30"/>
    <s v="High Income"/>
    <n v="0"/>
    <n v="0"/>
    <s v="Bachelor"/>
    <x v="2"/>
    <s v="Normal"/>
    <n v="30"/>
    <n v="5"/>
    <n v="0"/>
    <n v="25"/>
    <n v="15"/>
    <n v="75"/>
    <s v="High Risk"/>
  </r>
  <r>
    <n v="1471"/>
    <s v="40-49"/>
    <s v="High Income"/>
    <n v="0"/>
    <n v="0"/>
    <s v="Bachelor"/>
    <x v="2"/>
    <s v="Normal"/>
    <n v="10"/>
    <n v="5"/>
    <n v="0"/>
    <n v="12.5"/>
    <n v="15"/>
    <n v="43"/>
    <s v="Medium Risk"/>
  </r>
  <r>
    <n v="1472"/>
    <s v="50+"/>
    <s v="High Income"/>
    <n v="0"/>
    <n v="0"/>
    <s v="Bachelor"/>
    <x v="0"/>
    <s v="Elevated"/>
    <n v="15"/>
    <n v="5"/>
    <n v="0"/>
    <n v="18.75"/>
    <n v="8"/>
    <n v="47"/>
    <s v="Medium Risk"/>
  </r>
  <r>
    <n v="1473"/>
    <s v="40-49"/>
    <s v="High Income"/>
    <n v="0"/>
    <n v="0"/>
    <s v="Master"/>
    <x v="2"/>
    <s v="Elevated"/>
    <n v="10"/>
    <n v="5"/>
    <n v="0"/>
    <n v="12.5"/>
    <n v="15"/>
    <n v="43"/>
    <s v="Medium Risk"/>
  </r>
  <r>
    <n v="1474"/>
    <s v="40-49"/>
    <s v="High Income"/>
    <n v="0"/>
    <n v="0"/>
    <s v="Bachelor"/>
    <x v="2"/>
    <s v="Normal"/>
    <n v="10"/>
    <n v="5"/>
    <n v="0"/>
    <n v="12.5"/>
    <n v="15"/>
    <n v="43"/>
    <s v="Medium Risk"/>
  </r>
  <r>
    <n v="1475"/>
    <s v="40-49"/>
    <s v="High Income"/>
    <n v="0"/>
    <n v="0"/>
    <s v="Bachelor"/>
    <x v="2"/>
    <s v="Elevated"/>
    <n v="10"/>
    <n v="5"/>
    <n v="0"/>
    <n v="18.75"/>
    <n v="15"/>
    <n v="49"/>
    <s v="Medium Risk"/>
  </r>
  <r>
    <n v="1477"/>
    <s v="30-39"/>
    <s v="High Income"/>
    <n v="0"/>
    <n v="0"/>
    <s v="Bachelor"/>
    <x v="2"/>
    <s v="Normal"/>
    <n v="20"/>
    <n v="5"/>
    <n v="0"/>
    <n v="25"/>
    <n v="15"/>
    <n v="65"/>
    <s v="High Risk"/>
  </r>
  <r>
    <n v="1478"/>
    <s v="30-39"/>
    <s v="High Income"/>
    <n v="0"/>
    <n v="0"/>
    <s v="Bachelor"/>
    <x v="3"/>
    <s v="Normal"/>
    <n v="20"/>
    <n v="5"/>
    <n v="0"/>
    <n v="25"/>
    <n v="3"/>
    <n v="53"/>
    <s v="Medium Risk"/>
  </r>
  <r>
    <n v="1479"/>
    <s v="30-39"/>
    <s v="High Income"/>
    <n v="0"/>
    <n v="0"/>
    <s v="Below College"/>
    <x v="1"/>
    <s v="Elevated"/>
    <n v="20"/>
    <n v="5"/>
    <n v="0"/>
    <n v="12.5"/>
    <n v="25"/>
    <n v="63"/>
    <s v="High Risk"/>
  </r>
  <r>
    <n v="1480"/>
    <s v="40-49"/>
    <s v="High Income"/>
    <n v="0"/>
    <n v="0"/>
    <s v="College"/>
    <x v="3"/>
    <s v="Normal"/>
    <n v="10"/>
    <n v="5"/>
    <n v="0"/>
    <n v="6.25"/>
    <n v="3"/>
    <n v="24"/>
    <s v="Low Risk"/>
  </r>
  <r>
    <n v="1481"/>
    <s v="40-49"/>
    <s v="High Income"/>
    <n v="0"/>
    <n v="0"/>
    <s v="Doctor"/>
    <x v="1"/>
    <s v="Elevated"/>
    <n v="10"/>
    <n v="5"/>
    <n v="0"/>
    <n v="12.5"/>
    <n v="25"/>
    <n v="53"/>
    <s v="Medium Risk"/>
  </r>
  <r>
    <n v="1482"/>
    <s v="30-39"/>
    <s v="High Income"/>
    <n v="0"/>
    <n v="0"/>
    <s v="Bachelor"/>
    <x v="1"/>
    <s v="Elevated"/>
    <n v="20"/>
    <n v="5"/>
    <n v="0"/>
    <n v="12.5"/>
    <n v="25"/>
    <n v="63"/>
    <s v="High Risk"/>
  </r>
  <r>
    <n v="1483"/>
    <s v="50+"/>
    <s v="High Income"/>
    <n v="0"/>
    <n v="0"/>
    <s v="College"/>
    <x v="3"/>
    <s v="Elevated"/>
    <n v="15"/>
    <n v="5"/>
    <n v="0"/>
    <n v="12.5"/>
    <n v="3"/>
    <n v="36"/>
    <s v="Medium Risk"/>
  </r>
  <r>
    <n v="1484"/>
    <s v="40-49"/>
    <s v="High Income"/>
    <n v="0"/>
    <n v="0"/>
    <s v="Master"/>
    <x v="0"/>
    <s v="Normal"/>
    <n v="10"/>
    <n v="5"/>
    <n v="0"/>
    <n v="18.75"/>
    <n v="8"/>
    <n v="42"/>
    <s v="Medium Risk"/>
  </r>
  <r>
    <n v="1485"/>
    <s v="30-39"/>
    <s v="High Income"/>
    <n v="0"/>
    <n v="0"/>
    <s v="Bachelor"/>
    <x v="3"/>
    <s v="Elevated"/>
    <n v="20"/>
    <n v="5"/>
    <n v="0"/>
    <n v="25"/>
    <n v="3"/>
    <n v="53"/>
    <s v="Medium Risk"/>
  </r>
  <r>
    <n v="1486"/>
    <s v="Under 30"/>
    <s v="High Income"/>
    <n v="1"/>
    <n v="0"/>
    <s v="Bachelor"/>
    <x v="2"/>
    <s v="Normal"/>
    <n v="30"/>
    <n v="5"/>
    <n v="0"/>
    <n v="12.5"/>
    <n v="15"/>
    <n v="63"/>
    <s v="High Risk"/>
  </r>
  <r>
    <n v="1487"/>
    <s v="Under 30"/>
    <s v="High Income"/>
    <n v="1"/>
    <n v="0"/>
    <s v="Bachelor"/>
    <x v="2"/>
    <s v="Elevated"/>
    <n v="30"/>
    <n v="5"/>
    <n v="0"/>
    <n v="18.75"/>
    <n v="15"/>
    <n v="69"/>
    <s v="High Risk"/>
  </r>
  <r>
    <n v="1489"/>
    <s v="30-39"/>
    <s v="High Income"/>
    <n v="1"/>
    <n v="1"/>
    <s v="Master"/>
    <x v="3"/>
    <s v="Normal"/>
    <n v="20"/>
    <n v="5"/>
    <n v="25"/>
    <n v="18.75"/>
    <n v="3"/>
    <n v="72"/>
    <s v="High Risk"/>
  </r>
  <r>
    <n v="1492"/>
    <s v="30-39"/>
    <s v="High Income"/>
    <n v="0"/>
    <n v="0"/>
    <s v="Below College"/>
    <x v="1"/>
    <s v="Normal"/>
    <n v="20"/>
    <n v="5"/>
    <n v="0"/>
    <n v="12.5"/>
    <n v="25"/>
    <n v="63"/>
    <s v="High Risk"/>
  </r>
  <r>
    <n v="1494"/>
    <s v="Under 30"/>
    <s v="High Income"/>
    <n v="1"/>
    <n v="1"/>
    <s v="Bachelor"/>
    <x v="1"/>
    <s v="Elevated"/>
    <n v="30"/>
    <n v="5"/>
    <n v="25"/>
    <n v="25"/>
    <n v="25"/>
    <n v="110"/>
    <s v="High Risk"/>
  </r>
  <r>
    <n v="1495"/>
    <s v="Under 30"/>
    <s v="High Income"/>
    <n v="0"/>
    <n v="0"/>
    <s v="College"/>
    <x v="1"/>
    <s v="Normal"/>
    <n v="30"/>
    <n v="5"/>
    <n v="0"/>
    <n v="18.75"/>
    <n v="25"/>
    <n v="79"/>
    <s v="High Risk"/>
  </r>
  <r>
    <n v="1496"/>
    <s v="40-49"/>
    <s v="High Income"/>
    <n v="0"/>
    <n v="1"/>
    <s v="Below College"/>
    <x v="1"/>
    <s v="Elevated"/>
    <n v="10"/>
    <n v="5"/>
    <n v="25"/>
    <n v="12.5"/>
    <n v="25"/>
    <n v="78"/>
    <s v="High Risk"/>
  </r>
  <r>
    <n v="1497"/>
    <s v="Under 30"/>
    <s v="High Income"/>
    <n v="0"/>
    <n v="0"/>
    <s v="Bachelor"/>
    <x v="0"/>
    <s v="Normal"/>
    <n v="30"/>
    <n v="5"/>
    <n v="0"/>
    <n v="12.5"/>
    <n v="8"/>
    <n v="56"/>
    <s v="High Risk"/>
  </r>
  <r>
    <n v="1499"/>
    <s v="30-39"/>
    <s v="High Income"/>
    <n v="0"/>
    <n v="0"/>
    <s v="Bachelor"/>
    <x v="2"/>
    <s v="Normal"/>
    <n v="20"/>
    <n v="5"/>
    <n v="0"/>
    <n v="12.5"/>
    <n v="15"/>
    <n v="53"/>
    <s v="Medium Risk"/>
  </r>
  <r>
    <n v="1501"/>
    <s v="50+"/>
    <s v="High Income"/>
    <n v="0"/>
    <n v="1"/>
    <s v="Master"/>
    <x v="2"/>
    <s v="Normal"/>
    <n v="15"/>
    <n v="5"/>
    <n v="25"/>
    <n v="12.5"/>
    <n v="15"/>
    <n v="73"/>
    <s v="High Risk"/>
  </r>
  <r>
    <n v="1502"/>
    <s v="30-39"/>
    <s v="High Income"/>
    <n v="0"/>
    <n v="0"/>
    <s v="Master"/>
    <x v="2"/>
    <s v="Normal"/>
    <n v="20"/>
    <n v="5"/>
    <n v="0"/>
    <n v="18.75"/>
    <n v="15"/>
    <n v="59"/>
    <s v="High Risk"/>
  </r>
  <r>
    <n v="1503"/>
    <s v="40-49"/>
    <s v="High Income"/>
    <n v="0"/>
    <n v="1"/>
    <s v="Bachelor"/>
    <x v="2"/>
    <s v="Elevated"/>
    <n v="10"/>
    <n v="5"/>
    <n v="25"/>
    <n v="12.5"/>
    <n v="15"/>
    <n v="68"/>
    <s v="High Risk"/>
  </r>
  <r>
    <n v="1504"/>
    <s v="Under 30"/>
    <s v="High Income"/>
    <n v="1"/>
    <n v="0"/>
    <s v="College"/>
    <x v="1"/>
    <s v="Elevated"/>
    <n v="30"/>
    <n v="5"/>
    <n v="0"/>
    <n v="25"/>
    <n v="25"/>
    <n v="85"/>
    <s v="High Risk"/>
  </r>
  <r>
    <n v="1506"/>
    <s v="Under 30"/>
    <s v="High Income"/>
    <n v="0"/>
    <n v="0"/>
    <s v="Bachelor"/>
    <x v="1"/>
    <s v="Elevated"/>
    <n v="30"/>
    <n v="5"/>
    <n v="0"/>
    <n v="12.5"/>
    <n v="25"/>
    <n v="73"/>
    <s v="High Risk"/>
  </r>
  <r>
    <n v="1507"/>
    <s v="Under 30"/>
    <s v="High Income"/>
    <n v="0"/>
    <n v="0"/>
    <s v="Bachelor"/>
    <x v="2"/>
    <s v="Normal"/>
    <n v="30"/>
    <n v="5"/>
    <n v="0"/>
    <n v="25"/>
    <n v="15"/>
    <n v="75"/>
    <s v="High Risk"/>
  </r>
  <r>
    <n v="1509"/>
    <s v="40-49"/>
    <s v="High Income"/>
    <n v="0"/>
    <n v="0"/>
    <s v="College"/>
    <x v="2"/>
    <s v="Normal"/>
    <n v="10"/>
    <n v="5"/>
    <n v="0"/>
    <n v="25"/>
    <n v="15"/>
    <n v="55"/>
    <s v="High Risk"/>
  </r>
  <r>
    <n v="1513"/>
    <s v="Under 30"/>
    <s v="High Income"/>
    <n v="0"/>
    <n v="0"/>
    <s v="Below College"/>
    <x v="2"/>
    <s v="Normal"/>
    <n v="30"/>
    <n v="5"/>
    <n v="0"/>
    <n v="18.75"/>
    <n v="15"/>
    <n v="69"/>
    <s v="High Risk"/>
  </r>
  <r>
    <n v="1514"/>
    <s v="Under 30"/>
    <s v="High Income"/>
    <n v="0"/>
    <n v="0"/>
    <s v="Below College"/>
    <x v="0"/>
    <s v="Elevated"/>
    <n v="30"/>
    <n v="5"/>
    <n v="0"/>
    <n v="18.75"/>
    <n v="8"/>
    <n v="62"/>
    <s v="High Risk"/>
  </r>
  <r>
    <n v="1515"/>
    <s v="30-39"/>
    <s v="High Income"/>
    <n v="0"/>
    <n v="1"/>
    <s v="Doctor"/>
    <x v="1"/>
    <s v="Normal"/>
    <n v="20"/>
    <n v="5"/>
    <n v="25"/>
    <n v="12.5"/>
    <n v="25"/>
    <n v="88"/>
    <s v="High Risk"/>
  </r>
  <r>
    <n v="1516"/>
    <s v="30-39"/>
    <s v="High Income"/>
    <n v="0"/>
    <n v="0"/>
    <s v="Bachelor"/>
    <x v="2"/>
    <s v="Normal"/>
    <n v="20"/>
    <n v="5"/>
    <n v="0"/>
    <n v="6.25"/>
    <n v="15"/>
    <n v="46"/>
    <s v="Medium Risk"/>
  </r>
  <r>
    <n v="1520"/>
    <s v="50+"/>
    <s v="High Income"/>
    <n v="0"/>
    <n v="0"/>
    <s v="Master"/>
    <x v="3"/>
    <s v="Normal"/>
    <n v="15"/>
    <n v="5"/>
    <n v="0"/>
    <n v="6.25"/>
    <n v="3"/>
    <n v="29"/>
    <s v="Low Risk"/>
  </r>
  <r>
    <n v="1522"/>
    <s v="Under 30"/>
    <s v="High Income"/>
    <n v="1"/>
    <n v="0"/>
    <s v="Master"/>
    <x v="0"/>
    <s v="Elevated"/>
    <n v="30"/>
    <n v="5"/>
    <n v="0"/>
    <n v="25"/>
    <n v="8"/>
    <n v="68"/>
    <s v="High Risk"/>
  </r>
  <r>
    <n v="1523"/>
    <s v="40-49"/>
    <s v="High Income"/>
    <n v="0"/>
    <n v="0"/>
    <s v="Bachelor"/>
    <x v="3"/>
    <s v="Normal"/>
    <n v="10"/>
    <n v="5"/>
    <n v="0"/>
    <n v="25"/>
    <n v="3"/>
    <n v="43"/>
    <s v="Medium Risk"/>
  </r>
  <r>
    <n v="1525"/>
    <s v="30-39"/>
    <s v="High Income"/>
    <n v="0"/>
    <n v="0"/>
    <s v="Bachelor"/>
    <x v="1"/>
    <s v="Normal"/>
    <n v="20"/>
    <n v="5"/>
    <n v="0"/>
    <n v="18.75"/>
    <n v="25"/>
    <n v="69"/>
    <s v="High Risk"/>
  </r>
  <r>
    <n v="1527"/>
    <s v="40-49"/>
    <s v="High Income"/>
    <n v="0"/>
    <n v="0"/>
    <s v="Bachelor"/>
    <x v="3"/>
    <s v="Normal"/>
    <n v="10"/>
    <n v="5"/>
    <n v="0"/>
    <n v="18.75"/>
    <n v="3"/>
    <n v="37"/>
    <s v="Medium Risk"/>
  </r>
  <r>
    <n v="1529"/>
    <s v="30-39"/>
    <s v="High Income"/>
    <n v="0"/>
    <n v="0"/>
    <s v="Bachelor"/>
    <x v="3"/>
    <s v="Elevated"/>
    <n v="20"/>
    <n v="5"/>
    <n v="0"/>
    <n v="18.75"/>
    <n v="3"/>
    <n v="47"/>
    <s v="Medium Risk"/>
  </r>
  <r>
    <n v="1533"/>
    <s v="Under 30"/>
    <s v="High Income"/>
    <n v="0"/>
    <n v="0"/>
    <s v="Below College"/>
    <x v="2"/>
    <s v="Normal"/>
    <n v="30"/>
    <n v="5"/>
    <n v="0"/>
    <n v="12.5"/>
    <n v="15"/>
    <n v="63"/>
    <s v="High Risk"/>
  </r>
  <r>
    <n v="1534"/>
    <s v="40-49"/>
    <s v="High Income"/>
    <n v="1"/>
    <n v="0"/>
    <s v="Master"/>
    <x v="2"/>
    <s v="Elevated"/>
    <n v="10"/>
    <n v="5"/>
    <n v="0"/>
    <n v="25"/>
    <n v="15"/>
    <n v="55"/>
    <s v="High Risk"/>
  </r>
  <r>
    <n v="1535"/>
    <s v="30-39"/>
    <s v="High Income"/>
    <n v="0"/>
    <n v="1"/>
    <s v="Bachelor"/>
    <x v="0"/>
    <s v="Normal"/>
    <n v="20"/>
    <n v="5"/>
    <n v="25"/>
    <n v="12.5"/>
    <n v="8"/>
    <n v="71"/>
    <s v="High Risk"/>
  </r>
  <r>
    <n v="1537"/>
    <s v="30-39"/>
    <s v="High Income"/>
    <n v="1"/>
    <n v="0"/>
    <s v="Bachelor"/>
    <x v="0"/>
    <s v="Elevated"/>
    <n v="20"/>
    <n v="5"/>
    <n v="0"/>
    <n v="12.5"/>
    <n v="8"/>
    <n v="46"/>
    <s v="Medium Risk"/>
  </r>
  <r>
    <n v="1539"/>
    <s v="50+"/>
    <s v="High Income"/>
    <n v="0"/>
    <n v="1"/>
    <s v="Doctor"/>
    <x v="3"/>
    <s v="Normal"/>
    <n v="15"/>
    <n v="5"/>
    <n v="25"/>
    <n v="6.25"/>
    <n v="3"/>
    <n v="54"/>
    <s v="Medium Risk"/>
  </r>
  <r>
    <n v="1541"/>
    <s v="30-39"/>
    <s v="High Income"/>
    <n v="0"/>
    <n v="1"/>
    <s v="College"/>
    <x v="3"/>
    <s v="Normal"/>
    <n v="20"/>
    <n v="5"/>
    <n v="25"/>
    <n v="12.5"/>
    <n v="3"/>
    <n v="66"/>
    <s v="High Risk"/>
  </r>
  <r>
    <n v="1542"/>
    <s v="40-49"/>
    <s v="High Income"/>
    <n v="0"/>
    <n v="0"/>
    <s v="Bachelor"/>
    <x v="1"/>
    <s v="Normal"/>
    <n v="10"/>
    <n v="5"/>
    <n v="0"/>
    <n v="18.75"/>
    <n v="25"/>
    <n v="59"/>
    <s v="High Risk"/>
  </r>
  <r>
    <n v="1543"/>
    <s v="30-39"/>
    <s v="High Income"/>
    <n v="0"/>
    <n v="0"/>
    <s v="Bachelor"/>
    <x v="0"/>
    <s v="Normal"/>
    <n v="20"/>
    <n v="5"/>
    <n v="0"/>
    <n v="6.25"/>
    <n v="8"/>
    <n v="39"/>
    <s v="Medium Risk"/>
  </r>
  <r>
    <n v="1544"/>
    <s v="Under 30"/>
    <s v="High Income"/>
    <n v="0"/>
    <n v="0"/>
    <s v="Below College"/>
    <x v="0"/>
    <s v="Normal"/>
    <n v="30"/>
    <n v="5"/>
    <n v="0"/>
    <n v="25"/>
    <n v="8"/>
    <n v="68"/>
    <s v="High Risk"/>
  </r>
  <r>
    <n v="1545"/>
    <s v="30-39"/>
    <s v="High Income"/>
    <n v="0"/>
    <n v="0"/>
    <s v="Bachelor"/>
    <x v="2"/>
    <s v="Normal"/>
    <n v="20"/>
    <n v="5"/>
    <n v="0"/>
    <n v="18.75"/>
    <n v="15"/>
    <n v="59"/>
    <s v="High Risk"/>
  </r>
  <r>
    <n v="1546"/>
    <s v="40-49"/>
    <s v="High Income"/>
    <n v="0"/>
    <n v="0"/>
    <s v="Bachelor"/>
    <x v="2"/>
    <s v="Normal"/>
    <n v="10"/>
    <n v="5"/>
    <n v="0"/>
    <n v="6.25"/>
    <n v="15"/>
    <n v="36"/>
    <s v="Medium Risk"/>
  </r>
  <r>
    <n v="1547"/>
    <s v="40-49"/>
    <s v="High Income"/>
    <n v="0"/>
    <n v="1"/>
    <s v="Bachelor"/>
    <x v="3"/>
    <s v="Elevated"/>
    <n v="10"/>
    <n v="5"/>
    <n v="25"/>
    <n v="6.25"/>
    <n v="3"/>
    <n v="49"/>
    <s v="Medium Risk"/>
  </r>
  <r>
    <n v="1548"/>
    <s v="40-49"/>
    <s v="High Income"/>
    <n v="0"/>
    <n v="0"/>
    <s v="College"/>
    <x v="0"/>
    <s v="Normal"/>
    <n v="10"/>
    <n v="5"/>
    <n v="0"/>
    <n v="25"/>
    <n v="8"/>
    <n v="48"/>
    <s v="Medium Risk"/>
  </r>
  <r>
    <n v="1549"/>
    <s v="30-39"/>
    <s v="High Income"/>
    <n v="0"/>
    <n v="1"/>
    <s v="Master"/>
    <x v="3"/>
    <s v="Normal"/>
    <n v="20"/>
    <n v="5"/>
    <n v="25"/>
    <n v="12.5"/>
    <n v="3"/>
    <n v="66"/>
    <s v="High Risk"/>
  </r>
  <r>
    <n v="1550"/>
    <s v="40-49"/>
    <s v="High Income"/>
    <n v="0"/>
    <n v="1"/>
    <s v="College"/>
    <x v="3"/>
    <s v="Normal"/>
    <n v="10"/>
    <n v="5"/>
    <n v="25"/>
    <n v="6.25"/>
    <n v="3"/>
    <n v="49"/>
    <s v="Medium Risk"/>
  </r>
  <r>
    <n v="1551"/>
    <s v="Under 30"/>
    <s v="High Income"/>
    <n v="0"/>
    <n v="0"/>
    <s v="College"/>
    <x v="1"/>
    <s v="Normal"/>
    <n v="30"/>
    <n v="5"/>
    <n v="0"/>
    <n v="25"/>
    <n v="25"/>
    <n v="85"/>
    <s v="High Risk"/>
  </r>
  <r>
    <n v="1552"/>
    <s v="40-49"/>
    <s v="High Income"/>
    <n v="0"/>
    <n v="1"/>
    <s v="College"/>
    <x v="1"/>
    <s v="Normal"/>
    <n v="10"/>
    <n v="5"/>
    <n v="25"/>
    <n v="6.25"/>
    <n v="25"/>
    <n v="71"/>
    <s v="High Risk"/>
  </r>
  <r>
    <n v="1553"/>
    <s v="40-49"/>
    <s v="High Income"/>
    <n v="0"/>
    <n v="0"/>
    <s v="Master"/>
    <x v="0"/>
    <s v="Normal"/>
    <n v="10"/>
    <n v="5"/>
    <n v="0"/>
    <n v="18.75"/>
    <n v="8"/>
    <n v="42"/>
    <s v="Medium Risk"/>
  </r>
  <r>
    <n v="1554"/>
    <s v="30-39"/>
    <s v="High Income"/>
    <n v="0"/>
    <n v="0"/>
    <s v="Master"/>
    <x v="2"/>
    <s v="Normal"/>
    <n v="20"/>
    <n v="5"/>
    <n v="0"/>
    <n v="12.5"/>
    <n v="15"/>
    <n v="53"/>
    <s v="Medium Risk"/>
  </r>
  <r>
    <n v="1555"/>
    <s v="30-39"/>
    <s v="High Income"/>
    <n v="0"/>
    <n v="0"/>
    <s v="College"/>
    <x v="0"/>
    <s v="Normal"/>
    <n v="20"/>
    <n v="5"/>
    <n v="0"/>
    <n v="18.75"/>
    <n v="8"/>
    <n v="52"/>
    <s v="Medium Risk"/>
  </r>
  <r>
    <n v="1556"/>
    <s v="30-39"/>
    <s v="High Income"/>
    <n v="0"/>
    <n v="1"/>
    <s v="Master"/>
    <x v="2"/>
    <s v="Elevated"/>
    <n v="20"/>
    <n v="5"/>
    <n v="25"/>
    <n v="6.25"/>
    <n v="15"/>
    <n v="71"/>
    <s v="High Risk"/>
  </r>
  <r>
    <n v="1557"/>
    <s v="40-49"/>
    <s v="High Income"/>
    <n v="0"/>
    <n v="0"/>
    <s v="Master"/>
    <x v="0"/>
    <s v="Normal"/>
    <n v="10"/>
    <n v="5"/>
    <n v="0"/>
    <n v="12.5"/>
    <n v="8"/>
    <n v="36"/>
    <s v="Medium Risk"/>
  </r>
  <r>
    <n v="1558"/>
    <s v="Under 30"/>
    <s v="High Income"/>
    <n v="0"/>
    <n v="0"/>
    <s v="Bachelor"/>
    <x v="1"/>
    <s v="Elevated"/>
    <n v="30"/>
    <n v="5"/>
    <n v="0"/>
    <n v="12.5"/>
    <n v="25"/>
    <n v="73"/>
    <s v="High Risk"/>
  </r>
  <r>
    <n v="1560"/>
    <s v="30-39"/>
    <s v="High Income"/>
    <n v="0"/>
    <n v="0"/>
    <s v="Master"/>
    <x v="1"/>
    <s v="Elevated"/>
    <n v="20"/>
    <n v="5"/>
    <n v="0"/>
    <n v="25"/>
    <n v="25"/>
    <n v="75"/>
    <s v="High Risk"/>
  </r>
  <r>
    <n v="1562"/>
    <s v="30-39"/>
    <s v="High Income"/>
    <n v="1"/>
    <n v="0"/>
    <s v="Bachelor"/>
    <x v="0"/>
    <s v="Normal"/>
    <n v="20"/>
    <n v="5"/>
    <n v="0"/>
    <n v="25"/>
    <n v="8"/>
    <n v="58"/>
    <s v="High Risk"/>
  </r>
  <r>
    <n v="1563"/>
    <s v="30-39"/>
    <s v="High Income"/>
    <n v="0"/>
    <n v="0"/>
    <s v="Master"/>
    <x v="0"/>
    <s v="Normal"/>
    <n v="20"/>
    <n v="5"/>
    <n v="0"/>
    <n v="12.5"/>
    <n v="8"/>
    <n v="46"/>
    <s v="Medium Risk"/>
  </r>
  <r>
    <n v="1564"/>
    <s v="30-39"/>
    <s v="High Income"/>
    <n v="0"/>
    <n v="0"/>
    <s v="Bachelor"/>
    <x v="2"/>
    <s v="Normal"/>
    <n v="20"/>
    <n v="5"/>
    <n v="0"/>
    <n v="25"/>
    <n v="15"/>
    <n v="65"/>
    <s v="High Risk"/>
  </r>
  <r>
    <n v="1568"/>
    <s v="30-39"/>
    <s v="High Income"/>
    <n v="0"/>
    <n v="0"/>
    <s v="Master"/>
    <x v="2"/>
    <s v="Normal"/>
    <n v="20"/>
    <n v="5"/>
    <n v="0"/>
    <n v="18.75"/>
    <n v="15"/>
    <n v="59"/>
    <s v="High Risk"/>
  </r>
  <r>
    <n v="1569"/>
    <s v="30-39"/>
    <s v="High Income"/>
    <n v="1"/>
    <n v="1"/>
    <s v="Bachelor"/>
    <x v="1"/>
    <s v="Normal"/>
    <n v="20"/>
    <n v="5"/>
    <n v="25"/>
    <n v="25"/>
    <n v="25"/>
    <n v="100"/>
    <s v="High Risk"/>
  </r>
  <r>
    <n v="1572"/>
    <s v="50+"/>
    <s v="High Income"/>
    <n v="1"/>
    <n v="0"/>
    <s v="Doctor"/>
    <x v="3"/>
    <s v="Normal"/>
    <n v="15"/>
    <n v="5"/>
    <n v="0"/>
    <n v="6.25"/>
    <n v="3"/>
    <n v="29"/>
    <s v="Low Risk"/>
  </r>
  <r>
    <n v="1573"/>
    <s v="30-39"/>
    <s v="High Income"/>
    <n v="1"/>
    <n v="0"/>
    <s v="Bachelor"/>
    <x v="2"/>
    <s v="Normal"/>
    <n v="20"/>
    <n v="5"/>
    <n v="0"/>
    <n v="18.75"/>
    <n v="15"/>
    <n v="59"/>
    <s v="High Risk"/>
  </r>
  <r>
    <n v="1574"/>
    <s v="30-39"/>
    <s v="High Income"/>
    <n v="0"/>
    <n v="0"/>
    <s v="Master"/>
    <x v="0"/>
    <s v="Elevated"/>
    <n v="20"/>
    <n v="5"/>
    <n v="0"/>
    <n v="25"/>
    <n v="8"/>
    <n v="58"/>
    <s v="High Risk"/>
  </r>
  <r>
    <n v="1576"/>
    <s v="40-49"/>
    <s v="High Income"/>
    <n v="0"/>
    <n v="0"/>
    <s v="Master"/>
    <x v="0"/>
    <s v="Elevated"/>
    <n v="10"/>
    <n v="5"/>
    <n v="0"/>
    <n v="25"/>
    <n v="8"/>
    <n v="48"/>
    <s v="Medium Risk"/>
  </r>
  <r>
    <n v="1577"/>
    <s v="30-39"/>
    <s v="High Income"/>
    <n v="0"/>
    <n v="0"/>
    <s v="Master"/>
    <x v="1"/>
    <s v="Elevated"/>
    <n v="20"/>
    <n v="5"/>
    <n v="0"/>
    <n v="6.25"/>
    <n v="25"/>
    <n v="56"/>
    <s v="High Risk"/>
  </r>
  <r>
    <n v="1578"/>
    <s v="50+"/>
    <s v="High Income"/>
    <n v="0"/>
    <n v="0"/>
    <s v="Doctor"/>
    <x v="3"/>
    <s v="Normal"/>
    <n v="15"/>
    <n v="5"/>
    <n v="0"/>
    <n v="6.25"/>
    <n v="3"/>
    <n v="29"/>
    <s v="Low Risk"/>
  </r>
  <r>
    <n v="1580"/>
    <s v="30-39"/>
    <s v="High Income"/>
    <n v="0"/>
    <n v="0"/>
    <s v="Master"/>
    <x v="1"/>
    <s v="Elevated"/>
    <n v="20"/>
    <n v="5"/>
    <n v="0"/>
    <n v="6.25"/>
    <n v="25"/>
    <n v="56"/>
    <s v="High Risk"/>
  </r>
  <r>
    <n v="1581"/>
    <s v="Under 30"/>
    <s v="High Income"/>
    <n v="0"/>
    <n v="0"/>
    <s v="Bachelor"/>
    <x v="1"/>
    <s v="Normal"/>
    <n v="30"/>
    <n v="5"/>
    <n v="0"/>
    <n v="6.25"/>
    <n v="25"/>
    <n v="66"/>
    <s v="High Risk"/>
  </r>
  <r>
    <n v="1582"/>
    <s v="30-39"/>
    <s v="High Income"/>
    <n v="0"/>
    <n v="0"/>
    <s v="Bachelor"/>
    <x v="0"/>
    <s v="Normal"/>
    <n v="20"/>
    <n v="5"/>
    <n v="0"/>
    <n v="18.75"/>
    <n v="8"/>
    <n v="52"/>
    <s v="Medium Risk"/>
  </r>
  <r>
    <n v="1583"/>
    <s v="30-39"/>
    <s v="High Income"/>
    <n v="0"/>
    <n v="0"/>
    <s v="Bachelor"/>
    <x v="2"/>
    <s v="Normal"/>
    <n v="20"/>
    <n v="5"/>
    <n v="0"/>
    <n v="18.75"/>
    <n v="15"/>
    <n v="59"/>
    <s v="High Risk"/>
  </r>
  <r>
    <n v="1585"/>
    <s v="30-39"/>
    <s v="High Income"/>
    <n v="0"/>
    <n v="0"/>
    <s v="Master"/>
    <x v="1"/>
    <s v="Normal"/>
    <n v="20"/>
    <n v="5"/>
    <n v="0"/>
    <n v="12.5"/>
    <n v="25"/>
    <n v="63"/>
    <s v="High Risk"/>
  </r>
  <r>
    <n v="1586"/>
    <s v="Under 30"/>
    <s v="High Income"/>
    <n v="0"/>
    <n v="1"/>
    <s v="Below College"/>
    <x v="0"/>
    <s v="Normal"/>
    <n v="30"/>
    <n v="5"/>
    <n v="25"/>
    <n v="25"/>
    <n v="8"/>
    <n v="93"/>
    <s v="High Risk"/>
  </r>
  <r>
    <n v="1587"/>
    <s v="30-39"/>
    <s v="High Income"/>
    <n v="0"/>
    <n v="1"/>
    <s v="Master"/>
    <x v="2"/>
    <s v="Normal"/>
    <n v="20"/>
    <n v="5"/>
    <n v="25"/>
    <n v="12.5"/>
    <n v="15"/>
    <n v="78"/>
    <s v="High Risk"/>
  </r>
  <r>
    <n v="1588"/>
    <s v="30-39"/>
    <s v="High Income"/>
    <n v="0"/>
    <n v="0"/>
    <s v="Bachelor"/>
    <x v="0"/>
    <s v="Normal"/>
    <n v="20"/>
    <n v="5"/>
    <n v="0"/>
    <n v="12.5"/>
    <n v="8"/>
    <n v="46"/>
    <s v="Medium Risk"/>
  </r>
  <r>
    <n v="1590"/>
    <s v="Under 30"/>
    <s v="High Income"/>
    <n v="0"/>
    <n v="0"/>
    <s v="Below College"/>
    <x v="0"/>
    <s v="Normal"/>
    <n v="30"/>
    <n v="5"/>
    <n v="0"/>
    <n v="6.25"/>
    <n v="8"/>
    <n v="49"/>
    <s v="Medium Risk"/>
  </r>
  <r>
    <n v="1591"/>
    <s v="50+"/>
    <s v="High Income"/>
    <n v="0"/>
    <n v="1"/>
    <s v="Bachelor"/>
    <x v="1"/>
    <s v="Normal"/>
    <n v="15"/>
    <n v="5"/>
    <n v="25"/>
    <n v="12.5"/>
    <n v="25"/>
    <n v="83"/>
    <s v="High Risk"/>
  </r>
  <r>
    <n v="1592"/>
    <s v="Under 30"/>
    <s v="High Income"/>
    <n v="0"/>
    <n v="0"/>
    <s v="Bachelor"/>
    <x v="1"/>
    <s v="Normal"/>
    <n v="30"/>
    <n v="5"/>
    <n v="0"/>
    <n v="12.5"/>
    <n v="25"/>
    <n v="73"/>
    <s v="High Risk"/>
  </r>
  <r>
    <n v="1594"/>
    <s v="30-39"/>
    <s v="High Income"/>
    <n v="0"/>
    <n v="1"/>
    <s v="Master"/>
    <x v="2"/>
    <s v="Normal"/>
    <n v="20"/>
    <n v="5"/>
    <n v="25"/>
    <n v="25"/>
    <n v="15"/>
    <n v="90"/>
    <s v="High Risk"/>
  </r>
  <r>
    <n v="1595"/>
    <s v="40-49"/>
    <s v="High Income"/>
    <n v="0"/>
    <n v="0"/>
    <s v="College"/>
    <x v="1"/>
    <s v="Normal"/>
    <n v="10"/>
    <n v="5"/>
    <n v="0"/>
    <n v="6.25"/>
    <n v="25"/>
    <n v="46"/>
    <s v="Medium Risk"/>
  </r>
  <r>
    <n v="1596"/>
    <s v="30-39"/>
    <s v="High Income"/>
    <n v="0"/>
    <n v="0"/>
    <s v="Bachelor"/>
    <x v="0"/>
    <s v="Elevated"/>
    <n v="20"/>
    <n v="5"/>
    <n v="0"/>
    <n v="12.5"/>
    <n v="8"/>
    <n v="46"/>
    <s v="Medium Risk"/>
  </r>
  <r>
    <n v="1597"/>
    <s v="30-39"/>
    <s v="High Income"/>
    <n v="0"/>
    <n v="0"/>
    <s v="Master"/>
    <x v="0"/>
    <s v="Elevated"/>
    <n v="20"/>
    <n v="5"/>
    <n v="0"/>
    <n v="12.5"/>
    <n v="8"/>
    <n v="46"/>
    <s v="Medium Risk"/>
  </r>
  <r>
    <n v="1598"/>
    <s v="40-49"/>
    <s v="High Income"/>
    <n v="0"/>
    <n v="0"/>
    <s v="College"/>
    <x v="2"/>
    <s v="Normal"/>
    <n v="10"/>
    <n v="5"/>
    <n v="0"/>
    <n v="25"/>
    <n v="15"/>
    <n v="55"/>
    <s v="High Risk"/>
  </r>
  <r>
    <n v="1599"/>
    <s v="40-49"/>
    <s v="High Income"/>
    <n v="0"/>
    <n v="0"/>
    <s v="Bachelor"/>
    <x v="0"/>
    <s v="Normal"/>
    <n v="10"/>
    <n v="5"/>
    <n v="0"/>
    <n v="18.75"/>
    <n v="8"/>
    <n v="42"/>
    <s v="Medium Risk"/>
  </r>
  <r>
    <n v="1601"/>
    <s v="30-39"/>
    <s v="High Income"/>
    <n v="0"/>
    <n v="0"/>
    <s v="College"/>
    <x v="1"/>
    <s v="Elevated"/>
    <n v="20"/>
    <n v="5"/>
    <n v="0"/>
    <n v="6.25"/>
    <n v="25"/>
    <n v="56"/>
    <s v="High Risk"/>
  </r>
  <r>
    <n v="1602"/>
    <s v="40-49"/>
    <s v="High Income"/>
    <n v="0"/>
    <n v="0"/>
    <s v="Master"/>
    <x v="3"/>
    <s v="Elevated"/>
    <n v="10"/>
    <n v="5"/>
    <n v="0"/>
    <n v="25"/>
    <n v="3"/>
    <n v="43"/>
    <s v="Medium Risk"/>
  </r>
  <r>
    <n v="1604"/>
    <s v="Under 30"/>
    <s v="High Income"/>
    <n v="1"/>
    <n v="1"/>
    <s v="Bachelor"/>
    <x v="1"/>
    <s v="Normal"/>
    <n v="30"/>
    <n v="5"/>
    <n v="25"/>
    <n v="18.75"/>
    <n v="25"/>
    <n v="104"/>
    <s v="High Risk"/>
  </r>
  <r>
    <n v="1605"/>
    <s v="Under 30"/>
    <s v="High Income"/>
    <n v="0"/>
    <n v="1"/>
    <s v="College"/>
    <x v="2"/>
    <s v="Elevated"/>
    <n v="30"/>
    <n v="5"/>
    <n v="25"/>
    <n v="12.5"/>
    <n v="15"/>
    <n v="88"/>
    <s v="High Risk"/>
  </r>
  <r>
    <n v="1606"/>
    <s v="50+"/>
    <s v="High Income"/>
    <n v="0"/>
    <n v="1"/>
    <s v="Doctor"/>
    <x v="3"/>
    <s v="Normal"/>
    <n v="15"/>
    <n v="5"/>
    <n v="25"/>
    <n v="12.5"/>
    <n v="3"/>
    <n v="61"/>
    <s v="High Risk"/>
  </r>
  <r>
    <n v="1607"/>
    <s v="30-39"/>
    <s v="High Income"/>
    <n v="0"/>
    <n v="0"/>
    <s v="Master"/>
    <x v="2"/>
    <s v="Normal"/>
    <n v="20"/>
    <n v="5"/>
    <n v="0"/>
    <n v="6.25"/>
    <n v="15"/>
    <n v="46"/>
    <s v="Medium Risk"/>
  </r>
  <r>
    <n v="1608"/>
    <s v="40-49"/>
    <s v="High Income"/>
    <n v="0"/>
    <n v="1"/>
    <s v="Bachelor"/>
    <x v="3"/>
    <s v="Elevated"/>
    <n v="10"/>
    <n v="5"/>
    <n v="25"/>
    <n v="6.25"/>
    <n v="3"/>
    <n v="49"/>
    <s v="Medium Risk"/>
  </r>
  <r>
    <n v="1609"/>
    <s v="30-39"/>
    <s v="High Income"/>
    <n v="0"/>
    <n v="0"/>
    <s v="Bachelor"/>
    <x v="0"/>
    <s v="Elevated"/>
    <n v="20"/>
    <n v="5"/>
    <n v="0"/>
    <n v="18.75"/>
    <n v="8"/>
    <n v="52"/>
    <s v="Medium Risk"/>
  </r>
  <r>
    <n v="1611"/>
    <s v="40-49"/>
    <s v="High Income"/>
    <n v="0"/>
    <n v="1"/>
    <s v="Doctor"/>
    <x v="0"/>
    <s v="Normal"/>
    <n v="10"/>
    <n v="5"/>
    <n v="25"/>
    <n v="25"/>
    <n v="8"/>
    <n v="73"/>
    <s v="High Risk"/>
  </r>
  <r>
    <n v="1612"/>
    <s v="40-49"/>
    <s v="High Income"/>
    <n v="0"/>
    <n v="0"/>
    <s v="Bachelor"/>
    <x v="0"/>
    <s v="Normal"/>
    <n v="10"/>
    <n v="5"/>
    <n v="0"/>
    <n v="25"/>
    <n v="8"/>
    <n v="48"/>
    <s v="Medium Risk"/>
  </r>
  <r>
    <n v="1613"/>
    <s v="30-39"/>
    <s v="High Income"/>
    <n v="0"/>
    <n v="0"/>
    <s v="Master"/>
    <x v="2"/>
    <s v="Normal"/>
    <n v="20"/>
    <n v="5"/>
    <n v="0"/>
    <n v="25"/>
    <n v="15"/>
    <n v="65"/>
    <s v="High Risk"/>
  </r>
  <r>
    <n v="1614"/>
    <s v="30-39"/>
    <s v="High Income"/>
    <n v="0"/>
    <n v="1"/>
    <s v="Master"/>
    <x v="2"/>
    <s v="Normal"/>
    <n v="20"/>
    <n v="5"/>
    <n v="25"/>
    <n v="12.5"/>
    <n v="15"/>
    <n v="78"/>
    <s v="High Risk"/>
  </r>
  <r>
    <n v="1615"/>
    <s v="30-39"/>
    <s v="High Income"/>
    <n v="0"/>
    <n v="0"/>
    <s v="Master"/>
    <x v="0"/>
    <s v="Normal"/>
    <n v="20"/>
    <n v="5"/>
    <n v="0"/>
    <n v="6.25"/>
    <n v="8"/>
    <n v="39"/>
    <s v="Medium Risk"/>
  </r>
  <r>
    <n v="1617"/>
    <s v="40-49"/>
    <s v="High Income"/>
    <n v="0"/>
    <n v="0"/>
    <s v="Master"/>
    <x v="0"/>
    <s v="Elevated"/>
    <n v="10"/>
    <n v="5"/>
    <n v="0"/>
    <n v="25"/>
    <n v="8"/>
    <n v="48"/>
    <s v="Medium Risk"/>
  </r>
  <r>
    <n v="1618"/>
    <s v="30-39"/>
    <s v="High Income"/>
    <n v="0"/>
    <n v="0"/>
    <s v="Doctor"/>
    <x v="0"/>
    <s v="Normal"/>
    <n v="20"/>
    <n v="5"/>
    <n v="0"/>
    <n v="25"/>
    <n v="8"/>
    <n v="58"/>
    <s v="High Risk"/>
  </r>
  <r>
    <n v="1619"/>
    <s v="Under 30"/>
    <s v="High Income"/>
    <n v="0"/>
    <n v="0"/>
    <s v="Bachelor"/>
    <x v="0"/>
    <s v="Normal"/>
    <n v="30"/>
    <n v="5"/>
    <n v="0"/>
    <n v="25"/>
    <n v="8"/>
    <n v="68"/>
    <s v="High Risk"/>
  </r>
  <r>
    <n v="1621"/>
    <s v="30-39"/>
    <s v="High Income"/>
    <n v="0"/>
    <n v="0"/>
    <s v="Doctor"/>
    <x v="3"/>
    <s v="Normal"/>
    <n v="20"/>
    <n v="5"/>
    <n v="0"/>
    <n v="25"/>
    <n v="3"/>
    <n v="53"/>
    <s v="Medium Risk"/>
  </r>
  <r>
    <n v="1622"/>
    <s v="Under 30"/>
    <s v="High Income"/>
    <n v="0"/>
    <n v="0"/>
    <s v="Bachelor"/>
    <x v="2"/>
    <s v="Elevated"/>
    <n v="30"/>
    <n v="5"/>
    <n v="0"/>
    <n v="25"/>
    <n v="15"/>
    <n v="75"/>
    <s v="High Risk"/>
  </r>
  <r>
    <n v="1623"/>
    <s v="Under 30"/>
    <s v="High Income"/>
    <n v="0"/>
    <n v="0"/>
    <s v="Below College"/>
    <x v="1"/>
    <s v="Normal"/>
    <n v="30"/>
    <n v="5"/>
    <n v="0"/>
    <n v="6.25"/>
    <n v="25"/>
    <n v="66"/>
    <s v="High Risk"/>
  </r>
  <r>
    <n v="1624"/>
    <s v="Under 30"/>
    <s v="High Income"/>
    <n v="1"/>
    <n v="1"/>
    <s v="College"/>
    <x v="1"/>
    <s v="Normal"/>
    <n v="30"/>
    <n v="5"/>
    <n v="25"/>
    <n v="6.25"/>
    <n v="25"/>
    <n v="91"/>
    <s v="High Risk"/>
  </r>
  <r>
    <n v="1625"/>
    <s v="40-49"/>
    <s v="High Income"/>
    <n v="0"/>
    <n v="0"/>
    <s v="Master"/>
    <x v="2"/>
    <s v="Normal"/>
    <n v="10"/>
    <n v="5"/>
    <n v="0"/>
    <n v="12.5"/>
    <n v="15"/>
    <n v="43"/>
    <s v="Medium Risk"/>
  </r>
  <r>
    <n v="1627"/>
    <s v="30-39"/>
    <s v="High Income"/>
    <n v="0"/>
    <n v="0"/>
    <s v="College"/>
    <x v="0"/>
    <s v="Normal"/>
    <n v="20"/>
    <n v="5"/>
    <n v="0"/>
    <n v="12.5"/>
    <n v="8"/>
    <n v="46"/>
    <s v="Medium Risk"/>
  </r>
  <r>
    <n v="1628"/>
    <s v="40-49"/>
    <s v="High Income"/>
    <n v="0"/>
    <n v="0"/>
    <s v="Bachelor"/>
    <x v="3"/>
    <s v="Normal"/>
    <n v="10"/>
    <n v="5"/>
    <n v="0"/>
    <n v="12.5"/>
    <n v="3"/>
    <n v="31"/>
    <s v="Low Risk"/>
  </r>
  <r>
    <n v="1630"/>
    <s v="30-39"/>
    <s v="High Income"/>
    <n v="0"/>
    <n v="0"/>
    <s v="Master"/>
    <x v="3"/>
    <s v="Normal"/>
    <n v="20"/>
    <n v="5"/>
    <n v="0"/>
    <n v="12.5"/>
    <n v="3"/>
    <n v="41"/>
    <s v="Medium Risk"/>
  </r>
  <r>
    <n v="1631"/>
    <s v="30-39"/>
    <s v="High Income"/>
    <n v="0"/>
    <n v="0"/>
    <s v="Bachelor"/>
    <x v="2"/>
    <s v="Elevated"/>
    <n v="20"/>
    <n v="5"/>
    <n v="0"/>
    <n v="12.5"/>
    <n v="15"/>
    <n v="53"/>
    <s v="Medium Risk"/>
  </r>
  <r>
    <n v="1633"/>
    <s v="30-39"/>
    <s v="High Income"/>
    <n v="0"/>
    <n v="0"/>
    <s v="Bachelor"/>
    <x v="0"/>
    <s v="Elevated"/>
    <n v="20"/>
    <n v="5"/>
    <n v="0"/>
    <n v="12.5"/>
    <n v="8"/>
    <n v="46"/>
    <s v="Medium Risk"/>
  </r>
  <r>
    <n v="1635"/>
    <s v="40-49"/>
    <s v="High Income"/>
    <n v="0"/>
    <n v="0"/>
    <s v="College"/>
    <x v="0"/>
    <s v="Normal"/>
    <n v="10"/>
    <n v="5"/>
    <n v="0"/>
    <n v="6.25"/>
    <n v="8"/>
    <n v="29"/>
    <s v="Low Risk"/>
  </r>
  <r>
    <n v="1638"/>
    <s v="30-39"/>
    <s v="High Income"/>
    <n v="0"/>
    <n v="1"/>
    <s v="College"/>
    <x v="2"/>
    <s v="Normal"/>
    <n v="20"/>
    <n v="5"/>
    <n v="25"/>
    <n v="12.5"/>
    <n v="15"/>
    <n v="78"/>
    <s v="High Risk"/>
  </r>
  <r>
    <n v="1639"/>
    <s v="30-39"/>
    <s v="High Income"/>
    <n v="1"/>
    <n v="0"/>
    <s v="Bachelor"/>
    <x v="3"/>
    <s v="Normal"/>
    <n v="20"/>
    <n v="5"/>
    <n v="0"/>
    <n v="25"/>
    <n v="3"/>
    <n v="53"/>
    <s v="Medium Risk"/>
  </r>
  <r>
    <n v="1640"/>
    <s v="30-39"/>
    <s v="High Income"/>
    <n v="0"/>
    <n v="0"/>
    <s v="Bachelor"/>
    <x v="0"/>
    <s v="Elevated"/>
    <n v="20"/>
    <n v="5"/>
    <n v="0"/>
    <n v="18.75"/>
    <n v="8"/>
    <n v="52"/>
    <s v="Medium Risk"/>
  </r>
  <r>
    <n v="1641"/>
    <s v="40-49"/>
    <s v="High Income"/>
    <n v="0"/>
    <n v="1"/>
    <s v="Bachelor"/>
    <x v="2"/>
    <s v="Elevated"/>
    <n v="10"/>
    <n v="5"/>
    <n v="25"/>
    <n v="6.25"/>
    <n v="15"/>
    <n v="61"/>
    <s v="High Risk"/>
  </r>
  <r>
    <n v="1642"/>
    <s v="40-49"/>
    <s v="High Income"/>
    <n v="0"/>
    <n v="1"/>
    <s v="Doctor"/>
    <x v="0"/>
    <s v="Normal"/>
    <n v="10"/>
    <n v="5"/>
    <n v="25"/>
    <n v="6.25"/>
    <n v="8"/>
    <n v="54"/>
    <s v="Medium Risk"/>
  </r>
  <r>
    <n v="1644"/>
    <s v="40-49"/>
    <s v="High Income"/>
    <n v="0"/>
    <n v="0"/>
    <s v="Doctor"/>
    <x v="1"/>
    <s v="Normal"/>
    <n v="10"/>
    <n v="5"/>
    <n v="0"/>
    <n v="6.25"/>
    <n v="25"/>
    <n v="46"/>
    <s v="Medium Risk"/>
  </r>
  <r>
    <n v="1645"/>
    <s v="30-39"/>
    <s v="High Income"/>
    <n v="1"/>
    <n v="1"/>
    <s v="College"/>
    <x v="1"/>
    <s v="Elevated"/>
    <n v="20"/>
    <n v="5"/>
    <n v="25"/>
    <n v="6.25"/>
    <n v="25"/>
    <n v="81"/>
    <s v="High Risk"/>
  </r>
  <r>
    <n v="1646"/>
    <s v="Under 30"/>
    <s v="High Income"/>
    <n v="0"/>
    <n v="1"/>
    <s v="Below College"/>
    <x v="0"/>
    <s v="Normal"/>
    <n v="30"/>
    <n v="5"/>
    <n v="25"/>
    <n v="6.25"/>
    <n v="8"/>
    <n v="74"/>
    <s v="High Risk"/>
  </r>
  <r>
    <n v="1647"/>
    <s v="Under 30"/>
    <s v="High Income"/>
    <n v="0"/>
    <n v="0"/>
    <s v="Bachelor"/>
    <x v="2"/>
    <s v="Normal"/>
    <n v="30"/>
    <n v="5"/>
    <n v="0"/>
    <n v="12.5"/>
    <n v="15"/>
    <n v="63"/>
    <s v="High Risk"/>
  </r>
  <r>
    <n v="1648"/>
    <s v="Under 30"/>
    <s v="High Income"/>
    <n v="0"/>
    <n v="0"/>
    <s v="Bachelor"/>
    <x v="2"/>
    <s v="Elevated"/>
    <n v="30"/>
    <n v="5"/>
    <n v="0"/>
    <n v="6.25"/>
    <n v="15"/>
    <n v="56"/>
    <s v="High Risk"/>
  </r>
  <r>
    <n v="1649"/>
    <s v="40-49"/>
    <s v="High Income"/>
    <n v="1"/>
    <n v="1"/>
    <s v="Bachelor"/>
    <x v="2"/>
    <s v="Elevated"/>
    <n v="10"/>
    <n v="5"/>
    <n v="25"/>
    <n v="25"/>
    <n v="15"/>
    <n v="80"/>
    <s v="High Risk"/>
  </r>
  <r>
    <n v="1650"/>
    <s v="Under 30"/>
    <s v="High Income"/>
    <n v="0"/>
    <n v="0"/>
    <s v="Bachelor"/>
    <x v="2"/>
    <s v="Normal"/>
    <n v="30"/>
    <n v="5"/>
    <n v="0"/>
    <n v="12.5"/>
    <n v="15"/>
    <n v="63"/>
    <s v="High Risk"/>
  </r>
  <r>
    <n v="1651"/>
    <s v="30-39"/>
    <s v="High Income"/>
    <n v="0"/>
    <n v="0"/>
    <s v="Master"/>
    <x v="2"/>
    <s v="Normal"/>
    <n v="20"/>
    <n v="5"/>
    <n v="0"/>
    <n v="25"/>
    <n v="15"/>
    <n v="65"/>
    <s v="High Risk"/>
  </r>
  <r>
    <n v="1653"/>
    <s v="Under 30"/>
    <s v="High Income"/>
    <n v="0"/>
    <n v="0"/>
    <s v="Below College"/>
    <x v="0"/>
    <s v="Normal"/>
    <n v="30"/>
    <n v="5"/>
    <n v="0"/>
    <n v="12.5"/>
    <n v="8"/>
    <n v="56"/>
    <s v="High Risk"/>
  </r>
  <r>
    <n v="1654"/>
    <s v="30-39"/>
    <s v="High Income"/>
    <n v="0"/>
    <n v="0"/>
    <s v="Bachelor"/>
    <x v="2"/>
    <s v="Normal"/>
    <n v="20"/>
    <n v="5"/>
    <n v="0"/>
    <n v="18.75"/>
    <n v="15"/>
    <n v="59"/>
    <s v="High Risk"/>
  </r>
  <r>
    <n v="1655"/>
    <s v="40-49"/>
    <s v="High Income"/>
    <n v="0"/>
    <n v="0"/>
    <s v="Master"/>
    <x v="2"/>
    <s v="Normal"/>
    <n v="10"/>
    <n v="5"/>
    <n v="0"/>
    <n v="18.75"/>
    <n v="15"/>
    <n v="49"/>
    <s v="Medium Risk"/>
  </r>
  <r>
    <n v="1656"/>
    <s v="50+"/>
    <s v="High Income"/>
    <n v="0"/>
    <n v="0"/>
    <s v="Doctor"/>
    <x v="3"/>
    <s v="Normal"/>
    <n v="15"/>
    <n v="5"/>
    <n v="0"/>
    <n v="25"/>
    <n v="3"/>
    <n v="48"/>
    <s v="Medium Risk"/>
  </r>
  <r>
    <n v="1657"/>
    <s v="Under 30"/>
    <s v="High Income"/>
    <n v="0"/>
    <n v="0"/>
    <s v="Bachelor"/>
    <x v="1"/>
    <s v="Normal"/>
    <n v="30"/>
    <n v="5"/>
    <n v="0"/>
    <n v="12.5"/>
    <n v="25"/>
    <n v="73"/>
    <s v="High Risk"/>
  </r>
  <r>
    <n v="1658"/>
    <s v="30-39"/>
    <s v="High Income"/>
    <n v="0"/>
    <n v="0"/>
    <s v="Bachelor"/>
    <x v="3"/>
    <s v="Normal"/>
    <n v="20"/>
    <n v="5"/>
    <n v="0"/>
    <n v="18.75"/>
    <n v="3"/>
    <n v="47"/>
    <s v="Medium Risk"/>
  </r>
  <r>
    <n v="1659"/>
    <s v="30-39"/>
    <s v="High Income"/>
    <n v="0"/>
    <n v="0"/>
    <s v="Bachelor"/>
    <x v="2"/>
    <s v="Normal"/>
    <n v="20"/>
    <n v="5"/>
    <n v="0"/>
    <n v="18.75"/>
    <n v="15"/>
    <n v="59"/>
    <s v="High Risk"/>
  </r>
  <r>
    <n v="1661"/>
    <s v="40-49"/>
    <s v="High Income"/>
    <n v="0"/>
    <n v="1"/>
    <s v="Below College"/>
    <x v="3"/>
    <s v="Normal"/>
    <n v="10"/>
    <n v="5"/>
    <n v="25"/>
    <n v="12.5"/>
    <n v="3"/>
    <n v="56"/>
    <s v="High Risk"/>
  </r>
  <r>
    <n v="1662"/>
    <s v="30-39"/>
    <s v="High Income"/>
    <n v="0"/>
    <n v="0"/>
    <s v="Master"/>
    <x v="2"/>
    <s v="Normal"/>
    <n v="20"/>
    <n v="5"/>
    <n v="0"/>
    <n v="12.5"/>
    <n v="15"/>
    <n v="53"/>
    <s v="Medium Risk"/>
  </r>
  <r>
    <n v="1664"/>
    <s v="30-39"/>
    <s v="High Income"/>
    <n v="0"/>
    <n v="0"/>
    <s v="College"/>
    <x v="2"/>
    <s v="Normal"/>
    <n v="20"/>
    <n v="5"/>
    <n v="0"/>
    <n v="25"/>
    <n v="15"/>
    <n v="65"/>
    <s v="High Risk"/>
  </r>
  <r>
    <n v="1665"/>
    <s v="50+"/>
    <s v="High Income"/>
    <n v="0"/>
    <n v="0"/>
    <s v="Doctor"/>
    <x v="0"/>
    <s v="Normal"/>
    <n v="15"/>
    <n v="5"/>
    <n v="0"/>
    <n v="12.5"/>
    <n v="8"/>
    <n v="41"/>
    <s v="Medium Risk"/>
  </r>
  <r>
    <n v="1666"/>
    <s v="40-49"/>
    <s v="High Income"/>
    <n v="0"/>
    <n v="0"/>
    <s v="College"/>
    <x v="3"/>
    <s v="Normal"/>
    <n v="10"/>
    <n v="5"/>
    <n v="0"/>
    <n v="12.5"/>
    <n v="3"/>
    <n v="31"/>
    <s v="Low Risk"/>
  </r>
  <r>
    <n v="1667"/>
    <s v="30-39"/>
    <s v="High Income"/>
    <n v="1"/>
    <n v="1"/>
    <s v="Master"/>
    <x v="3"/>
    <s v="Normal"/>
    <n v="20"/>
    <n v="5"/>
    <n v="25"/>
    <n v="6.25"/>
    <n v="3"/>
    <n v="59"/>
    <s v="High Risk"/>
  </r>
  <r>
    <n v="1668"/>
    <s v="30-39"/>
    <s v="High Income"/>
    <n v="0"/>
    <n v="0"/>
    <s v="Bachelor"/>
    <x v="3"/>
    <s v="Normal"/>
    <n v="20"/>
    <n v="5"/>
    <n v="0"/>
    <n v="6.25"/>
    <n v="3"/>
    <n v="34"/>
    <s v="Low Risk"/>
  </r>
  <r>
    <n v="1669"/>
    <s v="Under 30"/>
    <s v="High Income"/>
    <n v="0"/>
    <n v="1"/>
    <s v="Bachelor"/>
    <x v="0"/>
    <s v="Elevated"/>
    <n v="30"/>
    <n v="5"/>
    <n v="25"/>
    <n v="18.75"/>
    <n v="8"/>
    <n v="87"/>
    <s v="High Risk"/>
  </r>
  <r>
    <n v="1670"/>
    <s v="30-39"/>
    <s v="High Income"/>
    <n v="0"/>
    <n v="0"/>
    <s v="Master"/>
    <x v="0"/>
    <s v="Normal"/>
    <n v="20"/>
    <n v="5"/>
    <n v="0"/>
    <n v="6.25"/>
    <n v="8"/>
    <n v="39"/>
    <s v="Medium Risk"/>
  </r>
  <r>
    <n v="1671"/>
    <s v="30-39"/>
    <s v="High Income"/>
    <n v="0"/>
    <n v="0"/>
    <s v="Bachelor"/>
    <x v="0"/>
    <s v="Elevated"/>
    <n v="20"/>
    <n v="5"/>
    <n v="0"/>
    <n v="18.75"/>
    <n v="8"/>
    <n v="52"/>
    <s v="Medium Risk"/>
  </r>
  <r>
    <n v="1673"/>
    <s v="30-39"/>
    <s v="High Income"/>
    <n v="0"/>
    <n v="0"/>
    <s v="Master"/>
    <x v="0"/>
    <s v="Normal"/>
    <n v="20"/>
    <n v="5"/>
    <n v="0"/>
    <n v="6.25"/>
    <n v="8"/>
    <n v="39"/>
    <s v="Medium Risk"/>
  </r>
  <r>
    <n v="1674"/>
    <s v="40-49"/>
    <s v="High Income"/>
    <n v="0"/>
    <n v="1"/>
    <s v="Bachelor"/>
    <x v="1"/>
    <s v="Elevated"/>
    <n v="10"/>
    <n v="5"/>
    <n v="25"/>
    <n v="25"/>
    <n v="25"/>
    <n v="90"/>
    <s v="High Risk"/>
  </r>
  <r>
    <n v="1675"/>
    <s v="30-39"/>
    <s v="High Income"/>
    <n v="0"/>
    <n v="0"/>
    <s v="Bachelor"/>
    <x v="2"/>
    <s v="Normal"/>
    <n v="20"/>
    <n v="5"/>
    <n v="0"/>
    <n v="18.75"/>
    <n v="15"/>
    <n v="59"/>
    <s v="High Risk"/>
  </r>
  <r>
    <n v="1676"/>
    <s v="40-49"/>
    <s v="High Income"/>
    <n v="0"/>
    <n v="0"/>
    <s v="Master"/>
    <x v="2"/>
    <s v="Normal"/>
    <n v="10"/>
    <n v="5"/>
    <n v="0"/>
    <n v="18.75"/>
    <n v="15"/>
    <n v="49"/>
    <s v="Medium Risk"/>
  </r>
  <r>
    <n v="1677"/>
    <s v="40-49"/>
    <s v="High Income"/>
    <n v="0"/>
    <n v="0"/>
    <s v="Bachelor"/>
    <x v="0"/>
    <s v="Normal"/>
    <n v="10"/>
    <n v="5"/>
    <n v="0"/>
    <n v="12.5"/>
    <n v="8"/>
    <n v="36"/>
    <s v="Medium Risk"/>
  </r>
  <r>
    <n v="1678"/>
    <s v="40-49"/>
    <s v="High Income"/>
    <n v="0"/>
    <n v="1"/>
    <s v="College"/>
    <x v="1"/>
    <s v="Normal"/>
    <n v="10"/>
    <n v="5"/>
    <n v="25"/>
    <n v="12.5"/>
    <n v="25"/>
    <n v="78"/>
    <s v="High Risk"/>
  </r>
  <r>
    <n v="1680"/>
    <s v="Under 30"/>
    <s v="High Income"/>
    <n v="0"/>
    <n v="0"/>
    <s v="Below College"/>
    <x v="1"/>
    <s v="Normal"/>
    <n v="30"/>
    <n v="5"/>
    <n v="0"/>
    <n v="25"/>
    <n v="25"/>
    <n v="85"/>
    <s v="High Risk"/>
  </r>
  <r>
    <n v="1681"/>
    <s v="30-39"/>
    <s v="High Income"/>
    <n v="0"/>
    <n v="1"/>
    <s v="Bachelor"/>
    <x v="0"/>
    <s v="Normal"/>
    <n v="20"/>
    <n v="5"/>
    <n v="25"/>
    <n v="6.25"/>
    <n v="8"/>
    <n v="64"/>
    <s v="High Risk"/>
  </r>
  <r>
    <n v="1682"/>
    <s v="30-39"/>
    <s v="High Income"/>
    <n v="0"/>
    <n v="0"/>
    <s v="Master"/>
    <x v="2"/>
    <s v="Elevated"/>
    <n v="20"/>
    <n v="5"/>
    <n v="0"/>
    <n v="12.5"/>
    <n v="15"/>
    <n v="53"/>
    <s v="Medium Risk"/>
  </r>
  <r>
    <n v="1683"/>
    <s v="40-49"/>
    <s v="High Income"/>
    <n v="0"/>
    <n v="1"/>
    <s v="Bachelor"/>
    <x v="1"/>
    <s v="Normal"/>
    <n v="10"/>
    <n v="5"/>
    <n v="25"/>
    <n v="6.25"/>
    <n v="25"/>
    <n v="71"/>
    <s v="High Risk"/>
  </r>
  <r>
    <n v="1684"/>
    <s v="Under 30"/>
    <s v="High Income"/>
    <n v="1"/>
    <n v="1"/>
    <s v="Below College"/>
    <x v="2"/>
    <s v="Normal"/>
    <n v="30"/>
    <n v="5"/>
    <n v="25"/>
    <n v="12.5"/>
    <n v="15"/>
    <n v="88"/>
    <s v="High Risk"/>
  </r>
  <r>
    <n v="1687"/>
    <s v="30-39"/>
    <s v="High Income"/>
    <n v="0"/>
    <n v="0"/>
    <s v="College"/>
    <x v="1"/>
    <s v="Elevated"/>
    <n v="20"/>
    <n v="5"/>
    <n v="0"/>
    <n v="12.5"/>
    <n v="25"/>
    <n v="63"/>
    <s v="High Risk"/>
  </r>
  <r>
    <n v="1689"/>
    <s v="50+"/>
    <s v="High Income"/>
    <n v="0"/>
    <n v="0"/>
    <s v="Master"/>
    <x v="2"/>
    <s v="Normal"/>
    <n v="15"/>
    <n v="5"/>
    <n v="0"/>
    <n v="6.25"/>
    <n v="15"/>
    <n v="41"/>
    <s v="Medium Risk"/>
  </r>
  <r>
    <n v="1691"/>
    <s v="40-49"/>
    <s v="High Income"/>
    <n v="1"/>
    <n v="1"/>
    <s v="College"/>
    <x v="0"/>
    <s v="Normal"/>
    <n v="10"/>
    <n v="5"/>
    <n v="25"/>
    <n v="12.5"/>
    <n v="8"/>
    <n v="61"/>
    <s v="High Risk"/>
  </r>
  <r>
    <n v="1692"/>
    <s v="30-39"/>
    <s v="High Income"/>
    <n v="1"/>
    <n v="0"/>
    <s v="Master"/>
    <x v="1"/>
    <s v="Normal"/>
    <n v="20"/>
    <n v="5"/>
    <n v="0"/>
    <n v="18.75"/>
    <n v="25"/>
    <n v="69"/>
    <s v="High Risk"/>
  </r>
  <r>
    <n v="1693"/>
    <s v="Under 30"/>
    <s v="High Income"/>
    <n v="0"/>
    <n v="0"/>
    <s v="Bachelor"/>
    <x v="0"/>
    <s v="Normal"/>
    <n v="30"/>
    <n v="5"/>
    <n v="0"/>
    <n v="6.25"/>
    <n v="8"/>
    <n v="49"/>
    <s v="Medium Risk"/>
  </r>
  <r>
    <n v="1694"/>
    <s v="50+"/>
    <s v="High Income"/>
    <n v="0"/>
    <n v="0"/>
    <s v="Bachelor"/>
    <x v="2"/>
    <s v="Normal"/>
    <n v="15"/>
    <n v="5"/>
    <n v="0"/>
    <n v="18.75"/>
    <n v="15"/>
    <n v="54"/>
    <s v="Medium Risk"/>
  </r>
  <r>
    <n v="1696"/>
    <s v="30-39"/>
    <s v="High Income"/>
    <n v="0"/>
    <n v="0"/>
    <s v="College"/>
    <x v="3"/>
    <s v="Normal"/>
    <n v="20"/>
    <n v="5"/>
    <n v="0"/>
    <n v="6.25"/>
    <n v="3"/>
    <n v="34"/>
    <s v="Low Risk"/>
  </r>
  <r>
    <n v="1697"/>
    <s v="50+"/>
    <s v="High Income"/>
    <n v="0"/>
    <n v="0"/>
    <s v="Master"/>
    <x v="1"/>
    <s v="Normal"/>
    <n v="15"/>
    <n v="5"/>
    <n v="0"/>
    <n v="6.25"/>
    <n v="25"/>
    <n v="51"/>
    <s v="Medium Risk"/>
  </r>
  <r>
    <n v="1698"/>
    <s v="30-39"/>
    <s v="High Income"/>
    <n v="0"/>
    <n v="0"/>
    <s v="Bachelor"/>
    <x v="3"/>
    <s v="Normal"/>
    <n v="20"/>
    <n v="5"/>
    <n v="0"/>
    <n v="18.75"/>
    <n v="3"/>
    <n v="47"/>
    <s v="Medium Risk"/>
  </r>
  <r>
    <n v="1700"/>
    <s v="30-39"/>
    <s v="High Income"/>
    <n v="0"/>
    <n v="0"/>
    <s v="Master"/>
    <x v="0"/>
    <s v="Elevated"/>
    <n v="20"/>
    <n v="5"/>
    <n v="0"/>
    <n v="6.25"/>
    <n v="8"/>
    <n v="39"/>
    <s v="Medium Risk"/>
  </r>
  <r>
    <n v="1701"/>
    <s v="30-39"/>
    <s v="High Income"/>
    <n v="0"/>
    <n v="0"/>
    <s v="Bachelor"/>
    <x v="0"/>
    <s v="Normal"/>
    <n v="20"/>
    <n v="5"/>
    <n v="0"/>
    <n v="6.25"/>
    <n v="8"/>
    <n v="39"/>
    <s v="Medium Risk"/>
  </r>
  <r>
    <n v="1702"/>
    <s v="Under 30"/>
    <s v="High Income"/>
    <n v="1"/>
    <n v="1"/>
    <s v="Bachelor"/>
    <x v="2"/>
    <s v="Normal"/>
    <n v="30"/>
    <n v="5"/>
    <n v="25"/>
    <n v="6.25"/>
    <n v="15"/>
    <n v="81"/>
    <s v="High Risk"/>
  </r>
  <r>
    <n v="1703"/>
    <s v="40-49"/>
    <s v="High Income"/>
    <n v="0"/>
    <n v="1"/>
    <s v="Bachelor"/>
    <x v="0"/>
    <s v="Normal"/>
    <n v="10"/>
    <n v="5"/>
    <n v="25"/>
    <n v="6.25"/>
    <n v="8"/>
    <n v="54"/>
    <s v="Medium Risk"/>
  </r>
  <r>
    <n v="1704"/>
    <s v="30-39"/>
    <s v="High Income"/>
    <n v="0"/>
    <n v="1"/>
    <s v="Master"/>
    <x v="2"/>
    <s v="Normal"/>
    <n v="20"/>
    <n v="5"/>
    <n v="25"/>
    <n v="6.25"/>
    <n v="15"/>
    <n v="71"/>
    <s v="High Risk"/>
  </r>
  <r>
    <n v="1706"/>
    <s v="40-49"/>
    <s v="High Income"/>
    <n v="0"/>
    <n v="1"/>
    <s v="Bachelor"/>
    <x v="0"/>
    <s v="Normal"/>
    <n v="10"/>
    <n v="5"/>
    <n v="25"/>
    <n v="6.25"/>
    <n v="8"/>
    <n v="54"/>
    <s v="Medium Risk"/>
  </r>
  <r>
    <n v="1707"/>
    <s v="Under 30"/>
    <s v="High Income"/>
    <n v="0"/>
    <n v="0"/>
    <s v="Bachelor"/>
    <x v="2"/>
    <s v="Normal"/>
    <n v="30"/>
    <n v="5"/>
    <n v="0"/>
    <n v="12.5"/>
    <n v="15"/>
    <n v="63"/>
    <s v="High Risk"/>
  </r>
  <r>
    <n v="1708"/>
    <s v="40-49"/>
    <s v="High Income"/>
    <n v="0"/>
    <n v="0"/>
    <s v="Bachelor"/>
    <x v="0"/>
    <s v="Normal"/>
    <n v="10"/>
    <n v="5"/>
    <n v="0"/>
    <n v="12.5"/>
    <n v="8"/>
    <n v="36"/>
    <s v="Medium Risk"/>
  </r>
  <r>
    <n v="1709"/>
    <s v="Under 30"/>
    <s v="High Income"/>
    <n v="0"/>
    <n v="0"/>
    <s v="Master"/>
    <x v="2"/>
    <s v="Normal"/>
    <n v="30"/>
    <n v="5"/>
    <n v="0"/>
    <n v="12.5"/>
    <n v="15"/>
    <n v="63"/>
    <s v="High Risk"/>
  </r>
  <r>
    <n v="1710"/>
    <s v="30-39"/>
    <s v="High Income"/>
    <n v="0"/>
    <n v="0"/>
    <s v="Master"/>
    <x v="3"/>
    <s v="Elevated"/>
    <n v="20"/>
    <n v="5"/>
    <n v="0"/>
    <n v="6.25"/>
    <n v="3"/>
    <n v="34"/>
    <s v="Low Risk"/>
  </r>
  <r>
    <n v="1712"/>
    <s v="40-49"/>
    <s v="High Income"/>
    <n v="0"/>
    <n v="0"/>
    <s v="Below College"/>
    <x v="3"/>
    <s v="Elevated"/>
    <n v="10"/>
    <n v="5"/>
    <n v="0"/>
    <n v="12.5"/>
    <n v="3"/>
    <n v="31"/>
    <s v="Low Risk"/>
  </r>
  <r>
    <n v="1714"/>
    <s v="Under 30"/>
    <s v="High Income"/>
    <n v="1"/>
    <n v="0"/>
    <s v="Below College"/>
    <x v="1"/>
    <s v="Normal"/>
    <n v="30"/>
    <n v="5"/>
    <n v="0"/>
    <n v="12.5"/>
    <n v="25"/>
    <n v="73"/>
    <s v="High Risk"/>
  </r>
  <r>
    <n v="1716"/>
    <s v="40-49"/>
    <s v="High Income"/>
    <n v="1"/>
    <n v="0"/>
    <s v="Bachelor"/>
    <x v="3"/>
    <s v="Elevated"/>
    <n v="10"/>
    <n v="5"/>
    <n v="0"/>
    <n v="12.5"/>
    <n v="3"/>
    <n v="31"/>
    <s v="Low Risk"/>
  </r>
  <r>
    <n v="1718"/>
    <s v="Under 30"/>
    <s v="High Income"/>
    <n v="0"/>
    <n v="0"/>
    <s v="Master"/>
    <x v="2"/>
    <s v="Normal"/>
    <n v="30"/>
    <n v="5"/>
    <n v="0"/>
    <n v="12.5"/>
    <n v="15"/>
    <n v="63"/>
    <s v="High Risk"/>
  </r>
  <r>
    <n v="1719"/>
    <s v="40-49"/>
    <s v="High Income"/>
    <n v="0"/>
    <n v="0"/>
    <s v="College"/>
    <x v="3"/>
    <s v="Normal"/>
    <n v="10"/>
    <n v="5"/>
    <n v="0"/>
    <n v="18.75"/>
    <n v="3"/>
    <n v="37"/>
    <s v="Medium Risk"/>
  </r>
  <r>
    <n v="1720"/>
    <s v="30-39"/>
    <s v="High Income"/>
    <n v="0"/>
    <n v="0"/>
    <s v="Bachelor"/>
    <x v="2"/>
    <s v="Elevated"/>
    <n v="20"/>
    <n v="5"/>
    <n v="0"/>
    <n v="12.5"/>
    <n v="15"/>
    <n v="53"/>
    <s v="Medium Risk"/>
  </r>
  <r>
    <n v="1721"/>
    <s v="30-39"/>
    <s v="High Income"/>
    <n v="0"/>
    <n v="0"/>
    <s v="Master"/>
    <x v="2"/>
    <s v="Normal"/>
    <n v="20"/>
    <n v="5"/>
    <n v="0"/>
    <n v="12.5"/>
    <n v="15"/>
    <n v="53"/>
    <s v="Medium Risk"/>
  </r>
  <r>
    <n v="1722"/>
    <s v="40-49"/>
    <s v="High Income"/>
    <n v="0"/>
    <n v="0"/>
    <s v="Bachelor"/>
    <x v="2"/>
    <s v="Normal"/>
    <n v="10"/>
    <n v="5"/>
    <n v="0"/>
    <n v="18.75"/>
    <n v="15"/>
    <n v="49"/>
    <s v="Medium Risk"/>
  </r>
  <r>
    <n v="1724"/>
    <s v="40-49"/>
    <s v="High Income"/>
    <n v="0"/>
    <n v="1"/>
    <s v="College"/>
    <x v="1"/>
    <s v="Normal"/>
    <n v="10"/>
    <n v="5"/>
    <n v="25"/>
    <n v="25"/>
    <n v="25"/>
    <n v="90"/>
    <s v="High Risk"/>
  </r>
  <r>
    <n v="1725"/>
    <s v="Under 30"/>
    <s v="High Income"/>
    <n v="0"/>
    <n v="0"/>
    <s v="Below College"/>
    <x v="0"/>
    <s v="Normal"/>
    <n v="30"/>
    <n v="5"/>
    <n v="0"/>
    <n v="25"/>
    <n v="8"/>
    <n v="68"/>
    <s v="High Risk"/>
  </r>
  <r>
    <n v="1727"/>
    <s v="40-49"/>
    <s v="High Income"/>
    <n v="0"/>
    <n v="0"/>
    <s v="Master"/>
    <x v="0"/>
    <s v="Normal"/>
    <n v="10"/>
    <n v="5"/>
    <n v="0"/>
    <n v="18.75"/>
    <n v="8"/>
    <n v="42"/>
    <s v="Medium Risk"/>
  </r>
  <r>
    <n v="1728"/>
    <s v="30-39"/>
    <s v="High Income"/>
    <n v="0"/>
    <n v="0"/>
    <s v="Master"/>
    <x v="0"/>
    <s v="Normal"/>
    <n v="20"/>
    <n v="5"/>
    <n v="0"/>
    <n v="12.5"/>
    <n v="8"/>
    <n v="46"/>
    <s v="Medium Risk"/>
  </r>
  <r>
    <n v="1729"/>
    <s v="30-39"/>
    <s v="High Income"/>
    <n v="0"/>
    <n v="0"/>
    <s v="Below College"/>
    <x v="0"/>
    <s v="Elevated"/>
    <n v="20"/>
    <n v="5"/>
    <n v="0"/>
    <n v="6.25"/>
    <n v="8"/>
    <n v="39"/>
    <s v="Medium Risk"/>
  </r>
  <r>
    <n v="1731"/>
    <s v="40-49"/>
    <s v="High Income"/>
    <n v="0"/>
    <n v="0"/>
    <s v="Master"/>
    <x v="1"/>
    <s v="Elevated"/>
    <n v="10"/>
    <n v="5"/>
    <n v="0"/>
    <n v="18.75"/>
    <n v="25"/>
    <n v="59"/>
    <s v="High Risk"/>
  </r>
  <r>
    <n v="1732"/>
    <s v="40-49"/>
    <s v="High Income"/>
    <n v="0"/>
    <n v="1"/>
    <s v="Bachelor"/>
    <x v="0"/>
    <s v="Elevated"/>
    <n v="10"/>
    <n v="5"/>
    <n v="25"/>
    <n v="6.25"/>
    <n v="8"/>
    <n v="54"/>
    <s v="Medium Risk"/>
  </r>
  <r>
    <n v="1733"/>
    <s v="30-39"/>
    <s v="High Income"/>
    <n v="1"/>
    <n v="1"/>
    <s v="Doctor"/>
    <x v="1"/>
    <s v="Normal"/>
    <n v="20"/>
    <n v="5"/>
    <n v="25"/>
    <n v="25"/>
    <n v="25"/>
    <n v="100"/>
    <s v="High Risk"/>
  </r>
  <r>
    <n v="1734"/>
    <s v="30-39"/>
    <s v="High Income"/>
    <n v="1"/>
    <n v="0"/>
    <s v="College"/>
    <x v="1"/>
    <s v="Normal"/>
    <n v="20"/>
    <n v="5"/>
    <n v="0"/>
    <n v="18.75"/>
    <n v="25"/>
    <n v="69"/>
    <s v="High Risk"/>
  </r>
  <r>
    <n v="1735"/>
    <s v="Under 30"/>
    <s v="High Income"/>
    <n v="0"/>
    <n v="0"/>
    <s v="Below College"/>
    <x v="2"/>
    <s v="Elevated"/>
    <n v="30"/>
    <n v="5"/>
    <n v="0"/>
    <n v="18.75"/>
    <n v="15"/>
    <n v="69"/>
    <s v="High Risk"/>
  </r>
  <r>
    <n v="1736"/>
    <s v="30-39"/>
    <s v="High Income"/>
    <n v="0"/>
    <n v="0"/>
    <s v="Below College"/>
    <x v="2"/>
    <s v="Elevated"/>
    <n v="20"/>
    <n v="5"/>
    <n v="0"/>
    <n v="6.25"/>
    <n v="15"/>
    <n v="46"/>
    <s v="Medium Risk"/>
  </r>
  <r>
    <n v="1737"/>
    <s v="30-39"/>
    <s v="High Income"/>
    <n v="0"/>
    <n v="1"/>
    <s v="Bachelor"/>
    <x v="0"/>
    <s v="Normal"/>
    <n v="20"/>
    <n v="5"/>
    <n v="25"/>
    <n v="6.25"/>
    <n v="8"/>
    <n v="64"/>
    <s v="High Risk"/>
  </r>
  <r>
    <n v="1739"/>
    <s v="30-39"/>
    <s v="High Income"/>
    <n v="0"/>
    <n v="0"/>
    <s v="Bachelor"/>
    <x v="2"/>
    <s v="Elevated"/>
    <n v="20"/>
    <n v="5"/>
    <n v="0"/>
    <n v="12.5"/>
    <n v="15"/>
    <n v="53"/>
    <s v="Medium Risk"/>
  </r>
  <r>
    <n v="1740"/>
    <s v="40-49"/>
    <s v="High Income"/>
    <n v="0"/>
    <n v="0"/>
    <s v="Master"/>
    <x v="3"/>
    <s v="Elevated"/>
    <n v="10"/>
    <n v="5"/>
    <n v="0"/>
    <n v="18.75"/>
    <n v="3"/>
    <n v="37"/>
    <s v="Medium Risk"/>
  </r>
  <r>
    <n v="1744"/>
    <s v="40-49"/>
    <s v="High Income"/>
    <n v="0"/>
    <n v="0"/>
    <s v="Bachelor"/>
    <x v="2"/>
    <s v="Normal"/>
    <n v="10"/>
    <n v="5"/>
    <n v="0"/>
    <n v="12.5"/>
    <n v="15"/>
    <n v="43"/>
    <s v="Medium Risk"/>
  </r>
  <r>
    <n v="1745"/>
    <s v="30-39"/>
    <s v="High Income"/>
    <n v="0"/>
    <n v="0"/>
    <s v="Master"/>
    <x v="0"/>
    <s v="Normal"/>
    <n v="20"/>
    <n v="5"/>
    <n v="0"/>
    <n v="25"/>
    <n v="8"/>
    <n v="58"/>
    <s v="High Risk"/>
  </r>
  <r>
    <n v="1746"/>
    <s v="Under 30"/>
    <s v="High Income"/>
    <n v="0"/>
    <n v="0"/>
    <s v="Bachelor"/>
    <x v="1"/>
    <s v="Normal"/>
    <n v="30"/>
    <n v="5"/>
    <n v="0"/>
    <n v="6.25"/>
    <n v="25"/>
    <n v="66"/>
    <s v="High Risk"/>
  </r>
  <r>
    <n v="1747"/>
    <s v="30-39"/>
    <s v="High Income"/>
    <n v="1"/>
    <n v="0"/>
    <s v="Bachelor"/>
    <x v="2"/>
    <s v="Elevated"/>
    <n v="20"/>
    <n v="5"/>
    <n v="0"/>
    <n v="6.25"/>
    <n v="15"/>
    <n v="46"/>
    <s v="Medium Risk"/>
  </r>
  <r>
    <n v="1749"/>
    <s v="30-39"/>
    <s v="High Income"/>
    <n v="0"/>
    <n v="0"/>
    <s v="Bachelor"/>
    <x v="2"/>
    <s v="Normal"/>
    <n v="20"/>
    <n v="5"/>
    <n v="0"/>
    <n v="12.5"/>
    <n v="15"/>
    <n v="53"/>
    <s v="Medium Risk"/>
  </r>
  <r>
    <n v="1751"/>
    <s v="Under 30"/>
    <s v="High Income"/>
    <n v="0"/>
    <n v="0"/>
    <s v="Bachelor"/>
    <x v="0"/>
    <s v="Elevated"/>
    <n v="30"/>
    <n v="5"/>
    <n v="0"/>
    <n v="6.25"/>
    <n v="8"/>
    <n v="49"/>
    <s v="Medium Risk"/>
  </r>
  <r>
    <n v="1752"/>
    <s v="Under 30"/>
    <s v="High Income"/>
    <n v="1"/>
    <n v="0"/>
    <s v="Bachelor"/>
    <x v="1"/>
    <s v="Normal"/>
    <n v="30"/>
    <n v="5"/>
    <n v="0"/>
    <n v="18.75"/>
    <n v="25"/>
    <n v="79"/>
    <s v="High Risk"/>
  </r>
  <r>
    <n v="1753"/>
    <s v="Under 30"/>
    <s v="High Income"/>
    <n v="0"/>
    <n v="1"/>
    <s v="Bachelor"/>
    <x v="2"/>
    <s v="Normal"/>
    <n v="30"/>
    <n v="5"/>
    <n v="25"/>
    <n v="12.5"/>
    <n v="15"/>
    <n v="88"/>
    <s v="High Risk"/>
  </r>
  <r>
    <n v="1754"/>
    <s v="30-39"/>
    <s v="High Income"/>
    <n v="0"/>
    <n v="0"/>
    <s v="College"/>
    <x v="0"/>
    <s v="Normal"/>
    <n v="20"/>
    <n v="5"/>
    <n v="0"/>
    <n v="25"/>
    <n v="8"/>
    <n v="58"/>
    <s v="High Risk"/>
  </r>
  <r>
    <n v="1755"/>
    <s v="30-39"/>
    <s v="High Income"/>
    <n v="0"/>
    <n v="1"/>
    <s v="Master"/>
    <x v="2"/>
    <s v="Normal"/>
    <n v="20"/>
    <n v="5"/>
    <n v="25"/>
    <n v="6.25"/>
    <n v="15"/>
    <n v="71"/>
    <s v="High Risk"/>
  </r>
  <r>
    <n v="1756"/>
    <s v="30-39"/>
    <s v="High Income"/>
    <n v="0"/>
    <n v="0"/>
    <s v="Bachelor"/>
    <x v="3"/>
    <s v="Elevated"/>
    <n v="20"/>
    <n v="5"/>
    <n v="0"/>
    <n v="18.75"/>
    <n v="3"/>
    <n v="47"/>
    <s v="Medium Risk"/>
  </r>
  <r>
    <n v="1757"/>
    <s v="40-49"/>
    <s v="High Income"/>
    <n v="0"/>
    <n v="0"/>
    <s v="Master"/>
    <x v="2"/>
    <s v="Normal"/>
    <n v="10"/>
    <n v="5"/>
    <n v="0"/>
    <n v="6.25"/>
    <n v="15"/>
    <n v="36"/>
    <s v="Medium Risk"/>
  </r>
  <r>
    <n v="1758"/>
    <s v="30-39"/>
    <s v="High Income"/>
    <n v="1"/>
    <n v="1"/>
    <s v="Bachelor"/>
    <x v="1"/>
    <s v="Elevated"/>
    <n v="20"/>
    <n v="5"/>
    <n v="25"/>
    <n v="25"/>
    <n v="25"/>
    <n v="100"/>
    <s v="High Risk"/>
  </r>
  <r>
    <n v="1760"/>
    <s v="30-39"/>
    <s v="High Income"/>
    <n v="0"/>
    <n v="0"/>
    <s v="College"/>
    <x v="0"/>
    <s v="Elevated"/>
    <n v="20"/>
    <n v="5"/>
    <n v="0"/>
    <n v="18.75"/>
    <n v="8"/>
    <n v="52"/>
    <s v="Medium Risk"/>
  </r>
  <r>
    <n v="1761"/>
    <s v="30-39"/>
    <s v="High Income"/>
    <n v="1"/>
    <n v="0"/>
    <s v="Master"/>
    <x v="1"/>
    <s v="Normal"/>
    <n v="20"/>
    <n v="5"/>
    <n v="0"/>
    <n v="12.5"/>
    <n v="25"/>
    <n v="63"/>
    <s v="High Risk"/>
  </r>
  <r>
    <n v="1762"/>
    <s v="Under 30"/>
    <s v="High Income"/>
    <n v="0"/>
    <n v="0"/>
    <s v="Bachelor"/>
    <x v="1"/>
    <s v="Normal"/>
    <n v="30"/>
    <n v="5"/>
    <n v="0"/>
    <n v="25"/>
    <n v="25"/>
    <n v="85"/>
    <s v="High Risk"/>
  </r>
  <r>
    <n v="1763"/>
    <s v="30-39"/>
    <s v="High Income"/>
    <n v="0"/>
    <n v="0"/>
    <s v="Bachelor"/>
    <x v="0"/>
    <s v="Normal"/>
    <n v="20"/>
    <n v="5"/>
    <n v="0"/>
    <n v="12.5"/>
    <n v="8"/>
    <n v="46"/>
    <s v="Medium Risk"/>
  </r>
  <r>
    <n v="1764"/>
    <s v="30-39"/>
    <s v="High Income"/>
    <n v="0"/>
    <n v="0"/>
    <s v="Master"/>
    <x v="0"/>
    <s v="Normal"/>
    <n v="20"/>
    <n v="5"/>
    <n v="0"/>
    <n v="18.75"/>
    <n v="8"/>
    <n v="52"/>
    <s v="Medium Risk"/>
  </r>
  <r>
    <n v="1766"/>
    <s v="30-39"/>
    <s v="High Income"/>
    <n v="0"/>
    <n v="1"/>
    <s v="Bachelor"/>
    <x v="1"/>
    <s v="Normal"/>
    <n v="20"/>
    <n v="5"/>
    <n v="25"/>
    <n v="6.25"/>
    <n v="25"/>
    <n v="81"/>
    <s v="High Risk"/>
  </r>
  <r>
    <n v="1767"/>
    <s v="40-49"/>
    <s v="High Income"/>
    <n v="1"/>
    <n v="1"/>
    <s v="Bachelor"/>
    <x v="1"/>
    <s v="Normal"/>
    <n v="10"/>
    <n v="5"/>
    <n v="25"/>
    <n v="12.5"/>
    <n v="25"/>
    <n v="78"/>
    <s v="High Risk"/>
  </r>
  <r>
    <n v="1768"/>
    <s v="40-49"/>
    <s v="High Income"/>
    <n v="0"/>
    <n v="0"/>
    <s v="Bachelor"/>
    <x v="2"/>
    <s v="Elevated"/>
    <n v="10"/>
    <n v="5"/>
    <n v="0"/>
    <n v="18.75"/>
    <n v="15"/>
    <n v="49"/>
    <s v="Medium Risk"/>
  </r>
  <r>
    <n v="1770"/>
    <s v="50+"/>
    <s v="High Income"/>
    <n v="0"/>
    <n v="0"/>
    <s v="Bachelor"/>
    <x v="1"/>
    <s v="Normal"/>
    <n v="15"/>
    <n v="5"/>
    <n v="0"/>
    <n v="25"/>
    <n v="25"/>
    <n v="70"/>
    <s v="High Risk"/>
  </r>
  <r>
    <n v="1771"/>
    <s v="30-39"/>
    <s v="High Income"/>
    <n v="0"/>
    <n v="0"/>
    <s v="Bachelor"/>
    <x v="0"/>
    <s v="Elevated"/>
    <n v="20"/>
    <n v="5"/>
    <n v="0"/>
    <n v="18.75"/>
    <n v="8"/>
    <n v="52"/>
    <s v="Medium Risk"/>
  </r>
  <r>
    <n v="1772"/>
    <s v="40-49"/>
    <s v="High Income"/>
    <n v="0"/>
    <n v="0"/>
    <s v="Master"/>
    <x v="2"/>
    <s v="Normal"/>
    <n v="10"/>
    <n v="5"/>
    <n v="0"/>
    <n v="25"/>
    <n v="15"/>
    <n v="55"/>
    <s v="High Risk"/>
  </r>
  <r>
    <n v="1774"/>
    <s v="30-39"/>
    <s v="High Income"/>
    <n v="0"/>
    <n v="1"/>
    <s v="Bachelor"/>
    <x v="3"/>
    <s v="Normal"/>
    <n v="20"/>
    <n v="5"/>
    <n v="25"/>
    <n v="12.5"/>
    <n v="3"/>
    <n v="66"/>
    <s v="High Risk"/>
  </r>
  <r>
    <n v="1775"/>
    <s v="50+"/>
    <s v="High Income"/>
    <n v="0"/>
    <n v="1"/>
    <s v="Master"/>
    <x v="2"/>
    <s v="Elevated"/>
    <n v="15"/>
    <n v="5"/>
    <n v="25"/>
    <n v="12.5"/>
    <n v="15"/>
    <n v="73"/>
    <s v="High Risk"/>
  </r>
  <r>
    <n v="1778"/>
    <s v="40-49"/>
    <s v="High Income"/>
    <n v="0"/>
    <n v="0"/>
    <s v="Bachelor"/>
    <x v="0"/>
    <s v="Normal"/>
    <n v="10"/>
    <n v="5"/>
    <n v="0"/>
    <n v="6.25"/>
    <n v="8"/>
    <n v="29"/>
    <s v="Low Risk"/>
  </r>
  <r>
    <n v="1779"/>
    <s v="30-39"/>
    <s v="High Income"/>
    <n v="0"/>
    <n v="0"/>
    <s v="College"/>
    <x v="1"/>
    <s v="Normal"/>
    <n v="20"/>
    <n v="5"/>
    <n v="0"/>
    <n v="6.25"/>
    <n v="25"/>
    <n v="56"/>
    <s v="High Risk"/>
  </r>
  <r>
    <n v="1780"/>
    <s v="Under 30"/>
    <s v="High Income"/>
    <n v="1"/>
    <n v="0"/>
    <s v="Below College"/>
    <x v="1"/>
    <s v="Normal"/>
    <n v="30"/>
    <n v="5"/>
    <n v="0"/>
    <n v="18.75"/>
    <n v="25"/>
    <n v="79"/>
    <s v="High Risk"/>
  </r>
  <r>
    <n v="1782"/>
    <s v="30-39"/>
    <s v="High Income"/>
    <n v="0"/>
    <n v="0"/>
    <s v="College"/>
    <x v="2"/>
    <s v="Normal"/>
    <n v="20"/>
    <n v="5"/>
    <n v="0"/>
    <n v="12.5"/>
    <n v="15"/>
    <n v="53"/>
    <s v="Medium Risk"/>
  </r>
  <r>
    <n v="1783"/>
    <s v="Under 30"/>
    <s v="High Income"/>
    <n v="1"/>
    <n v="1"/>
    <s v="Below College"/>
    <x v="1"/>
    <s v="Normal"/>
    <n v="30"/>
    <n v="5"/>
    <n v="25"/>
    <n v="25"/>
    <n v="25"/>
    <n v="110"/>
    <s v="High Risk"/>
  </r>
  <r>
    <n v="1784"/>
    <s v="30-39"/>
    <s v="High Income"/>
    <n v="0"/>
    <n v="0"/>
    <s v="Master"/>
    <x v="3"/>
    <s v="Normal"/>
    <n v="20"/>
    <n v="5"/>
    <n v="0"/>
    <n v="6.25"/>
    <n v="3"/>
    <n v="34"/>
    <s v="Low Risk"/>
  </r>
  <r>
    <n v="1786"/>
    <s v="50+"/>
    <s v="High Income"/>
    <n v="0"/>
    <n v="0"/>
    <s v="Bachelor"/>
    <x v="1"/>
    <s v="Normal"/>
    <n v="15"/>
    <n v="5"/>
    <n v="0"/>
    <n v="12.5"/>
    <n v="25"/>
    <n v="58"/>
    <s v="High Risk"/>
  </r>
  <r>
    <n v="1787"/>
    <s v="30-39"/>
    <s v="High Income"/>
    <n v="0"/>
    <n v="0"/>
    <s v="College"/>
    <x v="2"/>
    <s v="Normal"/>
    <n v="20"/>
    <n v="5"/>
    <n v="0"/>
    <n v="18.75"/>
    <n v="15"/>
    <n v="59"/>
    <s v="High Risk"/>
  </r>
  <r>
    <n v="1789"/>
    <s v="40-49"/>
    <s v="High Income"/>
    <n v="0"/>
    <n v="1"/>
    <s v="Master"/>
    <x v="1"/>
    <s v="Normal"/>
    <n v="10"/>
    <n v="5"/>
    <n v="25"/>
    <n v="6.25"/>
    <n v="25"/>
    <n v="71"/>
    <s v="High Risk"/>
  </r>
  <r>
    <n v="1790"/>
    <s v="30-39"/>
    <s v="High Income"/>
    <n v="0"/>
    <n v="1"/>
    <s v="Bachelor"/>
    <x v="3"/>
    <s v="Normal"/>
    <n v="20"/>
    <n v="5"/>
    <n v="25"/>
    <n v="25"/>
    <n v="3"/>
    <n v="78"/>
    <s v="High Risk"/>
  </r>
  <r>
    <n v="1792"/>
    <s v="40-49"/>
    <s v="High Income"/>
    <n v="1"/>
    <n v="1"/>
    <s v="College"/>
    <x v="2"/>
    <s v="Elevated"/>
    <n v="10"/>
    <n v="5"/>
    <n v="25"/>
    <n v="18.75"/>
    <n v="15"/>
    <n v="74"/>
    <s v="High Risk"/>
  </r>
  <r>
    <n v="1794"/>
    <s v="30-39"/>
    <s v="High Income"/>
    <n v="0"/>
    <n v="0"/>
    <s v="College"/>
    <x v="0"/>
    <s v="Elevated"/>
    <n v="20"/>
    <n v="5"/>
    <n v="0"/>
    <n v="18.75"/>
    <n v="8"/>
    <n v="52"/>
    <s v="Medium Risk"/>
  </r>
  <r>
    <n v="1797"/>
    <s v="30-39"/>
    <s v="High Income"/>
    <n v="1"/>
    <n v="1"/>
    <s v="Bachelor"/>
    <x v="0"/>
    <s v="Normal"/>
    <n v="20"/>
    <n v="5"/>
    <n v="25"/>
    <n v="6.25"/>
    <n v="8"/>
    <n v="64"/>
    <s v="High Risk"/>
  </r>
  <r>
    <n v="1798"/>
    <s v="30-39"/>
    <s v="High Income"/>
    <n v="0"/>
    <n v="0"/>
    <s v="Master"/>
    <x v="0"/>
    <s v="Normal"/>
    <n v="20"/>
    <n v="5"/>
    <n v="0"/>
    <n v="25"/>
    <n v="8"/>
    <n v="58"/>
    <s v="High Risk"/>
  </r>
  <r>
    <n v="1799"/>
    <s v="Under 30"/>
    <s v="High Income"/>
    <n v="0"/>
    <n v="0"/>
    <s v="Bachelor"/>
    <x v="2"/>
    <s v="Normal"/>
    <n v="30"/>
    <n v="5"/>
    <n v="0"/>
    <n v="6.25"/>
    <n v="15"/>
    <n v="56"/>
    <s v="High Risk"/>
  </r>
  <r>
    <n v="1800"/>
    <s v="30-39"/>
    <s v="High Income"/>
    <n v="0"/>
    <n v="0"/>
    <s v="Below College"/>
    <x v="2"/>
    <s v="Normal"/>
    <n v="20"/>
    <n v="5"/>
    <n v="0"/>
    <n v="12.5"/>
    <n v="15"/>
    <n v="53"/>
    <s v="Medium Risk"/>
  </r>
  <r>
    <n v="1801"/>
    <s v="40-49"/>
    <s v="High Income"/>
    <n v="0"/>
    <n v="0"/>
    <s v="College"/>
    <x v="1"/>
    <s v="Normal"/>
    <n v="10"/>
    <n v="5"/>
    <n v="0"/>
    <n v="18.75"/>
    <n v="25"/>
    <n v="59"/>
    <s v="High Risk"/>
  </r>
  <r>
    <n v="1802"/>
    <s v="40-49"/>
    <s v="High Income"/>
    <n v="0"/>
    <n v="0"/>
    <s v="College"/>
    <x v="2"/>
    <s v="Elevated"/>
    <n v="10"/>
    <n v="5"/>
    <n v="0"/>
    <n v="25"/>
    <n v="15"/>
    <n v="55"/>
    <s v="High Risk"/>
  </r>
  <r>
    <n v="1803"/>
    <s v="40-49"/>
    <s v="High Income"/>
    <n v="0"/>
    <n v="0"/>
    <s v="Bachelor"/>
    <x v="1"/>
    <s v="Elevated"/>
    <n v="10"/>
    <n v="5"/>
    <n v="0"/>
    <n v="25"/>
    <n v="25"/>
    <n v="65"/>
    <s v="High Risk"/>
  </r>
  <r>
    <n v="1804"/>
    <s v="30-39"/>
    <s v="High Income"/>
    <n v="0"/>
    <n v="0"/>
    <s v="College"/>
    <x v="0"/>
    <s v="Normal"/>
    <n v="20"/>
    <n v="5"/>
    <n v="0"/>
    <n v="6.25"/>
    <n v="8"/>
    <n v="39"/>
    <s v="Medium Risk"/>
  </r>
  <r>
    <n v="1805"/>
    <s v="30-39"/>
    <s v="High Income"/>
    <n v="0"/>
    <n v="0"/>
    <s v="Bachelor"/>
    <x v="3"/>
    <s v="Normal"/>
    <n v="20"/>
    <n v="5"/>
    <n v="0"/>
    <n v="18.75"/>
    <n v="3"/>
    <n v="47"/>
    <s v="Medium Risk"/>
  </r>
  <r>
    <n v="1807"/>
    <s v="30-39"/>
    <s v="High Income"/>
    <n v="1"/>
    <n v="0"/>
    <s v="Master"/>
    <x v="0"/>
    <s v="Elevated"/>
    <n v="20"/>
    <n v="5"/>
    <n v="0"/>
    <n v="25"/>
    <n v="8"/>
    <n v="58"/>
    <s v="High Risk"/>
  </r>
  <r>
    <n v="1809"/>
    <s v="30-39"/>
    <s v="High Income"/>
    <n v="1"/>
    <n v="0"/>
    <s v="Master"/>
    <x v="0"/>
    <s v="Elevated"/>
    <n v="20"/>
    <n v="5"/>
    <n v="0"/>
    <n v="25"/>
    <n v="8"/>
    <n v="58"/>
    <s v="High Risk"/>
  </r>
  <r>
    <n v="1812"/>
    <s v="30-39"/>
    <s v="High Income"/>
    <n v="0"/>
    <n v="0"/>
    <s v="Bachelor"/>
    <x v="1"/>
    <s v="Normal"/>
    <n v="20"/>
    <n v="5"/>
    <n v="0"/>
    <n v="6.25"/>
    <n v="25"/>
    <n v="56"/>
    <s v="High Risk"/>
  </r>
  <r>
    <n v="1813"/>
    <s v="40-49"/>
    <s v="High Income"/>
    <n v="0"/>
    <n v="0"/>
    <s v="Bachelor"/>
    <x v="2"/>
    <s v="Elevated"/>
    <n v="10"/>
    <n v="5"/>
    <n v="0"/>
    <n v="12.5"/>
    <n v="15"/>
    <n v="43"/>
    <s v="Medium Risk"/>
  </r>
  <r>
    <n v="1814"/>
    <s v="40-49"/>
    <s v="High Income"/>
    <n v="0"/>
    <n v="0"/>
    <s v="Bachelor"/>
    <x v="2"/>
    <s v="Elevated"/>
    <n v="10"/>
    <n v="5"/>
    <n v="0"/>
    <n v="18.75"/>
    <n v="15"/>
    <n v="49"/>
    <s v="Medium Risk"/>
  </r>
  <r>
    <n v="1815"/>
    <s v="40-49"/>
    <s v="High Income"/>
    <n v="0"/>
    <n v="1"/>
    <s v="Below College"/>
    <x v="3"/>
    <s v="Normal"/>
    <n v="10"/>
    <n v="5"/>
    <n v="25"/>
    <n v="12.5"/>
    <n v="3"/>
    <n v="56"/>
    <s v="High Risk"/>
  </r>
  <r>
    <n v="1816"/>
    <s v="30-39"/>
    <s v="High Income"/>
    <n v="0"/>
    <n v="0"/>
    <s v="Bachelor"/>
    <x v="0"/>
    <s v="Normal"/>
    <n v="20"/>
    <n v="5"/>
    <n v="0"/>
    <n v="12.5"/>
    <n v="8"/>
    <n v="46"/>
    <s v="Medium Risk"/>
  </r>
  <r>
    <n v="1818"/>
    <s v="Under 30"/>
    <s v="High Income"/>
    <n v="1"/>
    <n v="1"/>
    <s v="College"/>
    <x v="2"/>
    <s v="Normal"/>
    <n v="30"/>
    <n v="5"/>
    <n v="25"/>
    <n v="18.75"/>
    <n v="15"/>
    <n v="94"/>
    <s v="High Risk"/>
  </r>
  <r>
    <n v="1821"/>
    <s v="40-49"/>
    <s v="High Income"/>
    <n v="1"/>
    <n v="0"/>
    <s v="College"/>
    <x v="0"/>
    <s v="Normal"/>
    <n v="10"/>
    <n v="5"/>
    <n v="0"/>
    <n v="18.75"/>
    <n v="8"/>
    <n v="42"/>
    <s v="Medium Risk"/>
  </r>
  <r>
    <n v="1822"/>
    <s v="40-49"/>
    <s v="High Income"/>
    <n v="0"/>
    <n v="0"/>
    <s v="Bachelor"/>
    <x v="2"/>
    <s v="Normal"/>
    <n v="10"/>
    <n v="5"/>
    <n v="0"/>
    <n v="6.25"/>
    <n v="15"/>
    <n v="36"/>
    <s v="Medium Risk"/>
  </r>
  <r>
    <n v="1823"/>
    <s v="30-39"/>
    <s v="High Income"/>
    <n v="0"/>
    <n v="0"/>
    <s v="College"/>
    <x v="0"/>
    <s v="Normal"/>
    <n v="20"/>
    <n v="5"/>
    <n v="0"/>
    <n v="12.5"/>
    <n v="8"/>
    <n v="46"/>
    <s v="Medium Risk"/>
  </r>
  <r>
    <n v="1824"/>
    <s v="50+"/>
    <s v="High Income"/>
    <n v="0"/>
    <n v="0"/>
    <s v="Bachelor"/>
    <x v="3"/>
    <s v="Elevated"/>
    <n v="15"/>
    <n v="5"/>
    <n v="0"/>
    <n v="18.75"/>
    <n v="3"/>
    <n v="42"/>
    <s v="Medium Risk"/>
  </r>
  <r>
    <n v="1826"/>
    <s v="30-39"/>
    <s v="High Income"/>
    <n v="0"/>
    <n v="0"/>
    <s v="Master"/>
    <x v="2"/>
    <s v="Normal"/>
    <n v="20"/>
    <n v="5"/>
    <n v="0"/>
    <n v="12.5"/>
    <n v="15"/>
    <n v="53"/>
    <s v="Medium Risk"/>
  </r>
  <r>
    <n v="1827"/>
    <s v="40-49"/>
    <s v="High Income"/>
    <n v="0"/>
    <n v="1"/>
    <s v="Bachelor"/>
    <x v="3"/>
    <s v="Normal"/>
    <n v="10"/>
    <n v="5"/>
    <n v="25"/>
    <n v="18.75"/>
    <n v="3"/>
    <n v="62"/>
    <s v="High Risk"/>
  </r>
  <r>
    <n v="1829"/>
    <s v="40-49"/>
    <s v="High Income"/>
    <n v="0"/>
    <n v="0"/>
    <s v="Bachelor"/>
    <x v="0"/>
    <s v="Normal"/>
    <n v="10"/>
    <n v="5"/>
    <n v="0"/>
    <n v="25"/>
    <n v="8"/>
    <n v="48"/>
    <s v="Medium Risk"/>
  </r>
  <r>
    <n v="1830"/>
    <s v="50+"/>
    <s v="High Income"/>
    <n v="0"/>
    <n v="0"/>
    <s v="Master"/>
    <x v="0"/>
    <s v="Elevated"/>
    <n v="15"/>
    <n v="5"/>
    <n v="0"/>
    <n v="6.25"/>
    <n v="8"/>
    <n v="34"/>
    <s v="Low Risk"/>
  </r>
  <r>
    <n v="1833"/>
    <s v="30-39"/>
    <s v="High Income"/>
    <n v="0"/>
    <n v="0"/>
    <s v="Master"/>
    <x v="2"/>
    <s v="Normal"/>
    <n v="20"/>
    <n v="5"/>
    <n v="0"/>
    <n v="25"/>
    <n v="15"/>
    <n v="65"/>
    <s v="High Risk"/>
  </r>
  <r>
    <n v="1834"/>
    <s v="Under 30"/>
    <s v="High Income"/>
    <n v="0"/>
    <n v="0"/>
    <s v="Bachelor"/>
    <x v="2"/>
    <s v="Normal"/>
    <n v="30"/>
    <n v="5"/>
    <n v="0"/>
    <n v="25"/>
    <n v="15"/>
    <n v="75"/>
    <s v="High Risk"/>
  </r>
  <r>
    <n v="1835"/>
    <s v="30-39"/>
    <s v="High Income"/>
    <n v="0"/>
    <n v="1"/>
    <s v="Master"/>
    <x v="2"/>
    <s v="Elevated"/>
    <n v="20"/>
    <n v="5"/>
    <n v="25"/>
    <n v="6.25"/>
    <n v="15"/>
    <n v="71"/>
    <s v="High Risk"/>
  </r>
  <r>
    <n v="1836"/>
    <s v="Under 30"/>
    <s v="High Income"/>
    <n v="0"/>
    <n v="0"/>
    <s v="Bachelor"/>
    <x v="2"/>
    <s v="Normal"/>
    <n v="30"/>
    <n v="5"/>
    <n v="0"/>
    <n v="6.25"/>
    <n v="15"/>
    <n v="56"/>
    <s v="High Risk"/>
  </r>
  <r>
    <n v="1837"/>
    <s v="50+"/>
    <s v="High Income"/>
    <n v="0"/>
    <n v="1"/>
    <s v="Master"/>
    <x v="1"/>
    <s v="Normal"/>
    <n v="15"/>
    <n v="5"/>
    <n v="25"/>
    <n v="12.5"/>
    <n v="25"/>
    <n v="83"/>
    <s v="High Risk"/>
  </r>
  <r>
    <n v="1839"/>
    <s v="Under 30"/>
    <s v="High Income"/>
    <n v="0"/>
    <n v="0"/>
    <s v="Bachelor"/>
    <x v="1"/>
    <s v="Elevated"/>
    <n v="30"/>
    <n v="5"/>
    <n v="0"/>
    <n v="12.5"/>
    <n v="25"/>
    <n v="73"/>
    <s v="High Risk"/>
  </r>
  <r>
    <n v="1842"/>
    <s v="30-39"/>
    <s v="High Income"/>
    <n v="1"/>
    <n v="0"/>
    <s v="Doctor"/>
    <x v="1"/>
    <s v="Normal"/>
    <n v="20"/>
    <n v="5"/>
    <n v="0"/>
    <n v="25"/>
    <n v="25"/>
    <n v="75"/>
    <s v="High Risk"/>
  </r>
  <r>
    <n v="1844"/>
    <s v="Under 30"/>
    <s v="High Income"/>
    <n v="1"/>
    <n v="1"/>
    <s v="Bachelor"/>
    <x v="1"/>
    <s v="Normal"/>
    <n v="30"/>
    <n v="5"/>
    <n v="25"/>
    <n v="25"/>
    <n v="25"/>
    <n v="110"/>
    <s v="High Risk"/>
  </r>
  <r>
    <n v="1845"/>
    <s v="40-49"/>
    <s v="High Income"/>
    <n v="0"/>
    <n v="0"/>
    <s v="Master"/>
    <x v="0"/>
    <s v="Normal"/>
    <n v="10"/>
    <n v="5"/>
    <n v="0"/>
    <n v="12.5"/>
    <n v="8"/>
    <n v="36"/>
    <s v="Medium Risk"/>
  </r>
  <r>
    <n v="1847"/>
    <s v="30-39"/>
    <s v="High Income"/>
    <n v="0"/>
    <n v="1"/>
    <s v="Master"/>
    <x v="1"/>
    <s v="Normal"/>
    <n v="20"/>
    <n v="5"/>
    <n v="25"/>
    <n v="18.75"/>
    <n v="25"/>
    <n v="94"/>
    <s v="High Risk"/>
  </r>
  <r>
    <n v="1849"/>
    <s v="40-49"/>
    <s v="High Income"/>
    <n v="0"/>
    <n v="0"/>
    <s v="Master"/>
    <x v="0"/>
    <s v="Normal"/>
    <n v="10"/>
    <n v="5"/>
    <n v="0"/>
    <n v="6.25"/>
    <n v="8"/>
    <n v="29"/>
    <s v="Low Risk"/>
  </r>
  <r>
    <n v="1850"/>
    <s v="Under 30"/>
    <s v="High Income"/>
    <n v="0"/>
    <n v="1"/>
    <s v="College"/>
    <x v="2"/>
    <s v="Elevated"/>
    <n v="30"/>
    <n v="5"/>
    <n v="25"/>
    <n v="6.25"/>
    <n v="15"/>
    <n v="81"/>
    <s v="High Risk"/>
  </r>
  <r>
    <n v="1852"/>
    <s v="Under 30"/>
    <s v="High Income"/>
    <n v="0"/>
    <n v="0"/>
    <s v="Below College"/>
    <x v="3"/>
    <s v="Normal"/>
    <n v="30"/>
    <n v="5"/>
    <n v="0"/>
    <n v="6.25"/>
    <n v="3"/>
    <n v="44"/>
    <s v="Medium Risk"/>
  </r>
  <r>
    <n v="1853"/>
    <s v="30-39"/>
    <s v="High Income"/>
    <n v="0"/>
    <n v="0"/>
    <s v="Master"/>
    <x v="1"/>
    <s v="Normal"/>
    <n v="20"/>
    <n v="5"/>
    <n v="0"/>
    <n v="6.25"/>
    <n v="25"/>
    <n v="56"/>
    <s v="High Risk"/>
  </r>
  <r>
    <n v="1854"/>
    <s v="40-49"/>
    <s v="High Income"/>
    <n v="0"/>
    <n v="0"/>
    <s v="Master"/>
    <x v="0"/>
    <s v="Elevated"/>
    <n v="10"/>
    <n v="5"/>
    <n v="0"/>
    <n v="12.5"/>
    <n v="8"/>
    <n v="36"/>
    <s v="Medium Risk"/>
  </r>
  <r>
    <n v="1856"/>
    <s v="40-49"/>
    <s v="High Income"/>
    <n v="0"/>
    <n v="0"/>
    <s v="Master"/>
    <x v="1"/>
    <s v="Normal"/>
    <n v="10"/>
    <n v="5"/>
    <n v="0"/>
    <n v="12.5"/>
    <n v="25"/>
    <n v="53"/>
    <s v="Medium Risk"/>
  </r>
  <r>
    <n v="1857"/>
    <s v="40-49"/>
    <s v="High Income"/>
    <n v="0"/>
    <n v="0"/>
    <s v="College"/>
    <x v="0"/>
    <s v="Elevated"/>
    <n v="10"/>
    <n v="5"/>
    <n v="0"/>
    <n v="6.25"/>
    <n v="8"/>
    <n v="29"/>
    <s v="Low Risk"/>
  </r>
  <r>
    <n v="1858"/>
    <s v="Under 30"/>
    <s v="High Income"/>
    <n v="0"/>
    <n v="0"/>
    <s v="College"/>
    <x v="2"/>
    <s v="Normal"/>
    <n v="30"/>
    <n v="5"/>
    <n v="0"/>
    <n v="6.25"/>
    <n v="15"/>
    <n v="56"/>
    <s v="High Risk"/>
  </r>
  <r>
    <n v="1859"/>
    <s v="Under 30"/>
    <s v="High Income"/>
    <n v="0"/>
    <n v="0"/>
    <s v="Below College"/>
    <x v="0"/>
    <s v="Normal"/>
    <n v="30"/>
    <n v="5"/>
    <n v="0"/>
    <n v="12.5"/>
    <n v="8"/>
    <n v="56"/>
    <s v="High Risk"/>
  </r>
  <r>
    <n v="1860"/>
    <s v="40-49"/>
    <s v="High Income"/>
    <n v="0"/>
    <n v="0"/>
    <s v="Bachelor"/>
    <x v="1"/>
    <s v="Normal"/>
    <n v="10"/>
    <n v="5"/>
    <n v="0"/>
    <n v="12.5"/>
    <n v="25"/>
    <n v="53"/>
    <s v="Medium Risk"/>
  </r>
  <r>
    <n v="1862"/>
    <s v="30-39"/>
    <s v="High Income"/>
    <n v="1"/>
    <n v="1"/>
    <s v="Master"/>
    <x v="1"/>
    <s v="Elevated"/>
    <n v="20"/>
    <n v="5"/>
    <n v="25"/>
    <n v="18.75"/>
    <n v="25"/>
    <n v="94"/>
    <s v="High Risk"/>
  </r>
  <r>
    <n v="1863"/>
    <s v="40-49"/>
    <s v="High Income"/>
    <n v="0"/>
    <n v="0"/>
    <s v="Bachelor"/>
    <x v="3"/>
    <s v="Normal"/>
    <n v="10"/>
    <n v="5"/>
    <n v="0"/>
    <n v="25"/>
    <n v="3"/>
    <n v="43"/>
    <s v="Medium Risk"/>
  </r>
  <r>
    <n v="1864"/>
    <s v="Under 30"/>
    <s v="High Income"/>
    <n v="0"/>
    <n v="0"/>
    <s v="Below College"/>
    <x v="0"/>
    <s v="Normal"/>
    <n v="30"/>
    <n v="5"/>
    <n v="0"/>
    <n v="12.5"/>
    <n v="8"/>
    <n v="56"/>
    <s v="High Risk"/>
  </r>
  <r>
    <n v="1865"/>
    <s v="Under 30"/>
    <s v="High Income"/>
    <n v="0"/>
    <n v="0"/>
    <s v="Below College"/>
    <x v="1"/>
    <s v="Normal"/>
    <n v="30"/>
    <n v="5"/>
    <n v="0"/>
    <n v="18.75"/>
    <n v="25"/>
    <n v="79"/>
    <s v="High Risk"/>
  </r>
  <r>
    <n v="1866"/>
    <s v="40-49"/>
    <s v="High Income"/>
    <n v="0"/>
    <n v="0"/>
    <s v="Bachelor"/>
    <x v="3"/>
    <s v="Normal"/>
    <n v="10"/>
    <n v="5"/>
    <n v="0"/>
    <n v="12.5"/>
    <n v="3"/>
    <n v="31"/>
    <s v="Low Risk"/>
  </r>
  <r>
    <n v="1867"/>
    <s v="40-49"/>
    <s v="High Income"/>
    <n v="0"/>
    <n v="0"/>
    <s v="Bachelor"/>
    <x v="3"/>
    <s v="Normal"/>
    <n v="10"/>
    <n v="5"/>
    <n v="0"/>
    <n v="18.75"/>
    <n v="3"/>
    <n v="37"/>
    <s v="Medium Risk"/>
  </r>
  <r>
    <n v="1868"/>
    <s v="Under 30"/>
    <s v="High Income"/>
    <n v="1"/>
    <n v="1"/>
    <s v="College"/>
    <x v="1"/>
    <s v="Elevated"/>
    <n v="30"/>
    <n v="5"/>
    <n v="25"/>
    <n v="6.25"/>
    <n v="25"/>
    <n v="91"/>
    <s v="High Risk"/>
  </r>
  <r>
    <n v="1869"/>
    <s v="40-49"/>
    <s v="High Income"/>
    <n v="1"/>
    <n v="0"/>
    <s v="Bachelor"/>
    <x v="0"/>
    <s v="Normal"/>
    <n v="10"/>
    <n v="5"/>
    <n v="0"/>
    <n v="18.75"/>
    <n v="8"/>
    <n v="42"/>
    <s v="Medium Risk"/>
  </r>
  <r>
    <n v="1870"/>
    <s v="Under 30"/>
    <s v="High Income"/>
    <n v="0"/>
    <n v="0"/>
    <s v="Bachelor"/>
    <x v="0"/>
    <s v="Elevated"/>
    <n v="30"/>
    <n v="5"/>
    <n v="0"/>
    <n v="25"/>
    <n v="8"/>
    <n v="68"/>
    <s v="High Risk"/>
  </r>
  <r>
    <n v="1871"/>
    <s v="30-39"/>
    <s v="High Income"/>
    <n v="0"/>
    <n v="0"/>
    <s v="Master"/>
    <x v="1"/>
    <s v="Normal"/>
    <n v="20"/>
    <n v="5"/>
    <n v="0"/>
    <n v="6.25"/>
    <n v="25"/>
    <n v="56"/>
    <s v="High Risk"/>
  </r>
  <r>
    <n v="1873"/>
    <s v="50+"/>
    <s v="High Income"/>
    <n v="0"/>
    <n v="0"/>
    <s v="Master"/>
    <x v="2"/>
    <s v="Normal"/>
    <n v="15"/>
    <n v="5"/>
    <n v="0"/>
    <n v="6.25"/>
    <n v="15"/>
    <n v="41"/>
    <s v="Medium Risk"/>
  </r>
  <r>
    <n v="1875"/>
    <s v="Under 30"/>
    <s v="High Income"/>
    <n v="0"/>
    <n v="0"/>
    <s v="Bachelor"/>
    <x v="1"/>
    <s v="Normal"/>
    <n v="30"/>
    <n v="5"/>
    <n v="0"/>
    <n v="18.75"/>
    <n v="25"/>
    <n v="79"/>
    <s v="High Risk"/>
  </r>
  <r>
    <n v="1876"/>
    <s v="30-39"/>
    <s v="High Income"/>
    <n v="1"/>
    <n v="0"/>
    <s v="Bachelor"/>
    <x v="1"/>
    <s v="Elevated"/>
    <n v="20"/>
    <n v="5"/>
    <n v="0"/>
    <n v="6.25"/>
    <n v="25"/>
    <n v="56"/>
    <s v="High Risk"/>
  </r>
  <r>
    <n v="1878"/>
    <s v="Under 30"/>
    <s v="High Income"/>
    <n v="1"/>
    <n v="1"/>
    <s v="Below College"/>
    <x v="1"/>
    <s v="Normal"/>
    <n v="30"/>
    <n v="5"/>
    <n v="25"/>
    <n v="18.75"/>
    <n v="25"/>
    <n v="104"/>
    <s v="High Risk"/>
  </r>
  <r>
    <n v="1880"/>
    <s v="30-39"/>
    <s v="High Income"/>
    <n v="0"/>
    <n v="1"/>
    <s v="Master"/>
    <x v="0"/>
    <s v="Normal"/>
    <n v="20"/>
    <n v="5"/>
    <n v="25"/>
    <n v="12.5"/>
    <n v="8"/>
    <n v="71"/>
    <s v="High Risk"/>
  </r>
  <r>
    <n v="1881"/>
    <s v="30-39"/>
    <s v="High Income"/>
    <n v="0"/>
    <n v="0"/>
    <s v="Bachelor"/>
    <x v="0"/>
    <s v="Normal"/>
    <n v="20"/>
    <n v="5"/>
    <n v="0"/>
    <n v="12.5"/>
    <n v="8"/>
    <n v="46"/>
    <s v="Medium Risk"/>
  </r>
  <r>
    <n v="1882"/>
    <s v="30-39"/>
    <s v="High Income"/>
    <n v="0"/>
    <n v="1"/>
    <s v="Bachelor"/>
    <x v="2"/>
    <s v="Normal"/>
    <n v="20"/>
    <n v="5"/>
    <n v="25"/>
    <n v="6.25"/>
    <n v="15"/>
    <n v="71"/>
    <s v="High Risk"/>
  </r>
  <r>
    <n v="1883"/>
    <s v="Under 30"/>
    <s v="High Income"/>
    <n v="0"/>
    <n v="0"/>
    <s v="Bachelor"/>
    <x v="2"/>
    <s v="Normal"/>
    <n v="30"/>
    <n v="5"/>
    <n v="0"/>
    <n v="25"/>
    <n v="15"/>
    <n v="75"/>
    <s v="High Risk"/>
  </r>
  <r>
    <n v="1885"/>
    <s v="30-39"/>
    <s v="High Income"/>
    <n v="0"/>
    <n v="1"/>
    <s v="Master"/>
    <x v="2"/>
    <s v="Normal"/>
    <n v="20"/>
    <n v="5"/>
    <n v="25"/>
    <n v="25"/>
    <n v="15"/>
    <n v="90"/>
    <s v="High Risk"/>
  </r>
  <r>
    <n v="1886"/>
    <s v="30-39"/>
    <s v="High Income"/>
    <n v="0"/>
    <n v="1"/>
    <s v="College"/>
    <x v="2"/>
    <s v="Normal"/>
    <n v="20"/>
    <n v="5"/>
    <n v="25"/>
    <n v="18.75"/>
    <n v="15"/>
    <n v="84"/>
    <s v="High Risk"/>
  </r>
  <r>
    <n v="1888"/>
    <s v="40-49"/>
    <s v="High Income"/>
    <n v="0"/>
    <n v="0"/>
    <s v="College"/>
    <x v="0"/>
    <s v="Elevated"/>
    <n v="10"/>
    <n v="5"/>
    <n v="0"/>
    <n v="6.25"/>
    <n v="8"/>
    <n v="29"/>
    <s v="Low Risk"/>
  </r>
  <r>
    <n v="1890"/>
    <s v="30-39"/>
    <s v="High Income"/>
    <n v="0"/>
    <n v="0"/>
    <s v="Below College"/>
    <x v="0"/>
    <s v="Elevated"/>
    <n v="20"/>
    <n v="5"/>
    <n v="0"/>
    <n v="6.25"/>
    <n v="8"/>
    <n v="39"/>
    <s v="Medium Risk"/>
  </r>
  <r>
    <n v="1892"/>
    <s v="40-49"/>
    <s v="High Income"/>
    <n v="0"/>
    <n v="0"/>
    <s v="Master"/>
    <x v="3"/>
    <s v="Normal"/>
    <n v="10"/>
    <n v="5"/>
    <n v="0"/>
    <n v="25"/>
    <n v="3"/>
    <n v="43"/>
    <s v="Medium Risk"/>
  </r>
  <r>
    <n v="1893"/>
    <s v="Under 30"/>
    <s v="High Income"/>
    <n v="0"/>
    <n v="1"/>
    <s v="College"/>
    <x v="1"/>
    <s v="Elevated"/>
    <n v="30"/>
    <n v="5"/>
    <n v="25"/>
    <n v="12.5"/>
    <n v="25"/>
    <n v="98"/>
    <s v="High Risk"/>
  </r>
  <r>
    <n v="1898"/>
    <s v="Under 30"/>
    <s v="High Income"/>
    <n v="0"/>
    <n v="0"/>
    <s v="College"/>
    <x v="0"/>
    <s v="Elevated"/>
    <n v="30"/>
    <n v="5"/>
    <n v="0"/>
    <n v="12.5"/>
    <n v="8"/>
    <n v="56"/>
    <s v="High Risk"/>
  </r>
  <r>
    <n v="1900"/>
    <s v="40-49"/>
    <s v="High Income"/>
    <n v="0"/>
    <n v="0"/>
    <s v="Bachelor"/>
    <x v="3"/>
    <s v="Normal"/>
    <n v="10"/>
    <n v="5"/>
    <n v="0"/>
    <n v="6.25"/>
    <n v="3"/>
    <n v="24"/>
    <s v="Low Risk"/>
  </r>
  <r>
    <n v="1903"/>
    <s v="40-49"/>
    <s v="High Income"/>
    <n v="0"/>
    <n v="0"/>
    <s v="Master"/>
    <x v="1"/>
    <s v="Normal"/>
    <n v="10"/>
    <n v="5"/>
    <n v="0"/>
    <n v="25"/>
    <n v="25"/>
    <n v="65"/>
    <s v="High Risk"/>
  </r>
  <r>
    <n v="1905"/>
    <s v="30-39"/>
    <s v="High Income"/>
    <n v="1"/>
    <n v="1"/>
    <s v="Master"/>
    <x v="2"/>
    <s v="Normal"/>
    <n v="20"/>
    <n v="5"/>
    <n v="25"/>
    <n v="25"/>
    <n v="15"/>
    <n v="90"/>
    <s v="High Risk"/>
  </r>
  <r>
    <n v="1907"/>
    <s v="50+"/>
    <s v="High Income"/>
    <n v="1"/>
    <n v="0"/>
    <s v="College"/>
    <x v="2"/>
    <s v="Normal"/>
    <n v="15"/>
    <n v="5"/>
    <n v="0"/>
    <n v="6.25"/>
    <n v="15"/>
    <n v="41"/>
    <s v="Medium Risk"/>
  </r>
  <r>
    <n v="1908"/>
    <s v="30-39"/>
    <s v="High Income"/>
    <n v="0"/>
    <n v="0"/>
    <s v="College"/>
    <x v="2"/>
    <s v="Elevated"/>
    <n v="20"/>
    <n v="5"/>
    <n v="0"/>
    <n v="18.75"/>
    <n v="15"/>
    <n v="59"/>
    <s v="High Risk"/>
  </r>
  <r>
    <n v="1909"/>
    <s v="40-49"/>
    <s v="High Income"/>
    <n v="0"/>
    <n v="0"/>
    <s v="Bachelor"/>
    <x v="2"/>
    <s v="Normal"/>
    <n v="10"/>
    <n v="5"/>
    <n v="0"/>
    <n v="18.75"/>
    <n v="15"/>
    <n v="49"/>
    <s v="Medium Risk"/>
  </r>
  <r>
    <n v="1911"/>
    <s v="40-49"/>
    <s v="High Income"/>
    <n v="0"/>
    <n v="0"/>
    <s v="Bachelor"/>
    <x v="3"/>
    <s v="Normal"/>
    <n v="10"/>
    <n v="5"/>
    <n v="0"/>
    <n v="25"/>
    <n v="3"/>
    <n v="43"/>
    <s v="Medium Risk"/>
  </r>
  <r>
    <n v="1912"/>
    <s v="30-39"/>
    <s v="High Income"/>
    <n v="0"/>
    <n v="1"/>
    <s v="College"/>
    <x v="2"/>
    <s v="Normal"/>
    <n v="20"/>
    <n v="5"/>
    <n v="25"/>
    <n v="6.25"/>
    <n v="15"/>
    <n v="71"/>
    <s v="High Risk"/>
  </r>
  <r>
    <n v="1915"/>
    <s v="30-39"/>
    <s v="High Income"/>
    <n v="0"/>
    <n v="1"/>
    <s v="Below College"/>
    <x v="2"/>
    <s v="Elevated"/>
    <n v="20"/>
    <n v="5"/>
    <n v="25"/>
    <n v="6.25"/>
    <n v="15"/>
    <n v="71"/>
    <s v="High Risk"/>
  </r>
  <r>
    <n v="1916"/>
    <s v="30-39"/>
    <s v="High Income"/>
    <n v="0"/>
    <n v="0"/>
    <s v="Bachelor"/>
    <x v="1"/>
    <s v="Elevated"/>
    <n v="20"/>
    <n v="5"/>
    <n v="0"/>
    <n v="12.5"/>
    <n v="25"/>
    <n v="63"/>
    <s v="High Risk"/>
  </r>
  <r>
    <n v="1918"/>
    <s v="Under 30"/>
    <s v="High Income"/>
    <n v="0"/>
    <n v="0"/>
    <s v="Bachelor"/>
    <x v="0"/>
    <s v="Normal"/>
    <n v="30"/>
    <n v="5"/>
    <n v="0"/>
    <n v="6.25"/>
    <n v="8"/>
    <n v="49"/>
    <s v="Medium Risk"/>
  </r>
  <r>
    <n v="1922"/>
    <s v="40-49"/>
    <s v="High Income"/>
    <n v="0"/>
    <n v="0"/>
    <s v="Master"/>
    <x v="2"/>
    <s v="Normal"/>
    <n v="10"/>
    <n v="5"/>
    <n v="0"/>
    <n v="12.5"/>
    <n v="15"/>
    <n v="43"/>
    <s v="Medium Risk"/>
  </r>
  <r>
    <n v="1924"/>
    <s v="30-39"/>
    <s v="High Income"/>
    <n v="0"/>
    <n v="0"/>
    <s v="Master"/>
    <x v="0"/>
    <s v="Elevated"/>
    <n v="20"/>
    <n v="5"/>
    <n v="0"/>
    <n v="12.5"/>
    <n v="8"/>
    <n v="46"/>
    <s v="Medium Risk"/>
  </r>
  <r>
    <n v="1927"/>
    <s v="Under 30"/>
    <s v="High Income"/>
    <n v="0"/>
    <n v="1"/>
    <s v="College"/>
    <x v="0"/>
    <s v="Normal"/>
    <n v="30"/>
    <n v="5"/>
    <n v="25"/>
    <n v="6.25"/>
    <n v="8"/>
    <n v="74"/>
    <s v="High Risk"/>
  </r>
  <r>
    <n v="1928"/>
    <s v="Under 30"/>
    <s v="High Income"/>
    <n v="1"/>
    <n v="0"/>
    <s v="Bachelor"/>
    <x v="1"/>
    <s v="Normal"/>
    <n v="30"/>
    <n v="5"/>
    <n v="0"/>
    <n v="25"/>
    <n v="25"/>
    <n v="85"/>
    <s v="High Risk"/>
  </r>
  <r>
    <n v="1929"/>
    <s v="30-39"/>
    <s v="High Income"/>
    <n v="0"/>
    <n v="0"/>
    <s v="Master"/>
    <x v="2"/>
    <s v="Normal"/>
    <n v="20"/>
    <n v="5"/>
    <n v="0"/>
    <n v="12.5"/>
    <n v="15"/>
    <n v="53"/>
    <s v="Medium Risk"/>
  </r>
  <r>
    <n v="1931"/>
    <s v="Under 30"/>
    <s v="High Income"/>
    <n v="0"/>
    <n v="0"/>
    <s v="Master"/>
    <x v="2"/>
    <s v="Elevated"/>
    <n v="30"/>
    <n v="5"/>
    <n v="0"/>
    <n v="18.75"/>
    <n v="15"/>
    <n v="69"/>
    <s v="High Risk"/>
  </r>
  <r>
    <n v="1932"/>
    <s v="30-39"/>
    <s v="High Income"/>
    <n v="0"/>
    <n v="1"/>
    <s v="Master"/>
    <x v="3"/>
    <s v="Normal"/>
    <n v="20"/>
    <n v="5"/>
    <n v="25"/>
    <n v="6.25"/>
    <n v="3"/>
    <n v="59"/>
    <s v="High Risk"/>
  </r>
  <r>
    <n v="1933"/>
    <s v="Under 30"/>
    <s v="High Income"/>
    <n v="1"/>
    <n v="1"/>
    <s v="College"/>
    <x v="1"/>
    <s v="Normal"/>
    <n v="30"/>
    <n v="5"/>
    <n v="25"/>
    <n v="12.5"/>
    <n v="25"/>
    <n v="98"/>
    <s v="High Risk"/>
  </r>
  <r>
    <n v="1934"/>
    <s v="40-49"/>
    <s v="High Income"/>
    <n v="0"/>
    <n v="0"/>
    <s v="Master"/>
    <x v="0"/>
    <s v="Normal"/>
    <n v="10"/>
    <n v="5"/>
    <n v="0"/>
    <n v="18.75"/>
    <n v="8"/>
    <n v="42"/>
    <s v="Medium Risk"/>
  </r>
  <r>
    <n v="1935"/>
    <s v="50+"/>
    <s v="High Income"/>
    <n v="0"/>
    <n v="0"/>
    <s v="Doctor"/>
    <x v="1"/>
    <s v="Normal"/>
    <n v="15"/>
    <n v="5"/>
    <n v="0"/>
    <n v="25"/>
    <n v="25"/>
    <n v="70"/>
    <s v="High Risk"/>
  </r>
  <r>
    <n v="1936"/>
    <s v="30-39"/>
    <s v="High Income"/>
    <n v="0"/>
    <n v="0"/>
    <s v="College"/>
    <x v="0"/>
    <s v="Normal"/>
    <n v="20"/>
    <n v="5"/>
    <n v="0"/>
    <n v="25"/>
    <n v="8"/>
    <n v="58"/>
    <s v="High Risk"/>
  </r>
  <r>
    <n v="1937"/>
    <s v="30-39"/>
    <s v="High Income"/>
    <n v="0"/>
    <n v="1"/>
    <s v="Bachelor"/>
    <x v="3"/>
    <s v="Normal"/>
    <n v="20"/>
    <n v="5"/>
    <n v="25"/>
    <n v="18.75"/>
    <n v="3"/>
    <n v="72"/>
    <s v="High Risk"/>
  </r>
  <r>
    <n v="1938"/>
    <s v="50+"/>
    <s v="High Income"/>
    <n v="0"/>
    <n v="1"/>
    <s v="Bachelor"/>
    <x v="1"/>
    <s v="Elevated"/>
    <n v="15"/>
    <n v="5"/>
    <n v="25"/>
    <n v="6.25"/>
    <n v="25"/>
    <n v="76"/>
    <s v="High Risk"/>
  </r>
  <r>
    <n v="1939"/>
    <s v="30-39"/>
    <s v="High Income"/>
    <n v="1"/>
    <n v="1"/>
    <s v="College"/>
    <x v="2"/>
    <s v="Normal"/>
    <n v="20"/>
    <n v="5"/>
    <n v="25"/>
    <n v="12.5"/>
    <n v="15"/>
    <n v="78"/>
    <s v="High Risk"/>
  </r>
  <r>
    <n v="1940"/>
    <s v="30-39"/>
    <s v="High Income"/>
    <n v="0"/>
    <n v="0"/>
    <s v="College"/>
    <x v="2"/>
    <s v="Normal"/>
    <n v="20"/>
    <n v="5"/>
    <n v="0"/>
    <n v="6.25"/>
    <n v="15"/>
    <n v="46"/>
    <s v="Medium Risk"/>
  </r>
  <r>
    <n v="1941"/>
    <s v="40-49"/>
    <s v="High Income"/>
    <n v="0"/>
    <n v="0"/>
    <s v="Below College"/>
    <x v="2"/>
    <s v="Normal"/>
    <n v="10"/>
    <n v="5"/>
    <n v="0"/>
    <n v="6.25"/>
    <n v="15"/>
    <n v="36"/>
    <s v="Medium Risk"/>
  </r>
  <r>
    <n v="1943"/>
    <s v="40-49"/>
    <s v="High Income"/>
    <n v="0"/>
    <n v="1"/>
    <s v="Master"/>
    <x v="1"/>
    <s v="Normal"/>
    <n v="10"/>
    <n v="5"/>
    <n v="25"/>
    <n v="6.25"/>
    <n v="25"/>
    <n v="71"/>
    <s v="High Risk"/>
  </r>
  <r>
    <n v="1944"/>
    <s v="Under 30"/>
    <s v="High Income"/>
    <n v="1"/>
    <n v="0"/>
    <s v="Bachelor"/>
    <x v="1"/>
    <s v="Normal"/>
    <n v="30"/>
    <n v="5"/>
    <n v="0"/>
    <n v="18.75"/>
    <n v="25"/>
    <n v="79"/>
    <s v="High Risk"/>
  </r>
  <r>
    <n v="1945"/>
    <s v="30-39"/>
    <s v="High Income"/>
    <n v="0"/>
    <n v="0"/>
    <s v="Master"/>
    <x v="2"/>
    <s v="Elevated"/>
    <n v="20"/>
    <n v="5"/>
    <n v="0"/>
    <n v="25"/>
    <n v="15"/>
    <n v="65"/>
    <s v="High Risk"/>
  </r>
  <r>
    <n v="1947"/>
    <s v="Under 30"/>
    <s v="High Income"/>
    <n v="0"/>
    <n v="0"/>
    <s v="Bachelor"/>
    <x v="2"/>
    <s v="Elevated"/>
    <n v="30"/>
    <n v="5"/>
    <n v="0"/>
    <n v="12.5"/>
    <n v="15"/>
    <n v="63"/>
    <s v="High Risk"/>
  </r>
  <r>
    <n v="1948"/>
    <s v="30-39"/>
    <s v="High Income"/>
    <n v="0"/>
    <n v="1"/>
    <s v="College"/>
    <x v="2"/>
    <s v="Normal"/>
    <n v="20"/>
    <n v="5"/>
    <n v="25"/>
    <n v="25"/>
    <n v="15"/>
    <n v="90"/>
    <s v="High Risk"/>
  </r>
  <r>
    <n v="1949"/>
    <s v="30-39"/>
    <s v="High Income"/>
    <n v="0"/>
    <n v="0"/>
    <s v="Master"/>
    <x v="2"/>
    <s v="Normal"/>
    <n v="20"/>
    <n v="5"/>
    <n v="0"/>
    <n v="18.75"/>
    <n v="15"/>
    <n v="59"/>
    <s v="High Risk"/>
  </r>
  <r>
    <n v="1950"/>
    <s v="30-39"/>
    <s v="High Income"/>
    <n v="0"/>
    <n v="0"/>
    <s v="Bachelor"/>
    <x v="3"/>
    <s v="Elevated"/>
    <n v="20"/>
    <n v="5"/>
    <n v="0"/>
    <n v="6.25"/>
    <n v="3"/>
    <n v="34"/>
    <s v="Low Risk"/>
  </r>
  <r>
    <n v="1951"/>
    <s v="30-39"/>
    <s v="High Income"/>
    <n v="0"/>
    <n v="0"/>
    <s v="Master"/>
    <x v="0"/>
    <s v="Elevated"/>
    <n v="20"/>
    <n v="5"/>
    <n v="0"/>
    <n v="12.5"/>
    <n v="8"/>
    <n v="46"/>
    <s v="Medium Risk"/>
  </r>
  <r>
    <n v="1952"/>
    <s v="Under 30"/>
    <s v="High Income"/>
    <n v="0"/>
    <n v="0"/>
    <s v="Bachelor"/>
    <x v="0"/>
    <s v="Elevated"/>
    <n v="30"/>
    <n v="5"/>
    <n v="0"/>
    <n v="25"/>
    <n v="8"/>
    <n v="68"/>
    <s v="High Risk"/>
  </r>
  <r>
    <n v="1954"/>
    <s v="Under 30"/>
    <s v="High Income"/>
    <n v="0"/>
    <n v="0"/>
    <s v="Bachelor"/>
    <x v="2"/>
    <s v="Elevated"/>
    <n v="30"/>
    <n v="5"/>
    <n v="0"/>
    <n v="25"/>
    <n v="15"/>
    <n v="75"/>
    <s v="High Risk"/>
  </r>
  <r>
    <n v="1955"/>
    <s v="30-39"/>
    <s v="High Income"/>
    <n v="0"/>
    <n v="0"/>
    <s v="Master"/>
    <x v="2"/>
    <s v="Normal"/>
    <n v="20"/>
    <n v="5"/>
    <n v="0"/>
    <n v="6.25"/>
    <n v="15"/>
    <n v="46"/>
    <s v="Medium Risk"/>
  </r>
  <r>
    <n v="1956"/>
    <s v="30-39"/>
    <s v="High Income"/>
    <n v="0"/>
    <n v="0"/>
    <s v="Bachelor"/>
    <x v="0"/>
    <s v="Normal"/>
    <n v="20"/>
    <n v="5"/>
    <n v="0"/>
    <n v="25"/>
    <n v="8"/>
    <n v="58"/>
    <s v="High Risk"/>
  </r>
  <r>
    <n v="1960"/>
    <s v="Under 30"/>
    <s v="High Income"/>
    <n v="1"/>
    <n v="0"/>
    <s v="Bachelor"/>
    <x v="2"/>
    <s v="Elevated"/>
    <n v="30"/>
    <n v="5"/>
    <n v="0"/>
    <n v="6.25"/>
    <n v="15"/>
    <n v="56"/>
    <s v="High Risk"/>
  </r>
  <r>
    <n v="1961"/>
    <s v="30-39"/>
    <s v="High Income"/>
    <n v="0"/>
    <n v="0"/>
    <s v="Bachelor"/>
    <x v="1"/>
    <s v="Elevated"/>
    <n v="20"/>
    <n v="5"/>
    <n v="0"/>
    <n v="25"/>
    <n v="25"/>
    <n v="75"/>
    <s v="High Risk"/>
  </r>
  <r>
    <n v="1962"/>
    <s v="30-39"/>
    <s v="High Income"/>
    <n v="0"/>
    <n v="1"/>
    <s v="Master"/>
    <x v="0"/>
    <s v="Normal"/>
    <n v="20"/>
    <n v="5"/>
    <n v="25"/>
    <n v="6.25"/>
    <n v="8"/>
    <n v="64"/>
    <s v="High Risk"/>
  </r>
  <r>
    <n v="1965"/>
    <s v="Under 30"/>
    <s v="High Income"/>
    <n v="0"/>
    <n v="0"/>
    <s v="Bachelor"/>
    <x v="0"/>
    <s v="Normal"/>
    <n v="30"/>
    <n v="5"/>
    <n v="0"/>
    <n v="6.25"/>
    <n v="8"/>
    <n v="49"/>
    <s v="Medium Risk"/>
  </r>
  <r>
    <n v="1966"/>
    <s v="30-39"/>
    <s v="High Income"/>
    <n v="0"/>
    <n v="0"/>
    <s v="Master"/>
    <x v="1"/>
    <s v="Normal"/>
    <n v="20"/>
    <n v="5"/>
    <n v="0"/>
    <n v="6.25"/>
    <n v="25"/>
    <n v="56"/>
    <s v="High Risk"/>
  </r>
  <r>
    <n v="1967"/>
    <s v="30-39"/>
    <s v="High Income"/>
    <n v="1"/>
    <n v="1"/>
    <s v="Master"/>
    <x v="0"/>
    <s v="Normal"/>
    <n v="20"/>
    <n v="5"/>
    <n v="25"/>
    <n v="6.25"/>
    <n v="8"/>
    <n v="64"/>
    <s v="High Risk"/>
  </r>
  <r>
    <n v="1968"/>
    <s v="50+"/>
    <s v="High Income"/>
    <n v="1"/>
    <n v="1"/>
    <s v="Master"/>
    <x v="1"/>
    <s v="Elevated"/>
    <n v="15"/>
    <n v="5"/>
    <n v="25"/>
    <n v="25"/>
    <n v="25"/>
    <n v="95"/>
    <s v="High Risk"/>
  </r>
  <r>
    <n v="1969"/>
    <s v="50+"/>
    <s v="High Income"/>
    <n v="0"/>
    <n v="0"/>
    <s v="College"/>
    <x v="2"/>
    <s v="Elevated"/>
    <n v="15"/>
    <n v="5"/>
    <n v="0"/>
    <n v="12.5"/>
    <n v="15"/>
    <n v="48"/>
    <s v="Medium Risk"/>
  </r>
  <r>
    <n v="1970"/>
    <s v="30-39"/>
    <s v="High Income"/>
    <n v="0"/>
    <n v="0"/>
    <s v="College"/>
    <x v="0"/>
    <s v="Normal"/>
    <n v="20"/>
    <n v="5"/>
    <n v="0"/>
    <n v="12.5"/>
    <n v="8"/>
    <n v="46"/>
    <s v="Medium Risk"/>
  </r>
  <r>
    <n v="1971"/>
    <s v="40-49"/>
    <s v="High Income"/>
    <n v="0"/>
    <n v="0"/>
    <s v="Bachelor"/>
    <x v="0"/>
    <s v="Normal"/>
    <n v="10"/>
    <n v="5"/>
    <n v="0"/>
    <n v="12.5"/>
    <n v="8"/>
    <n v="36"/>
    <s v="Medium Risk"/>
  </r>
  <r>
    <n v="1972"/>
    <s v="30-39"/>
    <s v="High Income"/>
    <n v="0"/>
    <n v="1"/>
    <s v="Master"/>
    <x v="0"/>
    <s v="Normal"/>
    <n v="20"/>
    <n v="5"/>
    <n v="25"/>
    <n v="18.75"/>
    <n v="8"/>
    <n v="77"/>
    <s v="High Risk"/>
  </r>
  <r>
    <n v="1973"/>
    <s v="50+"/>
    <s v="High Income"/>
    <n v="0"/>
    <n v="1"/>
    <s v="Master"/>
    <x v="0"/>
    <s v="Normal"/>
    <n v="15"/>
    <n v="5"/>
    <n v="25"/>
    <n v="18.75"/>
    <n v="8"/>
    <n v="72"/>
    <s v="High Risk"/>
  </r>
  <r>
    <n v="1974"/>
    <s v="30-39"/>
    <s v="High Income"/>
    <n v="0"/>
    <n v="1"/>
    <s v="Below College"/>
    <x v="1"/>
    <s v="Normal"/>
    <n v="20"/>
    <n v="5"/>
    <n v="25"/>
    <n v="6.25"/>
    <n v="25"/>
    <n v="81"/>
    <s v="High Risk"/>
  </r>
  <r>
    <n v="1975"/>
    <s v="30-39"/>
    <s v="High Income"/>
    <n v="0"/>
    <n v="0"/>
    <s v="Master"/>
    <x v="3"/>
    <s v="Normal"/>
    <n v="20"/>
    <n v="5"/>
    <n v="0"/>
    <n v="25"/>
    <n v="3"/>
    <n v="53"/>
    <s v="Medium Risk"/>
  </r>
  <r>
    <n v="1976"/>
    <s v="40-49"/>
    <s v="High Income"/>
    <n v="0"/>
    <n v="0"/>
    <s v="College"/>
    <x v="3"/>
    <s v="Normal"/>
    <n v="10"/>
    <n v="5"/>
    <n v="0"/>
    <n v="12.5"/>
    <n v="3"/>
    <n v="31"/>
    <s v="Low Risk"/>
  </r>
  <r>
    <n v="1979"/>
    <s v="30-39"/>
    <s v="High Income"/>
    <n v="0"/>
    <n v="0"/>
    <s v="Bachelor"/>
    <x v="3"/>
    <s v="Normal"/>
    <n v="20"/>
    <n v="5"/>
    <n v="0"/>
    <n v="12.5"/>
    <n v="3"/>
    <n v="41"/>
    <s v="Medium Risk"/>
  </r>
  <r>
    <n v="1980"/>
    <s v="50+"/>
    <s v="High Income"/>
    <n v="0"/>
    <n v="1"/>
    <s v="Bachelor"/>
    <x v="2"/>
    <s v="Normal"/>
    <n v="15"/>
    <n v="5"/>
    <n v="25"/>
    <n v="25"/>
    <n v="15"/>
    <n v="85"/>
    <s v="High Risk"/>
  </r>
  <r>
    <n v="1981"/>
    <s v="Under 30"/>
    <s v="High Income"/>
    <n v="0"/>
    <n v="0"/>
    <s v="College"/>
    <x v="2"/>
    <s v="Elevated"/>
    <n v="30"/>
    <n v="5"/>
    <n v="0"/>
    <n v="12.5"/>
    <n v="15"/>
    <n v="63"/>
    <s v="High Risk"/>
  </r>
  <r>
    <n v="1982"/>
    <s v="Under 30"/>
    <s v="High Income"/>
    <n v="0"/>
    <n v="0"/>
    <s v="College"/>
    <x v="2"/>
    <s v="Normal"/>
    <n v="30"/>
    <n v="5"/>
    <n v="0"/>
    <n v="6.25"/>
    <n v="15"/>
    <n v="56"/>
    <s v="High Risk"/>
  </r>
  <r>
    <n v="1985"/>
    <s v="40-49"/>
    <s v="High Income"/>
    <n v="0"/>
    <n v="0"/>
    <s v="Bachelor"/>
    <x v="0"/>
    <s v="Normal"/>
    <n v="10"/>
    <n v="5"/>
    <n v="0"/>
    <n v="12.5"/>
    <n v="8"/>
    <n v="36"/>
    <s v="Medium Risk"/>
  </r>
  <r>
    <n v="1986"/>
    <s v="40-49"/>
    <s v="High Income"/>
    <n v="0"/>
    <n v="0"/>
    <s v="College"/>
    <x v="3"/>
    <s v="Normal"/>
    <n v="10"/>
    <n v="5"/>
    <n v="0"/>
    <n v="18.75"/>
    <n v="3"/>
    <n v="37"/>
    <s v="Medium Risk"/>
  </r>
  <r>
    <n v="1987"/>
    <s v="Under 30"/>
    <s v="High Income"/>
    <n v="0"/>
    <n v="0"/>
    <s v="Bachelor"/>
    <x v="1"/>
    <s v="Normal"/>
    <n v="30"/>
    <n v="5"/>
    <n v="0"/>
    <n v="18.75"/>
    <n v="25"/>
    <n v="79"/>
    <s v="High Risk"/>
  </r>
  <r>
    <n v="1989"/>
    <s v="30-39"/>
    <s v="High Income"/>
    <n v="0"/>
    <n v="0"/>
    <s v="College"/>
    <x v="3"/>
    <s v="Elevated"/>
    <n v="20"/>
    <n v="5"/>
    <n v="0"/>
    <n v="18.75"/>
    <n v="3"/>
    <n v="47"/>
    <s v="Medium Risk"/>
  </r>
  <r>
    <n v="1992"/>
    <s v="Under 30"/>
    <s v="High Income"/>
    <n v="0"/>
    <n v="1"/>
    <s v="Below College"/>
    <x v="1"/>
    <s v="Elevated"/>
    <n v="30"/>
    <n v="5"/>
    <n v="25"/>
    <n v="12.5"/>
    <n v="25"/>
    <n v="98"/>
    <s v="High Risk"/>
  </r>
  <r>
    <n v="1993"/>
    <s v="40-49"/>
    <s v="High Income"/>
    <n v="0"/>
    <n v="0"/>
    <s v="Bachelor"/>
    <x v="3"/>
    <s v="Normal"/>
    <n v="10"/>
    <n v="5"/>
    <n v="0"/>
    <n v="12.5"/>
    <n v="3"/>
    <n v="31"/>
    <s v="Low Risk"/>
  </r>
  <r>
    <n v="1994"/>
    <s v="30-39"/>
    <s v="High Income"/>
    <n v="0"/>
    <n v="0"/>
    <s v="College"/>
    <x v="1"/>
    <s v="Elevated"/>
    <n v="20"/>
    <n v="5"/>
    <n v="0"/>
    <n v="12.5"/>
    <n v="25"/>
    <n v="63"/>
    <s v="High Risk"/>
  </r>
  <r>
    <n v="1995"/>
    <s v="30-39"/>
    <s v="High Income"/>
    <n v="0"/>
    <n v="0"/>
    <s v="Master"/>
    <x v="3"/>
    <s v="Normal"/>
    <n v="20"/>
    <n v="5"/>
    <n v="0"/>
    <n v="18.75"/>
    <n v="3"/>
    <n v="47"/>
    <s v="Medium Risk"/>
  </r>
  <r>
    <n v="1996"/>
    <s v="30-39"/>
    <s v="High Income"/>
    <n v="0"/>
    <n v="0"/>
    <s v="College"/>
    <x v="1"/>
    <s v="Normal"/>
    <n v="20"/>
    <n v="5"/>
    <n v="0"/>
    <n v="12.5"/>
    <n v="25"/>
    <n v="63"/>
    <s v="High Risk"/>
  </r>
  <r>
    <n v="1997"/>
    <s v="30-39"/>
    <s v="High Income"/>
    <n v="0"/>
    <n v="0"/>
    <s v="Master"/>
    <x v="0"/>
    <s v="Normal"/>
    <n v="20"/>
    <n v="5"/>
    <n v="0"/>
    <n v="12.5"/>
    <n v="8"/>
    <n v="46"/>
    <s v="Medium Risk"/>
  </r>
  <r>
    <n v="1998"/>
    <s v="40-49"/>
    <s v="High Income"/>
    <n v="0"/>
    <n v="1"/>
    <s v="Master"/>
    <x v="2"/>
    <s v="Elevated"/>
    <n v="10"/>
    <n v="5"/>
    <n v="25"/>
    <n v="25"/>
    <n v="15"/>
    <n v="80"/>
    <s v="High Risk"/>
  </r>
  <r>
    <n v="1999"/>
    <s v="40-49"/>
    <s v="High Income"/>
    <n v="0"/>
    <n v="0"/>
    <s v="Bachelor"/>
    <x v="2"/>
    <s v="Normal"/>
    <n v="10"/>
    <n v="5"/>
    <n v="0"/>
    <n v="6.25"/>
    <n v="15"/>
    <n v="36"/>
    <s v="Medium Risk"/>
  </r>
  <r>
    <n v="2000"/>
    <s v="40-49"/>
    <s v="High Income"/>
    <n v="0"/>
    <n v="0"/>
    <s v="Below College"/>
    <x v="3"/>
    <s v="Elevated"/>
    <n v="10"/>
    <n v="5"/>
    <n v="0"/>
    <n v="18.75"/>
    <n v="3"/>
    <n v="37"/>
    <s v="Medium Risk"/>
  </r>
  <r>
    <n v="2003"/>
    <s v="30-39"/>
    <s v="High Income"/>
    <n v="0"/>
    <n v="1"/>
    <s v="Master"/>
    <x v="1"/>
    <s v="Normal"/>
    <n v="20"/>
    <n v="5"/>
    <n v="25"/>
    <n v="12.5"/>
    <n v="25"/>
    <n v="88"/>
    <s v="High Risk"/>
  </r>
  <r>
    <n v="2007"/>
    <s v="Under 30"/>
    <s v="High Income"/>
    <n v="0"/>
    <n v="0"/>
    <s v="College"/>
    <x v="2"/>
    <s v="Normal"/>
    <n v="30"/>
    <n v="5"/>
    <n v="0"/>
    <n v="12.5"/>
    <n v="15"/>
    <n v="63"/>
    <s v="High Risk"/>
  </r>
  <r>
    <n v="2008"/>
    <s v="30-39"/>
    <s v="High Income"/>
    <n v="0"/>
    <n v="0"/>
    <s v="Master"/>
    <x v="0"/>
    <s v="Normal"/>
    <n v="20"/>
    <n v="5"/>
    <n v="0"/>
    <n v="12.5"/>
    <n v="8"/>
    <n v="46"/>
    <s v="Medium Risk"/>
  </r>
  <r>
    <n v="2009"/>
    <s v="30-39"/>
    <s v="High Income"/>
    <n v="0"/>
    <n v="1"/>
    <s v="College"/>
    <x v="0"/>
    <s v="Normal"/>
    <n v="20"/>
    <n v="5"/>
    <n v="25"/>
    <n v="6.25"/>
    <n v="8"/>
    <n v="64"/>
    <s v="High Risk"/>
  </r>
  <r>
    <n v="2010"/>
    <s v="30-39"/>
    <s v="High Income"/>
    <n v="0"/>
    <n v="0"/>
    <s v="Master"/>
    <x v="0"/>
    <s v="Normal"/>
    <n v="20"/>
    <n v="5"/>
    <n v="0"/>
    <n v="18.75"/>
    <n v="8"/>
    <n v="52"/>
    <s v="Medium Risk"/>
  </r>
  <r>
    <n v="2012"/>
    <s v="40-49"/>
    <s v="High Income"/>
    <n v="0"/>
    <n v="0"/>
    <s v="Master"/>
    <x v="1"/>
    <s v="Elevated"/>
    <n v="10"/>
    <n v="5"/>
    <n v="0"/>
    <n v="6.25"/>
    <n v="25"/>
    <n v="46"/>
    <s v="Medium Risk"/>
  </r>
  <r>
    <n v="2013"/>
    <s v="30-39"/>
    <s v="High Income"/>
    <n v="0"/>
    <n v="0"/>
    <s v="Master"/>
    <x v="1"/>
    <s v="Normal"/>
    <n v="20"/>
    <n v="5"/>
    <n v="0"/>
    <n v="18.75"/>
    <n v="25"/>
    <n v="69"/>
    <s v="High Risk"/>
  </r>
  <r>
    <n v="2014"/>
    <s v="30-39"/>
    <s v="High Income"/>
    <n v="0"/>
    <n v="0"/>
    <s v="Below College"/>
    <x v="0"/>
    <s v="Normal"/>
    <n v="20"/>
    <n v="5"/>
    <n v="0"/>
    <n v="6.25"/>
    <n v="8"/>
    <n v="39"/>
    <s v="Medium Risk"/>
  </r>
  <r>
    <n v="2015"/>
    <s v="30-39"/>
    <s v="High Income"/>
    <n v="0"/>
    <n v="0"/>
    <s v="Bachelor"/>
    <x v="3"/>
    <s v="Normal"/>
    <n v="20"/>
    <n v="5"/>
    <n v="0"/>
    <n v="12.5"/>
    <n v="3"/>
    <n v="41"/>
    <s v="Medium Risk"/>
  </r>
  <r>
    <n v="2016"/>
    <s v="30-39"/>
    <s v="High Income"/>
    <n v="0"/>
    <n v="0"/>
    <s v="Master"/>
    <x v="3"/>
    <s v="Normal"/>
    <n v="20"/>
    <n v="5"/>
    <n v="0"/>
    <n v="6.25"/>
    <n v="3"/>
    <n v="34"/>
    <s v="Low Risk"/>
  </r>
  <r>
    <n v="2017"/>
    <s v="30-39"/>
    <s v="High Income"/>
    <n v="0"/>
    <n v="1"/>
    <s v="Bachelor"/>
    <x v="3"/>
    <s v="Normal"/>
    <n v="20"/>
    <n v="5"/>
    <n v="25"/>
    <n v="6.25"/>
    <n v="3"/>
    <n v="59"/>
    <s v="High Risk"/>
  </r>
  <r>
    <n v="2018"/>
    <s v="Under 30"/>
    <s v="High Income"/>
    <n v="0"/>
    <n v="1"/>
    <s v="College"/>
    <x v="2"/>
    <s v="Elevated"/>
    <n v="30"/>
    <n v="5"/>
    <n v="25"/>
    <n v="12.5"/>
    <n v="15"/>
    <n v="88"/>
    <s v="High Risk"/>
  </r>
  <r>
    <n v="2019"/>
    <s v="50+"/>
    <s v="High Income"/>
    <n v="0"/>
    <n v="0"/>
    <s v="Master"/>
    <x v="0"/>
    <s v="Elevated"/>
    <n v="15"/>
    <n v="5"/>
    <n v="0"/>
    <n v="6.25"/>
    <n v="8"/>
    <n v="34"/>
    <s v="Low Risk"/>
  </r>
  <r>
    <n v="2020"/>
    <s v="40-49"/>
    <s v="High Income"/>
    <n v="0"/>
    <n v="1"/>
    <s v="Bachelor"/>
    <x v="2"/>
    <s v="Normal"/>
    <n v="10"/>
    <n v="5"/>
    <n v="25"/>
    <n v="6.25"/>
    <n v="15"/>
    <n v="61"/>
    <s v="High Risk"/>
  </r>
  <r>
    <n v="2021"/>
    <s v="Under 30"/>
    <s v="High Income"/>
    <n v="0"/>
    <n v="1"/>
    <s v="Below College"/>
    <x v="1"/>
    <s v="Normal"/>
    <n v="30"/>
    <n v="5"/>
    <n v="25"/>
    <n v="25"/>
    <n v="25"/>
    <n v="110"/>
    <s v="High Risk"/>
  </r>
  <r>
    <n v="2022"/>
    <s v="30-39"/>
    <s v="High Income"/>
    <n v="0"/>
    <n v="0"/>
    <s v="Bachelor"/>
    <x v="0"/>
    <s v="Elevated"/>
    <n v="20"/>
    <n v="5"/>
    <n v="0"/>
    <n v="6.25"/>
    <n v="8"/>
    <n v="39"/>
    <s v="Medium Risk"/>
  </r>
  <r>
    <n v="2023"/>
    <s v="Under 30"/>
    <s v="High Income"/>
    <n v="1"/>
    <n v="0"/>
    <s v="Bachelor"/>
    <x v="1"/>
    <s v="Elevated"/>
    <n v="30"/>
    <n v="5"/>
    <n v="0"/>
    <n v="25"/>
    <n v="25"/>
    <n v="85"/>
    <s v="High Risk"/>
  </r>
  <r>
    <n v="2024"/>
    <s v="30-39"/>
    <s v="High Income"/>
    <n v="0"/>
    <n v="0"/>
    <s v="Bachelor"/>
    <x v="0"/>
    <s v="Normal"/>
    <n v="20"/>
    <n v="5"/>
    <n v="0"/>
    <n v="6.25"/>
    <n v="8"/>
    <n v="39"/>
    <s v="Medium Risk"/>
  </r>
  <r>
    <n v="2025"/>
    <s v="30-39"/>
    <s v="High Income"/>
    <n v="0"/>
    <n v="0"/>
    <s v="College"/>
    <x v="2"/>
    <s v="Normal"/>
    <n v="20"/>
    <n v="5"/>
    <n v="0"/>
    <n v="18.75"/>
    <n v="15"/>
    <n v="59"/>
    <s v="High Risk"/>
  </r>
  <r>
    <n v="2026"/>
    <s v="50+"/>
    <s v="High Income"/>
    <n v="0"/>
    <n v="0"/>
    <s v="Master"/>
    <x v="3"/>
    <s v="Elevated"/>
    <n v="15"/>
    <n v="5"/>
    <n v="0"/>
    <n v="12.5"/>
    <n v="3"/>
    <n v="36"/>
    <s v="Medium Risk"/>
  </r>
  <r>
    <n v="2027"/>
    <s v="Under 30"/>
    <s v="High Income"/>
    <n v="1"/>
    <n v="1"/>
    <s v="Master"/>
    <x v="1"/>
    <s v="Normal"/>
    <n v="30"/>
    <n v="5"/>
    <n v="25"/>
    <n v="6.25"/>
    <n v="25"/>
    <n v="91"/>
    <s v="High Risk"/>
  </r>
  <r>
    <n v="2031"/>
    <s v="40-49"/>
    <s v="High Income"/>
    <n v="0"/>
    <n v="0"/>
    <s v="Bachelor"/>
    <x v="3"/>
    <s v="Elevated"/>
    <n v="10"/>
    <n v="5"/>
    <n v="0"/>
    <n v="12.5"/>
    <n v="3"/>
    <n v="31"/>
    <s v="Low Risk"/>
  </r>
  <r>
    <n v="2032"/>
    <s v="50+"/>
    <s v="High Income"/>
    <n v="1"/>
    <n v="0"/>
    <s v="College"/>
    <x v="0"/>
    <s v="Elevated"/>
    <n v="15"/>
    <n v="5"/>
    <n v="0"/>
    <n v="12.5"/>
    <n v="8"/>
    <n v="41"/>
    <s v="Medium Risk"/>
  </r>
  <r>
    <n v="2034"/>
    <s v="40-49"/>
    <s v="High Income"/>
    <n v="0"/>
    <n v="0"/>
    <s v="Master"/>
    <x v="3"/>
    <s v="Normal"/>
    <n v="10"/>
    <n v="5"/>
    <n v="0"/>
    <n v="18.75"/>
    <n v="3"/>
    <n v="37"/>
    <s v="Medium Risk"/>
  </r>
  <r>
    <n v="2035"/>
    <s v="30-39"/>
    <s v="High Income"/>
    <n v="0"/>
    <n v="0"/>
    <s v="Bachelor"/>
    <x v="0"/>
    <s v="Normal"/>
    <n v="20"/>
    <n v="5"/>
    <n v="0"/>
    <n v="12.5"/>
    <n v="8"/>
    <n v="46"/>
    <s v="Medium Risk"/>
  </r>
  <r>
    <n v="2036"/>
    <s v="30-39"/>
    <s v="High Income"/>
    <n v="0"/>
    <n v="0"/>
    <s v="Master"/>
    <x v="3"/>
    <s v="Elevated"/>
    <n v="20"/>
    <n v="5"/>
    <n v="0"/>
    <n v="6.25"/>
    <n v="3"/>
    <n v="34"/>
    <s v="Low Risk"/>
  </r>
  <r>
    <n v="2037"/>
    <s v="40-49"/>
    <s v="High Income"/>
    <n v="0"/>
    <n v="0"/>
    <s v="Bachelor"/>
    <x v="2"/>
    <s v="Normal"/>
    <n v="10"/>
    <n v="5"/>
    <n v="0"/>
    <n v="18.75"/>
    <n v="15"/>
    <n v="49"/>
    <s v="Medium Risk"/>
  </r>
  <r>
    <n v="2038"/>
    <s v="30-39"/>
    <s v="High Income"/>
    <n v="0"/>
    <n v="0"/>
    <s v="Bachelor"/>
    <x v="2"/>
    <s v="Normal"/>
    <n v="20"/>
    <n v="5"/>
    <n v="0"/>
    <n v="25"/>
    <n v="15"/>
    <n v="65"/>
    <s v="High Risk"/>
  </r>
  <r>
    <n v="2040"/>
    <s v="30-39"/>
    <s v="High Income"/>
    <n v="0"/>
    <n v="1"/>
    <s v="Master"/>
    <x v="0"/>
    <s v="Normal"/>
    <n v="20"/>
    <n v="5"/>
    <n v="25"/>
    <n v="6.25"/>
    <n v="8"/>
    <n v="64"/>
    <s v="High Risk"/>
  </r>
  <r>
    <n v="2041"/>
    <s v="30-39"/>
    <s v="High Income"/>
    <n v="0"/>
    <n v="0"/>
    <s v="College"/>
    <x v="0"/>
    <s v="Normal"/>
    <n v="20"/>
    <n v="5"/>
    <n v="0"/>
    <n v="6.25"/>
    <n v="8"/>
    <n v="39"/>
    <s v="Medium Risk"/>
  </r>
  <r>
    <n v="2044"/>
    <s v="50+"/>
    <s v="High Income"/>
    <n v="1"/>
    <n v="0"/>
    <s v="Master"/>
    <x v="0"/>
    <s v="Normal"/>
    <n v="15"/>
    <n v="5"/>
    <n v="0"/>
    <n v="12.5"/>
    <n v="8"/>
    <n v="41"/>
    <s v="Medium Risk"/>
  </r>
  <r>
    <n v="2045"/>
    <s v="30-39"/>
    <s v="High Income"/>
    <n v="0"/>
    <n v="0"/>
    <s v="Master"/>
    <x v="0"/>
    <s v="Elevated"/>
    <n v="20"/>
    <n v="5"/>
    <n v="0"/>
    <n v="6.25"/>
    <n v="8"/>
    <n v="39"/>
    <s v="Medium Risk"/>
  </r>
  <r>
    <n v="2046"/>
    <s v="40-49"/>
    <s v="High Income"/>
    <n v="0"/>
    <n v="0"/>
    <s v="Bachelor"/>
    <x v="2"/>
    <s v="Normal"/>
    <n v="10"/>
    <n v="5"/>
    <n v="0"/>
    <n v="12.5"/>
    <n v="15"/>
    <n v="43"/>
    <s v="Medium Risk"/>
  </r>
  <r>
    <n v="2048"/>
    <s v="40-49"/>
    <s v="High Income"/>
    <n v="0"/>
    <n v="0"/>
    <s v="Master"/>
    <x v="1"/>
    <s v="Normal"/>
    <n v="10"/>
    <n v="5"/>
    <n v="0"/>
    <n v="12.5"/>
    <n v="25"/>
    <n v="53"/>
    <s v="Medium Risk"/>
  </r>
  <r>
    <n v="2049"/>
    <s v="30-39"/>
    <s v="High Income"/>
    <n v="0"/>
    <n v="1"/>
    <s v="Master"/>
    <x v="0"/>
    <s v="Normal"/>
    <n v="20"/>
    <n v="5"/>
    <n v="25"/>
    <n v="12.5"/>
    <n v="8"/>
    <n v="71"/>
    <s v="High Risk"/>
  </r>
  <r>
    <n v="2051"/>
    <s v="40-49"/>
    <s v="High Income"/>
    <n v="0"/>
    <n v="0"/>
    <s v="Master"/>
    <x v="2"/>
    <s v="Normal"/>
    <n v="10"/>
    <n v="5"/>
    <n v="0"/>
    <n v="12.5"/>
    <n v="15"/>
    <n v="43"/>
    <s v="Medium Risk"/>
  </r>
  <r>
    <n v="2052"/>
    <s v="30-39"/>
    <s v="High Income"/>
    <n v="0"/>
    <n v="0"/>
    <s v="Master"/>
    <x v="2"/>
    <s v="Normal"/>
    <n v="20"/>
    <n v="5"/>
    <n v="0"/>
    <n v="6.25"/>
    <n v="15"/>
    <n v="46"/>
    <s v="Medium Risk"/>
  </r>
  <r>
    <n v="2053"/>
    <s v="Under 30"/>
    <s v="High Income"/>
    <n v="0"/>
    <n v="1"/>
    <s v="College"/>
    <x v="2"/>
    <s v="Normal"/>
    <n v="30"/>
    <n v="5"/>
    <n v="25"/>
    <n v="18.75"/>
    <n v="15"/>
    <n v="94"/>
    <s v="High Risk"/>
  </r>
  <r>
    <n v="2054"/>
    <s v="Under 30"/>
    <s v="High Income"/>
    <n v="0"/>
    <n v="0"/>
    <s v="Master"/>
    <x v="2"/>
    <s v="Elevated"/>
    <n v="30"/>
    <n v="5"/>
    <n v="0"/>
    <n v="25"/>
    <n v="15"/>
    <n v="75"/>
    <s v="High Risk"/>
  </r>
  <r>
    <n v="2055"/>
    <s v="50+"/>
    <s v="High Income"/>
    <n v="1"/>
    <n v="1"/>
    <s v="Bachelor"/>
    <x v="2"/>
    <s v="Normal"/>
    <n v="15"/>
    <n v="5"/>
    <n v="25"/>
    <n v="25"/>
    <n v="15"/>
    <n v="85"/>
    <s v="High Risk"/>
  </r>
  <r>
    <n v="2056"/>
    <s v="30-39"/>
    <s v="High Income"/>
    <n v="0"/>
    <n v="0"/>
    <s v="Below College"/>
    <x v="3"/>
    <s v="Elevated"/>
    <n v="20"/>
    <n v="5"/>
    <n v="0"/>
    <n v="6.25"/>
    <n v="3"/>
    <n v="34"/>
    <s v="Low Risk"/>
  </r>
  <r>
    <n v="2057"/>
    <s v="30-39"/>
    <s v="High Income"/>
    <n v="0"/>
    <n v="0"/>
    <s v="Bachelor"/>
    <x v="0"/>
    <s v="Normal"/>
    <n v="20"/>
    <n v="5"/>
    <n v="0"/>
    <n v="25"/>
    <n v="8"/>
    <n v="58"/>
    <s v="High Risk"/>
  </r>
  <r>
    <n v="2060"/>
    <s v="Under 30"/>
    <s v="High Income"/>
    <n v="0"/>
    <n v="0"/>
    <s v="Bachelor"/>
    <x v="2"/>
    <s v="Normal"/>
    <n v="30"/>
    <n v="5"/>
    <n v="0"/>
    <n v="12.5"/>
    <n v="15"/>
    <n v="63"/>
    <s v="High Risk"/>
  </r>
  <r>
    <n v="2061"/>
    <s v="30-39"/>
    <s v="High Income"/>
    <n v="0"/>
    <n v="0"/>
    <s v="College"/>
    <x v="2"/>
    <s v="Normal"/>
    <n v="20"/>
    <n v="5"/>
    <n v="0"/>
    <n v="6.25"/>
    <n v="15"/>
    <n v="46"/>
    <s v="Medium Risk"/>
  </r>
  <r>
    <n v="2062"/>
    <s v="30-39"/>
    <s v="High Income"/>
    <n v="0"/>
    <n v="0"/>
    <s v="Below College"/>
    <x v="0"/>
    <s v="Normal"/>
    <n v="20"/>
    <n v="5"/>
    <n v="0"/>
    <n v="25"/>
    <n v="8"/>
    <n v="58"/>
    <s v="High Risk"/>
  </r>
  <r>
    <n v="2064"/>
    <s v="Under 30"/>
    <s v="High Income"/>
    <n v="0"/>
    <n v="1"/>
    <s v="Bachelor"/>
    <x v="0"/>
    <s v="Normal"/>
    <n v="30"/>
    <n v="5"/>
    <n v="25"/>
    <n v="18.75"/>
    <n v="8"/>
    <n v="87"/>
    <s v="High Risk"/>
  </r>
  <r>
    <n v="2065"/>
    <s v="40-49"/>
    <s v="High Income"/>
    <n v="0"/>
    <n v="0"/>
    <s v="Bachelor"/>
    <x v="0"/>
    <s v="Elevated"/>
    <n v="10"/>
    <n v="5"/>
    <n v="0"/>
    <n v="18.75"/>
    <n v="8"/>
    <n v="42"/>
    <s v="Medium Risk"/>
  </r>
  <r>
    <n v="2068"/>
    <s v="30-39"/>
    <s v="High Income"/>
    <n v="0"/>
    <n v="0"/>
    <s v="Bachelor"/>
    <x v="2"/>
    <s v="Normal"/>
    <n v="20"/>
    <n v="5"/>
    <n v="0"/>
    <n v="12.5"/>
    <n v="15"/>
    <n v="53"/>
    <s v="Medium Ris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A42DAB-C778-49D9-B4B6-C98ABF5B1B4F}"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rowHeaderCaption="Dept">
  <location ref="B5:C8" firstHeaderRow="1" firstDataRow="1" firstDataCol="1"/>
  <pivotFields count="42">
    <pivotField showAll="0"/>
    <pivotField showAll="0">
      <items count="3">
        <item h="1"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4"/>
  </rowFields>
  <rowItems count="3">
    <i>
      <x/>
    </i>
    <i>
      <x v="1"/>
    </i>
    <i>
      <x v="2"/>
    </i>
  </rowItems>
  <colItems count="1">
    <i/>
  </colItems>
  <dataFields count="1">
    <dataField name="Sum of Attrition Flag" fld="37"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BA9B10-D25B-46B7-8D90-A31026EDF214}"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location ref="E5:F7"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11"/>
  </rowFields>
  <rowItems count="2">
    <i>
      <x/>
    </i>
    <i>
      <x v="1"/>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B61EA3-F790-4CC8-9479-1FA993B81810}" name="PivotTable8"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7" rowHeaderCaption="Attrition ">
  <location ref="H11:I13"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22"/>
  </rowFields>
  <rowItems count="2">
    <i>
      <x/>
    </i>
    <i>
      <x v="1"/>
    </i>
  </rowItems>
  <colItems count="1">
    <i/>
  </colItems>
  <dataFields count="1">
    <dataField name="Sum of Attrition Flag" fld="37" baseField="0" baseItem="0"/>
  </dataFields>
  <chartFormats count="3">
    <chartFormat chart="56" format="2" series="1">
      <pivotArea type="data" outline="0" fieldPosition="0">
        <references count="1">
          <reference field="4294967294" count="1" selected="0">
            <x v="0"/>
          </reference>
        </references>
      </pivotArea>
    </chartFormat>
    <chartFormat chart="56" format="3">
      <pivotArea type="data" outline="0" fieldPosition="0">
        <references count="2">
          <reference field="4294967294" count="1" selected="0">
            <x v="0"/>
          </reference>
          <reference field="22" count="1" selected="0">
            <x v="1"/>
          </reference>
        </references>
      </pivotArea>
    </chartFormat>
    <chartFormat chart="56" format="4">
      <pivotArea type="data" outline="0" fieldPosition="0">
        <references count="2">
          <reference field="4294967294" count="1" selected="0">
            <x v="0"/>
          </reference>
          <reference field="2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DCF641-D2F1-40B9-A231-5DF1AC206ECA}"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ge grp">
  <location ref="H17:I21"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axis="axisRow" showAll="0">
      <items count="5">
        <item x="1"/>
        <item x="0"/>
        <item x="3"/>
        <item x="2"/>
        <item t="default"/>
      </items>
    </pivotField>
    <pivotField showAll="0"/>
    <pivotField dataField="1" showAll="0"/>
    <pivotField showAll="0"/>
    <pivotField showAll="0"/>
    <pivotField showAll="0">
      <items count="4">
        <item x="1"/>
        <item x="2"/>
        <item x="0"/>
        <item t="default"/>
      </items>
    </pivotField>
    <pivotField showAll="0"/>
  </pivotFields>
  <rowFields count="1">
    <field x="35"/>
  </rowFields>
  <rowItems count="4">
    <i>
      <x/>
    </i>
    <i>
      <x v="1"/>
    </i>
    <i>
      <x v="2"/>
    </i>
    <i>
      <x v="3"/>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DE1C01-2C6C-4AB6-B61F-D10669F70FE5}"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Tenure">
  <location ref="K5:L10" firstHeaderRow="1" firstDataRow="1" firstDataCol="1"/>
  <pivotFields count="15">
    <pivotField showAll="0"/>
    <pivotField showAll="0"/>
    <pivotField showAll="0"/>
    <pivotField dataField="1" showAll="0"/>
    <pivotField showAll="0"/>
    <pivotField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s>
  <rowFields count="1">
    <field x="6"/>
  </rowFields>
  <rowItems count="5">
    <i>
      <x/>
    </i>
    <i>
      <x v="2"/>
    </i>
    <i>
      <x v="3"/>
    </i>
    <i>
      <x v="1"/>
    </i>
    <i t="grand">
      <x/>
    </i>
  </rowItems>
  <colItems count="1">
    <i/>
  </colItems>
  <dataFields count="1">
    <dataField name="Average of Attrition Flag" fld="3" subtotal="average" baseField="0" baseItem="0"/>
  </dataFields>
  <formats count="2">
    <format dxfId="7">
      <pivotArea collapsedLevelsAreSubtotals="1" fieldPosition="0">
        <references count="1">
          <reference field="6" count="0"/>
        </references>
      </pivotArea>
    </format>
    <format dxfId="6">
      <pivotArea grandRow="1" outline="0" collapsedLevelsAreSubtotals="1" fieldPosition="0"/>
    </format>
  </formats>
  <chartFormats count="4">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799BD1-639E-49CF-A991-5D41B8FB0C54}"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oles">
  <location ref="B12:C21"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15"/>
  </rowFields>
  <rowItems count="9">
    <i>
      <x/>
    </i>
    <i>
      <x v="1"/>
    </i>
    <i>
      <x v="2"/>
    </i>
    <i>
      <x v="3"/>
    </i>
    <i>
      <x v="4"/>
    </i>
    <i>
      <x v="5"/>
    </i>
    <i>
      <x v="6"/>
    </i>
    <i>
      <x v="7"/>
    </i>
    <i>
      <x v="8"/>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89168C2-4A67-470B-8AF8-AFFA46CC5871}"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Income grp">
  <location ref="H5:I8"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axis="axisRow" showAll="0">
      <items count="4">
        <item x="2"/>
        <item x="1"/>
        <item x="0"/>
        <item t="default"/>
      </items>
    </pivotField>
    <pivotField dataField="1" showAll="0"/>
    <pivotField showAll="0"/>
    <pivotField showAll="0"/>
    <pivotField showAll="0">
      <items count="4">
        <item x="1"/>
        <item x="2"/>
        <item x="0"/>
        <item t="default"/>
      </items>
    </pivotField>
    <pivotField showAll="0"/>
  </pivotFields>
  <rowFields count="1">
    <field x="36"/>
  </rowFields>
  <rowItems count="3">
    <i>
      <x/>
    </i>
    <i>
      <x v="1"/>
    </i>
    <i>
      <x v="2"/>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A57BFF-2907-48AF-B028-AC3403697DF4}" name="PivotTable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Education">
  <location ref="E12:F17"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axis="axisRow" showAll="0">
      <items count="6">
        <item x="3"/>
        <item x="1"/>
        <item x="0"/>
        <item x="4"/>
        <item x="2"/>
        <item t="default"/>
      </items>
    </pivotField>
    <pivotField showAll="0">
      <items count="4">
        <item x="1"/>
        <item x="2"/>
        <item x="0"/>
        <item t="default"/>
      </items>
    </pivotField>
    <pivotField showAll="0"/>
  </pivotFields>
  <rowFields count="1">
    <field x="39"/>
  </rowFields>
  <rowItems count="5">
    <i>
      <x/>
    </i>
    <i>
      <x v="1"/>
    </i>
    <i>
      <x v="2"/>
    </i>
    <i>
      <x v="3"/>
    </i>
    <i>
      <x v="4"/>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141B57-B10A-472C-9551-0984BFC418A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income group">
  <location ref="J12:K16"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4">
        <item x="1"/>
        <item x="2"/>
        <item x="0"/>
        <item t="default"/>
      </items>
    </pivotField>
    <pivotField showAll="0"/>
  </pivotFields>
  <rowFields count="1">
    <field x="36"/>
  </rowFields>
  <rowItems count="4">
    <i>
      <x/>
    </i>
    <i>
      <x v="1"/>
    </i>
    <i>
      <x v="2"/>
    </i>
    <i t="grand">
      <x/>
    </i>
  </rowItems>
  <colItems count="1">
    <i/>
  </colItems>
  <dataFields count="1">
    <dataField name="Employees" fld="9" subtotal="count" baseField="3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1AA505-C97E-43E5-ABF8-14A105D80517}"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income ">
  <location ref="E12:G16" firstHeaderRow="1" firstDataRow="2" firstDataCol="1"/>
  <pivotFields count="42">
    <pivotField showAll="0"/>
    <pivotField axis="axisCol"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4">
        <item x="1"/>
        <item x="2"/>
        <item x="0"/>
        <item t="default"/>
      </items>
    </pivotField>
    <pivotField showAll="0"/>
  </pivotFields>
  <rowFields count="1">
    <field x="36"/>
  </rowFields>
  <rowItems count="3">
    <i>
      <x/>
    </i>
    <i>
      <x v="1"/>
    </i>
    <i>
      <x v="2"/>
    </i>
  </rowItems>
  <colFields count="1">
    <field x="1"/>
  </colFields>
  <colItems count="2">
    <i>
      <x v="1"/>
    </i>
    <i t="grand">
      <x/>
    </i>
  </colItems>
  <dataFields count="1">
    <dataField name="Empployees" fld="9" subtotal="count" baseField="3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A116B6-8E26-4189-905E-4538E6F85C1F}"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tion">
  <location ref="E5:F6" firstHeaderRow="1" firstDataRow="1" firstDataCol="1"/>
  <pivotFields count="42">
    <pivotField showAll="0"/>
    <pivotField axis="axisRow"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s>
  <rowFields count="1">
    <field x="1"/>
  </rowFields>
  <rowItems count="1">
    <i>
      <x v="1"/>
    </i>
  </rowItems>
  <colItems count="1">
    <i/>
  </colItems>
  <dataFields count="1">
    <dataField name="Avg Income" fld="18" subtotal="average" baseField="4" baseItem="0" numFmtId="169"/>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2E495C5-590C-4C44-A4EF-2DABCAEE7CC3}"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rowHeaderCaption="Roles">
  <location ref="B12:C21"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s>
  <rowFields count="1">
    <field x="15"/>
  </rowFields>
  <rowItems count="9">
    <i>
      <x v="5"/>
    </i>
    <i>
      <x v="3"/>
    </i>
    <i>
      <x/>
    </i>
    <i>
      <x v="7"/>
    </i>
    <i>
      <x v="4"/>
    </i>
    <i>
      <x v="1"/>
    </i>
    <i>
      <x v="2"/>
    </i>
    <i>
      <x v="6"/>
    </i>
    <i>
      <x v="8"/>
    </i>
  </rowItems>
  <colItems count="1">
    <i/>
  </colItems>
  <dataFields count="1">
    <dataField name="Avg Income" fld="18" subtotal="average" baseField="4" baseItem="0" numFmtId="169"/>
  </dataFields>
  <formats count="1">
    <format dxfId="3">
      <pivotArea outline="0" collapsedLevelsAreSubtotals="1" fieldPosition="0"/>
    </format>
  </formats>
  <chartFormats count="2">
    <chartFormat chart="7"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7B2A323-B096-4633-8E50-1E42572AF44C}"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Dept">
  <location ref="B5:C8" firstHeaderRow="1" firstDataRow="1" firstDataCol="1"/>
  <pivotFields count="42">
    <pivotField showAll="0"/>
    <pivotField showAll="0">
      <items count="3">
        <item h="1"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s>
  <rowFields count="1">
    <field x="4"/>
  </rowFields>
  <rowItems count="3">
    <i>
      <x/>
    </i>
    <i>
      <x v="1"/>
    </i>
    <i>
      <x v="2"/>
    </i>
  </rowItems>
  <colItems count="1">
    <i/>
  </colItems>
  <dataFields count="1">
    <dataField name="Avg Income" fld="18" subtotal="average" baseField="4" baseItem="0" numFmtId="169"/>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69E488-341A-4065-8B1D-25E9884FD3FE}" name="PivotTable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isk">
  <location ref="H5:I8"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s>
  <rowFields count="1">
    <field x="40"/>
  </rowFields>
  <rowItems count="3">
    <i>
      <x/>
    </i>
    <i>
      <x v="1"/>
    </i>
    <i>
      <x v="2"/>
    </i>
  </rowItems>
  <colItems count="1">
    <i/>
  </colItems>
  <dataFields count="1">
    <dataField name="Avg Income" fld="18" subtotal="average" baseField="40" baseItem="0" numFmtId="168"/>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02D8F56-F7AE-4C12-9B26-66DFF61AE287}"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isk category" colHeaderCaption="Dept">
  <location ref="F5:J9" firstHeaderRow="1" firstDataRow="2" firstDataCol="1"/>
  <pivotFields count="42">
    <pivotField showAll="0"/>
    <pivotField showAll="0">
      <items count="3">
        <item h="1" x="1"/>
        <item x="0"/>
        <item t="default"/>
      </items>
    </pivotField>
    <pivotField showAll="0"/>
    <pivotField showAll="0"/>
    <pivotField axis="axisRow"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s>
  <rowFields count="1">
    <field x="4"/>
  </rowFields>
  <rowItems count="3">
    <i>
      <x/>
    </i>
    <i>
      <x v="1"/>
    </i>
    <i>
      <x v="2"/>
    </i>
  </rowItems>
  <colFields count="1">
    <field x="40"/>
  </colFields>
  <colItems count="4">
    <i>
      <x/>
    </i>
    <i>
      <x v="1"/>
    </i>
    <i>
      <x v="2"/>
    </i>
    <i t="grand">
      <x/>
    </i>
  </colItems>
  <dataFields count="1">
    <dataField name="Employees" fld="9" subtotal="count" baseField="4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3EDC3A5-4109-4574-94DB-4ADD15786391}"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2" rowHeaderCaption="Risk category">
  <location ref="I15:J18"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s>
  <rowFields count="1">
    <field x="40"/>
  </rowFields>
  <rowItems count="3">
    <i>
      <x/>
    </i>
    <i>
      <x v="1"/>
    </i>
    <i>
      <x v="2"/>
    </i>
  </rowItems>
  <colItems count="1">
    <i/>
  </colItems>
  <dataFields count="1">
    <dataField name="Employees" fld="9" subtotal="count" baseField="40" baseItem="0"/>
  </dataFields>
  <chartFormats count="4">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40" count="1" selected="0">
            <x v="0"/>
          </reference>
        </references>
      </pivotArea>
    </chartFormat>
    <chartFormat chart="7" format="7">
      <pivotArea type="data" outline="0" fieldPosition="0">
        <references count="2">
          <reference field="4294967294" count="1" selected="0">
            <x v="0"/>
          </reference>
          <reference field="40" count="1" selected="0">
            <x v="1"/>
          </reference>
        </references>
      </pivotArea>
    </chartFormat>
    <chartFormat chart="7" format="8">
      <pivotArea type="data" outline="0" fieldPosition="0">
        <references count="2">
          <reference field="4294967294" count="1" selected="0">
            <x v="0"/>
          </reference>
          <reference field="4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7A0179A-8854-48BD-AF6F-BB3CF2497A7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les">
  <location ref="F14:G24"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dataField="1" showAll="0"/>
  </pivotFields>
  <rowFields count="1">
    <field x="15"/>
  </rowFields>
  <rowItems count="10">
    <i>
      <x/>
    </i>
    <i>
      <x v="1"/>
    </i>
    <i>
      <x v="2"/>
    </i>
    <i>
      <x v="3"/>
    </i>
    <i>
      <x v="4"/>
    </i>
    <i>
      <x v="5"/>
    </i>
    <i>
      <x v="6"/>
    </i>
    <i>
      <x v="7"/>
    </i>
    <i>
      <x v="8"/>
    </i>
    <i t="grand">
      <x/>
    </i>
  </rowItems>
  <colItems count="1">
    <i/>
  </colItems>
  <dataFields count="1">
    <dataField name="Avag Risk score" fld="41" subtotal="average" baseField="15" baseItem="0"/>
  </dataFields>
  <formats count="2">
    <format dxfId="1">
      <pivotArea dataOnly="0" labelOnly="1" grandRow="1" outline="0" fieldPosition="0"/>
    </format>
    <format dxfId="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37585D83-1A7F-486B-8706-4CE97632390C}" sourceName="Attrition">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2">
        <i x="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A4EDAA9-FF5E-47C9-9549-7F54D29712A7}" sourceName="Department">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5DE77D4-57AB-44F9-B6D9-39F497609BAA}" sourceName="Gender">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313A20D4-D57D-4659-9091-0878E66BE89D}" sourceName="OverTime">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Category" xr10:uid="{03362BDF-6D01-405F-B284-EFAA5C247702}" sourceName="Risk Category">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1237578A-5876-4AB2-8A2C-36F65EF1E05C}" cache="Slicer_Attrition" caption="Attrition" rowHeight="241300"/>
  <slicer name="Department" xr10:uid="{5FD7FFB5-E288-4E35-AFCB-340244F43F8D}" cache="Slicer_Department" caption="Department" rowHeight="241300"/>
  <slicer name="Gender" xr10:uid="{74BC5A6D-F9FB-4D99-9CA6-E85D23166D55}" cache="Slicer_Gender" caption="Gender" rowHeight="241300"/>
  <slicer name="OverTime" xr10:uid="{7113A674-3DD8-4723-926F-ADE06023967D}" cache="Slicer_OverTime" caption="OverTime" rowHeight="241300"/>
  <slicer name="Risk Category" xr10:uid="{0923665E-DA3C-4FC1-82BE-7E96D85C4DED}" cache="Slicer_Risk_Category" caption="Risk 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awData" displayName="tblRawData" ref="A1:AI1471">
  <autoFilter ref="A1:AI1471" xr:uid="{00000000-0009-0000-0100-000001000000}"/>
  <tableColumns count="35">
    <tableColumn id="1" xr3:uid="{00000000-0010-0000-0000-000001000000}" name="Age"/>
    <tableColumn id="2" xr3:uid="{00000000-0010-0000-0000-000002000000}" name="Attrition"/>
    <tableColumn id="3" xr3:uid="{00000000-0010-0000-0000-000003000000}" name="BusinessTravel"/>
    <tableColumn id="4" xr3:uid="{00000000-0010-0000-0000-000004000000}" name="DailyRate"/>
    <tableColumn id="5" xr3:uid="{00000000-0010-0000-0000-000005000000}" name="Department"/>
    <tableColumn id="6" xr3:uid="{00000000-0010-0000-0000-000006000000}" name="DistanceFromHome"/>
    <tableColumn id="7" xr3:uid="{00000000-0010-0000-0000-000007000000}" name="Education"/>
    <tableColumn id="8" xr3:uid="{00000000-0010-0000-0000-000008000000}" name="EducationField"/>
    <tableColumn id="9" xr3:uid="{00000000-0010-0000-0000-000009000000}" name="EmployeeCount"/>
    <tableColumn id="10" xr3:uid="{00000000-0010-0000-0000-00000A000000}" name="EmployeeNumber"/>
    <tableColumn id="11" xr3:uid="{00000000-0010-0000-0000-00000B000000}" name="EnvironmentSatisfaction"/>
    <tableColumn id="12" xr3:uid="{00000000-0010-0000-0000-00000C000000}" name="Gender"/>
    <tableColumn id="13" xr3:uid="{00000000-0010-0000-0000-00000D000000}" name="HourlyRate"/>
    <tableColumn id="14" xr3:uid="{00000000-0010-0000-0000-00000E000000}" name="JobInvolvement"/>
    <tableColumn id="15" xr3:uid="{00000000-0010-0000-0000-00000F000000}" name="JobLevel"/>
    <tableColumn id="16" xr3:uid="{00000000-0010-0000-0000-000010000000}" name="JobRole"/>
    <tableColumn id="17" xr3:uid="{00000000-0010-0000-0000-000011000000}" name="JobSatisfaction"/>
    <tableColumn id="18" xr3:uid="{00000000-0010-0000-0000-000012000000}" name="MaritalStatus"/>
    <tableColumn id="19" xr3:uid="{00000000-0010-0000-0000-000013000000}" name="MonthlyIncome"/>
    <tableColumn id="20" xr3:uid="{00000000-0010-0000-0000-000014000000}" name="MonthlyRate"/>
    <tableColumn id="21" xr3:uid="{00000000-0010-0000-0000-000015000000}" name="NumCompaniesWorked"/>
    <tableColumn id="22" xr3:uid="{00000000-0010-0000-0000-000016000000}" name="Over18"/>
    <tableColumn id="23" xr3:uid="{00000000-0010-0000-0000-000017000000}" name="OverTime"/>
    <tableColumn id="24" xr3:uid="{00000000-0010-0000-0000-000018000000}" name="PercentSalaryHike"/>
    <tableColumn id="25" xr3:uid="{00000000-0010-0000-0000-000019000000}" name="PerformanceRating"/>
    <tableColumn id="26" xr3:uid="{00000000-0010-0000-0000-00001A000000}" name="RelationshipSatisfaction"/>
    <tableColumn id="27" xr3:uid="{00000000-0010-0000-0000-00001B000000}" name="StandardHours"/>
    <tableColumn id="28" xr3:uid="{00000000-0010-0000-0000-00001C000000}" name="StockOptionLevel"/>
    <tableColumn id="29" xr3:uid="{00000000-0010-0000-0000-00001D000000}" name="TotalWorkingYears"/>
    <tableColumn id="30" xr3:uid="{00000000-0010-0000-0000-00001E000000}" name="TrainingTimesLastYear"/>
    <tableColumn id="31" xr3:uid="{00000000-0010-0000-0000-00001F000000}" name="WorkLifeBalance"/>
    <tableColumn id="32" xr3:uid="{00000000-0010-0000-0000-000020000000}" name="YearsAtCompany"/>
    <tableColumn id="33" xr3:uid="{00000000-0010-0000-0000-000021000000}" name="YearsInCurrentRole"/>
    <tableColumn id="34" xr3:uid="{00000000-0010-0000-0000-000022000000}" name="YearsSinceLastPromotion"/>
    <tableColumn id="35" xr3:uid="{00000000-0010-0000-0000-000023000000}" name="YearsWithCurrManag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leanData" displayName="tblCleanData" ref="A1:AP1471" headerRowDxfId="59" dataDxfId="58" totalsRowDxfId="57">
  <autoFilter ref="A1:AP1471" xr:uid="{00000000-0009-0000-0100-000002000000}"/>
  <tableColumns count="42">
    <tableColumn id="1" xr3:uid="{00000000-0010-0000-0100-000001000000}" name="Age" dataDxfId="56"/>
    <tableColumn id="2" xr3:uid="{00000000-0010-0000-0100-000002000000}" name="Attrition" dataDxfId="55"/>
    <tableColumn id="3" xr3:uid="{00000000-0010-0000-0100-000003000000}" name="BusinessTravel" dataDxfId="54"/>
    <tableColumn id="4" xr3:uid="{00000000-0010-0000-0100-000004000000}" name="DailyRate" dataDxfId="53"/>
    <tableColumn id="5" xr3:uid="{00000000-0010-0000-0100-000005000000}" name="Department" dataDxfId="52"/>
    <tableColumn id="6" xr3:uid="{00000000-0010-0000-0100-000006000000}" name="DistanceFromHome" dataDxfId="51"/>
    <tableColumn id="7" xr3:uid="{00000000-0010-0000-0100-000007000000}" name="Education" dataDxfId="50"/>
    <tableColumn id="8" xr3:uid="{00000000-0010-0000-0100-000008000000}" name="EducationField" dataDxfId="49"/>
    <tableColumn id="9" xr3:uid="{00000000-0010-0000-0100-000009000000}" name="EmployeeCount" dataDxfId="48"/>
    <tableColumn id="10" xr3:uid="{00000000-0010-0000-0100-00000A000000}" name="EmployeeNumber" dataDxfId="47"/>
    <tableColumn id="11" xr3:uid="{00000000-0010-0000-0100-00000B000000}" name="EnvironmentSatisfaction" dataDxfId="46"/>
    <tableColumn id="12" xr3:uid="{00000000-0010-0000-0100-00000C000000}" name="Gender" dataDxfId="45"/>
    <tableColumn id="13" xr3:uid="{00000000-0010-0000-0100-00000D000000}" name="HourlyRate" dataDxfId="44"/>
    <tableColumn id="14" xr3:uid="{00000000-0010-0000-0100-00000E000000}" name="JobInvolvement" dataDxfId="43"/>
    <tableColumn id="15" xr3:uid="{00000000-0010-0000-0100-00000F000000}" name="JobLevel" dataDxfId="42"/>
    <tableColumn id="16" xr3:uid="{00000000-0010-0000-0100-000010000000}" name="JobRole" dataDxfId="41"/>
    <tableColumn id="17" xr3:uid="{00000000-0010-0000-0100-000011000000}" name="JobSatisfaction" dataDxfId="40"/>
    <tableColumn id="18" xr3:uid="{00000000-0010-0000-0100-000012000000}" name="MaritalStatus" dataDxfId="39"/>
    <tableColumn id="19" xr3:uid="{00000000-0010-0000-0100-000013000000}" name="MonthlyIncome" dataDxfId="38"/>
    <tableColumn id="20" xr3:uid="{00000000-0010-0000-0100-000014000000}" name="MonthlyRate" dataDxfId="37"/>
    <tableColumn id="21" xr3:uid="{00000000-0010-0000-0100-000015000000}" name="NumCompaniesWorked" dataDxfId="36"/>
    <tableColumn id="22" xr3:uid="{00000000-0010-0000-0100-000016000000}" name="Over18" dataDxfId="35"/>
    <tableColumn id="23" xr3:uid="{00000000-0010-0000-0100-000017000000}" name="OverTime" dataDxfId="34"/>
    <tableColumn id="24" xr3:uid="{00000000-0010-0000-0100-000018000000}" name="PercentSalaryHike" dataDxfId="33"/>
    <tableColumn id="25" xr3:uid="{00000000-0010-0000-0100-000019000000}" name="PerformanceRating" dataDxfId="32"/>
    <tableColumn id="26" xr3:uid="{00000000-0010-0000-0100-00001A000000}" name="RelationshipSatisfaction" dataDxfId="31"/>
    <tableColumn id="27" xr3:uid="{00000000-0010-0000-0100-00001B000000}" name="StandardHours" dataDxfId="30"/>
    <tableColumn id="28" xr3:uid="{00000000-0010-0000-0100-00001C000000}" name="StockOptionLevel" dataDxfId="29"/>
    <tableColumn id="29" xr3:uid="{00000000-0010-0000-0100-00001D000000}" name="TotalWorkingYears" dataDxfId="28"/>
    <tableColumn id="30" xr3:uid="{00000000-0010-0000-0100-00001E000000}" name="TrainingTimesLastYear" dataDxfId="27"/>
    <tableColumn id="31" xr3:uid="{00000000-0010-0000-0100-00001F000000}" name="WorkLifeBalance" dataDxfId="26"/>
    <tableColumn id="32" xr3:uid="{00000000-0010-0000-0100-000020000000}" name="YearsAtCompany" dataDxfId="25"/>
    <tableColumn id="33" xr3:uid="{00000000-0010-0000-0100-000021000000}" name="YearsInCurrentRole" dataDxfId="24"/>
    <tableColumn id="34" xr3:uid="{00000000-0010-0000-0100-000022000000}" name="YearsSinceLastPromotion" dataDxfId="23"/>
    <tableColumn id="35" xr3:uid="{00000000-0010-0000-0100-000023000000}" name="YearsWithCurrManager" dataDxfId="22"/>
    <tableColumn id="36" xr3:uid="{C793962F-42D6-497A-A7AB-84D080186290}" name="Age Group" dataDxfId="21" totalsRowDxfId="20">
      <calculatedColumnFormula>IF(A2&lt;30,"Under 30", IF(A2&lt;40,"30-39", IF(A2&lt;50,"40-49", "50+")))</calculatedColumnFormula>
    </tableColumn>
    <tableColumn id="37" xr3:uid="{22936648-430F-47F7-9920-3CDD6240356B}" name="Income Group" dataDxfId="19" totalsRowDxfId="18">
      <calculatedColumnFormula>IF(tblCleanData[[#This Row],[MonthlyIncome]]&lt;5000, "Low Income", IF(tblCleanData[[#This Row],[MonthlyIncome]]&lt;15000, "Medium Income", "High Income"))</calculatedColumnFormula>
    </tableColumn>
    <tableColumn id="38" xr3:uid="{EF2F5EB9-8776-4085-9B37-4E3A75B73513}" name="Attrition Flag" dataDxfId="17" totalsRowDxfId="16">
      <calculatedColumnFormula>IF(tblCleanData[[#This Row],[Attrition]]="No", 0,1)</calculatedColumnFormula>
    </tableColumn>
    <tableColumn id="39" xr3:uid="{9358E4A6-2021-4C06-A185-685F88DBD1D8}" name="Overtime Flag" dataDxfId="15" totalsRowDxfId="14">
      <calculatedColumnFormula>IF(tblCleanData[[#This Row],[OverTime]] = "No", 0, 1)</calculatedColumnFormula>
    </tableColumn>
    <tableColumn id="40" xr3:uid="{9BF24928-A12A-4668-9478-11523498613E}" name="Education Label" dataDxfId="13" totalsRowDxfId="12">
      <calculatedColumnFormula>CHOOSE(tblCleanData[[#This Row],[Education]], "Below College","College","Bachelor","Master","Doctor")</calculatedColumnFormula>
    </tableColumn>
    <tableColumn id="41" xr3:uid="{1E2AA8D7-8BCE-40E1-8EA4-2249F72C0869}" name="Risk Category" dataDxfId="11" totalsRowDxfId="10">
      <calculatedColumnFormula>VLOOKUP(tblCleanData[[#This Row],[EmployeeNumber]],tblHelpers[],15,TRUE)</calculatedColumnFormula>
    </tableColumn>
    <tableColumn id="42" xr3:uid="{34868377-22E6-48CF-BC04-469B39675EE3}" name="Risk Score" dataDxfId="9" totalsRowDxfId="8">
      <calculatedColumnFormula>VLOOKUP(tblCleanData[[#This Row],[EmployeeNumber]],tblHelpers[],14,0)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elpers" displayName="tblHelpers" ref="A8:O1478">
  <autoFilter ref="A8:O1478" xr:uid="{00000000-0009-0000-0100-000003000000}"/>
  <tableColumns count="15">
    <tableColumn id="1" xr3:uid="{00000000-0010-0000-0200-000001000000}" name="EmployeeNumber"/>
    <tableColumn id="2" xr3:uid="{00000000-0010-0000-0200-000002000000}" name="Age Group"/>
    <tableColumn id="3" xr3:uid="{00000000-0010-0000-0200-000003000000}" name="Income Group"/>
    <tableColumn id="4" xr3:uid="{00000000-0010-0000-0200-000004000000}" name="Attrition Flag"/>
    <tableColumn id="5" xr3:uid="{00000000-0010-0000-0200-000005000000}" name="Overtime Flag"/>
    <tableColumn id="6" xr3:uid="{00000000-0010-0000-0200-000006000000}" name="Education Label"/>
    <tableColumn id="7" xr3:uid="{00000000-0010-0000-0200-000007000000}" name="Tenure Band"/>
    <tableColumn id="8" xr3:uid="{00000000-0010-0000-0200-000008000000}" name="Work Life Risk"/>
    <tableColumn id="9" xr3:uid="{00000000-0010-0000-0200-000009000000}" name="Age Score"/>
    <tableColumn id="10" xr3:uid="{00000000-0010-0000-0200-00000A000000}" name="Salary Score"/>
    <tableColumn id="11" xr3:uid="{00000000-0010-0000-0200-00000B000000}" name="Overtime Score"/>
    <tableColumn id="12" xr3:uid="{00000000-0010-0000-0200-00000C000000}" name="Satisfaction Score"/>
    <tableColumn id="13" xr3:uid="{00000000-0010-0000-0200-00000D000000}" name="Tenure Score"/>
    <tableColumn id="14" xr3:uid="{00000000-0010-0000-0200-00000E000000}" name="Risk Score"/>
    <tableColumn id="15" xr3:uid="{00000000-0010-0000-0200-00000F000000}" name="Risk 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1.xml"/><Relationship Id="rId7" Type="http://schemas.openxmlformats.org/officeDocument/2006/relationships/drawing" Target="../drawings/drawing1.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pivotTable" Target="../pivotTables/pivotTable14.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1471"/>
  <sheetViews>
    <sheetView workbookViewId="0">
      <pane ySplit="1" topLeftCell="A1415" activePane="bottomLeft" state="frozen"/>
      <selection pane="bottomLeft" activeCell="F7" sqref="F7"/>
    </sheetView>
  </sheetViews>
  <sheetFormatPr defaultRowHeight="15" x14ac:dyDescent="0.25"/>
  <cols>
    <col min="1" max="9" width="14" customWidth="1"/>
    <col min="10" max="10" width="18.5703125" bestFit="1" customWidth="1"/>
    <col min="11" max="35" width="14" customWidth="1"/>
  </cols>
  <sheetData>
    <row r="1" spans="1:35" ht="28.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spans="1:35" x14ac:dyDescent="0.25">
      <c r="A2" t="s">
        <v>35</v>
      </c>
      <c r="B2" t="s">
        <v>36</v>
      </c>
      <c r="C2" t="s">
        <v>37</v>
      </c>
      <c r="D2" t="s">
        <v>38</v>
      </c>
      <c r="E2" t="s">
        <v>39</v>
      </c>
      <c r="F2" t="s">
        <v>40</v>
      </c>
      <c r="G2" t="s">
        <v>41</v>
      </c>
      <c r="H2" t="s">
        <v>42</v>
      </c>
      <c r="I2" t="s">
        <v>40</v>
      </c>
      <c r="J2" t="s">
        <v>40</v>
      </c>
      <c r="K2" t="s">
        <v>41</v>
      </c>
      <c r="L2" t="s">
        <v>43</v>
      </c>
      <c r="M2" t="s">
        <v>44</v>
      </c>
      <c r="N2" t="s">
        <v>45</v>
      </c>
      <c r="O2" t="s">
        <v>41</v>
      </c>
      <c r="P2" t="s">
        <v>46</v>
      </c>
      <c r="Q2" t="s">
        <v>47</v>
      </c>
      <c r="R2" t="s">
        <v>48</v>
      </c>
      <c r="S2" t="s">
        <v>49</v>
      </c>
      <c r="T2" t="s">
        <v>50</v>
      </c>
      <c r="U2" t="s">
        <v>51</v>
      </c>
      <c r="V2" t="s">
        <v>52</v>
      </c>
      <c r="W2" t="s">
        <v>36</v>
      </c>
      <c r="X2" t="s">
        <v>53</v>
      </c>
      <c r="Y2" t="s">
        <v>45</v>
      </c>
      <c r="Z2" t="s">
        <v>40</v>
      </c>
      <c r="AA2" t="s">
        <v>54</v>
      </c>
      <c r="AB2" t="s">
        <v>55</v>
      </c>
      <c r="AC2" t="s">
        <v>51</v>
      </c>
      <c r="AD2" t="s">
        <v>55</v>
      </c>
      <c r="AE2" t="s">
        <v>40</v>
      </c>
      <c r="AF2" t="s">
        <v>56</v>
      </c>
      <c r="AG2" t="s">
        <v>47</v>
      </c>
      <c r="AH2" t="s">
        <v>55</v>
      </c>
      <c r="AI2" t="s">
        <v>57</v>
      </c>
    </row>
    <row r="3" spans="1:35" x14ac:dyDescent="0.25">
      <c r="A3" t="s">
        <v>58</v>
      </c>
      <c r="B3" t="s">
        <v>59</v>
      </c>
      <c r="C3" t="s">
        <v>60</v>
      </c>
      <c r="D3" t="s">
        <v>61</v>
      </c>
      <c r="E3" t="s">
        <v>62</v>
      </c>
      <c r="F3" t="s">
        <v>51</v>
      </c>
      <c r="G3" t="s">
        <v>40</v>
      </c>
      <c r="H3" t="s">
        <v>42</v>
      </c>
      <c r="I3" t="s">
        <v>40</v>
      </c>
      <c r="J3" t="s">
        <v>41</v>
      </c>
      <c r="K3" t="s">
        <v>45</v>
      </c>
      <c r="L3" t="s">
        <v>63</v>
      </c>
      <c r="M3" t="s">
        <v>64</v>
      </c>
      <c r="N3" t="s">
        <v>41</v>
      </c>
      <c r="O3" t="s">
        <v>41</v>
      </c>
      <c r="P3" t="s">
        <v>65</v>
      </c>
      <c r="Q3" t="s">
        <v>41</v>
      </c>
      <c r="R3" t="s">
        <v>66</v>
      </c>
      <c r="S3" t="s">
        <v>67</v>
      </c>
      <c r="T3" t="s">
        <v>68</v>
      </c>
      <c r="U3" t="s">
        <v>40</v>
      </c>
      <c r="V3" t="s">
        <v>52</v>
      </c>
      <c r="W3" t="s">
        <v>59</v>
      </c>
      <c r="X3" t="s">
        <v>69</v>
      </c>
      <c r="Y3" t="s">
        <v>47</v>
      </c>
      <c r="Z3" t="s">
        <v>47</v>
      </c>
      <c r="AA3" t="s">
        <v>54</v>
      </c>
      <c r="AB3" t="s">
        <v>40</v>
      </c>
      <c r="AC3" t="s">
        <v>70</v>
      </c>
      <c r="AD3" t="s">
        <v>45</v>
      </c>
      <c r="AE3" t="s">
        <v>45</v>
      </c>
      <c r="AF3" t="s">
        <v>70</v>
      </c>
      <c r="AG3" t="s">
        <v>71</v>
      </c>
      <c r="AH3" t="s">
        <v>40</v>
      </c>
      <c r="AI3" t="s">
        <v>71</v>
      </c>
    </row>
    <row r="4" spans="1:35" x14ac:dyDescent="0.25">
      <c r="A4" t="s">
        <v>72</v>
      </c>
      <c r="B4" t="s">
        <v>36</v>
      </c>
      <c r="C4" t="s">
        <v>37</v>
      </c>
      <c r="D4" t="s">
        <v>73</v>
      </c>
      <c r="E4" t="s">
        <v>62</v>
      </c>
      <c r="F4" t="s">
        <v>41</v>
      </c>
      <c r="G4" t="s">
        <v>41</v>
      </c>
      <c r="H4" t="s">
        <v>74</v>
      </c>
      <c r="I4" t="s">
        <v>40</v>
      </c>
      <c r="J4" t="s">
        <v>47</v>
      </c>
      <c r="K4" t="s">
        <v>47</v>
      </c>
      <c r="L4" t="s">
        <v>63</v>
      </c>
      <c r="M4" t="s">
        <v>75</v>
      </c>
      <c r="N4" t="s">
        <v>41</v>
      </c>
      <c r="O4" t="s">
        <v>40</v>
      </c>
      <c r="P4" t="s">
        <v>76</v>
      </c>
      <c r="Q4" t="s">
        <v>45</v>
      </c>
      <c r="R4" t="s">
        <v>48</v>
      </c>
      <c r="S4" t="s">
        <v>77</v>
      </c>
      <c r="T4" t="s">
        <v>78</v>
      </c>
      <c r="U4" t="s">
        <v>56</v>
      </c>
      <c r="V4" t="s">
        <v>52</v>
      </c>
      <c r="W4" t="s">
        <v>36</v>
      </c>
      <c r="X4" t="s">
        <v>79</v>
      </c>
      <c r="Y4" t="s">
        <v>45</v>
      </c>
      <c r="Z4" t="s">
        <v>41</v>
      </c>
      <c r="AA4" t="s">
        <v>54</v>
      </c>
      <c r="AB4" t="s">
        <v>55</v>
      </c>
      <c r="AC4" t="s">
        <v>71</v>
      </c>
      <c r="AD4" t="s">
        <v>45</v>
      </c>
      <c r="AE4" t="s">
        <v>45</v>
      </c>
      <c r="AF4" t="s">
        <v>55</v>
      </c>
      <c r="AG4" t="s">
        <v>55</v>
      </c>
      <c r="AH4" t="s">
        <v>55</v>
      </c>
      <c r="AI4" t="s">
        <v>55</v>
      </c>
    </row>
    <row r="5" spans="1:35" x14ac:dyDescent="0.25">
      <c r="A5" t="s">
        <v>80</v>
      </c>
      <c r="B5" t="s">
        <v>59</v>
      </c>
      <c r="C5" t="s">
        <v>60</v>
      </c>
      <c r="D5" t="s">
        <v>81</v>
      </c>
      <c r="E5" t="s">
        <v>62</v>
      </c>
      <c r="F5" t="s">
        <v>45</v>
      </c>
      <c r="G5" t="s">
        <v>47</v>
      </c>
      <c r="H5" t="s">
        <v>42</v>
      </c>
      <c r="I5" t="s">
        <v>40</v>
      </c>
      <c r="J5" t="s">
        <v>57</v>
      </c>
      <c r="K5" t="s">
        <v>47</v>
      </c>
      <c r="L5" t="s">
        <v>43</v>
      </c>
      <c r="M5" t="s">
        <v>82</v>
      </c>
      <c r="N5" t="s">
        <v>45</v>
      </c>
      <c r="O5" t="s">
        <v>40</v>
      </c>
      <c r="P5" t="s">
        <v>65</v>
      </c>
      <c r="Q5" t="s">
        <v>45</v>
      </c>
      <c r="R5" t="s">
        <v>66</v>
      </c>
      <c r="S5" t="s">
        <v>83</v>
      </c>
      <c r="T5" t="s">
        <v>84</v>
      </c>
      <c r="U5" t="s">
        <v>40</v>
      </c>
      <c r="V5" t="s">
        <v>52</v>
      </c>
      <c r="W5" t="s">
        <v>36</v>
      </c>
      <c r="X5" t="s">
        <v>53</v>
      </c>
      <c r="Y5" t="s">
        <v>45</v>
      </c>
      <c r="Z5" t="s">
        <v>45</v>
      </c>
      <c r="AA5" t="s">
        <v>54</v>
      </c>
      <c r="AB5" t="s">
        <v>55</v>
      </c>
      <c r="AC5" t="s">
        <v>51</v>
      </c>
      <c r="AD5" t="s">
        <v>45</v>
      </c>
      <c r="AE5" t="s">
        <v>45</v>
      </c>
      <c r="AF5" t="s">
        <v>51</v>
      </c>
      <c r="AG5" t="s">
        <v>71</v>
      </c>
      <c r="AH5" t="s">
        <v>45</v>
      </c>
      <c r="AI5" t="s">
        <v>55</v>
      </c>
    </row>
    <row r="6" spans="1:35" x14ac:dyDescent="0.25">
      <c r="A6" t="s">
        <v>85</v>
      </c>
      <c r="B6" t="s">
        <v>59</v>
      </c>
      <c r="C6" t="s">
        <v>37</v>
      </c>
      <c r="D6" t="s">
        <v>86</v>
      </c>
      <c r="E6" t="s">
        <v>62</v>
      </c>
      <c r="F6" t="s">
        <v>41</v>
      </c>
      <c r="G6" t="s">
        <v>40</v>
      </c>
      <c r="H6" t="s">
        <v>87</v>
      </c>
      <c r="I6" t="s">
        <v>40</v>
      </c>
      <c r="J6" t="s">
        <v>71</v>
      </c>
      <c r="K6" t="s">
        <v>40</v>
      </c>
      <c r="L6" t="s">
        <v>63</v>
      </c>
      <c r="M6" t="s">
        <v>88</v>
      </c>
      <c r="N6" t="s">
        <v>45</v>
      </c>
      <c r="O6" t="s">
        <v>40</v>
      </c>
      <c r="P6" t="s">
        <v>76</v>
      </c>
      <c r="Q6" t="s">
        <v>41</v>
      </c>
      <c r="R6" t="s">
        <v>66</v>
      </c>
      <c r="S6" t="s">
        <v>89</v>
      </c>
      <c r="T6" t="s">
        <v>90</v>
      </c>
      <c r="U6" t="s">
        <v>91</v>
      </c>
      <c r="V6" t="s">
        <v>52</v>
      </c>
      <c r="W6" t="s">
        <v>59</v>
      </c>
      <c r="X6" t="s">
        <v>92</v>
      </c>
      <c r="Y6" t="s">
        <v>45</v>
      </c>
      <c r="Z6" t="s">
        <v>47</v>
      </c>
      <c r="AA6" t="s">
        <v>54</v>
      </c>
      <c r="AB6" t="s">
        <v>40</v>
      </c>
      <c r="AC6" t="s">
        <v>56</v>
      </c>
      <c r="AD6" t="s">
        <v>45</v>
      </c>
      <c r="AE6" t="s">
        <v>45</v>
      </c>
      <c r="AF6" t="s">
        <v>41</v>
      </c>
      <c r="AG6" t="s">
        <v>41</v>
      </c>
      <c r="AH6" t="s">
        <v>41</v>
      </c>
      <c r="AI6" t="s">
        <v>41</v>
      </c>
    </row>
    <row r="7" spans="1:35" x14ac:dyDescent="0.25">
      <c r="A7" t="s">
        <v>93</v>
      </c>
      <c r="B7" t="s">
        <v>59</v>
      </c>
      <c r="C7" t="s">
        <v>60</v>
      </c>
      <c r="D7" t="s">
        <v>94</v>
      </c>
      <c r="E7" t="s">
        <v>62</v>
      </c>
      <c r="F7" t="s">
        <v>41</v>
      </c>
      <c r="G7" t="s">
        <v>41</v>
      </c>
      <c r="H7" t="s">
        <v>42</v>
      </c>
      <c r="I7" t="s">
        <v>40</v>
      </c>
      <c r="J7" t="s">
        <v>51</v>
      </c>
      <c r="K7" t="s">
        <v>47</v>
      </c>
      <c r="L7" t="s">
        <v>63</v>
      </c>
      <c r="M7" t="s">
        <v>95</v>
      </c>
      <c r="N7" t="s">
        <v>45</v>
      </c>
      <c r="O7" t="s">
        <v>40</v>
      </c>
      <c r="P7" t="s">
        <v>76</v>
      </c>
      <c r="Q7" t="s">
        <v>47</v>
      </c>
      <c r="R7" t="s">
        <v>48</v>
      </c>
      <c r="S7" t="s">
        <v>96</v>
      </c>
      <c r="T7" t="s">
        <v>97</v>
      </c>
      <c r="U7" t="s">
        <v>55</v>
      </c>
      <c r="V7" t="s">
        <v>52</v>
      </c>
      <c r="W7" t="s">
        <v>59</v>
      </c>
      <c r="X7" t="s">
        <v>98</v>
      </c>
      <c r="Y7" t="s">
        <v>45</v>
      </c>
      <c r="Z7" t="s">
        <v>45</v>
      </c>
      <c r="AA7" t="s">
        <v>54</v>
      </c>
      <c r="AB7" t="s">
        <v>55</v>
      </c>
      <c r="AC7" t="s">
        <v>51</v>
      </c>
      <c r="AD7" t="s">
        <v>41</v>
      </c>
      <c r="AE7" t="s">
        <v>41</v>
      </c>
      <c r="AF7" t="s">
        <v>71</v>
      </c>
      <c r="AG7" t="s">
        <v>71</v>
      </c>
      <c r="AH7" t="s">
        <v>45</v>
      </c>
      <c r="AI7" t="s">
        <v>56</v>
      </c>
    </row>
    <row r="8" spans="1:35" x14ac:dyDescent="0.25">
      <c r="A8" t="s">
        <v>99</v>
      </c>
      <c r="B8" t="s">
        <v>59</v>
      </c>
      <c r="C8" t="s">
        <v>37</v>
      </c>
      <c r="D8" t="s">
        <v>100</v>
      </c>
      <c r="E8" t="s">
        <v>62</v>
      </c>
      <c r="F8" t="s">
        <v>45</v>
      </c>
      <c r="G8" t="s">
        <v>45</v>
      </c>
      <c r="H8" t="s">
        <v>87</v>
      </c>
      <c r="I8" t="s">
        <v>40</v>
      </c>
      <c r="J8" t="s">
        <v>70</v>
      </c>
      <c r="K8" t="s">
        <v>45</v>
      </c>
      <c r="L8" t="s">
        <v>43</v>
      </c>
      <c r="M8" t="s">
        <v>101</v>
      </c>
      <c r="N8" t="s">
        <v>47</v>
      </c>
      <c r="O8" t="s">
        <v>40</v>
      </c>
      <c r="P8" t="s">
        <v>76</v>
      </c>
      <c r="Q8" t="s">
        <v>40</v>
      </c>
      <c r="R8" t="s">
        <v>66</v>
      </c>
      <c r="S8" t="s">
        <v>102</v>
      </c>
      <c r="T8" t="s">
        <v>103</v>
      </c>
      <c r="U8" t="s">
        <v>47</v>
      </c>
      <c r="V8" t="s">
        <v>52</v>
      </c>
      <c r="W8" t="s">
        <v>36</v>
      </c>
      <c r="X8" t="s">
        <v>104</v>
      </c>
      <c r="Y8" t="s">
        <v>47</v>
      </c>
      <c r="Z8" t="s">
        <v>40</v>
      </c>
      <c r="AA8" t="s">
        <v>54</v>
      </c>
      <c r="AB8" t="s">
        <v>45</v>
      </c>
      <c r="AC8" t="s">
        <v>92</v>
      </c>
      <c r="AD8" t="s">
        <v>45</v>
      </c>
      <c r="AE8" t="s">
        <v>41</v>
      </c>
      <c r="AF8" t="s">
        <v>40</v>
      </c>
      <c r="AG8" t="s">
        <v>55</v>
      </c>
      <c r="AH8" t="s">
        <v>55</v>
      </c>
      <c r="AI8" t="s">
        <v>55</v>
      </c>
    </row>
    <row r="9" spans="1:35" x14ac:dyDescent="0.25">
      <c r="A9" t="s">
        <v>105</v>
      </c>
      <c r="B9" t="s">
        <v>59</v>
      </c>
      <c r="C9" t="s">
        <v>37</v>
      </c>
      <c r="D9" t="s">
        <v>106</v>
      </c>
      <c r="E9" t="s">
        <v>62</v>
      </c>
      <c r="F9" t="s">
        <v>107</v>
      </c>
      <c r="G9" t="s">
        <v>40</v>
      </c>
      <c r="H9" t="s">
        <v>42</v>
      </c>
      <c r="I9" t="s">
        <v>40</v>
      </c>
      <c r="J9" t="s">
        <v>53</v>
      </c>
      <c r="K9" t="s">
        <v>47</v>
      </c>
      <c r="L9" t="s">
        <v>63</v>
      </c>
      <c r="M9" t="s">
        <v>108</v>
      </c>
      <c r="N9" t="s">
        <v>45</v>
      </c>
      <c r="O9" t="s">
        <v>40</v>
      </c>
      <c r="P9" t="s">
        <v>76</v>
      </c>
      <c r="Q9" t="s">
        <v>45</v>
      </c>
      <c r="R9" t="s">
        <v>109</v>
      </c>
      <c r="S9" t="s">
        <v>110</v>
      </c>
      <c r="T9" t="s">
        <v>111</v>
      </c>
      <c r="U9" t="s">
        <v>40</v>
      </c>
      <c r="V9" t="s">
        <v>52</v>
      </c>
      <c r="W9" t="s">
        <v>59</v>
      </c>
      <c r="X9" t="s">
        <v>112</v>
      </c>
      <c r="Y9" t="s">
        <v>47</v>
      </c>
      <c r="Z9" t="s">
        <v>41</v>
      </c>
      <c r="AA9" t="s">
        <v>54</v>
      </c>
      <c r="AB9" t="s">
        <v>40</v>
      </c>
      <c r="AC9" t="s">
        <v>40</v>
      </c>
      <c r="AD9" t="s">
        <v>41</v>
      </c>
      <c r="AE9" t="s">
        <v>45</v>
      </c>
      <c r="AF9" t="s">
        <v>40</v>
      </c>
      <c r="AG9" t="s">
        <v>55</v>
      </c>
      <c r="AH9" t="s">
        <v>55</v>
      </c>
      <c r="AI9" t="s">
        <v>55</v>
      </c>
    </row>
    <row r="10" spans="1:35" x14ac:dyDescent="0.25">
      <c r="A10" t="s">
        <v>113</v>
      </c>
      <c r="B10" t="s">
        <v>59</v>
      </c>
      <c r="C10" t="s">
        <v>60</v>
      </c>
      <c r="D10" t="s">
        <v>114</v>
      </c>
      <c r="E10" t="s">
        <v>62</v>
      </c>
      <c r="F10" t="s">
        <v>69</v>
      </c>
      <c r="G10" t="s">
        <v>45</v>
      </c>
      <c r="H10" t="s">
        <v>42</v>
      </c>
      <c r="I10" t="s">
        <v>40</v>
      </c>
      <c r="J10" t="s">
        <v>92</v>
      </c>
      <c r="K10" t="s">
        <v>47</v>
      </c>
      <c r="L10" t="s">
        <v>63</v>
      </c>
      <c r="M10" t="s">
        <v>115</v>
      </c>
      <c r="N10" t="s">
        <v>41</v>
      </c>
      <c r="O10" t="s">
        <v>45</v>
      </c>
      <c r="P10" t="s">
        <v>116</v>
      </c>
      <c r="Q10" t="s">
        <v>45</v>
      </c>
      <c r="R10" t="s">
        <v>48</v>
      </c>
      <c r="S10" t="s">
        <v>117</v>
      </c>
      <c r="T10" t="s">
        <v>118</v>
      </c>
      <c r="U10" t="s">
        <v>55</v>
      </c>
      <c r="V10" t="s">
        <v>52</v>
      </c>
      <c r="W10" t="s">
        <v>59</v>
      </c>
      <c r="X10" t="s">
        <v>119</v>
      </c>
      <c r="Y10" t="s">
        <v>47</v>
      </c>
      <c r="Z10" t="s">
        <v>41</v>
      </c>
      <c r="AA10" t="s">
        <v>54</v>
      </c>
      <c r="AB10" t="s">
        <v>55</v>
      </c>
      <c r="AC10" t="s">
        <v>70</v>
      </c>
      <c r="AD10" t="s">
        <v>41</v>
      </c>
      <c r="AE10" t="s">
        <v>45</v>
      </c>
      <c r="AF10" t="s">
        <v>91</v>
      </c>
      <c r="AG10" t="s">
        <v>71</v>
      </c>
      <c r="AH10" t="s">
        <v>40</v>
      </c>
      <c r="AI10" t="s">
        <v>51</v>
      </c>
    </row>
    <row r="11" spans="1:35" x14ac:dyDescent="0.25">
      <c r="A11" t="s">
        <v>120</v>
      </c>
      <c r="B11" t="s">
        <v>59</v>
      </c>
      <c r="C11" t="s">
        <v>37</v>
      </c>
      <c r="D11" t="s">
        <v>121</v>
      </c>
      <c r="E11" t="s">
        <v>62</v>
      </c>
      <c r="F11" t="s">
        <v>85</v>
      </c>
      <c r="G11" t="s">
        <v>45</v>
      </c>
      <c r="H11" t="s">
        <v>87</v>
      </c>
      <c r="I11" t="s">
        <v>40</v>
      </c>
      <c r="J11" t="s">
        <v>98</v>
      </c>
      <c r="K11" t="s">
        <v>45</v>
      </c>
      <c r="L11" t="s">
        <v>63</v>
      </c>
      <c r="M11" t="s">
        <v>44</v>
      </c>
      <c r="N11" t="s">
        <v>45</v>
      </c>
      <c r="O11" t="s">
        <v>41</v>
      </c>
      <c r="P11" t="s">
        <v>122</v>
      </c>
      <c r="Q11" t="s">
        <v>45</v>
      </c>
      <c r="R11" t="s">
        <v>66</v>
      </c>
      <c r="S11" t="s">
        <v>123</v>
      </c>
      <c r="T11" t="s">
        <v>124</v>
      </c>
      <c r="U11" t="s">
        <v>56</v>
      </c>
      <c r="V11" t="s">
        <v>52</v>
      </c>
      <c r="W11" t="s">
        <v>59</v>
      </c>
      <c r="X11" t="s">
        <v>98</v>
      </c>
      <c r="Y11" t="s">
        <v>45</v>
      </c>
      <c r="Z11" t="s">
        <v>41</v>
      </c>
      <c r="AA11" t="s">
        <v>54</v>
      </c>
      <c r="AB11" t="s">
        <v>41</v>
      </c>
      <c r="AC11" t="s">
        <v>125</v>
      </c>
      <c r="AD11" t="s">
        <v>45</v>
      </c>
      <c r="AE11" t="s">
        <v>41</v>
      </c>
      <c r="AF11" t="s">
        <v>71</v>
      </c>
      <c r="AG11" t="s">
        <v>71</v>
      </c>
      <c r="AH11" t="s">
        <v>71</v>
      </c>
      <c r="AI11" t="s">
        <v>71</v>
      </c>
    </row>
    <row r="12" spans="1:35" x14ac:dyDescent="0.25">
      <c r="A12" t="s">
        <v>126</v>
      </c>
      <c r="B12" t="s">
        <v>59</v>
      </c>
      <c r="C12" t="s">
        <v>37</v>
      </c>
      <c r="D12" t="s">
        <v>127</v>
      </c>
      <c r="E12" t="s">
        <v>62</v>
      </c>
      <c r="F12" t="s">
        <v>128</v>
      </c>
      <c r="G12" t="s">
        <v>45</v>
      </c>
      <c r="H12" t="s">
        <v>87</v>
      </c>
      <c r="I12" t="s">
        <v>40</v>
      </c>
      <c r="J12" t="s">
        <v>129</v>
      </c>
      <c r="K12" t="s">
        <v>40</v>
      </c>
      <c r="L12" t="s">
        <v>63</v>
      </c>
      <c r="M12" t="s">
        <v>130</v>
      </c>
      <c r="N12" t="s">
        <v>47</v>
      </c>
      <c r="O12" t="s">
        <v>40</v>
      </c>
      <c r="P12" t="s">
        <v>76</v>
      </c>
      <c r="Q12" t="s">
        <v>41</v>
      </c>
      <c r="R12" t="s">
        <v>66</v>
      </c>
      <c r="S12" t="s">
        <v>131</v>
      </c>
      <c r="T12" t="s">
        <v>132</v>
      </c>
      <c r="U12" t="s">
        <v>55</v>
      </c>
      <c r="V12" t="s">
        <v>52</v>
      </c>
      <c r="W12" t="s">
        <v>59</v>
      </c>
      <c r="X12" t="s">
        <v>98</v>
      </c>
      <c r="Y12" t="s">
        <v>45</v>
      </c>
      <c r="Z12" t="s">
        <v>45</v>
      </c>
      <c r="AA12" t="s">
        <v>54</v>
      </c>
      <c r="AB12" t="s">
        <v>40</v>
      </c>
      <c r="AC12" t="s">
        <v>56</v>
      </c>
      <c r="AD12" t="s">
        <v>57</v>
      </c>
      <c r="AE12" t="s">
        <v>45</v>
      </c>
      <c r="AF12" t="s">
        <v>57</v>
      </c>
      <c r="AG12" t="s">
        <v>47</v>
      </c>
      <c r="AH12" t="s">
        <v>55</v>
      </c>
      <c r="AI12" t="s">
        <v>45</v>
      </c>
    </row>
    <row r="13" spans="1:35" x14ac:dyDescent="0.25">
      <c r="A13" t="s">
        <v>133</v>
      </c>
      <c r="B13" t="s">
        <v>59</v>
      </c>
      <c r="C13" t="s">
        <v>37</v>
      </c>
      <c r="D13" t="s">
        <v>134</v>
      </c>
      <c r="E13" t="s">
        <v>62</v>
      </c>
      <c r="F13" t="s">
        <v>79</v>
      </c>
      <c r="G13" t="s">
        <v>41</v>
      </c>
      <c r="H13" t="s">
        <v>42</v>
      </c>
      <c r="I13" t="s">
        <v>40</v>
      </c>
      <c r="J13" t="s">
        <v>79</v>
      </c>
      <c r="K13" t="s">
        <v>47</v>
      </c>
      <c r="L13" t="s">
        <v>43</v>
      </c>
      <c r="M13" t="s">
        <v>58</v>
      </c>
      <c r="N13" t="s">
        <v>41</v>
      </c>
      <c r="O13" t="s">
        <v>41</v>
      </c>
      <c r="P13" t="s">
        <v>76</v>
      </c>
      <c r="Q13" t="s">
        <v>45</v>
      </c>
      <c r="R13" t="s">
        <v>48</v>
      </c>
      <c r="S13" t="s">
        <v>135</v>
      </c>
      <c r="T13" t="s">
        <v>136</v>
      </c>
      <c r="U13" t="s">
        <v>55</v>
      </c>
      <c r="V13" t="s">
        <v>52</v>
      </c>
      <c r="W13" t="s">
        <v>36</v>
      </c>
      <c r="X13" t="s">
        <v>92</v>
      </c>
      <c r="Y13" t="s">
        <v>45</v>
      </c>
      <c r="Z13" t="s">
        <v>47</v>
      </c>
      <c r="AA13" t="s">
        <v>54</v>
      </c>
      <c r="AB13" t="s">
        <v>55</v>
      </c>
      <c r="AC13" t="s">
        <v>70</v>
      </c>
      <c r="AD13" t="s">
        <v>45</v>
      </c>
      <c r="AE13" t="s">
        <v>45</v>
      </c>
      <c r="AF13" t="s">
        <v>91</v>
      </c>
      <c r="AG13" t="s">
        <v>57</v>
      </c>
      <c r="AH13" t="s">
        <v>55</v>
      </c>
      <c r="AI13" t="s">
        <v>51</v>
      </c>
    </row>
    <row r="14" spans="1:35" x14ac:dyDescent="0.25">
      <c r="A14" t="s">
        <v>137</v>
      </c>
      <c r="B14" t="s">
        <v>59</v>
      </c>
      <c r="C14" t="s">
        <v>37</v>
      </c>
      <c r="D14" t="s">
        <v>138</v>
      </c>
      <c r="E14" t="s">
        <v>62</v>
      </c>
      <c r="F14" t="s">
        <v>139</v>
      </c>
      <c r="G14" t="s">
        <v>40</v>
      </c>
      <c r="H14" t="s">
        <v>42</v>
      </c>
      <c r="I14" t="s">
        <v>40</v>
      </c>
      <c r="J14" t="s">
        <v>128</v>
      </c>
      <c r="K14" t="s">
        <v>40</v>
      </c>
      <c r="L14" t="s">
        <v>63</v>
      </c>
      <c r="M14" t="s">
        <v>137</v>
      </c>
      <c r="N14" t="s">
        <v>45</v>
      </c>
      <c r="O14" t="s">
        <v>40</v>
      </c>
      <c r="P14" t="s">
        <v>65</v>
      </c>
      <c r="Q14" t="s">
        <v>45</v>
      </c>
      <c r="R14" t="s">
        <v>109</v>
      </c>
      <c r="S14" t="s">
        <v>140</v>
      </c>
      <c r="T14" t="s">
        <v>141</v>
      </c>
      <c r="U14" t="s">
        <v>40</v>
      </c>
      <c r="V14" t="s">
        <v>52</v>
      </c>
      <c r="W14" t="s">
        <v>59</v>
      </c>
      <c r="X14" t="s">
        <v>125</v>
      </c>
      <c r="Y14" t="s">
        <v>45</v>
      </c>
      <c r="Z14" t="s">
        <v>47</v>
      </c>
      <c r="AA14" t="s">
        <v>54</v>
      </c>
      <c r="AB14" t="s">
        <v>40</v>
      </c>
      <c r="AC14" t="s">
        <v>57</v>
      </c>
      <c r="AD14" t="s">
        <v>40</v>
      </c>
      <c r="AE14" t="s">
        <v>41</v>
      </c>
      <c r="AF14" t="s">
        <v>57</v>
      </c>
      <c r="AG14" t="s">
        <v>41</v>
      </c>
      <c r="AH14" t="s">
        <v>47</v>
      </c>
      <c r="AI14" t="s">
        <v>45</v>
      </c>
    </row>
    <row r="15" spans="1:35" x14ac:dyDescent="0.25">
      <c r="A15" t="s">
        <v>142</v>
      </c>
      <c r="B15" t="s">
        <v>59</v>
      </c>
      <c r="C15" t="s">
        <v>37</v>
      </c>
      <c r="D15" t="s">
        <v>143</v>
      </c>
      <c r="E15" t="s">
        <v>62</v>
      </c>
      <c r="F15" t="s">
        <v>144</v>
      </c>
      <c r="G15" t="s">
        <v>41</v>
      </c>
      <c r="H15" t="s">
        <v>87</v>
      </c>
      <c r="I15" t="s">
        <v>40</v>
      </c>
      <c r="J15" t="s">
        <v>145</v>
      </c>
      <c r="K15" t="s">
        <v>41</v>
      </c>
      <c r="L15" t="s">
        <v>63</v>
      </c>
      <c r="M15" t="s">
        <v>146</v>
      </c>
      <c r="N15" t="s">
        <v>45</v>
      </c>
      <c r="O15" t="s">
        <v>40</v>
      </c>
      <c r="P15" t="s">
        <v>76</v>
      </c>
      <c r="Q15" t="s">
        <v>47</v>
      </c>
      <c r="R15" t="s">
        <v>109</v>
      </c>
      <c r="S15" t="s">
        <v>147</v>
      </c>
      <c r="T15" t="s">
        <v>148</v>
      </c>
      <c r="U15" t="s">
        <v>55</v>
      </c>
      <c r="V15" t="s">
        <v>52</v>
      </c>
      <c r="W15" t="s">
        <v>59</v>
      </c>
      <c r="X15" t="s">
        <v>53</v>
      </c>
      <c r="Y15" t="s">
        <v>45</v>
      </c>
      <c r="Z15" t="s">
        <v>45</v>
      </c>
      <c r="AA15" t="s">
        <v>54</v>
      </c>
      <c r="AB15" t="s">
        <v>40</v>
      </c>
      <c r="AC15" t="s">
        <v>45</v>
      </c>
      <c r="AD15" t="s">
        <v>41</v>
      </c>
      <c r="AE15" t="s">
        <v>45</v>
      </c>
      <c r="AF15" t="s">
        <v>41</v>
      </c>
      <c r="AG15" t="s">
        <v>41</v>
      </c>
      <c r="AH15" t="s">
        <v>40</v>
      </c>
      <c r="AI15" t="s">
        <v>41</v>
      </c>
    </row>
    <row r="16" spans="1:35" x14ac:dyDescent="0.25">
      <c r="A16" t="s">
        <v>149</v>
      </c>
      <c r="B16" t="s">
        <v>36</v>
      </c>
      <c r="C16" t="s">
        <v>37</v>
      </c>
      <c r="D16" t="s">
        <v>150</v>
      </c>
      <c r="E16" t="s">
        <v>62</v>
      </c>
      <c r="F16" t="s">
        <v>107</v>
      </c>
      <c r="G16" t="s">
        <v>45</v>
      </c>
      <c r="H16" t="s">
        <v>42</v>
      </c>
      <c r="I16" t="s">
        <v>40</v>
      </c>
      <c r="J16" t="s">
        <v>144</v>
      </c>
      <c r="K16" t="s">
        <v>45</v>
      </c>
      <c r="L16" t="s">
        <v>63</v>
      </c>
      <c r="M16" t="s">
        <v>151</v>
      </c>
      <c r="N16" t="s">
        <v>41</v>
      </c>
      <c r="O16" t="s">
        <v>40</v>
      </c>
      <c r="P16" t="s">
        <v>76</v>
      </c>
      <c r="Q16" t="s">
        <v>45</v>
      </c>
      <c r="R16" t="s">
        <v>48</v>
      </c>
      <c r="S16" t="s">
        <v>152</v>
      </c>
      <c r="T16" t="s">
        <v>153</v>
      </c>
      <c r="U16" t="s">
        <v>57</v>
      </c>
      <c r="V16" t="s">
        <v>52</v>
      </c>
      <c r="W16" t="s">
        <v>36</v>
      </c>
      <c r="X16" t="s">
        <v>129</v>
      </c>
      <c r="Y16" t="s">
        <v>45</v>
      </c>
      <c r="Z16" t="s">
        <v>41</v>
      </c>
      <c r="AA16" t="s">
        <v>54</v>
      </c>
      <c r="AB16" t="s">
        <v>55</v>
      </c>
      <c r="AC16" t="s">
        <v>56</v>
      </c>
      <c r="AD16" t="s">
        <v>47</v>
      </c>
      <c r="AE16" t="s">
        <v>45</v>
      </c>
      <c r="AF16" t="s">
        <v>47</v>
      </c>
      <c r="AG16" t="s">
        <v>41</v>
      </c>
      <c r="AH16" t="s">
        <v>55</v>
      </c>
      <c r="AI16" t="s">
        <v>45</v>
      </c>
    </row>
    <row r="17" spans="1:35" x14ac:dyDescent="0.25">
      <c r="A17" t="s">
        <v>133</v>
      </c>
      <c r="B17" t="s">
        <v>59</v>
      </c>
      <c r="C17" t="s">
        <v>37</v>
      </c>
      <c r="D17" t="s">
        <v>154</v>
      </c>
      <c r="E17" t="s">
        <v>62</v>
      </c>
      <c r="F17" t="s">
        <v>119</v>
      </c>
      <c r="G17" t="s">
        <v>47</v>
      </c>
      <c r="H17" t="s">
        <v>42</v>
      </c>
      <c r="I17" t="s">
        <v>40</v>
      </c>
      <c r="J17" t="s">
        <v>104</v>
      </c>
      <c r="K17" t="s">
        <v>41</v>
      </c>
      <c r="L17" t="s">
        <v>43</v>
      </c>
      <c r="M17" t="s">
        <v>155</v>
      </c>
      <c r="N17" t="s">
        <v>47</v>
      </c>
      <c r="O17" t="s">
        <v>45</v>
      </c>
      <c r="P17" t="s">
        <v>116</v>
      </c>
      <c r="Q17" t="s">
        <v>40</v>
      </c>
      <c r="R17" t="s">
        <v>109</v>
      </c>
      <c r="S17" t="s">
        <v>156</v>
      </c>
      <c r="T17" t="s">
        <v>157</v>
      </c>
      <c r="U17" t="s">
        <v>40</v>
      </c>
      <c r="V17" t="s">
        <v>52</v>
      </c>
      <c r="W17" t="s">
        <v>59</v>
      </c>
      <c r="X17" t="s">
        <v>53</v>
      </c>
      <c r="Y17" t="s">
        <v>45</v>
      </c>
      <c r="Z17" t="s">
        <v>45</v>
      </c>
      <c r="AA17" t="s">
        <v>54</v>
      </c>
      <c r="AB17" t="s">
        <v>40</v>
      </c>
      <c r="AC17" t="s">
        <v>70</v>
      </c>
      <c r="AD17" t="s">
        <v>40</v>
      </c>
      <c r="AE17" t="s">
        <v>45</v>
      </c>
      <c r="AF17" t="s">
        <v>70</v>
      </c>
      <c r="AG17" t="s">
        <v>91</v>
      </c>
      <c r="AH17" t="s">
        <v>51</v>
      </c>
      <c r="AI17" t="s">
        <v>51</v>
      </c>
    </row>
    <row r="18" spans="1:35" x14ac:dyDescent="0.25">
      <c r="A18" t="s">
        <v>93</v>
      </c>
      <c r="B18" t="s">
        <v>59</v>
      </c>
      <c r="C18" t="s">
        <v>37</v>
      </c>
      <c r="D18" t="s">
        <v>158</v>
      </c>
      <c r="E18" t="s">
        <v>62</v>
      </c>
      <c r="F18" t="s">
        <v>57</v>
      </c>
      <c r="G18" t="s">
        <v>41</v>
      </c>
      <c r="H18" t="s">
        <v>42</v>
      </c>
      <c r="I18" t="s">
        <v>40</v>
      </c>
      <c r="J18" t="s">
        <v>119</v>
      </c>
      <c r="K18" t="s">
        <v>40</v>
      </c>
      <c r="L18" t="s">
        <v>63</v>
      </c>
      <c r="M18" t="s">
        <v>54</v>
      </c>
      <c r="N18" t="s">
        <v>47</v>
      </c>
      <c r="O18" t="s">
        <v>40</v>
      </c>
      <c r="P18" t="s">
        <v>65</v>
      </c>
      <c r="Q18" t="s">
        <v>41</v>
      </c>
      <c r="R18" t="s">
        <v>109</v>
      </c>
      <c r="S18" t="s">
        <v>159</v>
      </c>
      <c r="T18" t="s">
        <v>160</v>
      </c>
      <c r="U18" t="s">
        <v>55</v>
      </c>
      <c r="V18" t="s">
        <v>52</v>
      </c>
      <c r="W18" t="s">
        <v>36</v>
      </c>
      <c r="X18" t="s">
        <v>92</v>
      </c>
      <c r="Y18" t="s">
        <v>45</v>
      </c>
      <c r="Z18" t="s">
        <v>47</v>
      </c>
      <c r="AA18" t="s">
        <v>54</v>
      </c>
      <c r="AB18" t="s">
        <v>41</v>
      </c>
      <c r="AC18" t="s">
        <v>71</v>
      </c>
      <c r="AD18" t="s">
        <v>57</v>
      </c>
      <c r="AE18" t="s">
        <v>41</v>
      </c>
      <c r="AF18" t="s">
        <v>56</v>
      </c>
      <c r="AG18" t="s">
        <v>41</v>
      </c>
      <c r="AH18" t="s">
        <v>55</v>
      </c>
      <c r="AI18" t="s">
        <v>57</v>
      </c>
    </row>
    <row r="19" spans="1:35" x14ac:dyDescent="0.25">
      <c r="A19" t="s">
        <v>112</v>
      </c>
      <c r="B19" t="s">
        <v>59</v>
      </c>
      <c r="C19" t="s">
        <v>161</v>
      </c>
      <c r="D19" t="s">
        <v>162</v>
      </c>
      <c r="E19" t="s">
        <v>62</v>
      </c>
      <c r="F19" t="s">
        <v>128</v>
      </c>
      <c r="G19" t="s">
        <v>41</v>
      </c>
      <c r="H19" t="s">
        <v>87</v>
      </c>
      <c r="I19" t="s">
        <v>40</v>
      </c>
      <c r="J19" t="s">
        <v>112</v>
      </c>
      <c r="K19" t="s">
        <v>47</v>
      </c>
      <c r="L19" t="s">
        <v>63</v>
      </c>
      <c r="M19" t="s">
        <v>163</v>
      </c>
      <c r="N19" t="s">
        <v>47</v>
      </c>
      <c r="O19" t="s">
        <v>40</v>
      </c>
      <c r="P19" t="s">
        <v>76</v>
      </c>
      <c r="Q19" t="s">
        <v>47</v>
      </c>
      <c r="R19" t="s">
        <v>109</v>
      </c>
      <c r="S19" t="s">
        <v>164</v>
      </c>
      <c r="T19" t="s">
        <v>165</v>
      </c>
      <c r="U19" t="s">
        <v>40</v>
      </c>
      <c r="V19" t="s">
        <v>52</v>
      </c>
      <c r="W19" t="s">
        <v>36</v>
      </c>
      <c r="X19" t="s">
        <v>98</v>
      </c>
      <c r="Y19" t="s">
        <v>45</v>
      </c>
      <c r="Z19" t="s">
        <v>41</v>
      </c>
      <c r="AA19" t="s">
        <v>54</v>
      </c>
      <c r="AB19" t="s">
        <v>41</v>
      </c>
      <c r="AC19" t="s">
        <v>40</v>
      </c>
      <c r="AD19" t="s">
        <v>41</v>
      </c>
      <c r="AE19" t="s">
        <v>41</v>
      </c>
      <c r="AF19" t="s">
        <v>40</v>
      </c>
      <c r="AG19" t="s">
        <v>55</v>
      </c>
      <c r="AH19" t="s">
        <v>55</v>
      </c>
      <c r="AI19" t="s">
        <v>55</v>
      </c>
    </row>
    <row r="20" spans="1:35" x14ac:dyDescent="0.25">
      <c r="A20" t="s">
        <v>166</v>
      </c>
      <c r="B20" t="s">
        <v>59</v>
      </c>
      <c r="C20" t="s">
        <v>37</v>
      </c>
      <c r="D20" t="s">
        <v>167</v>
      </c>
      <c r="E20" t="s">
        <v>39</v>
      </c>
      <c r="F20" t="s">
        <v>41</v>
      </c>
      <c r="G20" t="s">
        <v>47</v>
      </c>
      <c r="H20" t="s">
        <v>42</v>
      </c>
      <c r="I20" t="s">
        <v>40</v>
      </c>
      <c r="J20" t="s">
        <v>69</v>
      </c>
      <c r="K20" t="s">
        <v>40</v>
      </c>
      <c r="L20" t="s">
        <v>43</v>
      </c>
      <c r="M20" t="s">
        <v>168</v>
      </c>
      <c r="N20" t="s">
        <v>41</v>
      </c>
      <c r="O20" t="s">
        <v>47</v>
      </c>
      <c r="P20" t="s">
        <v>169</v>
      </c>
      <c r="Q20" t="s">
        <v>47</v>
      </c>
      <c r="R20" t="s">
        <v>66</v>
      </c>
      <c r="S20" t="s">
        <v>170</v>
      </c>
      <c r="T20" t="s">
        <v>171</v>
      </c>
      <c r="U20" t="s">
        <v>41</v>
      </c>
      <c r="V20" t="s">
        <v>52</v>
      </c>
      <c r="W20" t="s">
        <v>59</v>
      </c>
      <c r="X20" t="s">
        <v>128</v>
      </c>
      <c r="Y20" t="s">
        <v>45</v>
      </c>
      <c r="Z20" t="s">
        <v>45</v>
      </c>
      <c r="AA20" t="s">
        <v>54</v>
      </c>
      <c r="AB20" t="s">
        <v>55</v>
      </c>
      <c r="AC20" t="s">
        <v>137</v>
      </c>
      <c r="AD20" t="s">
        <v>45</v>
      </c>
      <c r="AE20" t="s">
        <v>45</v>
      </c>
      <c r="AF20" t="s">
        <v>172</v>
      </c>
      <c r="AG20" t="s">
        <v>51</v>
      </c>
      <c r="AH20" t="s">
        <v>45</v>
      </c>
      <c r="AI20" t="s">
        <v>71</v>
      </c>
    </row>
    <row r="21" spans="1:35" x14ac:dyDescent="0.25">
      <c r="A21" t="s">
        <v>113</v>
      </c>
      <c r="B21" t="s">
        <v>59</v>
      </c>
      <c r="C21" t="s">
        <v>37</v>
      </c>
      <c r="D21" t="s">
        <v>173</v>
      </c>
      <c r="E21" t="s">
        <v>62</v>
      </c>
      <c r="F21" t="s">
        <v>41</v>
      </c>
      <c r="G21" t="s">
        <v>45</v>
      </c>
      <c r="H21" t="s">
        <v>42</v>
      </c>
      <c r="I21" t="s">
        <v>40</v>
      </c>
      <c r="J21" t="s">
        <v>107</v>
      </c>
      <c r="K21" t="s">
        <v>47</v>
      </c>
      <c r="L21" t="s">
        <v>63</v>
      </c>
      <c r="M21" t="s">
        <v>174</v>
      </c>
      <c r="N21" t="s">
        <v>45</v>
      </c>
      <c r="O21" t="s">
        <v>40</v>
      </c>
      <c r="P21" t="s">
        <v>65</v>
      </c>
      <c r="Q21" t="s">
        <v>47</v>
      </c>
      <c r="R21" t="s">
        <v>48</v>
      </c>
      <c r="S21" t="s">
        <v>175</v>
      </c>
      <c r="T21" t="s">
        <v>176</v>
      </c>
      <c r="U21" t="s">
        <v>57</v>
      </c>
      <c r="V21" t="s">
        <v>52</v>
      </c>
      <c r="W21" t="s">
        <v>36</v>
      </c>
      <c r="X21" t="s">
        <v>53</v>
      </c>
      <c r="Y21" t="s">
        <v>45</v>
      </c>
      <c r="Z21" t="s">
        <v>45</v>
      </c>
      <c r="AA21" t="s">
        <v>54</v>
      </c>
      <c r="AB21" t="s">
        <v>55</v>
      </c>
      <c r="AC21" t="s">
        <v>56</v>
      </c>
      <c r="AD21" t="s">
        <v>45</v>
      </c>
      <c r="AE21" t="s">
        <v>45</v>
      </c>
      <c r="AF21" t="s">
        <v>45</v>
      </c>
      <c r="AG21" t="s">
        <v>41</v>
      </c>
      <c r="AH21" t="s">
        <v>40</v>
      </c>
      <c r="AI21" t="s">
        <v>41</v>
      </c>
    </row>
    <row r="22" spans="1:35" x14ac:dyDescent="0.25">
      <c r="A22" t="s">
        <v>107</v>
      </c>
      <c r="B22" t="s">
        <v>59</v>
      </c>
      <c r="C22" t="s">
        <v>161</v>
      </c>
      <c r="D22" t="s">
        <v>177</v>
      </c>
      <c r="E22" t="s">
        <v>62</v>
      </c>
      <c r="F22" t="s">
        <v>53</v>
      </c>
      <c r="G22" t="s">
        <v>41</v>
      </c>
      <c r="H22" t="s">
        <v>74</v>
      </c>
      <c r="I22" t="s">
        <v>40</v>
      </c>
      <c r="J22" t="s">
        <v>139</v>
      </c>
      <c r="K22" t="s">
        <v>40</v>
      </c>
      <c r="L22" t="s">
        <v>43</v>
      </c>
      <c r="M22" t="s">
        <v>163</v>
      </c>
      <c r="N22" t="s">
        <v>47</v>
      </c>
      <c r="O22" t="s">
        <v>41</v>
      </c>
      <c r="P22" t="s">
        <v>116</v>
      </c>
      <c r="Q22" t="s">
        <v>45</v>
      </c>
      <c r="R22" t="s">
        <v>109</v>
      </c>
      <c r="S22" t="s">
        <v>178</v>
      </c>
      <c r="T22" t="s">
        <v>179</v>
      </c>
      <c r="U22" t="s">
        <v>55</v>
      </c>
      <c r="V22" t="s">
        <v>52</v>
      </c>
      <c r="W22" t="s">
        <v>59</v>
      </c>
      <c r="X22" t="s">
        <v>145</v>
      </c>
      <c r="Y22" t="s">
        <v>45</v>
      </c>
      <c r="Z22" t="s">
        <v>47</v>
      </c>
      <c r="AA22" t="s">
        <v>54</v>
      </c>
      <c r="AB22" t="s">
        <v>40</v>
      </c>
      <c r="AC22" t="s">
        <v>57</v>
      </c>
      <c r="AD22" t="s">
        <v>57</v>
      </c>
      <c r="AE22" t="s">
        <v>41</v>
      </c>
      <c r="AF22" t="s">
        <v>47</v>
      </c>
      <c r="AG22" t="s">
        <v>41</v>
      </c>
      <c r="AH22" t="s">
        <v>40</v>
      </c>
      <c r="AI22" t="s">
        <v>45</v>
      </c>
    </row>
    <row r="23" spans="1:35" x14ac:dyDescent="0.25">
      <c r="A23" t="s">
        <v>120</v>
      </c>
      <c r="B23" t="s">
        <v>36</v>
      </c>
      <c r="C23" t="s">
        <v>37</v>
      </c>
      <c r="D23" t="s">
        <v>180</v>
      </c>
      <c r="E23" t="s">
        <v>39</v>
      </c>
      <c r="F23" t="s">
        <v>91</v>
      </c>
      <c r="G23" t="s">
        <v>47</v>
      </c>
      <c r="H23" t="s">
        <v>42</v>
      </c>
      <c r="I23" t="s">
        <v>40</v>
      </c>
      <c r="J23" t="s">
        <v>85</v>
      </c>
      <c r="K23" t="s">
        <v>45</v>
      </c>
      <c r="L23" t="s">
        <v>63</v>
      </c>
      <c r="M23" t="s">
        <v>181</v>
      </c>
      <c r="N23" t="s">
        <v>41</v>
      </c>
      <c r="O23" t="s">
        <v>40</v>
      </c>
      <c r="P23" t="s">
        <v>182</v>
      </c>
      <c r="Q23" t="s">
        <v>40</v>
      </c>
      <c r="R23" t="s">
        <v>48</v>
      </c>
      <c r="S23" t="s">
        <v>183</v>
      </c>
      <c r="T23" t="s">
        <v>184</v>
      </c>
      <c r="U23" t="s">
        <v>71</v>
      </c>
      <c r="V23" t="s">
        <v>52</v>
      </c>
      <c r="W23" t="s">
        <v>59</v>
      </c>
      <c r="X23" t="s">
        <v>69</v>
      </c>
      <c r="Y23" t="s">
        <v>47</v>
      </c>
      <c r="Z23" t="s">
        <v>41</v>
      </c>
      <c r="AA23" t="s">
        <v>54</v>
      </c>
      <c r="AB23" t="s">
        <v>55</v>
      </c>
      <c r="AC23" t="s">
        <v>70</v>
      </c>
      <c r="AD23" t="s">
        <v>47</v>
      </c>
      <c r="AE23" t="s">
        <v>45</v>
      </c>
      <c r="AF23" t="s">
        <v>57</v>
      </c>
      <c r="AG23" t="s">
        <v>45</v>
      </c>
      <c r="AH23" t="s">
        <v>55</v>
      </c>
      <c r="AI23" t="s">
        <v>45</v>
      </c>
    </row>
    <row r="24" spans="1:35" x14ac:dyDescent="0.25">
      <c r="A24" t="s">
        <v>142</v>
      </c>
      <c r="B24" t="s">
        <v>59</v>
      </c>
      <c r="C24" t="s">
        <v>37</v>
      </c>
      <c r="D24" t="s">
        <v>185</v>
      </c>
      <c r="E24" t="s">
        <v>62</v>
      </c>
      <c r="F24" t="s">
        <v>71</v>
      </c>
      <c r="G24" t="s">
        <v>47</v>
      </c>
      <c r="H24" t="s">
        <v>42</v>
      </c>
      <c r="I24" t="s">
        <v>40</v>
      </c>
      <c r="J24" t="s">
        <v>149</v>
      </c>
      <c r="K24" t="s">
        <v>40</v>
      </c>
      <c r="L24" t="s">
        <v>43</v>
      </c>
      <c r="M24" t="s">
        <v>166</v>
      </c>
      <c r="N24" t="s">
        <v>45</v>
      </c>
      <c r="O24" t="s">
        <v>45</v>
      </c>
      <c r="P24" t="s">
        <v>186</v>
      </c>
      <c r="Q24" t="s">
        <v>41</v>
      </c>
      <c r="R24" t="s">
        <v>48</v>
      </c>
      <c r="S24" t="s">
        <v>187</v>
      </c>
      <c r="T24" t="s">
        <v>188</v>
      </c>
      <c r="U24" t="s">
        <v>55</v>
      </c>
      <c r="V24" t="s">
        <v>52</v>
      </c>
      <c r="W24" t="s">
        <v>59</v>
      </c>
      <c r="X24" t="s">
        <v>53</v>
      </c>
      <c r="Y24" t="s">
        <v>45</v>
      </c>
      <c r="Z24" t="s">
        <v>45</v>
      </c>
      <c r="AA24" t="s">
        <v>54</v>
      </c>
      <c r="AB24" t="s">
        <v>55</v>
      </c>
      <c r="AC24" t="s">
        <v>98</v>
      </c>
      <c r="AD24" t="s">
        <v>47</v>
      </c>
      <c r="AE24" t="s">
        <v>45</v>
      </c>
      <c r="AF24" t="s">
        <v>92</v>
      </c>
      <c r="AG24" t="s">
        <v>56</v>
      </c>
      <c r="AH24" t="s">
        <v>41</v>
      </c>
      <c r="AI24" t="s">
        <v>53</v>
      </c>
    </row>
    <row r="25" spans="1:35" x14ac:dyDescent="0.25">
      <c r="A25" t="s">
        <v>119</v>
      </c>
      <c r="B25" t="s">
        <v>59</v>
      </c>
      <c r="C25" t="s">
        <v>37</v>
      </c>
      <c r="D25" t="s">
        <v>189</v>
      </c>
      <c r="E25" t="s">
        <v>62</v>
      </c>
      <c r="F25" t="s">
        <v>79</v>
      </c>
      <c r="G25" t="s">
        <v>41</v>
      </c>
      <c r="H25" t="s">
        <v>42</v>
      </c>
      <c r="I25" t="s">
        <v>40</v>
      </c>
      <c r="J25" t="s">
        <v>105</v>
      </c>
      <c r="K25" t="s">
        <v>45</v>
      </c>
      <c r="L25" t="s">
        <v>63</v>
      </c>
      <c r="M25" t="s">
        <v>163</v>
      </c>
      <c r="N25" t="s">
        <v>45</v>
      </c>
      <c r="O25" t="s">
        <v>40</v>
      </c>
      <c r="P25" t="s">
        <v>65</v>
      </c>
      <c r="Q25" t="s">
        <v>47</v>
      </c>
      <c r="R25" t="s">
        <v>48</v>
      </c>
      <c r="S25" t="s">
        <v>190</v>
      </c>
      <c r="T25" t="s">
        <v>191</v>
      </c>
      <c r="U25" t="s">
        <v>40</v>
      </c>
      <c r="V25" t="s">
        <v>52</v>
      </c>
      <c r="W25" t="s">
        <v>59</v>
      </c>
      <c r="X25" t="s">
        <v>129</v>
      </c>
      <c r="Y25" t="s">
        <v>45</v>
      </c>
      <c r="Z25" t="s">
        <v>47</v>
      </c>
      <c r="AA25" t="s">
        <v>54</v>
      </c>
      <c r="AB25" t="s">
        <v>55</v>
      </c>
      <c r="AC25" t="s">
        <v>55</v>
      </c>
      <c r="AD25" t="s">
        <v>56</v>
      </c>
      <c r="AE25" t="s">
        <v>45</v>
      </c>
      <c r="AF25" t="s">
        <v>55</v>
      </c>
      <c r="AG25" t="s">
        <v>55</v>
      </c>
      <c r="AH25" t="s">
        <v>55</v>
      </c>
      <c r="AI25" t="s">
        <v>55</v>
      </c>
    </row>
    <row r="26" spans="1:35" x14ac:dyDescent="0.25">
      <c r="A26" t="s">
        <v>142</v>
      </c>
      <c r="B26" t="s">
        <v>36</v>
      </c>
      <c r="C26" t="s">
        <v>37</v>
      </c>
      <c r="D26" t="s">
        <v>192</v>
      </c>
      <c r="E26" t="s">
        <v>62</v>
      </c>
      <c r="F26" t="s">
        <v>56</v>
      </c>
      <c r="G26" t="s">
        <v>40</v>
      </c>
      <c r="H26" t="s">
        <v>87</v>
      </c>
      <c r="I26" t="s">
        <v>40</v>
      </c>
      <c r="J26" t="s">
        <v>137</v>
      </c>
      <c r="K26" t="s">
        <v>41</v>
      </c>
      <c r="L26" t="s">
        <v>63</v>
      </c>
      <c r="M26" t="s">
        <v>193</v>
      </c>
      <c r="N26" t="s">
        <v>45</v>
      </c>
      <c r="O26" t="s">
        <v>40</v>
      </c>
      <c r="P26" t="s">
        <v>65</v>
      </c>
      <c r="Q26" t="s">
        <v>40</v>
      </c>
      <c r="R26" t="s">
        <v>48</v>
      </c>
      <c r="S26" t="s">
        <v>194</v>
      </c>
      <c r="T26" t="s">
        <v>195</v>
      </c>
      <c r="U26" t="s">
        <v>41</v>
      </c>
      <c r="V26" t="s">
        <v>52</v>
      </c>
      <c r="W26" t="s">
        <v>59</v>
      </c>
      <c r="X26" t="s">
        <v>53</v>
      </c>
      <c r="Y26" t="s">
        <v>45</v>
      </c>
      <c r="Z26" t="s">
        <v>45</v>
      </c>
      <c r="AA26" t="s">
        <v>54</v>
      </c>
      <c r="AB26" t="s">
        <v>55</v>
      </c>
      <c r="AC26" t="s">
        <v>51</v>
      </c>
      <c r="AD26" t="s">
        <v>41</v>
      </c>
      <c r="AE26" t="s">
        <v>45</v>
      </c>
      <c r="AF26" t="s">
        <v>47</v>
      </c>
      <c r="AG26" t="s">
        <v>41</v>
      </c>
      <c r="AH26" t="s">
        <v>40</v>
      </c>
      <c r="AI26" t="s">
        <v>45</v>
      </c>
    </row>
    <row r="27" spans="1:35" x14ac:dyDescent="0.25">
      <c r="A27" t="s">
        <v>166</v>
      </c>
      <c r="B27" t="s">
        <v>59</v>
      </c>
      <c r="C27" t="s">
        <v>37</v>
      </c>
      <c r="D27" t="s">
        <v>196</v>
      </c>
      <c r="E27" t="s">
        <v>62</v>
      </c>
      <c r="F27" t="s">
        <v>57</v>
      </c>
      <c r="G27" t="s">
        <v>45</v>
      </c>
      <c r="H27" t="s">
        <v>74</v>
      </c>
      <c r="I27" t="s">
        <v>40</v>
      </c>
      <c r="J27" t="s">
        <v>93</v>
      </c>
      <c r="K27" t="s">
        <v>45</v>
      </c>
      <c r="L27" t="s">
        <v>43</v>
      </c>
      <c r="M27" t="s">
        <v>197</v>
      </c>
      <c r="N27" t="s">
        <v>45</v>
      </c>
      <c r="O27" t="s">
        <v>57</v>
      </c>
      <c r="P27" t="s">
        <v>169</v>
      </c>
      <c r="Q27" t="s">
        <v>45</v>
      </c>
      <c r="R27" t="s">
        <v>109</v>
      </c>
      <c r="S27" t="s">
        <v>198</v>
      </c>
      <c r="T27" t="s">
        <v>199</v>
      </c>
      <c r="U27" t="s">
        <v>47</v>
      </c>
      <c r="V27" t="s">
        <v>52</v>
      </c>
      <c r="W27" t="s">
        <v>59</v>
      </c>
      <c r="X27" t="s">
        <v>53</v>
      </c>
      <c r="Y27" t="s">
        <v>45</v>
      </c>
      <c r="Z27" t="s">
        <v>47</v>
      </c>
      <c r="AA27" t="s">
        <v>54</v>
      </c>
      <c r="AB27" t="s">
        <v>40</v>
      </c>
      <c r="AC27" t="s">
        <v>139</v>
      </c>
      <c r="AD27" t="s">
        <v>45</v>
      </c>
      <c r="AE27" t="s">
        <v>41</v>
      </c>
      <c r="AF27" t="s">
        <v>129</v>
      </c>
      <c r="AG27" t="s">
        <v>98</v>
      </c>
      <c r="AH27" t="s">
        <v>47</v>
      </c>
      <c r="AI27" t="s">
        <v>51</v>
      </c>
    </row>
    <row r="28" spans="1:35" x14ac:dyDescent="0.25">
      <c r="A28" t="s">
        <v>93</v>
      </c>
      <c r="B28" t="s">
        <v>36</v>
      </c>
      <c r="C28" t="s">
        <v>60</v>
      </c>
      <c r="D28" t="s">
        <v>200</v>
      </c>
      <c r="E28" t="s">
        <v>62</v>
      </c>
      <c r="F28" t="s">
        <v>128</v>
      </c>
      <c r="G28" t="s">
        <v>40</v>
      </c>
      <c r="H28" t="s">
        <v>42</v>
      </c>
      <c r="I28" t="s">
        <v>40</v>
      </c>
      <c r="J28" t="s">
        <v>80</v>
      </c>
      <c r="K28" t="s">
        <v>41</v>
      </c>
      <c r="L28" t="s">
        <v>43</v>
      </c>
      <c r="M28" t="s">
        <v>201</v>
      </c>
      <c r="N28" t="s">
        <v>40</v>
      </c>
      <c r="O28" t="s">
        <v>40</v>
      </c>
      <c r="P28" t="s">
        <v>65</v>
      </c>
      <c r="Q28" t="s">
        <v>40</v>
      </c>
      <c r="R28" t="s">
        <v>48</v>
      </c>
      <c r="S28" t="s">
        <v>202</v>
      </c>
      <c r="T28" t="s">
        <v>203</v>
      </c>
      <c r="U28" t="s">
        <v>40</v>
      </c>
      <c r="V28" t="s">
        <v>52</v>
      </c>
      <c r="W28" t="s">
        <v>36</v>
      </c>
      <c r="X28" t="s">
        <v>112</v>
      </c>
      <c r="Y28" t="s">
        <v>47</v>
      </c>
      <c r="Z28" t="s">
        <v>41</v>
      </c>
      <c r="AA28" t="s">
        <v>54</v>
      </c>
      <c r="AB28" t="s">
        <v>55</v>
      </c>
      <c r="AC28" t="s">
        <v>70</v>
      </c>
      <c r="AD28" t="s">
        <v>57</v>
      </c>
      <c r="AE28" t="s">
        <v>45</v>
      </c>
      <c r="AF28" t="s">
        <v>70</v>
      </c>
      <c r="AG28" t="s">
        <v>41</v>
      </c>
      <c r="AH28" t="s">
        <v>56</v>
      </c>
      <c r="AI28" t="s">
        <v>71</v>
      </c>
    </row>
    <row r="29" spans="1:35" x14ac:dyDescent="0.25">
      <c r="A29" t="s">
        <v>204</v>
      </c>
      <c r="B29" t="s">
        <v>59</v>
      </c>
      <c r="C29" t="s">
        <v>37</v>
      </c>
      <c r="D29" t="s">
        <v>205</v>
      </c>
      <c r="E29" t="s">
        <v>39</v>
      </c>
      <c r="F29" t="s">
        <v>51</v>
      </c>
      <c r="G29" t="s">
        <v>47</v>
      </c>
      <c r="H29" t="s">
        <v>206</v>
      </c>
      <c r="I29" t="s">
        <v>40</v>
      </c>
      <c r="J29" t="s">
        <v>126</v>
      </c>
      <c r="K29" t="s">
        <v>45</v>
      </c>
      <c r="L29" t="s">
        <v>63</v>
      </c>
      <c r="M29" t="s">
        <v>207</v>
      </c>
      <c r="N29" t="s">
        <v>45</v>
      </c>
      <c r="O29" t="s">
        <v>41</v>
      </c>
      <c r="P29" t="s">
        <v>46</v>
      </c>
      <c r="Q29" t="s">
        <v>41</v>
      </c>
      <c r="R29" t="s">
        <v>66</v>
      </c>
      <c r="S29" t="s">
        <v>208</v>
      </c>
      <c r="T29" t="s">
        <v>209</v>
      </c>
      <c r="U29" t="s">
        <v>55</v>
      </c>
      <c r="V29" t="s">
        <v>52</v>
      </c>
      <c r="W29" t="s">
        <v>59</v>
      </c>
      <c r="X29" t="s">
        <v>53</v>
      </c>
      <c r="Y29" t="s">
        <v>45</v>
      </c>
      <c r="Z29" t="s">
        <v>47</v>
      </c>
      <c r="AA29" t="s">
        <v>54</v>
      </c>
      <c r="AB29" t="s">
        <v>40</v>
      </c>
      <c r="AC29" t="s">
        <v>70</v>
      </c>
      <c r="AD29" t="s">
        <v>41</v>
      </c>
      <c r="AE29" t="s">
        <v>45</v>
      </c>
      <c r="AF29" t="s">
        <v>91</v>
      </c>
      <c r="AG29" t="s">
        <v>71</v>
      </c>
      <c r="AH29" t="s">
        <v>47</v>
      </c>
      <c r="AI29" t="s">
        <v>41</v>
      </c>
    </row>
    <row r="30" spans="1:35" x14ac:dyDescent="0.25">
      <c r="A30" t="s">
        <v>115</v>
      </c>
      <c r="B30" t="s">
        <v>59</v>
      </c>
      <c r="C30" t="s">
        <v>37</v>
      </c>
      <c r="D30" t="s">
        <v>210</v>
      </c>
      <c r="E30" t="s">
        <v>62</v>
      </c>
      <c r="F30" t="s">
        <v>71</v>
      </c>
      <c r="G30" t="s">
        <v>47</v>
      </c>
      <c r="H30" t="s">
        <v>87</v>
      </c>
      <c r="I30" t="s">
        <v>40</v>
      </c>
      <c r="J30" t="s">
        <v>120</v>
      </c>
      <c r="K30" t="s">
        <v>40</v>
      </c>
      <c r="L30" t="s">
        <v>43</v>
      </c>
      <c r="M30" t="s">
        <v>204</v>
      </c>
      <c r="N30" t="s">
        <v>41</v>
      </c>
      <c r="O30" t="s">
        <v>45</v>
      </c>
      <c r="P30" t="s">
        <v>122</v>
      </c>
      <c r="Q30" t="s">
        <v>47</v>
      </c>
      <c r="R30" t="s">
        <v>66</v>
      </c>
      <c r="S30" t="s">
        <v>211</v>
      </c>
      <c r="T30" t="s">
        <v>212</v>
      </c>
      <c r="U30" t="s">
        <v>45</v>
      </c>
      <c r="V30" t="s">
        <v>52</v>
      </c>
      <c r="W30" t="s">
        <v>59</v>
      </c>
      <c r="X30" t="s">
        <v>129</v>
      </c>
      <c r="Y30" t="s">
        <v>45</v>
      </c>
      <c r="Z30" t="s">
        <v>47</v>
      </c>
      <c r="AA30" t="s">
        <v>54</v>
      </c>
      <c r="AB30" t="s">
        <v>40</v>
      </c>
      <c r="AC30" t="s">
        <v>107</v>
      </c>
      <c r="AD30" t="s">
        <v>47</v>
      </c>
      <c r="AE30" t="s">
        <v>45</v>
      </c>
      <c r="AF30" t="s">
        <v>112</v>
      </c>
      <c r="AG30" t="s">
        <v>56</v>
      </c>
      <c r="AH30" t="s">
        <v>57</v>
      </c>
      <c r="AI30" t="s">
        <v>125</v>
      </c>
    </row>
    <row r="31" spans="1:35" x14ac:dyDescent="0.25">
      <c r="A31" t="s">
        <v>213</v>
      </c>
      <c r="B31" t="s">
        <v>59</v>
      </c>
      <c r="C31" t="s">
        <v>37</v>
      </c>
      <c r="D31" t="s">
        <v>214</v>
      </c>
      <c r="E31" t="s">
        <v>39</v>
      </c>
      <c r="F31" t="s">
        <v>41</v>
      </c>
      <c r="G31" t="s">
        <v>47</v>
      </c>
      <c r="H31" t="s">
        <v>206</v>
      </c>
      <c r="I31" t="s">
        <v>40</v>
      </c>
      <c r="J31" t="s">
        <v>113</v>
      </c>
      <c r="K31" t="s">
        <v>41</v>
      </c>
      <c r="L31" t="s">
        <v>43</v>
      </c>
      <c r="M31" t="s">
        <v>193</v>
      </c>
      <c r="N31" t="s">
        <v>45</v>
      </c>
      <c r="O31" t="s">
        <v>57</v>
      </c>
      <c r="P31" t="s">
        <v>169</v>
      </c>
      <c r="Q31" t="s">
        <v>40</v>
      </c>
      <c r="R31" t="s">
        <v>48</v>
      </c>
      <c r="S31" t="s">
        <v>215</v>
      </c>
      <c r="T31" t="s">
        <v>216</v>
      </c>
      <c r="U31" t="s">
        <v>45</v>
      </c>
      <c r="V31" t="s">
        <v>52</v>
      </c>
      <c r="W31" t="s">
        <v>59</v>
      </c>
      <c r="X31" t="s">
        <v>92</v>
      </c>
      <c r="Y31" t="s">
        <v>45</v>
      </c>
      <c r="Z31" t="s">
        <v>47</v>
      </c>
      <c r="AA31" t="s">
        <v>54</v>
      </c>
      <c r="AB31" t="s">
        <v>55</v>
      </c>
      <c r="AC31" t="s">
        <v>112</v>
      </c>
      <c r="AD31" t="s">
        <v>41</v>
      </c>
      <c r="AE31" t="s">
        <v>41</v>
      </c>
      <c r="AF31" t="s">
        <v>41</v>
      </c>
      <c r="AG31" t="s">
        <v>41</v>
      </c>
      <c r="AH31" t="s">
        <v>41</v>
      </c>
      <c r="AI31" t="s">
        <v>40</v>
      </c>
    </row>
    <row r="32" spans="1:35" x14ac:dyDescent="0.25">
      <c r="A32" t="s">
        <v>80</v>
      </c>
      <c r="B32" t="s">
        <v>59</v>
      </c>
      <c r="C32" t="s">
        <v>37</v>
      </c>
      <c r="D32" t="s">
        <v>217</v>
      </c>
      <c r="E32" t="s">
        <v>62</v>
      </c>
      <c r="F32" t="s">
        <v>41</v>
      </c>
      <c r="G32" t="s">
        <v>45</v>
      </c>
      <c r="H32" t="s">
        <v>87</v>
      </c>
      <c r="I32" t="s">
        <v>40</v>
      </c>
      <c r="J32" t="s">
        <v>218</v>
      </c>
      <c r="K32" t="s">
        <v>45</v>
      </c>
      <c r="L32" t="s">
        <v>63</v>
      </c>
      <c r="M32" t="s">
        <v>168</v>
      </c>
      <c r="N32" t="s">
        <v>45</v>
      </c>
      <c r="O32" t="s">
        <v>40</v>
      </c>
      <c r="P32" t="s">
        <v>76</v>
      </c>
      <c r="Q32" t="s">
        <v>47</v>
      </c>
      <c r="R32" t="s">
        <v>48</v>
      </c>
      <c r="S32" t="s">
        <v>219</v>
      </c>
      <c r="T32" t="s">
        <v>220</v>
      </c>
      <c r="U32" t="s">
        <v>47</v>
      </c>
      <c r="V32" t="s">
        <v>52</v>
      </c>
      <c r="W32" t="s">
        <v>59</v>
      </c>
      <c r="X32" t="s">
        <v>53</v>
      </c>
      <c r="Y32" t="s">
        <v>45</v>
      </c>
      <c r="Z32" t="s">
        <v>47</v>
      </c>
      <c r="AA32" t="s">
        <v>54</v>
      </c>
      <c r="AB32" t="s">
        <v>55</v>
      </c>
      <c r="AC32" t="s">
        <v>71</v>
      </c>
      <c r="AD32" t="s">
        <v>45</v>
      </c>
      <c r="AE32" t="s">
        <v>45</v>
      </c>
      <c r="AF32" t="s">
        <v>40</v>
      </c>
      <c r="AG32" t="s">
        <v>40</v>
      </c>
      <c r="AH32" t="s">
        <v>55</v>
      </c>
      <c r="AI32" t="s">
        <v>55</v>
      </c>
    </row>
    <row r="33" spans="1:35" x14ac:dyDescent="0.25">
      <c r="A33" t="s">
        <v>115</v>
      </c>
      <c r="B33" t="s">
        <v>59</v>
      </c>
      <c r="C33" t="s">
        <v>37</v>
      </c>
      <c r="D33" t="s">
        <v>221</v>
      </c>
      <c r="E33" t="s">
        <v>62</v>
      </c>
      <c r="F33" t="s">
        <v>70</v>
      </c>
      <c r="G33" t="s">
        <v>47</v>
      </c>
      <c r="H33" t="s">
        <v>74</v>
      </c>
      <c r="I33" t="s">
        <v>40</v>
      </c>
      <c r="J33" t="s">
        <v>88</v>
      </c>
      <c r="K33" t="s">
        <v>47</v>
      </c>
      <c r="L33" t="s">
        <v>63</v>
      </c>
      <c r="M33" t="s">
        <v>35</v>
      </c>
      <c r="N33" t="s">
        <v>45</v>
      </c>
      <c r="O33" t="s">
        <v>41</v>
      </c>
      <c r="P33" t="s">
        <v>122</v>
      </c>
      <c r="Q33" t="s">
        <v>47</v>
      </c>
      <c r="R33" t="s">
        <v>66</v>
      </c>
      <c r="S33" t="s">
        <v>222</v>
      </c>
      <c r="T33" t="s">
        <v>223</v>
      </c>
      <c r="U33" t="s">
        <v>41</v>
      </c>
      <c r="V33" t="s">
        <v>52</v>
      </c>
      <c r="W33" t="s">
        <v>36</v>
      </c>
      <c r="X33" t="s">
        <v>98</v>
      </c>
      <c r="Y33" t="s">
        <v>45</v>
      </c>
      <c r="Z33" t="s">
        <v>47</v>
      </c>
      <c r="AA33" t="s">
        <v>54</v>
      </c>
      <c r="AB33" t="s">
        <v>55</v>
      </c>
      <c r="AC33" t="s">
        <v>91</v>
      </c>
      <c r="AD33" t="s">
        <v>57</v>
      </c>
      <c r="AE33" t="s">
        <v>47</v>
      </c>
      <c r="AF33" t="s">
        <v>47</v>
      </c>
      <c r="AG33" t="s">
        <v>41</v>
      </c>
      <c r="AH33" t="s">
        <v>40</v>
      </c>
      <c r="AI33" t="s">
        <v>45</v>
      </c>
    </row>
    <row r="34" spans="1:35" x14ac:dyDescent="0.25">
      <c r="A34" t="s">
        <v>105</v>
      </c>
      <c r="B34" t="s">
        <v>59</v>
      </c>
      <c r="C34" t="s">
        <v>37</v>
      </c>
      <c r="D34" t="s">
        <v>224</v>
      </c>
      <c r="E34" t="s">
        <v>62</v>
      </c>
      <c r="F34" t="s">
        <v>91</v>
      </c>
      <c r="G34" t="s">
        <v>41</v>
      </c>
      <c r="H34" t="s">
        <v>87</v>
      </c>
      <c r="I34" t="s">
        <v>40</v>
      </c>
      <c r="J34" t="s">
        <v>35</v>
      </c>
      <c r="K34" t="s">
        <v>47</v>
      </c>
      <c r="L34" t="s">
        <v>63</v>
      </c>
      <c r="M34" t="s">
        <v>193</v>
      </c>
      <c r="N34" t="s">
        <v>41</v>
      </c>
      <c r="O34" t="s">
        <v>40</v>
      </c>
      <c r="P34" t="s">
        <v>76</v>
      </c>
      <c r="Q34" t="s">
        <v>45</v>
      </c>
      <c r="R34" t="s">
        <v>48</v>
      </c>
      <c r="S34" t="s">
        <v>225</v>
      </c>
      <c r="T34" t="s">
        <v>226</v>
      </c>
      <c r="U34" t="s">
        <v>40</v>
      </c>
      <c r="V34" t="s">
        <v>52</v>
      </c>
      <c r="W34" t="s">
        <v>59</v>
      </c>
      <c r="X34" t="s">
        <v>98</v>
      </c>
      <c r="Y34" t="s">
        <v>45</v>
      </c>
      <c r="Z34" t="s">
        <v>40</v>
      </c>
      <c r="AA34" t="s">
        <v>54</v>
      </c>
      <c r="AB34" t="s">
        <v>55</v>
      </c>
      <c r="AC34" t="s">
        <v>70</v>
      </c>
      <c r="AD34" t="s">
        <v>57</v>
      </c>
      <c r="AE34" t="s">
        <v>45</v>
      </c>
      <c r="AF34" t="s">
        <v>70</v>
      </c>
      <c r="AG34" t="s">
        <v>55</v>
      </c>
      <c r="AH34" t="s">
        <v>40</v>
      </c>
      <c r="AI34" t="s">
        <v>51</v>
      </c>
    </row>
    <row r="35" spans="1:35" x14ac:dyDescent="0.25">
      <c r="A35" t="s">
        <v>218</v>
      </c>
      <c r="B35" t="s">
        <v>36</v>
      </c>
      <c r="C35" t="s">
        <v>37</v>
      </c>
      <c r="D35" t="s">
        <v>227</v>
      </c>
      <c r="E35" t="s">
        <v>39</v>
      </c>
      <c r="F35" t="s">
        <v>57</v>
      </c>
      <c r="G35" t="s">
        <v>45</v>
      </c>
      <c r="H35" t="s">
        <v>228</v>
      </c>
      <c r="I35" t="s">
        <v>40</v>
      </c>
      <c r="J35" t="s">
        <v>204</v>
      </c>
      <c r="K35" t="s">
        <v>47</v>
      </c>
      <c r="L35" t="s">
        <v>63</v>
      </c>
      <c r="M35" t="s">
        <v>82</v>
      </c>
      <c r="N35" t="s">
        <v>45</v>
      </c>
      <c r="O35" t="s">
        <v>41</v>
      </c>
      <c r="P35" t="s">
        <v>182</v>
      </c>
      <c r="Q35" t="s">
        <v>47</v>
      </c>
      <c r="R35" t="s">
        <v>66</v>
      </c>
      <c r="S35" t="s">
        <v>229</v>
      </c>
      <c r="T35" t="s">
        <v>230</v>
      </c>
      <c r="U35" t="s">
        <v>45</v>
      </c>
      <c r="V35" t="s">
        <v>52</v>
      </c>
      <c r="W35" t="s">
        <v>59</v>
      </c>
      <c r="X35" t="s">
        <v>129</v>
      </c>
      <c r="Y35" t="s">
        <v>45</v>
      </c>
      <c r="Z35" t="s">
        <v>45</v>
      </c>
      <c r="AA35" t="s">
        <v>54</v>
      </c>
      <c r="AB35" t="s">
        <v>40</v>
      </c>
      <c r="AC35" t="s">
        <v>144</v>
      </c>
      <c r="AD35" t="s">
        <v>56</v>
      </c>
      <c r="AE35" t="s">
        <v>47</v>
      </c>
      <c r="AF35" t="s">
        <v>40</v>
      </c>
      <c r="AG35" t="s">
        <v>55</v>
      </c>
      <c r="AH35" t="s">
        <v>55</v>
      </c>
      <c r="AI35" t="s">
        <v>55</v>
      </c>
    </row>
    <row r="36" spans="1:35" x14ac:dyDescent="0.25">
      <c r="A36" t="s">
        <v>107</v>
      </c>
      <c r="B36" t="s">
        <v>36</v>
      </c>
      <c r="C36" t="s">
        <v>37</v>
      </c>
      <c r="D36" t="s">
        <v>231</v>
      </c>
      <c r="E36" t="s">
        <v>62</v>
      </c>
      <c r="F36" t="s">
        <v>40</v>
      </c>
      <c r="G36" t="s">
        <v>45</v>
      </c>
      <c r="H36" t="s">
        <v>87</v>
      </c>
      <c r="I36" t="s">
        <v>40</v>
      </c>
      <c r="J36" t="s">
        <v>174</v>
      </c>
      <c r="K36" t="s">
        <v>41</v>
      </c>
      <c r="L36" t="s">
        <v>63</v>
      </c>
      <c r="M36" t="s">
        <v>64</v>
      </c>
      <c r="N36" t="s">
        <v>45</v>
      </c>
      <c r="O36" t="s">
        <v>40</v>
      </c>
      <c r="P36" t="s">
        <v>65</v>
      </c>
      <c r="Q36" t="s">
        <v>47</v>
      </c>
      <c r="R36" t="s">
        <v>66</v>
      </c>
      <c r="S36" t="s">
        <v>232</v>
      </c>
      <c r="T36" t="s">
        <v>233</v>
      </c>
      <c r="U36" t="s">
        <v>41</v>
      </c>
      <c r="V36" t="s">
        <v>52</v>
      </c>
      <c r="W36" t="s">
        <v>36</v>
      </c>
      <c r="X36" t="s">
        <v>128</v>
      </c>
      <c r="Y36" t="s">
        <v>45</v>
      </c>
      <c r="Z36" t="s">
        <v>40</v>
      </c>
      <c r="AA36" t="s">
        <v>54</v>
      </c>
      <c r="AB36" t="s">
        <v>40</v>
      </c>
      <c r="AC36" t="s">
        <v>56</v>
      </c>
      <c r="AD36" t="s">
        <v>41</v>
      </c>
      <c r="AE36" t="s">
        <v>41</v>
      </c>
      <c r="AF36" t="s">
        <v>41</v>
      </c>
      <c r="AG36" t="s">
        <v>55</v>
      </c>
      <c r="AH36" t="s">
        <v>41</v>
      </c>
      <c r="AI36" t="s">
        <v>55</v>
      </c>
    </row>
    <row r="37" spans="1:35" x14ac:dyDescent="0.25">
      <c r="A37" t="s">
        <v>234</v>
      </c>
      <c r="B37" t="s">
        <v>59</v>
      </c>
      <c r="C37" t="s">
        <v>37</v>
      </c>
      <c r="D37" t="s">
        <v>235</v>
      </c>
      <c r="E37" t="s">
        <v>62</v>
      </c>
      <c r="F37" t="s">
        <v>41</v>
      </c>
      <c r="G37" t="s">
        <v>41</v>
      </c>
      <c r="H37" t="s">
        <v>87</v>
      </c>
      <c r="I37" t="s">
        <v>40</v>
      </c>
      <c r="J37" t="s">
        <v>213</v>
      </c>
      <c r="K37" t="s">
        <v>47</v>
      </c>
      <c r="L37" t="s">
        <v>43</v>
      </c>
      <c r="M37" t="s">
        <v>201</v>
      </c>
      <c r="N37" t="s">
        <v>47</v>
      </c>
      <c r="O37" t="s">
        <v>40</v>
      </c>
      <c r="P37" t="s">
        <v>65</v>
      </c>
      <c r="Q37" t="s">
        <v>45</v>
      </c>
      <c r="R37" t="s">
        <v>109</v>
      </c>
      <c r="S37" t="s">
        <v>236</v>
      </c>
      <c r="T37" t="s">
        <v>237</v>
      </c>
      <c r="U37" t="s">
        <v>40</v>
      </c>
      <c r="V37" t="s">
        <v>52</v>
      </c>
      <c r="W37" t="s">
        <v>59</v>
      </c>
      <c r="X37" t="s">
        <v>92</v>
      </c>
      <c r="Y37" t="s">
        <v>45</v>
      </c>
      <c r="Z37" t="s">
        <v>47</v>
      </c>
      <c r="AA37" t="s">
        <v>54</v>
      </c>
      <c r="AB37" t="s">
        <v>41</v>
      </c>
      <c r="AC37" t="s">
        <v>56</v>
      </c>
      <c r="AD37" t="s">
        <v>45</v>
      </c>
      <c r="AE37" t="s">
        <v>41</v>
      </c>
      <c r="AF37" t="s">
        <v>57</v>
      </c>
      <c r="AG37" t="s">
        <v>45</v>
      </c>
      <c r="AH37" t="s">
        <v>40</v>
      </c>
      <c r="AI37" t="s">
        <v>47</v>
      </c>
    </row>
    <row r="38" spans="1:35" x14ac:dyDescent="0.25">
      <c r="A38" t="s">
        <v>151</v>
      </c>
      <c r="B38" t="s">
        <v>36</v>
      </c>
      <c r="C38" t="s">
        <v>37</v>
      </c>
      <c r="D38" t="s">
        <v>238</v>
      </c>
      <c r="E38" t="s">
        <v>39</v>
      </c>
      <c r="F38" t="s">
        <v>45</v>
      </c>
      <c r="G38" t="s">
        <v>41</v>
      </c>
      <c r="H38" t="s">
        <v>206</v>
      </c>
      <c r="I38" t="s">
        <v>40</v>
      </c>
      <c r="J38" t="s">
        <v>239</v>
      </c>
      <c r="K38" t="s">
        <v>40</v>
      </c>
      <c r="L38" t="s">
        <v>63</v>
      </c>
      <c r="M38" t="s">
        <v>240</v>
      </c>
      <c r="N38" t="s">
        <v>41</v>
      </c>
      <c r="O38" t="s">
        <v>40</v>
      </c>
      <c r="P38" t="s">
        <v>182</v>
      </c>
      <c r="Q38" t="s">
        <v>45</v>
      </c>
      <c r="R38" t="s">
        <v>66</v>
      </c>
      <c r="S38" t="s">
        <v>241</v>
      </c>
      <c r="T38" t="s">
        <v>242</v>
      </c>
      <c r="U38" t="s">
        <v>40</v>
      </c>
      <c r="V38" t="s">
        <v>52</v>
      </c>
      <c r="W38" t="s">
        <v>36</v>
      </c>
      <c r="X38" t="s">
        <v>129</v>
      </c>
      <c r="Y38" t="s">
        <v>45</v>
      </c>
      <c r="Z38" t="s">
        <v>45</v>
      </c>
      <c r="AA38" t="s">
        <v>54</v>
      </c>
      <c r="AB38" t="s">
        <v>55</v>
      </c>
      <c r="AC38" t="s">
        <v>45</v>
      </c>
      <c r="AD38" t="s">
        <v>41</v>
      </c>
      <c r="AE38" t="s">
        <v>45</v>
      </c>
      <c r="AF38" t="s">
        <v>45</v>
      </c>
      <c r="AG38" t="s">
        <v>41</v>
      </c>
      <c r="AH38" t="s">
        <v>55</v>
      </c>
      <c r="AI38" t="s">
        <v>41</v>
      </c>
    </row>
    <row r="39" spans="1:35" x14ac:dyDescent="0.25">
      <c r="A39" t="s">
        <v>126</v>
      </c>
      <c r="B39" t="s">
        <v>59</v>
      </c>
      <c r="C39" t="s">
        <v>37</v>
      </c>
      <c r="D39" t="s">
        <v>243</v>
      </c>
      <c r="E39" t="s">
        <v>39</v>
      </c>
      <c r="F39" t="s">
        <v>41</v>
      </c>
      <c r="G39" t="s">
        <v>45</v>
      </c>
      <c r="H39" t="s">
        <v>206</v>
      </c>
      <c r="I39" t="s">
        <v>40</v>
      </c>
      <c r="J39" t="s">
        <v>58</v>
      </c>
      <c r="K39" t="s">
        <v>47</v>
      </c>
      <c r="L39" t="s">
        <v>43</v>
      </c>
      <c r="M39" t="s">
        <v>244</v>
      </c>
      <c r="N39" t="s">
        <v>45</v>
      </c>
      <c r="O39" t="s">
        <v>40</v>
      </c>
      <c r="P39" t="s">
        <v>182</v>
      </c>
      <c r="Q39" t="s">
        <v>47</v>
      </c>
      <c r="R39" t="s">
        <v>66</v>
      </c>
      <c r="S39" t="s">
        <v>245</v>
      </c>
      <c r="T39" t="s">
        <v>246</v>
      </c>
      <c r="U39" t="s">
        <v>40</v>
      </c>
      <c r="V39" t="s">
        <v>52</v>
      </c>
      <c r="W39" t="s">
        <v>59</v>
      </c>
      <c r="X39" t="s">
        <v>98</v>
      </c>
      <c r="Y39" t="s">
        <v>45</v>
      </c>
      <c r="Z39" t="s">
        <v>40</v>
      </c>
      <c r="AA39" t="s">
        <v>54</v>
      </c>
      <c r="AB39" t="s">
        <v>55</v>
      </c>
      <c r="AC39" t="s">
        <v>41</v>
      </c>
      <c r="AD39" t="s">
        <v>45</v>
      </c>
      <c r="AE39" t="s">
        <v>45</v>
      </c>
      <c r="AF39" t="s">
        <v>41</v>
      </c>
      <c r="AG39" t="s">
        <v>41</v>
      </c>
      <c r="AH39" t="s">
        <v>41</v>
      </c>
      <c r="AI39" t="s">
        <v>41</v>
      </c>
    </row>
    <row r="40" spans="1:35" x14ac:dyDescent="0.25">
      <c r="A40" t="s">
        <v>120</v>
      </c>
      <c r="B40" t="s">
        <v>59</v>
      </c>
      <c r="C40" t="s">
        <v>37</v>
      </c>
      <c r="D40" t="s">
        <v>247</v>
      </c>
      <c r="E40" t="s">
        <v>62</v>
      </c>
      <c r="F40" t="s">
        <v>57</v>
      </c>
      <c r="G40" t="s">
        <v>47</v>
      </c>
      <c r="H40" t="s">
        <v>42</v>
      </c>
      <c r="I40" t="s">
        <v>40</v>
      </c>
      <c r="J40" t="s">
        <v>155</v>
      </c>
      <c r="K40" t="s">
        <v>41</v>
      </c>
      <c r="L40" t="s">
        <v>43</v>
      </c>
      <c r="M40" t="s">
        <v>181</v>
      </c>
      <c r="N40" t="s">
        <v>41</v>
      </c>
      <c r="O40" t="s">
        <v>40</v>
      </c>
      <c r="P40" t="s">
        <v>65</v>
      </c>
      <c r="Q40" t="s">
        <v>40</v>
      </c>
      <c r="R40" t="s">
        <v>66</v>
      </c>
      <c r="S40" t="s">
        <v>248</v>
      </c>
      <c r="T40" t="s">
        <v>249</v>
      </c>
      <c r="U40" t="s">
        <v>91</v>
      </c>
      <c r="V40" t="s">
        <v>52</v>
      </c>
      <c r="W40" t="s">
        <v>36</v>
      </c>
      <c r="X40" t="s">
        <v>129</v>
      </c>
      <c r="Y40" t="s">
        <v>45</v>
      </c>
      <c r="Z40" t="s">
        <v>47</v>
      </c>
      <c r="AA40" t="s">
        <v>54</v>
      </c>
      <c r="AB40" t="s">
        <v>40</v>
      </c>
      <c r="AC40" t="s">
        <v>56</v>
      </c>
      <c r="AD40" t="s">
        <v>45</v>
      </c>
      <c r="AE40" t="s">
        <v>47</v>
      </c>
      <c r="AF40" t="s">
        <v>40</v>
      </c>
      <c r="AG40" t="s">
        <v>40</v>
      </c>
      <c r="AH40" t="s">
        <v>55</v>
      </c>
      <c r="AI40" t="s">
        <v>55</v>
      </c>
    </row>
    <row r="41" spans="1:35" x14ac:dyDescent="0.25">
      <c r="A41" t="s">
        <v>80</v>
      </c>
      <c r="B41" t="s">
        <v>59</v>
      </c>
      <c r="C41" t="s">
        <v>60</v>
      </c>
      <c r="D41" t="s">
        <v>250</v>
      </c>
      <c r="E41" t="s">
        <v>39</v>
      </c>
      <c r="F41" t="s">
        <v>40</v>
      </c>
      <c r="G41" t="s">
        <v>45</v>
      </c>
      <c r="H41" t="s">
        <v>42</v>
      </c>
      <c r="I41" t="s">
        <v>40</v>
      </c>
      <c r="J41" t="s">
        <v>251</v>
      </c>
      <c r="K41" t="s">
        <v>45</v>
      </c>
      <c r="L41" t="s">
        <v>43</v>
      </c>
      <c r="M41" t="s">
        <v>204</v>
      </c>
      <c r="N41" t="s">
        <v>47</v>
      </c>
      <c r="O41" t="s">
        <v>41</v>
      </c>
      <c r="P41" t="s">
        <v>46</v>
      </c>
      <c r="Q41" t="s">
        <v>40</v>
      </c>
      <c r="R41" t="s">
        <v>66</v>
      </c>
      <c r="S41" t="s">
        <v>252</v>
      </c>
      <c r="T41" t="s">
        <v>253</v>
      </c>
      <c r="U41" t="s">
        <v>41</v>
      </c>
      <c r="V41" t="s">
        <v>52</v>
      </c>
      <c r="W41" t="s">
        <v>59</v>
      </c>
      <c r="X41" t="s">
        <v>144</v>
      </c>
      <c r="Y41" t="s">
        <v>45</v>
      </c>
      <c r="Z41" t="s">
        <v>40</v>
      </c>
      <c r="AA41" t="s">
        <v>54</v>
      </c>
      <c r="AB41" t="s">
        <v>41</v>
      </c>
      <c r="AC41" t="s">
        <v>70</v>
      </c>
      <c r="AD41" t="s">
        <v>45</v>
      </c>
      <c r="AE41" t="s">
        <v>45</v>
      </c>
      <c r="AF41" t="s">
        <v>57</v>
      </c>
      <c r="AG41" t="s">
        <v>45</v>
      </c>
      <c r="AH41" t="s">
        <v>40</v>
      </c>
      <c r="AI41" t="s">
        <v>45</v>
      </c>
    </row>
    <row r="42" spans="1:35" x14ac:dyDescent="0.25">
      <c r="A42" t="s">
        <v>126</v>
      </c>
      <c r="B42" t="s">
        <v>59</v>
      </c>
      <c r="C42" t="s">
        <v>37</v>
      </c>
      <c r="D42" t="s">
        <v>254</v>
      </c>
      <c r="E42" t="s">
        <v>62</v>
      </c>
      <c r="F42" t="s">
        <v>47</v>
      </c>
      <c r="G42" t="s">
        <v>41</v>
      </c>
      <c r="H42" t="s">
        <v>74</v>
      </c>
      <c r="I42" t="s">
        <v>40</v>
      </c>
      <c r="J42" t="s">
        <v>166</v>
      </c>
      <c r="K42" t="s">
        <v>45</v>
      </c>
      <c r="L42" t="s">
        <v>63</v>
      </c>
      <c r="M42" t="s">
        <v>255</v>
      </c>
      <c r="N42" t="s">
        <v>45</v>
      </c>
      <c r="O42" t="s">
        <v>40</v>
      </c>
      <c r="P42" t="s">
        <v>76</v>
      </c>
      <c r="Q42" t="s">
        <v>47</v>
      </c>
      <c r="R42" t="s">
        <v>109</v>
      </c>
      <c r="S42" t="s">
        <v>256</v>
      </c>
      <c r="T42" t="s">
        <v>257</v>
      </c>
      <c r="U42" t="s">
        <v>40</v>
      </c>
      <c r="V42" t="s">
        <v>52</v>
      </c>
      <c r="W42" t="s">
        <v>59</v>
      </c>
      <c r="X42" t="s">
        <v>92</v>
      </c>
      <c r="Y42" t="s">
        <v>45</v>
      </c>
      <c r="Z42" t="s">
        <v>45</v>
      </c>
      <c r="AA42" t="s">
        <v>54</v>
      </c>
      <c r="AB42" t="s">
        <v>40</v>
      </c>
      <c r="AC42" t="s">
        <v>40</v>
      </c>
      <c r="AD42" t="s">
        <v>45</v>
      </c>
      <c r="AE42" t="s">
        <v>45</v>
      </c>
      <c r="AF42" t="s">
        <v>40</v>
      </c>
      <c r="AG42" t="s">
        <v>55</v>
      </c>
      <c r="AH42" t="s">
        <v>55</v>
      </c>
      <c r="AI42" t="s">
        <v>55</v>
      </c>
    </row>
    <row r="43" spans="1:35" x14ac:dyDescent="0.25">
      <c r="A43" t="s">
        <v>85</v>
      </c>
      <c r="B43" t="s">
        <v>59</v>
      </c>
      <c r="C43" t="s">
        <v>37</v>
      </c>
      <c r="D43" t="s">
        <v>258</v>
      </c>
      <c r="E43" t="s">
        <v>62</v>
      </c>
      <c r="F43" t="s">
        <v>41</v>
      </c>
      <c r="G43" t="s">
        <v>47</v>
      </c>
      <c r="H43" t="s">
        <v>42</v>
      </c>
      <c r="I43" t="s">
        <v>40</v>
      </c>
      <c r="J43" t="s">
        <v>259</v>
      </c>
      <c r="K43" t="s">
        <v>47</v>
      </c>
      <c r="L43" t="s">
        <v>43</v>
      </c>
      <c r="M43" t="s">
        <v>80</v>
      </c>
      <c r="N43" t="s">
        <v>45</v>
      </c>
      <c r="O43" t="s">
        <v>40</v>
      </c>
      <c r="P43" t="s">
        <v>76</v>
      </c>
      <c r="Q43" t="s">
        <v>40</v>
      </c>
      <c r="R43" t="s">
        <v>109</v>
      </c>
      <c r="S43" t="s">
        <v>260</v>
      </c>
      <c r="T43" t="s">
        <v>261</v>
      </c>
      <c r="U43" t="s">
        <v>40</v>
      </c>
      <c r="V43" t="s">
        <v>52</v>
      </c>
      <c r="W43" t="s">
        <v>59</v>
      </c>
      <c r="X43" t="s">
        <v>98</v>
      </c>
      <c r="Y43" t="s">
        <v>45</v>
      </c>
      <c r="Z43" t="s">
        <v>47</v>
      </c>
      <c r="AA43" t="s">
        <v>54</v>
      </c>
      <c r="AB43" t="s">
        <v>40</v>
      </c>
      <c r="AC43" t="s">
        <v>40</v>
      </c>
      <c r="AD43" t="s">
        <v>56</v>
      </c>
      <c r="AE43" t="s">
        <v>45</v>
      </c>
      <c r="AF43" t="s">
        <v>40</v>
      </c>
      <c r="AG43" t="s">
        <v>55</v>
      </c>
      <c r="AH43" t="s">
        <v>55</v>
      </c>
      <c r="AI43" t="s">
        <v>55</v>
      </c>
    </row>
    <row r="44" spans="1:35" x14ac:dyDescent="0.25">
      <c r="A44" t="s">
        <v>139</v>
      </c>
      <c r="B44" t="s">
        <v>36</v>
      </c>
      <c r="C44" t="s">
        <v>37</v>
      </c>
      <c r="D44" t="s">
        <v>262</v>
      </c>
      <c r="E44" t="s">
        <v>62</v>
      </c>
      <c r="F44" t="s">
        <v>172</v>
      </c>
      <c r="G44" t="s">
        <v>45</v>
      </c>
      <c r="H44" t="s">
        <v>42</v>
      </c>
      <c r="I44" t="s">
        <v>40</v>
      </c>
      <c r="J44" t="s">
        <v>263</v>
      </c>
      <c r="K44" t="s">
        <v>40</v>
      </c>
      <c r="L44" t="s">
        <v>63</v>
      </c>
      <c r="M44" t="s">
        <v>207</v>
      </c>
      <c r="N44" t="s">
        <v>40</v>
      </c>
      <c r="O44" t="s">
        <v>40</v>
      </c>
      <c r="P44" t="s">
        <v>76</v>
      </c>
      <c r="Q44" t="s">
        <v>45</v>
      </c>
      <c r="R44" t="s">
        <v>48</v>
      </c>
      <c r="S44" t="s">
        <v>232</v>
      </c>
      <c r="T44" t="s">
        <v>264</v>
      </c>
      <c r="U44" t="s">
        <v>40</v>
      </c>
      <c r="V44" t="s">
        <v>52</v>
      </c>
      <c r="W44" t="s">
        <v>59</v>
      </c>
      <c r="X44" t="s">
        <v>92</v>
      </c>
      <c r="Y44" t="s">
        <v>45</v>
      </c>
      <c r="Z44" t="s">
        <v>45</v>
      </c>
      <c r="AA44" t="s">
        <v>54</v>
      </c>
      <c r="AB44" t="s">
        <v>55</v>
      </c>
      <c r="AC44" t="s">
        <v>40</v>
      </c>
      <c r="AD44" t="s">
        <v>41</v>
      </c>
      <c r="AE44" t="s">
        <v>41</v>
      </c>
      <c r="AF44" t="s">
        <v>40</v>
      </c>
      <c r="AG44" t="s">
        <v>55</v>
      </c>
      <c r="AH44" t="s">
        <v>55</v>
      </c>
      <c r="AI44" t="s">
        <v>40</v>
      </c>
    </row>
    <row r="45" spans="1:35" x14ac:dyDescent="0.25">
      <c r="A45" t="s">
        <v>85</v>
      </c>
      <c r="B45" t="s">
        <v>59</v>
      </c>
      <c r="C45" t="s">
        <v>60</v>
      </c>
      <c r="D45" t="s">
        <v>265</v>
      </c>
      <c r="E45" t="s">
        <v>39</v>
      </c>
      <c r="F45" t="s">
        <v>51</v>
      </c>
      <c r="G45" t="s">
        <v>45</v>
      </c>
      <c r="H45" t="s">
        <v>42</v>
      </c>
      <c r="I45" t="s">
        <v>40</v>
      </c>
      <c r="J45" t="s">
        <v>82</v>
      </c>
      <c r="K45" t="s">
        <v>47</v>
      </c>
      <c r="L45" t="s">
        <v>63</v>
      </c>
      <c r="M45" t="s">
        <v>72</v>
      </c>
      <c r="N45" t="s">
        <v>45</v>
      </c>
      <c r="O45" t="s">
        <v>45</v>
      </c>
      <c r="P45" t="s">
        <v>46</v>
      </c>
      <c r="Q45" t="s">
        <v>45</v>
      </c>
      <c r="R45" t="s">
        <v>48</v>
      </c>
      <c r="S45" t="s">
        <v>266</v>
      </c>
      <c r="T45" t="s">
        <v>267</v>
      </c>
      <c r="U45" t="s">
        <v>40</v>
      </c>
      <c r="V45" t="s">
        <v>52</v>
      </c>
      <c r="W45" t="s">
        <v>59</v>
      </c>
      <c r="X45" t="s">
        <v>79</v>
      </c>
      <c r="Y45" t="s">
        <v>45</v>
      </c>
      <c r="Z45" t="s">
        <v>47</v>
      </c>
      <c r="AA45" t="s">
        <v>54</v>
      </c>
      <c r="AB45" t="s">
        <v>55</v>
      </c>
      <c r="AC45" t="s">
        <v>91</v>
      </c>
      <c r="AD45" t="s">
        <v>55</v>
      </c>
      <c r="AE45" t="s">
        <v>45</v>
      </c>
      <c r="AF45" t="s">
        <v>91</v>
      </c>
      <c r="AG45" t="s">
        <v>51</v>
      </c>
      <c r="AH45" t="s">
        <v>40</v>
      </c>
      <c r="AI45" t="s">
        <v>71</v>
      </c>
    </row>
    <row r="46" spans="1:35" x14ac:dyDescent="0.25">
      <c r="A46" t="s">
        <v>105</v>
      </c>
      <c r="B46" t="s">
        <v>59</v>
      </c>
      <c r="C46" t="s">
        <v>60</v>
      </c>
      <c r="D46" t="s">
        <v>268</v>
      </c>
      <c r="E46" t="s">
        <v>62</v>
      </c>
      <c r="F46" t="s">
        <v>40</v>
      </c>
      <c r="G46" t="s">
        <v>41</v>
      </c>
      <c r="H46" t="s">
        <v>87</v>
      </c>
      <c r="I46" t="s">
        <v>40</v>
      </c>
      <c r="J46" t="s">
        <v>269</v>
      </c>
      <c r="K46" t="s">
        <v>45</v>
      </c>
      <c r="L46" t="s">
        <v>43</v>
      </c>
      <c r="M46" t="s">
        <v>197</v>
      </c>
      <c r="N46" t="s">
        <v>45</v>
      </c>
      <c r="O46" t="s">
        <v>41</v>
      </c>
      <c r="P46" t="s">
        <v>76</v>
      </c>
      <c r="Q46" t="s">
        <v>47</v>
      </c>
      <c r="R46" t="s">
        <v>48</v>
      </c>
      <c r="S46" t="s">
        <v>178</v>
      </c>
      <c r="T46" t="s">
        <v>270</v>
      </c>
      <c r="U46" t="s">
        <v>40</v>
      </c>
      <c r="V46" t="s">
        <v>52</v>
      </c>
      <c r="W46" t="s">
        <v>59</v>
      </c>
      <c r="X46" t="s">
        <v>69</v>
      </c>
      <c r="Y46" t="s">
        <v>47</v>
      </c>
      <c r="Z46" t="s">
        <v>47</v>
      </c>
      <c r="AA46" t="s">
        <v>54</v>
      </c>
      <c r="AB46" t="s">
        <v>55</v>
      </c>
      <c r="AC46" t="s">
        <v>92</v>
      </c>
      <c r="AD46" t="s">
        <v>41</v>
      </c>
      <c r="AE46" t="s">
        <v>45</v>
      </c>
      <c r="AF46" t="s">
        <v>92</v>
      </c>
      <c r="AG46" t="s">
        <v>51</v>
      </c>
      <c r="AH46" t="s">
        <v>45</v>
      </c>
      <c r="AI46" t="s">
        <v>71</v>
      </c>
    </row>
    <row r="47" spans="1:35" x14ac:dyDescent="0.25">
      <c r="A47" t="s">
        <v>35</v>
      </c>
      <c r="B47" t="s">
        <v>36</v>
      </c>
      <c r="C47" t="s">
        <v>37</v>
      </c>
      <c r="D47" t="s">
        <v>271</v>
      </c>
      <c r="E47" t="s">
        <v>62</v>
      </c>
      <c r="F47" t="s">
        <v>92</v>
      </c>
      <c r="G47" t="s">
        <v>45</v>
      </c>
      <c r="H47" t="s">
        <v>228</v>
      </c>
      <c r="I47" t="s">
        <v>40</v>
      </c>
      <c r="J47" t="s">
        <v>197</v>
      </c>
      <c r="K47" t="s">
        <v>41</v>
      </c>
      <c r="L47" t="s">
        <v>43</v>
      </c>
      <c r="M47" t="s">
        <v>58</v>
      </c>
      <c r="N47" t="s">
        <v>45</v>
      </c>
      <c r="O47" t="s">
        <v>57</v>
      </c>
      <c r="P47" t="s">
        <v>186</v>
      </c>
      <c r="Q47" t="s">
        <v>45</v>
      </c>
      <c r="R47" t="s">
        <v>66</v>
      </c>
      <c r="S47" t="s">
        <v>272</v>
      </c>
      <c r="T47" t="s">
        <v>273</v>
      </c>
      <c r="U47" t="s">
        <v>40</v>
      </c>
      <c r="V47" t="s">
        <v>52</v>
      </c>
      <c r="W47" t="s">
        <v>59</v>
      </c>
      <c r="X47" t="s">
        <v>92</v>
      </c>
      <c r="Y47" t="s">
        <v>45</v>
      </c>
      <c r="Z47" t="s">
        <v>47</v>
      </c>
      <c r="AA47" t="s">
        <v>54</v>
      </c>
      <c r="AB47" t="s">
        <v>55</v>
      </c>
      <c r="AC47" t="s">
        <v>69</v>
      </c>
      <c r="AD47" t="s">
        <v>55</v>
      </c>
      <c r="AE47" t="s">
        <v>45</v>
      </c>
      <c r="AF47" t="s">
        <v>112</v>
      </c>
      <c r="AG47" t="s">
        <v>79</v>
      </c>
      <c r="AH47" t="s">
        <v>79</v>
      </c>
      <c r="AI47" t="s">
        <v>51</v>
      </c>
    </row>
    <row r="48" spans="1:35" x14ac:dyDescent="0.25">
      <c r="A48" t="s">
        <v>142</v>
      </c>
      <c r="B48" t="s">
        <v>59</v>
      </c>
      <c r="C48" t="s">
        <v>161</v>
      </c>
      <c r="D48" t="s">
        <v>274</v>
      </c>
      <c r="E48" t="s">
        <v>39</v>
      </c>
      <c r="F48" t="s">
        <v>69</v>
      </c>
      <c r="G48" t="s">
        <v>47</v>
      </c>
      <c r="H48" t="s">
        <v>206</v>
      </c>
      <c r="I48" t="s">
        <v>40</v>
      </c>
      <c r="J48" t="s">
        <v>275</v>
      </c>
      <c r="K48" t="s">
        <v>41</v>
      </c>
      <c r="L48" t="s">
        <v>63</v>
      </c>
      <c r="M48" t="s">
        <v>201</v>
      </c>
      <c r="N48" t="s">
        <v>45</v>
      </c>
      <c r="O48" t="s">
        <v>41</v>
      </c>
      <c r="P48" t="s">
        <v>46</v>
      </c>
      <c r="Q48" t="s">
        <v>45</v>
      </c>
      <c r="R48" t="s">
        <v>48</v>
      </c>
      <c r="S48" t="s">
        <v>276</v>
      </c>
      <c r="T48" t="s">
        <v>277</v>
      </c>
      <c r="U48" t="s">
        <v>55</v>
      </c>
      <c r="V48" t="s">
        <v>52</v>
      </c>
      <c r="W48" t="s">
        <v>59</v>
      </c>
      <c r="X48" t="s">
        <v>104</v>
      </c>
      <c r="Y48" t="s">
        <v>47</v>
      </c>
      <c r="Z48" t="s">
        <v>45</v>
      </c>
      <c r="AA48" t="s">
        <v>54</v>
      </c>
      <c r="AB48" t="s">
        <v>55</v>
      </c>
      <c r="AC48" t="s">
        <v>70</v>
      </c>
      <c r="AD48" t="s">
        <v>41</v>
      </c>
      <c r="AE48" t="s">
        <v>45</v>
      </c>
      <c r="AF48" t="s">
        <v>91</v>
      </c>
      <c r="AG48" t="s">
        <v>57</v>
      </c>
      <c r="AH48" t="s">
        <v>51</v>
      </c>
      <c r="AI48" t="s">
        <v>71</v>
      </c>
    </row>
    <row r="49" spans="1:35" x14ac:dyDescent="0.25">
      <c r="A49" t="s">
        <v>72</v>
      </c>
      <c r="B49" t="s">
        <v>59</v>
      </c>
      <c r="C49" t="s">
        <v>37</v>
      </c>
      <c r="D49" t="s">
        <v>278</v>
      </c>
      <c r="E49" t="s">
        <v>62</v>
      </c>
      <c r="F49" t="s">
        <v>144</v>
      </c>
      <c r="G49" t="s">
        <v>41</v>
      </c>
      <c r="H49" t="s">
        <v>42</v>
      </c>
      <c r="I49" t="s">
        <v>40</v>
      </c>
      <c r="J49" t="s">
        <v>64</v>
      </c>
      <c r="K49" t="s">
        <v>41</v>
      </c>
      <c r="L49" t="s">
        <v>63</v>
      </c>
      <c r="M49" t="s">
        <v>279</v>
      </c>
      <c r="N49" t="s">
        <v>45</v>
      </c>
      <c r="O49" t="s">
        <v>40</v>
      </c>
      <c r="P49" t="s">
        <v>65</v>
      </c>
      <c r="Q49" t="s">
        <v>41</v>
      </c>
      <c r="R49" t="s">
        <v>66</v>
      </c>
      <c r="S49" t="s">
        <v>280</v>
      </c>
      <c r="T49" t="s">
        <v>281</v>
      </c>
      <c r="U49" t="s">
        <v>47</v>
      </c>
      <c r="V49" t="s">
        <v>52</v>
      </c>
      <c r="W49" t="s">
        <v>59</v>
      </c>
      <c r="X49" t="s">
        <v>119</v>
      </c>
      <c r="Y49" t="s">
        <v>47</v>
      </c>
      <c r="Z49" t="s">
        <v>40</v>
      </c>
      <c r="AA49" t="s">
        <v>54</v>
      </c>
      <c r="AB49" t="s">
        <v>55</v>
      </c>
      <c r="AC49" t="s">
        <v>51</v>
      </c>
      <c r="AD49" t="s">
        <v>40</v>
      </c>
      <c r="AE49" t="s">
        <v>45</v>
      </c>
      <c r="AF49" t="s">
        <v>40</v>
      </c>
      <c r="AG49" t="s">
        <v>55</v>
      </c>
      <c r="AH49" t="s">
        <v>55</v>
      </c>
      <c r="AI49" t="s">
        <v>55</v>
      </c>
    </row>
    <row r="50" spans="1:35" x14ac:dyDescent="0.25">
      <c r="A50" t="s">
        <v>213</v>
      </c>
      <c r="B50" t="s">
        <v>59</v>
      </c>
      <c r="C50" t="s">
        <v>60</v>
      </c>
      <c r="D50" t="s">
        <v>282</v>
      </c>
      <c r="E50" t="s">
        <v>39</v>
      </c>
      <c r="F50" t="s">
        <v>57</v>
      </c>
      <c r="G50" t="s">
        <v>47</v>
      </c>
      <c r="H50" t="s">
        <v>206</v>
      </c>
      <c r="I50" t="s">
        <v>40</v>
      </c>
      <c r="J50" t="s">
        <v>283</v>
      </c>
      <c r="K50" t="s">
        <v>40</v>
      </c>
      <c r="L50" t="s">
        <v>63</v>
      </c>
      <c r="M50" t="s">
        <v>284</v>
      </c>
      <c r="N50" t="s">
        <v>45</v>
      </c>
      <c r="O50" t="s">
        <v>41</v>
      </c>
      <c r="P50" t="s">
        <v>46</v>
      </c>
      <c r="Q50" t="s">
        <v>47</v>
      </c>
      <c r="R50" t="s">
        <v>48</v>
      </c>
      <c r="S50" t="s">
        <v>285</v>
      </c>
      <c r="T50" t="s">
        <v>286</v>
      </c>
      <c r="U50" t="s">
        <v>47</v>
      </c>
      <c r="V50" t="s">
        <v>52</v>
      </c>
      <c r="W50" t="s">
        <v>36</v>
      </c>
      <c r="X50" t="s">
        <v>119</v>
      </c>
      <c r="Y50" t="s">
        <v>47</v>
      </c>
      <c r="Z50" t="s">
        <v>45</v>
      </c>
      <c r="AA50" t="s">
        <v>54</v>
      </c>
      <c r="AB50" t="s">
        <v>55</v>
      </c>
      <c r="AC50" t="s">
        <v>129</v>
      </c>
      <c r="AD50" t="s">
        <v>47</v>
      </c>
      <c r="AE50" t="s">
        <v>45</v>
      </c>
      <c r="AF50" t="s">
        <v>91</v>
      </c>
      <c r="AG50" t="s">
        <v>56</v>
      </c>
      <c r="AH50" t="s">
        <v>55</v>
      </c>
      <c r="AI50" t="s">
        <v>51</v>
      </c>
    </row>
    <row r="51" spans="1:35" x14ac:dyDescent="0.25">
      <c r="A51" t="s">
        <v>126</v>
      </c>
      <c r="B51" t="s">
        <v>59</v>
      </c>
      <c r="C51" t="s">
        <v>37</v>
      </c>
      <c r="D51" t="s">
        <v>287</v>
      </c>
      <c r="E51" t="s">
        <v>62</v>
      </c>
      <c r="F51" t="s">
        <v>51</v>
      </c>
      <c r="G51" t="s">
        <v>40</v>
      </c>
      <c r="H51" t="s">
        <v>42</v>
      </c>
      <c r="I51" t="s">
        <v>40</v>
      </c>
      <c r="J51" t="s">
        <v>288</v>
      </c>
      <c r="K51" t="s">
        <v>47</v>
      </c>
      <c r="L51" t="s">
        <v>63</v>
      </c>
      <c r="M51" t="s">
        <v>120</v>
      </c>
      <c r="N51" t="s">
        <v>47</v>
      </c>
      <c r="O51" t="s">
        <v>40</v>
      </c>
      <c r="P51" t="s">
        <v>76</v>
      </c>
      <c r="Q51" t="s">
        <v>47</v>
      </c>
      <c r="R51" t="s">
        <v>66</v>
      </c>
      <c r="S51" t="s">
        <v>289</v>
      </c>
      <c r="T51" t="s">
        <v>290</v>
      </c>
      <c r="U51" t="s">
        <v>40</v>
      </c>
      <c r="V51" t="s">
        <v>52</v>
      </c>
      <c r="W51" t="s">
        <v>59</v>
      </c>
      <c r="X51" t="s">
        <v>144</v>
      </c>
      <c r="Y51" t="s">
        <v>45</v>
      </c>
      <c r="Z51" t="s">
        <v>47</v>
      </c>
      <c r="AA51" t="s">
        <v>54</v>
      </c>
      <c r="AB51" t="s">
        <v>55</v>
      </c>
      <c r="AC51" t="s">
        <v>40</v>
      </c>
      <c r="AD51" t="s">
        <v>41</v>
      </c>
      <c r="AE51" t="s">
        <v>45</v>
      </c>
      <c r="AF51" t="s">
        <v>40</v>
      </c>
      <c r="AG51" t="s">
        <v>55</v>
      </c>
      <c r="AH51" t="s">
        <v>55</v>
      </c>
      <c r="AI51" t="s">
        <v>40</v>
      </c>
    </row>
    <row r="52" spans="1:35" x14ac:dyDescent="0.25">
      <c r="A52" t="s">
        <v>207</v>
      </c>
      <c r="B52" t="s">
        <v>36</v>
      </c>
      <c r="C52" t="s">
        <v>37</v>
      </c>
      <c r="D52" t="s">
        <v>291</v>
      </c>
      <c r="E52" t="s">
        <v>62</v>
      </c>
      <c r="F52" t="s">
        <v>40</v>
      </c>
      <c r="G52" t="s">
        <v>41</v>
      </c>
      <c r="H52" t="s">
        <v>42</v>
      </c>
      <c r="I52" t="s">
        <v>40</v>
      </c>
      <c r="J52" t="s">
        <v>292</v>
      </c>
      <c r="K52" t="s">
        <v>40</v>
      </c>
      <c r="L52" t="s">
        <v>63</v>
      </c>
      <c r="M52" t="s">
        <v>284</v>
      </c>
      <c r="N52" t="s">
        <v>41</v>
      </c>
      <c r="O52" t="s">
        <v>45</v>
      </c>
      <c r="P52" t="s">
        <v>76</v>
      </c>
      <c r="Q52" t="s">
        <v>45</v>
      </c>
      <c r="R52" t="s">
        <v>48</v>
      </c>
      <c r="S52" t="s">
        <v>293</v>
      </c>
      <c r="T52" t="s">
        <v>294</v>
      </c>
      <c r="U52" t="s">
        <v>91</v>
      </c>
      <c r="V52" t="s">
        <v>52</v>
      </c>
      <c r="W52" t="s">
        <v>36</v>
      </c>
      <c r="X52" t="s">
        <v>98</v>
      </c>
      <c r="Y52" t="s">
        <v>45</v>
      </c>
      <c r="Z52" t="s">
        <v>47</v>
      </c>
      <c r="AA52" t="s">
        <v>54</v>
      </c>
      <c r="AB52" t="s">
        <v>55</v>
      </c>
      <c r="AC52" t="s">
        <v>69</v>
      </c>
      <c r="AD52" t="s">
        <v>41</v>
      </c>
      <c r="AE52" t="s">
        <v>45</v>
      </c>
      <c r="AF52" t="s">
        <v>40</v>
      </c>
      <c r="AG52" t="s">
        <v>55</v>
      </c>
      <c r="AH52" t="s">
        <v>55</v>
      </c>
      <c r="AI52" t="s">
        <v>55</v>
      </c>
    </row>
    <row r="53" spans="1:35" x14ac:dyDescent="0.25">
      <c r="A53" t="s">
        <v>149</v>
      </c>
      <c r="B53" t="s">
        <v>36</v>
      </c>
      <c r="C53" t="s">
        <v>37</v>
      </c>
      <c r="D53" t="s">
        <v>295</v>
      </c>
      <c r="E53" t="s">
        <v>62</v>
      </c>
      <c r="F53" t="s">
        <v>57</v>
      </c>
      <c r="G53" t="s">
        <v>47</v>
      </c>
      <c r="H53" t="s">
        <v>228</v>
      </c>
      <c r="I53" t="s">
        <v>40</v>
      </c>
      <c r="J53" t="s">
        <v>296</v>
      </c>
      <c r="K53" t="s">
        <v>45</v>
      </c>
      <c r="L53" t="s">
        <v>63</v>
      </c>
      <c r="M53" t="s">
        <v>151</v>
      </c>
      <c r="N53" t="s">
        <v>45</v>
      </c>
      <c r="O53" t="s">
        <v>40</v>
      </c>
      <c r="P53" t="s">
        <v>76</v>
      </c>
      <c r="Q53" t="s">
        <v>45</v>
      </c>
      <c r="R53" t="s">
        <v>48</v>
      </c>
      <c r="S53" t="s">
        <v>297</v>
      </c>
      <c r="T53" t="s">
        <v>298</v>
      </c>
      <c r="U53" t="s">
        <v>40</v>
      </c>
      <c r="V53" t="s">
        <v>52</v>
      </c>
      <c r="W53" t="s">
        <v>36</v>
      </c>
      <c r="X53" t="s">
        <v>98</v>
      </c>
      <c r="Y53" t="s">
        <v>45</v>
      </c>
      <c r="Z53" t="s">
        <v>45</v>
      </c>
      <c r="AA53" t="s">
        <v>54</v>
      </c>
      <c r="AB53" t="s">
        <v>55</v>
      </c>
      <c r="AC53" t="s">
        <v>41</v>
      </c>
      <c r="AD53" t="s">
        <v>45</v>
      </c>
      <c r="AE53" t="s">
        <v>41</v>
      </c>
      <c r="AF53" t="s">
        <v>41</v>
      </c>
      <c r="AG53" t="s">
        <v>41</v>
      </c>
      <c r="AH53" t="s">
        <v>41</v>
      </c>
      <c r="AI53" t="s">
        <v>41</v>
      </c>
    </row>
    <row r="54" spans="1:35" x14ac:dyDescent="0.25">
      <c r="A54" t="s">
        <v>115</v>
      </c>
      <c r="B54" t="s">
        <v>59</v>
      </c>
      <c r="C54" t="s">
        <v>37</v>
      </c>
      <c r="D54" t="s">
        <v>299</v>
      </c>
      <c r="E54" t="s">
        <v>39</v>
      </c>
      <c r="F54" t="s">
        <v>40</v>
      </c>
      <c r="G54" t="s">
        <v>57</v>
      </c>
      <c r="H54" t="s">
        <v>206</v>
      </c>
      <c r="I54" t="s">
        <v>40</v>
      </c>
      <c r="J54" t="s">
        <v>300</v>
      </c>
      <c r="K54" t="s">
        <v>41</v>
      </c>
      <c r="L54" t="s">
        <v>43</v>
      </c>
      <c r="M54" t="s">
        <v>255</v>
      </c>
      <c r="N54" t="s">
        <v>45</v>
      </c>
      <c r="O54" t="s">
        <v>41</v>
      </c>
      <c r="P54" t="s">
        <v>46</v>
      </c>
      <c r="Q54" t="s">
        <v>40</v>
      </c>
      <c r="R54" t="s">
        <v>109</v>
      </c>
      <c r="S54" t="s">
        <v>301</v>
      </c>
      <c r="T54" t="s">
        <v>302</v>
      </c>
      <c r="U54" t="s">
        <v>57</v>
      </c>
      <c r="V54" t="s">
        <v>52</v>
      </c>
      <c r="W54" t="s">
        <v>36</v>
      </c>
      <c r="X54" t="s">
        <v>119</v>
      </c>
      <c r="Y54" t="s">
        <v>47</v>
      </c>
      <c r="Z54" t="s">
        <v>45</v>
      </c>
      <c r="AA54" t="s">
        <v>54</v>
      </c>
      <c r="AB54" t="s">
        <v>40</v>
      </c>
      <c r="AC54" t="s">
        <v>91</v>
      </c>
      <c r="AD54" t="s">
        <v>41</v>
      </c>
      <c r="AE54" t="s">
        <v>41</v>
      </c>
      <c r="AF54" t="s">
        <v>47</v>
      </c>
      <c r="AG54" t="s">
        <v>45</v>
      </c>
      <c r="AH54" t="s">
        <v>40</v>
      </c>
      <c r="AI54" t="s">
        <v>45</v>
      </c>
    </row>
    <row r="55" spans="1:35" x14ac:dyDescent="0.25">
      <c r="A55" t="s">
        <v>126</v>
      </c>
      <c r="B55" t="s">
        <v>59</v>
      </c>
      <c r="C55" t="s">
        <v>161</v>
      </c>
      <c r="D55" t="s">
        <v>303</v>
      </c>
      <c r="E55" t="s">
        <v>62</v>
      </c>
      <c r="F55" t="s">
        <v>53</v>
      </c>
      <c r="G55" t="s">
        <v>41</v>
      </c>
      <c r="H55" t="s">
        <v>87</v>
      </c>
      <c r="I55" t="s">
        <v>40</v>
      </c>
      <c r="J55" t="s">
        <v>304</v>
      </c>
      <c r="K55" t="s">
        <v>45</v>
      </c>
      <c r="L55" t="s">
        <v>63</v>
      </c>
      <c r="M55" t="s">
        <v>95</v>
      </c>
      <c r="N55" t="s">
        <v>41</v>
      </c>
      <c r="O55" t="s">
        <v>45</v>
      </c>
      <c r="P55" t="s">
        <v>122</v>
      </c>
      <c r="Q55" t="s">
        <v>40</v>
      </c>
      <c r="R55" t="s">
        <v>66</v>
      </c>
      <c r="S55" t="s">
        <v>305</v>
      </c>
      <c r="T55" t="s">
        <v>306</v>
      </c>
      <c r="U55" t="s">
        <v>41</v>
      </c>
      <c r="V55" t="s">
        <v>52</v>
      </c>
      <c r="W55" t="s">
        <v>36</v>
      </c>
      <c r="X55" t="s">
        <v>98</v>
      </c>
      <c r="Y55" t="s">
        <v>45</v>
      </c>
      <c r="Z55" t="s">
        <v>45</v>
      </c>
      <c r="AA55" t="s">
        <v>54</v>
      </c>
      <c r="AB55" t="s">
        <v>40</v>
      </c>
      <c r="AC55" t="s">
        <v>70</v>
      </c>
      <c r="AD55" t="s">
        <v>45</v>
      </c>
      <c r="AE55" t="s">
        <v>45</v>
      </c>
      <c r="AF55" t="s">
        <v>47</v>
      </c>
      <c r="AG55" t="s">
        <v>55</v>
      </c>
      <c r="AH55" t="s">
        <v>41</v>
      </c>
      <c r="AI55" t="s">
        <v>45</v>
      </c>
    </row>
    <row r="56" spans="1:35" x14ac:dyDescent="0.25">
      <c r="A56" t="s">
        <v>139</v>
      </c>
      <c r="B56" t="s">
        <v>59</v>
      </c>
      <c r="C56" t="s">
        <v>37</v>
      </c>
      <c r="D56" t="s">
        <v>307</v>
      </c>
      <c r="E56" t="s">
        <v>39</v>
      </c>
      <c r="F56" t="s">
        <v>69</v>
      </c>
      <c r="G56" t="s">
        <v>45</v>
      </c>
      <c r="H56" t="s">
        <v>206</v>
      </c>
      <c r="I56" t="s">
        <v>40</v>
      </c>
      <c r="J56" t="s">
        <v>201</v>
      </c>
      <c r="K56" t="s">
        <v>45</v>
      </c>
      <c r="L56" t="s">
        <v>43</v>
      </c>
      <c r="M56" t="s">
        <v>239</v>
      </c>
      <c r="N56" t="s">
        <v>41</v>
      </c>
      <c r="O56" t="s">
        <v>41</v>
      </c>
      <c r="P56" t="s">
        <v>46</v>
      </c>
      <c r="Q56" t="s">
        <v>47</v>
      </c>
      <c r="R56" t="s">
        <v>66</v>
      </c>
      <c r="S56" t="s">
        <v>308</v>
      </c>
      <c r="T56" t="s">
        <v>309</v>
      </c>
      <c r="U56" t="s">
        <v>71</v>
      </c>
      <c r="V56" t="s">
        <v>52</v>
      </c>
      <c r="W56" t="s">
        <v>36</v>
      </c>
      <c r="X56" t="s">
        <v>144</v>
      </c>
      <c r="Y56" t="s">
        <v>45</v>
      </c>
      <c r="Z56" t="s">
        <v>45</v>
      </c>
      <c r="AA56" t="s">
        <v>54</v>
      </c>
      <c r="AB56" t="s">
        <v>40</v>
      </c>
      <c r="AC56" t="s">
        <v>57</v>
      </c>
      <c r="AD56" t="s">
        <v>41</v>
      </c>
      <c r="AE56" t="s">
        <v>41</v>
      </c>
      <c r="AF56" t="s">
        <v>41</v>
      </c>
      <c r="AG56" t="s">
        <v>41</v>
      </c>
      <c r="AH56" t="s">
        <v>55</v>
      </c>
      <c r="AI56" t="s">
        <v>55</v>
      </c>
    </row>
    <row r="57" spans="1:35" x14ac:dyDescent="0.25">
      <c r="A57" t="s">
        <v>80</v>
      </c>
      <c r="B57" t="s">
        <v>59</v>
      </c>
      <c r="C57" t="s">
        <v>60</v>
      </c>
      <c r="D57" t="s">
        <v>310</v>
      </c>
      <c r="E57" t="s">
        <v>62</v>
      </c>
      <c r="F57" t="s">
        <v>40</v>
      </c>
      <c r="G57" t="s">
        <v>41</v>
      </c>
      <c r="H57" t="s">
        <v>42</v>
      </c>
      <c r="I57" t="s">
        <v>40</v>
      </c>
      <c r="J57" t="s">
        <v>279</v>
      </c>
      <c r="K57" t="s">
        <v>40</v>
      </c>
      <c r="L57" t="s">
        <v>43</v>
      </c>
      <c r="M57" t="s">
        <v>284</v>
      </c>
      <c r="N57" t="s">
        <v>45</v>
      </c>
      <c r="O57" t="s">
        <v>45</v>
      </c>
      <c r="P57" t="s">
        <v>186</v>
      </c>
      <c r="Q57" t="s">
        <v>47</v>
      </c>
      <c r="R57" t="s">
        <v>48</v>
      </c>
      <c r="S57" t="s">
        <v>311</v>
      </c>
      <c r="T57" t="s">
        <v>312</v>
      </c>
      <c r="U57" t="s">
        <v>40</v>
      </c>
      <c r="V57" t="s">
        <v>52</v>
      </c>
      <c r="W57" t="s">
        <v>36</v>
      </c>
      <c r="X57" t="s">
        <v>92</v>
      </c>
      <c r="Y57" t="s">
        <v>45</v>
      </c>
      <c r="Z57" t="s">
        <v>45</v>
      </c>
      <c r="AA57" t="s">
        <v>54</v>
      </c>
      <c r="AB57" t="s">
        <v>55</v>
      </c>
      <c r="AC57" t="s">
        <v>79</v>
      </c>
      <c r="AD57" t="s">
        <v>40</v>
      </c>
      <c r="AE57" t="s">
        <v>45</v>
      </c>
      <c r="AF57" t="s">
        <v>79</v>
      </c>
      <c r="AG57" t="s">
        <v>129</v>
      </c>
      <c r="AH57" t="s">
        <v>51</v>
      </c>
      <c r="AI57" t="s">
        <v>92</v>
      </c>
    </row>
    <row r="58" spans="1:35" x14ac:dyDescent="0.25">
      <c r="A58" t="s">
        <v>126</v>
      </c>
      <c r="B58" t="s">
        <v>59</v>
      </c>
      <c r="C58" t="s">
        <v>60</v>
      </c>
      <c r="D58" t="s">
        <v>313</v>
      </c>
      <c r="E58" t="s">
        <v>39</v>
      </c>
      <c r="F58" t="s">
        <v>145</v>
      </c>
      <c r="G58" t="s">
        <v>57</v>
      </c>
      <c r="H58" t="s">
        <v>42</v>
      </c>
      <c r="I58" t="s">
        <v>40</v>
      </c>
      <c r="J58" t="s">
        <v>314</v>
      </c>
      <c r="K58" t="s">
        <v>41</v>
      </c>
      <c r="L58" t="s">
        <v>63</v>
      </c>
      <c r="M58" t="s">
        <v>315</v>
      </c>
      <c r="N58" t="s">
        <v>45</v>
      </c>
      <c r="O58" t="s">
        <v>45</v>
      </c>
      <c r="P58" t="s">
        <v>46</v>
      </c>
      <c r="Q58" t="s">
        <v>40</v>
      </c>
      <c r="R58" t="s">
        <v>66</v>
      </c>
      <c r="S58" t="s">
        <v>316</v>
      </c>
      <c r="T58" t="s">
        <v>317</v>
      </c>
      <c r="U58" t="s">
        <v>40</v>
      </c>
      <c r="V58" t="s">
        <v>52</v>
      </c>
      <c r="W58" t="s">
        <v>59</v>
      </c>
      <c r="X58" t="s">
        <v>112</v>
      </c>
      <c r="Y58" t="s">
        <v>47</v>
      </c>
      <c r="Z58" t="s">
        <v>47</v>
      </c>
      <c r="AA58" t="s">
        <v>54</v>
      </c>
      <c r="AB58" t="s">
        <v>40</v>
      </c>
      <c r="AC58" t="s">
        <v>91</v>
      </c>
      <c r="AD58" t="s">
        <v>45</v>
      </c>
      <c r="AE58" t="s">
        <v>41</v>
      </c>
      <c r="AF58" t="s">
        <v>91</v>
      </c>
      <c r="AG58" t="s">
        <v>51</v>
      </c>
      <c r="AH58" t="s">
        <v>40</v>
      </c>
      <c r="AI58" t="s">
        <v>51</v>
      </c>
    </row>
    <row r="59" spans="1:35" x14ac:dyDescent="0.25">
      <c r="A59" t="s">
        <v>126</v>
      </c>
      <c r="B59" t="s">
        <v>59</v>
      </c>
      <c r="C59" t="s">
        <v>37</v>
      </c>
      <c r="D59" t="s">
        <v>318</v>
      </c>
      <c r="E59" t="s">
        <v>62</v>
      </c>
      <c r="F59" t="s">
        <v>69</v>
      </c>
      <c r="G59" t="s">
        <v>47</v>
      </c>
      <c r="H59" t="s">
        <v>87</v>
      </c>
      <c r="I59" t="s">
        <v>40</v>
      </c>
      <c r="J59" t="s">
        <v>255</v>
      </c>
      <c r="K59" t="s">
        <v>45</v>
      </c>
      <c r="L59" t="s">
        <v>43</v>
      </c>
      <c r="M59" t="s">
        <v>105</v>
      </c>
      <c r="N59" t="s">
        <v>45</v>
      </c>
      <c r="O59" t="s">
        <v>40</v>
      </c>
      <c r="P59" t="s">
        <v>76</v>
      </c>
      <c r="Q59" t="s">
        <v>40</v>
      </c>
      <c r="R59" t="s">
        <v>66</v>
      </c>
      <c r="S59" t="s">
        <v>319</v>
      </c>
      <c r="T59" t="s">
        <v>320</v>
      </c>
      <c r="U59" t="s">
        <v>45</v>
      </c>
      <c r="V59" t="s">
        <v>52</v>
      </c>
      <c r="W59" t="s">
        <v>36</v>
      </c>
      <c r="X59" t="s">
        <v>79</v>
      </c>
      <c r="Y59" t="s">
        <v>45</v>
      </c>
      <c r="Z59" t="s">
        <v>45</v>
      </c>
      <c r="AA59" t="s">
        <v>54</v>
      </c>
      <c r="AB59" t="s">
        <v>40</v>
      </c>
      <c r="AC59" t="s">
        <v>47</v>
      </c>
      <c r="AD59" t="s">
        <v>45</v>
      </c>
      <c r="AE59" t="s">
        <v>45</v>
      </c>
      <c r="AF59" t="s">
        <v>41</v>
      </c>
      <c r="AG59" t="s">
        <v>41</v>
      </c>
      <c r="AH59" t="s">
        <v>41</v>
      </c>
      <c r="AI59" t="s">
        <v>41</v>
      </c>
    </row>
    <row r="60" spans="1:35" x14ac:dyDescent="0.25">
      <c r="A60" t="s">
        <v>137</v>
      </c>
      <c r="B60" t="s">
        <v>59</v>
      </c>
      <c r="C60" t="s">
        <v>37</v>
      </c>
      <c r="D60" t="s">
        <v>321</v>
      </c>
      <c r="E60" t="s">
        <v>62</v>
      </c>
      <c r="F60" t="s">
        <v>71</v>
      </c>
      <c r="G60" t="s">
        <v>47</v>
      </c>
      <c r="H60" t="s">
        <v>42</v>
      </c>
      <c r="I60" t="s">
        <v>40</v>
      </c>
      <c r="J60" t="s">
        <v>322</v>
      </c>
      <c r="K60" t="s">
        <v>47</v>
      </c>
      <c r="L60" t="s">
        <v>63</v>
      </c>
      <c r="M60" t="s">
        <v>207</v>
      </c>
      <c r="N60" t="s">
        <v>45</v>
      </c>
      <c r="O60" t="s">
        <v>41</v>
      </c>
      <c r="P60" t="s">
        <v>76</v>
      </c>
      <c r="Q60" t="s">
        <v>47</v>
      </c>
      <c r="R60" t="s">
        <v>109</v>
      </c>
      <c r="S60" t="s">
        <v>323</v>
      </c>
      <c r="T60" t="s">
        <v>324</v>
      </c>
      <c r="U60" t="s">
        <v>45</v>
      </c>
      <c r="V60" t="s">
        <v>52</v>
      </c>
      <c r="W60" t="s">
        <v>59</v>
      </c>
      <c r="X60" t="s">
        <v>112</v>
      </c>
      <c r="Y60" t="s">
        <v>47</v>
      </c>
      <c r="Z60" t="s">
        <v>47</v>
      </c>
      <c r="AA60" t="s">
        <v>54</v>
      </c>
      <c r="AB60" t="s">
        <v>40</v>
      </c>
      <c r="AC60" t="s">
        <v>70</v>
      </c>
      <c r="AD60" t="s">
        <v>45</v>
      </c>
      <c r="AE60" t="s">
        <v>41</v>
      </c>
      <c r="AF60" t="s">
        <v>71</v>
      </c>
      <c r="AG60" t="s">
        <v>71</v>
      </c>
      <c r="AH60" t="s">
        <v>40</v>
      </c>
      <c r="AI60" t="s">
        <v>71</v>
      </c>
    </row>
    <row r="61" spans="1:35" x14ac:dyDescent="0.25">
      <c r="A61" t="s">
        <v>72</v>
      </c>
      <c r="B61" t="s">
        <v>59</v>
      </c>
      <c r="C61" t="s">
        <v>37</v>
      </c>
      <c r="D61" t="s">
        <v>325</v>
      </c>
      <c r="E61" t="s">
        <v>62</v>
      </c>
      <c r="F61" t="s">
        <v>40</v>
      </c>
      <c r="G61" t="s">
        <v>47</v>
      </c>
      <c r="H61" t="s">
        <v>42</v>
      </c>
      <c r="I61" t="s">
        <v>40</v>
      </c>
      <c r="J61" t="s">
        <v>326</v>
      </c>
      <c r="K61" t="s">
        <v>40</v>
      </c>
      <c r="L61" t="s">
        <v>63</v>
      </c>
      <c r="M61" t="s">
        <v>155</v>
      </c>
      <c r="N61" t="s">
        <v>41</v>
      </c>
      <c r="O61" t="s">
        <v>41</v>
      </c>
      <c r="P61" t="s">
        <v>116</v>
      </c>
      <c r="Q61" t="s">
        <v>45</v>
      </c>
      <c r="R61" t="s">
        <v>109</v>
      </c>
      <c r="S61" t="s">
        <v>49</v>
      </c>
      <c r="T61" t="s">
        <v>327</v>
      </c>
      <c r="U61" t="s">
        <v>40</v>
      </c>
      <c r="V61" t="s">
        <v>52</v>
      </c>
      <c r="W61" t="s">
        <v>59</v>
      </c>
      <c r="X61" t="s">
        <v>145</v>
      </c>
      <c r="Y61" t="s">
        <v>45</v>
      </c>
      <c r="Z61" t="s">
        <v>45</v>
      </c>
      <c r="AA61" t="s">
        <v>54</v>
      </c>
      <c r="AB61" t="s">
        <v>40</v>
      </c>
      <c r="AC61" t="s">
        <v>71</v>
      </c>
      <c r="AD61" t="s">
        <v>41</v>
      </c>
      <c r="AE61" t="s">
        <v>47</v>
      </c>
      <c r="AF61" t="s">
        <v>71</v>
      </c>
      <c r="AG61" t="s">
        <v>57</v>
      </c>
      <c r="AH61" t="s">
        <v>55</v>
      </c>
      <c r="AI61" t="s">
        <v>71</v>
      </c>
    </row>
    <row r="62" spans="1:35" x14ac:dyDescent="0.25">
      <c r="A62" t="s">
        <v>93</v>
      </c>
      <c r="B62" t="s">
        <v>59</v>
      </c>
      <c r="C62" t="s">
        <v>37</v>
      </c>
      <c r="D62" t="s">
        <v>328</v>
      </c>
      <c r="E62" t="s">
        <v>62</v>
      </c>
      <c r="F62" t="s">
        <v>40</v>
      </c>
      <c r="G62" t="s">
        <v>45</v>
      </c>
      <c r="H62" t="s">
        <v>87</v>
      </c>
      <c r="I62" t="s">
        <v>40</v>
      </c>
      <c r="J62" t="s">
        <v>168</v>
      </c>
      <c r="K62" t="s">
        <v>40</v>
      </c>
      <c r="L62" t="s">
        <v>63</v>
      </c>
      <c r="M62" t="s">
        <v>80</v>
      </c>
      <c r="N62" t="s">
        <v>45</v>
      </c>
      <c r="O62" t="s">
        <v>41</v>
      </c>
      <c r="P62" t="s">
        <v>116</v>
      </c>
      <c r="Q62" t="s">
        <v>47</v>
      </c>
      <c r="R62" t="s">
        <v>66</v>
      </c>
      <c r="S62" t="s">
        <v>329</v>
      </c>
      <c r="T62" t="s">
        <v>330</v>
      </c>
      <c r="U62" t="s">
        <v>40</v>
      </c>
      <c r="V62" t="s">
        <v>52</v>
      </c>
      <c r="W62" t="s">
        <v>36</v>
      </c>
      <c r="X62" t="s">
        <v>112</v>
      </c>
      <c r="Y62" t="s">
        <v>47</v>
      </c>
      <c r="Z62" t="s">
        <v>41</v>
      </c>
      <c r="AA62" t="s">
        <v>54</v>
      </c>
      <c r="AB62" t="s">
        <v>40</v>
      </c>
      <c r="AC62" t="s">
        <v>91</v>
      </c>
      <c r="AD62" t="s">
        <v>45</v>
      </c>
      <c r="AE62" t="s">
        <v>45</v>
      </c>
      <c r="AF62" t="s">
        <v>91</v>
      </c>
      <c r="AG62" t="s">
        <v>51</v>
      </c>
      <c r="AH62" t="s">
        <v>71</v>
      </c>
      <c r="AI62" t="s">
        <v>51</v>
      </c>
    </row>
    <row r="63" spans="1:35" x14ac:dyDescent="0.25">
      <c r="A63" t="s">
        <v>113</v>
      </c>
      <c r="B63" t="s">
        <v>59</v>
      </c>
      <c r="C63" t="s">
        <v>60</v>
      </c>
      <c r="D63" t="s">
        <v>331</v>
      </c>
      <c r="E63" t="s">
        <v>62</v>
      </c>
      <c r="F63" t="s">
        <v>133</v>
      </c>
      <c r="G63" t="s">
        <v>57</v>
      </c>
      <c r="H63" t="s">
        <v>42</v>
      </c>
      <c r="I63" t="s">
        <v>40</v>
      </c>
      <c r="J63" t="s">
        <v>95</v>
      </c>
      <c r="K63" t="s">
        <v>47</v>
      </c>
      <c r="L63" t="s">
        <v>43</v>
      </c>
      <c r="M63" t="s">
        <v>151</v>
      </c>
      <c r="N63" t="s">
        <v>45</v>
      </c>
      <c r="O63" t="s">
        <v>41</v>
      </c>
      <c r="P63" t="s">
        <v>76</v>
      </c>
      <c r="Q63" t="s">
        <v>47</v>
      </c>
      <c r="R63" t="s">
        <v>48</v>
      </c>
      <c r="S63" t="s">
        <v>332</v>
      </c>
      <c r="T63" t="s">
        <v>333</v>
      </c>
      <c r="U63" t="s">
        <v>40</v>
      </c>
      <c r="V63" t="s">
        <v>52</v>
      </c>
      <c r="W63" t="s">
        <v>59</v>
      </c>
      <c r="X63" t="s">
        <v>53</v>
      </c>
      <c r="Y63" t="s">
        <v>45</v>
      </c>
      <c r="Z63" t="s">
        <v>47</v>
      </c>
      <c r="AA63" t="s">
        <v>54</v>
      </c>
      <c r="AB63" t="s">
        <v>55</v>
      </c>
      <c r="AC63" t="s">
        <v>70</v>
      </c>
      <c r="AD63" t="s">
        <v>41</v>
      </c>
      <c r="AE63" t="s">
        <v>45</v>
      </c>
      <c r="AF63" t="s">
        <v>70</v>
      </c>
      <c r="AG63" t="s">
        <v>45</v>
      </c>
      <c r="AH63" t="s">
        <v>91</v>
      </c>
      <c r="AI63" t="s">
        <v>91</v>
      </c>
    </row>
    <row r="64" spans="1:35" x14ac:dyDescent="0.25">
      <c r="A64" t="s">
        <v>151</v>
      </c>
      <c r="B64" t="s">
        <v>59</v>
      </c>
      <c r="C64" t="s">
        <v>37</v>
      </c>
      <c r="D64" t="s">
        <v>334</v>
      </c>
      <c r="E64" t="s">
        <v>62</v>
      </c>
      <c r="F64" t="s">
        <v>71</v>
      </c>
      <c r="G64" t="s">
        <v>41</v>
      </c>
      <c r="H64" t="s">
        <v>87</v>
      </c>
      <c r="I64" t="s">
        <v>40</v>
      </c>
      <c r="J64" t="s">
        <v>54</v>
      </c>
      <c r="K64" t="s">
        <v>41</v>
      </c>
      <c r="L64" t="s">
        <v>43</v>
      </c>
      <c r="M64" t="s">
        <v>234</v>
      </c>
      <c r="N64" t="s">
        <v>41</v>
      </c>
      <c r="O64" t="s">
        <v>57</v>
      </c>
      <c r="P64" t="s">
        <v>186</v>
      </c>
      <c r="Q64" t="s">
        <v>45</v>
      </c>
      <c r="R64" t="s">
        <v>109</v>
      </c>
      <c r="S64" t="s">
        <v>335</v>
      </c>
      <c r="T64" t="s">
        <v>336</v>
      </c>
      <c r="U64" t="s">
        <v>57</v>
      </c>
      <c r="V64" t="s">
        <v>52</v>
      </c>
      <c r="W64" t="s">
        <v>36</v>
      </c>
      <c r="X64" t="s">
        <v>92</v>
      </c>
      <c r="Y64" t="s">
        <v>45</v>
      </c>
      <c r="Z64" t="s">
        <v>47</v>
      </c>
      <c r="AA64" t="s">
        <v>54</v>
      </c>
      <c r="AB64" t="s">
        <v>40</v>
      </c>
      <c r="AC64" t="s">
        <v>133</v>
      </c>
      <c r="AD64" t="s">
        <v>41</v>
      </c>
      <c r="AE64" t="s">
        <v>41</v>
      </c>
      <c r="AF64" t="s">
        <v>85</v>
      </c>
      <c r="AG64" t="s">
        <v>45</v>
      </c>
      <c r="AH64" t="s">
        <v>98</v>
      </c>
      <c r="AI64" t="s">
        <v>51</v>
      </c>
    </row>
    <row r="65" spans="1:35" x14ac:dyDescent="0.25">
      <c r="A65" t="s">
        <v>99</v>
      </c>
      <c r="B65" t="s">
        <v>59</v>
      </c>
      <c r="C65" t="s">
        <v>37</v>
      </c>
      <c r="D65" t="s">
        <v>337</v>
      </c>
      <c r="E65" t="s">
        <v>39</v>
      </c>
      <c r="F65" t="s">
        <v>172</v>
      </c>
      <c r="G65" t="s">
        <v>45</v>
      </c>
      <c r="H65" t="s">
        <v>42</v>
      </c>
      <c r="I65" t="s">
        <v>40</v>
      </c>
      <c r="J65" t="s">
        <v>101</v>
      </c>
      <c r="K65" t="s">
        <v>40</v>
      </c>
      <c r="L65" t="s">
        <v>43</v>
      </c>
      <c r="M65" t="s">
        <v>338</v>
      </c>
      <c r="N65" t="s">
        <v>45</v>
      </c>
      <c r="O65" t="s">
        <v>45</v>
      </c>
      <c r="P65" t="s">
        <v>46</v>
      </c>
      <c r="Q65" t="s">
        <v>40</v>
      </c>
      <c r="R65" t="s">
        <v>48</v>
      </c>
      <c r="S65" t="s">
        <v>339</v>
      </c>
      <c r="T65" t="s">
        <v>340</v>
      </c>
      <c r="U65" t="s">
        <v>71</v>
      </c>
      <c r="V65" t="s">
        <v>52</v>
      </c>
      <c r="W65" t="s">
        <v>59</v>
      </c>
      <c r="X65" t="s">
        <v>53</v>
      </c>
      <c r="Y65" t="s">
        <v>45</v>
      </c>
      <c r="Z65" t="s">
        <v>47</v>
      </c>
      <c r="AA65" t="s">
        <v>54</v>
      </c>
      <c r="AB65" t="s">
        <v>55</v>
      </c>
      <c r="AC65" t="s">
        <v>149</v>
      </c>
      <c r="AD65" t="s">
        <v>45</v>
      </c>
      <c r="AE65" t="s">
        <v>41</v>
      </c>
      <c r="AF65" t="s">
        <v>119</v>
      </c>
      <c r="AG65" t="s">
        <v>128</v>
      </c>
      <c r="AH65" t="s">
        <v>71</v>
      </c>
      <c r="AI65" t="s">
        <v>91</v>
      </c>
    </row>
    <row r="66" spans="1:35" x14ac:dyDescent="0.25">
      <c r="A66" t="s">
        <v>120</v>
      </c>
      <c r="B66" t="s">
        <v>59</v>
      </c>
      <c r="C66" t="s">
        <v>37</v>
      </c>
      <c r="D66" t="s">
        <v>341</v>
      </c>
      <c r="E66" t="s">
        <v>62</v>
      </c>
      <c r="F66" t="s">
        <v>51</v>
      </c>
      <c r="G66" t="s">
        <v>45</v>
      </c>
      <c r="H66" t="s">
        <v>228</v>
      </c>
      <c r="I66" t="s">
        <v>40</v>
      </c>
      <c r="J66" t="s">
        <v>193</v>
      </c>
      <c r="K66" t="s">
        <v>45</v>
      </c>
      <c r="L66" t="s">
        <v>43</v>
      </c>
      <c r="M66" t="s">
        <v>99</v>
      </c>
      <c r="N66" t="s">
        <v>45</v>
      </c>
      <c r="O66" t="s">
        <v>45</v>
      </c>
      <c r="P66" t="s">
        <v>122</v>
      </c>
      <c r="Q66" t="s">
        <v>45</v>
      </c>
      <c r="R66" t="s">
        <v>109</v>
      </c>
      <c r="S66" t="s">
        <v>342</v>
      </c>
      <c r="T66" t="s">
        <v>343</v>
      </c>
      <c r="U66" t="s">
        <v>40</v>
      </c>
      <c r="V66" t="s">
        <v>52</v>
      </c>
      <c r="W66" t="s">
        <v>59</v>
      </c>
      <c r="X66" t="s">
        <v>98</v>
      </c>
      <c r="Y66" t="s">
        <v>45</v>
      </c>
      <c r="Z66" t="s">
        <v>41</v>
      </c>
      <c r="AA66" t="s">
        <v>54</v>
      </c>
      <c r="AB66" t="s">
        <v>45</v>
      </c>
      <c r="AC66" t="s">
        <v>125</v>
      </c>
      <c r="AD66" t="s">
        <v>41</v>
      </c>
      <c r="AE66" t="s">
        <v>45</v>
      </c>
      <c r="AF66" t="s">
        <v>125</v>
      </c>
      <c r="AG66" t="s">
        <v>129</v>
      </c>
      <c r="AH66" t="s">
        <v>92</v>
      </c>
      <c r="AI66" t="s">
        <v>51</v>
      </c>
    </row>
    <row r="67" spans="1:35" x14ac:dyDescent="0.25">
      <c r="A67" t="s">
        <v>263</v>
      </c>
      <c r="B67" t="s">
        <v>59</v>
      </c>
      <c r="C67" t="s">
        <v>37</v>
      </c>
      <c r="D67" t="s">
        <v>344</v>
      </c>
      <c r="E67" t="s">
        <v>62</v>
      </c>
      <c r="F67" t="s">
        <v>51</v>
      </c>
      <c r="G67" t="s">
        <v>45</v>
      </c>
      <c r="H67" t="s">
        <v>87</v>
      </c>
      <c r="I67" t="s">
        <v>40</v>
      </c>
      <c r="J67" t="s">
        <v>130</v>
      </c>
      <c r="K67" t="s">
        <v>47</v>
      </c>
      <c r="L67" t="s">
        <v>43</v>
      </c>
      <c r="M67" t="s">
        <v>80</v>
      </c>
      <c r="N67" t="s">
        <v>45</v>
      </c>
      <c r="O67" t="s">
        <v>47</v>
      </c>
      <c r="P67" t="s">
        <v>169</v>
      </c>
      <c r="Q67" t="s">
        <v>45</v>
      </c>
      <c r="R67" t="s">
        <v>109</v>
      </c>
      <c r="S67" t="s">
        <v>345</v>
      </c>
      <c r="T67" t="s">
        <v>346</v>
      </c>
      <c r="U67" t="s">
        <v>41</v>
      </c>
      <c r="V67" t="s">
        <v>52</v>
      </c>
      <c r="W67" t="s">
        <v>36</v>
      </c>
      <c r="X67" t="s">
        <v>129</v>
      </c>
      <c r="Y67" t="s">
        <v>45</v>
      </c>
      <c r="Z67" t="s">
        <v>45</v>
      </c>
      <c r="AA67" t="s">
        <v>54</v>
      </c>
      <c r="AB67" t="s">
        <v>45</v>
      </c>
      <c r="AC67" t="s">
        <v>119</v>
      </c>
      <c r="AD67" t="s">
        <v>41</v>
      </c>
      <c r="AE67" t="s">
        <v>45</v>
      </c>
      <c r="AF67" t="s">
        <v>57</v>
      </c>
      <c r="AG67" t="s">
        <v>55</v>
      </c>
      <c r="AH67" t="s">
        <v>55</v>
      </c>
      <c r="AI67" t="s">
        <v>41</v>
      </c>
    </row>
    <row r="68" spans="1:35" x14ac:dyDescent="0.25">
      <c r="A68" t="s">
        <v>120</v>
      </c>
      <c r="B68" t="s">
        <v>59</v>
      </c>
      <c r="C68" t="s">
        <v>60</v>
      </c>
      <c r="D68" t="s">
        <v>347</v>
      </c>
      <c r="E68" t="s">
        <v>62</v>
      </c>
      <c r="F68" t="s">
        <v>53</v>
      </c>
      <c r="G68" t="s">
        <v>45</v>
      </c>
      <c r="H68" t="s">
        <v>42</v>
      </c>
      <c r="I68" t="s">
        <v>40</v>
      </c>
      <c r="J68" t="s">
        <v>348</v>
      </c>
      <c r="K68" t="s">
        <v>41</v>
      </c>
      <c r="L68" t="s">
        <v>63</v>
      </c>
      <c r="M68" t="s">
        <v>349</v>
      </c>
      <c r="N68" t="s">
        <v>41</v>
      </c>
      <c r="O68" t="s">
        <v>41</v>
      </c>
      <c r="P68" t="s">
        <v>116</v>
      </c>
      <c r="Q68" t="s">
        <v>41</v>
      </c>
      <c r="R68" t="s">
        <v>48</v>
      </c>
      <c r="S68" t="s">
        <v>350</v>
      </c>
      <c r="T68" t="s">
        <v>351</v>
      </c>
      <c r="U68" t="s">
        <v>40</v>
      </c>
      <c r="V68" t="s">
        <v>52</v>
      </c>
      <c r="W68" t="s">
        <v>59</v>
      </c>
      <c r="X68" t="s">
        <v>98</v>
      </c>
      <c r="Y68" t="s">
        <v>45</v>
      </c>
      <c r="Z68" t="s">
        <v>45</v>
      </c>
      <c r="AA68" t="s">
        <v>54</v>
      </c>
      <c r="AB68" t="s">
        <v>55</v>
      </c>
      <c r="AC68" t="s">
        <v>56</v>
      </c>
      <c r="AD68" t="s">
        <v>45</v>
      </c>
      <c r="AE68" t="s">
        <v>45</v>
      </c>
      <c r="AF68" t="s">
        <v>56</v>
      </c>
      <c r="AG68" t="s">
        <v>57</v>
      </c>
      <c r="AH68" t="s">
        <v>55</v>
      </c>
      <c r="AI68" t="s">
        <v>45</v>
      </c>
    </row>
    <row r="69" spans="1:35" x14ac:dyDescent="0.25">
      <c r="A69" t="s">
        <v>174</v>
      </c>
      <c r="B69" t="s">
        <v>59</v>
      </c>
      <c r="C69" t="s">
        <v>37</v>
      </c>
      <c r="D69" t="s">
        <v>352</v>
      </c>
      <c r="E69" t="s">
        <v>62</v>
      </c>
      <c r="F69" t="s">
        <v>71</v>
      </c>
      <c r="G69" t="s">
        <v>45</v>
      </c>
      <c r="H69" t="s">
        <v>42</v>
      </c>
      <c r="I69" t="s">
        <v>40</v>
      </c>
      <c r="J69" t="s">
        <v>240</v>
      </c>
      <c r="K69" t="s">
        <v>41</v>
      </c>
      <c r="L69" t="s">
        <v>63</v>
      </c>
      <c r="M69" t="s">
        <v>99</v>
      </c>
      <c r="N69" t="s">
        <v>45</v>
      </c>
      <c r="O69" t="s">
        <v>45</v>
      </c>
      <c r="P69" t="s">
        <v>65</v>
      </c>
      <c r="Q69" t="s">
        <v>40</v>
      </c>
      <c r="R69" t="s">
        <v>109</v>
      </c>
      <c r="S69" t="s">
        <v>353</v>
      </c>
      <c r="T69" t="s">
        <v>354</v>
      </c>
      <c r="U69" t="s">
        <v>41</v>
      </c>
      <c r="V69" t="s">
        <v>52</v>
      </c>
      <c r="W69" t="s">
        <v>59</v>
      </c>
      <c r="X69" t="s">
        <v>125</v>
      </c>
      <c r="Y69" t="s">
        <v>45</v>
      </c>
      <c r="Z69" t="s">
        <v>45</v>
      </c>
      <c r="AA69" t="s">
        <v>54</v>
      </c>
      <c r="AB69" t="s">
        <v>40</v>
      </c>
      <c r="AC69" t="s">
        <v>172</v>
      </c>
      <c r="AD69" t="s">
        <v>41</v>
      </c>
      <c r="AE69" t="s">
        <v>45</v>
      </c>
      <c r="AF69" t="s">
        <v>40</v>
      </c>
      <c r="AG69" t="s">
        <v>55</v>
      </c>
      <c r="AH69" t="s">
        <v>55</v>
      </c>
      <c r="AI69" t="s">
        <v>55</v>
      </c>
    </row>
    <row r="70" spans="1:35" x14ac:dyDescent="0.25">
      <c r="A70" t="s">
        <v>126</v>
      </c>
      <c r="B70" t="s">
        <v>59</v>
      </c>
      <c r="C70" t="s">
        <v>60</v>
      </c>
      <c r="D70" t="s">
        <v>355</v>
      </c>
      <c r="E70" t="s">
        <v>62</v>
      </c>
      <c r="F70" t="s">
        <v>40</v>
      </c>
      <c r="G70" t="s">
        <v>45</v>
      </c>
      <c r="H70" t="s">
        <v>87</v>
      </c>
      <c r="I70" t="s">
        <v>40</v>
      </c>
      <c r="J70" t="s">
        <v>356</v>
      </c>
      <c r="K70" t="s">
        <v>41</v>
      </c>
      <c r="L70" t="s">
        <v>63</v>
      </c>
      <c r="M70" t="s">
        <v>95</v>
      </c>
      <c r="N70" t="s">
        <v>45</v>
      </c>
      <c r="O70" t="s">
        <v>40</v>
      </c>
      <c r="P70" t="s">
        <v>65</v>
      </c>
      <c r="Q70" t="s">
        <v>40</v>
      </c>
      <c r="R70" t="s">
        <v>66</v>
      </c>
      <c r="S70" t="s">
        <v>357</v>
      </c>
      <c r="T70" t="s">
        <v>358</v>
      </c>
      <c r="U70" t="s">
        <v>47</v>
      </c>
      <c r="V70" t="s">
        <v>52</v>
      </c>
      <c r="W70" t="s">
        <v>59</v>
      </c>
      <c r="X70" t="s">
        <v>98</v>
      </c>
      <c r="Y70" t="s">
        <v>45</v>
      </c>
      <c r="Z70" t="s">
        <v>47</v>
      </c>
      <c r="AA70" t="s">
        <v>54</v>
      </c>
      <c r="AB70" t="s">
        <v>40</v>
      </c>
      <c r="AC70" t="s">
        <v>57</v>
      </c>
      <c r="AD70" t="s">
        <v>41</v>
      </c>
      <c r="AE70" t="s">
        <v>41</v>
      </c>
      <c r="AF70" t="s">
        <v>45</v>
      </c>
      <c r="AG70" t="s">
        <v>41</v>
      </c>
      <c r="AH70" t="s">
        <v>40</v>
      </c>
      <c r="AI70" t="s">
        <v>41</v>
      </c>
    </row>
    <row r="71" spans="1:35" x14ac:dyDescent="0.25">
      <c r="A71" t="s">
        <v>120</v>
      </c>
      <c r="B71" t="s">
        <v>36</v>
      </c>
      <c r="C71" t="s">
        <v>37</v>
      </c>
      <c r="D71" t="s">
        <v>359</v>
      </c>
      <c r="E71" t="s">
        <v>62</v>
      </c>
      <c r="F71" t="s">
        <v>91</v>
      </c>
      <c r="G71" t="s">
        <v>45</v>
      </c>
      <c r="H71" t="s">
        <v>87</v>
      </c>
      <c r="I71" t="s">
        <v>40</v>
      </c>
      <c r="J71" t="s">
        <v>360</v>
      </c>
      <c r="K71" t="s">
        <v>47</v>
      </c>
      <c r="L71" t="s">
        <v>63</v>
      </c>
      <c r="M71" t="s">
        <v>95</v>
      </c>
      <c r="N71" t="s">
        <v>41</v>
      </c>
      <c r="O71" t="s">
        <v>40</v>
      </c>
      <c r="P71" t="s">
        <v>65</v>
      </c>
      <c r="Q71" t="s">
        <v>45</v>
      </c>
      <c r="R71" t="s">
        <v>66</v>
      </c>
      <c r="S71" t="s">
        <v>361</v>
      </c>
      <c r="T71" t="s">
        <v>362</v>
      </c>
      <c r="U71" t="s">
        <v>55</v>
      </c>
      <c r="V71" t="s">
        <v>52</v>
      </c>
      <c r="W71" t="s">
        <v>36</v>
      </c>
      <c r="X71" t="s">
        <v>125</v>
      </c>
      <c r="Y71" t="s">
        <v>45</v>
      </c>
      <c r="Z71" t="s">
        <v>40</v>
      </c>
      <c r="AA71" t="s">
        <v>54</v>
      </c>
      <c r="AB71" t="s">
        <v>40</v>
      </c>
      <c r="AC71" t="s">
        <v>41</v>
      </c>
      <c r="AD71" t="s">
        <v>55</v>
      </c>
      <c r="AE71" t="s">
        <v>41</v>
      </c>
      <c r="AF71" t="s">
        <v>40</v>
      </c>
      <c r="AG71" t="s">
        <v>55</v>
      </c>
      <c r="AH71" t="s">
        <v>55</v>
      </c>
      <c r="AI71" t="s">
        <v>55</v>
      </c>
    </row>
    <row r="72" spans="1:35" x14ac:dyDescent="0.25">
      <c r="A72" t="s">
        <v>99</v>
      </c>
      <c r="B72" t="s">
        <v>59</v>
      </c>
      <c r="C72" t="s">
        <v>60</v>
      </c>
      <c r="D72" t="s">
        <v>363</v>
      </c>
      <c r="E72" t="s">
        <v>39</v>
      </c>
      <c r="F72" t="s">
        <v>40</v>
      </c>
      <c r="G72" t="s">
        <v>40</v>
      </c>
      <c r="H72" t="s">
        <v>42</v>
      </c>
      <c r="I72" t="s">
        <v>40</v>
      </c>
      <c r="J72" t="s">
        <v>364</v>
      </c>
      <c r="K72" t="s">
        <v>40</v>
      </c>
      <c r="L72" t="s">
        <v>43</v>
      </c>
      <c r="M72" t="s">
        <v>269</v>
      </c>
      <c r="N72" t="s">
        <v>41</v>
      </c>
      <c r="O72" t="s">
        <v>41</v>
      </c>
      <c r="P72" t="s">
        <v>46</v>
      </c>
      <c r="Q72" t="s">
        <v>45</v>
      </c>
      <c r="R72" t="s">
        <v>48</v>
      </c>
      <c r="S72" t="s">
        <v>365</v>
      </c>
      <c r="T72" t="s">
        <v>366</v>
      </c>
      <c r="U72" t="s">
        <v>71</v>
      </c>
      <c r="V72" t="s">
        <v>52</v>
      </c>
      <c r="W72" t="s">
        <v>59</v>
      </c>
      <c r="X72" t="s">
        <v>53</v>
      </c>
      <c r="Y72" t="s">
        <v>45</v>
      </c>
      <c r="Z72" t="s">
        <v>47</v>
      </c>
      <c r="AA72" t="s">
        <v>54</v>
      </c>
      <c r="AB72" t="s">
        <v>55</v>
      </c>
      <c r="AC72" t="s">
        <v>104</v>
      </c>
      <c r="AD72" t="s">
        <v>41</v>
      </c>
      <c r="AE72" t="s">
        <v>41</v>
      </c>
      <c r="AF72" t="s">
        <v>47</v>
      </c>
      <c r="AG72" t="s">
        <v>45</v>
      </c>
      <c r="AH72" t="s">
        <v>40</v>
      </c>
      <c r="AI72" t="s">
        <v>45</v>
      </c>
    </row>
    <row r="73" spans="1:35" x14ac:dyDescent="0.25">
      <c r="A73" t="s">
        <v>133</v>
      </c>
      <c r="B73" t="s">
        <v>59</v>
      </c>
      <c r="C73" t="s">
        <v>37</v>
      </c>
      <c r="D73" t="s">
        <v>367</v>
      </c>
      <c r="E73" t="s">
        <v>62</v>
      </c>
      <c r="F73" t="s">
        <v>41</v>
      </c>
      <c r="G73" t="s">
        <v>45</v>
      </c>
      <c r="H73" t="s">
        <v>42</v>
      </c>
      <c r="I73" t="s">
        <v>40</v>
      </c>
      <c r="J73" t="s">
        <v>44</v>
      </c>
      <c r="K73" t="s">
        <v>45</v>
      </c>
      <c r="L73" t="s">
        <v>63</v>
      </c>
      <c r="M73" t="s">
        <v>322</v>
      </c>
      <c r="N73" t="s">
        <v>45</v>
      </c>
      <c r="O73" t="s">
        <v>40</v>
      </c>
      <c r="P73" t="s">
        <v>65</v>
      </c>
      <c r="Q73" t="s">
        <v>41</v>
      </c>
      <c r="R73" t="s">
        <v>66</v>
      </c>
      <c r="S73" t="s">
        <v>368</v>
      </c>
      <c r="T73" t="s">
        <v>369</v>
      </c>
      <c r="U73" t="s">
        <v>55</v>
      </c>
      <c r="V73" t="s">
        <v>52</v>
      </c>
      <c r="W73" t="s">
        <v>59</v>
      </c>
      <c r="X73" t="s">
        <v>69</v>
      </c>
      <c r="Y73" t="s">
        <v>47</v>
      </c>
      <c r="Z73" t="s">
        <v>47</v>
      </c>
      <c r="AA73" t="s">
        <v>54</v>
      </c>
      <c r="AB73" t="s">
        <v>40</v>
      </c>
      <c r="AC73" t="s">
        <v>56</v>
      </c>
      <c r="AD73" t="s">
        <v>45</v>
      </c>
      <c r="AE73" t="s">
        <v>45</v>
      </c>
      <c r="AF73" t="s">
        <v>57</v>
      </c>
      <c r="AG73" t="s">
        <v>47</v>
      </c>
      <c r="AH73" t="s">
        <v>55</v>
      </c>
      <c r="AI73" t="s">
        <v>47</v>
      </c>
    </row>
    <row r="74" spans="1:35" x14ac:dyDescent="0.25">
      <c r="A74" t="s">
        <v>137</v>
      </c>
      <c r="B74" t="s">
        <v>59</v>
      </c>
      <c r="C74" t="s">
        <v>37</v>
      </c>
      <c r="D74" t="s">
        <v>370</v>
      </c>
      <c r="E74" t="s">
        <v>62</v>
      </c>
      <c r="F74" t="s">
        <v>40</v>
      </c>
      <c r="G74" t="s">
        <v>47</v>
      </c>
      <c r="H74" t="s">
        <v>87</v>
      </c>
      <c r="I74" t="s">
        <v>40</v>
      </c>
      <c r="J74" t="s">
        <v>349</v>
      </c>
      <c r="K74" t="s">
        <v>45</v>
      </c>
      <c r="L74" t="s">
        <v>63</v>
      </c>
      <c r="M74" t="s">
        <v>371</v>
      </c>
      <c r="N74" t="s">
        <v>45</v>
      </c>
      <c r="O74" t="s">
        <v>40</v>
      </c>
      <c r="P74" t="s">
        <v>65</v>
      </c>
      <c r="Q74" t="s">
        <v>41</v>
      </c>
      <c r="R74" t="s">
        <v>48</v>
      </c>
      <c r="S74" t="s">
        <v>372</v>
      </c>
      <c r="T74" t="s">
        <v>373</v>
      </c>
      <c r="U74" t="s">
        <v>40</v>
      </c>
      <c r="V74" t="s">
        <v>52</v>
      </c>
      <c r="W74" t="s">
        <v>59</v>
      </c>
      <c r="X74" t="s">
        <v>125</v>
      </c>
      <c r="Y74" t="s">
        <v>45</v>
      </c>
      <c r="Z74" t="s">
        <v>41</v>
      </c>
      <c r="AA74" t="s">
        <v>54</v>
      </c>
      <c r="AB74" t="s">
        <v>55</v>
      </c>
      <c r="AC74" t="s">
        <v>40</v>
      </c>
      <c r="AD74" t="s">
        <v>47</v>
      </c>
      <c r="AE74" t="s">
        <v>45</v>
      </c>
      <c r="AF74" t="s">
        <v>40</v>
      </c>
      <c r="AG74" t="s">
        <v>40</v>
      </c>
      <c r="AH74" t="s">
        <v>40</v>
      </c>
      <c r="AI74" t="s">
        <v>55</v>
      </c>
    </row>
    <row r="75" spans="1:35" x14ac:dyDescent="0.25">
      <c r="A75" t="s">
        <v>93</v>
      </c>
      <c r="B75" t="s">
        <v>59</v>
      </c>
      <c r="C75" t="s">
        <v>37</v>
      </c>
      <c r="D75" t="s">
        <v>374</v>
      </c>
      <c r="E75" t="s">
        <v>62</v>
      </c>
      <c r="F75" t="s">
        <v>40</v>
      </c>
      <c r="G75" t="s">
        <v>45</v>
      </c>
      <c r="H75" t="s">
        <v>42</v>
      </c>
      <c r="I75" t="s">
        <v>40</v>
      </c>
      <c r="J75" t="s">
        <v>163</v>
      </c>
      <c r="K75" t="s">
        <v>41</v>
      </c>
      <c r="L75" t="s">
        <v>63</v>
      </c>
      <c r="M75" t="s">
        <v>375</v>
      </c>
      <c r="N75" t="s">
        <v>45</v>
      </c>
      <c r="O75" t="s">
        <v>41</v>
      </c>
      <c r="P75" t="s">
        <v>65</v>
      </c>
      <c r="Q75" t="s">
        <v>41</v>
      </c>
      <c r="R75" t="s">
        <v>66</v>
      </c>
      <c r="S75" t="s">
        <v>376</v>
      </c>
      <c r="T75" t="s">
        <v>377</v>
      </c>
      <c r="U75" t="s">
        <v>40</v>
      </c>
      <c r="V75" t="s">
        <v>52</v>
      </c>
      <c r="W75" t="s">
        <v>59</v>
      </c>
      <c r="X75" t="s">
        <v>125</v>
      </c>
      <c r="Y75" t="s">
        <v>45</v>
      </c>
      <c r="Z75" t="s">
        <v>41</v>
      </c>
      <c r="AA75" t="s">
        <v>54</v>
      </c>
      <c r="AB75" t="s">
        <v>41</v>
      </c>
      <c r="AC75" t="s">
        <v>70</v>
      </c>
      <c r="AD75" t="s">
        <v>45</v>
      </c>
      <c r="AE75" t="s">
        <v>45</v>
      </c>
      <c r="AF75" t="s">
        <v>70</v>
      </c>
      <c r="AG75" t="s">
        <v>47</v>
      </c>
      <c r="AH75" t="s">
        <v>55</v>
      </c>
      <c r="AI75" t="s">
        <v>91</v>
      </c>
    </row>
    <row r="76" spans="1:35" x14ac:dyDescent="0.25">
      <c r="A76" t="s">
        <v>120</v>
      </c>
      <c r="B76" t="s">
        <v>59</v>
      </c>
      <c r="C76" t="s">
        <v>37</v>
      </c>
      <c r="D76" t="s">
        <v>378</v>
      </c>
      <c r="E76" t="s">
        <v>62</v>
      </c>
      <c r="F76" t="s">
        <v>56</v>
      </c>
      <c r="G76" t="s">
        <v>45</v>
      </c>
      <c r="H76" t="s">
        <v>42</v>
      </c>
      <c r="I76" t="s">
        <v>40</v>
      </c>
      <c r="J76" t="s">
        <v>244</v>
      </c>
      <c r="K76" t="s">
        <v>41</v>
      </c>
      <c r="L76" t="s">
        <v>43</v>
      </c>
      <c r="M76" t="s">
        <v>263</v>
      </c>
      <c r="N76" t="s">
        <v>47</v>
      </c>
      <c r="O76" t="s">
        <v>40</v>
      </c>
      <c r="P76" t="s">
        <v>76</v>
      </c>
      <c r="Q76" t="s">
        <v>47</v>
      </c>
      <c r="R76" t="s">
        <v>66</v>
      </c>
      <c r="S76" t="s">
        <v>379</v>
      </c>
      <c r="T76" t="s">
        <v>380</v>
      </c>
      <c r="U76" t="s">
        <v>45</v>
      </c>
      <c r="V76" t="s">
        <v>52</v>
      </c>
      <c r="W76" t="s">
        <v>59</v>
      </c>
      <c r="X76" t="s">
        <v>92</v>
      </c>
      <c r="Y76" t="s">
        <v>45</v>
      </c>
      <c r="Z76" t="s">
        <v>41</v>
      </c>
      <c r="AA76" t="s">
        <v>54</v>
      </c>
      <c r="AB76" t="s">
        <v>55</v>
      </c>
      <c r="AC76" t="s">
        <v>57</v>
      </c>
      <c r="AD76" t="s">
        <v>45</v>
      </c>
      <c r="AE76" t="s">
        <v>45</v>
      </c>
      <c r="AF76" t="s">
        <v>40</v>
      </c>
      <c r="AG76" t="s">
        <v>55</v>
      </c>
      <c r="AH76" t="s">
        <v>55</v>
      </c>
      <c r="AI76" t="s">
        <v>55</v>
      </c>
    </row>
    <row r="77" spans="1:35" x14ac:dyDescent="0.25">
      <c r="A77" t="s">
        <v>137</v>
      </c>
      <c r="B77" t="s">
        <v>59</v>
      </c>
      <c r="C77" t="s">
        <v>37</v>
      </c>
      <c r="D77" t="s">
        <v>381</v>
      </c>
      <c r="E77" t="s">
        <v>62</v>
      </c>
      <c r="F77" t="s">
        <v>51</v>
      </c>
      <c r="G77" t="s">
        <v>47</v>
      </c>
      <c r="H77" t="s">
        <v>42</v>
      </c>
      <c r="I77" t="s">
        <v>40</v>
      </c>
      <c r="J77" t="s">
        <v>284</v>
      </c>
      <c r="K77" t="s">
        <v>45</v>
      </c>
      <c r="L77" t="s">
        <v>43</v>
      </c>
      <c r="M77" t="s">
        <v>64</v>
      </c>
      <c r="N77" t="s">
        <v>45</v>
      </c>
      <c r="O77" t="s">
        <v>41</v>
      </c>
      <c r="P77" t="s">
        <v>116</v>
      </c>
      <c r="Q77" t="s">
        <v>47</v>
      </c>
      <c r="R77" t="s">
        <v>48</v>
      </c>
      <c r="S77" t="s">
        <v>382</v>
      </c>
      <c r="T77" t="s">
        <v>383</v>
      </c>
      <c r="U77" t="s">
        <v>40</v>
      </c>
      <c r="V77" t="s">
        <v>52</v>
      </c>
      <c r="W77" t="s">
        <v>59</v>
      </c>
      <c r="X77" t="s">
        <v>69</v>
      </c>
      <c r="Y77" t="s">
        <v>47</v>
      </c>
      <c r="Z77" t="s">
        <v>47</v>
      </c>
      <c r="AA77" t="s">
        <v>54</v>
      </c>
      <c r="AB77" t="s">
        <v>55</v>
      </c>
      <c r="AC77" t="s">
        <v>53</v>
      </c>
      <c r="AD77" t="s">
        <v>41</v>
      </c>
      <c r="AE77" t="s">
        <v>45</v>
      </c>
      <c r="AF77" t="s">
        <v>53</v>
      </c>
      <c r="AG77" t="s">
        <v>71</v>
      </c>
      <c r="AH77" t="s">
        <v>40</v>
      </c>
      <c r="AI77" t="s">
        <v>51</v>
      </c>
    </row>
    <row r="78" spans="1:35" x14ac:dyDescent="0.25">
      <c r="A78" t="s">
        <v>126</v>
      </c>
      <c r="B78" t="s">
        <v>59</v>
      </c>
      <c r="C78" t="s">
        <v>37</v>
      </c>
      <c r="D78" t="s">
        <v>384</v>
      </c>
      <c r="E78" t="s">
        <v>39</v>
      </c>
      <c r="F78" t="s">
        <v>40</v>
      </c>
      <c r="G78" t="s">
        <v>47</v>
      </c>
      <c r="H78" t="s">
        <v>206</v>
      </c>
      <c r="I78" t="s">
        <v>40</v>
      </c>
      <c r="J78" t="s">
        <v>385</v>
      </c>
      <c r="K78" t="s">
        <v>45</v>
      </c>
      <c r="L78" t="s">
        <v>63</v>
      </c>
      <c r="M78" t="s">
        <v>93</v>
      </c>
      <c r="N78" t="s">
        <v>41</v>
      </c>
      <c r="O78" t="s">
        <v>41</v>
      </c>
      <c r="P78" t="s">
        <v>46</v>
      </c>
      <c r="Q78" t="s">
        <v>40</v>
      </c>
      <c r="R78" t="s">
        <v>48</v>
      </c>
      <c r="S78" t="s">
        <v>386</v>
      </c>
      <c r="T78" t="s">
        <v>387</v>
      </c>
      <c r="U78" t="s">
        <v>55</v>
      </c>
      <c r="V78" t="s">
        <v>52</v>
      </c>
      <c r="W78" t="s">
        <v>59</v>
      </c>
      <c r="X78" t="s">
        <v>129</v>
      </c>
      <c r="Y78" t="s">
        <v>45</v>
      </c>
      <c r="Z78" t="s">
        <v>41</v>
      </c>
      <c r="AA78" t="s">
        <v>54</v>
      </c>
      <c r="AB78" t="s">
        <v>55</v>
      </c>
      <c r="AC78" t="s">
        <v>128</v>
      </c>
      <c r="AD78" t="s">
        <v>41</v>
      </c>
      <c r="AE78" t="s">
        <v>45</v>
      </c>
      <c r="AF78" t="s">
        <v>79</v>
      </c>
      <c r="AG78" t="s">
        <v>98</v>
      </c>
      <c r="AH78" t="s">
        <v>41</v>
      </c>
      <c r="AI78" t="s">
        <v>51</v>
      </c>
    </row>
    <row r="79" spans="1:35" x14ac:dyDescent="0.25">
      <c r="A79" t="s">
        <v>174</v>
      </c>
      <c r="B79" t="s">
        <v>59</v>
      </c>
      <c r="C79" t="s">
        <v>37</v>
      </c>
      <c r="D79" t="s">
        <v>388</v>
      </c>
      <c r="E79" t="s">
        <v>62</v>
      </c>
      <c r="F79" t="s">
        <v>56</v>
      </c>
      <c r="G79" t="s">
        <v>47</v>
      </c>
      <c r="H79" t="s">
        <v>74</v>
      </c>
      <c r="I79" t="s">
        <v>40</v>
      </c>
      <c r="J79" t="s">
        <v>389</v>
      </c>
      <c r="K79" t="s">
        <v>47</v>
      </c>
      <c r="L79" t="s">
        <v>63</v>
      </c>
      <c r="M79" t="s">
        <v>251</v>
      </c>
      <c r="N79" t="s">
        <v>45</v>
      </c>
      <c r="O79" t="s">
        <v>45</v>
      </c>
      <c r="P79" t="s">
        <v>186</v>
      </c>
      <c r="Q79" t="s">
        <v>40</v>
      </c>
      <c r="R79" t="s">
        <v>66</v>
      </c>
      <c r="S79" t="s">
        <v>390</v>
      </c>
      <c r="T79" t="s">
        <v>391</v>
      </c>
      <c r="U79" t="s">
        <v>47</v>
      </c>
      <c r="V79" t="s">
        <v>52</v>
      </c>
      <c r="W79" t="s">
        <v>36</v>
      </c>
      <c r="X79" t="s">
        <v>129</v>
      </c>
      <c r="Y79" t="s">
        <v>45</v>
      </c>
      <c r="Z79" t="s">
        <v>41</v>
      </c>
      <c r="AA79" t="s">
        <v>54</v>
      </c>
      <c r="AB79" t="s">
        <v>55</v>
      </c>
      <c r="AC79" t="s">
        <v>125</v>
      </c>
      <c r="AD79" t="s">
        <v>45</v>
      </c>
      <c r="AE79" t="s">
        <v>47</v>
      </c>
      <c r="AF79" t="s">
        <v>55</v>
      </c>
      <c r="AG79" t="s">
        <v>55</v>
      </c>
      <c r="AH79" t="s">
        <v>55</v>
      </c>
      <c r="AI79" t="s">
        <v>55</v>
      </c>
    </row>
    <row r="80" spans="1:35" x14ac:dyDescent="0.25">
      <c r="A80" t="s">
        <v>72</v>
      </c>
      <c r="B80" t="s">
        <v>59</v>
      </c>
      <c r="C80" t="s">
        <v>37</v>
      </c>
      <c r="D80" t="s">
        <v>392</v>
      </c>
      <c r="E80" t="s">
        <v>62</v>
      </c>
      <c r="F80" t="s">
        <v>71</v>
      </c>
      <c r="G80" t="s">
        <v>47</v>
      </c>
      <c r="H80" t="s">
        <v>87</v>
      </c>
      <c r="I80" t="s">
        <v>40</v>
      </c>
      <c r="J80" t="s">
        <v>393</v>
      </c>
      <c r="K80" t="s">
        <v>40</v>
      </c>
      <c r="L80" t="s">
        <v>63</v>
      </c>
      <c r="M80" t="s">
        <v>105</v>
      </c>
      <c r="N80" t="s">
        <v>45</v>
      </c>
      <c r="O80" t="s">
        <v>45</v>
      </c>
      <c r="P80" t="s">
        <v>186</v>
      </c>
      <c r="Q80" t="s">
        <v>45</v>
      </c>
      <c r="R80" t="s">
        <v>48</v>
      </c>
      <c r="S80" t="s">
        <v>394</v>
      </c>
      <c r="T80" t="s">
        <v>395</v>
      </c>
      <c r="U80" t="s">
        <v>47</v>
      </c>
      <c r="V80" t="s">
        <v>52</v>
      </c>
      <c r="W80" t="s">
        <v>59</v>
      </c>
      <c r="X80" t="s">
        <v>98</v>
      </c>
      <c r="Y80" t="s">
        <v>45</v>
      </c>
      <c r="Z80" t="s">
        <v>40</v>
      </c>
      <c r="AA80" t="s">
        <v>54</v>
      </c>
      <c r="AB80" t="s">
        <v>55</v>
      </c>
      <c r="AC80" t="s">
        <v>128</v>
      </c>
      <c r="AD80" t="s">
        <v>45</v>
      </c>
      <c r="AE80" t="s">
        <v>47</v>
      </c>
      <c r="AF80" t="s">
        <v>57</v>
      </c>
      <c r="AG80" t="s">
        <v>41</v>
      </c>
      <c r="AH80" t="s">
        <v>55</v>
      </c>
      <c r="AI80" t="s">
        <v>41</v>
      </c>
    </row>
    <row r="81" spans="1:35" x14ac:dyDescent="0.25">
      <c r="A81" t="s">
        <v>213</v>
      </c>
      <c r="B81" t="s">
        <v>59</v>
      </c>
      <c r="C81" t="s">
        <v>37</v>
      </c>
      <c r="D81" t="s">
        <v>396</v>
      </c>
      <c r="E81" t="s">
        <v>397</v>
      </c>
      <c r="F81" t="s">
        <v>57</v>
      </c>
      <c r="G81" t="s">
        <v>41</v>
      </c>
      <c r="H81" t="s">
        <v>87</v>
      </c>
      <c r="I81" t="s">
        <v>40</v>
      </c>
      <c r="J81" t="s">
        <v>150</v>
      </c>
      <c r="K81" t="s">
        <v>41</v>
      </c>
      <c r="L81" t="s">
        <v>63</v>
      </c>
      <c r="M81" t="s">
        <v>54</v>
      </c>
      <c r="N81" t="s">
        <v>45</v>
      </c>
      <c r="O81" t="s">
        <v>41</v>
      </c>
      <c r="P81" t="s">
        <v>397</v>
      </c>
      <c r="Q81" t="s">
        <v>41</v>
      </c>
      <c r="R81" t="s">
        <v>109</v>
      </c>
      <c r="S81" t="s">
        <v>398</v>
      </c>
      <c r="T81" t="s">
        <v>399</v>
      </c>
      <c r="U81" t="s">
        <v>51</v>
      </c>
      <c r="V81" t="s">
        <v>52</v>
      </c>
      <c r="W81" t="s">
        <v>36</v>
      </c>
      <c r="X81" t="s">
        <v>112</v>
      </c>
      <c r="Y81" t="s">
        <v>47</v>
      </c>
      <c r="Z81" t="s">
        <v>47</v>
      </c>
      <c r="AA81" t="s">
        <v>54</v>
      </c>
      <c r="AB81" t="s">
        <v>40</v>
      </c>
      <c r="AC81" t="s">
        <v>128</v>
      </c>
      <c r="AD81" t="s">
        <v>41</v>
      </c>
      <c r="AE81" t="s">
        <v>45</v>
      </c>
      <c r="AF81" t="s">
        <v>47</v>
      </c>
      <c r="AG81" t="s">
        <v>41</v>
      </c>
      <c r="AH81" t="s">
        <v>55</v>
      </c>
      <c r="AI81" t="s">
        <v>41</v>
      </c>
    </row>
    <row r="82" spans="1:35" x14ac:dyDescent="0.25">
      <c r="A82" t="s">
        <v>105</v>
      </c>
      <c r="B82" t="s">
        <v>59</v>
      </c>
      <c r="C82" t="s">
        <v>37</v>
      </c>
      <c r="D82" t="s">
        <v>247</v>
      </c>
      <c r="E82" t="s">
        <v>62</v>
      </c>
      <c r="F82" t="s">
        <v>40</v>
      </c>
      <c r="G82" t="s">
        <v>40</v>
      </c>
      <c r="H82" t="s">
        <v>42</v>
      </c>
      <c r="I82" t="s">
        <v>40</v>
      </c>
      <c r="J82" t="s">
        <v>400</v>
      </c>
      <c r="K82" t="s">
        <v>47</v>
      </c>
      <c r="L82" t="s">
        <v>63</v>
      </c>
      <c r="M82" t="s">
        <v>263</v>
      </c>
      <c r="N82" t="s">
        <v>41</v>
      </c>
      <c r="O82" t="s">
        <v>41</v>
      </c>
      <c r="P82" t="s">
        <v>76</v>
      </c>
      <c r="Q82" t="s">
        <v>47</v>
      </c>
      <c r="R82" t="s">
        <v>66</v>
      </c>
      <c r="S82" t="s">
        <v>401</v>
      </c>
      <c r="T82" t="s">
        <v>402</v>
      </c>
      <c r="U82" t="s">
        <v>40</v>
      </c>
      <c r="V82" t="s">
        <v>52</v>
      </c>
      <c r="W82" t="s">
        <v>36</v>
      </c>
      <c r="X82" t="s">
        <v>92</v>
      </c>
      <c r="Y82" t="s">
        <v>45</v>
      </c>
      <c r="Z82" t="s">
        <v>45</v>
      </c>
      <c r="AA82" t="s">
        <v>54</v>
      </c>
      <c r="AB82" t="s">
        <v>41</v>
      </c>
      <c r="AC82" t="s">
        <v>70</v>
      </c>
      <c r="AD82" t="s">
        <v>40</v>
      </c>
      <c r="AE82" t="s">
        <v>41</v>
      </c>
      <c r="AF82" t="s">
        <v>70</v>
      </c>
      <c r="AG82" t="s">
        <v>51</v>
      </c>
      <c r="AH82" t="s">
        <v>45</v>
      </c>
      <c r="AI82" t="s">
        <v>55</v>
      </c>
    </row>
    <row r="83" spans="1:35" x14ac:dyDescent="0.25">
      <c r="A83" t="s">
        <v>126</v>
      </c>
      <c r="B83" t="s">
        <v>59</v>
      </c>
      <c r="C83" t="s">
        <v>37</v>
      </c>
      <c r="D83" t="s">
        <v>403</v>
      </c>
      <c r="E83" t="s">
        <v>62</v>
      </c>
      <c r="F83" t="s">
        <v>40</v>
      </c>
      <c r="G83" t="s">
        <v>45</v>
      </c>
      <c r="H83" t="s">
        <v>87</v>
      </c>
      <c r="I83" t="s">
        <v>40</v>
      </c>
      <c r="J83" t="s">
        <v>404</v>
      </c>
      <c r="K83" t="s">
        <v>41</v>
      </c>
      <c r="L83" t="s">
        <v>63</v>
      </c>
      <c r="M83" t="s">
        <v>105</v>
      </c>
      <c r="N83" t="s">
        <v>41</v>
      </c>
      <c r="O83" t="s">
        <v>40</v>
      </c>
      <c r="P83" t="s">
        <v>65</v>
      </c>
      <c r="Q83" t="s">
        <v>45</v>
      </c>
      <c r="R83" t="s">
        <v>48</v>
      </c>
      <c r="S83" t="s">
        <v>405</v>
      </c>
      <c r="T83" t="s">
        <v>406</v>
      </c>
      <c r="U83" t="s">
        <v>40</v>
      </c>
      <c r="V83" t="s">
        <v>52</v>
      </c>
      <c r="W83" t="s">
        <v>59</v>
      </c>
      <c r="X83" t="s">
        <v>145</v>
      </c>
      <c r="Y83" t="s">
        <v>45</v>
      </c>
      <c r="Z83" t="s">
        <v>40</v>
      </c>
      <c r="AA83" t="s">
        <v>54</v>
      </c>
      <c r="AB83" t="s">
        <v>55</v>
      </c>
      <c r="AC83" t="s">
        <v>56</v>
      </c>
      <c r="AD83" t="s">
        <v>45</v>
      </c>
      <c r="AE83" t="s">
        <v>45</v>
      </c>
      <c r="AF83" t="s">
        <v>56</v>
      </c>
      <c r="AG83" t="s">
        <v>47</v>
      </c>
      <c r="AH83" t="s">
        <v>55</v>
      </c>
      <c r="AI83" t="s">
        <v>47</v>
      </c>
    </row>
    <row r="84" spans="1:35" x14ac:dyDescent="0.25">
      <c r="A84" t="s">
        <v>263</v>
      </c>
      <c r="B84" t="s">
        <v>59</v>
      </c>
      <c r="C84" t="s">
        <v>37</v>
      </c>
      <c r="D84" t="s">
        <v>407</v>
      </c>
      <c r="E84" t="s">
        <v>39</v>
      </c>
      <c r="F84" t="s">
        <v>40</v>
      </c>
      <c r="G84" t="s">
        <v>41</v>
      </c>
      <c r="H84" t="s">
        <v>42</v>
      </c>
      <c r="I84" t="s">
        <v>40</v>
      </c>
      <c r="J84" t="s">
        <v>408</v>
      </c>
      <c r="K84" t="s">
        <v>40</v>
      </c>
      <c r="L84" t="s">
        <v>63</v>
      </c>
      <c r="M84" t="s">
        <v>304</v>
      </c>
      <c r="N84" t="s">
        <v>45</v>
      </c>
      <c r="O84" t="s">
        <v>45</v>
      </c>
      <c r="P84" t="s">
        <v>46</v>
      </c>
      <c r="Q84" t="s">
        <v>47</v>
      </c>
      <c r="R84" t="s">
        <v>66</v>
      </c>
      <c r="S84" t="s">
        <v>409</v>
      </c>
      <c r="T84" t="s">
        <v>410</v>
      </c>
      <c r="U84" t="s">
        <v>45</v>
      </c>
      <c r="V84" t="s">
        <v>52</v>
      </c>
      <c r="W84" t="s">
        <v>59</v>
      </c>
      <c r="X84" t="s">
        <v>129</v>
      </c>
      <c r="Y84" t="s">
        <v>45</v>
      </c>
      <c r="Z84" t="s">
        <v>47</v>
      </c>
      <c r="AA84" t="s">
        <v>54</v>
      </c>
      <c r="AB84" t="s">
        <v>40</v>
      </c>
      <c r="AC84" t="s">
        <v>107</v>
      </c>
      <c r="AD84" t="s">
        <v>47</v>
      </c>
      <c r="AE84" t="s">
        <v>45</v>
      </c>
      <c r="AF84" t="s">
        <v>40</v>
      </c>
      <c r="AG84" t="s">
        <v>55</v>
      </c>
      <c r="AH84" t="s">
        <v>40</v>
      </c>
      <c r="AI84" t="s">
        <v>55</v>
      </c>
    </row>
    <row r="85" spans="1:35" x14ac:dyDescent="0.25">
      <c r="A85" t="s">
        <v>113</v>
      </c>
      <c r="B85" t="s">
        <v>59</v>
      </c>
      <c r="C85" t="s">
        <v>161</v>
      </c>
      <c r="D85" t="s">
        <v>411</v>
      </c>
      <c r="E85" t="s">
        <v>62</v>
      </c>
      <c r="F85" t="s">
        <v>56</v>
      </c>
      <c r="G85" t="s">
        <v>45</v>
      </c>
      <c r="H85" t="s">
        <v>87</v>
      </c>
      <c r="I85" t="s">
        <v>40</v>
      </c>
      <c r="J85" t="s">
        <v>412</v>
      </c>
      <c r="K85" t="s">
        <v>41</v>
      </c>
      <c r="L85" t="s">
        <v>43</v>
      </c>
      <c r="M85" t="s">
        <v>95</v>
      </c>
      <c r="N85" t="s">
        <v>40</v>
      </c>
      <c r="O85" t="s">
        <v>41</v>
      </c>
      <c r="P85" t="s">
        <v>65</v>
      </c>
      <c r="Q85" t="s">
        <v>47</v>
      </c>
      <c r="R85" t="s">
        <v>109</v>
      </c>
      <c r="S85" t="s">
        <v>413</v>
      </c>
      <c r="T85" t="s">
        <v>414</v>
      </c>
      <c r="U85" t="s">
        <v>71</v>
      </c>
      <c r="V85" t="s">
        <v>52</v>
      </c>
      <c r="W85" t="s">
        <v>36</v>
      </c>
      <c r="X85" t="s">
        <v>92</v>
      </c>
      <c r="Y85" t="s">
        <v>45</v>
      </c>
      <c r="Z85" t="s">
        <v>47</v>
      </c>
      <c r="AA85" t="s">
        <v>54</v>
      </c>
      <c r="AB85" t="s">
        <v>45</v>
      </c>
      <c r="AC85" t="s">
        <v>125</v>
      </c>
      <c r="AD85" t="s">
        <v>45</v>
      </c>
      <c r="AE85" t="s">
        <v>45</v>
      </c>
      <c r="AF85" t="s">
        <v>98</v>
      </c>
      <c r="AG85" t="s">
        <v>53</v>
      </c>
      <c r="AH85" t="s">
        <v>40</v>
      </c>
      <c r="AI85" t="s">
        <v>91</v>
      </c>
    </row>
    <row r="86" spans="1:35" x14ac:dyDescent="0.25">
      <c r="A86" t="s">
        <v>142</v>
      </c>
      <c r="B86" t="s">
        <v>59</v>
      </c>
      <c r="C86" t="s">
        <v>37</v>
      </c>
      <c r="D86" t="s">
        <v>415</v>
      </c>
      <c r="E86" t="s">
        <v>62</v>
      </c>
      <c r="F86" t="s">
        <v>40</v>
      </c>
      <c r="G86" t="s">
        <v>41</v>
      </c>
      <c r="H86" t="s">
        <v>87</v>
      </c>
      <c r="I86" t="s">
        <v>40</v>
      </c>
      <c r="J86" t="s">
        <v>416</v>
      </c>
      <c r="K86" t="s">
        <v>40</v>
      </c>
      <c r="L86" t="s">
        <v>63</v>
      </c>
      <c r="M86" t="s">
        <v>44</v>
      </c>
      <c r="N86" t="s">
        <v>45</v>
      </c>
      <c r="O86" t="s">
        <v>41</v>
      </c>
      <c r="P86" t="s">
        <v>116</v>
      </c>
      <c r="Q86" t="s">
        <v>41</v>
      </c>
      <c r="R86" t="s">
        <v>66</v>
      </c>
      <c r="S86" t="s">
        <v>417</v>
      </c>
      <c r="T86" t="s">
        <v>418</v>
      </c>
      <c r="U86" t="s">
        <v>40</v>
      </c>
      <c r="V86" t="s">
        <v>52</v>
      </c>
      <c r="W86" t="s">
        <v>59</v>
      </c>
      <c r="X86" t="s">
        <v>79</v>
      </c>
      <c r="Y86" t="s">
        <v>45</v>
      </c>
      <c r="Z86" t="s">
        <v>45</v>
      </c>
      <c r="AA86" t="s">
        <v>54</v>
      </c>
      <c r="AB86" t="s">
        <v>55</v>
      </c>
      <c r="AC86" t="s">
        <v>57</v>
      </c>
      <c r="AD86" t="s">
        <v>41</v>
      </c>
      <c r="AE86" t="s">
        <v>45</v>
      </c>
      <c r="AF86" t="s">
        <v>57</v>
      </c>
      <c r="AG86" t="s">
        <v>41</v>
      </c>
      <c r="AH86" t="s">
        <v>40</v>
      </c>
      <c r="AI86" t="s">
        <v>45</v>
      </c>
    </row>
    <row r="87" spans="1:35" x14ac:dyDescent="0.25">
      <c r="A87" t="s">
        <v>82</v>
      </c>
      <c r="B87" t="s">
        <v>59</v>
      </c>
      <c r="C87" t="s">
        <v>37</v>
      </c>
      <c r="D87" t="s">
        <v>419</v>
      </c>
      <c r="E87" t="s">
        <v>62</v>
      </c>
      <c r="F87" t="s">
        <v>71</v>
      </c>
      <c r="G87" t="s">
        <v>45</v>
      </c>
      <c r="H87" t="s">
        <v>42</v>
      </c>
      <c r="I87" t="s">
        <v>40</v>
      </c>
      <c r="J87" t="s">
        <v>420</v>
      </c>
      <c r="K87" t="s">
        <v>47</v>
      </c>
      <c r="L87" t="s">
        <v>63</v>
      </c>
      <c r="M87" t="s">
        <v>58</v>
      </c>
      <c r="N87" t="s">
        <v>40</v>
      </c>
      <c r="O87" t="s">
        <v>45</v>
      </c>
      <c r="P87" t="s">
        <v>116</v>
      </c>
      <c r="Q87" t="s">
        <v>47</v>
      </c>
      <c r="R87" t="s">
        <v>48</v>
      </c>
      <c r="S87" t="s">
        <v>421</v>
      </c>
      <c r="T87" t="s">
        <v>422</v>
      </c>
      <c r="U87" t="s">
        <v>47</v>
      </c>
      <c r="V87" t="s">
        <v>52</v>
      </c>
      <c r="W87" t="s">
        <v>59</v>
      </c>
      <c r="X87" t="s">
        <v>53</v>
      </c>
      <c r="Y87" t="s">
        <v>45</v>
      </c>
      <c r="Z87" t="s">
        <v>40</v>
      </c>
      <c r="AA87" t="s">
        <v>54</v>
      </c>
      <c r="AB87" t="s">
        <v>55</v>
      </c>
      <c r="AC87" t="s">
        <v>72</v>
      </c>
      <c r="AD87" t="s">
        <v>45</v>
      </c>
      <c r="AE87" t="s">
        <v>41</v>
      </c>
      <c r="AF87" t="s">
        <v>56</v>
      </c>
      <c r="AG87" t="s">
        <v>47</v>
      </c>
      <c r="AH87" t="s">
        <v>55</v>
      </c>
      <c r="AI87" t="s">
        <v>41</v>
      </c>
    </row>
    <row r="88" spans="1:35" x14ac:dyDescent="0.25">
      <c r="A88" t="s">
        <v>69</v>
      </c>
      <c r="B88" t="s">
        <v>59</v>
      </c>
      <c r="C88" t="s">
        <v>37</v>
      </c>
      <c r="D88" t="s">
        <v>423</v>
      </c>
      <c r="E88" t="s">
        <v>39</v>
      </c>
      <c r="F88" t="s">
        <v>41</v>
      </c>
      <c r="G88" t="s">
        <v>40</v>
      </c>
      <c r="H88" t="s">
        <v>228</v>
      </c>
      <c r="I88" t="s">
        <v>40</v>
      </c>
      <c r="J88" t="s">
        <v>424</v>
      </c>
      <c r="K88" t="s">
        <v>45</v>
      </c>
      <c r="L88" t="s">
        <v>63</v>
      </c>
      <c r="M88" t="s">
        <v>283</v>
      </c>
      <c r="N88" t="s">
        <v>45</v>
      </c>
      <c r="O88" t="s">
        <v>40</v>
      </c>
      <c r="P88" t="s">
        <v>182</v>
      </c>
      <c r="Q88" t="s">
        <v>40</v>
      </c>
      <c r="R88" t="s">
        <v>109</v>
      </c>
      <c r="S88" t="s">
        <v>425</v>
      </c>
      <c r="T88" t="s">
        <v>426</v>
      </c>
      <c r="U88" t="s">
        <v>45</v>
      </c>
      <c r="V88" t="s">
        <v>52</v>
      </c>
      <c r="W88" t="s">
        <v>59</v>
      </c>
      <c r="X88" t="s">
        <v>98</v>
      </c>
      <c r="Y88" t="s">
        <v>45</v>
      </c>
      <c r="Z88" t="s">
        <v>45</v>
      </c>
      <c r="AA88" t="s">
        <v>54</v>
      </c>
      <c r="AB88" t="s">
        <v>40</v>
      </c>
      <c r="AC88" t="s">
        <v>45</v>
      </c>
      <c r="AD88" t="s">
        <v>45</v>
      </c>
      <c r="AE88" t="s">
        <v>45</v>
      </c>
      <c r="AF88" t="s">
        <v>55</v>
      </c>
      <c r="AG88" t="s">
        <v>55</v>
      </c>
      <c r="AH88" t="s">
        <v>55</v>
      </c>
      <c r="AI88" t="s">
        <v>55</v>
      </c>
    </row>
    <row r="89" spans="1:35" x14ac:dyDescent="0.25">
      <c r="A89" t="s">
        <v>155</v>
      </c>
      <c r="B89" t="s">
        <v>59</v>
      </c>
      <c r="C89" t="s">
        <v>37</v>
      </c>
      <c r="D89" t="s">
        <v>427</v>
      </c>
      <c r="E89" t="s">
        <v>62</v>
      </c>
      <c r="F89" t="s">
        <v>91</v>
      </c>
      <c r="G89" t="s">
        <v>47</v>
      </c>
      <c r="H89" t="s">
        <v>42</v>
      </c>
      <c r="I89" t="s">
        <v>40</v>
      </c>
      <c r="J89" t="s">
        <v>428</v>
      </c>
      <c r="K89" t="s">
        <v>47</v>
      </c>
      <c r="L89" t="s">
        <v>63</v>
      </c>
      <c r="M89" t="s">
        <v>163</v>
      </c>
      <c r="N89" t="s">
        <v>45</v>
      </c>
      <c r="O89" t="s">
        <v>40</v>
      </c>
      <c r="P89" t="s">
        <v>76</v>
      </c>
      <c r="Q89" t="s">
        <v>47</v>
      </c>
      <c r="R89" t="s">
        <v>66</v>
      </c>
      <c r="S89" t="s">
        <v>429</v>
      </c>
      <c r="T89" t="s">
        <v>430</v>
      </c>
      <c r="U89" t="s">
        <v>45</v>
      </c>
      <c r="V89" t="s">
        <v>52</v>
      </c>
      <c r="W89" t="s">
        <v>59</v>
      </c>
      <c r="X89" t="s">
        <v>69</v>
      </c>
      <c r="Y89" t="s">
        <v>47</v>
      </c>
      <c r="Z89" t="s">
        <v>41</v>
      </c>
      <c r="AA89" t="s">
        <v>54</v>
      </c>
      <c r="AB89" t="s">
        <v>41</v>
      </c>
      <c r="AC89" t="s">
        <v>70</v>
      </c>
      <c r="AD89" t="s">
        <v>47</v>
      </c>
      <c r="AE89" t="s">
        <v>45</v>
      </c>
      <c r="AF89" t="s">
        <v>47</v>
      </c>
      <c r="AG89" t="s">
        <v>41</v>
      </c>
      <c r="AH89" t="s">
        <v>55</v>
      </c>
      <c r="AI89" t="s">
        <v>45</v>
      </c>
    </row>
    <row r="90" spans="1:35" x14ac:dyDescent="0.25">
      <c r="A90" t="s">
        <v>105</v>
      </c>
      <c r="B90" t="s">
        <v>59</v>
      </c>
      <c r="C90" t="s">
        <v>37</v>
      </c>
      <c r="D90" t="s">
        <v>431</v>
      </c>
      <c r="E90" t="s">
        <v>62</v>
      </c>
      <c r="F90" t="s">
        <v>41</v>
      </c>
      <c r="G90" t="s">
        <v>45</v>
      </c>
      <c r="H90" t="s">
        <v>42</v>
      </c>
      <c r="I90" t="s">
        <v>40</v>
      </c>
      <c r="J90" t="s">
        <v>432</v>
      </c>
      <c r="K90" t="s">
        <v>45</v>
      </c>
      <c r="L90" t="s">
        <v>63</v>
      </c>
      <c r="M90" t="s">
        <v>338</v>
      </c>
      <c r="N90" t="s">
        <v>41</v>
      </c>
      <c r="O90" t="s">
        <v>41</v>
      </c>
      <c r="P90" t="s">
        <v>122</v>
      </c>
      <c r="Q90" t="s">
        <v>47</v>
      </c>
      <c r="R90" t="s">
        <v>66</v>
      </c>
      <c r="S90" t="s">
        <v>433</v>
      </c>
      <c r="T90" t="s">
        <v>434</v>
      </c>
      <c r="U90" t="s">
        <v>40</v>
      </c>
      <c r="V90" t="s">
        <v>52</v>
      </c>
      <c r="W90" t="s">
        <v>59</v>
      </c>
      <c r="X90" t="s">
        <v>144</v>
      </c>
      <c r="Y90" t="s">
        <v>45</v>
      </c>
      <c r="Z90" t="s">
        <v>40</v>
      </c>
      <c r="AA90" t="s">
        <v>54</v>
      </c>
      <c r="AB90" t="s">
        <v>45</v>
      </c>
      <c r="AC90" t="s">
        <v>53</v>
      </c>
      <c r="AD90" t="s">
        <v>45</v>
      </c>
      <c r="AE90" t="s">
        <v>45</v>
      </c>
      <c r="AF90" t="s">
        <v>53</v>
      </c>
      <c r="AG90" t="s">
        <v>70</v>
      </c>
      <c r="AH90" t="s">
        <v>70</v>
      </c>
      <c r="AI90" t="s">
        <v>51</v>
      </c>
    </row>
    <row r="91" spans="1:35" x14ac:dyDescent="0.25">
      <c r="A91" t="s">
        <v>213</v>
      </c>
      <c r="B91" t="s">
        <v>36</v>
      </c>
      <c r="C91" t="s">
        <v>37</v>
      </c>
      <c r="D91" t="s">
        <v>435</v>
      </c>
      <c r="E91" t="s">
        <v>39</v>
      </c>
      <c r="F91" t="s">
        <v>91</v>
      </c>
      <c r="G91" t="s">
        <v>41</v>
      </c>
      <c r="H91" t="s">
        <v>87</v>
      </c>
      <c r="I91" t="s">
        <v>40</v>
      </c>
      <c r="J91" t="s">
        <v>436</v>
      </c>
      <c r="K91" t="s">
        <v>45</v>
      </c>
      <c r="L91" t="s">
        <v>63</v>
      </c>
      <c r="M91" t="s">
        <v>292</v>
      </c>
      <c r="N91" t="s">
        <v>41</v>
      </c>
      <c r="O91" t="s">
        <v>45</v>
      </c>
      <c r="P91" t="s">
        <v>46</v>
      </c>
      <c r="Q91" t="s">
        <v>47</v>
      </c>
      <c r="R91" t="s">
        <v>48</v>
      </c>
      <c r="S91" t="s">
        <v>437</v>
      </c>
      <c r="T91" t="s">
        <v>438</v>
      </c>
      <c r="U91" t="s">
        <v>40</v>
      </c>
      <c r="V91" t="s">
        <v>52</v>
      </c>
      <c r="W91" t="s">
        <v>59</v>
      </c>
      <c r="X91" t="s">
        <v>128</v>
      </c>
      <c r="Y91" t="s">
        <v>45</v>
      </c>
      <c r="Z91" t="s">
        <v>47</v>
      </c>
      <c r="AA91" t="s">
        <v>54</v>
      </c>
      <c r="AB91" t="s">
        <v>55</v>
      </c>
      <c r="AC91" t="s">
        <v>91</v>
      </c>
      <c r="AD91" t="s">
        <v>45</v>
      </c>
      <c r="AE91" t="s">
        <v>45</v>
      </c>
      <c r="AF91" t="s">
        <v>91</v>
      </c>
      <c r="AG91" t="s">
        <v>51</v>
      </c>
      <c r="AH91" t="s">
        <v>47</v>
      </c>
      <c r="AI91" t="s">
        <v>71</v>
      </c>
    </row>
    <row r="92" spans="1:35" x14ac:dyDescent="0.25">
      <c r="A92" t="s">
        <v>88</v>
      </c>
      <c r="B92" t="s">
        <v>59</v>
      </c>
      <c r="C92" t="s">
        <v>60</v>
      </c>
      <c r="D92" t="s">
        <v>439</v>
      </c>
      <c r="E92" t="s">
        <v>62</v>
      </c>
      <c r="F92" t="s">
        <v>40</v>
      </c>
      <c r="G92" t="s">
        <v>47</v>
      </c>
      <c r="H92" t="s">
        <v>42</v>
      </c>
      <c r="I92" t="s">
        <v>40</v>
      </c>
      <c r="J92" t="s">
        <v>440</v>
      </c>
      <c r="K92" t="s">
        <v>45</v>
      </c>
      <c r="L92" t="s">
        <v>63</v>
      </c>
      <c r="M92" t="s">
        <v>168</v>
      </c>
      <c r="N92" t="s">
        <v>41</v>
      </c>
      <c r="O92" t="s">
        <v>47</v>
      </c>
      <c r="P92" t="s">
        <v>122</v>
      </c>
      <c r="Q92" t="s">
        <v>41</v>
      </c>
      <c r="R92" t="s">
        <v>66</v>
      </c>
      <c r="S92" t="s">
        <v>441</v>
      </c>
      <c r="T92" t="s">
        <v>442</v>
      </c>
      <c r="U92" t="s">
        <v>40</v>
      </c>
      <c r="V92" t="s">
        <v>52</v>
      </c>
      <c r="W92" t="s">
        <v>59</v>
      </c>
      <c r="X92" t="s">
        <v>112</v>
      </c>
      <c r="Y92" t="s">
        <v>47</v>
      </c>
      <c r="Z92" t="s">
        <v>47</v>
      </c>
      <c r="AA92" t="s">
        <v>54</v>
      </c>
      <c r="AB92" t="s">
        <v>40</v>
      </c>
      <c r="AC92" t="s">
        <v>112</v>
      </c>
      <c r="AD92" t="s">
        <v>45</v>
      </c>
      <c r="AE92" t="s">
        <v>41</v>
      </c>
      <c r="AF92" t="s">
        <v>112</v>
      </c>
      <c r="AG92" t="s">
        <v>45</v>
      </c>
      <c r="AH92" t="s">
        <v>53</v>
      </c>
      <c r="AI92" t="s">
        <v>53</v>
      </c>
    </row>
    <row r="93" spans="1:35" x14ac:dyDescent="0.25">
      <c r="A93" t="s">
        <v>155</v>
      </c>
      <c r="B93" t="s">
        <v>59</v>
      </c>
      <c r="C93" t="s">
        <v>37</v>
      </c>
      <c r="D93" t="s">
        <v>443</v>
      </c>
      <c r="E93" t="s">
        <v>39</v>
      </c>
      <c r="F93" t="s">
        <v>119</v>
      </c>
      <c r="G93" t="s">
        <v>47</v>
      </c>
      <c r="H93" t="s">
        <v>206</v>
      </c>
      <c r="I93" t="s">
        <v>40</v>
      </c>
      <c r="J93" t="s">
        <v>444</v>
      </c>
      <c r="K93" t="s">
        <v>45</v>
      </c>
      <c r="L93" t="s">
        <v>63</v>
      </c>
      <c r="M93" t="s">
        <v>315</v>
      </c>
      <c r="N93" t="s">
        <v>45</v>
      </c>
      <c r="O93" t="s">
        <v>41</v>
      </c>
      <c r="P93" t="s">
        <v>46</v>
      </c>
      <c r="Q93" t="s">
        <v>47</v>
      </c>
      <c r="R93" t="s">
        <v>48</v>
      </c>
      <c r="S93" t="s">
        <v>445</v>
      </c>
      <c r="T93" t="s">
        <v>446</v>
      </c>
      <c r="U93" t="s">
        <v>55</v>
      </c>
      <c r="V93" t="s">
        <v>52</v>
      </c>
      <c r="W93" t="s">
        <v>36</v>
      </c>
      <c r="X93" t="s">
        <v>112</v>
      </c>
      <c r="Y93" t="s">
        <v>47</v>
      </c>
      <c r="Z93" t="s">
        <v>47</v>
      </c>
      <c r="AA93" t="s">
        <v>54</v>
      </c>
      <c r="AB93" t="s">
        <v>55</v>
      </c>
      <c r="AC93" t="s">
        <v>53</v>
      </c>
      <c r="AD93" t="s">
        <v>41</v>
      </c>
      <c r="AE93" t="s">
        <v>40</v>
      </c>
      <c r="AF93" t="s">
        <v>70</v>
      </c>
      <c r="AG93" t="s">
        <v>71</v>
      </c>
      <c r="AH93" t="s">
        <v>40</v>
      </c>
      <c r="AI93" t="s">
        <v>55</v>
      </c>
    </row>
    <row r="94" spans="1:35" x14ac:dyDescent="0.25">
      <c r="A94" t="s">
        <v>105</v>
      </c>
      <c r="B94" t="s">
        <v>59</v>
      </c>
      <c r="C94" t="s">
        <v>37</v>
      </c>
      <c r="D94" t="s">
        <v>447</v>
      </c>
      <c r="E94" t="s">
        <v>39</v>
      </c>
      <c r="F94" t="s">
        <v>47</v>
      </c>
      <c r="G94" t="s">
        <v>41</v>
      </c>
      <c r="H94" t="s">
        <v>87</v>
      </c>
      <c r="I94" t="s">
        <v>40</v>
      </c>
      <c r="J94" t="s">
        <v>448</v>
      </c>
      <c r="K94" t="s">
        <v>45</v>
      </c>
      <c r="L94" t="s">
        <v>43</v>
      </c>
      <c r="M94" t="s">
        <v>288</v>
      </c>
      <c r="N94" t="s">
        <v>41</v>
      </c>
      <c r="O94" t="s">
        <v>41</v>
      </c>
      <c r="P94" t="s">
        <v>46</v>
      </c>
      <c r="Q94" t="s">
        <v>41</v>
      </c>
      <c r="R94" t="s">
        <v>109</v>
      </c>
      <c r="S94" t="s">
        <v>449</v>
      </c>
      <c r="T94" t="s">
        <v>450</v>
      </c>
      <c r="U94" t="s">
        <v>40</v>
      </c>
      <c r="V94" t="s">
        <v>52</v>
      </c>
      <c r="W94" t="s">
        <v>36</v>
      </c>
      <c r="X94" t="s">
        <v>92</v>
      </c>
      <c r="Y94" t="s">
        <v>45</v>
      </c>
      <c r="Z94" t="s">
        <v>41</v>
      </c>
      <c r="AA94" t="s">
        <v>54</v>
      </c>
      <c r="AB94" t="s">
        <v>45</v>
      </c>
      <c r="AC94" t="s">
        <v>53</v>
      </c>
      <c r="AD94" t="s">
        <v>47</v>
      </c>
      <c r="AE94" t="s">
        <v>41</v>
      </c>
      <c r="AF94" t="s">
        <v>53</v>
      </c>
      <c r="AG94" t="s">
        <v>51</v>
      </c>
      <c r="AH94" t="s">
        <v>41</v>
      </c>
      <c r="AI94" t="s">
        <v>71</v>
      </c>
    </row>
    <row r="95" spans="1:35" x14ac:dyDescent="0.25">
      <c r="A95" t="s">
        <v>213</v>
      </c>
      <c r="B95" t="s">
        <v>59</v>
      </c>
      <c r="C95" t="s">
        <v>60</v>
      </c>
      <c r="D95" t="s">
        <v>451</v>
      </c>
      <c r="E95" t="s">
        <v>62</v>
      </c>
      <c r="F95" t="s">
        <v>40</v>
      </c>
      <c r="G95" t="s">
        <v>45</v>
      </c>
      <c r="H95" t="s">
        <v>87</v>
      </c>
      <c r="I95" t="s">
        <v>40</v>
      </c>
      <c r="J95" t="s">
        <v>452</v>
      </c>
      <c r="K95" t="s">
        <v>45</v>
      </c>
      <c r="L95" t="s">
        <v>63</v>
      </c>
      <c r="M95" t="s">
        <v>88</v>
      </c>
      <c r="N95" t="s">
        <v>41</v>
      </c>
      <c r="O95" t="s">
        <v>45</v>
      </c>
      <c r="P95" t="s">
        <v>122</v>
      </c>
      <c r="Q95" t="s">
        <v>40</v>
      </c>
      <c r="R95" t="s">
        <v>66</v>
      </c>
      <c r="S95" t="s">
        <v>453</v>
      </c>
      <c r="T95" t="s">
        <v>454</v>
      </c>
      <c r="U95" t="s">
        <v>41</v>
      </c>
      <c r="V95" t="s">
        <v>52</v>
      </c>
      <c r="W95" t="s">
        <v>36</v>
      </c>
      <c r="X95" t="s">
        <v>98</v>
      </c>
      <c r="Y95" t="s">
        <v>45</v>
      </c>
      <c r="Z95" t="s">
        <v>45</v>
      </c>
      <c r="AA95" t="s">
        <v>54</v>
      </c>
      <c r="AB95" t="s">
        <v>40</v>
      </c>
      <c r="AC95" t="s">
        <v>119</v>
      </c>
      <c r="AD95" t="s">
        <v>57</v>
      </c>
      <c r="AE95" t="s">
        <v>41</v>
      </c>
      <c r="AF95" t="s">
        <v>70</v>
      </c>
      <c r="AG95" t="s">
        <v>91</v>
      </c>
      <c r="AH95" t="s">
        <v>91</v>
      </c>
      <c r="AI95" t="s">
        <v>57</v>
      </c>
    </row>
    <row r="96" spans="1:35" x14ac:dyDescent="0.25">
      <c r="A96" t="s">
        <v>93</v>
      </c>
      <c r="B96" t="s">
        <v>59</v>
      </c>
      <c r="C96" t="s">
        <v>37</v>
      </c>
      <c r="D96" t="s">
        <v>455</v>
      </c>
      <c r="E96" t="s">
        <v>39</v>
      </c>
      <c r="F96" t="s">
        <v>56</v>
      </c>
      <c r="G96" t="s">
        <v>47</v>
      </c>
      <c r="H96" t="s">
        <v>87</v>
      </c>
      <c r="I96" t="s">
        <v>40</v>
      </c>
      <c r="J96" t="s">
        <v>224</v>
      </c>
      <c r="K96" t="s">
        <v>41</v>
      </c>
      <c r="L96" t="s">
        <v>63</v>
      </c>
      <c r="M96" t="s">
        <v>371</v>
      </c>
      <c r="N96" t="s">
        <v>45</v>
      </c>
      <c r="O96" t="s">
        <v>41</v>
      </c>
      <c r="P96" t="s">
        <v>46</v>
      </c>
      <c r="Q96" t="s">
        <v>45</v>
      </c>
      <c r="R96" t="s">
        <v>48</v>
      </c>
      <c r="S96" t="s">
        <v>456</v>
      </c>
      <c r="T96" t="s">
        <v>457</v>
      </c>
      <c r="U96" t="s">
        <v>40</v>
      </c>
      <c r="V96" t="s">
        <v>52</v>
      </c>
      <c r="W96" t="s">
        <v>59</v>
      </c>
      <c r="X96" t="s">
        <v>128</v>
      </c>
      <c r="Y96" t="s">
        <v>45</v>
      </c>
      <c r="Z96" t="s">
        <v>40</v>
      </c>
      <c r="AA96" t="s">
        <v>54</v>
      </c>
      <c r="AB96" t="s">
        <v>55</v>
      </c>
      <c r="AC96" t="s">
        <v>92</v>
      </c>
      <c r="AD96" t="s">
        <v>55</v>
      </c>
      <c r="AE96" t="s">
        <v>45</v>
      </c>
      <c r="AF96" t="s">
        <v>53</v>
      </c>
      <c r="AG96" t="s">
        <v>51</v>
      </c>
      <c r="AH96" t="s">
        <v>57</v>
      </c>
      <c r="AI96" t="s">
        <v>71</v>
      </c>
    </row>
    <row r="97" spans="1:35" x14ac:dyDescent="0.25">
      <c r="A97" t="s">
        <v>259</v>
      </c>
      <c r="B97" t="s">
        <v>59</v>
      </c>
      <c r="C97" t="s">
        <v>37</v>
      </c>
      <c r="D97" t="s">
        <v>458</v>
      </c>
      <c r="E97" t="s">
        <v>62</v>
      </c>
      <c r="F97" t="s">
        <v>41</v>
      </c>
      <c r="G97" t="s">
        <v>47</v>
      </c>
      <c r="H97" t="s">
        <v>228</v>
      </c>
      <c r="I97" t="s">
        <v>40</v>
      </c>
      <c r="J97" t="s">
        <v>459</v>
      </c>
      <c r="K97" t="s">
        <v>40</v>
      </c>
      <c r="L97" t="s">
        <v>43</v>
      </c>
      <c r="M97" t="s">
        <v>275</v>
      </c>
      <c r="N97" t="s">
        <v>45</v>
      </c>
      <c r="O97" t="s">
        <v>45</v>
      </c>
      <c r="P97" t="s">
        <v>186</v>
      </c>
      <c r="Q97" t="s">
        <v>45</v>
      </c>
      <c r="R97" t="s">
        <v>66</v>
      </c>
      <c r="S97" t="s">
        <v>460</v>
      </c>
      <c r="T97" t="s">
        <v>461</v>
      </c>
      <c r="U97" t="s">
        <v>91</v>
      </c>
      <c r="V97" t="s">
        <v>52</v>
      </c>
      <c r="W97" t="s">
        <v>59</v>
      </c>
      <c r="X97" t="s">
        <v>92</v>
      </c>
      <c r="Y97" t="s">
        <v>45</v>
      </c>
      <c r="Z97" t="s">
        <v>40</v>
      </c>
      <c r="AA97" t="s">
        <v>54</v>
      </c>
      <c r="AB97" t="s">
        <v>40</v>
      </c>
      <c r="AC97" t="s">
        <v>128</v>
      </c>
      <c r="AD97" t="s">
        <v>57</v>
      </c>
      <c r="AE97" t="s">
        <v>40</v>
      </c>
      <c r="AF97" t="s">
        <v>47</v>
      </c>
      <c r="AG97" t="s">
        <v>45</v>
      </c>
      <c r="AH97" t="s">
        <v>55</v>
      </c>
      <c r="AI97" t="s">
        <v>45</v>
      </c>
    </row>
    <row r="98" spans="1:35" x14ac:dyDescent="0.25">
      <c r="A98" t="s">
        <v>107</v>
      </c>
      <c r="B98" t="s">
        <v>59</v>
      </c>
      <c r="C98" t="s">
        <v>37</v>
      </c>
      <c r="D98" t="s">
        <v>462</v>
      </c>
      <c r="E98" t="s">
        <v>39</v>
      </c>
      <c r="F98" t="s">
        <v>45</v>
      </c>
      <c r="G98" t="s">
        <v>41</v>
      </c>
      <c r="H98" t="s">
        <v>74</v>
      </c>
      <c r="I98" t="s">
        <v>40</v>
      </c>
      <c r="J98" t="s">
        <v>463</v>
      </c>
      <c r="K98" t="s">
        <v>40</v>
      </c>
      <c r="L98" t="s">
        <v>43</v>
      </c>
      <c r="M98" t="s">
        <v>80</v>
      </c>
      <c r="N98" t="s">
        <v>45</v>
      </c>
      <c r="O98" t="s">
        <v>41</v>
      </c>
      <c r="P98" t="s">
        <v>46</v>
      </c>
      <c r="Q98" t="s">
        <v>45</v>
      </c>
      <c r="R98" t="s">
        <v>66</v>
      </c>
      <c r="S98" t="s">
        <v>464</v>
      </c>
      <c r="T98" t="s">
        <v>465</v>
      </c>
      <c r="U98" t="s">
        <v>55</v>
      </c>
      <c r="V98" t="s">
        <v>52</v>
      </c>
      <c r="W98" t="s">
        <v>59</v>
      </c>
      <c r="X98" t="s">
        <v>119</v>
      </c>
      <c r="Y98" t="s">
        <v>47</v>
      </c>
      <c r="Z98" t="s">
        <v>40</v>
      </c>
      <c r="AA98" t="s">
        <v>54</v>
      </c>
      <c r="AB98" t="s">
        <v>40</v>
      </c>
      <c r="AC98" t="s">
        <v>47</v>
      </c>
      <c r="AD98" t="s">
        <v>41</v>
      </c>
      <c r="AE98" t="s">
        <v>41</v>
      </c>
      <c r="AF98" t="s">
        <v>45</v>
      </c>
      <c r="AG98" t="s">
        <v>41</v>
      </c>
      <c r="AH98" t="s">
        <v>55</v>
      </c>
      <c r="AI98" t="s">
        <v>41</v>
      </c>
    </row>
    <row r="99" spans="1:35" x14ac:dyDescent="0.25">
      <c r="A99" t="s">
        <v>149</v>
      </c>
      <c r="B99" t="s">
        <v>59</v>
      </c>
      <c r="C99" t="s">
        <v>161</v>
      </c>
      <c r="D99" t="s">
        <v>444</v>
      </c>
      <c r="E99" t="s">
        <v>39</v>
      </c>
      <c r="F99" t="s">
        <v>47</v>
      </c>
      <c r="G99" t="s">
        <v>45</v>
      </c>
      <c r="H99" t="s">
        <v>87</v>
      </c>
      <c r="I99" t="s">
        <v>40</v>
      </c>
      <c r="J99" t="s">
        <v>466</v>
      </c>
      <c r="K99" t="s">
        <v>41</v>
      </c>
      <c r="L99" t="s">
        <v>63</v>
      </c>
      <c r="M99" t="s">
        <v>234</v>
      </c>
      <c r="N99" t="s">
        <v>45</v>
      </c>
      <c r="O99" t="s">
        <v>41</v>
      </c>
      <c r="P99" t="s">
        <v>46</v>
      </c>
      <c r="Q99" t="s">
        <v>45</v>
      </c>
      <c r="R99" t="s">
        <v>66</v>
      </c>
      <c r="S99" t="s">
        <v>467</v>
      </c>
      <c r="T99" t="s">
        <v>468</v>
      </c>
      <c r="U99" t="s">
        <v>40</v>
      </c>
      <c r="V99" t="s">
        <v>52</v>
      </c>
      <c r="W99" t="s">
        <v>59</v>
      </c>
      <c r="X99" t="s">
        <v>79</v>
      </c>
      <c r="Y99" t="s">
        <v>45</v>
      </c>
      <c r="Z99" t="s">
        <v>41</v>
      </c>
      <c r="AA99" t="s">
        <v>54</v>
      </c>
      <c r="AB99" t="s">
        <v>55</v>
      </c>
      <c r="AC99" t="s">
        <v>57</v>
      </c>
      <c r="AD99" t="s">
        <v>45</v>
      </c>
      <c r="AE99" t="s">
        <v>47</v>
      </c>
      <c r="AF99" t="s">
        <v>57</v>
      </c>
      <c r="AG99" t="s">
        <v>47</v>
      </c>
      <c r="AH99" t="s">
        <v>55</v>
      </c>
      <c r="AI99" t="s">
        <v>47</v>
      </c>
    </row>
    <row r="100" spans="1:35" x14ac:dyDescent="0.25">
      <c r="A100" t="s">
        <v>197</v>
      </c>
      <c r="B100" t="s">
        <v>59</v>
      </c>
      <c r="C100" t="s">
        <v>37</v>
      </c>
      <c r="D100" t="s">
        <v>469</v>
      </c>
      <c r="E100" t="s">
        <v>39</v>
      </c>
      <c r="F100" t="s">
        <v>70</v>
      </c>
      <c r="G100" t="s">
        <v>47</v>
      </c>
      <c r="H100" t="s">
        <v>87</v>
      </c>
      <c r="I100" t="s">
        <v>40</v>
      </c>
      <c r="J100" t="s">
        <v>470</v>
      </c>
      <c r="K100" t="s">
        <v>47</v>
      </c>
      <c r="L100" t="s">
        <v>63</v>
      </c>
      <c r="M100" t="s">
        <v>72</v>
      </c>
      <c r="N100" t="s">
        <v>45</v>
      </c>
      <c r="O100" t="s">
        <v>47</v>
      </c>
      <c r="P100" t="s">
        <v>46</v>
      </c>
      <c r="Q100" t="s">
        <v>45</v>
      </c>
      <c r="R100" t="s">
        <v>48</v>
      </c>
      <c r="S100" t="s">
        <v>471</v>
      </c>
      <c r="T100" t="s">
        <v>472</v>
      </c>
      <c r="U100" t="s">
        <v>55</v>
      </c>
      <c r="V100" t="s">
        <v>52</v>
      </c>
      <c r="W100" t="s">
        <v>59</v>
      </c>
      <c r="X100" t="s">
        <v>98</v>
      </c>
      <c r="Y100" t="s">
        <v>45</v>
      </c>
      <c r="Z100" t="s">
        <v>45</v>
      </c>
      <c r="AA100" t="s">
        <v>54</v>
      </c>
      <c r="AB100" t="s">
        <v>55</v>
      </c>
      <c r="AC100" t="s">
        <v>113</v>
      </c>
      <c r="AD100" t="s">
        <v>40</v>
      </c>
      <c r="AE100" t="s">
        <v>41</v>
      </c>
      <c r="AF100" t="s">
        <v>72</v>
      </c>
      <c r="AG100" t="s">
        <v>70</v>
      </c>
      <c r="AH100" t="s">
        <v>40</v>
      </c>
      <c r="AI100" t="s">
        <v>51</v>
      </c>
    </row>
    <row r="101" spans="1:35" x14ac:dyDescent="0.25">
      <c r="A101" t="s">
        <v>115</v>
      </c>
      <c r="B101" t="s">
        <v>59</v>
      </c>
      <c r="C101" t="s">
        <v>161</v>
      </c>
      <c r="D101" t="s">
        <v>473</v>
      </c>
      <c r="E101" t="s">
        <v>62</v>
      </c>
      <c r="F101" t="s">
        <v>69</v>
      </c>
      <c r="G101" t="s">
        <v>45</v>
      </c>
      <c r="H101" t="s">
        <v>87</v>
      </c>
      <c r="I101" t="s">
        <v>40</v>
      </c>
      <c r="J101" t="s">
        <v>378</v>
      </c>
      <c r="K101" t="s">
        <v>41</v>
      </c>
      <c r="L101" t="s">
        <v>63</v>
      </c>
      <c r="M101" t="s">
        <v>108</v>
      </c>
      <c r="N101" t="s">
        <v>45</v>
      </c>
      <c r="O101" t="s">
        <v>41</v>
      </c>
      <c r="P101" t="s">
        <v>76</v>
      </c>
      <c r="Q101" t="s">
        <v>41</v>
      </c>
      <c r="R101" t="s">
        <v>66</v>
      </c>
      <c r="S101" t="s">
        <v>474</v>
      </c>
      <c r="T101" t="s">
        <v>475</v>
      </c>
      <c r="U101" t="s">
        <v>47</v>
      </c>
      <c r="V101" t="s">
        <v>52</v>
      </c>
      <c r="W101" t="s">
        <v>59</v>
      </c>
      <c r="X101" t="s">
        <v>92</v>
      </c>
      <c r="Y101" t="s">
        <v>45</v>
      </c>
      <c r="Z101" t="s">
        <v>45</v>
      </c>
      <c r="AA101" t="s">
        <v>54</v>
      </c>
      <c r="AB101" t="s">
        <v>40</v>
      </c>
      <c r="AC101" t="s">
        <v>125</v>
      </c>
      <c r="AD101" t="s">
        <v>45</v>
      </c>
      <c r="AE101" t="s">
        <v>47</v>
      </c>
      <c r="AF101" t="s">
        <v>45</v>
      </c>
      <c r="AG101" t="s">
        <v>41</v>
      </c>
      <c r="AH101" t="s">
        <v>40</v>
      </c>
      <c r="AI101" t="s">
        <v>41</v>
      </c>
    </row>
    <row r="102" spans="1:35" x14ac:dyDescent="0.25">
      <c r="A102" t="s">
        <v>72</v>
      </c>
      <c r="B102" t="s">
        <v>36</v>
      </c>
      <c r="C102" t="s">
        <v>37</v>
      </c>
      <c r="D102" t="s">
        <v>476</v>
      </c>
      <c r="E102" t="s">
        <v>397</v>
      </c>
      <c r="F102" t="s">
        <v>56</v>
      </c>
      <c r="G102" t="s">
        <v>47</v>
      </c>
      <c r="H102" t="s">
        <v>397</v>
      </c>
      <c r="I102" t="s">
        <v>40</v>
      </c>
      <c r="J102" t="s">
        <v>477</v>
      </c>
      <c r="K102" t="s">
        <v>45</v>
      </c>
      <c r="L102" t="s">
        <v>63</v>
      </c>
      <c r="M102" t="s">
        <v>288</v>
      </c>
      <c r="N102" t="s">
        <v>45</v>
      </c>
      <c r="O102" t="s">
        <v>40</v>
      </c>
      <c r="P102" t="s">
        <v>397</v>
      </c>
      <c r="Q102" t="s">
        <v>40</v>
      </c>
      <c r="R102" t="s">
        <v>109</v>
      </c>
      <c r="S102" t="s">
        <v>478</v>
      </c>
      <c r="T102" t="s">
        <v>479</v>
      </c>
      <c r="U102" t="s">
        <v>47</v>
      </c>
      <c r="V102" t="s">
        <v>52</v>
      </c>
      <c r="W102" t="s">
        <v>36</v>
      </c>
      <c r="X102" t="s">
        <v>112</v>
      </c>
      <c r="Y102" t="s">
        <v>47</v>
      </c>
      <c r="Z102" t="s">
        <v>47</v>
      </c>
      <c r="AA102" t="s">
        <v>54</v>
      </c>
      <c r="AB102" t="s">
        <v>55</v>
      </c>
      <c r="AC102" t="s">
        <v>71</v>
      </c>
      <c r="AD102" t="s">
        <v>45</v>
      </c>
      <c r="AE102" t="s">
        <v>45</v>
      </c>
      <c r="AF102" t="s">
        <v>45</v>
      </c>
      <c r="AG102" t="s">
        <v>41</v>
      </c>
      <c r="AH102" t="s">
        <v>55</v>
      </c>
      <c r="AI102" t="s">
        <v>41</v>
      </c>
    </row>
    <row r="103" spans="1:35" x14ac:dyDescent="0.25">
      <c r="A103" t="s">
        <v>93</v>
      </c>
      <c r="B103" t="s">
        <v>59</v>
      </c>
      <c r="C103" t="s">
        <v>37</v>
      </c>
      <c r="D103" t="s">
        <v>480</v>
      </c>
      <c r="E103" t="s">
        <v>62</v>
      </c>
      <c r="F103" t="s">
        <v>40</v>
      </c>
      <c r="G103" t="s">
        <v>40</v>
      </c>
      <c r="H103" t="s">
        <v>42</v>
      </c>
      <c r="I103" t="s">
        <v>40</v>
      </c>
      <c r="J103" t="s">
        <v>481</v>
      </c>
      <c r="K103" t="s">
        <v>47</v>
      </c>
      <c r="L103" t="s">
        <v>63</v>
      </c>
      <c r="M103" t="s">
        <v>315</v>
      </c>
      <c r="N103" t="s">
        <v>45</v>
      </c>
      <c r="O103" t="s">
        <v>40</v>
      </c>
      <c r="P103" t="s">
        <v>65</v>
      </c>
      <c r="Q103" t="s">
        <v>40</v>
      </c>
      <c r="R103" t="s">
        <v>48</v>
      </c>
      <c r="S103" t="s">
        <v>482</v>
      </c>
      <c r="T103" t="s">
        <v>483</v>
      </c>
      <c r="U103" t="s">
        <v>40</v>
      </c>
      <c r="V103" t="s">
        <v>52</v>
      </c>
      <c r="W103" t="s">
        <v>59</v>
      </c>
      <c r="X103" t="s">
        <v>98</v>
      </c>
      <c r="Y103" t="s">
        <v>45</v>
      </c>
      <c r="Z103" t="s">
        <v>47</v>
      </c>
      <c r="AA103" t="s">
        <v>54</v>
      </c>
      <c r="AB103" t="s">
        <v>55</v>
      </c>
      <c r="AC103" t="s">
        <v>40</v>
      </c>
      <c r="AD103" t="s">
        <v>41</v>
      </c>
      <c r="AE103" t="s">
        <v>45</v>
      </c>
      <c r="AF103" t="s">
        <v>40</v>
      </c>
      <c r="AG103" t="s">
        <v>55</v>
      </c>
      <c r="AH103" t="s">
        <v>55</v>
      </c>
      <c r="AI103" t="s">
        <v>55</v>
      </c>
    </row>
    <row r="104" spans="1:35" x14ac:dyDescent="0.25">
      <c r="A104" t="s">
        <v>104</v>
      </c>
      <c r="B104" t="s">
        <v>36</v>
      </c>
      <c r="C104" t="s">
        <v>60</v>
      </c>
      <c r="D104" t="s">
        <v>484</v>
      </c>
      <c r="E104" t="s">
        <v>62</v>
      </c>
      <c r="F104" t="s">
        <v>56</v>
      </c>
      <c r="G104" t="s">
        <v>45</v>
      </c>
      <c r="H104" t="s">
        <v>42</v>
      </c>
      <c r="I104" t="s">
        <v>40</v>
      </c>
      <c r="J104" t="s">
        <v>485</v>
      </c>
      <c r="K104" t="s">
        <v>47</v>
      </c>
      <c r="L104" t="s">
        <v>43</v>
      </c>
      <c r="M104" t="s">
        <v>375</v>
      </c>
      <c r="N104" t="s">
        <v>41</v>
      </c>
      <c r="O104" t="s">
        <v>40</v>
      </c>
      <c r="P104" t="s">
        <v>76</v>
      </c>
      <c r="Q104" t="s">
        <v>47</v>
      </c>
      <c r="R104" t="s">
        <v>48</v>
      </c>
      <c r="S104" t="s">
        <v>486</v>
      </c>
      <c r="T104" t="s">
        <v>487</v>
      </c>
      <c r="U104" t="s">
        <v>40</v>
      </c>
      <c r="V104" t="s">
        <v>52</v>
      </c>
      <c r="W104" t="s">
        <v>36</v>
      </c>
      <c r="X104" t="s">
        <v>145</v>
      </c>
      <c r="Y104" t="s">
        <v>45</v>
      </c>
      <c r="Z104" t="s">
        <v>41</v>
      </c>
      <c r="AA104" t="s">
        <v>54</v>
      </c>
      <c r="AB104" t="s">
        <v>55</v>
      </c>
      <c r="AC104" t="s">
        <v>40</v>
      </c>
      <c r="AD104" t="s">
        <v>57</v>
      </c>
      <c r="AE104" t="s">
        <v>45</v>
      </c>
      <c r="AF104" t="s">
        <v>40</v>
      </c>
      <c r="AG104" t="s">
        <v>55</v>
      </c>
      <c r="AH104" t="s">
        <v>40</v>
      </c>
      <c r="AI104" t="s">
        <v>55</v>
      </c>
    </row>
    <row r="105" spans="1:35" x14ac:dyDescent="0.25">
      <c r="A105" t="s">
        <v>142</v>
      </c>
      <c r="B105" t="s">
        <v>59</v>
      </c>
      <c r="C105" t="s">
        <v>37</v>
      </c>
      <c r="D105" t="s">
        <v>488</v>
      </c>
      <c r="E105" t="s">
        <v>62</v>
      </c>
      <c r="F105" t="s">
        <v>56</v>
      </c>
      <c r="G105" t="s">
        <v>47</v>
      </c>
      <c r="H105" t="s">
        <v>74</v>
      </c>
      <c r="I105" t="s">
        <v>40</v>
      </c>
      <c r="J105" t="s">
        <v>489</v>
      </c>
      <c r="K105" t="s">
        <v>40</v>
      </c>
      <c r="L105" t="s">
        <v>43</v>
      </c>
      <c r="M105" t="s">
        <v>35</v>
      </c>
      <c r="N105" t="s">
        <v>45</v>
      </c>
      <c r="O105" t="s">
        <v>41</v>
      </c>
      <c r="P105" t="s">
        <v>65</v>
      </c>
      <c r="Q105" t="s">
        <v>45</v>
      </c>
      <c r="R105" t="s">
        <v>48</v>
      </c>
      <c r="S105" t="s">
        <v>490</v>
      </c>
      <c r="T105" t="s">
        <v>491</v>
      </c>
      <c r="U105" t="s">
        <v>40</v>
      </c>
      <c r="V105" t="s">
        <v>52</v>
      </c>
      <c r="W105" t="s">
        <v>59</v>
      </c>
      <c r="X105" t="s">
        <v>129</v>
      </c>
      <c r="Y105" t="s">
        <v>45</v>
      </c>
      <c r="Z105" t="s">
        <v>45</v>
      </c>
      <c r="AA105" t="s">
        <v>54</v>
      </c>
      <c r="AB105" t="s">
        <v>55</v>
      </c>
      <c r="AC105" t="s">
        <v>128</v>
      </c>
      <c r="AD105" t="s">
        <v>45</v>
      </c>
      <c r="AE105" t="s">
        <v>45</v>
      </c>
      <c r="AF105" t="s">
        <v>128</v>
      </c>
      <c r="AG105" t="s">
        <v>98</v>
      </c>
      <c r="AH105" t="s">
        <v>41</v>
      </c>
      <c r="AI105" t="s">
        <v>70</v>
      </c>
    </row>
    <row r="106" spans="1:35" x14ac:dyDescent="0.25">
      <c r="A106" t="s">
        <v>72</v>
      </c>
      <c r="B106" t="s">
        <v>59</v>
      </c>
      <c r="C106" t="s">
        <v>161</v>
      </c>
      <c r="D106" t="s">
        <v>492</v>
      </c>
      <c r="E106" t="s">
        <v>62</v>
      </c>
      <c r="F106" t="s">
        <v>41</v>
      </c>
      <c r="G106" t="s">
        <v>41</v>
      </c>
      <c r="H106" t="s">
        <v>42</v>
      </c>
      <c r="I106" t="s">
        <v>40</v>
      </c>
      <c r="J106" t="s">
        <v>493</v>
      </c>
      <c r="K106" t="s">
        <v>45</v>
      </c>
      <c r="L106" t="s">
        <v>63</v>
      </c>
      <c r="M106" t="s">
        <v>385</v>
      </c>
      <c r="N106" t="s">
        <v>41</v>
      </c>
      <c r="O106" t="s">
        <v>41</v>
      </c>
      <c r="P106" t="s">
        <v>122</v>
      </c>
      <c r="Q106" t="s">
        <v>47</v>
      </c>
      <c r="R106" t="s">
        <v>109</v>
      </c>
      <c r="S106" t="s">
        <v>494</v>
      </c>
      <c r="T106" t="s">
        <v>495</v>
      </c>
      <c r="U106" t="s">
        <v>57</v>
      </c>
      <c r="V106" t="s">
        <v>52</v>
      </c>
      <c r="W106" t="s">
        <v>59</v>
      </c>
      <c r="X106" t="s">
        <v>129</v>
      </c>
      <c r="Y106" t="s">
        <v>45</v>
      </c>
      <c r="Z106" t="s">
        <v>47</v>
      </c>
      <c r="AA106" t="s">
        <v>54</v>
      </c>
      <c r="AB106" t="s">
        <v>40</v>
      </c>
      <c r="AC106" t="s">
        <v>125</v>
      </c>
      <c r="AD106" t="s">
        <v>41</v>
      </c>
      <c r="AE106" t="s">
        <v>47</v>
      </c>
      <c r="AF106" t="s">
        <v>40</v>
      </c>
      <c r="AG106" t="s">
        <v>55</v>
      </c>
      <c r="AH106" t="s">
        <v>55</v>
      </c>
      <c r="AI106" t="s">
        <v>55</v>
      </c>
    </row>
    <row r="107" spans="1:35" x14ac:dyDescent="0.25">
      <c r="A107" t="s">
        <v>99</v>
      </c>
      <c r="B107" t="s">
        <v>59</v>
      </c>
      <c r="C107" t="s">
        <v>161</v>
      </c>
      <c r="D107" t="s">
        <v>496</v>
      </c>
      <c r="E107" t="s">
        <v>397</v>
      </c>
      <c r="F107" t="s">
        <v>41</v>
      </c>
      <c r="G107" t="s">
        <v>47</v>
      </c>
      <c r="H107" t="s">
        <v>397</v>
      </c>
      <c r="I107" t="s">
        <v>40</v>
      </c>
      <c r="J107" t="s">
        <v>497</v>
      </c>
      <c r="K107" t="s">
        <v>45</v>
      </c>
      <c r="L107" t="s">
        <v>43</v>
      </c>
      <c r="M107" t="s">
        <v>93</v>
      </c>
      <c r="N107" t="s">
        <v>41</v>
      </c>
      <c r="O107" t="s">
        <v>57</v>
      </c>
      <c r="P107" t="s">
        <v>169</v>
      </c>
      <c r="Q107" t="s">
        <v>47</v>
      </c>
      <c r="R107" t="s">
        <v>66</v>
      </c>
      <c r="S107" t="s">
        <v>498</v>
      </c>
      <c r="T107" t="s">
        <v>499</v>
      </c>
      <c r="U107" t="s">
        <v>91</v>
      </c>
      <c r="V107" t="s">
        <v>52</v>
      </c>
      <c r="W107" t="s">
        <v>59</v>
      </c>
      <c r="X107" t="s">
        <v>119</v>
      </c>
      <c r="Y107" t="s">
        <v>47</v>
      </c>
      <c r="Z107" t="s">
        <v>47</v>
      </c>
      <c r="AA107" t="s">
        <v>54</v>
      </c>
      <c r="AB107" t="s">
        <v>40</v>
      </c>
      <c r="AC107" t="s">
        <v>105</v>
      </c>
      <c r="AD107" t="s">
        <v>45</v>
      </c>
      <c r="AE107" t="s">
        <v>45</v>
      </c>
      <c r="AF107" t="s">
        <v>45</v>
      </c>
      <c r="AG107" t="s">
        <v>41</v>
      </c>
      <c r="AH107" t="s">
        <v>41</v>
      </c>
      <c r="AI107" t="s">
        <v>41</v>
      </c>
    </row>
    <row r="108" spans="1:35" x14ac:dyDescent="0.25">
      <c r="A108" t="s">
        <v>151</v>
      </c>
      <c r="B108" t="s">
        <v>59</v>
      </c>
      <c r="C108" t="s">
        <v>60</v>
      </c>
      <c r="D108" t="s">
        <v>325</v>
      </c>
      <c r="E108" t="s">
        <v>62</v>
      </c>
      <c r="F108" t="s">
        <v>40</v>
      </c>
      <c r="G108" t="s">
        <v>45</v>
      </c>
      <c r="H108" t="s">
        <v>42</v>
      </c>
      <c r="I108" t="s">
        <v>40</v>
      </c>
      <c r="J108" t="s">
        <v>500</v>
      </c>
      <c r="K108" t="s">
        <v>40</v>
      </c>
      <c r="L108" t="s">
        <v>43</v>
      </c>
      <c r="M108" t="s">
        <v>279</v>
      </c>
      <c r="N108" t="s">
        <v>45</v>
      </c>
      <c r="O108" t="s">
        <v>57</v>
      </c>
      <c r="P108" t="s">
        <v>186</v>
      </c>
      <c r="Q108" t="s">
        <v>41</v>
      </c>
      <c r="R108" t="s">
        <v>66</v>
      </c>
      <c r="S108" t="s">
        <v>501</v>
      </c>
      <c r="T108" t="s">
        <v>502</v>
      </c>
      <c r="U108" t="s">
        <v>45</v>
      </c>
      <c r="V108" t="s">
        <v>52</v>
      </c>
      <c r="W108" t="s">
        <v>36</v>
      </c>
      <c r="X108" t="s">
        <v>144</v>
      </c>
      <c r="Y108" t="s">
        <v>45</v>
      </c>
      <c r="Z108" t="s">
        <v>40</v>
      </c>
      <c r="AA108" t="s">
        <v>54</v>
      </c>
      <c r="AB108" t="s">
        <v>55</v>
      </c>
      <c r="AC108" t="s">
        <v>149</v>
      </c>
      <c r="AD108" t="s">
        <v>40</v>
      </c>
      <c r="AE108" t="s">
        <v>41</v>
      </c>
      <c r="AF108" t="s">
        <v>51</v>
      </c>
      <c r="AG108" t="s">
        <v>45</v>
      </c>
      <c r="AH108" t="s">
        <v>55</v>
      </c>
      <c r="AI108" t="s">
        <v>71</v>
      </c>
    </row>
    <row r="109" spans="1:35" x14ac:dyDescent="0.25">
      <c r="A109" t="s">
        <v>172</v>
      </c>
      <c r="B109" t="s">
        <v>36</v>
      </c>
      <c r="C109" t="s">
        <v>37</v>
      </c>
      <c r="D109" t="s">
        <v>503</v>
      </c>
      <c r="E109" t="s">
        <v>39</v>
      </c>
      <c r="F109" t="s">
        <v>57</v>
      </c>
      <c r="G109" t="s">
        <v>45</v>
      </c>
      <c r="H109" t="s">
        <v>206</v>
      </c>
      <c r="I109" t="s">
        <v>40</v>
      </c>
      <c r="J109" t="s">
        <v>504</v>
      </c>
      <c r="K109" t="s">
        <v>45</v>
      </c>
      <c r="L109" t="s">
        <v>63</v>
      </c>
      <c r="M109" t="s">
        <v>213</v>
      </c>
      <c r="N109" t="s">
        <v>41</v>
      </c>
      <c r="O109" t="s">
        <v>41</v>
      </c>
      <c r="P109" t="s">
        <v>46</v>
      </c>
      <c r="Q109" t="s">
        <v>45</v>
      </c>
      <c r="R109" t="s">
        <v>48</v>
      </c>
      <c r="S109" t="s">
        <v>505</v>
      </c>
      <c r="T109" t="s">
        <v>506</v>
      </c>
      <c r="U109" t="s">
        <v>40</v>
      </c>
      <c r="V109" t="s">
        <v>52</v>
      </c>
      <c r="W109" t="s">
        <v>36</v>
      </c>
      <c r="X109" t="s">
        <v>53</v>
      </c>
      <c r="Y109" t="s">
        <v>45</v>
      </c>
      <c r="Z109" t="s">
        <v>47</v>
      </c>
      <c r="AA109" t="s">
        <v>54</v>
      </c>
      <c r="AB109" t="s">
        <v>55</v>
      </c>
      <c r="AC109" t="s">
        <v>56</v>
      </c>
      <c r="AD109" t="s">
        <v>40</v>
      </c>
      <c r="AE109" t="s">
        <v>45</v>
      </c>
      <c r="AF109" t="s">
        <v>56</v>
      </c>
      <c r="AG109" t="s">
        <v>47</v>
      </c>
      <c r="AH109" t="s">
        <v>55</v>
      </c>
      <c r="AI109" t="s">
        <v>45</v>
      </c>
    </row>
    <row r="110" spans="1:35" x14ac:dyDescent="0.25">
      <c r="A110" t="s">
        <v>172</v>
      </c>
      <c r="B110" t="s">
        <v>59</v>
      </c>
      <c r="C110" t="s">
        <v>37</v>
      </c>
      <c r="D110" t="s">
        <v>507</v>
      </c>
      <c r="E110" t="s">
        <v>62</v>
      </c>
      <c r="F110" t="s">
        <v>71</v>
      </c>
      <c r="G110" t="s">
        <v>40</v>
      </c>
      <c r="H110" t="s">
        <v>87</v>
      </c>
      <c r="I110" t="s">
        <v>40</v>
      </c>
      <c r="J110" t="s">
        <v>508</v>
      </c>
      <c r="K110" t="s">
        <v>47</v>
      </c>
      <c r="L110" t="s">
        <v>63</v>
      </c>
      <c r="M110" t="s">
        <v>292</v>
      </c>
      <c r="N110" t="s">
        <v>41</v>
      </c>
      <c r="O110" t="s">
        <v>40</v>
      </c>
      <c r="P110" t="s">
        <v>65</v>
      </c>
      <c r="Q110" t="s">
        <v>47</v>
      </c>
      <c r="R110" t="s">
        <v>66</v>
      </c>
      <c r="S110" t="s">
        <v>509</v>
      </c>
      <c r="T110" t="s">
        <v>510</v>
      </c>
      <c r="U110" t="s">
        <v>40</v>
      </c>
      <c r="V110" t="s">
        <v>52</v>
      </c>
      <c r="W110" t="s">
        <v>59</v>
      </c>
      <c r="X110" t="s">
        <v>53</v>
      </c>
      <c r="Y110" t="s">
        <v>45</v>
      </c>
      <c r="Z110" t="s">
        <v>45</v>
      </c>
      <c r="AA110" t="s">
        <v>54</v>
      </c>
      <c r="AB110" t="s">
        <v>41</v>
      </c>
      <c r="AC110" t="s">
        <v>41</v>
      </c>
      <c r="AD110" t="s">
        <v>41</v>
      </c>
      <c r="AE110" t="s">
        <v>45</v>
      </c>
      <c r="AF110" t="s">
        <v>41</v>
      </c>
      <c r="AG110" t="s">
        <v>41</v>
      </c>
      <c r="AH110" t="s">
        <v>41</v>
      </c>
      <c r="AI110" t="s">
        <v>40</v>
      </c>
    </row>
    <row r="111" spans="1:35" x14ac:dyDescent="0.25">
      <c r="A111" t="s">
        <v>112</v>
      </c>
      <c r="B111" t="s">
        <v>59</v>
      </c>
      <c r="C111" t="s">
        <v>37</v>
      </c>
      <c r="D111" t="s">
        <v>511</v>
      </c>
      <c r="E111" t="s">
        <v>62</v>
      </c>
      <c r="F111" t="s">
        <v>79</v>
      </c>
      <c r="G111" t="s">
        <v>45</v>
      </c>
      <c r="H111" t="s">
        <v>87</v>
      </c>
      <c r="I111" t="s">
        <v>40</v>
      </c>
      <c r="J111" t="s">
        <v>512</v>
      </c>
      <c r="K111" t="s">
        <v>41</v>
      </c>
      <c r="L111" t="s">
        <v>43</v>
      </c>
      <c r="M111" t="s">
        <v>99</v>
      </c>
      <c r="N111" t="s">
        <v>45</v>
      </c>
      <c r="O111" t="s">
        <v>40</v>
      </c>
      <c r="P111" t="s">
        <v>76</v>
      </c>
      <c r="Q111" t="s">
        <v>47</v>
      </c>
      <c r="R111" t="s">
        <v>48</v>
      </c>
      <c r="S111" t="s">
        <v>513</v>
      </c>
      <c r="T111" t="s">
        <v>514</v>
      </c>
      <c r="U111" t="s">
        <v>40</v>
      </c>
      <c r="V111" t="s">
        <v>52</v>
      </c>
      <c r="W111" t="s">
        <v>59</v>
      </c>
      <c r="X111" t="s">
        <v>79</v>
      </c>
      <c r="Y111" t="s">
        <v>45</v>
      </c>
      <c r="Z111" t="s">
        <v>45</v>
      </c>
      <c r="AA111" t="s">
        <v>54</v>
      </c>
      <c r="AB111" t="s">
        <v>55</v>
      </c>
      <c r="AC111" t="s">
        <v>40</v>
      </c>
      <c r="AD111" t="s">
        <v>57</v>
      </c>
      <c r="AE111" t="s">
        <v>45</v>
      </c>
      <c r="AF111" t="s">
        <v>55</v>
      </c>
      <c r="AG111" t="s">
        <v>55</v>
      </c>
      <c r="AH111" t="s">
        <v>55</v>
      </c>
      <c r="AI111" t="s">
        <v>55</v>
      </c>
    </row>
    <row r="112" spans="1:35" x14ac:dyDescent="0.25">
      <c r="A112" t="s">
        <v>155</v>
      </c>
      <c r="B112" t="s">
        <v>59</v>
      </c>
      <c r="C112" t="s">
        <v>60</v>
      </c>
      <c r="D112" t="s">
        <v>515</v>
      </c>
      <c r="E112" t="s">
        <v>62</v>
      </c>
      <c r="F112" t="s">
        <v>40</v>
      </c>
      <c r="G112" t="s">
        <v>47</v>
      </c>
      <c r="H112" t="s">
        <v>87</v>
      </c>
      <c r="I112" t="s">
        <v>40</v>
      </c>
      <c r="J112" t="s">
        <v>516</v>
      </c>
      <c r="K112" t="s">
        <v>40</v>
      </c>
      <c r="L112" t="s">
        <v>43</v>
      </c>
      <c r="M112" t="s">
        <v>105</v>
      </c>
      <c r="N112" t="s">
        <v>41</v>
      </c>
      <c r="O112" t="s">
        <v>45</v>
      </c>
      <c r="P112" t="s">
        <v>122</v>
      </c>
      <c r="Q112" t="s">
        <v>40</v>
      </c>
      <c r="R112" t="s">
        <v>48</v>
      </c>
      <c r="S112" t="s">
        <v>517</v>
      </c>
      <c r="T112" t="s">
        <v>518</v>
      </c>
      <c r="U112" t="s">
        <v>45</v>
      </c>
      <c r="V112" t="s">
        <v>52</v>
      </c>
      <c r="W112" t="s">
        <v>59</v>
      </c>
      <c r="X112" t="s">
        <v>104</v>
      </c>
      <c r="Y112" t="s">
        <v>47</v>
      </c>
      <c r="Z112" t="s">
        <v>45</v>
      </c>
      <c r="AA112" t="s">
        <v>54</v>
      </c>
      <c r="AB112" t="s">
        <v>55</v>
      </c>
      <c r="AC112" t="s">
        <v>69</v>
      </c>
      <c r="AD112" t="s">
        <v>40</v>
      </c>
      <c r="AE112" t="s">
        <v>41</v>
      </c>
      <c r="AF112" t="s">
        <v>98</v>
      </c>
      <c r="AG112" t="s">
        <v>92</v>
      </c>
      <c r="AH112" t="s">
        <v>92</v>
      </c>
      <c r="AI112" t="s">
        <v>51</v>
      </c>
    </row>
    <row r="113" spans="1:35" x14ac:dyDescent="0.25">
      <c r="A113" t="s">
        <v>142</v>
      </c>
      <c r="B113" t="s">
        <v>36</v>
      </c>
      <c r="C113" t="s">
        <v>60</v>
      </c>
      <c r="D113" t="s">
        <v>519</v>
      </c>
      <c r="E113" t="s">
        <v>62</v>
      </c>
      <c r="F113" t="s">
        <v>71</v>
      </c>
      <c r="G113" t="s">
        <v>45</v>
      </c>
      <c r="H113" t="s">
        <v>42</v>
      </c>
      <c r="I113" t="s">
        <v>40</v>
      </c>
      <c r="J113" t="s">
        <v>520</v>
      </c>
      <c r="K113" t="s">
        <v>40</v>
      </c>
      <c r="L113" t="s">
        <v>63</v>
      </c>
      <c r="M113" t="s">
        <v>375</v>
      </c>
      <c r="N113" t="s">
        <v>40</v>
      </c>
      <c r="O113" t="s">
        <v>41</v>
      </c>
      <c r="P113" t="s">
        <v>76</v>
      </c>
      <c r="Q113" t="s">
        <v>45</v>
      </c>
      <c r="R113" t="s">
        <v>48</v>
      </c>
      <c r="S113" t="s">
        <v>521</v>
      </c>
      <c r="T113" t="s">
        <v>522</v>
      </c>
      <c r="U113" t="s">
        <v>40</v>
      </c>
      <c r="V113" t="s">
        <v>52</v>
      </c>
      <c r="W113" t="s">
        <v>36</v>
      </c>
      <c r="X113" t="s">
        <v>107</v>
      </c>
      <c r="Y113" t="s">
        <v>47</v>
      </c>
      <c r="Z113" t="s">
        <v>47</v>
      </c>
      <c r="AA113" t="s">
        <v>54</v>
      </c>
      <c r="AB113" t="s">
        <v>55</v>
      </c>
      <c r="AC113" t="s">
        <v>91</v>
      </c>
      <c r="AD113" t="s">
        <v>45</v>
      </c>
      <c r="AE113" t="s">
        <v>45</v>
      </c>
      <c r="AF113" t="s">
        <v>91</v>
      </c>
      <c r="AG113" t="s">
        <v>71</v>
      </c>
      <c r="AH113" t="s">
        <v>55</v>
      </c>
      <c r="AI113" t="s">
        <v>56</v>
      </c>
    </row>
    <row r="114" spans="1:35" x14ac:dyDescent="0.25">
      <c r="A114" t="s">
        <v>259</v>
      </c>
      <c r="B114" t="s">
        <v>59</v>
      </c>
      <c r="C114" t="s">
        <v>161</v>
      </c>
      <c r="D114" t="s">
        <v>504</v>
      </c>
      <c r="E114" t="s">
        <v>397</v>
      </c>
      <c r="F114" t="s">
        <v>139</v>
      </c>
      <c r="G114" t="s">
        <v>45</v>
      </c>
      <c r="H114" t="s">
        <v>397</v>
      </c>
      <c r="I114" t="s">
        <v>40</v>
      </c>
      <c r="J114" t="s">
        <v>523</v>
      </c>
      <c r="K114" t="s">
        <v>47</v>
      </c>
      <c r="L114" t="s">
        <v>43</v>
      </c>
      <c r="M114" t="s">
        <v>105</v>
      </c>
      <c r="N114" t="s">
        <v>47</v>
      </c>
      <c r="O114" t="s">
        <v>47</v>
      </c>
      <c r="P114" t="s">
        <v>169</v>
      </c>
      <c r="Q114" t="s">
        <v>47</v>
      </c>
      <c r="R114" t="s">
        <v>48</v>
      </c>
      <c r="S114" t="s">
        <v>524</v>
      </c>
      <c r="T114" t="s">
        <v>525</v>
      </c>
      <c r="U114" t="s">
        <v>41</v>
      </c>
      <c r="V114" t="s">
        <v>52</v>
      </c>
      <c r="W114" t="s">
        <v>36</v>
      </c>
      <c r="X114" t="s">
        <v>92</v>
      </c>
      <c r="Y114" t="s">
        <v>45</v>
      </c>
      <c r="Z114" t="s">
        <v>45</v>
      </c>
      <c r="AA114" t="s">
        <v>54</v>
      </c>
      <c r="AB114" t="s">
        <v>55</v>
      </c>
      <c r="AC114" t="s">
        <v>69</v>
      </c>
      <c r="AD114" t="s">
        <v>45</v>
      </c>
      <c r="AE114" t="s">
        <v>45</v>
      </c>
      <c r="AF114" t="s">
        <v>57</v>
      </c>
      <c r="AG114" t="s">
        <v>45</v>
      </c>
      <c r="AH114" t="s">
        <v>47</v>
      </c>
      <c r="AI114" t="s">
        <v>47</v>
      </c>
    </row>
    <row r="115" spans="1:35" x14ac:dyDescent="0.25">
      <c r="A115" t="s">
        <v>107</v>
      </c>
      <c r="B115" t="s">
        <v>59</v>
      </c>
      <c r="C115" t="s">
        <v>37</v>
      </c>
      <c r="D115" t="s">
        <v>526</v>
      </c>
      <c r="E115" t="s">
        <v>62</v>
      </c>
      <c r="F115" t="s">
        <v>145</v>
      </c>
      <c r="G115" t="s">
        <v>40</v>
      </c>
      <c r="H115" t="s">
        <v>42</v>
      </c>
      <c r="I115" t="s">
        <v>40</v>
      </c>
      <c r="J115" t="s">
        <v>527</v>
      </c>
      <c r="K115" t="s">
        <v>41</v>
      </c>
      <c r="L115" t="s">
        <v>63</v>
      </c>
      <c r="M115" t="s">
        <v>251</v>
      </c>
      <c r="N115" t="s">
        <v>45</v>
      </c>
      <c r="O115" t="s">
        <v>40</v>
      </c>
      <c r="P115" t="s">
        <v>76</v>
      </c>
      <c r="Q115" t="s">
        <v>45</v>
      </c>
      <c r="R115" t="s">
        <v>66</v>
      </c>
      <c r="S115" t="s">
        <v>528</v>
      </c>
      <c r="T115" t="s">
        <v>529</v>
      </c>
      <c r="U115" t="s">
        <v>55</v>
      </c>
      <c r="V115" t="s">
        <v>52</v>
      </c>
      <c r="W115" t="s">
        <v>59</v>
      </c>
      <c r="X115" t="s">
        <v>92</v>
      </c>
      <c r="Y115" t="s">
        <v>45</v>
      </c>
      <c r="Z115" t="s">
        <v>45</v>
      </c>
      <c r="AA115" t="s">
        <v>54</v>
      </c>
      <c r="AB115" t="s">
        <v>40</v>
      </c>
      <c r="AC115" t="s">
        <v>56</v>
      </c>
      <c r="AD115" t="s">
        <v>41</v>
      </c>
      <c r="AE115" t="s">
        <v>45</v>
      </c>
      <c r="AF115" t="s">
        <v>57</v>
      </c>
      <c r="AG115" t="s">
        <v>45</v>
      </c>
      <c r="AH115" t="s">
        <v>40</v>
      </c>
      <c r="AI115" t="s">
        <v>41</v>
      </c>
    </row>
    <row r="116" spans="1:35" x14ac:dyDescent="0.25">
      <c r="A116" t="s">
        <v>142</v>
      </c>
      <c r="B116" t="s">
        <v>59</v>
      </c>
      <c r="C116" t="s">
        <v>37</v>
      </c>
      <c r="D116" t="s">
        <v>530</v>
      </c>
      <c r="E116" t="s">
        <v>62</v>
      </c>
      <c r="F116" t="s">
        <v>56</v>
      </c>
      <c r="G116" t="s">
        <v>47</v>
      </c>
      <c r="H116" t="s">
        <v>42</v>
      </c>
      <c r="I116" t="s">
        <v>40</v>
      </c>
      <c r="J116" t="s">
        <v>531</v>
      </c>
      <c r="K116" t="s">
        <v>45</v>
      </c>
      <c r="L116" t="s">
        <v>43</v>
      </c>
      <c r="M116" t="s">
        <v>174</v>
      </c>
      <c r="N116" t="s">
        <v>41</v>
      </c>
      <c r="O116" t="s">
        <v>41</v>
      </c>
      <c r="P116" t="s">
        <v>65</v>
      </c>
      <c r="Q116" t="s">
        <v>41</v>
      </c>
      <c r="R116" t="s">
        <v>109</v>
      </c>
      <c r="S116" t="s">
        <v>532</v>
      </c>
      <c r="T116" t="s">
        <v>533</v>
      </c>
      <c r="U116" t="s">
        <v>56</v>
      </c>
      <c r="V116" t="s">
        <v>52</v>
      </c>
      <c r="W116" t="s">
        <v>59</v>
      </c>
      <c r="X116" t="s">
        <v>79</v>
      </c>
      <c r="Y116" t="s">
        <v>45</v>
      </c>
      <c r="Z116" t="s">
        <v>45</v>
      </c>
      <c r="AA116" t="s">
        <v>54</v>
      </c>
      <c r="AB116" t="s">
        <v>40</v>
      </c>
      <c r="AC116" t="s">
        <v>92</v>
      </c>
      <c r="AD116" t="s">
        <v>45</v>
      </c>
      <c r="AE116" t="s">
        <v>45</v>
      </c>
      <c r="AF116" t="s">
        <v>40</v>
      </c>
      <c r="AG116" t="s">
        <v>55</v>
      </c>
      <c r="AH116" t="s">
        <v>55</v>
      </c>
      <c r="AI116" t="s">
        <v>55</v>
      </c>
    </row>
    <row r="117" spans="1:35" x14ac:dyDescent="0.25">
      <c r="A117" t="s">
        <v>72</v>
      </c>
      <c r="B117" t="s">
        <v>59</v>
      </c>
      <c r="C117" t="s">
        <v>37</v>
      </c>
      <c r="D117" t="s">
        <v>534</v>
      </c>
      <c r="E117" t="s">
        <v>39</v>
      </c>
      <c r="F117" t="s">
        <v>45</v>
      </c>
      <c r="G117" t="s">
        <v>45</v>
      </c>
      <c r="H117" t="s">
        <v>42</v>
      </c>
      <c r="I117" t="s">
        <v>40</v>
      </c>
      <c r="J117" t="s">
        <v>535</v>
      </c>
      <c r="K117" t="s">
        <v>45</v>
      </c>
      <c r="L117" t="s">
        <v>63</v>
      </c>
      <c r="M117" t="s">
        <v>371</v>
      </c>
      <c r="N117" t="s">
        <v>45</v>
      </c>
      <c r="O117" t="s">
        <v>45</v>
      </c>
      <c r="P117" t="s">
        <v>46</v>
      </c>
      <c r="Q117" t="s">
        <v>47</v>
      </c>
      <c r="R117" t="s">
        <v>48</v>
      </c>
      <c r="S117" t="s">
        <v>536</v>
      </c>
      <c r="T117" t="s">
        <v>537</v>
      </c>
      <c r="U117" t="s">
        <v>41</v>
      </c>
      <c r="V117" t="s">
        <v>52</v>
      </c>
      <c r="W117" t="s">
        <v>59</v>
      </c>
      <c r="X117" t="s">
        <v>92</v>
      </c>
      <c r="Y117" t="s">
        <v>45</v>
      </c>
      <c r="Z117" t="s">
        <v>40</v>
      </c>
      <c r="AA117" t="s">
        <v>54</v>
      </c>
      <c r="AB117" t="s">
        <v>55</v>
      </c>
      <c r="AC117" t="s">
        <v>92</v>
      </c>
      <c r="AD117" t="s">
        <v>45</v>
      </c>
      <c r="AE117" t="s">
        <v>45</v>
      </c>
      <c r="AF117" t="s">
        <v>57</v>
      </c>
      <c r="AG117" t="s">
        <v>45</v>
      </c>
      <c r="AH117" t="s">
        <v>40</v>
      </c>
      <c r="AI117" t="s">
        <v>45</v>
      </c>
    </row>
    <row r="118" spans="1:35" x14ac:dyDescent="0.25">
      <c r="A118" t="s">
        <v>142</v>
      </c>
      <c r="B118" t="s">
        <v>59</v>
      </c>
      <c r="C118" t="s">
        <v>37</v>
      </c>
      <c r="D118" t="s">
        <v>538</v>
      </c>
      <c r="E118" t="s">
        <v>62</v>
      </c>
      <c r="F118" t="s">
        <v>57</v>
      </c>
      <c r="G118" t="s">
        <v>45</v>
      </c>
      <c r="H118" t="s">
        <v>87</v>
      </c>
      <c r="I118" t="s">
        <v>40</v>
      </c>
      <c r="J118" t="s">
        <v>134</v>
      </c>
      <c r="K118" t="s">
        <v>45</v>
      </c>
      <c r="L118" t="s">
        <v>43</v>
      </c>
      <c r="M118" t="s">
        <v>174</v>
      </c>
      <c r="N118" t="s">
        <v>41</v>
      </c>
      <c r="O118" t="s">
        <v>45</v>
      </c>
      <c r="P118" t="s">
        <v>169</v>
      </c>
      <c r="Q118" t="s">
        <v>40</v>
      </c>
      <c r="R118" t="s">
        <v>48</v>
      </c>
      <c r="S118" t="s">
        <v>539</v>
      </c>
      <c r="T118" t="s">
        <v>540</v>
      </c>
      <c r="U118" t="s">
        <v>41</v>
      </c>
      <c r="V118" t="s">
        <v>52</v>
      </c>
      <c r="W118" t="s">
        <v>59</v>
      </c>
      <c r="X118" t="s">
        <v>92</v>
      </c>
      <c r="Y118" t="s">
        <v>45</v>
      </c>
      <c r="Z118" t="s">
        <v>47</v>
      </c>
      <c r="AA118" t="s">
        <v>54</v>
      </c>
      <c r="AB118" t="s">
        <v>55</v>
      </c>
      <c r="AC118" t="s">
        <v>129</v>
      </c>
      <c r="AD118" t="s">
        <v>56</v>
      </c>
      <c r="AE118" t="s">
        <v>45</v>
      </c>
      <c r="AF118" t="s">
        <v>53</v>
      </c>
      <c r="AG118" t="s">
        <v>70</v>
      </c>
      <c r="AH118" t="s">
        <v>57</v>
      </c>
      <c r="AI118" t="s">
        <v>51</v>
      </c>
    </row>
    <row r="119" spans="1:35" x14ac:dyDescent="0.25">
      <c r="A119" t="s">
        <v>120</v>
      </c>
      <c r="B119" t="s">
        <v>59</v>
      </c>
      <c r="C119" t="s">
        <v>60</v>
      </c>
      <c r="D119" t="s">
        <v>541</v>
      </c>
      <c r="E119" t="s">
        <v>39</v>
      </c>
      <c r="F119" t="s">
        <v>53</v>
      </c>
      <c r="G119" t="s">
        <v>41</v>
      </c>
      <c r="H119" t="s">
        <v>228</v>
      </c>
      <c r="I119" t="s">
        <v>40</v>
      </c>
      <c r="J119" t="s">
        <v>542</v>
      </c>
      <c r="K119" t="s">
        <v>41</v>
      </c>
      <c r="L119" t="s">
        <v>43</v>
      </c>
      <c r="M119" t="s">
        <v>75</v>
      </c>
      <c r="N119" t="s">
        <v>45</v>
      </c>
      <c r="O119" t="s">
        <v>45</v>
      </c>
      <c r="P119" t="s">
        <v>46</v>
      </c>
      <c r="Q119" t="s">
        <v>47</v>
      </c>
      <c r="R119" t="s">
        <v>66</v>
      </c>
      <c r="S119" t="s">
        <v>543</v>
      </c>
      <c r="T119" t="s">
        <v>544</v>
      </c>
      <c r="U119" t="s">
        <v>55</v>
      </c>
      <c r="V119" t="s">
        <v>52</v>
      </c>
      <c r="W119" t="s">
        <v>59</v>
      </c>
      <c r="X119" t="s">
        <v>129</v>
      </c>
      <c r="Y119" t="s">
        <v>45</v>
      </c>
      <c r="Z119" t="s">
        <v>45</v>
      </c>
      <c r="AA119" t="s">
        <v>54</v>
      </c>
      <c r="AB119" t="s">
        <v>40</v>
      </c>
      <c r="AC119" t="s">
        <v>70</v>
      </c>
      <c r="AD119" t="s">
        <v>56</v>
      </c>
      <c r="AE119" t="s">
        <v>45</v>
      </c>
      <c r="AF119" t="s">
        <v>91</v>
      </c>
      <c r="AG119" t="s">
        <v>71</v>
      </c>
      <c r="AH119" t="s">
        <v>41</v>
      </c>
      <c r="AI119" t="s">
        <v>51</v>
      </c>
    </row>
    <row r="120" spans="1:35" x14ac:dyDescent="0.25">
      <c r="A120" t="s">
        <v>120</v>
      </c>
      <c r="B120" t="s">
        <v>59</v>
      </c>
      <c r="C120" t="s">
        <v>37</v>
      </c>
      <c r="D120" t="s">
        <v>545</v>
      </c>
      <c r="E120" t="s">
        <v>62</v>
      </c>
      <c r="F120" t="s">
        <v>45</v>
      </c>
      <c r="G120" t="s">
        <v>41</v>
      </c>
      <c r="H120" t="s">
        <v>42</v>
      </c>
      <c r="I120" t="s">
        <v>40</v>
      </c>
      <c r="J120" t="s">
        <v>546</v>
      </c>
      <c r="K120" t="s">
        <v>40</v>
      </c>
      <c r="L120" t="s">
        <v>43</v>
      </c>
      <c r="M120" t="s">
        <v>218</v>
      </c>
      <c r="N120" t="s">
        <v>45</v>
      </c>
      <c r="O120" t="s">
        <v>40</v>
      </c>
      <c r="P120" t="s">
        <v>76</v>
      </c>
      <c r="Q120" t="s">
        <v>47</v>
      </c>
      <c r="R120" t="s">
        <v>109</v>
      </c>
      <c r="S120" t="s">
        <v>547</v>
      </c>
      <c r="T120" t="s">
        <v>548</v>
      </c>
      <c r="U120" t="s">
        <v>57</v>
      </c>
      <c r="V120" t="s">
        <v>52</v>
      </c>
      <c r="W120" t="s">
        <v>59</v>
      </c>
      <c r="X120" t="s">
        <v>112</v>
      </c>
      <c r="Y120" t="s">
        <v>47</v>
      </c>
      <c r="Z120" t="s">
        <v>40</v>
      </c>
      <c r="AA120" t="s">
        <v>54</v>
      </c>
      <c r="AB120" t="s">
        <v>40</v>
      </c>
      <c r="AC120" t="s">
        <v>71</v>
      </c>
      <c r="AD120" t="s">
        <v>41</v>
      </c>
      <c r="AE120" t="s">
        <v>45</v>
      </c>
      <c r="AF120" t="s">
        <v>40</v>
      </c>
      <c r="AG120" t="s">
        <v>55</v>
      </c>
      <c r="AH120" t="s">
        <v>55</v>
      </c>
      <c r="AI120" t="s">
        <v>55</v>
      </c>
    </row>
    <row r="121" spans="1:35" x14ac:dyDescent="0.25">
      <c r="A121" t="s">
        <v>234</v>
      </c>
      <c r="B121" t="s">
        <v>59</v>
      </c>
      <c r="C121" t="s">
        <v>60</v>
      </c>
      <c r="D121" t="s">
        <v>549</v>
      </c>
      <c r="E121" t="s">
        <v>39</v>
      </c>
      <c r="F121" t="s">
        <v>139</v>
      </c>
      <c r="G121" t="s">
        <v>41</v>
      </c>
      <c r="H121" t="s">
        <v>42</v>
      </c>
      <c r="I121" t="s">
        <v>40</v>
      </c>
      <c r="J121" t="s">
        <v>550</v>
      </c>
      <c r="K121" t="s">
        <v>45</v>
      </c>
      <c r="L121" t="s">
        <v>63</v>
      </c>
      <c r="M121" t="s">
        <v>75</v>
      </c>
      <c r="N121" t="s">
        <v>45</v>
      </c>
      <c r="O121" t="s">
        <v>47</v>
      </c>
      <c r="P121" t="s">
        <v>169</v>
      </c>
      <c r="Q121" t="s">
        <v>47</v>
      </c>
      <c r="R121" t="s">
        <v>66</v>
      </c>
      <c r="S121" t="s">
        <v>551</v>
      </c>
      <c r="T121" t="s">
        <v>552</v>
      </c>
      <c r="U121" t="s">
        <v>40</v>
      </c>
      <c r="V121" t="s">
        <v>52</v>
      </c>
      <c r="W121" t="s">
        <v>36</v>
      </c>
      <c r="X121" t="s">
        <v>92</v>
      </c>
      <c r="Y121" t="s">
        <v>45</v>
      </c>
      <c r="Z121" t="s">
        <v>47</v>
      </c>
      <c r="AA121" t="s">
        <v>54</v>
      </c>
      <c r="AB121" t="s">
        <v>41</v>
      </c>
      <c r="AC121" t="s">
        <v>172</v>
      </c>
      <c r="AD121" t="s">
        <v>45</v>
      </c>
      <c r="AE121" t="s">
        <v>47</v>
      </c>
      <c r="AF121" t="s">
        <v>172</v>
      </c>
      <c r="AG121" t="s">
        <v>92</v>
      </c>
      <c r="AH121" t="s">
        <v>47</v>
      </c>
      <c r="AI121" t="s">
        <v>92</v>
      </c>
    </row>
    <row r="122" spans="1:35" x14ac:dyDescent="0.25">
      <c r="A122" t="s">
        <v>105</v>
      </c>
      <c r="B122" t="s">
        <v>59</v>
      </c>
      <c r="C122" t="s">
        <v>60</v>
      </c>
      <c r="D122" t="s">
        <v>553</v>
      </c>
      <c r="E122" t="s">
        <v>62</v>
      </c>
      <c r="F122" t="s">
        <v>69</v>
      </c>
      <c r="G122" t="s">
        <v>45</v>
      </c>
      <c r="H122" t="s">
        <v>42</v>
      </c>
      <c r="I122" t="s">
        <v>40</v>
      </c>
      <c r="J122" t="s">
        <v>554</v>
      </c>
      <c r="K122" t="s">
        <v>40</v>
      </c>
      <c r="L122" t="s">
        <v>63</v>
      </c>
      <c r="M122" t="s">
        <v>163</v>
      </c>
      <c r="N122" t="s">
        <v>40</v>
      </c>
      <c r="O122" t="s">
        <v>40</v>
      </c>
      <c r="P122" t="s">
        <v>65</v>
      </c>
      <c r="Q122" t="s">
        <v>45</v>
      </c>
      <c r="R122" t="s">
        <v>109</v>
      </c>
      <c r="S122" t="s">
        <v>555</v>
      </c>
      <c r="T122" t="s">
        <v>556</v>
      </c>
      <c r="U122" t="s">
        <v>40</v>
      </c>
      <c r="V122" t="s">
        <v>52</v>
      </c>
      <c r="W122" t="s">
        <v>59</v>
      </c>
      <c r="X122" t="s">
        <v>172</v>
      </c>
      <c r="Y122" t="s">
        <v>47</v>
      </c>
      <c r="Z122" t="s">
        <v>45</v>
      </c>
      <c r="AA122" t="s">
        <v>54</v>
      </c>
      <c r="AB122" t="s">
        <v>45</v>
      </c>
      <c r="AC122" t="s">
        <v>70</v>
      </c>
      <c r="AD122" t="s">
        <v>41</v>
      </c>
      <c r="AE122" t="s">
        <v>41</v>
      </c>
      <c r="AF122" t="s">
        <v>70</v>
      </c>
      <c r="AG122" t="s">
        <v>71</v>
      </c>
      <c r="AH122" t="s">
        <v>55</v>
      </c>
      <c r="AI122" t="s">
        <v>91</v>
      </c>
    </row>
    <row r="123" spans="1:35" x14ac:dyDescent="0.25">
      <c r="A123" t="s">
        <v>80</v>
      </c>
      <c r="B123" t="s">
        <v>59</v>
      </c>
      <c r="C123" t="s">
        <v>161</v>
      </c>
      <c r="D123" t="s">
        <v>557</v>
      </c>
      <c r="E123" t="s">
        <v>39</v>
      </c>
      <c r="F123" t="s">
        <v>112</v>
      </c>
      <c r="G123" t="s">
        <v>41</v>
      </c>
      <c r="H123" t="s">
        <v>206</v>
      </c>
      <c r="I123" t="s">
        <v>40</v>
      </c>
      <c r="J123" t="s">
        <v>558</v>
      </c>
      <c r="K123" t="s">
        <v>45</v>
      </c>
      <c r="L123" t="s">
        <v>63</v>
      </c>
      <c r="M123" t="s">
        <v>349</v>
      </c>
      <c r="N123" t="s">
        <v>45</v>
      </c>
      <c r="O123" t="s">
        <v>41</v>
      </c>
      <c r="P123" t="s">
        <v>46</v>
      </c>
      <c r="Q123" t="s">
        <v>41</v>
      </c>
      <c r="R123" t="s">
        <v>66</v>
      </c>
      <c r="S123" t="s">
        <v>559</v>
      </c>
      <c r="T123" t="s">
        <v>560</v>
      </c>
      <c r="U123" t="s">
        <v>55</v>
      </c>
      <c r="V123" t="s">
        <v>52</v>
      </c>
      <c r="W123" t="s">
        <v>59</v>
      </c>
      <c r="X123" t="s">
        <v>98</v>
      </c>
      <c r="Y123" t="s">
        <v>45</v>
      </c>
      <c r="Z123" t="s">
        <v>40</v>
      </c>
      <c r="AA123" t="s">
        <v>54</v>
      </c>
      <c r="AB123" t="s">
        <v>40</v>
      </c>
      <c r="AC123" t="s">
        <v>51</v>
      </c>
      <c r="AD123" t="s">
        <v>41</v>
      </c>
      <c r="AE123" t="s">
        <v>47</v>
      </c>
      <c r="AF123" t="s">
        <v>71</v>
      </c>
      <c r="AG123" t="s">
        <v>71</v>
      </c>
      <c r="AH123" t="s">
        <v>55</v>
      </c>
      <c r="AI123" t="s">
        <v>71</v>
      </c>
    </row>
    <row r="124" spans="1:35" x14ac:dyDescent="0.25">
      <c r="A124" t="s">
        <v>82</v>
      </c>
      <c r="B124" t="s">
        <v>36</v>
      </c>
      <c r="C124" t="s">
        <v>37</v>
      </c>
      <c r="D124" t="s">
        <v>561</v>
      </c>
      <c r="E124" t="s">
        <v>62</v>
      </c>
      <c r="F124" t="s">
        <v>129</v>
      </c>
      <c r="G124" t="s">
        <v>47</v>
      </c>
      <c r="H124" t="s">
        <v>42</v>
      </c>
      <c r="I124" t="s">
        <v>40</v>
      </c>
      <c r="J124" t="s">
        <v>562</v>
      </c>
      <c r="K124" t="s">
        <v>41</v>
      </c>
      <c r="L124" t="s">
        <v>43</v>
      </c>
      <c r="M124" t="s">
        <v>201</v>
      </c>
      <c r="N124" t="s">
        <v>45</v>
      </c>
      <c r="O124" t="s">
        <v>40</v>
      </c>
      <c r="P124" t="s">
        <v>65</v>
      </c>
      <c r="Q124" t="s">
        <v>41</v>
      </c>
      <c r="R124" t="s">
        <v>66</v>
      </c>
      <c r="S124" t="s">
        <v>563</v>
      </c>
      <c r="T124" t="s">
        <v>564</v>
      </c>
      <c r="U124" t="s">
        <v>91</v>
      </c>
      <c r="V124" t="s">
        <v>52</v>
      </c>
      <c r="W124" t="s">
        <v>36</v>
      </c>
      <c r="X124" t="s">
        <v>145</v>
      </c>
      <c r="Y124" t="s">
        <v>45</v>
      </c>
      <c r="Z124" t="s">
        <v>40</v>
      </c>
      <c r="AA124" t="s">
        <v>54</v>
      </c>
      <c r="AB124" t="s">
        <v>45</v>
      </c>
      <c r="AC124" t="s">
        <v>71</v>
      </c>
      <c r="AD124" t="s">
        <v>41</v>
      </c>
      <c r="AE124" t="s">
        <v>45</v>
      </c>
      <c r="AF124" t="s">
        <v>57</v>
      </c>
      <c r="AG124" t="s">
        <v>47</v>
      </c>
      <c r="AH124" t="s">
        <v>47</v>
      </c>
      <c r="AI124" t="s">
        <v>45</v>
      </c>
    </row>
    <row r="125" spans="1:35" x14ac:dyDescent="0.25">
      <c r="A125" t="s">
        <v>155</v>
      </c>
      <c r="B125" t="s">
        <v>59</v>
      </c>
      <c r="C125" t="s">
        <v>37</v>
      </c>
      <c r="D125" t="s">
        <v>565</v>
      </c>
      <c r="E125" t="s">
        <v>62</v>
      </c>
      <c r="F125" t="s">
        <v>56</v>
      </c>
      <c r="G125" t="s">
        <v>45</v>
      </c>
      <c r="H125" t="s">
        <v>42</v>
      </c>
      <c r="I125" t="s">
        <v>40</v>
      </c>
      <c r="J125" t="s">
        <v>566</v>
      </c>
      <c r="K125" t="s">
        <v>40</v>
      </c>
      <c r="L125" t="s">
        <v>63</v>
      </c>
      <c r="M125" t="s">
        <v>155</v>
      </c>
      <c r="N125" t="s">
        <v>45</v>
      </c>
      <c r="O125" t="s">
        <v>57</v>
      </c>
      <c r="P125" t="s">
        <v>186</v>
      </c>
      <c r="Q125" t="s">
        <v>45</v>
      </c>
      <c r="R125" t="s">
        <v>48</v>
      </c>
      <c r="S125" t="s">
        <v>567</v>
      </c>
      <c r="T125" t="s">
        <v>568</v>
      </c>
      <c r="U125" t="s">
        <v>71</v>
      </c>
      <c r="V125" t="s">
        <v>52</v>
      </c>
      <c r="W125" t="s">
        <v>59</v>
      </c>
      <c r="X125" t="s">
        <v>98</v>
      </c>
      <c r="Y125" t="s">
        <v>45</v>
      </c>
      <c r="Z125" t="s">
        <v>45</v>
      </c>
      <c r="AA125" t="s">
        <v>54</v>
      </c>
      <c r="AB125" t="s">
        <v>55</v>
      </c>
      <c r="AC125" t="s">
        <v>69</v>
      </c>
      <c r="AD125" t="s">
        <v>57</v>
      </c>
      <c r="AE125" t="s">
        <v>45</v>
      </c>
      <c r="AF125" t="s">
        <v>104</v>
      </c>
      <c r="AG125" t="s">
        <v>145</v>
      </c>
      <c r="AH125" t="s">
        <v>79</v>
      </c>
      <c r="AI125" t="s">
        <v>79</v>
      </c>
    </row>
    <row r="126" spans="1:35" x14ac:dyDescent="0.25">
      <c r="A126" t="s">
        <v>137</v>
      </c>
      <c r="B126" t="s">
        <v>36</v>
      </c>
      <c r="C126" t="s">
        <v>37</v>
      </c>
      <c r="D126" t="s">
        <v>569</v>
      </c>
      <c r="E126" t="s">
        <v>39</v>
      </c>
      <c r="F126" t="s">
        <v>56</v>
      </c>
      <c r="G126" t="s">
        <v>47</v>
      </c>
      <c r="H126" t="s">
        <v>42</v>
      </c>
      <c r="I126" t="s">
        <v>40</v>
      </c>
      <c r="J126" t="s">
        <v>570</v>
      </c>
      <c r="K126" t="s">
        <v>41</v>
      </c>
      <c r="L126" t="s">
        <v>63</v>
      </c>
      <c r="M126" t="s">
        <v>322</v>
      </c>
      <c r="N126" t="s">
        <v>40</v>
      </c>
      <c r="O126" t="s">
        <v>41</v>
      </c>
      <c r="P126" t="s">
        <v>46</v>
      </c>
      <c r="Q126" t="s">
        <v>45</v>
      </c>
      <c r="R126" t="s">
        <v>66</v>
      </c>
      <c r="S126" t="s">
        <v>571</v>
      </c>
      <c r="T126" t="s">
        <v>572</v>
      </c>
      <c r="U126" t="s">
        <v>47</v>
      </c>
      <c r="V126" t="s">
        <v>52</v>
      </c>
      <c r="W126" t="s">
        <v>36</v>
      </c>
      <c r="X126" t="s">
        <v>145</v>
      </c>
      <c r="Y126" t="s">
        <v>45</v>
      </c>
      <c r="Z126" t="s">
        <v>41</v>
      </c>
      <c r="AA126" t="s">
        <v>54</v>
      </c>
      <c r="AB126" t="s">
        <v>55</v>
      </c>
      <c r="AC126" t="s">
        <v>92</v>
      </c>
      <c r="AD126" t="s">
        <v>45</v>
      </c>
      <c r="AE126" t="s">
        <v>41</v>
      </c>
      <c r="AF126" t="s">
        <v>71</v>
      </c>
      <c r="AG126" t="s">
        <v>71</v>
      </c>
      <c r="AH126" t="s">
        <v>71</v>
      </c>
      <c r="AI126" t="s">
        <v>71</v>
      </c>
    </row>
    <row r="127" spans="1:35" x14ac:dyDescent="0.25">
      <c r="A127" t="s">
        <v>139</v>
      </c>
      <c r="B127" t="s">
        <v>59</v>
      </c>
      <c r="C127" t="s">
        <v>37</v>
      </c>
      <c r="D127" t="s">
        <v>573</v>
      </c>
      <c r="E127" t="s">
        <v>62</v>
      </c>
      <c r="F127" t="s">
        <v>56</v>
      </c>
      <c r="G127" t="s">
        <v>45</v>
      </c>
      <c r="H127" t="s">
        <v>74</v>
      </c>
      <c r="I127" t="s">
        <v>40</v>
      </c>
      <c r="J127" t="s">
        <v>574</v>
      </c>
      <c r="K127" t="s">
        <v>45</v>
      </c>
      <c r="L127" t="s">
        <v>43</v>
      </c>
      <c r="M127" t="s">
        <v>213</v>
      </c>
      <c r="N127" t="s">
        <v>41</v>
      </c>
      <c r="O127" t="s">
        <v>40</v>
      </c>
      <c r="P127" t="s">
        <v>65</v>
      </c>
      <c r="Q127" t="s">
        <v>41</v>
      </c>
      <c r="R127" t="s">
        <v>66</v>
      </c>
      <c r="S127" t="s">
        <v>575</v>
      </c>
      <c r="T127" t="s">
        <v>576</v>
      </c>
      <c r="U127" t="s">
        <v>40</v>
      </c>
      <c r="V127" t="s">
        <v>52</v>
      </c>
      <c r="W127" t="s">
        <v>59</v>
      </c>
      <c r="X127" t="s">
        <v>144</v>
      </c>
      <c r="Y127" t="s">
        <v>45</v>
      </c>
      <c r="Z127" t="s">
        <v>45</v>
      </c>
      <c r="AA127" t="s">
        <v>54</v>
      </c>
      <c r="AB127" t="s">
        <v>55</v>
      </c>
      <c r="AC127" t="s">
        <v>57</v>
      </c>
      <c r="AD127" t="s">
        <v>45</v>
      </c>
      <c r="AE127" t="s">
        <v>41</v>
      </c>
      <c r="AF127" t="s">
        <v>57</v>
      </c>
      <c r="AG127" t="s">
        <v>47</v>
      </c>
      <c r="AH127" t="s">
        <v>47</v>
      </c>
      <c r="AI127" t="s">
        <v>45</v>
      </c>
    </row>
    <row r="128" spans="1:35" x14ac:dyDescent="0.25">
      <c r="A128" t="s">
        <v>197</v>
      </c>
      <c r="B128" t="s">
        <v>36</v>
      </c>
      <c r="C128" t="s">
        <v>37</v>
      </c>
      <c r="D128" t="s">
        <v>520</v>
      </c>
      <c r="E128" t="s">
        <v>62</v>
      </c>
      <c r="F128" t="s">
        <v>69</v>
      </c>
      <c r="G128" t="s">
        <v>47</v>
      </c>
      <c r="H128" t="s">
        <v>87</v>
      </c>
      <c r="I128" t="s">
        <v>40</v>
      </c>
      <c r="J128" t="s">
        <v>577</v>
      </c>
      <c r="K128" t="s">
        <v>47</v>
      </c>
      <c r="L128" t="s">
        <v>43</v>
      </c>
      <c r="M128" t="s">
        <v>44</v>
      </c>
      <c r="N128" t="s">
        <v>45</v>
      </c>
      <c r="O128" t="s">
        <v>45</v>
      </c>
      <c r="P128" t="s">
        <v>122</v>
      </c>
      <c r="Q128" t="s">
        <v>47</v>
      </c>
      <c r="R128" t="s">
        <v>66</v>
      </c>
      <c r="S128" t="s">
        <v>578</v>
      </c>
      <c r="T128" t="s">
        <v>579</v>
      </c>
      <c r="U128" t="s">
        <v>40</v>
      </c>
      <c r="V128" t="s">
        <v>52</v>
      </c>
      <c r="W128" t="s">
        <v>59</v>
      </c>
      <c r="X128" t="s">
        <v>92</v>
      </c>
      <c r="Y128" t="s">
        <v>45</v>
      </c>
      <c r="Z128" t="s">
        <v>47</v>
      </c>
      <c r="AA128" t="s">
        <v>54</v>
      </c>
      <c r="AB128" t="s">
        <v>40</v>
      </c>
      <c r="AC128" t="s">
        <v>88</v>
      </c>
      <c r="AD128" t="s">
        <v>45</v>
      </c>
      <c r="AE128" t="s">
        <v>41</v>
      </c>
      <c r="AF128" t="s">
        <v>88</v>
      </c>
      <c r="AG128" t="s">
        <v>70</v>
      </c>
      <c r="AH128" t="s">
        <v>79</v>
      </c>
      <c r="AI128" t="s">
        <v>56</v>
      </c>
    </row>
    <row r="129" spans="1:35" x14ac:dyDescent="0.25">
      <c r="A129" t="s">
        <v>144</v>
      </c>
      <c r="B129" t="s">
        <v>36</v>
      </c>
      <c r="C129" t="s">
        <v>37</v>
      </c>
      <c r="D129" t="s">
        <v>580</v>
      </c>
      <c r="E129" t="s">
        <v>39</v>
      </c>
      <c r="F129" t="s">
        <v>112</v>
      </c>
      <c r="G129" t="s">
        <v>40</v>
      </c>
      <c r="H129" t="s">
        <v>206</v>
      </c>
      <c r="I129" t="s">
        <v>40</v>
      </c>
      <c r="J129" t="s">
        <v>581</v>
      </c>
      <c r="K129" t="s">
        <v>47</v>
      </c>
      <c r="L129" t="s">
        <v>63</v>
      </c>
      <c r="M129" t="s">
        <v>151</v>
      </c>
      <c r="N129" t="s">
        <v>45</v>
      </c>
      <c r="O129" t="s">
        <v>40</v>
      </c>
      <c r="P129" t="s">
        <v>182</v>
      </c>
      <c r="Q129" t="s">
        <v>45</v>
      </c>
      <c r="R129" t="s">
        <v>48</v>
      </c>
      <c r="S129" t="s">
        <v>582</v>
      </c>
      <c r="T129" t="s">
        <v>583</v>
      </c>
      <c r="U129" t="s">
        <v>40</v>
      </c>
      <c r="V129" t="s">
        <v>52</v>
      </c>
      <c r="W129" t="s">
        <v>36</v>
      </c>
      <c r="X129" t="s">
        <v>144</v>
      </c>
      <c r="Y129" t="s">
        <v>45</v>
      </c>
      <c r="Z129" t="s">
        <v>47</v>
      </c>
      <c r="AA129" t="s">
        <v>54</v>
      </c>
      <c r="AB129" t="s">
        <v>55</v>
      </c>
      <c r="AC129" t="s">
        <v>55</v>
      </c>
      <c r="AD129" t="s">
        <v>41</v>
      </c>
      <c r="AE129" t="s">
        <v>41</v>
      </c>
      <c r="AF129" t="s">
        <v>55</v>
      </c>
      <c r="AG129" t="s">
        <v>55</v>
      </c>
      <c r="AH129" t="s">
        <v>55</v>
      </c>
      <c r="AI129" t="s">
        <v>55</v>
      </c>
    </row>
    <row r="130" spans="1:35" x14ac:dyDescent="0.25">
      <c r="A130" t="s">
        <v>112</v>
      </c>
      <c r="B130" t="s">
        <v>59</v>
      </c>
      <c r="C130" t="s">
        <v>37</v>
      </c>
      <c r="D130" t="s">
        <v>584</v>
      </c>
      <c r="E130" t="s">
        <v>62</v>
      </c>
      <c r="F130" t="s">
        <v>41</v>
      </c>
      <c r="G130" t="s">
        <v>40</v>
      </c>
      <c r="H130" t="s">
        <v>228</v>
      </c>
      <c r="I130" t="s">
        <v>40</v>
      </c>
      <c r="J130" t="s">
        <v>585</v>
      </c>
      <c r="K130" t="s">
        <v>45</v>
      </c>
      <c r="L130" t="s">
        <v>63</v>
      </c>
      <c r="M130" t="s">
        <v>385</v>
      </c>
      <c r="N130" t="s">
        <v>45</v>
      </c>
      <c r="O130" t="s">
        <v>40</v>
      </c>
      <c r="P130" t="s">
        <v>76</v>
      </c>
      <c r="Q130" t="s">
        <v>47</v>
      </c>
      <c r="R130" t="s">
        <v>66</v>
      </c>
      <c r="S130" t="s">
        <v>586</v>
      </c>
      <c r="T130" t="s">
        <v>587</v>
      </c>
      <c r="U130" t="s">
        <v>55</v>
      </c>
      <c r="V130" t="s">
        <v>52</v>
      </c>
      <c r="W130" t="s">
        <v>59</v>
      </c>
      <c r="X130" t="s">
        <v>129</v>
      </c>
      <c r="Y130" t="s">
        <v>45</v>
      </c>
      <c r="Z130" t="s">
        <v>45</v>
      </c>
      <c r="AA130" t="s">
        <v>54</v>
      </c>
      <c r="AB130" t="s">
        <v>40</v>
      </c>
      <c r="AC130" t="s">
        <v>45</v>
      </c>
      <c r="AD130" t="s">
        <v>41</v>
      </c>
      <c r="AE130" t="s">
        <v>45</v>
      </c>
      <c r="AF130" t="s">
        <v>41</v>
      </c>
      <c r="AG130" t="s">
        <v>40</v>
      </c>
      <c r="AH130" t="s">
        <v>41</v>
      </c>
      <c r="AI130" t="s">
        <v>40</v>
      </c>
    </row>
    <row r="131" spans="1:35" x14ac:dyDescent="0.25">
      <c r="A131" t="s">
        <v>58</v>
      </c>
      <c r="B131" t="s">
        <v>59</v>
      </c>
      <c r="C131" t="s">
        <v>37</v>
      </c>
      <c r="D131" t="s">
        <v>588</v>
      </c>
      <c r="E131" t="s">
        <v>62</v>
      </c>
      <c r="F131" t="s">
        <v>104</v>
      </c>
      <c r="G131" t="s">
        <v>47</v>
      </c>
      <c r="H131" t="s">
        <v>87</v>
      </c>
      <c r="I131" t="s">
        <v>40</v>
      </c>
      <c r="J131" t="s">
        <v>589</v>
      </c>
      <c r="K131" t="s">
        <v>45</v>
      </c>
      <c r="L131" t="s">
        <v>43</v>
      </c>
      <c r="M131" t="s">
        <v>163</v>
      </c>
      <c r="N131" t="s">
        <v>45</v>
      </c>
      <c r="O131" t="s">
        <v>41</v>
      </c>
      <c r="P131" t="s">
        <v>116</v>
      </c>
      <c r="Q131" t="s">
        <v>40</v>
      </c>
      <c r="R131" t="s">
        <v>66</v>
      </c>
      <c r="S131" t="s">
        <v>590</v>
      </c>
      <c r="T131" t="s">
        <v>591</v>
      </c>
      <c r="U131" t="s">
        <v>40</v>
      </c>
      <c r="V131" t="s">
        <v>52</v>
      </c>
      <c r="W131" t="s">
        <v>59</v>
      </c>
      <c r="X131" t="s">
        <v>129</v>
      </c>
      <c r="Y131" t="s">
        <v>45</v>
      </c>
      <c r="Z131" t="s">
        <v>45</v>
      </c>
      <c r="AA131" t="s">
        <v>54</v>
      </c>
      <c r="AB131" t="s">
        <v>55</v>
      </c>
      <c r="AC131" t="s">
        <v>128</v>
      </c>
      <c r="AD131" t="s">
        <v>41</v>
      </c>
      <c r="AE131" t="s">
        <v>41</v>
      </c>
      <c r="AF131" t="s">
        <v>79</v>
      </c>
      <c r="AG131" t="s">
        <v>53</v>
      </c>
      <c r="AH131" t="s">
        <v>57</v>
      </c>
      <c r="AI131" t="s">
        <v>53</v>
      </c>
    </row>
    <row r="132" spans="1:35" x14ac:dyDescent="0.25">
      <c r="A132" t="s">
        <v>234</v>
      </c>
      <c r="B132" t="s">
        <v>59</v>
      </c>
      <c r="C132" t="s">
        <v>60</v>
      </c>
      <c r="D132" t="s">
        <v>592</v>
      </c>
      <c r="E132" t="s">
        <v>62</v>
      </c>
      <c r="F132" t="s">
        <v>149</v>
      </c>
      <c r="G132" t="s">
        <v>45</v>
      </c>
      <c r="H132" t="s">
        <v>87</v>
      </c>
      <c r="I132" t="s">
        <v>40</v>
      </c>
      <c r="J132" t="s">
        <v>593</v>
      </c>
      <c r="K132" t="s">
        <v>41</v>
      </c>
      <c r="L132" t="s">
        <v>43</v>
      </c>
      <c r="M132" t="s">
        <v>201</v>
      </c>
      <c r="N132" t="s">
        <v>47</v>
      </c>
      <c r="O132" t="s">
        <v>40</v>
      </c>
      <c r="P132" t="s">
        <v>65</v>
      </c>
      <c r="Q132" t="s">
        <v>45</v>
      </c>
      <c r="R132" t="s">
        <v>48</v>
      </c>
      <c r="S132" t="s">
        <v>594</v>
      </c>
      <c r="T132" t="s">
        <v>595</v>
      </c>
      <c r="U132" t="s">
        <v>47</v>
      </c>
      <c r="V132" t="s">
        <v>52</v>
      </c>
      <c r="W132" t="s">
        <v>59</v>
      </c>
      <c r="X132" t="s">
        <v>92</v>
      </c>
      <c r="Y132" t="s">
        <v>45</v>
      </c>
      <c r="Z132" t="s">
        <v>47</v>
      </c>
      <c r="AA132" t="s">
        <v>54</v>
      </c>
      <c r="AB132" t="s">
        <v>55</v>
      </c>
      <c r="AC132" t="s">
        <v>145</v>
      </c>
      <c r="AD132" t="s">
        <v>41</v>
      </c>
      <c r="AE132" t="s">
        <v>45</v>
      </c>
      <c r="AF132" t="s">
        <v>45</v>
      </c>
      <c r="AG132" t="s">
        <v>41</v>
      </c>
      <c r="AH132" t="s">
        <v>40</v>
      </c>
      <c r="AI132" t="s">
        <v>41</v>
      </c>
    </row>
    <row r="133" spans="1:35" x14ac:dyDescent="0.25">
      <c r="A133" t="s">
        <v>151</v>
      </c>
      <c r="B133" t="s">
        <v>59</v>
      </c>
      <c r="C133" t="s">
        <v>60</v>
      </c>
      <c r="D133" t="s">
        <v>127</v>
      </c>
      <c r="E133" t="s">
        <v>39</v>
      </c>
      <c r="F133" t="s">
        <v>92</v>
      </c>
      <c r="G133" t="s">
        <v>45</v>
      </c>
      <c r="H133" t="s">
        <v>206</v>
      </c>
      <c r="I133" t="s">
        <v>40</v>
      </c>
      <c r="J133" t="s">
        <v>596</v>
      </c>
      <c r="K133" t="s">
        <v>45</v>
      </c>
      <c r="L133" t="s">
        <v>43</v>
      </c>
      <c r="M133" t="s">
        <v>326</v>
      </c>
      <c r="N133" t="s">
        <v>45</v>
      </c>
      <c r="O133" t="s">
        <v>45</v>
      </c>
      <c r="P133" t="s">
        <v>46</v>
      </c>
      <c r="Q133" t="s">
        <v>47</v>
      </c>
      <c r="R133" t="s">
        <v>48</v>
      </c>
      <c r="S133" t="s">
        <v>597</v>
      </c>
      <c r="T133" t="s">
        <v>598</v>
      </c>
      <c r="U133" t="s">
        <v>47</v>
      </c>
      <c r="V133" t="s">
        <v>52</v>
      </c>
      <c r="W133" t="s">
        <v>59</v>
      </c>
      <c r="X133" t="s">
        <v>53</v>
      </c>
      <c r="Y133" t="s">
        <v>45</v>
      </c>
      <c r="Z133" t="s">
        <v>47</v>
      </c>
      <c r="AA133" t="s">
        <v>54</v>
      </c>
      <c r="AB133" t="s">
        <v>55</v>
      </c>
      <c r="AC133" t="s">
        <v>128</v>
      </c>
      <c r="AD133" t="s">
        <v>45</v>
      </c>
      <c r="AE133" t="s">
        <v>45</v>
      </c>
      <c r="AF133" t="s">
        <v>41</v>
      </c>
      <c r="AG133" t="s">
        <v>41</v>
      </c>
      <c r="AH133" t="s">
        <v>41</v>
      </c>
      <c r="AI133" t="s">
        <v>40</v>
      </c>
    </row>
    <row r="134" spans="1:35" x14ac:dyDescent="0.25">
      <c r="A134" t="s">
        <v>137</v>
      </c>
      <c r="B134" t="s">
        <v>36</v>
      </c>
      <c r="C134" t="s">
        <v>37</v>
      </c>
      <c r="D134" t="s">
        <v>599</v>
      </c>
      <c r="E134" t="s">
        <v>39</v>
      </c>
      <c r="F134" t="s">
        <v>104</v>
      </c>
      <c r="G134" t="s">
        <v>45</v>
      </c>
      <c r="H134" t="s">
        <v>42</v>
      </c>
      <c r="I134" t="s">
        <v>40</v>
      </c>
      <c r="J134" t="s">
        <v>600</v>
      </c>
      <c r="K134" t="s">
        <v>41</v>
      </c>
      <c r="L134" t="s">
        <v>43</v>
      </c>
      <c r="M134" t="s">
        <v>315</v>
      </c>
      <c r="N134" t="s">
        <v>40</v>
      </c>
      <c r="O134" t="s">
        <v>41</v>
      </c>
      <c r="P134" t="s">
        <v>46</v>
      </c>
      <c r="Q134" t="s">
        <v>45</v>
      </c>
      <c r="R134" t="s">
        <v>66</v>
      </c>
      <c r="S134" t="s">
        <v>601</v>
      </c>
      <c r="T134" t="s">
        <v>602</v>
      </c>
      <c r="U134" t="s">
        <v>45</v>
      </c>
      <c r="V134" t="s">
        <v>52</v>
      </c>
      <c r="W134" t="s">
        <v>36</v>
      </c>
      <c r="X134" t="s">
        <v>53</v>
      </c>
      <c r="Y134" t="s">
        <v>45</v>
      </c>
      <c r="Z134" t="s">
        <v>45</v>
      </c>
      <c r="AA134" t="s">
        <v>54</v>
      </c>
      <c r="AB134" t="s">
        <v>40</v>
      </c>
      <c r="AC134" t="s">
        <v>47</v>
      </c>
      <c r="AD134" t="s">
        <v>41</v>
      </c>
      <c r="AE134" t="s">
        <v>45</v>
      </c>
      <c r="AF134" t="s">
        <v>41</v>
      </c>
      <c r="AG134" t="s">
        <v>41</v>
      </c>
      <c r="AH134" t="s">
        <v>41</v>
      </c>
      <c r="AI134" t="s">
        <v>41</v>
      </c>
    </row>
    <row r="135" spans="1:35" x14ac:dyDescent="0.25">
      <c r="A135" t="s">
        <v>35</v>
      </c>
      <c r="B135" t="s">
        <v>59</v>
      </c>
      <c r="C135" t="s">
        <v>37</v>
      </c>
      <c r="D135" t="s">
        <v>603</v>
      </c>
      <c r="E135" t="s">
        <v>39</v>
      </c>
      <c r="F135" t="s">
        <v>91</v>
      </c>
      <c r="G135" t="s">
        <v>40</v>
      </c>
      <c r="H135" t="s">
        <v>42</v>
      </c>
      <c r="I135" t="s">
        <v>40</v>
      </c>
      <c r="J135" t="s">
        <v>604</v>
      </c>
      <c r="K135" t="s">
        <v>45</v>
      </c>
      <c r="L135" t="s">
        <v>63</v>
      </c>
      <c r="M135" t="s">
        <v>163</v>
      </c>
      <c r="N135" t="s">
        <v>45</v>
      </c>
      <c r="O135" t="s">
        <v>45</v>
      </c>
      <c r="P135" t="s">
        <v>46</v>
      </c>
      <c r="Q135" t="s">
        <v>45</v>
      </c>
      <c r="R135" t="s">
        <v>109</v>
      </c>
      <c r="S135" t="s">
        <v>605</v>
      </c>
      <c r="T135" t="s">
        <v>606</v>
      </c>
      <c r="U135" t="s">
        <v>45</v>
      </c>
      <c r="V135" t="s">
        <v>52</v>
      </c>
      <c r="W135" t="s">
        <v>36</v>
      </c>
      <c r="X135" t="s">
        <v>98</v>
      </c>
      <c r="Y135" t="s">
        <v>45</v>
      </c>
      <c r="Z135" t="s">
        <v>45</v>
      </c>
      <c r="AA135" t="s">
        <v>54</v>
      </c>
      <c r="AB135" t="s">
        <v>40</v>
      </c>
      <c r="AC135" t="s">
        <v>92</v>
      </c>
      <c r="AD135" t="s">
        <v>41</v>
      </c>
      <c r="AE135" t="s">
        <v>45</v>
      </c>
      <c r="AF135" t="s">
        <v>91</v>
      </c>
      <c r="AG135" t="s">
        <v>71</v>
      </c>
      <c r="AH135" t="s">
        <v>55</v>
      </c>
      <c r="AI135" t="s">
        <v>71</v>
      </c>
    </row>
    <row r="136" spans="1:35" x14ac:dyDescent="0.25">
      <c r="A136" t="s">
        <v>139</v>
      </c>
      <c r="B136" t="s">
        <v>59</v>
      </c>
      <c r="C136" t="s">
        <v>37</v>
      </c>
      <c r="D136" t="s">
        <v>607</v>
      </c>
      <c r="E136" t="s">
        <v>397</v>
      </c>
      <c r="F136" t="s">
        <v>172</v>
      </c>
      <c r="G136" t="s">
        <v>40</v>
      </c>
      <c r="H136" t="s">
        <v>42</v>
      </c>
      <c r="I136" t="s">
        <v>40</v>
      </c>
      <c r="J136" t="s">
        <v>608</v>
      </c>
      <c r="K136" t="s">
        <v>45</v>
      </c>
      <c r="L136" t="s">
        <v>43</v>
      </c>
      <c r="M136" t="s">
        <v>64</v>
      </c>
      <c r="N136" t="s">
        <v>45</v>
      </c>
      <c r="O136" t="s">
        <v>40</v>
      </c>
      <c r="P136" t="s">
        <v>397</v>
      </c>
      <c r="Q136" t="s">
        <v>45</v>
      </c>
      <c r="R136" t="s">
        <v>66</v>
      </c>
      <c r="S136" t="s">
        <v>609</v>
      </c>
      <c r="T136" t="s">
        <v>610</v>
      </c>
      <c r="U136" t="s">
        <v>40</v>
      </c>
      <c r="V136" t="s">
        <v>52</v>
      </c>
      <c r="W136" t="s">
        <v>59</v>
      </c>
      <c r="X136" t="s">
        <v>69</v>
      </c>
      <c r="Y136" t="s">
        <v>47</v>
      </c>
      <c r="Z136" t="s">
        <v>47</v>
      </c>
      <c r="AA136" t="s">
        <v>54</v>
      </c>
      <c r="AB136" t="s">
        <v>40</v>
      </c>
      <c r="AC136" t="s">
        <v>51</v>
      </c>
      <c r="AD136" t="s">
        <v>45</v>
      </c>
      <c r="AE136" t="s">
        <v>45</v>
      </c>
      <c r="AF136" t="s">
        <v>51</v>
      </c>
      <c r="AG136" t="s">
        <v>71</v>
      </c>
      <c r="AH136" t="s">
        <v>57</v>
      </c>
      <c r="AI136" t="s">
        <v>71</v>
      </c>
    </row>
    <row r="137" spans="1:35" x14ac:dyDescent="0.25">
      <c r="A137" t="s">
        <v>120</v>
      </c>
      <c r="B137" t="s">
        <v>59</v>
      </c>
      <c r="C137" t="s">
        <v>37</v>
      </c>
      <c r="D137" t="s">
        <v>114</v>
      </c>
      <c r="E137" t="s">
        <v>62</v>
      </c>
      <c r="F137" t="s">
        <v>56</v>
      </c>
      <c r="G137" t="s">
        <v>41</v>
      </c>
      <c r="H137" t="s">
        <v>87</v>
      </c>
      <c r="I137" t="s">
        <v>40</v>
      </c>
      <c r="J137" t="s">
        <v>611</v>
      </c>
      <c r="K137" t="s">
        <v>41</v>
      </c>
      <c r="L137" t="s">
        <v>63</v>
      </c>
      <c r="M137" t="s">
        <v>130</v>
      </c>
      <c r="N137" t="s">
        <v>45</v>
      </c>
      <c r="O137" t="s">
        <v>41</v>
      </c>
      <c r="P137" t="s">
        <v>116</v>
      </c>
      <c r="Q137" t="s">
        <v>41</v>
      </c>
      <c r="R137" t="s">
        <v>109</v>
      </c>
      <c r="S137" t="s">
        <v>612</v>
      </c>
      <c r="T137" t="s">
        <v>613</v>
      </c>
      <c r="U137" t="s">
        <v>56</v>
      </c>
      <c r="V137" t="s">
        <v>52</v>
      </c>
      <c r="W137" t="s">
        <v>59</v>
      </c>
      <c r="X137" t="s">
        <v>104</v>
      </c>
      <c r="Y137" t="s">
        <v>47</v>
      </c>
      <c r="Z137" t="s">
        <v>47</v>
      </c>
      <c r="AA137" t="s">
        <v>54</v>
      </c>
      <c r="AB137" t="s">
        <v>41</v>
      </c>
      <c r="AC137" t="s">
        <v>71</v>
      </c>
      <c r="AD137" t="s">
        <v>55</v>
      </c>
      <c r="AE137" t="s">
        <v>45</v>
      </c>
      <c r="AF137" t="s">
        <v>45</v>
      </c>
      <c r="AG137" t="s">
        <v>41</v>
      </c>
      <c r="AH137" t="s">
        <v>55</v>
      </c>
      <c r="AI137" t="s">
        <v>40</v>
      </c>
    </row>
    <row r="138" spans="1:35" x14ac:dyDescent="0.25">
      <c r="A138" t="s">
        <v>155</v>
      </c>
      <c r="B138" t="s">
        <v>36</v>
      </c>
      <c r="C138" t="s">
        <v>60</v>
      </c>
      <c r="D138" t="s">
        <v>614</v>
      </c>
      <c r="E138" t="s">
        <v>62</v>
      </c>
      <c r="F138" t="s">
        <v>51</v>
      </c>
      <c r="G138" t="s">
        <v>47</v>
      </c>
      <c r="H138" t="s">
        <v>42</v>
      </c>
      <c r="I138" t="s">
        <v>40</v>
      </c>
      <c r="J138" t="s">
        <v>615</v>
      </c>
      <c r="K138" t="s">
        <v>40</v>
      </c>
      <c r="L138" t="s">
        <v>63</v>
      </c>
      <c r="M138" t="s">
        <v>166</v>
      </c>
      <c r="N138" t="s">
        <v>40</v>
      </c>
      <c r="O138" t="s">
        <v>45</v>
      </c>
      <c r="P138" t="s">
        <v>116</v>
      </c>
      <c r="Q138" t="s">
        <v>47</v>
      </c>
      <c r="R138" t="s">
        <v>48</v>
      </c>
      <c r="S138" t="s">
        <v>616</v>
      </c>
      <c r="T138" t="s">
        <v>617</v>
      </c>
      <c r="U138" t="s">
        <v>41</v>
      </c>
      <c r="V138" t="s">
        <v>52</v>
      </c>
      <c r="W138" t="s">
        <v>59</v>
      </c>
      <c r="X138" t="s">
        <v>79</v>
      </c>
      <c r="Y138" t="s">
        <v>45</v>
      </c>
      <c r="Z138" t="s">
        <v>47</v>
      </c>
      <c r="AA138" t="s">
        <v>54</v>
      </c>
      <c r="AB138" t="s">
        <v>55</v>
      </c>
      <c r="AC138" t="s">
        <v>145</v>
      </c>
      <c r="AD138" t="s">
        <v>41</v>
      </c>
      <c r="AE138" t="s">
        <v>45</v>
      </c>
      <c r="AF138" t="s">
        <v>47</v>
      </c>
      <c r="AG138" t="s">
        <v>41</v>
      </c>
      <c r="AH138" t="s">
        <v>55</v>
      </c>
      <c r="AI138" t="s">
        <v>45</v>
      </c>
    </row>
    <row r="139" spans="1:35" x14ac:dyDescent="0.25">
      <c r="A139" t="s">
        <v>218</v>
      </c>
      <c r="B139" t="s">
        <v>59</v>
      </c>
      <c r="C139" t="s">
        <v>37</v>
      </c>
      <c r="D139" t="s">
        <v>618</v>
      </c>
      <c r="E139" t="s">
        <v>39</v>
      </c>
      <c r="F139" t="s">
        <v>47</v>
      </c>
      <c r="G139" t="s">
        <v>47</v>
      </c>
      <c r="H139" t="s">
        <v>42</v>
      </c>
      <c r="I139" t="s">
        <v>40</v>
      </c>
      <c r="J139" t="s">
        <v>619</v>
      </c>
      <c r="K139" t="s">
        <v>47</v>
      </c>
      <c r="L139" t="s">
        <v>43</v>
      </c>
      <c r="M139" t="s">
        <v>239</v>
      </c>
      <c r="N139" t="s">
        <v>41</v>
      </c>
      <c r="O139" t="s">
        <v>41</v>
      </c>
      <c r="P139" t="s">
        <v>46</v>
      </c>
      <c r="Q139" t="s">
        <v>45</v>
      </c>
      <c r="R139" t="s">
        <v>66</v>
      </c>
      <c r="S139" t="s">
        <v>620</v>
      </c>
      <c r="T139" t="s">
        <v>621</v>
      </c>
      <c r="U139" t="s">
        <v>47</v>
      </c>
      <c r="V139" t="s">
        <v>52</v>
      </c>
      <c r="W139" t="s">
        <v>59</v>
      </c>
      <c r="X139" t="s">
        <v>129</v>
      </c>
      <c r="Y139" t="s">
        <v>45</v>
      </c>
      <c r="Z139" t="s">
        <v>45</v>
      </c>
      <c r="AA139" t="s">
        <v>54</v>
      </c>
      <c r="AB139" t="s">
        <v>40</v>
      </c>
      <c r="AC139" t="s">
        <v>125</v>
      </c>
      <c r="AD139" t="s">
        <v>40</v>
      </c>
      <c r="AE139" t="s">
        <v>47</v>
      </c>
      <c r="AF139" t="s">
        <v>79</v>
      </c>
      <c r="AG139" t="s">
        <v>53</v>
      </c>
      <c r="AH139" t="s">
        <v>57</v>
      </c>
      <c r="AI139" t="s">
        <v>91</v>
      </c>
    </row>
    <row r="140" spans="1:35" x14ac:dyDescent="0.25">
      <c r="A140" t="s">
        <v>172</v>
      </c>
      <c r="B140" t="s">
        <v>59</v>
      </c>
      <c r="C140" t="s">
        <v>37</v>
      </c>
      <c r="D140" t="s">
        <v>622</v>
      </c>
      <c r="E140" t="s">
        <v>39</v>
      </c>
      <c r="F140" t="s">
        <v>149</v>
      </c>
      <c r="G140" t="s">
        <v>45</v>
      </c>
      <c r="H140" t="s">
        <v>42</v>
      </c>
      <c r="I140" t="s">
        <v>40</v>
      </c>
      <c r="J140" t="s">
        <v>623</v>
      </c>
      <c r="K140" t="s">
        <v>40</v>
      </c>
      <c r="L140" t="s">
        <v>63</v>
      </c>
      <c r="M140" t="s">
        <v>35</v>
      </c>
      <c r="N140" t="s">
        <v>41</v>
      </c>
      <c r="O140" t="s">
        <v>41</v>
      </c>
      <c r="P140" t="s">
        <v>46</v>
      </c>
      <c r="Q140" t="s">
        <v>45</v>
      </c>
      <c r="R140" t="s">
        <v>66</v>
      </c>
      <c r="S140" t="s">
        <v>624</v>
      </c>
      <c r="T140" t="s">
        <v>625</v>
      </c>
      <c r="U140" t="s">
        <v>41</v>
      </c>
      <c r="V140" t="s">
        <v>52</v>
      </c>
      <c r="W140" t="s">
        <v>59</v>
      </c>
      <c r="X140" t="s">
        <v>145</v>
      </c>
      <c r="Y140" t="s">
        <v>45</v>
      </c>
      <c r="Z140" t="s">
        <v>47</v>
      </c>
      <c r="AA140" t="s">
        <v>54</v>
      </c>
      <c r="AB140" t="s">
        <v>55</v>
      </c>
      <c r="AC140" t="s">
        <v>56</v>
      </c>
      <c r="AD140" t="s">
        <v>45</v>
      </c>
      <c r="AE140" t="s">
        <v>45</v>
      </c>
      <c r="AF140" t="s">
        <v>41</v>
      </c>
      <c r="AG140" t="s">
        <v>41</v>
      </c>
      <c r="AH140" t="s">
        <v>41</v>
      </c>
      <c r="AI140" t="s">
        <v>41</v>
      </c>
    </row>
    <row r="141" spans="1:35" x14ac:dyDescent="0.25">
      <c r="A141" t="s">
        <v>105</v>
      </c>
      <c r="B141" t="s">
        <v>59</v>
      </c>
      <c r="C141" t="s">
        <v>37</v>
      </c>
      <c r="D141" t="s">
        <v>258</v>
      </c>
      <c r="E141" t="s">
        <v>397</v>
      </c>
      <c r="F141" t="s">
        <v>91</v>
      </c>
      <c r="G141" t="s">
        <v>45</v>
      </c>
      <c r="H141" t="s">
        <v>397</v>
      </c>
      <c r="I141" t="s">
        <v>40</v>
      </c>
      <c r="J141" t="s">
        <v>626</v>
      </c>
      <c r="K141" t="s">
        <v>45</v>
      </c>
      <c r="L141" t="s">
        <v>63</v>
      </c>
      <c r="M141" t="s">
        <v>207</v>
      </c>
      <c r="N141" t="s">
        <v>45</v>
      </c>
      <c r="O141" t="s">
        <v>41</v>
      </c>
      <c r="P141" t="s">
        <v>397</v>
      </c>
      <c r="Q141" t="s">
        <v>47</v>
      </c>
      <c r="R141" t="s">
        <v>66</v>
      </c>
      <c r="S141" t="s">
        <v>627</v>
      </c>
      <c r="T141" t="s">
        <v>628</v>
      </c>
      <c r="U141" t="s">
        <v>55</v>
      </c>
      <c r="V141" t="s">
        <v>52</v>
      </c>
      <c r="W141" t="s">
        <v>36</v>
      </c>
      <c r="X141" t="s">
        <v>144</v>
      </c>
      <c r="Y141" t="s">
        <v>45</v>
      </c>
      <c r="Z141" t="s">
        <v>47</v>
      </c>
      <c r="AA141" t="s">
        <v>54</v>
      </c>
      <c r="AB141" t="s">
        <v>55</v>
      </c>
      <c r="AC141" t="s">
        <v>92</v>
      </c>
      <c r="AD141" t="s">
        <v>41</v>
      </c>
      <c r="AE141" t="s">
        <v>40</v>
      </c>
      <c r="AF141" t="s">
        <v>53</v>
      </c>
      <c r="AG141" t="s">
        <v>91</v>
      </c>
      <c r="AH141" t="s">
        <v>47</v>
      </c>
      <c r="AI141" t="s">
        <v>71</v>
      </c>
    </row>
    <row r="142" spans="1:35" x14ac:dyDescent="0.25">
      <c r="A142" t="s">
        <v>93</v>
      </c>
      <c r="B142" t="s">
        <v>36</v>
      </c>
      <c r="C142" t="s">
        <v>37</v>
      </c>
      <c r="D142" t="s">
        <v>629</v>
      </c>
      <c r="E142" t="s">
        <v>62</v>
      </c>
      <c r="F142" t="s">
        <v>91</v>
      </c>
      <c r="G142" t="s">
        <v>45</v>
      </c>
      <c r="H142" t="s">
        <v>87</v>
      </c>
      <c r="I142" t="s">
        <v>40</v>
      </c>
      <c r="J142" t="s">
        <v>630</v>
      </c>
      <c r="K142" t="s">
        <v>40</v>
      </c>
      <c r="L142" t="s">
        <v>43</v>
      </c>
      <c r="M142" t="s">
        <v>35</v>
      </c>
      <c r="N142" t="s">
        <v>45</v>
      </c>
      <c r="O142" t="s">
        <v>40</v>
      </c>
      <c r="P142" t="s">
        <v>76</v>
      </c>
      <c r="Q142" t="s">
        <v>40</v>
      </c>
      <c r="R142" t="s">
        <v>48</v>
      </c>
      <c r="S142" t="s">
        <v>631</v>
      </c>
      <c r="T142" t="s">
        <v>632</v>
      </c>
      <c r="U142" t="s">
        <v>71</v>
      </c>
      <c r="V142" t="s">
        <v>52</v>
      </c>
      <c r="W142" t="s">
        <v>59</v>
      </c>
      <c r="X142" t="s">
        <v>112</v>
      </c>
      <c r="Y142" t="s">
        <v>47</v>
      </c>
      <c r="Z142" t="s">
        <v>40</v>
      </c>
      <c r="AA142" t="s">
        <v>54</v>
      </c>
      <c r="AB142" t="s">
        <v>55</v>
      </c>
      <c r="AC142" t="s">
        <v>70</v>
      </c>
      <c r="AD142" t="s">
        <v>41</v>
      </c>
      <c r="AE142" t="s">
        <v>47</v>
      </c>
      <c r="AF142" t="s">
        <v>57</v>
      </c>
      <c r="AG142" t="s">
        <v>47</v>
      </c>
      <c r="AH142" t="s">
        <v>55</v>
      </c>
      <c r="AI142" t="s">
        <v>47</v>
      </c>
    </row>
    <row r="143" spans="1:35" x14ac:dyDescent="0.25">
      <c r="A143" t="s">
        <v>174</v>
      </c>
      <c r="B143" t="s">
        <v>59</v>
      </c>
      <c r="C143" t="s">
        <v>37</v>
      </c>
      <c r="D143" t="s">
        <v>633</v>
      </c>
      <c r="E143" t="s">
        <v>62</v>
      </c>
      <c r="F143" t="s">
        <v>133</v>
      </c>
      <c r="G143" t="s">
        <v>45</v>
      </c>
      <c r="H143" t="s">
        <v>87</v>
      </c>
      <c r="I143" t="s">
        <v>40</v>
      </c>
      <c r="J143" t="s">
        <v>634</v>
      </c>
      <c r="K143" t="s">
        <v>45</v>
      </c>
      <c r="L143" t="s">
        <v>63</v>
      </c>
      <c r="M143" t="s">
        <v>193</v>
      </c>
      <c r="N143" t="s">
        <v>45</v>
      </c>
      <c r="O143" t="s">
        <v>40</v>
      </c>
      <c r="P143" t="s">
        <v>65</v>
      </c>
      <c r="Q143" t="s">
        <v>47</v>
      </c>
      <c r="R143" t="s">
        <v>48</v>
      </c>
      <c r="S143" t="s">
        <v>635</v>
      </c>
      <c r="T143" t="s">
        <v>636</v>
      </c>
      <c r="U143" t="s">
        <v>57</v>
      </c>
      <c r="V143" t="s">
        <v>52</v>
      </c>
      <c r="W143" t="s">
        <v>59</v>
      </c>
      <c r="X143" t="s">
        <v>98</v>
      </c>
      <c r="Y143" t="s">
        <v>45</v>
      </c>
      <c r="Z143" t="s">
        <v>41</v>
      </c>
      <c r="AA143" t="s">
        <v>54</v>
      </c>
      <c r="AB143" t="s">
        <v>55</v>
      </c>
      <c r="AC143" t="s">
        <v>91</v>
      </c>
      <c r="AD143" t="s">
        <v>41</v>
      </c>
      <c r="AE143" t="s">
        <v>41</v>
      </c>
      <c r="AF143" t="s">
        <v>56</v>
      </c>
      <c r="AG143" t="s">
        <v>57</v>
      </c>
      <c r="AH143" t="s">
        <v>55</v>
      </c>
      <c r="AI143" t="s">
        <v>45</v>
      </c>
    </row>
    <row r="144" spans="1:35" x14ac:dyDescent="0.25">
      <c r="A144" t="s">
        <v>113</v>
      </c>
      <c r="B144" t="s">
        <v>59</v>
      </c>
      <c r="C144" t="s">
        <v>37</v>
      </c>
      <c r="D144" t="s">
        <v>637</v>
      </c>
      <c r="E144" t="s">
        <v>62</v>
      </c>
      <c r="F144" t="s">
        <v>45</v>
      </c>
      <c r="G144" t="s">
        <v>57</v>
      </c>
      <c r="H144" t="s">
        <v>228</v>
      </c>
      <c r="I144" t="s">
        <v>40</v>
      </c>
      <c r="J144" t="s">
        <v>388</v>
      </c>
      <c r="K144" t="s">
        <v>47</v>
      </c>
      <c r="L144" t="s">
        <v>43</v>
      </c>
      <c r="M144" t="s">
        <v>93</v>
      </c>
      <c r="N144" t="s">
        <v>45</v>
      </c>
      <c r="O144" t="s">
        <v>41</v>
      </c>
      <c r="P144" t="s">
        <v>65</v>
      </c>
      <c r="Q144" t="s">
        <v>45</v>
      </c>
      <c r="R144" t="s">
        <v>48</v>
      </c>
      <c r="S144" t="s">
        <v>638</v>
      </c>
      <c r="T144" t="s">
        <v>639</v>
      </c>
      <c r="U144" t="s">
        <v>45</v>
      </c>
      <c r="V144" t="s">
        <v>52</v>
      </c>
      <c r="W144" t="s">
        <v>36</v>
      </c>
      <c r="X144" t="s">
        <v>104</v>
      </c>
      <c r="Y144" t="s">
        <v>47</v>
      </c>
      <c r="Z144" t="s">
        <v>41</v>
      </c>
      <c r="AA144" t="s">
        <v>54</v>
      </c>
      <c r="AB144" t="s">
        <v>55</v>
      </c>
      <c r="AC144" t="s">
        <v>144</v>
      </c>
      <c r="AD144" t="s">
        <v>41</v>
      </c>
      <c r="AE144" t="s">
        <v>45</v>
      </c>
      <c r="AF144" t="s">
        <v>45</v>
      </c>
      <c r="AG144" t="s">
        <v>41</v>
      </c>
      <c r="AH144" t="s">
        <v>41</v>
      </c>
      <c r="AI144" t="s">
        <v>41</v>
      </c>
    </row>
    <row r="145" spans="1:35" x14ac:dyDescent="0.25">
      <c r="A145" t="s">
        <v>105</v>
      </c>
      <c r="B145" t="s">
        <v>59</v>
      </c>
      <c r="C145" t="s">
        <v>37</v>
      </c>
      <c r="D145" t="s">
        <v>640</v>
      </c>
      <c r="E145" t="s">
        <v>62</v>
      </c>
      <c r="F145" t="s">
        <v>145</v>
      </c>
      <c r="G145" t="s">
        <v>45</v>
      </c>
      <c r="H145" t="s">
        <v>42</v>
      </c>
      <c r="I145" t="s">
        <v>40</v>
      </c>
      <c r="J145" t="s">
        <v>641</v>
      </c>
      <c r="K145" t="s">
        <v>40</v>
      </c>
      <c r="L145" t="s">
        <v>43</v>
      </c>
      <c r="M145" t="s">
        <v>255</v>
      </c>
      <c r="N145" t="s">
        <v>45</v>
      </c>
      <c r="O145" t="s">
        <v>40</v>
      </c>
      <c r="P145" t="s">
        <v>65</v>
      </c>
      <c r="Q145" t="s">
        <v>45</v>
      </c>
      <c r="R145" t="s">
        <v>48</v>
      </c>
      <c r="S145" t="s">
        <v>642</v>
      </c>
      <c r="T145" t="s">
        <v>643</v>
      </c>
      <c r="U145" t="s">
        <v>40</v>
      </c>
      <c r="V145" t="s">
        <v>52</v>
      </c>
      <c r="W145" t="s">
        <v>59</v>
      </c>
      <c r="X145" t="s">
        <v>129</v>
      </c>
      <c r="Y145" t="s">
        <v>45</v>
      </c>
      <c r="Z145" t="s">
        <v>45</v>
      </c>
      <c r="AA145" t="s">
        <v>54</v>
      </c>
      <c r="AB145" t="s">
        <v>55</v>
      </c>
      <c r="AC145" t="s">
        <v>57</v>
      </c>
      <c r="AD145" t="s">
        <v>47</v>
      </c>
      <c r="AE145" t="s">
        <v>41</v>
      </c>
      <c r="AF145" t="s">
        <v>57</v>
      </c>
      <c r="AG145" t="s">
        <v>47</v>
      </c>
      <c r="AH145" t="s">
        <v>55</v>
      </c>
      <c r="AI145" t="s">
        <v>47</v>
      </c>
    </row>
    <row r="146" spans="1:35" x14ac:dyDescent="0.25">
      <c r="A146" t="s">
        <v>93</v>
      </c>
      <c r="B146" t="s">
        <v>59</v>
      </c>
      <c r="C146" t="s">
        <v>60</v>
      </c>
      <c r="D146" t="s">
        <v>644</v>
      </c>
      <c r="E146" t="s">
        <v>39</v>
      </c>
      <c r="F146" t="s">
        <v>91</v>
      </c>
      <c r="G146" t="s">
        <v>41</v>
      </c>
      <c r="H146" t="s">
        <v>87</v>
      </c>
      <c r="I146" t="s">
        <v>40</v>
      </c>
      <c r="J146" t="s">
        <v>645</v>
      </c>
      <c r="K146" t="s">
        <v>47</v>
      </c>
      <c r="L146" t="s">
        <v>63</v>
      </c>
      <c r="M146" t="s">
        <v>126</v>
      </c>
      <c r="N146" t="s">
        <v>40</v>
      </c>
      <c r="O146" t="s">
        <v>41</v>
      </c>
      <c r="P146" t="s">
        <v>46</v>
      </c>
      <c r="Q146" t="s">
        <v>47</v>
      </c>
      <c r="R146" t="s">
        <v>109</v>
      </c>
      <c r="S146" t="s">
        <v>646</v>
      </c>
      <c r="T146" t="s">
        <v>647</v>
      </c>
      <c r="U146" t="s">
        <v>55</v>
      </c>
      <c r="V146" t="s">
        <v>52</v>
      </c>
      <c r="W146" t="s">
        <v>59</v>
      </c>
      <c r="X146" t="s">
        <v>125</v>
      </c>
      <c r="Y146" t="s">
        <v>45</v>
      </c>
      <c r="Z146" t="s">
        <v>47</v>
      </c>
      <c r="AA146" t="s">
        <v>54</v>
      </c>
      <c r="AB146" t="s">
        <v>45</v>
      </c>
      <c r="AC146" t="s">
        <v>91</v>
      </c>
      <c r="AD146" t="s">
        <v>41</v>
      </c>
      <c r="AE146" t="s">
        <v>47</v>
      </c>
      <c r="AF146" t="s">
        <v>51</v>
      </c>
      <c r="AG146" t="s">
        <v>71</v>
      </c>
      <c r="AH146" t="s">
        <v>55</v>
      </c>
      <c r="AI146" t="s">
        <v>71</v>
      </c>
    </row>
    <row r="147" spans="1:35" x14ac:dyDescent="0.25">
      <c r="A147" t="s">
        <v>105</v>
      </c>
      <c r="B147" t="s">
        <v>59</v>
      </c>
      <c r="C147" t="s">
        <v>37</v>
      </c>
      <c r="D147" t="s">
        <v>648</v>
      </c>
      <c r="E147" t="s">
        <v>62</v>
      </c>
      <c r="F147" t="s">
        <v>57</v>
      </c>
      <c r="G147" t="s">
        <v>45</v>
      </c>
      <c r="H147" t="s">
        <v>228</v>
      </c>
      <c r="I147" t="s">
        <v>40</v>
      </c>
      <c r="J147" t="s">
        <v>649</v>
      </c>
      <c r="K147" t="s">
        <v>47</v>
      </c>
      <c r="L147" t="s">
        <v>43</v>
      </c>
      <c r="M147" t="s">
        <v>130</v>
      </c>
      <c r="N147" t="s">
        <v>45</v>
      </c>
      <c r="O147" t="s">
        <v>40</v>
      </c>
      <c r="P147" t="s">
        <v>65</v>
      </c>
      <c r="Q147" t="s">
        <v>40</v>
      </c>
      <c r="R147" t="s">
        <v>109</v>
      </c>
      <c r="S147" t="s">
        <v>650</v>
      </c>
      <c r="T147" t="s">
        <v>651</v>
      </c>
      <c r="U147" t="s">
        <v>57</v>
      </c>
      <c r="V147" t="s">
        <v>52</v>
      </c>
      <c r="W147" t="s">
        <v>59</v>
      </c>
      <c r="X147" t="s">
        <v>129</v>
      </c>
      <c r="Y147" t="s">
        <v>45</v>
      </c>
      <c r="Z147" t="s">
        <v>47</v>
      </c>
      <c r="AA147" t="s">
        <v>54</v>
      </c>
      <c r="AB147" t="s">
        <v>40</v>
      </c>
      <c r="AC147" t="s">
        <v>51</v>
      </c>
      <c r="AD147" t="s">
        <v>45</v>
      </c>
      <c r="AE147" t="s">
        <v>45</v>
      </c>
      <c r="AF147" t="s">
        <v>45</v>
      </c>
      <c r="AG147" t="s">
        <v>41</v>
      </c>
      <c r="AH147" t="s">
        <v>41</v>
      </c>
      <c r="AI147" t="s">
        <v>41</v>
      </c>
    </row>
    <row r="148" spans="1:35" x14ac:dyDescent="0.25">
      <c r="A148" t="s">
        <v>105</v>
      </c>
      <c r="B148" t="s">
        <v>59</v>
      </c>
      <c r="C148" t="s">
        <v>37</v>
      </c>
      <c r="D148" t="s">
        <v>652</v>
      </c>
      <c r="E148" t="s">
        <v>62</v>
      </c>
      <c r="F148" t="s">
        <v>41</v>
      </c>
      <c r="G148" t="s">
        <v>40</v>
      </c>
      <c r="H148" t="s">
        <v>87</v>
      </c>
      <c r="I148" t="s">
        <v>40</v>
      </c>
      <c r="J148" t="s">
        <v>653</v>
      </c>
      <c r="K148" t="s">
        <v>41</v>
      </c>
      <c r="L148" t="s">
        <v>63</v>
      </c>
      <c r="M148" t="s">
        <v>126</v>
      </c>
      <c r="N148" t="s">
        <v>41</v>
      </c>
      <c r="O148" t="s">
        <v>40</v>
      </c>
      <c r="P148" t="s">
        <v>76</v>
      </c>
      <c r="Q148" t="s">
        <v>47</v>
      </c>
      <c r="R148" t="s">
        <v>48</v>
      </c>
      <c r="S148" t="s">
        <v>654</v>
      </c>
      <c r="T148" t="s">
        <v>655</v>
      </c>
      <c r="U148" t="s">
        <v>55</v>
      </c>
      <c r="V148" t="s">
        <v>52</v>
      </c>
      <c r="W148" t="s">
        <v>59</v>
      </c>
      <c r="X148" t="s">
        <v>98</v>
      </c>
      <c r="Y148" t="s">
        <v>45</v>
      </c>
      <c r="Z148" t="s">
        <v>47</v>
      </c>
      <c r="AA148" t="s">
        <v>54</v>
      </c>
      <c r="AB148" t="s">
        <v>55</v>
      </c>
      <c r="AC148" t="s">
        <v>56</v>
      </c>
      <c r="AD148" t="s">
        <v>45</v>
      </c>
      <c r="AE148" t="s">
        <v>45</v>
      </c>
      <c r="AF148" t="s">
        <v>57</v>
      </c>
      <c r="AG148" t="s">
        <v>45</v>
      </c>
      <c r="AH148" t="s">
        <v>40</v>
      </c>
      <c r="AI148" t="s">
        <v>41</v>
      </c>
    </row>
    <row r="149" spans="1:35" x14ac:dyDescent="0.25">
      <c r="A149" t="s">
        <v>35</v>
      </c>
      <c r="B149" t="s">
        <v>59</v>
      </c>
      <c r="C149" t="s">
        <v>60</v>
      </c>
      <c r="D149" t="s">
        <v>656</v>
      </c>
      <c r="E149" t="s">
        <v>62</v>
      </c>
      <c r="F149" t="s">
        <v>70</v>
      </c>
      <c r="G149" t="s">
        <v>45</v>
      </c>
      <c r="H149" t="s">
        <v>42</v>
      </c>
      <c r="I149" t="s">
        <v>40</v>
      </c>
      <c r="J149" t="s">
        <v>657</v>
      </c>
      <c r="K149" t="s">
        <v>47</v>
      </c>
      <c r="L149" t="s">
        <v>63</v>
      </c>
      <c r="M149" t="s">
        <v>364</v>
      </c>
      <c r="N149" t="s">
        <v>41</v>
      </c>
      <c r="O149" t="s">
        <v>47</v>
      </c>
      <c r="P149" t="s">
        <v>169</v>
      </c>
      <c r="Q149" t="s">
        <v>40</v>
      </c>
      <c r="R149" t="s">
        <v>109</v>
      </c>
      <c r="S149" t="s">
        <v>658</v>
      </c>
      <c r="T149" t="s">
        <v>659</v>
      </c>
      <c r="U149" t="s">
        <v>47</v>
      </c>
      <c r="V149" t="s">
        <v>52</v>
      </c>
      <c r="W149" t="s">
        <v>59</v>
      </c>
      <c r="X149" t="s">
        <v>98</v>
      </c>
      <c r="Y149" t="s">
        <v>45</v>
      </c>
      <c r="Z149" t="s">
        <v>41</v>
      </c>
      <c r="AA149" t="s">
        <v>54</v>
      </c>
      <c r="AB149" t="s">
        <v>40</v>
      </c>
      <c r="AC149" t="s">
        <v>119</v>
      </c>
      <c r="AD149" t="s">
        <v>41</v>
      </c>
      <c r="AE149" t="s">
        <v>41</v>
      </c>
      <c r="AF149" t="s">
        <v>71</v>
      </c>
      <c r="AG149" t="s">
        <v>56</v>
      </c>
      <c r="AH149" t="s">
        <v>71</v>
      </c>
      <c r="AI149" t="s">
        <v>71</v>
      </c>
    </row>
    <row r="150" spans="1:35" x14ac:dyDescent="0.25">
      <c r="A150" t="s">
        <v>35</v>
      </c>
      <c r="B150" t="s">
        <v>59</v>
      </c>
      <c r="C150" t="s">
        <v>37</v>
      </c>
      <c r="D150" t="s">
        <v>660</v>
      </c>
      <c r="E150" t="s">
        <v>62</v>
      </c>
      <c r="F150" t="s">
        <v>91</v>
      </c>
      <c r="G150" t="s">
        <v>47</v>
      </c>
      <c r="H150" t="s">
        <v>42</v>
      </c>
      <c r="I150" t="s">
        <v>40</v>
      </c>
      <c r="J150" t="s">
        <v>661</v>
      </c>
      <c r="K150" t="s">
        <v>45</v>
      </c>
      <c r="L150" t="s">
        <v>63</v>
      </c>
      <c r="M150" t="s">
        <v>44</v>
      </c>
      <c r="N150" t="s">
        <v>45</v>
      </c>
      <c r="O150" t="s">
        <v>40</v>
      </c>
      <c r="P150" t="s">
        <v>76</v>
      </c>
      <c r="Q150" t="s">
        <v>40</v>
      </c>
      <c r="R150" t="s">
        <v>66</v>
      </c>
      <c r="S150" t="s">
        <v>662</v>
      </c>
      <c r="T150" t="s">
        <v>663</v>
      </c>
      <c r="U150" t="s">
        <v>41</v>
      </c>
      <c r="V150" t="s">
        <v>52</v>
      </c>
      <c r="W150" t="s">
        <v>59</v>
      </c>
      <c r="X150" t="s">
        <v>119</v>
      </c>
      <c r="Y150" t="s">
        <v>47</v>
      </c>
      <c r="Z150" t="s">
        <v>47</v>
      </c>
      <c r="AA150" t="s">
        <v>54</v>
      </c>
      <c r="AB150" t="s">
        <v>40</v>
      </c>
      <c r="AC150" t="s">
        <v>71</v>
      </c>
      <c r="AD150" t="s">
        <v>41</v>
      </c>
      <c r="AE150" t="s">
        <v>45</v>
      </c>
      <c r="AF150" t="s">
        <v>57</v>
      </c>
      <c r="AG150" t="s">
        <v>55</v>
      </c>
      <c r="AH150" t="s">
        <v>40</v>
      </c>
      <c r="AI150" t="s">
        <v>47</v>
      </c>
    </row>
    <row r="151" spans="1:35" x14ac:dyDescent="0.25">
      <c r="A151" t="s">
        <v>144</v>
      </c>
      <c r="B151" t="s">
        <v>59</v>
      </c>
      <c r="C151" t="s">
        <v>37</v>
      </c>
      <c r="D151" t="s">
        <v>664</v>
      </c>
      <c r="E151" t="s">
        <v>62</v>
      </c>
      <c r="F151" t="s">
        <v>45</v>
      </c>
      <c r="G151" t="s">
        <v>40</v>
      </c>
      <c r="H151" t="s">
        <v>87</v>
      </c>
      <c r="I151" t="s">
        <v>40</v>
      </c>
      <c r="J151" t="s">
        <v>648</v>
      </c>
      <c r="K151" t="s">
        <v>41</v>
      </c>
      <c r="L151" t="s">
        <v>43</v>
      </c>
      <c r="M151" t="s">
        <v>95</v>
      </c>
      <c r="N151" t="s">
        <v>45</v>
      </c>
      <c r="O151" t="s">
        <v>40</v>
      </c>
      <c r="P151" t="s">
        <v>76</v>
      </c>
      <c r="Q151" t="s">
        <v>41</v>
      </c>
      <c r="R151" t="s">
        <v>48</v>
      </c>
      <c r="S151" t="s">
        <v>665</v>
      </c>
      <c r="T151" t="s">
        <v>666</v>
      </c>
      <c r="U151" t="s">
        <v>40</v>
      </c>
      <c r="V151" t="s">
        <v>52</v>
      </c>
      <c r="W151" t="s">
        <v>59</v>
      </c>
      <c r="X151" t="s">
        <v>129</v>
      </c>
      <c r="Y151" t="s">
        <v>45</v>
      </c>
      <c r="Z151" t="s">
        <v>47</v>
      </c>
      <c r="AA151" t="s">
        <v>54</v>
      </c>
      <c r="AB151" t="s">
        <v>55</v>
      </c>
      <c r="AC151" t="s">
        <v>40</v>
      </c>
      <c r="AD151" t="s">
        <v>45</v>
      </c>
      <c r="AE151" t="s">
        <v>45</v>
      </c>
      <c r="AF151" t="s">
        <v>40</v>
      </c>
      <c r="AG151" t="s">
        <v>55</v>
      </c>
      <c r="AH151" t="s">
        <v>55</v>
      </c>
      <c r="AI151" t="s">
        <v>55</v>
      </c>
    </row>
    <row r="152" spans="1:35" x14ac:dyDescent="0.25">
      <c r="A152" t="s">
        <v>88</v>
      </c>
      <c r="B152" t="s">
        <v>59</v>
      </c>
      <c r="C152" t="s">
        <v>60</v>
      </c>
      <c r="D152" t="s">
        <v>667</v>
      </c>
      <c r="E152" t="s">
        <v>62</v>
      </c>
      <c r="F152" t="s">
        <v>139</v>
      </c>
      <c r="G152" t="s">
        <v>45</v>
      </c>
      <c r="H152" t="s">
        <v>87</v>
      </c>
      <c r="I152" t="s">
        <v>40</v>
      </c>
      <c r="J152" t="s">
        <v>668</v>
      </c>
      <c r="K152" t="s">
        <v>41</v>
      </c>
      <c r="L152" t="s">
        <v>43</v>
      </c>
      <c r="M152" t="s">
        <v>259</v>
      </c>
      <c r="N152" t="s">
        <v>45</v>
      </c>
      <c r="O152" t="s">
        <v>41</v>
      </c>
      <c r="P152" t="s">
        <v>65</v>
      </c>
      <c r="Q152" t="s">
        <v>41</v>
      </c>
      <c r="R152" t="s">
        <v>109</v>
      </c>
      <c r="S152" t="s">
        <v>669</v>
      </c>
      <c r="T152" t="s">
        <v>670</v>
      </c>
      <c r="U152" t="s">
        <v>40</v>
      </c>
      <c r="V152" t="s">
        <v>52</v>
      </c>
      <c r="W152" t="s">
        <v>59</v>
      </c>
      <c r="X152" t="s">
        <v>53</v>
      </c>
      <c r="Y152" t="s">
        <v>45</v>
      </c>
      <c r="Z152" t="s">
        <v>40</v>
      </c>
      <c r="AA152" t="s">
        <v>54</v>
      </c>
      <c r="AB152" t="s">
        <v>40</v>
      </c>
      <c r="AC152" t="s">
        <v>104</v>
      </c>
      <c r="AD152" t="s">
        <v>41</v>
      </c>
      <c r="AE152" t="s">
        <v>45</v>
      </c>
      <c r="AF152" t="s">
        <v>104</v>
      </c>
      <c r="AG152" t="s">
        <v>71</v>
      </c>
      <c r="AH152" t="s">
        <v>41</v>
      </c>
      <c r="AI152" t="s">
        <v>98</v>
      </c>
    </row>
    <row r="153" spans="1:35" x14ac:dyDescent="0.25">
      <c r="A153" t="s">
        <v>126</v>
      </c>
      <c r="B153" t="s">
        <v>59</v>
      </c>
      <c r="C153" t="s">
        <v>37</v>
      </c>
      <c r="D153" t="s">
        <v>671</v>
      </c>
      <c r="E153" t="s">
        <v>39</v>
      </c>
      <c r="F153" t="s">
        <v>40</v>
      </c>
      <c r="G153" t="s">
        <v>57</v>
      </c>
      <c r="H153" t="s">
        <v>206</v>
      </c>
      <c r="I153" t="s">
        <v>40</v>
      </c>
      <c r="J153" t="s">
        <v>672</v>
      </c>
      <c r="K153" t="s">
        <v>45</v>
      </c>
      <c r="L153" t="s">
        <v>63</v>
      </c>
      <c r="M153" t="s">
        <v>44</v>
      </c>
      <c r="N153" t="s">
        <v>45</v>
      </c>
      <c r="O153" t="s">
        <v>45</v>
      </c>
      <c r="P153" t="s">
        <v>46</v>
      </c>
      <c r="Q153" t="s">
        <v>41</v>
      </c>
      <c r="R153" t="s">
        <v>66</v>
      </c>
      <c r="S153" t="s">
        <v>673</v>
      </c>
      <c r="T153" t="s">
        <v>674</v>
      </c>
      <c r="U153" t="s">
        <v>40</v>
      </c>
      <c r="V153" t="s">
        <v>52</v>
      </c>
      <c r="W153" t="s">
        <v>59</v>
      </c>
      <c r="X153" t="s">
        <v>98</v>
      </c>
      <c r="Y153" t="s">
        <v>45</v>
      </c>
      <c r="Z153" t="s">
        <v>40</v>
      </c>
      <c r="AA153" t="s">
        <v>54</v>
      </c>
      <c r="AB153" t="s">
        <v>41</v>
      </c>
      <c r="AC153" t="s">
        <v>70</v>
      </c>
      <c r="AD153" t="s">
        <v>45</v>
      </c>
      <c r="AE153" t="s">
        <v>45</v>
      </c>
      <c r="AF153" t="s">
        <v>70</v>
      </c>
      <c r="AG153" t="s">
        <v>51</v>
      </c>
      <c r="AH153" t="s">
        <v>55</v>
      </c>
      <c r="AI153" t="s">
        <v>56</v>
      </c>
    </row>
    <row r="154" spans="1:35" x14ac:dyDescent="0.25">
      <c r="A154" t="s">
        <v>166</v>
      </c>
      <c r="B154" t="s">
        <v>59</v>
      </c>
      <c r="C154" t="s">
        <v>37</v>
      </c>
      <c r="D154" t="s">
        <v>675</v>
      </c>
      <c r="E154" t="s">
        <v>39</v>
      </c>
      <c r="F154" t="s">
        <v>56</v>
      </c>
      <c r="G154" t="s">
        <v>41</v>
      </c>
      <c r="H154" t="s">
        <v>206</v>
      </c>
      <c r="I154" t="s">
        <v>40</v>
      </c>
      <c r="J154" t="s">
        <v>676</v>
      </c>
      <c r="K154" t="s">
        <v>41</v>
      </c>
      <c r="L154" t="s">
        <v>63</v>
      </c>
      <c r="M154" t="s">
        <v>142</v>
      </c>
      <c r="N154" t="s">
        <v>45</v>
      </c>
      <c r="O154" t="s">
        <v>41</v>
      </c>
      <c r="P154" t="s">
        <v>182</v>
      </c>
      <c r="Q154" t="s">
        <v>45</v>
      </c>
      <c r="R154" t="s">
        <v>66</v>
      </c>
      <c r="S154" t="s">
        <v>677</v>
      </c>
      <c r="T154" t="s">
        <v>678</v>
      </c>
      <c r="U154" t="s">
        <v>41</v>
      </c>
      <c r="V154" t="s">
        <v>52</v>
      </c>
      <c r="W154" t="s">
        <v>36</v>
      </c>
      <c r="X154" t="s">
        <v>104</v>
      </c>
      <c r="Y154" t="s">
        <v>47</v>
      </c>
      <c r="Z154" t="s">
        <v>47</v>
      </c>
      <c r="AA154" t="s">
        <v>54</v>
      </c>
      <c r="AB154" t="s">
        <v>40</v>
      </c>
      <c r="AC154" t="s">
        <v>98</v>
      </c>
      <c r="AD154" t="s">
        <v>45</v>
      </c>
      <c r="AE154" t="s">
        <v>40</v>
      </c>
      <c r="AF154" t="s">
        <v>71</v>
      </c>
      <c r="AG154" t="s">
        <v>71</v>
      </c>
      <c r="AH154" t="s">
        <v>47</v>
      </c>
      <c r="AI154" t="s">
        <v>57</v>
      </c>
    </row>
    <row r="155" spans="1:35" x14ac:dyDescent="0.25">
      <c r="A155" t="s">
        <v>174</v>
      </c>
      <c r="B155" t="s">
        <v>59</v>
      </c>
      <c r="C155" t="s">
        <v>37</v>
      </c>
      <c r="D155" t="s">
        <v>641</v>
      </c>
      <c r="E155" t="s">
        <v>62</v>
      </c>
      <c r="F155" t="s">
        <v>91</v>
      </c>
      <c r="G155" t="s">
        <v>45</v>
      </c>
      <c r="H155" t="s">
        <v>42</v>
      </c>
      <c r="I155" t="s">
        <v>40</v>
      </c>
      <c r="J155" t="s">
        <v>679</v>
      </c>
      <c r="K155" t="s">
        <v>41</v>
      </c>
      <c r="L155" t="s">
        <v>63</v>
      </c>
      <c r="M155" t="s">
        <v>275</v>
      </c>
      <c r="N155" t="s">
        <v>45</v>
      </c>
      <c r="O155" t="s">
        <v>41</v>
      </c>
      <c r="P155" t="s">
        <v>76</v>
      </c>
      <c r="Q155" t="s">
        <v>41</v>
      </c>
      <c r="R155" t="s">
        <v>109</v>
      </c>
      <c r="S155" t="s">
        <v>680</v>
      </c>
      <c r="T155" t="s">
        <v>681</v>
      </c>
      <c r="U155" t="s">
        <v>51</v>
      </c>
      <c r="V155" t="s">
        <v>52</v>
      </c>
      <c r="W155" t="s">
        <v>59</v>
      </c>
      <c r="X155" t="s">
        <v>145</v>
      </c>
      <c r="Y155" t="s">
        <v>45</v>
      </c>
      <c r="Z155" t="s">
        <v>45</v>
      </c>
      <c r="AA155" t="s">
        <v>54</v>
      </c>
      <c r="AB155" t="s">
        <v>40</v>
      </c>
      <c r="AC155" t="s">
        <v>104</v>
      </c>
      <c r="AD155" t="s">
        <v>41</v>
      </c>
      <c r="AE155" t="s">
        <v>40</v>
      </c>
      <c r="AF155" t="s">
        <v>125</v>
      </c>
      <c r="AG155" t="s">
        <v>91</v>
      </c>
      <c r="AH155" t="s">
        <v>55</v>
      </c>
      <c r="AI155" t="s">
        <v>79</v>
      </c>
    </row>
    <row r="156" spans="1:35" x14ac:dyDescent="0.25">
      <c r="A156" t="s">
        <v>93</v>
      </c>
      <c r="B156" t="s">
        <v>59</v>
      </c>
      <c r="C156" t="s">
        <v>60</v>
      </c>
      <c r="D156" t="s">
        <v>682</v>
      </c>
      <c r="E156" t="s">
        <v>39</v>
      </c>
      <c r="F156" t="s">
        <v>51</v>
      </c>
      <c r="G156" t="s">
        <v>45</v>
      </c>
      <c r="H156" t="s">
        <v>206</v>
      </c>
      <c r="I156" t="s">
        <v>40</v>
      </c>
      <c r="J156" t="s">
        <v>683</v>
      </c>
      <c r="K156" t="s">
        <v>41</v>
      </c>
      <c r="L156" t="s">
        <v>43</v>
      </c>
      <c r="M156" t="s">
        <v>234</v>
      </c>
      <c r="N156" t="s">
        <v>45</v>
      </c>
      <c r="O156" t="s">
        <v>45</v>
      </c>
      <c r="P156" t="s">
        <v>46</v>
      </c>
      <c r="Q156" t="s">
        <v>47</v>
      </c>
      <c r="R156" t="s">
        <v>48</v>
      </c>
      <c r="S156" t="s">
        <v>684</v>
      </c>
      <c r="T156" t="s">
        <v>685</v>
      </c>
      <c r="U156" t="s">
        <v>40</v>
      </c>
      <c r="V156" t="s">
        <v>52</v>
      </c>
      <c r="W156" t="s">
        <v>59</v>
      </c>
      <c r="X156" t="s">
        <v>129</v>
      </c>
      <c r="Y156" t="s">
        <v>45</v>
      </c>
      <c r="Z156" t="s">
        <v>47</v>
      </c>
      <c r="AA156" t="s">
        <v>54</v>
      </c>
      <c r="AB156" t="s">
        <v>55</v>
      </c>
      <c r="AC156" t="s">
        <v>91</v>
      </c>
      <c r="AD156" t="s">
        <v>41</v>
      </c>
      <c r="AE156" t="s">
        <v>45</v>
      </c>
      <c r="AF156" t="s">
        <v>91</v>
      </c>
      <c r="AG156" t="s">
        <v>51</v>
      </c>
      <c r="AH156" t="s">
        <v>45</v>
      </c>
      <c r="AI156" t="s">
        <v>71</v>
      </c>
    </row>
    <row r="157" spans="1:35" x14ac:dyDescent="0.25">
      <c r="A157" t="s">
        <v>133</v>
      </c>
      <c r="B157" t="s">
        <v>59</v>
      </c>
      <c r="C157" t="s">
        <v>161</v>
      </c>
      <c r="D157" t="s">
        <v>686</v>
      </c>
      <c r="E157" t="s">
        <v>62</v>
      </c>
      <c r="F157" t="s">
        <v>40</v>
      </c>
      <c r="G157" t="s">
        <v>40</v>
      </c>
      <c r="H157" t="s">
        <v>228</v>
      </c>
      <c r="I157" t="s">
        <v>40</v>
      </c>
      <c r="J157" t="s">
        <v>687</v>
      </c>
      <c r="K157" t="s">
        <v>47</v>
      </c>
      <c r="L157" t="s">
        <v>63</v>
      </c>
      <c r="M157" t="s">
        <v>35</v>
      </c>
      <c r="N157" t="s">
        <v>45</v>
      </c>
      <c r="O157" t="s">
        <v>41</v>
      </c>
      <c r="P157" t="s">
        <v>116</v>
      </c>
      <c r="Q157" t="s">
        <v>45</v>
      </c>
      <c r="R157" t="s">
        <v>66</v>
      </c>
      <c r="S157" t="s">
        <v>688</v>
      </c>
      <c r="T157" t="s">
        <v>689</v>
      </c>
      <c r="U157" t="s">
        <v>40</v>
      </c>
      <c r="V157" t="s">
        <v>52</v>
      </c>
      <c r="W157" t="s">
        <v>59</v>
      </c>
      <c r="X157" t="s">
        <v>98</v>
      </c>
      <c r="Y157" t="s">
        <v>45</v>
      </c>
      <c r="Z157" t="s">
        <v>40</v>
      </c>
      <c r="AA157" t="s">
        <v>54</v>
      </c>
      <c r="AB157" t="s">
        <v>40</v>
      </c>
      <c r="AC157" t="s">
        <v>70</v>
      </c>
      <c r="AD157" t="s">
        <v>40</v>
      </c>
      <c r="AE157" t="s">
        <v>45</v>
      </c>
      <c r="AF157" t="s">
        <v>70</v>
      </c>
      <c r="AG157" t="s">
        <v>71</v>
      </c>
      <c r="AH157" t="s">
        <v>55</v>
      </c>
      <c r="AI157" t="s">
        <v>91</v>
      </c>
    </row>
    <row r="158" spans="1:35" x14ac:dyDescent="0.25">
      <c r="A158" t="s">
        <v>155</v>
      </c>
      <c r="B158" t="s">
        <v>59</v>
      </c>
      <c r="C158" t="s">
        <v>37</v>
      </c>
      <c r="D158" t="s">
        <v>690</v>
      </c>
      <c r="E158" t="s">
        <v>62</v>
      </c>
      <c r="F158" t="s">
        <v>71</v>
      </c>
      <c r="G158" t="s">
        <v>47</v>
      </c>
      <c r="H158" t="s">
        <v>87</v>
      </c>
      <c r="I158" t="s">
        <v>40</v>
      </c>
      <c r="J158" t="s">
        <v>691</v>
      </c>
      <c r="K158" t="s">
        <v>41</v>
      </c>
      <c r="L158" t="s">
        <v>63</v>
      </c>
      <c r="M158" t="s">
        <v>142</v>
      </c>
      <c r="N158" t="s">
        <v>41</v>
      </c>
      <c r="O158" t="s">
        <v>41</v>
      </c>
      <c r="P158" t="s">
        <v>116</v>
      </c>
      <c r="Q158" t="s">
        <v>45</v>
      </c>
      <c r="R158" t="s">
        <v>66</v>
      </c>
      <c r="S158" t="s">
        <v>692</v>
      </c>
      <c r="T158" t="s">
        <v>693</v>
      </c>
      <c r="U158" t="s">
        <v>41</v>
      </c>
      <c r="V158" t="s">
        <v>52</v>
      </c>
      <c r="W158" t="s">
        <v>59</v>
      </c>
      <c r="X158" t="s">
        <v>125</v>
      </c>
      <c r="Y158" t="s">
        <v>45</v>
      </c>
      <c r="Z158" t="s">
        <v>45</v>
      </c>
      <c r="AA158" t="s">
        <v>54</v>
      </c>
      <c r="AB158" t="s">
        <v>55</v>
      </c>
      <c r="AC158" t="s">
        <v>70</v>
      </c>
      <c r="AD158" t="s">
        <v>41</v>
      </c>
      <c r="AE158" t="s">
        <v>45</v>
      </c>
      <c r="AF158" t="s">
        <v>40</v>
      </c>
      <c r="AG158" t="s">
        <v>55</v>
      </c>
      <c r="AH158" t="s">
        <v>55</v>
      </c>
      <c r="AI158" t="s">
        <v>55</v>
      </c>
    </row>
    <row r="159" spans="1:35" x14ac:dyDescent="0.25">
      <c r="A159" t="s">
        <v>197</v>
      </c>
      <c r="B159" t="s">
        <v>59</v>
      </c>
      <c r="C159" t="s">
        <v>37</v>
      </c>
      <c r="D159" t="s">
        <v>694</v>
      </c>
      <c r="E159" t="s">
        <v>62</v>
      </c>
      <c r="F159" t="s">
        <v>91</v>
      </c>
      <c r="G159" t="s">
        <v>45</v>
      </c>
      <c r="H159" t="s">
        <v>87</v>
      </c>
      <c r="I159" t="s">
        <v>40</v>
      </c>
      <c r="J159" t="s">
        <v>695</v>
      </c>
      <c r="K159" t="s">
        <v>41</v>
      </c>
      <c r="L159" t="s">
        <v>43</v>
      </c>
      <c r="M159" t="s">
        <v>255</v>
      </c>
      <c r="N159" t="s">
        <v>41</v>
      </c>
      <c r="O159" t="s">
        <v>40</v>
      </c>
      <c r="P159" t="s">
        <v>65</v>
      </c>
      <c r="Q159" t="s">
        <v>41</v>
      </c>
      <c r="R159" t="s">
        <v>66</v>
      </c>
      <c r="S159" t="s">
        <v>696</v>
      </c>
      <c r="T159" t="s">
        <v>697</v>
      </c>
      <c r="U159" t="s">
        <v>47</v>
      </c>
      <c r="V159" t="s">
        <v>52</v>
      </c>
      <c r="W159" t="s">
        <v>36</v>
      </c>
      <c r="X159" t="s">
        <v>104</v>
      </c>
      <c r="Y159" t="s">
        <v>47</v>
      </c>
      <c r="Z159" t="s">
        <v>41</v>
      </c>
      <c r="AA159" t="s">
        <v>54</v>
      </c>
      <c r="AB159" t="s">
        <v>40</v>
      </c>
      <c r="AC159" t="s">
        <v>91</v>
      </c>
      <c r="AD159" t="s">
        <v>45</v>
      </c>
      <c r="AE159" t="s">
        <v>41</v>
      </c>
      <c r="AF159" t="s">
        <v>40</v>
      </c>
      <c r="AG159" t="s">
        <v>55</v>
      </c>
      <c r="AH159" t="s">
        <v>55</v>
      </c>
      <c r="AI159" t="s">
        <v>55</v>
      </c>
    </row>
    <row r="160" spans="1:35" x14ac:dyDescent="0.25">
      <c r="A160" t="s">
        <v>88</v>
      </c>
      <c r="B160" t="s">
        <v>59</v>
      </c>
      <c r="C160" t="s">
        <v>37</v>
      </c>
      <c r="D160" t="s">
        <v>698</v>
      </c>
      <c r="E160" t="s">
        <v>39</v>
      </c>
      <c r="F160" t="s">
        <v>47</v>
      </c>
      <c r="G160" t="s">
        <v>47</v>
      </c>
      <c r="H160" t="s">
        <v>206</v>
      </c>
      <c r="I160" t="s">
        <v>40</v>
      </c>
      <c r="J160" t="s">
        <v>699</v>
      </c>
      <c r="K160" t="s">
        <v>45</v>
      </c>
      <c r="L160" t="s">
        <v>63</v>
      </c>
      <c r="M160" t="s">
        <v>108</v>
      </c>
      <c r="N160" t="s">
        <v>41</v>
      </c>
      <c r="O160" t="s">
        <v>45</v>
      </c>
      <c r="P160" t="s">
        <v>46</v>
      </c>
      <c r="Q160" t="s">
        <v>47</v>
      </c>
      <c r="R160" t="s">
        <v>66</v>
      </c>
      <c r="S160" t="s">
        <v>700</v>
      </c>
      <c r="T160" t="s">
        <v>701</v>
      </c>
      <c r="U160" t="s">
        <v>71</v>
      </c>
      <c r="V160" t="s">
        <v>52</v>
      </c>
      <c r="W160" t="s">
        <v>59</v>
      </c>
      <c r="X160" t="s">
        <v>53</v>
      </c>
      <c r="Y160" t="s">
        <v>45</v>
      </c>
      <c r="Z160" t="s">
        <v>40</v>
      </c>
      <c r="AA160" t="s">
        <v>54</v>
      </c>
      <c r="AB160" t="s">
        <v>40</v>
      </c>
      <c r="AC160" t="s">
        <v>79</v>
      </c>
      <c r="AD160" t="s">
        <v>41</v>
      </c>
      <c r="AE160" t="s">
        <v>41</v>
      </c>
      <c r="AF160" t="s">
        <v>92</v>
      </c>
      <c r="AG160" t="s">
        <v>53</v>
      </c>
      <c r="AH160" t="s">
        <v>41</v>
      </c>
      <c r="AI160" t="s">
        <v>53</v>
      </c>
    </row>
    <row r="161" spans="1:35" x14ac:dyDescent="0.25">
      <c r="A161" t="s">
        <v>142</v>
      </c>
      <c r="B161" t="s">
        <v>59</v>
      </c>
      <c r="C161" t="s">
        <v>60</v>
      </c>
      <c r="D161" t="s">
        <v>702</v>
      </c>
      <c r="E161" t="s">
        <v>39</v>
      </c>
      <c r="F161" t="s">
        <v>41</v>
      </c>
      <c r="G161" t="s">
        <v>47</v>
      </c>
      <c r="H161" t="s">
        <v>206</v>
      </c>
      <c r="I161" t="s">
        <v>40</v>
      </c>
      <c r="J161" t="s">
        <v>114</v>
      </c>
      <c r="K161" t="s">
        <v>45</v>
      </c>
      <c r="L161" t="s">
        <v>43</v>
      </c>
      <c r="M161" t="s">
        <v>255</v>
      </c>
      <c r="N161" t="s">
        <v>45</v>
      </c>
      <c r="O161" t="s">
        <v>40</v>
      </c>
      <c r="P161" t="s">
        <v>182</v>
      </c>
      <c r="Q161" t="s">
        <v>45</v>
      </c>
      <c r="R161" t="s">
        <v>66</v>
      </c>
      <c r="S161" t="s">
        <v>703</v>
      </c>
      <c r="T161" t="s">
        <v>704</v>
      </c>
      <c r="U161" t="s">
        <v>56</v>
      </c>
      <c r="V161" t="s">
        <v>52</v>
      </c>
      <c r="W161" t="s">
        <v>59</v>
      </c>
      <c r="X161" t="s">
        <v>145</v>
      </c>
      <c r="Y161" t="s">
        <v>45</v>
      </c>
      <c r="Z161" t="s">
        <v>47</v>
      </c>
      <c r="AA161" t="s">
        <v>54</v>
      </c>
      <c r="AB161" t="s">
        <v>40</v>
      </c>
      <c r="AC161" t="s">
        <v>56</v>
      </c>
      <c r="AD161" t="s">
        <v>45</v>
      </c>
      <c r="AE161" t="s">
        <v>45</v>
      </c>
      <c r="AF161" t="s">
        <v>47</v>
      </c>
      <c r="AG161" t="s">
        <v>45</v>
      </c>
      <c r="AH161" t="s">
        <v>40</v>
      </c>
      <c r="AI161" t="s">
        <v>41</v>
      </c>
    </row>
    <row r="162" spans="1:35" x14ac:dyDescent="0.25">
      <c r="A162" t="s">
        <v>112</v>
      </c>
      <c r="B162" t="s">
        <v>59</v>
      </c>
      <c r="C162" t="s">
        <v>37</v>
      </c>
      <c r="D162" t="s">
        <v>705</v>
      </c>
      <c r="E162" t="s">
        <v>62</v>
      </c>
      <c r="F162" t="s">
        <v>144</v>
      </c>
      <c r="G162" t="s">
        <v>40</v>
      </c>
      <c r="H162" t="s">
        <v>87</v>
      </c>
      <c r="I162" t="s">
        <v>40</v>
      </c>
      <c r="J162" t="s">
        <v>706</v>
      </c>
      <c r="K162" t="s">
        <v>45</v>
      </c>
      <c r="L162" t="s">
        <v>63</v>
      </c>
      <c r="M162" t="s">
        <v>54</v>
      </c>
      <c r="N162" t="s">
        <v>45</v>
      </c>
      <c r="O162" t="s">
        <v>40</v>
      </c>
      <c r="P162" t="s">
        <v>65</v>
      </c>
      <c r="Q162" t="s">
        <v>47</v>
      </c>
      <c r="R162" t="s">
        <v>66</v>
      </c>
      <c r="S162" t="s">
        <v>707</v>
      </c>
      <c r="T162" t="s">
        <v>708</v>
      </c>
      <c r="U162" t="s">
        <v>40</v>
      </c>
      <c r="V162" t="s">
        <v>52</v>
      </c>
      <c r="W162" t="s">
        <v>59</v>
      </c>
      <c r="X162" t="s">
        <v>107</v>
      </c>
      <c r="Y162" t="s">
        <v>47</v>
      </c>
      <c r="Z162" t="s">
        <v>40</v>
      </c>
      <c r="AA162" t="s">
        <v>54</v>
      </c>
      <c r="AB162" t="s">
        <v>41</v>
      </c>
      <c r="AC162" t="s">
        <v>41</v>
      </c>
      <c r="AD162" t="s">
        <v>56</v>
      </c>
      <c r="AE162" t="s">
        <v>45</v>
      </c>
      <c r="AF162" t="s">
        <v>41</v>
      </c>
      <c r="AG162" t="s">
        <v>41</v>
      </c>
      <c r="AH162" t="s">
        <v>41</v>
      </c>
      <c r="AI162" t="s">
        <v>41</v>
      </c>
    </row>
    <row r="163" spans="1:35" x14ac:dyDescent="0.25">
      <c r="A163" t="s">
        <v>85</v>
      </c>
      <c r="B163" t="s">
        <v>59</v>
      </c>
      <c r="C163" t="s">
        <v>161</v>
      </c>
      <c r="D163" t="s">
        <v>205</v>
      </c>
      <c r="E163" t="s">
        <v>62</v>
      </c>
      <c r="F163" t="s">
        <v>91</v>
      </c>
      <c r="G163" t="s">
        <v>45</v>
      </c>
      <c r="H163" t="s">
        <v>87</v>
      </c>
      <c r="I163" t="s">
        <v>40</v>
      </c>
      <c r="J163" t="s">
        <v>709</v>
      </c>
      <c r="K163" t="s">
        <v>47</v>
      </c>
      <c r="L163" t="s">
        <v>63</v>
      </c>
      <c r="M163" t="s">
        <v>269</v>
      </c>
      <c r="N163" t="s">
        <v>45</v>
      </c>
      <c r="O163" t="s">
        <v>40</v>
      </c>
      <c r="P163" t="s">
        <v>65</v>
      </c>
      <c r="Q163" t="s">
        <v>41</v>
      </c>
      <c r="R163" t="s">
        <v>109</v>
      </c>
      <c r="S163" t="s">
        <v>710</v>
      </c>
      <c r="T163" t="s">
        <v>711</v>
      </c>
      <c r="U163" t="s">
        <v>56</v>
      </c>
      <c r="V163" t="s">
        <v>52</v>
      </c>
      <c r="W163" t="s">
        <v>59</v>
      </c>
      <c r="X163" t="s">
        <v>145</v>
      </c>
      <c r="Y163" t="s">
        <v>45</v>
      </c>
      <c r="Z163" t="s">
        <v>47</v>
      </c>
      <c r="AA163" t="s">
        <v>54</v>
      </c>
      <c r="AB163" t="s">
        <v>40</v>
      </c>
      <c r="AC163" t="s">
        <v>56</v>
      </c>
      <c r="AD163" t="s">
        <v>40</v>
      </c>
      <c r="AE163" t="s">
        <v>40</v>
      </c>
      <c r="AF163" t="s">
        <v>41</v>
      </c>
      <c r="AG163" t="s">
        <v>41</v>
      </c>
      <c r="AH163" t="s">
        <v>41</v>
      </c>
      <c r="AI163" t="s">
        <v>41</v>
      </c>
    </row>
    <row r="164" spans="1:35" x14ac:dyDescent="0.25">
      <c r="A164" t="s">
        <v>149</v>
      </c>
      <c r="B164" t="s">
        <v>59</v>
      </c>
      <c r="C164" t="s">
        <v>37</v>
      </c>
      <c r="D164" t="s">
        <v>712</v>
      </c>
      <c r="E164" t="s">
        <v>62</v>
      </c>
      <c r="F164" t="s">
        <v>119</v>
      </c>
      <c r="G164" t="s">
        <v>45</v>
      </c>
      <c r="H164" t="s">
        <v>87</v>
      </c>
      <c r="I164" t="s">
        <v>40</v>
      </c>
      <c r="J164" t="s">
        <v>713</v>
      </c>
      <c r="K164" t="s">
        <v>45</v>
      </c>
      <c r="L164" t="s">
        <v>63</v>
      </c>
      <c r="M164" t="s">
        <v>204</v>
      </c>
      <c r="N164" t="s">
        <v>45</v>
      </c>
      <c r="O164" t="s">
        <v>40</v>
      </c>
      <c r="P164" t="s">
        <v>65</v>
      </c>
      <c r="Q164" t="s">
        <v>47</v>
      </c>
      <c r="R164" t="s">
        <v>66</v>
      </c>
      <c r="S164" t="s">
        <v>714</v>
      </c>
      <c r="T164" t="s">
        <v>715</v>
      </c>
      <c r="U164" t="s">
        <v>40</v>
      </c>
      <c r="V164" t="s">
        <v>52</v>
      </c>
      <c r="W164" t="s">
        <v>59</v>
      </c>
      <c r="X164" t="s">
        <v>53</v>
      </c>
      <c r="Y164" t="s">
        <v>45</v>
      </c>
      <c r="Z164" t="s">
        <v>45</v>
      </c>
      <c r="AA164" t="s">
        <v>54</v>
      </c>
      <c r="AB164" t="s">
        <v>40</v>
      </c>
      <c r="AC164" t="s">
        <v>57</v>
      </c>
      <c r="AD164" t="s">
        <v>41</v>
      </c>
      <c r="AE164" t="s">
        <v>40</v>
      </c>
      <c r="AF164" t="s">
        <v>57</v>
      </c>
      <c r="AG164" t="s">
        <v>41</v>
      </c>
      <c r="AH164" t="s">
        <v>55</v>
      </c>
      <c r="AI164" t="s">
        <v>41</v>
      </c>
    </row>
    <row r="165" spans="1:35" x14ac:dyDescent="0.25">
      <c r="A165" t="s">
        <v>269</v>
      </c>
      <c r="B165" t="s">
        <v>59</v>
      </c>
      <c r="C165" t="s">
        <v>37</v>
      </c>
      <c r="D165" t="s">
        <v>158</v>
      </c>
      <c r="E165" t="s">
        <v>62</v>
      </c>
      <c r="F165" t="s">
        <v>107</v>
      </c>
      <c r="G165" t="s">
        <v>41</v>
      </c>
      <c r="H165" t="s">
        <v>42</v>
      </c>
      <c r="I165" t="s">
        <v>40</v>
      </c>
      <c r="J165" t="s">
        <v>716</v>
      </c>
      <c r="K165" t="s">
        <v>45</v>
      </c>
      <c r="L165" t="s">
        <v>63</v>
      </c>
      <c r="M165" t="s">
        <v>193</v>
      </c>
      <c r="N165" t="s">
        <v>47</v>
      </c>
      <c r="O165" t="s">
        <v>45</v>
      </c>
      <c r="P165" t="s">
        <v>122</v>
      </c>
      <c r="Q165" t="s">
        <v>47</v>
      </c>
      <c r="R165" t="s">
        <v>109</v>
      </c>
      <c r="S165" t="s">
        <v>717</v>
      </c>
      <c r="T165" t="s">
        <v>718</v>
      </c>
      <c r="U165" t="s">
        <v>45</v>
      </c>
      <c r="V165" t="s">
        <v>52</v>
      </c>
      <c r="W165" t="s">
        <v>36</v>
      </c>
      <c r="X165" t="s">
        <v>128</v>
      </c>
      <c r="Y165" t="s">
        <v>45</v>
      </c>
      <c r="Z165" t="s">
        <v>41</v>
      </c>
      <c r="AA165" t="s">
        <v>54</v>
      </c>
      <c r="AB165" t="s">
        <v>40</v>
      </c>
      <c r="AC165" t="s">
        <v>92</v>
      </c>
      <c r="AD165" t="s">
        <v>41</v>
      </c>
      <c r="AE165" t="s">
        <v>40</v>
      </c>
      <c r="AF165" t="s">
        <v>57</v>
      </c>
      <c r="AG165" t="s">
        <v>45</v>
      </c>
      <c r="AH165" t="s">
        <v>40</v>
      </c>
      <c r="AI165" t="s">
        <v>47</v>
      </c>
    </row>
    <row r="166" spans="1:35" x14ac:dyDescent="0.25">
      <c r="A166" t="s">
        <v>85</v>
      </c>
      <c r="B166" t="s">
        <v>59</v>
      </c>
      <c r="C166" t="s">
        <v>161</v>
      </c>
      <c r="D166" t="s">
        <v>719</v>
      </c>
      <c r="E166" t="s">
        <v>62</v>
      </c>
      <c r="F166" t="s">
        <v>45</v>
      </c>
      <c r="G166" t="s">
        <v>45</v>
      </c>
      <c r="H166" t="s">
        <v>87</v>
      </c>
      <c r="I166" t="s">
        <v>40</v>
      </c>
      <c r="J166" t="s">
        <v>720</v>
      </c>
      <c r="K166" t="s">
        <v>45</v>
      </c>
      <c r="L166" t="s">
        <v>63</v>
      </c>
      <c r="M166" t="s">
        <v>95</v>
      </c>
      <c r="N166" t="s">
        <v>41</v>
      </c>
      <c r="O166" t="s">
        <v>40</v>
      </c>
      <c r="P166" t="s">
        <v>65</v>
      </c>
      <c r="Q166" t="s">
        <v>45</v>
      </c>
      <c r="R166" t="s">
        <v>109</v>
      </c>
      <c r="S166" t="s">
        <v>721</v>
      </c>
      <c r="T166" t="s">
        <v>722</v>
      </c>
      <c r="U166" t="s">
        <v>40</v>
      </c>
      <c r="V166" t="s">
        <v>52</v>
      </c>
      <c r="W166" t="s">
        <v>36</v>
      </c>
      <c r="X166" t="s">
        <v>79</v>
      </c>
      <c r="Y166" t="s">
        <v>45</v>
      </c>
      <c r="Z166" t="s">
        <v>47</v>
      </c>
      <c r="AA166" t="s">
        <v>54</v>
      </c>
      <c r="AB166" t="s">
        <v>40</v>
      </c>
      <c r="AC166" t="s">
        <v>40</v>
      </c>
      <c r="AD166" t="s">
        <v>41</v>
      </c>
      <c r="AE166" t="s">
        <v>41</v>
      </c>
      <c r="AF166" t="s">
        <v>40</v>
      </c>
      <c r="AG166" t="s">
        <v>40</v>
      </c>
      <c r="AH166" t="s">
        <v>55</v>
      </c>
      <c r="AI166" t="s">
        <v>40</v>
      </c>
    </row>
    <row r="167" spans="1:35" x14ac:dyDescent="0.25">
      <c r="A167" t="s">
        <v>151</v>
      </c>
      <c r="B167" t="s">
        <v>59</v>
      </c>
      <c r="C167" t="s">
        <v>37</v>
      </c>
      <c r="D167" t="s">
        <v>723</v>
      </c>
      <c r="E167" t="s">
        <v>62</v>
      </c>
      <c r="F167" t="s">
        <v>53</v>
      </c>
      <c r="G167" t="s">
        <v>45</v>
      </c>
      <c r="H167" t="s">
        <v>42</v>
      </c>
      <c r="I167" t="s">
        <v>40</v>
      </c>
      <c r="J167" t="s">
        <v>724</v>
      </c>
      <c r="K167" t="s">
        <v>45</v>
      </c>
      <c r="L167" t="s">
        <v>43</v>
      </c>
      <c r="M167" t="s">
        <v>166</v>
      </c>
      <c r="N167" t="s">
        <v>45</v>
      </c>
      <c r="O167" t="s">
        <v>57</v>
      </c>
      <c r="P167" t="s">
        <v>169</v>
      </c>
      <c r="Q167" t="s">
        <v>41</v>
      </c>
      <c r="R167" t="s">
        <v>48</v>
      </c>
      <c r="S167" t="s">
        <v>725</v>
      </c>
      <c r="T167" t="s">
        <v>726</v>
      </c>
      <c r="U167" t="s">
        <v>45</v>
      </c>
      <c r="V167" t="s">
        <v>52</v>
      </c>
      <c r="W167" t="s">
        <v>59</v>
      </c>
      <c r="X167" t="s">
        <v>79</v>
      </c>
      <c r="Y167" t="s">
        <v>45</v>
      </c>
      <c r="Z167" t="s">
        <v>41</v>
      </c>
      <c r="AA167" t="s">
        <v>54</v>
      </c>
      <c r="AB167" t="s">
        <v>55</v>
      </c>
      <c r="AC167" t="s">
        <v>119</v>
      </c>
      <c r="AD167" t="s">
        <v>57</v>
      </c>
      <c r="AE167" t="s">
        <v>45</v>
      </c>
      <c r="AF167" t="s">
        <v>57</v>
      </c>
      <c r="AG167" t="s">
        <v>47</v>
      </c>
      <c r="AH167" t="s">
        <v>47</v>
      </c>
      <c r="AI167" t="s">
        <v>47</v>
      </c>
    </row>
    <row r="168" spans="1:35" x14ac:dyDescent="0.25">
      <c r="A168" t="s">
        <v>35</v>
      </c>
      <c r="B168" t="s">
        <v>59</v>
      </c>
      <c r="C168" t="s">
        <v>37</v>
      </c>
      <c r="D168" t="s">
        <v>727</v>
      </c>
      <c r="E168" t="s">
        <v>62</v>
      </c>
      <c r="F168" t="s">
        <v>129</v>
      </c>
      <c r="G168" t="s">
        <v>45</v>
      </c>
      <c r="H168" t="s">
        <v>42</v>
      </c>
      <c r="I168" t="s">
        <v>40</v>
      </c>
      <c r="J168" t="s">
        <v>728</v>
      </c>
      <c r="K168" t="s">
        <v>40</v>
      </c>
      <c r="L168" t="s">
        <v>63</v>
      </c>
      <c r="M168" t="s">
        <v>82</v>
      </c>
      <c r="N168" t="s">
        <v>45</v>
      </c>
      <c r="O168" t="s">
        <v>40</v>
      </c>
      <c r="P168" t="s">
        <v>65</v>
      </c>
      <c r="Q168" t="s">
        <v>45</v>
      </c>
      <c r="R168" t="s">
        <v>109</v>
      </c>
      <c r="S168" t="s">
        <v>729</v>
      </c>
      <c r="T168" t="s">
        <v>730</v>
      </c>
      <c r="U168" t="s">
        <v>47</v>
      </c>
      <c r="V168" t="s">
        <v>52</v>
      </c>
      <c r="W168" t="s">
        <v>59</v>
      </c>
      <c r="X168" t="s">
        <v>92</v>
      </c>
      <c r="Y168" t="s">
        <v>45</v>
      </c>
      <c r="Z168" t="s">
        <v>40</v>
      </c>
      <c r="AA168" t="s">
        <v>54</v>
      </c>
      <c r="AB168" t="s">
        <v>40</v>
      </c>
      <c r="AC168" t="s">
        <v>98</v>
      </c>
      <c r="AD168" t="s">
        <v>41</v>
      </c>
      <c r="AE168" t="s">
        <v>45</v>
      </c>
      <c r="AF168" t="s">
        <v>91</v>
      </c>
      <c r="AG168" t="s">
        <v>51</v>
      </c>
      <c r="AH168" t="s">
        <v>40</v>
      </c>
      <c r="AI168" t="s">
        <v>51</v>
      </c>
    </row>
    <row r="169" spans="1:35" x14ac:dyDescent="0.25">
      <c r="A169" t="s">
        <v>105</v>
      </c>
      <c r="B169" t="s">
        <v>59</v>
      </c>
      <c r="C169" t="s">
        <v>37</v>
      </c>
      <c r="D169" t="s">
        <v>352</v>
      </c>
      <c r="E169" t="s">
        <v>39</v>
      </c>
      <c r="F169" t="s">
        <v>57</v>
      </c>
      <c r="G169" t="s">
        <v>45</v>
      </c>
      <c r="H169" t="s">
        <v>42</v>
      </c>
      <c r="I169" t="s">
        <v>40</v>
      </c>
      <c r="J169" t="s">
        <v>731</v>
      </c>
      <c r="K169" t="s">
        <v>41</v>
      </c>
      <c r="L169" t="s">
        <v>43</v>
      </c>
      <c r="M169" t="s">
        <v>35</v>
      </c>
      <c r="N169" t="s">
        <v>45</v>
      </c>
      <c r="O169" t="s">
        <v>45</v>
      </c>
      <c r="P169" t="s">
        <v>46</v>
      </c>
      <c r="Q169" t="s">
        <v>47</v>
      </c>
      <c r="R169" t="s">
        <v>66</v>
      </c>
      <c r="S169" t="s">
        <v>732</v>
      </c>
      <c r="T169" t="s">
        <v>733</v>
      </c>
      <c r="U169" t="s">
        <v>41</v>
      </c>
      <c r="V169" t="s">
        <v>52</v>
      </c>
      <c r="W169" t="s">
        <v>59</v>
      </c>
      <c r="X169" t="s">
        <v>92</v>
      </c>
      <c r="Y169" t="s">
        <v>45</v>
      </c>
      <c r="Z169" t="s">
        <v>45</v>
      </c>
      <c r="AA169" t="s">
        <v>54</v>
      </c>
      <c r="AB169" t="s">
        <v>40</v>
      </c>
      <c r="AC169" t="s">
        <v>92</v>
      </c>
      <c r="AD169" t="s">
        <v>41</v>
      </c>
      <c r="AE169" t="s">
        <v>45</v>
      </c>
      <c r="AF169" t="s">
        <v>70</v>
      </c>
      <c r="AG169" t="s">
        <v>91</v>
      </c>
      <c r="AH169" t="s">
        <v>71</v>
      </c>
      <c r="AI169" t="s">
        <v>47</v>
      </c>
    </row>
    <row r="170" spans="1:35" x14ac:dyDescent="0.25">
      <c r="A170" t="s">
        <v>113</v>
      </c>
      <c r="B170" t="s">
        <v>59</v>
      </c>
      <c r="C170" t="s">
        <v>37</v>
      </c>
      <c r="D170" t="s">
        <v>734</v>
      </c>
      <c r="E170" t="s">
        <v>39</v>
      </c>
      <c r="F170" t="s">
        <v>40</v>
      </c>
      <c r="G170" t="s">
        <v>47</v>
      </c>
      <c r="H170" t="s">
        <v>42</v>
      </c>
      <c r="I170" t="s">
        <v>40</v>
      </c>
      <c r="J170" t="s">
        <v>735</v>
      </c>
      <c r="K170" t="s">
        <v>40</v>
      </c>
      <c r="L170" t="s">
        <v>43</v>
      </c>
      <c r="M170" t="s">
        <v>99</v>
      </c>
      <c r="N170" t="s">
        <v>41</v>
      </c>
      <c r="O170" t="s">
        <v>41</v>
      </c>
      <c r="P170" t="s">
        <v>46</v>
      </c>
      <c r="Q170" t="s">
        <v>47</v>
      </c>
      <c r="R170" t="s">
        <v>48</v>
      </c>
      <c r="S170" t="s">
        <v>736</v>
      </c>
      <c r="T170" t="s">
        <v>737</v>
      </c>
      <c r="U170" t="s">
        <v>47</v>
      </c>
      <c r="V170" t="s">
        <v>52</v>
      </c>
      <c r="W170" t="s">
        <v>59</v>
      </c>
      <c r="X170" t="s">
        <v>112</v>
      </c>
      <c r="Y170" t="s">
        <v>47</v>
      </c>
      <c r="Z170" t="s">
        <v>45</v>
      </c>
      <c r="AA170" t="s">
        <v>54</v>
      </c>
      <c r="AB170" t="s">
        <v>55</v>
      </c>
      <c r="AC170" t="s">
        <v>92</v>
      </c>
      <c r="AD170" t="s">
        <v>41</v>
      </c>
      <c r="AE170" t="s">
        <v>47</v>
      </c>
      <c r="AF170" t="s">
        <v>51</v>
      </c>
      <c r="AG170" t="s">
        <v>45</v>
      </c>
      <c r="AH170" t="s">
        <v>55</v>
      </c>
      <c r="AI170" t="s">
        <v>71</v>
      </c>
    </row>
    <row r="171" spans="1:35" x14ac:dyDescent="0.25">
      <c r="A171" t="s">
        <v>93</v>
      </c>
      <c r="B171" t="s">
        <v>59</v>
      </c>
      <c r="C171" t="s">
        <v>37</v>
      </c>
      <c r="D171" t="s">
        <v>444</v>
      </c>
      <c r="E171" t="s">
        <v>62</v>
      </c>
      <c r="F171" t="s">
        <v>56</v>
      </c>
      <c r="G171" t="s">
        <v>57</v>
      </c>
      <c r="H171" t="s">
        <v>42</v>
      </c>
      <c r="I171" t="s">
        <v>40</v>
      </c>
      <c r="J171" t="s">
        <v>738</v>
      </c>
      <c r="K171" t="s">
        <v>45</v>
      </c>
      <c r="L171" t="s">
        <v>63</v>
      </c>
      <c r="M171" t="s">
        <v>234</v>
      </c>
      <c r="N171" t="s">
        <v>45</v>
      </c>
      <c r="O171" t="s">
        <v>40</v>
      </c>
      <c r="P171" t="s">
        <v>65</v>
      </c>
      <c r="Q171" t="s">
        <v>45</v>
      </c>
      <c r="R171" t="s">
        <v>48</v>
      </c>
      <c r="S171" t="s">
        <v>379</v>
      </c>
      <c r="T171" t="s">
        <v>739</v>
      </c>
      <c r="U171" t="s">
        <v>45</v>
      </c>
      <c r="V171" t="s">
        <v>52</v>
      </c>
      <c r="W171" t="s">
        <v>59</v>
      </c>
      <c r="X171" t="s">
        <v>104</v>
      </c>
      <c r="Y171" t="s">
        <v>47</v>
      </c>
      <c r="Z171" t="s">
        <v>40</v>
      </c>
      <c r="AA171" t="s">
        <v>54</v>
      </c>
      <c r="AB171" t="s">
        <v>55</v>
      </c>
      <c r="AC171" t="s">
        <v>51</v>
      </c>
      <c r="AD171" t="s">
        <v>41</v>
      </c>
      <c r="AE171" t="s">
        <v>45</v>
      </c>
      <c r="AF171" t="s">
        <v>57</v>
      </c>
      <c r="AG171" t="s">
        <v>47</v>
      </c>
      <c r="AH171" t="s">
        <v>40</v>
      </c>
      <c r="AI171" t="s">
        <v>47</v>
      </c>
    </row>
    <row r="172" spans="1:35" x14ac:dyDescent="0.25">
      <c r="A172" t="s">
        <v>85</v>
      </c>
      <c r="B172" t="s">
        <v>59</v>
      </c>
      <c r="C172" t="s">
        <v>37</v>
      </c>
      <c r="D172" t="s">
        <v>740</v>
      </c>
      <c r="E172" t="s">
        <v>62</v>
      </c>
      <c r="F172" t="s">
        <v>125</v>
      </c>
      <c r="G172" t="s">
        <v>45</v>
      </c>
      <c r="H172" t="s">
        <v>228</v>
      </c>
      <c r="I172" t="s">
        <v>40</v>
      </c>
      <c r="J172" t="s">
        <v>741</v>
      </c>
      <c r="K172" t="s">
        <v>45</v>
      </c>
      <c r="L172" t="s">
        <v>63</v>
      </c>
      <c r="M172" t="s">
        <v>155</v>
      </c>
      <c r="N172" t="s">
        <v>45</v>
      </c>
      <c r="O172" t="s">
        <v>40</v>
      </c>
      <c r="P172" t="s">
        <v>65</v>
      </c>
      <c r="Q172" t="s">
        <v>41</v>
      </c>
      <c r="R172" t="s">
        <v>66</v>
      </c>
      <c r="S172" t="s">
        <v>742</v>
      </c>
      <c r="T172" t="s">
        <v>743</v>
      </c>
      <c r="U172" t="s">
        <v>55</v>
      </c>
      <c r="V172" t="s">
        <v>52</v>
      </c>
      <c r="W172" t="s">
        <v>36</v>
      </c>
      <c r="X172" t="s">
        <v>128</v>
      </c>
      <c r="Y172" t="s">
        <v>45</v>
      </c>
      <c r="Z172" t="s">
        <v>47</v>
      </c>
      <c r="AA172" t="s">
        <v>54</v>
      </c>
      <c r="AB172" t="s">
        <v>40</v>
      </c>
      <c r="AC172" t="s">
        <v>56</v>
      </c>
      <c r="AD172" t="s">
        <v>45</v>
      </c>
      <c r="AE172" t="s">
        <v>41</v>
      </c>
      <c r="AF172" t="s">
        <v>57</v>
      </c>
      <c r="AG172" t="s">
        <v>41</v>
      </c>
      <c r="AH172" t="s">
        <v>40</v>
      </c>
      <c r="AI172" t="s">
        <v>40</v>
      </c>
    </row>
    <row r="173" spans="1:35" x14ac:dyDescent="0.25">
      <c r="A173" t="s">
        <v>144</v>
      </c>
      <c r="B173" t="s">
        <v>36</v>
      </c>
      <c r="C173" t="s">
        <v>60</v>
      </c>
      <c r="D173" t="s">
        <v>744</v>
      </c>
      <c r="E173" t="s">
        <v>39</v>
      </c>
      <c r="F173" t="s">
        <v>40</v>
      </c>
      <c r="G173" t="s">
        <v>40</v>
      </c>
      <c r="H173" t="s">
        <v>228</v>
      </c>
      <c r="I173" t="s">
        <v>40</v>
      </c>
      <c r="J173" t="s">
        <v>745</v>
      </c>
      <c r="K173" t="s">
        <v>45</v>
      </c>
      <c r="L173" t="s">
        <v>43</v>
      </c>
      <c r="M173" t="s">
        <v>385</v>
      </c>
      <c r="N173" t="s">
        <v>40</v>
      </c>
      <c r="O173" t="s">
        <v>40</v>
      </c>
      <c r="P173" t="s">
        <v>182</v>
      </c>
      <c r="Q173" t="s">
        <v>40</v>
      </c>
      <c r="R173" t="s">
        <v>48</v>
      </c>
      <c r="S173" t="s">
        <v>746</v>
      </c>
      <c r="T173" t="s">
        <v>747</v>
      </c>
      <c r="U173" t="s">
        <v>55</v>
      </c>
      <c r="V173" t="s">
        <v>52</v>
      </c>
      <c r="W173" t="s">
        <v>59</v>
      </c>
      <c r="X173" t="s">
        <v>119</v>
      </c>
      <c r="Y173" t="s">
        <v>47</v>
      </c>
      <c r="Z173" t="s">
        <v>40</v>
      </c>
      <c r="AA173" t="s">
        <v>54</v>
      </c>
      <c r="AB173" t="s">
        <v>55</v>
      </c>
      <c r="AC173" t="s">
        <v>40</v>
      </c>
      <c r="AD173" t="s">
        <v>57</v>
      </c>
      <c r="AE173" t="s">
        <v>47</v>
      </c>
      <c r="AF173" t="s">
        <v>55</v>
      </c>
      <c r="AG173" t="s">
        <v>55</v>
      </c>
      <c r="AH173" t="s">
        <v>55</v>
      </c>
      <c r="AI173" t="s">
        <v>55</v>
      </c>
    </row>
    <row r="174" spans="1:35" x14ac:dyDescent="0.25">
      <c r="A174" t="s">
        <v>120</v>
      </c>
      <c r="B174" t="s">
        <v>59</v>
      </c>
      <c r="C174" t="s">
        <v>60</v>
      </c>
      <c r="D174" t="s">
        <v>748</v>
      </c>
      <c r="E174" t="s">
        <v>62</v>
      </c>
      <c r="F174" t="s">
        <v>45</v>
      </c>
      <c r="G174" t="s">
        <v>41</v>
      </c>
      <c r="H174" t="s">
        <v>87</v>
      </c>
      <c r="I174" t="s">
        <v>40</v>
      </c>
      <c r="J174" t="s">
        <v>749</v>
      </c>
      <c r="K174" t="s">
        <v>47</v>
      </c>
      <c r="L174" t="s">
        <v>63</v>
      </c>
      <c r="M174" t="s">
        <v>105</v>
      </c>
      <c r="N174" t="s">
        <v>45</v>
      </c>
      <c r="O174" t="s">
        <v>40</v>
      </c>
      <c r="P174" t="s">
        <v>76</v>
      </c>
      <c r="Q174" t="s">
        <v>41</v>
      </c>
      <c r="R174" t="s">
        <v>48</v>
      </c>
      <c r="S174" t="s">
        <v>750</v>
      </c>
      <c r="T174" t="s">
        <v>751</v>
      </c>
      <c r="U174" t="s">
        <v>47</v>
      </c>
      <c r="V174" t="s">
        <v>52</v>
      </c>
      <c r="W174" t="s">
        <v>59</v>
      </c>
      <c r="X174" t="s">
        <v>92</v>
      </c>
      <c r="Y174" t="s">
        <v>45</v>
      </c>
      <c r="Z174" t="s">
        <v>45</v>
      </c>
      <c r="AA174" t="s">
        <v>54</v>
      </c>
      <c r="AB174" t="s">
        <v>55</v>
      </c>
      <c r="AC174" t="s">
        <v>98</v>
      </c>
      <c r="AD174" t="s">
        <v>45</v>
      </c>
      <c r="AE174" t="s">
        <v>41</v>
      </c>
      <c r="AF174" t="s">
        <v>51</v>
      </c>
      <c r="AG174" t="s">
        <v>71</v>
      </c>
      <c r="AH174" t="s">
        <v>71</v>
      </c>
      <c r="AI174" t="s">
        <v>41</v>
      </c>
    </row>
    <row r="175" spans="1:35" x14ac:dyDescent="0.25">
      <c r="A175" t="s">
        <v>105</v>
      </c>
      <c r="B175" t="s">
        <v>59</v>
      </c>
      <c r="C175" t="s">
        <v>161</v>
      </c>
      <c r="D175" t="s">
        <v>407</v>
      </c>
      <c r="E175" t="s">
        <v>62</v>
      </c>
      <c r="F175" t="s">
        <v>91</v>
      </c>
      <c r="G175" t="s">
        <v>45</v>
      </c>
      <c r="H175" t="s">
        <v>87</v>
      </c>
      <c r="I175" t="s">
        <v>40</v>
      </c>
      <c r="J175" t="s">
        <v>752</v>
      </c>
      <c r="K175" t="s">
        <v>45</v>
      </c>
      <c r="L175" t="s">
        <v>63</v>
      </c>
      <c r="M175" t="s">
        <v>375</v>
      </c>
      <c r="N175" t="s">
        <v>45</v>
      </c>
      <c r="O175" t="s">
        <v>41</v>
      </c>
      <c r="P175" t="s">
        <v>76</v>
      </c>
      <c r="Q175" t="s">
        <v>40</v>
      </c>
      <c r="R175" t="s">
        <v>109</v>
      </c>
      <c r="S175" t="s">
        <v>753</v>
      </c>
      <c r="T175" t="s">
        <v>754</v>
      </c>
      <c r="U175" t="s">
        <v>40</v>
      </c>
      <c r="V175" t="s">
        <v>52</v>
      </c>
      <c r="W175" t="s">
        <v>59</v>
      </c>
      <c r="X175" t="s">
        <v>53</v>
      </c>
      <c r="Y175" t="s">
        <v>45</v>
      </c>
      <c r="Z175" t="s">
        <v>45</v>
      </c>
      <c r="AA175" t="s">
        <v>54</v>
      </c>
      <c r="AB175" t="s">
        <v>41</v>
      </c>
      <c r="AC175" t="s">
        <v>92</v>
      </c>
      <c r="AD175" t="s">
        <v>47</v>
      </c>
      <c r="AE175" t="s">
        <v>45</v>
      </c>
      <c r="AF175" t="s">
        <v>92</v>
      </c>
      <c r="AG175" t="s">
        <v>91</v>
      </c>
      <c r="AH175" t="s">
        <v>56</v>
      </c>
      <c r="AI175" t="s">
        <v>70</v>
      </c>
    </row>
    <row r="176" spans="1:35" x14ac:dyDescent="0.25">
      <c r="A176" t="s">
        <v>174</v>
      </c>
      <c r="B176" t="s">
        <v>59</v>
      </c>
      <c r="C176" t="s">
        <v>37</v>
      </c>
      <c r="D176" t="s">
        <v>755</v>
      </c>
      <c r="E176" t="s">
        <v>39</v>
      </c>
      <c r="F176" t="s">
        <v>47</v>
      </c>
      <c r="G176" t="s">
        <v>41</v>
      </c>
      <c r="H176" t="s">
        <v>42</v>
      </c>
      <c r="I176" t="s">
        <v>40</v>
      </c>
      <c r="J176" t="s">
        <v>503</v>
      </c>
      <c r="K176" t="s">
        <v>45</v>
      </c>
      <c r="L176" t="s">
        <v>43</v>
      </c>
      <c r="M176" t="s">
        <v>105</v>
      </c>
      <c r="N176" t="s">
        <v>45</v>
      </c>
      <c r="O176" t="s">
        <v>41</v>
      </c>
      <c r="P176" t="s">
        <v>46</v>
      </c>
      <c r="Q176" t="s">
        <v>40</v>
      </c>
      <c r="R176" t="s">
        <v>109</v>
      </c>
      <c r="S176" t="s">
        <v>756</v>
      </c>
      <c r="T176" t="s">
        <v>757</v>
      </c>
      <c r="U176" t="s">
        <v>47</v>
      </c>
      <c r="V176" t="s">
        <v>52</v>
      </c>
      <c r="W176" t="s">
        <v>36</v>
      </c>
      <c r="X176" t="s">
        <v>53</v>
      </c>
      <c r="Y176" t="s">
        <v>45</v>
      </c>
      <c r="Z176" t="s">
        <v>40</v>
      </c>
      <c r="AA176" t="s">
        <v>54</v>
      </c>
      <c r="AB176" t="s">
        <v>40</v>
      </c>
      <c r="AC176" t="s">
        <v>91</v>
      </c>
      <c r="AD176" t="s">
        <v>45</v>
      </c>
      <c r="AE176" t="s">
        <v>47</v>
      </c>
      <c r="AF176" t="s">
        <v>57</v>
      </c>
      <c r="AG176" t="s">
        <v>47</v>
      </c>
      <c r="AH176" t="s">
        <v>55</v>
      </c>
      <c r="AI176" t="s">
        <v>45</v>
      </c>
    </row>
    <row r="177" spans="1:35" x14ac:dyDescent="0.25">
      <c r="A177" t="s">
        <v>82</v>
      </c>
      <c r="B177" t="s">
        <v>59</v>
      </c>
      <c r="C177" t="s">
        <v>37</v>
      </c>
      <c r="D177" t="s">
        <v>758</v>
      </c>
      <c r="E177" t="s">
        <v>62</v>
      </c>
      <c r="F177" t="s">
        <v>51</v>
      </c>
      <c r="G177" t="s">
        <v>45</v>
      </c>
      <c r="H177" t="s">
        <v>42</v>
      </c>
      <c r="I177" t="s">
        <v>40</v>
      </c>
      <c r="J177" t="s">
        <v>759</v>
      </c>
      <c r="K177" t="s">
        <v>45</v>
      </c>
      <c r="L177" t="s">
        <v>43</v>
      </c>
      <c r="M177" t="s">
        <v>108</v>
      </c>
      <c r="N177" t="s">
        <v>45</v>
      </c>
      <c r="O177" t="s">
        <v>40</v>
      </c>
      <c r="P177" t="s">
        <v>65</v>
      </c>
      <c r="Q177" t="s">
        <v>40</v>
      </c>
      <c r="R177" t="s">
        <v>109</v>
      </c>
      <c r="S177" t="s">
        <v>760</v>
      </c>
      <c r="T177" t="s">
        <v>761</v>
      </c>
      <c r="U177" t="s">
        <v>47</v>
      </c>
      <c r="V177" t="s">
        <v>52</v>
      </c>
      <c r="W177" t="s">
        <v>36</v>
      </c>
      <c r="X177" t="s">
        <v>145</v>
      </c>
      <c r="Y177" t="s">
        <v>45</v>
      </c>
      <c r="Z177" t="s">
        <v>45</v>
      </c>
      <c r="AA177" t="s">
        <v>54</v>
      </c>
      <c r="AB177" t="s">
        <v>40</v>
      </c>
      <c r="AC177" t="s">
        <v>144</v>
      </c>
      <c r="AD177" t="s">
        <v>45</v>
      </c>
      <c r="AE177" t="s">
        <v>45</v>
      </c>
      <c r="AF177" t="s">
        <v>41</v>
      </c>
      <c r="AG177" t="s">
        <v>41</v>
      </c>
      <c r="AH177" t="s">
        <v>41</v>
      </c>
      <c r="AI177" t="s">
        <v>41</v>
      </c>
    </row>
    <row r="178" spans="1:35" x14ac:dyDescent="0.25">
      <c r="A178" t="s">
        <v>80</v>
      </c>
      <c r="B178" t="s">
        <v>59</v>
      </c>
      <c r="C178" t="s">
        <v>37</v>
      </c>
      <c r="D178" t="s">
        <v>481</v>
      </c>
      <c r="E178" t="s">
        <v>62</v>
      </c>
      <c r="F178" t="s">
        <v>41</v>
      </c>
      <c r="G178" t="s">
        <v>45</v>
      </c>
      <c r="H178" t="s">
        <v>42</v>
      </c>
      <c r="I178" t="s">
        <v>40</v>
      </c>
      <c r="J178" t="s">
        <v>762</v>
      </c>
      <c r="K178" t="s">
        <v>45</v>
      </c>
      <c r="L178" t="s">
        <v>63</v>
      </c>
      <c r="M178" t="s">
        <v>360</v>
      </c>
      <c r="N178" t="s">
        <v>45</v>
      </c>
      <c r="O178" t="s">
        <v>40</v>
      </c>
      <c r="P178" t="s">
        <v>65</v>
      </c>
      <c r="Q178" t="s">
        <v>47</v>
      </c>
      <c r="R178" t="s">
        <v>48</v>
      </c>
      <c r="S178" t="s">
        <v>763</v>
      </c>
      <c r="T178" t="s">
        <v>764</v>
      </c>
      <c r="U178" t="s">
        <v>55</v>
      </c>
      <c r="V178" t="s">
        <v>52</v>
      </c>
      <c r="W178" t="s">
        <v>59</v>
      </c>
      <c r="X178" t="s">
        <v>129</v>
      </c>
      <c r="Y178" t="s">
        <v>45</v>
      </c>
      <c r="Z178" t="s">
        <v>40</v>
      </c>
      <c r="AA178" t="s">
        <v>54</v>
      </c>
      <c r="AB178" t="s">
        <v>55</v>
      </c>
      <c r="AC178" t="s">
        <v>47</v>
      </c>
      <c r="AD178" t="s">
        <v>41</v>
      </c>
      <c r="AE178" t="s">
        <v>47</v>
      </c>
      <c r="AF178" t="s">
        <v>45</v>
      </c>
      <c r="AG178" t="s">
        <v>40</v>
      </c>
      <c r="AH178" t="s">
        <v>55</v>
      </c>
      <c r="AI178" t="s">
        <v>41</v>
      </c>
    </row>
    <row r="179" spans="1:35" x14ac:dyDescent="0.25">
      <c r="A179" t="s">
        <v>144</v>
      </c>
      <c r="B179" t="s">
        <v>36</v>
      </c>
      <c r="C179" t="s">
        <v>37</v>
      </c>
      <c r="D179" t="s">
        <v>702</v>
      </c>
      <c r="E179" t="s">
        <v>62</v>
      </c>
      <c r="F179" t="s">
        <v>41</v>
      </c>
      <c r="G179" t="s">
        <v>45</v>
      </c>
      <c r="H179" t="s">
        <v>42</v>
      </c>
      <c r="I179" t="s">
        <v>40</v>
      </c>
      <c r="J179" t="s">
        <v>765</v>
      </c>
      <c r="K179" t="s">
        <v>41</v>
      </c>
      <c r="L179" t="s">
        <v>63</v>
      </c>
      <c r="M179" t="s">
        <v>239</v>
      </c>
      <c r="N179" t="s">
        <v>41</v>
      </c>
      <c r="O179" t="s">
        <v>40</v>
      </c>
      <c r="P179" t="s">
        <v>76</v>
      </c>
      <c r="Q179" t="s">
        <v>47</v>
      </c>
      <c r="R179" t="s">
        <v>48</v>
      </c>
      <c r="S179" t="s">
        <v>38</v>
      </c>
      <c r="T179" t="s">
        <v>766</v>
      </c>
      <c r="U179" t="s">
        <v>40</v>
      </c>
      <c r="V179" t="s">
        <v>52</v>
      </c>
      <c r="W179" t="s">
        <v>59</v>
      </c>
      <c r="X179" t="s">
        <v>112</v>
      </c>
      <c r="Y179" t="s">
        <v>47</v>
      </c>
      <c r="Z179" t="s">
        <v>45</v>
      </c>
      <c r="AA179" t="s">
        <v>54</v>
      </c>
      <c r="AB179" t="s">
        <v>55</v>
      </c>
      <c r="AC179" t="s">
        <v>40</v>
      </c>
      <c r="AD179" t="s">
        <v>45</v>
      </c>
      <c r="AE179" t="s">
        <v>41</v>
      </c>
      <c r="AF179" t="s">
        <v>40</v>
      </c>
      <c r="AG179" t="s">
        <v>55</v>
      </c>
      <c r="AH179" t="s">
        <v>40</v>
      </c>
      <c r="AI179" t="s">
        <v>55</v>
      </c>
    </row>
    <row r="180" spans="1:35" x14ac:dyDescent="0.25">
      <c r="A180" t="s">
        <v>213</v>
      </c>
      <c r="B180" t="s">
        <v>59</v>
      </c>
      <c r="C180" t="s">
        <v>37</v>
      </c>
      <c r="D180" t="s">
        <v>767</v>
      </c>
      <c r="E180" t="s">
        <v>39</v>
      </c>
      <c r="F180" t="s">
        <v>40</v>
      </c>
      <c r="G180" t="s">
        <v>41</v>
      </c>
      <c r="H180" t="s">
        <v>206</v>
      </c>
      <c r="I180" t="s">
        <v>40</v>
      </c>
      <c r="J180" t="s">
        <v>768</v>
      </c>
      <c r="K180" t="s">
        <v>41</v>
      </c>
      <c r="L180" t="s">
        <v>43</v>
      </c>
      <c r="M180" t="s">
        <v>75</v>
      </c>
      <c r="N180" t="s">
        <v>45</v>
      </c>
      <c r="O180" t="s">
        <v>45</v>
      </c>
      <c r="P180" t="s">
        <v>46</v>
      </c>
      <c r="Q180" t="s">
        <v>40</v>
      </c>
      <c r="R180" t="s">
        <v>109</v>
      </c>
      <c r="S180" t="s">
        <v>769</v>
      </c>
      <c r="T180" t="s">
        <v>770</v>
      </c>
      <c r="U180" t="s">
        <v>40</v>
      </c>
      <c r="V180" t="s">
        <v>52</v>
      </c>
      <c r="W180" t="s">
        <v>59</v>
      </c>
      <c r="X180" t="s">
        <v>172</v>
      </c>
      <c r="Y180" t="s">
        <v>47</v>
      </c>
      <c r="Z180" t="s">
        <v>45</v>
      </c>
      <c r="AA180" t="s">
        <v>54</v>
      </c>
      <c r="AB180" t="s">
        <v>45</v>
      </c>
      <c r="AC180" t="s">
        <v>107</v>
      </c>
      <c r="AD180" t="s">
        <v>41</v>
      </c>
      <c r="AE180" t="s">
        <v>45</v>
      </c>
      <c r="AF180" t="s">
        <v>107</v>
      </c>
      <c r="AG180" t="s">
        <v>98</v>
      </c>
      <c r="AH180" t="s">
        <v>79</v>
      </c>
      <c r="AI180" t="s">
        <v>71</v>
      </c>
    </row>
    <row r="181" spans="1:35" x14ac:dyDescent="0.25">
      <c r="A181" t="s">
        <v>113</v>
      </c>
      <c r="B181" t="s">
        <v>59</v>
      </c>
      <c r="C181" t="s">
        <v>37</v>
      </c>
      <c r="D181" t="s">
        <v>771</v>
      </c>
      <c r="E181" t="s">
        <v>62</v>
      </c>
      <c r="F181" t="s">
        <v>91</v>
      </c>
      <c r="G181" t="s">
        <v>41</v>
      </c>
      <c r="H181" t="s">
        <v>42</v>
      </c>
      <c r="I181" t="s">
        <v>40</v>
      </c>
      <c r="J181" t="s">
        <v>772</v>
      </c>
      <c r="K181" t="s">
        <v>45</v>
      </c>
      <c r="L181" t="s">
        <v>43</v>
      </c>
      <c r="M181" t="s">
        <v>255</v>
      </c>
      <c r="N181" t="s">
        <v>45</v>
      </c>
      <c r="O181" t="s">
        <v>40</v>
      </c>
      <c r="P181" t="s">
        <v>76</v>
      </c>
      <c r="Q181" t="s">
        <v>47</v>
      </c>
      <c r="R181" t="s">
        <v>48</v>
      </c>
      <c r="S181" t="s">
        <v>773</v>
      </c>
      <c r="T181" t="s">
        <v>757</v>
      </c>
      <c r="U181" t="s">
        <v>40</v>
      </c>
      <c r="V181" t="s">
        <v>52</v>
      </c>
      <c r="W181" t="s">
        <v>59</v>
      </c>
      <c r="X181" t="s">
        <v>92</v>
      </c>
      <c r="Y181" t="s">
        <v>45</v>
      </c>
      <c r="Z181" t="s">
        <v>45</v>
      </c>
      <c r="AA181" t="s">
        <v>54</v>
      </c>
      <c r="AB181" t="s">
        <v>55</v>
      </c>
      <c r="AC181" t="s">
        <v>41</v>
      </c>
      <c r="AD181" t="s">
        <v>45</v>
      </c>
      <c r="AE181" t="s">
        <v>45</v>
      </c>
      <c r="AF181" t="s">
        <v>41</v>
      </c>
      <c r="AG181" t="s">
        <v>41</v>
      </c>
      <c r="AH181" t="s">
        <v>41</v>
      </c>
      <c r="AI181" t="s">
        <v>40</v>
      </c>
    </row>
    <row r="182" spans="1:35" x14ac:dyDescent="0.25">
      <c r="A182" t="s">
        <v>137</v>
      </c>
      <c r="B182" t="s">
        <v>59</v>
      </c>
      <c r="C182" t="s">
        <v>37</v>
      </c>
      <c r="D182" t="s">
        <v>497</v>
      </c>
      <c r="E182" t="s">
        <v>62</v>
      </c>
      <c r="F182" t="s">
        <v>92</v>
      </c>
      <c r="G182" t="s">
        <v>40</v>
      </c>
      <c r="H182" t="s">
        <v>87</v>
      </c>
      <c r="I182" t="s">
        <v>40</v>
      </c>
      <c r="J182" t="s">
        <v>774</v>
      </c>
      <c r="K182" t="s">
        <v>45</v>
      </c>
      <c r="L182" t="s">
        <v>43</v>
      </c>
      <c r="M182" t="s">
        <v>349</v>
      </c>
      <c r="N182" t="s">
        <v>45</v>
      </c>
      <c r="O182" t="s">
        <v>40</v>
      </c>
      <c r="P182" t="s">
        <v>65</v>
      </c>
      <c r="Q182" t="s">
        <v>47</v>
      </c>
      <c r="R182" t="s">
        <v>66</v>
      </c>
      <c r="S182" t="s">
        <v>775</v>
      </c>
      <c r="T182" t="s">
        <v>776</v>
      </c>
      <c r="U182" t="s">
        <v>51</v>
      </c>
      <c r="V182" t="s">
        <v>52</v>
      </c>
      <c r="W182" t="s">
        <v>36</v>
      </c>
      <c r="X182" t="s">
        <v>69</v>
      </c>
      <c r="Y182" t="s">
        <v>47</v>
      </c>
      <c r="Z182" t="s">
        <v>45</v>
      </c>
      <c r="AA182" t="s">
        <v>54</v>
      </c>
      <c r="AB182" t="s">
        <v>40</v>
      </c>
      <c r="AC182" t="s">
        <v>71</v>
      </c>
      <c r="AD182" t="s">
        <v>55</v>
      </c>
      <c r="AE182" t="s">
        <v>45</v>
      </c>
      <c r="AF182" t="s">
        <v>47</v>
      </c>
      <c r="AG182" t="s">
        <v>41</v>
      </c>
      <c r="AH182" t="s">
        <v>55</v>
      </c>
      <c r="AI182" t="s">
        <v>41</v>
      </c>
    </row>
    <row r="183" spans="1:35" x14ac:dyDescent="0.25">
      <c r="A183" t="s">
        <v>142</v>
      </c>
      <c r="B183" t="s">
        <v>59</v>
      </c>
      <c r="C183" t="s">
        <v>37</v>
      </c>
      <c r="D183" t="s">
        <v>777</v>
      </c>
      <c r="E183" t="s">
        <v>62</v>
      </c>
      <c r="F183" t="s">
        <v>85</v>
      </c>
      <c r="G183" t="s">
        <v>41</v>
      </c>
      <c r="H183" t="s">
        <v>87</v>
      </c>
      <c r="I183" t="s">
        <v>40</v>
      </c>
      <c r="J183" t="s">
        <v>778</v>
      </c>
      <c r="K183" t="s">
        <v>47</v>
      </c>
      <c r="L183" t="s">
        <v>43</v>
      </c>
      <c r="M183" t="s">
        <v>349</v>
      </c>
      <c r="N183" t="s">
        <v>45</v>
      </c>
      <c r="O183" t="s">
        <v>40</v>
      </c>
      <c r="P183" t="s">
        <v>65</v>
      </c>
      <c r="Q183" t="s">
        <v>41</v>
      </c>
      <c r="R183" t="s">
        <v>48</v>
      </c>
      <c r="S183" t="s">
        <v>779</v>
      </c>
      <c r="T183" t="s">
        <v>780</v>
      </c>
      <c r="U183" t="s">
        <v>41</v>
      </c>
      <c r="V183" t="s">
        <v>52</v>
      </c>
      <c r="W183" t="s">
        <v>59</v>
      </c>
      <c r="X183" t="s">
        <v>79</v>
      </c>
      <c r="Y183" t="s">
        <v>45</v>
      </c>
      <c r="Z183" t="s">
        <v>47</v>
      </c>
      <c r="AA183" t="s">
        <v>54</v>
      </c>
      <c r="AB183" t="s">
        <v>55</v>
      </c>
      <c r="AC183" t="s">
        <v>91</v>
      </c>
      <c r="AD183" t="s">
        <v>45</v>
      </c>
      <c r="AE183" t="s">
        <v>45</v>
      </c>
      <c r="AF183" t="s">
        <v>45</v>
      </c>
      <c r="AG183" t="s">
        <v>41</v>
      </c>
      <c r="AH183" t="s">
        <v>40</v>
      </c>
      <c r="AI183" t="s">
        <v>41</v>
      </c>
    </row>
    <row r="184" spans="1:35" x14ac:dyDescent="0.25">
      <c r="A184" t="s">
        <v>35</v>
      </c>
      <c r="B184" t="s">
        <v>36</v>
      </c>
      <c r="C184" t="s">
        <v>37</v>
      </c>
      <c r="D184" t="s">
        <v>781</v>
      </c>
      <c r="E184" t="s">
        <v>39</v>
      </c>
      <c r="F184" t="s">
        <v>104</v>
      </c>
      <c r="G184" t="s">
        <v>41</v>
      </c>
      <c r="H184" t="s">
        <v>206</v>
      </c>
      <c r="I184" t="s">
        <v>40</v>
      </c>
      <c r="J184" t="s">
        <v>782</v>
      </c>
      <c r="K184" t="s">
        <v>41</v>
      </c>
      <c r="L184" t="s">
        <v>43</v>
      </c>
      <c r="M184" t="s">
        <v>304</v>
      </c>
      <c r="N184" t="s">
        <v>45</v>
      </c>
      <c r="O184" t="s">
        <v>40</v>
      </c>
      <c r="P184" t="s">
        <v>182</v>
      </c>
      <c r="Q184" t="s">
        <v>41</v>
      </c>
      <c r="R184" t="s">
        <v>48</v>
      </c>
      <c r="S184" t="s">
        <v>783</v>
      </c>
      <c r="T184" t="s">
        <v>784</v>
      </c>
      <c r="U184" t="s">
        <v>40</v>
      </c>
      <c r="V184" t="s">
        <v>52</v>
      </c>
      <c r="W184" t="s">
        <v>36</v>
      </c>
      <c r="X184" t="s">
        <v>112</v>
      </c>
      <c r="Y184" t="s">
        <v>47</v>
      </c>
      <c r="Z184" t="s">
        <v>47</v>
      </c>
      <c r="AA184" t="s">
        <v>54</v>
      </c>
      <c r="AB184" t="s">
        <v>55</v>
      </c>
      <c r="AC184" t="s">
        <v>47</v>
      </c>
      <c r="AD184" t="s">
        <v>57</v>
      </c>
      <c r="AE184" t="s">
        <v>41</v>
      </c>
      <c r="AF184" t="s">
        <v>47</v>
      </c>
      <c r="AG184" t="s">
        <v>45</v>
      </c>
      <c r="AH184" t="s">
        <v>55</v>
      </c>
      <c r="AI184" t="s">
        <v>41</v>
      </c>
    </row>
    <row r="185" spans="1:35" x14ac:dyDescent="0.25">
      <c r="A185" t="s">
        <v>151</v>
      </c>
      <c r="B185" t="s">
        <v>59</v>
      </c>
      <c r="C185" t="s">
        <v>37</v>
      </c>
      <c r="D185" t="s">
        <v>785</v>
      </c>
      <c r="E185" t="s">
        <v>62</v>
      </c>
      <c r="F185" t="s">
        <v>40</v>
      </c>
      <c r="G185" t="s">
        <v>45</v>
      </c>
      <c r="H185" t="s">
        <v>87</v>
      </c>
      <c r="I185" t="s">
        <v>40</v>
      </c>
      <c r="J185" t="s">
        <v>569</v>
      </c>
      <c r="K185" t="s">
        <v>45</v>
      </c>
      <c r="L185" t="s">
        <v>63</v>
      </c>
      <c r="M185" t="s">
        <v>240</v>
      </c>
      <c r="N185" t="s">
        <v>41</v>
      </c>
      <c r="O185" t="s">
        <v>40</v>
      </c>
      <c r="P185" t="s">
        <v>76</v>
      </c>
      <c r="Q185" t="s">
        <v>45</v>
      </c>
      <c r="R185" t="s">
        <v>66</v>
      </c>
      <c r="S185" t="s">
        <v>786</v>
      </c>
      <c r="T185" t="s">
        <v>787</v>
      </c>
      <c r="U185" t="s">
        <v>41</v>
      </c>
      <c r="V185" t="s">
        <v>52</v>
      </c>
      <c r="W185" t="s">
        <v>59</v>
      </c>
      <c r="X185" t="s">
        <v>79</v>
      </c>
      <c r="Y185" t="s">
        <v>45</v>
      </c>
      <c r="Z185" t="s">
        <v>47</v>
      </c>
      <c r="AA185" t="s">
        <v>54</v>
      </c>
      <c r="AB185" t="s">
        <v>40</v>
      </c>
      <c r="AC185" t="s">
        <v>57</v>
      </c>
      <c r="AD185" t="s">
        <v>41</v>
      </c>
      <c r="AE185" t="s">
        <v>41</v>
      </c>
      <c r="AF185" t="s">
        <v>45</v>
      </c>
      <c r="AG185" t="s">
        <v>41</v>
      </c>
      <c r="AH185" t="s">
        <v>55</v>
      </c>
      <c r="AI185" t="s">
        <v>41</v>
      </c>
    </row>
    <row r="186" spans="1:35" x14ac:dyDescent="0.25">
      <c r="A186" t="s">
        <v>166</v>
      </c>
      <c r="B186" t="s">
        <v>59</v>
      </c>
      <c r="C186" t="s">
        <v>37</v>
      </c>
      <c r="D186" t="s">
        <v>788</v>
      </c>
      <c r="E186" t="s">
        <v>62</v>
      </c>
      <c r="F186" t="s">
        <v>98</v>
      </c>
      <c r="G186" t="s">
        <v>41</v>
      </c>
      <c r="H186" t="s">
        <v>87</v>
      </c>
      <c r="I186" t="s">
        <v>40</v>
      </c>
      <c r="J186" t="s">
        <v>789</v>
      </c>
      <c r="K186" t="s">
        <v>47</v>
      </c>
      <c r="L186" t="s">
        <v>43</v>
      </c>
      <c r="M186" t="s">
        <v>269</v>
      </c>
      <c r="N186" t="s">
        <v>47</v>
      </c>
      <c r="O186" t="s">
        <v>41</v>
      </c>
      <c r="P186" t="s">
        <v>116</v>
      </c>
      <c r="Q186" t="s">
        <v>40</v>
      </c>
      <c r="R186" t="s">
        <v>109</v>
      </c>
      <c r="S186" t="s">
        <v>790</v>
      </c>
      <c r="T186" t="s">
        <v>791</v>
      </c>
      <c r="U186" t="s">
        <v>40</v>
      </c>
      <c r="V186" t="s">
        <v>52</v>
      </c>
      <c r="W186" t="s">
        <v>59</v>
      </c>
      <c r="X186" t="s">
        <v>53</v>
      </c>
      <c r="Y186" t="s">
        <v>45</v>
      </c>
      <c r="Z186" t="s">
        <v>45</v>
      </c>
      <c r="AA186" t="s">
        <v>54</v>
      </c>
      <c r="AB186" t="s">
        <v>41</v>
      </c>
      <c r="AC186" t="s">
        <v>57</v>
      </c>
      <c r="AD186" t="s">
        <v>45</v>
      </c>
      <c r="AE186" t="s">
        <v>45</v>
      </c>
      <c r="AF186" t="s">
        <v>47</v>
      </c>
      <c r="AG186" t="s">
        <v>41</v>
      </c>
      <c r="AH186" t="s">
        <v>40</v>
      </c>
      <c r="AI186" t="s">
        <v>45</v>
      </c>
    </row>
    <row r="187" spans="1:35" x14ac:dyDescent="0.25">
      <c r="A187" t="s">
        <v>80</v>
      </c>
      <c r="B187" t="s">
        <v>59</v>
      </c>
      <c r="C187" t="s">
        <v>37</v>
      </c>
      <c r="D187" t="s">
        <v>792</v>
      </c>
      <c r="E187" t="s">
        <v>62</v>
      </c>
      <c r="F187" t="s">
        <v>129</v>
      </c>
      <c r="G187" t="s">
        <v>45</v>
      </c>
      <c r="H187" t="s">
        <v>87</v>
      </c>
      <c r="I187" t="s">
        <v>40</v>
      </c>
      <c r="J187" t="s">
        <v>793</v>
      </c>
      <c r="K187" t="s">
        <v>47</v>
      </c>
      <c r="L187" t="s">
        <v>43</v>
      </c>
      <c r="M187" t="s">
        <v>201</v>
      </c>
      <c r="N187" t="s">
        <v>45</v>
      </c>
      <c r="O187" t="s">
        <v>40</v>
      </c>
      <c r="P187" t="s">
        <v>65</v>
      </c>
      <c r="Q187" t="s">
        <v>41</v>
      </c>
      <c r="R187" t="s">
        <v>66</v>
      </c>
      <c r="S187" t="s">
        <v>794</v>
      </c>
      <c r="T187" t="s">
        <v>795</v>
      </c>
      <c r="U187" t="s">
        <v>40</v>
      </c>
      <c r="V187" t="s">
        <v>52</v>
      </c>
      <c r="W187" t="s">
        <v>59</v>
      </c>
      <c r="X187" t="s">
        <v>98</v>
      </c>
      <c r="Y187" t="s">
        <v>45</v>
      </c>
      <c r="Z187" t="s">
        <v>47</v>
      </c>
      <c r="AA187" t="s">
        <v>54</v>
      </c>
      <c r="AB187" t="s">
        <v>40</v>
      </c>
      <c r="AC187" t="s">
        <v>51</v>
      </c>
      <c r="AD187" t="s">
        <v>57</v>
      </c>
      <c r="AE187" t="s">
        <v>45</v>
      </c>
      <c r="AF187" t="s">
        <v>51</v>
      </c>
      <c r="AG187" t="s">
        <v>71</v>
      </c>
      <c r="AH187" t="s">
        <v>40</v>
      </c>
      <c r="AI187" t="s">
        <v>56</v>
      </c>
    </row>
    <row r="188" spans="1:35" x14ac:dyDescent="0.25">
      <c r="A188" t="s">
        <v>88</v>
      </c>
      <c r="B188" t="s">
        <v>59</v>
      </c>
      <c r="C188" t="s">
        <v>37</v>
      </c>
      <c r="D188" t="s">
        <v>334</v>
      </c>
      <c r="E188" t="s">
        <v>62</v>
      </c>
      <c r="F188" t="s">
        <v>47</v>
      </c>
      <c r="G188" t="s">
        <v>40</v>
      </c>
      <c r="H188" t="s">
        <v>87</v>
      </c>
      <c r="I188" t="s">
        <v>40</v>
      </c>
      <c r="J188" t="s">
        <v>796</v>
      </c>
      <c r="K188" t="s">
        <v>47</v>
      </c>
      <c r="L188" t="s">
        <v>43</v>
      </c>
      <c r="M188" t="s">
        <v>213</v>
      </c>
      <c r="N188" t="s">
        <v>45</v>
      </c>
      <c r="O188" t="s">
        <v>57</v>
      </c>
      <c r="P188" t="s">
        <v>169</v>
      </c>
      <c r="Q188" t="s">
        <v>45</v>
      </c>
      <c r="R188" t="s">
        <v>66</v>
      </c>
      <c r="S188" t="s">
        <v>797</v>
      </c>
      <c r="T188" t="s">
        <v>350</v>
      </c>
      <c r="U188" t="s">
        <v>40</v>
      </c>
      <c r="V188" t="s">
        <v>52</v>
      </c>
      <c r="W188" t="s">
        <v>59</v>
      </c>
      <c r="X188" t="s">
        <v>129</v>
      </c>
      <c r="Y188" t="s">
        <v>45</v>
      </c>
      <c r="Z188" t="s">
        <v>41</v>
      </c>
      <c r="AA188" t="s">
        <v>54</v>
      </c>
      <c r="AB188" t="s">
        <v>40</v>
      </c>
      <c r="AC188" t="s">
        <v>119</v>
      </c>
      <c r="AD188" t="s">
        <v>41</v>
      </c>
      <c r="AE188" t="s">
        <v>45</v>
      </c>
      <c r="AF188" t="s">
        <v>104</v>
      </c>
      <c r="AG188" t="s">
        <v>51</v>
      </c>
      <c r="AH188" t="s">
        <v>91</v>
      </c>
      <c r="AI188" t="s">
        <v>91</v>
      </c>
    </row>
    <row r="189" spans="1:35" x14ac:dyDescent="0.25">
      <c r="A189" t="s">
        <v>263</v>
      </c>
      <c r="B189" t="s">
        <v>59</v>
      </c>
      <c r="C189" t="s">
        <v>37</v>
      </c>
      <c r="D189" t="s">
        <v>798</v>
      </c>
      <c r="E189" t="s">
        <v>62</v>
      </c>
      <c r="F189" t="s">
        <v>129</v>
      </c>
      <c r="G189" t="s">
        <v>47</v>
      </c>
      <c r="H189" t="s">
        <v>87</v>
      </c>
      <c r="I189" t="s">
        <v>40</v>
      </c>
      <c r="J189" t="s">
        <v>799</v>
      </c>
      <c r="K189" t="s">
        <v>45</v>
      </c>
      <c r="L189" t="s">
        <v>63</v>
      </c>
      <c r="M189" t="s">
        <v>64</v>
      </c>
      <c r="N189" t="s">
        <v>47</v>
      </c>
      <c r="O189" t="s">
        <v>57</v>
      </c>
      <c r="P189" t="s">
        <v>186</v>
      </c>
      <c r="Q189" t="s">
        <v>41</v>
      </c>
      <c r="R189" t="s">
        <v>48</v>
      </c>
      <c r="S189" t="s">
        <v>800</v>
      </c>
      <c r="T189" t="s">
        <v>801</v>
      </c>
      <c r="U189" t="s">
        <v>51</v>
      </c>
      <c r="V189" t="s">
        <v>52</v>
      </c>
      <c r="W189" t="s">
        <v>59</v>
      </c>
      <c r="X189" t="s">
        <v>53</v>
      </c>
      <c r="Y189" t="s">
        <v>45</v>
      </c>
      <c r="Z189" t="s">
        <v>47</v>
      </c>
      <c r="AA189" t="s">
        <v>54</v>
      </c>
      <c r="AB189" t="s">
        <v>55</v>
      </c>
      <c r="AC189" t="s">
        <v>120</v>
      </c>
      <c r="AD189" t="s">
        <v>45</v>
      </c>
      <c r="AE189" t="s">
        <v>45</v>
      </c>
      <c r="AF189" t="s">
        <v>107</v>
      </c>
      <c r="AG189" t="s">
        <v>79</v>
      </c>
      <c r="AH189" t="s">
        <v>41</v>
      </c>
      <c r="AI189" t="s">
        <v>79</v>
      </c>
    </row>
    <row r="190" spans="1:35" x14ac:dyDescent="0.25">
      <c r="A190" t="s">
        <v>142</v>
      </c>
      <c r="B190" t="s">
        <v>59</v>
      </c>
      <c r="C190" t="s">
        <v>60</v>
      </c>
      <c r="D190" t="s">
        <v>802</v>
      </c>
      <c r="E190" t="s">
        <v>62</v>
      </c>
      <c r="F190" t="s">
        <v>41</v>
      </c>
      <c r="G190" t="s">
        <v>40</v>
      </c>
      <c r="H190" t="s">
        <v>42</v>
      </c>
      <c r="I190" t="s">
        <v>40</v>
      </c>
      <c r="J190" t="s">
        <v>803</v>
      </c>
      <c r="K190" t="s">
        <v>47</v>
      </c>
      <c r="L190" t="s">
        <v>63</v>
      </c>
      <c r="M190" t="s">
        <v>174</v>
      </c>
      <c r="N190" t="s">
        <v>41</v>
      </c>
      <c r="O190" t="s">
        <v>41</v>
      </c>
      <c r="P190" t="s">
        <v>116</v>
      </c>
      <c r="Q190" t="s">
        <v>45</v>
      </c>
      <c r="R190" t="s">
        <v>66</v>
      </c>
      <c r="S190" t="s">
        <v>804</v>
      </c>
      <c r="T190" t="s">
        <v>805</v>
      </c>
      <c r="U190" t="s">
        <v>40</v>
      </c>
      <c r="V190" t="s">
        <v>52</v>
      </c>
      <c r="W190" t="s">
        <v>59</v>
      </c>
      <c r="X190" t="s">
        <v>125</v>
      </c>
      <c r="Y190" t="s">
        <v>45</v>
      </c>
      <c r="Z190" t="s">
        <v>45</v>
      </c>
      <c r="AA190" t="s">
        <v>54</v>
      </c>
      <c r="AB190" t="s">
        <v>55</v>
      </c>
      <c r="AC190" t="s">
        <v>70</v>
      </c>
      <c r="AD190" t="s">
        <v>41</v>
      </c>
      <c r="AE190" t="s">
        <v>41</v>
      </c>
      <c r="AF190" t="s">
        <v>70</v>
      </c>
      <c r="AG190" t="s">
        <v>91</v>
      </c>
      <c r="AH190" t="s">
        <v>40</v>
      </c>
      <c r="AI190" t="s">
        <v>91</v>
      </c>
    </row>
    <row r="191" spans="1:35" x14ac:dyDescent="0.25">
      <c r="A191" t="s">
        <v>155</v>
      </c>
      <c r="B191" t="s">
        <v>59</v>
      </c>
      <c r="C191" t="s">
        <v>37</v>
      </c>
      <c r="D191" t="s">
        <v>806</v>
      </c>
      <c r="E191" t="s">
        <v>62</v>
      </c>
      <c r="F191" t="s">
        <v>45</v>
      </c>
      <c r="G191" t="s">
        <v>45</v>
      </c>
      <c r="H191" t="s">
        <v>87</v>
      </c>
      <c r="I191" t="s">
        <v>40</v>
      </c>
      <c r="J191" t="s">
        <v>807</v>
      </c>
      <c r="K191" t="s">
        <v>47</v>
      </c>
      <c r="L191" t="s">
        <v>43</v>
      </c>
      <c r="M191" t="s">
        <v>284</v>
      </c>
      <c r="N191" t="s">
        <v>45</v>
      </c>
      <c r="O191" t="s">
        <v>47</v>
      </c>
      <c r="P191" t="s">
        <v>122</v>
      </c>
      <c r="Q191" t="s">
        <v>41</v>
      </c>
      <c r="R191" t="s">
        <v>48</v>
      </c>
      <c r="S191" t="s">
        <v>808</v>
      </c>
      <c r="T191" t="s">
        <v>809</v>
      </c>
      <c r="U191" t="s">
        <v>45</v>
      </c>
      <c r="V191" t="s">
        <v>52</v>
      </c>
      <c r="W191" t="s">
        <v>59</v>
      </c>
      <c r="X191" t="s">
        <v>145</v>
      </c>
      <c r="Y191" t="s">
        <v>45</v>
      </c>
      <c r="Z191" t="s">
        <v>45</v>
      </c>
      <c r="AA191" t="s">
        <v>54</v>
      </c>
      <c r="AB191" t="s">
        <v>55</v>
      </c>
      <c r="AC191" t="s">
        <v>119</v>
      </c>
      <c r="AD191" t="s">
        <v>56</v>
      </c>
      <c r="AE191" t="s">
        <v>45</v>
      </c>
      <c r="AF191" t="s">
        <v>71</v>
      </c>
      <c r="AG191" t="s">
        <v>71</v>
      </c>
      <c r="AH191" t="s">
        <v>40</v>
      </c>
      <c r="AI191" t="s">
        <v>55</v>
      </c>
    </row>
    <row r="192" spans="1:35" x14ac:dyDescent="0.25">
      <c r="A192" t="s">
        <v>251</v>
      </c>
      <c r="B192" t="s">
        <v>59</v>
      </c>
      <c r="C192" t="s">
        <v>37</v>
      </c>
      <c r="D192" t="s">
        <v>192</v>
      </c>
      <c r="E192" t="s">
        <v>62</v>
      </c>
      <c r="F192" t="s">
        <v>40</v>
      </c>
      <c r="G192" t="s">
        <v>47</v>
      </c>
      <c r="H192" t="s">
        <v>42</v>
      </c>
      <c r="I192" t="s">
        <v>40</v>
      </c>
      <c r="J192" t="s">
        <v>810</v>
      </c>
      <c r="K192" t="s">
        <v>45</v>
      </c>
      <c r="L192" t="s">
        <v>63</v>
      </c>
      <c r="M192" t="s">
        <v>296</v>
      </c>
      <c r="N192" t="s">
        <v>41</v>
      </c>
      <c r="O192" t="s">
        <v>57</v>
      </c>
      <c r="P192" t="s">
        <v>169</v>
      </c>
      <c r="Q192" t="s">
        <v>45</v>
      </c>
      <c r="R192" t="s">
        <v>66</v>
      </c>
      <c r="S192" t="s">
        <v>811</v>
      </c>
      <c r="T192" t="s">
        <v>812</v>
      </c>
      <c r="U192" t="s">
        <v>55</v>
      </c>
      <c r="V192" t="s">
        <v>52</v>
      </c>
      <c r="W192" t="s">
        <v>59</v>
      </c>
      <c r="X192" t="s">
        <v>129</v>
      </c>
      <c r="Y192" t="s">
        <v>45</v>
      </c>
      <c r="Z192" t="s">
        <v>40</v>
      </c>
      <c r="AA192" t="s">
        <v>54</v>
      </c>
      <c r="AB192" t="s">
        <v>40</v>
      </c>
      <c r="AC192" t="s">
        <v>142</v>
      </c>
      <c r="AD192" t="s">
        <v>57</v>
      </c>
      <c r="AE192" t="s">
        <v>45</v>
      </c>
      <c r="AF192" t="s">
        <v>80</v>
      </c>
      <c r="AG192" t="s">
        <v>145</v>
      </c>
      <c r="AH192" t="s">
        <v>53</v>
      </c>
      <c r="AI192" t="s">
        <v>91</v>
      </c>
    </row>
    <row r="193" spans="1:35" x14ac:dyDescent="0.25">
      <c r="A193" t="s">
        <v>85</v>
      </c>
      <c r="B193" t="s">
        <v>59</v>
      </c>
      <c r="C193" t="s">
        <v>37</v>
      </c>
      <c r="D193" t="s">
        <v>813</v>
      </c>
      <c r="E193" t="s">
        <v>62</v>
      </c>
      <c r="F193" t="s">
        <v>91</v>
      </c>
      <c r="G193" t="s">
        <v>45</v>
      </c>
      <c r="H193" t="s">
        <v>87</v>
      </c>
      <c r="I193" t="s">
        <v>40</v>
      </c>
      <c r="J193" t="s">
        <v>814</v>
      </c>
      <c r="K193" t="s">
        <v>47</v>
      </c>
      <c r="L193" t="s">
        <v>43</v>
      </c>
      <c r="M193" t="s">
        <v>338</v>
      </c>
      <c r="N193" t="s">
        <v>45</v>
      </c>
      <c r="O193" t="s">
        <v>40</v>
      </c>
      <c r="P193" t="s">
        <v>65</v>
      </c>
      <c r="Q193" t="s">
        <v>41</v>
      </c>
      <c r="R193" t="s">
        <v>48</v>
      </c>
      <c r="S193" t="s">
        <v>815</v>
      </c>
      <c r="T193" t="s">
        <v>816</v>
      </c>
      <c r="U193" t="s">
        <v>40</v>
      </c>
      <c r="V193" t="s">
        <v>52</v>
      </c>
      <c r="W193" t="s">
        <v>59</v>
      </c>
      <c r="X193" t="s">
        <v>128</v>
      </c>
      <c r="Y193" t="s">
        <v>45</v>
      </c>
      <c r="Z193" t="s">
        <v>47</v>
      </c>
      <c r="AA193" t="s">
        <v>54</v>
      </c>
      <c r="AB193" t="s">
        <v>55</v>
      </c>
      <c r="AC193" t="s">
        <v>71</v>
      </c>
      <c r="AD193" t="s">
        <v>41</v>
      </c>
      <c r="AE193" t="s">
        <v>41</v>
      </c>
      <c r="AF193" t="s">
        <v>71</v>
      </c>
      <c r="AG193" t="s">
        <v>71</v>
      </c>
      <c r="AH193" t="s">
        <v>55</v>
      </c>
      <c r="AI193" t="s">
        <v>45</v>
      </c>
    </row>
    <row r="194" spans="1:35" x14ac:dyDescent="0.25">
      <c r="A194" t="s">
        <v>126</v>
      </c>
      <c r="B194" t="s">
        <v>36</v>
      </c>
      <c r="C194" t="s">
        <v>37</v>
      </c>
      <c r="D194" t="s">
        <v>817</v>
      </c>
      <c r="E194" t="s">
        <v>62</v>
      </c>
      <c r="F194" t="s">
        <v>69</v>
      </c>
      <c r="G194" t="s">
        <v>41</v>
      </c>
      <c r="H194" t="s">
        <v>42</v>
      </c>
      <c r="I194" t="s">
        <v>40</v>
      </c>
      <c r="J194" t="s">
        <v>818</v>
      </c>
      <c r="K194" t="s">
        <v>41</v>
      </c>
      <c r="L194" t="s">
        <v>63</v>
      </c>
      <c r="M194" t="s">
        <v>151</v>
      </c>
      <c r="N194" t="s">
        <v>41</v>
      </c>
      <c r="O194" t="s">
        <v>41</v>
      </c>
      <c r="P194" t="s">
        <v>116</v>
      </c>
      <c r="Q194" t="s">
        <v>45</v>
      </c>
      <c r="R194" t="s">
        <v>66</v>
      </c>
      <c r="S194" t="s">
        <v>819</v>
      </c>
      <c r="T194" t="s">
        <v>820</v>
      </c>
      <c r="U194" t="s">
        <v>45</v>
      </c>
      <c r="V194" t="s">
        <v>52</v>
      </c>
      <c r="W194" t="s">
        <v>36</v>
      </c>
      <c r="X194" t="s">
        <v>98</v>
      </c>
      <c r="Y194" t="s">
        <v>45</v>
      </c>
      <c r="Z194" t="s">
        <v>40</v>
      </c>
      <c r="AA194" t="s">
        <v>54</v>
      </c>
      <c r="AB194" t="s">
        <v>55</v>
      </c>
      <c r="AC194" t="s">
        <v>51</v>
      </c>
      <c r="AD194" t="s">
        <v>40</v>
      </c>
      <c r="AE194" t="s">
        <v>45</v>
      </c>
      <c r="AF194" t="s">
        <v>40</v>
      </c>
      <c r="AG194" t="s">
        <v>55</v>
      </c>
      <c r="AH194" t="s">
        <v>55</v>
      </c>
      <c r="AI194" t="s">
        <v>40</v>
      </c>
    </row>
    <row r="195" spans="1:35" x14ac:dyDescent="0.25">
      <c r="A195" t="s">
        <v>234</v>
      </c>
      <c r="B195" t="s">
        <v>59</v>
      </c>
      <c r="C195" t="s">
        <v>161</v>
      </c>
      <c r="D195" t="s">
        <v>821</v>
      </c>
      <c r="E195" t="s">
        <v>62</v>
      </c>
      <c r="F195" t="s">
        <v>71</v>
      </c>
      <c r="G195" t="s">
        <v>45</v>
      </c>
      <c r="H195" t="s">
        <v>87</v>
      </c>
      <c r="I195" t="s">
        <v>40</v>
      </c>
      <c r="J195" t="s">
        <v>822</v>
      </c>
      <c r="K195" t="s">
        <v>47</v>
      </c>
      <c r="L195" t="s">
        <v>63</v>
      </c>
      <c r="M195" t="s">
        <v>72</v>
      </c>
      <c r="N195" t="s">
        <v>47</v>
      </c>
      <c r="O195" t="s">
        <v>40</v>
      </c>
      <c r="P195" t="s">
        <v>65</v>
      </c>
      <c r="Q195" t="s">
        <v>47</v>
      </c>
      <c r="R195" t="s">
        <v>109</v>
      </c>
      <c r="S195" t="s">
        <v>823</v>
      </c>
      <c r="T195" t="s">
        <v>824</v>
      </c>
      <c r="U195" t="s">
        <v>47</v>
      </c>
      <c r="V195" t="s">
        <v>52</v>
      </c>
      <c r="W195" t="s">
        <v>59</v>
      </c>
      <c r="X195" t="s">
        <v>129</v>
      </c>
      <c r="Y195" t="s">
        <v>45</v>
      </c>
      <c r="Z195" t="s">
        <v>47</v>
      </c>
      <c r="AA195" t="s">
        <v>54</v>
      </c>
      <c r="AB195" t="s">
        <v>45</v>
      </c>
      <c r="AC195" t="s">
        <v>71</v>
      </c>
      <c r="AD195" t="s">
        <v>45</v>
      </c>
      <c r="AE195" t="s">
        <v>47</v>
      </c>
      <c r="AF195" t="s">
        <v>57</v>
      </c>
      <c r="AG195" t="s">
        <v>47</v>
      </c>
      <c r="AH195" t="s">
        <v>41</v>
      </c>
      <c r="AI195" t="s">
        <v>41</v>
      </c>
    </row>
    <row r="196" spans="1:35" x14ac:dyDescent="0.25">
      <c r="A196" t="s">
        <v>174</v>
      </c>
      <c r="B196" t="s">
        <v>59</v>
      </c>
      <c r="C196" t="s">
        <v>161</v>
      </c>
      <c r="D196" t="s">
        <v>347</v>
      </c>
      <c r="E196" t="s">
        <v>62</v>
      </c>
      <c r="F196" t="s">
        <v>41</v>
      </c>
      <c r="G196" t="s">
        <v>41</v>
      </c>
      <c r="H196" t="s">
        <v>87</v>
      </c>
      <c r="I196" t="s">
        <v>40</v>
      </c>
      <c r="J196" t="s">
        <v>825</v>
      </c>
      <c r="K196" t="s">
        <v>40</v>
      </c>
      <c r="L196" t="s">
        <v>63</v>
      </c>
      <c r="M196" t="s">
        <v>296</v>
      </c>
      <c r="N196" t="s">
        <v>41</v>
      </c>
      <c r="O196" t="s">
        <v>47</v>
      </c>
      <c r="P196" t="s">
        <v>169</v>
      </c>
      <c r="Q196" t="s">
        <v>47</v>
      </c>
      <c r="R196" t="s">
        <v>66</v>
      </c>
      <c r="S196" t="s">
        <v>826</v>
      </c>
      <c r="T196" t="s">
        <v>827</v>
      </c>
      <c r="U196" t="s">
        <v>91</v>
      </c>
      <c r="V196" t="s">
        <v>52</v>
      </c>
      <c r="W196" t="s">
        <v>59</v>
      </c>
      <c r="X196" t="s">
        <v>69</v>
      </c>
      <c r="Y196" t="s">
        <v>47</v>
      </c>
      <c r="Z196" t="s">
        <v>47</v>
      </c>
      <c r="AA196" t="s">
        <v>54</v>
      </c>
      <c r="AB196" t="s">
        <v>40</v>
      </c>
      <c r="AC196" t="s">
        <v>112</v>
      </c>
      <c r="AD196" t="s">
        <v>40</v>
      </c>
      <c r="AE196" t="s">
        <v>45</v>
      </c>
      <c r="AF196" t="s">
        <v>104</v>
      </c>
      <c r="AG196" t="s">
        <v>51</v>
      </c>
      <c r="AH196" t="s">
        <v>53</v>
      </c>
      <c r="AI196" t="s">
        <v>51</v>
      </c>
    </row>
    <row r="197" spans="1:35" x14ac:dyDescent="0.25">
      <c r="A197" t="s">
        <v>72</v>
      </c>
      <c r="B197" t="s">
        <v>59</v>
      </c>
      <c r="C197" t="s">
        <v>37</v>
      </c>
      <c r="D197" t="s">
        <v>828</v>
      </c>
      <c r="E197" t="s">
        <v>62</v>
      </c>
      <c r="F197" t="s">
        <v>119</v>
      </c>
      <c r="G197" t="s">
        <v>45</v>
      </c>
      <c r="H197" t="s">
        <v>42</v>
      </c>
      <c r="I197" t="s">
        <v>40</v>
      </c>
      <c r="J197" t="s">
        <v>829</v>
      </c>
      <c r="K197" t="s">
        <v>41</v>
      </c>
      <c r="L197" t="s">
        <v>63</v>
      </c>
      <c r="M197" t="s">
        <v>296</v>
      </c>
      <c r="N197" t="s">
        <v>47</v>
      </c>
      <c r="O197" t="s">
        <v>40</v>
      </c>
      <c r="P197" t="s">
        <v>65</v>
      </c>
      <c r="Q197" t="s">
        <v>40</v>
      </c>
      <c r="R197" t="s">
        <v>66</v>
      </c>
      <c r="S197" t="s">
        <v>830</v>
      </c>
      <c r="T197" t="s">
        <v>831</v>
      </c>
      <c r="U197" t="s">
        <v>40</v>
      </c>
      <c r="V197" t="s">
        <v>52</v>
      </c>
      <c r="W197" t="s">
        <v>36</v>
      </c>
      <c r="X197" t="s">
        <v>92</v>
      </c>
      <c r="Y197" t="s">
        <v>45</v>
      </c>
      <c r="Z197" t="s">
        <v>40</v>
      </c>
      <c r="AA197" t="s">
        <v>54</v>
      </c>
      <c r="AB197" t="s">
        <v>40</v>
      </c>
      <c r="AC197" t="s">
        <v>51</v>
      </c>
      <c r="AD197" t="s">
        <v>45</v>
      </c>
      <c r="AE197" t="s">
        <v>41</v>
      </c>
      <c r="AF197" t="s">
        <v>51</v>
      </c>
      <c r="AG197" t="s">
        <v>71</v>
      </c>
      <c r="AH197" t="s">
        <v>40</v>
      </c>
      <c r="AI197" t="s">
        <v>71</v>
      </c>
    </row>
    <row r="198" spans="1:35" x14ac:dyDescent="0.25">
      <c r="A198" t="s">
        <v>126</v>
      </c>
      <c r="B198" t="s">
        <v>59</v>
      </c>
      <c r="C198" t="s">
        <v>60</v>
      </c>
      <c r="D198" t="s">
        <v>489</v>
      </c>
      <c r="E198" t="s">
        <v>62</v>
      </c>
      <c r="F198" t="s">
        <v>41</v>
      </c>
      <c r="G198" t="s">
        <v>45</v>
      </c>
      <c r="H198" t="s">
        <v>87</v>
      </c>
      <c r="I198" t="s">
        <v>40</v>
      </c>
      <c r="J198" t="s">
        <v>832</v>
      </c>
      <c r="K198" t="s">
        <v>41</v>
      </c>
      <c r="L198" t="s">
        <v>43</v>
      </c>
      <c r="M198" t="s">
        <v>72</v>
      </c>
      <c r="N198" t="s">
        <v>45</v>
      </c>
      <c r="O198" t="s">
        <v>41</v>
      </c>
      <c r="P198" t="s">
        <v>76</v>
      </c>
      <c r="Q198" t="s">
        <v>41</v>
      </c>
      <c r="R198" t="s">
        <v>48</v>
      </c>
      <c r="S198" t="s">
        <v>833</v>
      </c>
      <c r="T198" t="s">
        <v>834</v>
      </c>
      <c r="U198" t="s">
        <v>57</v>
      </c>
      <c r="V198" t="s">
        <v>52</v>
      </c>
      <c r="W198" t="s">
        <v>59</v>
      </c>
      <c r="X198" t="s">
        <v>53</v>
      </c>
      <c r="Y198" t="s">
        <v>45</v>
      </c>
      <c r="Z198" t="s">
        <v>47</v>
      </c>
      <c r="AA198" t="s">
        <v>54</v>
      </c>
      <c r="AB198" t="s">
        <v>55</v>
      </c>
      <c r="AC198" t="s">
        <v>70</v>
      </c>
      <c r="AD198" t="s">
        <v>57</v>
      </c>
      <c r="AE198" t="s">
        <v>45</v>
      </c>
      <c r="AF198" t="s">
        <v>56</v>
      </c>
      <c r="AG198" t="s">
        <v>41</v>
      </c>
      <c r="AH198" t="s">
        <v>40</v>
      </c>
      <c r="AI198" t="s">
        <v>41</v>
      </c>
    </row>
    <row r="199" spans="1:35" x14ac:dyDescent="0.25">
      <c r="A199" t="s">
        <v>204</v>
      </c>
      <c r="B199" t="s">
        <v>59</v>
      </c>
      <c r="C199" t="s">
        <v>161</v>
      </c>
      <c r="D199" t="s">
        <v>835</v>
      </c>
      <c r="E199" t="s">
        <v>62</v>
      </c>
      <c r="F199" t="s">
        <v>119</v>
      </c>
      <c r="G199" t="s">
        <v>41</v>
      </c>
      <c r="H199" t="s">
        <v>87</v>
      </c>
      <c r="I199" t="s">
        <v>40</v>
      </c>
      <c r="J199" t="s">
        <v>836</v>
      </c>
      <c r="K199" t="s">
        <v>45</v>
      </c>
      <c r="L199" t="s">
        <v>43</v>
      </c>
      <c r="M199" t="s">
        <v>120</v>
      </c>
      <c r="N199" t="s">
        <v>45</v>
      </c>
      <c r="O199" t="s">
        <v>41</v>
      </c>
      <c r="P199" t="s">
        <v>116</v>
      </c>
      <c r="Q199" t="s">
        <v>45</v>
      </c>
      <c r="R199" t="s">
        <v>109</v>
      </c>
      <c r="S199" t="s">
        <v>837</v>
      </c>
      <c r="T199" t="s">
        <v>838</v>
      </c>
      <c r="U199" t="s">
        <v>41</v>
      </c>
      <c r="V199" t="s">
        <v>52</v>
      </c>
      <c r="W199" t="s">
        <v>59</v>
      </c>
      <c r="X199" t="s">
        <v>128</v>
      </c>
      <c r="Y199" t="s">
        <v>45</v>
      </c>
      <c r="Z199" t="s">
        <v>41</v>
      </c>
      <c r="AA199" t="s">
        <v>54</v>
      </c>
      <c r="AB199" t="s">
        <v>40</v>
      </c>
      <c r="AC199" t="s">
        <v>53</v>
      </c>
      <c r="AD199" t="s">
        <v>57</v>
      </c>
      <c r="AE199" t="s">
        <v>45</v>
      </c>
      <c r="AF199" t="s">
        <v>57</v>
      </c>
      <c r="AG199" t="s">
        <v>45</v>
      </c>
      <c r="AH199" t="s">
        <v>55</v>
      </c>
      <c r="AI199" t="s">
        <v>41</v>
      </c>
    </row>
    <row r="200" spans="1:35" x14ac:dyDescent="0.25">
      <c r="A200" t="s">
        <v>113</v>
      </c>
      <c r="B200" t="s">
        <v>59</v>
      </c>
      <c r="C200" t="s">
        <v>37</v>
      </c>
      <c r="D200" t="s">
        <v>839</v>
      </c>
      <c r="E200" t="s">
        <v>62</v>
      </c>
      <c r="F200" t="s">
        <v>41</v>
      </c>
      <c r="G200" t="s">
        <v>47</v>
      </c>
      <c r="H200" t="s">
        <v>42</v>
      </c>
      <c r="I200" t="s">
        <v>40</v>
      </c>
      <c r="J200" t="s">
        <v>840</v>
      </c>
      <c r="K200" t="s">
        <v>47</v>
      </c>
      <c r="L200" t="s">
        <v>63</v>
      </c>
      <c r="M200" t="s">
        <v>356</v>
      </c>
      <c r="N200" t="s">
        <v>45</v>
      </c>
      <c r="O200" t="s">
        <v>41</v>
      </c>
      <c r="P200" t="s">
        <v>116</v>
      </c>
      <c r="Q200" t="s">
        <v>45</v>
      </c>
      <c r="R200" t="s">
        <v>66</v>
      </c>
      <c r="S200" t="s">
        <v>841</v>
      </c>
      <c r="T200" t="s">
        <v>842</v>
      </c>
      <c r="U200" t="s">
        <v>91</v>
      </c>
      <c r="V200" t="s">
        <v>52</v>
      </c>
      <c r="W200" t="s">
        <v>59</v>
      </c>
      <c r="X200" t="s">
        <v>129</v>
      </c>
      <c r="Y200" t="s">
        <v>45</v>
      </c>
      <c r="Z200" t="s">
        <v>41</v>
      </c>
      <c r="AA200" t="s">
        <v>54</v>
      </c>
      <c r="AB200" t="s">
        <v>55</v>
      </c>
      <c r="AC200" t="s">
        <v>129</v>
      </c>
      <c r="AD200" t="s">
        <v>45</v>
      </c>
      <c r="AE200" t="s">
        <v>45</v>
      </c>
      <c r="AF200" t="s">
        <v>40</v>
      </c>
      <c r="AG200" t="s">
        <v>55</v>
      </c>
      <c r="AH200" t="s">
        <v>55</v>
      </c>
      <c r="AI200" t="s">
        <v>55</v>
      </c>
    </row>
    <row r="201" spans="1:35" x14ac:dyDescent="0.25">
      <c r="A201" t="s">
        <v>113</v>
      </c>
      <c r="B201" t="s">
        <v>59</v>
      </c>
      <c r="C201" t="s">
        <v>37</v>
      </c>
      <c r="D201" t="s">
        <v>788</v>
      </c>
      <c r="E201" t="s">
        <v>62</v>
      </c>
      <c r="F201" t="s">
        <v>133</v>
      </c>
      <c r="G201" t="s">
        <v>45</v>
      </c>
      <c r="H201" t="s">
        <v>228</v>
      </c>
      <c r="I201" t="s">
        <v>40</v>
      </c>
      <c r="J201" t="s">
        <v>843</v>
      </c>
      <c r="K201" t="s">
        <v>47</v>
      </c>
      <c r="L201" t="s">
        <v>63</v>
      </c>
      <c r="M201" t="s">
        <v>259</v>
      </c>
      <c r="N201" t="s">
        <v>45</v>
      </c>
      <c r="O201" t="s">
        <v>41</v>
      </c>
      <c r="P201" t="s">
        <v>116</v>
      </c>
      <c r="Q201" t="s">
        <v>47</v>
      </c>
      <c r="R201" t="s">
        <v>66</v>
      </c>
      <c r="S201" t="s">
        <v>844</v>
      </c>
      <c r="T201" t="s">
        <v>845</v>
      </c>
      <c r="U201" t="s">
        <v>45</v>
      </c>
      <c r="V201" t="s">
        <v>52</v>
      </c>
      <c r="W201" t="s">
        <v>59</v>
      </c>
      <c r="X201" t="s">
        <v>145</v>
      </c>
      <c r="Y201" t="s">
        <v>45</v>
      </c>
      <c r="Z201" t="s">
        <v>40</v>
      </c>
      <c r="AA201" t="s">
        <v>54</v>
      </c>
      <c r="AB201" t="s">
        <v>40</v>
      </c>
      <c r="AC201" t="s">
        <v>91</v>
      </c>
      <c r="AD201" t="s">
        <v>45</v>
      </c>
      <c r="AE201" t="s">
        <v>40</v>
      </c>
      <c r="AF201" t="s">
        <v>71</v>
      </c>
      <c r="AG201" t="s">
        <v>71</v>
      </c>
      <c r="AH201" t="s">
        <v>40</v>
      </c>
      <c r="AI201" t="s">
        <v>71</v>
      </c>
    </row>
    <row r="202" spans="1:35" x14ac:dyDescent="0.25">
      <c r="A202" t="s">
        <v>85</v>
      </c>
      <c r="B202" t="s">
        <v>59</v>
      </c>
      <c r="C202" t="s">
        <v>60</v>
      </c>
      <c r="D202" t="s">
        <v>846</v>
      </c>
      <c r="E202" t="s">
        <v>62</v>
      </c>
      <c r="F202" t="s">
        <v>40</v>
      </c>
      <c r="G202" t="s">
        <v>40</v>
      </c>
      <c r="H202" t="s">
        <v>228</v>
      </c>
      <c r="I202" t="s">
        <v>40</v>
      </c>
      <c r="J202" t="s">
        <v>847</v>
      </c>
      <c r="K202" t="s">
        <v>45</v>
      </c>
      <c r="L202" t="s">
        <v>63</v>
      </c>
      <c r="M202" t="s">
        <v>275</v>
      </c>
      <c r="N202" t="s">
        <v>41</v>
      </c>
      <c r="O202" t="s">
        <v>41</v>
      </c>
      <c r="P202" t="s">
        <v>116</v>
      </c>
      <c r="Q202" t="s">
        <v>40</v>
      </c>
      <c r="R202" t="s">
        <v>66</v>
      </c>
      <c r="S202" t="s">
        <v>848</v>
      </c>
      <c r="T202" t="s">
        <v>849</v>
      </c>
      <c r="U202" t="s">
        <v>57</v>
      </c>
      <c r="V202" t="s">
        <v>52</v>
      </c>
      <c r="W202" t="s">
        <v>59</v>
      </c>
      <c r="X202" t="s">
        <v>144</v>
      </c>
      <c r="Y202" t="s">
        <v>45</v>
      </c>
      <c r="Z202" t="s">
        <v>45</v>
      </c>
      <c r="AA202" t="s">
        <v>54</v>
      </c>
      <c r="AB202" t="s">
        <v>40</v>
      </c>
      <c r="AC202" t="s">
        <v>56</v>
      </c>
      <c r="AD202" t="s">
        <v>40</v>
      </c>
      <c r="AE202" t="s">
        <v>45</v>
      </c>
      <c r="AF202" t="s">
        <v>41</v>
      </c>
      <c r="AG202" t="s">
        <v>41</v>
      </c>
      <c r="AH202" t="s">
        <v>41</v>
      </c>
      <c r="AI202" t="s">
        <v>55</v>
      </c>
    </row>
    <row r="203" spans="1:35" x14ac:dyDescent="0.25">
      <c r="A203" t="s">
        <v>58</v>
      </c>
      <c r="B203" t="s">
        <v>59</v>
      </c>
      <c r="C203" t="s">
        <v>161</v>
      </c>
      <c r="D203" t="s">
        <v>850</v>
      </c>
      <c r="E203" t="s">
        <v>62</v>
      </c>
      <c r="F203" t="s">
        <v>145</v>
      </c>
      <c r="G203" t="s">
        <v>47</v>
      </c>
      <c r="H203" t="s">
        <v>42</v>
      </c>
      <c r="I203" t="s">
        <v>40</v>
      </c>
      <c r="J203" t="s">
        <v>851</v>
      </c>
      <c r="K203" t="s">
        <v>47</v>
      </c>
      <c r="L203" t="s">
        <v>63</v>
      </c>
      <c r="M203" t="s">
        <v>75</v>
      </c>
      <c r="N203" t="s">
        <v>45</v>
      </c>
      <c r="O203" t="s">
        <v>41</v>
      </c>
      <c r="P203" t="s">
        <v>116</v>
      </c>
      <c r="Q203" t="s">
        <v>47</v>
      </c>
      <c r="R203" t="s">
        <v>109</v>
      </c>
      <c r="S203" t="s">
        <v>852</v>
      </c>
      <c r="T203" t="s">
        <v>853</v>
      </c>
      <c r="U203" t="s">
        <v>40</v>
      </c>
      <c r="V203" t="s">
        <v>52</v>
      </c>
      <c r="W203" t="s">
        <v>36</v>
      </c>
      <c r="X203" t="s">
        <v>79</v>
      </c>
      <c r="Y203" t="s">
        <v>45</v>
      </c>
      <c r="Z203" t="s">
        <v>40</v>
      </c>
      <c r="AA203" t="s">
        <v>54</v>
      </c>
      <c r="AB203" t="s">
        <v>41</v>
      </c>
      <c r="AC203" t="s">
        <v>71</v>
      </c>
      <c r="AD203" t="s">
        <v>55</v>
      </c>
      <c r="AE203" t="s">
        <v>45</v>
      </c>
      <c r="AF203" t="s">
        <v>71</v>
      </c>
      <c r="AG203" t="s">
        <v>71</v>
      </c>
      <c r="AH203" t="s">
        <v>40</v>
      </c>
      <c r="AI203" t="s">
        <v>71</v>
      </c>
    </row>
    <row r="204" spans="1:35" x14ac:dyDescent="0.25">
      <c r="A204" t="s">
        <v>142</v>
      </c>
      <c r="B204" t="s">
        <v>59</v>
      </c>
      <c r="C204" t="s">
        <v>60</v>
      </c>
      <c r="D204" t="s">
        <v>854</v>
      </c>
      <c r="E204" t="s">
        <v>62</v>
      </c>
      <c r="F204" t="s">
        <v>70</v>
      </c>
      <c r="G204" t="s">
        <v>47</v>
      </c>
      <c r="H204" t="s">
        <v>87</v>
      </c>
      <c r="I204" t="s">
        <v>40</v>
      </c>
      <c r="J204" t="s">
        <v>855</v>
      </c>
      <c r="K204" t="s">
        <v>47</v>
      </c>
      <c r="L204" t="s">
        <v>63</v>
      </c>
      <c r="M204" t="s">
        <v>234</v>
      </c>
      <c r="N204" t="s">
        <v>45</v>
      </c>
      <c r="O204" t="s">
        <v>40</v>
      </c>
      <c r="P204" t="s">
        <v>65</v>
      </c>
      <c r="Q204" t="s">
        <v>45</v>
      </c>
      <c r="R204" t="s">
        <v>109</v>
      </c>
      <c r="S204" t="s">
        <v>856</v>
      </c>
      <c r="T204" t="s">
        <v>857</v>
      </c>
      <c r="U204" t="s">
        <v>40</v>
      </c>
      <c r="V204" t="s">
        <v>52</v>
      </c>
      <c r="W204" t="s">
        <v>36</v>
      </c>
      <c r="X204" t="s">
        <v>125</v>
      </c>
      <c r="Y204" t="s">
        <v>45</v>
      </c>
      <c r="Z204" t="s">
        <v>47</v>
      </c>
      <c r="AA204" t="s">
        <v>54</v>
      </c>
      <c r="AB204" t="s">
        <v>40</v>
      </c>
      <c r="AC204" t="s">
        <v>57</v>
      </c>
      <c r="AD204" t="s">
        <v>47</v>
      </c>
      <c r="AE204" t="s">
        <v>47</v>
      </c>
      <c r="AF204" t="s">
        <v>57</v>
      </c>
      <c r="AG204" t="s">
        <v>45</v>
      </c>
      <c r="AH204" t="s">
        <v>41</v>
      </c>
      <c r="AI204" t="s">
        <v>55</v>
      </c>
    </row>
    <row r="205" spans="1:35" x14ac:dyDescent="0.25">
      <c r="A205" t="s">
        <v>88</v>
      </c>
      <c r="B205" t="s">
        <v>59</v>
      </c>
      <c r="C205" t="s">
        <v>37</v>
      </c>
      <c r="D205" t="s">
        <v>858</v>
      </c>
      <c r="E205" t="s">
        <v>62</v>
      </c>
      <c r="F205" t="s">
        <v>144</v>
      </c>
      <c r="G205" t="s">
        <v>41</v>
      </c>
      <c r="H205" t="s">
        <v>87</v>
      </c>
      <c r="I205" t="s">
        <v>40</v>
      </c>
      <c r="J205" t="s">
        <v>859</v>
      </c>
      <c r="K205" t="s">
        <v>45</v>
      </c>
      <c r="L205" t="s">
        <v>63</v>
      </c>
      <c r="M205" t="s">
        <v>338</v>
      </c>
      <c r="N205" t="s">
        <v>45</v>
      </c>
      <c r="O205" t="s">
        <v>41</v>
      </c>
      <c r="P205" t="s">
        <v>76</v>
      </c>
      <c r="Q205" t="s">
        <v>47</v>
      </c>
      <c r="R205" t="s">
        <v>66</v>
      </c>
      <c r="S205" t="s">
        <v>860</v>
      </c>
      <c r="T205" t="s">
        <v>861</v>
      </c>
      <c r="U205" t="s">
        <v>51</v>
      </c>
      <c r="V205" t="s">
        <v>52</v>
      </c>
      <c r="W205" t="s">
        <v>36</v>
      </c>
      <c r="X205" t="s">
        <v>79</v>
      </c>
      <c r="Y205" t="s">
        <v>45</v>
      </c>
      <c r="Z205" t="s">
        <v>45</v>
      </c>
      <c r="AA205" t="s">
        <v>54</v>
      </c>
      <c r="AB205" t="s">
        <v>40</v>
      </c>
      <c r="AC205" t="s">
        <v>79</v>
      </c>
      <c r="AD205" t="s">
        <v>41</v>
      </c>
      <c r="AE205" t="s">
        <v>47</v>
      </c>
      <c r="AF205" t="s">
        <v>71</v>
      </c>
      <c r="AG205" t="s">
        <v>41</v>
      </c>
      <c r="AH205" t="s">
        <v>45</v>
      </c>
      <c r="AI205" t="s">
        <v>71</v>
      </c>
    </row>
    <row r="206" spans="1:35" x14ac:dyDescent="0.25">
      <c r="A206" t="s">
        <v>113</v>
      </c>
      <c r="B206" t="s">
        <v>36</v>
      </c>
      <c r="C206" t="s">
        <v>37</v>
      </c>
      <c r="D206" t="s">
        <v>862</v>
      </c>
      <c r="E206" t="s">
        <v>62</v>
      </c>
      <c r="F206" t="s">
        <v>133</v>
      </c>
      <c r="G206" t="s">
        <v>40</v>
      </c>
      <c r="H206" t="s">
        <v>87</v>
      </c>
      <c r="I206" t="s">
        <v>40</v>
      </c>
      <c r="J206" t="s">
        <v>863</v>
      </c>
      <c r="K206" t="s">
        <v>41</v>
      </c>
      <c r="L206" t="s">
        <v>63</v>
      </c>
      <c r="M206" t="s">
        <v>304</v>
      </c>
      <c r="N206" t="s">
        <v>45</v>
      </c>
      <c r="O206" t="s">
        <v>41</v>
      </c>
      <c r="P206" t="s">
        <v>122</v>
      </c>
      <c r="Q206" t="s">
        <v>40</v>
      </c>
      <c r="R206" t="s">
        <v>66</v>
      </c>
      <c r="S206" t="s">
        <v>864</v>
      </c>
      <c r="T206" t="s">
        <v>865</v>
      </c>
      <c r="U206" t="s">
        <v>71</v>
      </c>
      <c r="V206" t="s">
        <v>52</v>
      </c>
      <c r="W206" t="s">
        <v>36</v>
      </c>
      <c r="X206" t="s">
        <v>144</v>
      </c>
      <c r="Y206" t="s">
        <v>45</v>
      </c>
      <c r="Z206" t="s">
        <v>41</v>
      </c>
      <c r="AA206" t="s">
        <v>54</v>
      </c>
      <c r="AB206" t="s">
        <v>55</v>
      </c>
      <c r="AC206" t="s">
        <v>125</v>
      </c>
      <c r="AD206" t="s">
        <v>41</v>
      </c>
      <c r="AE206" t="s">
        <v>45</v>
      </c>
      <c r="AF206" t="s">
        <v>40</v>
      </c>
      <c r="AG206" t="s">
        <v>55</v>
      </c>
      <c r="AH206" t="s">
        <v>55</v>
      </c>
      <c r="AI206" t="s">
        <v>55</v>
      </c>
    </row>
    <row r="207" spans="1:35" x14ac:dyDescent="0.25">
      <c r="A207" t="s">
        <v>133</v>
      </c>
      <c r="B207" t="s">
        <v>36</v>
      </c>
      <c r="C207" t="s">
        <v>37</v>
      </c>
      <c r="D207" t="s">
        <v>448</v>
      </c>
      <c r="E207" t="s">
        <v>39</v>
      </c>
      <c r="F207" t="s">
        <v>85</v>
      </c>
      <c r="G207" t="s">
        <v>45</v>
      </c>
      <c r="H207" t="s">
        <v>206</v>
      </c>
      <c r="I207" t="s">
        <v>40</v>
      </c>
      <c r="J207" t="s">
        <v>866</v>
      </c>
      <c r="K207" t="s">
        <v>41</v>
      </c>
      <c r="L207" t="s">
        <v>43</v>
      </c>
      <c r="M207" t="s">
        <v>126</v>
      </c>
      <c r="N207" t="s">
        <v>45</v>
      </c>
      <c r="O207" t="s">
        <v>45</v>
      </c>
      <c r="P207" t="s">
        <v>46</v>
      </c>
      <c r="Q207" t="s">
        <v>47</v>
      </c>
      <c r="R207" t="s">
        <v>66</v>
      </c>
      <c r="S207" t="s">
        <v>867</v>
      </c>
      <c r="T207" t="s">
        <v>868</v>
      </c>
      <c r="U207" t="s">
        <v>40</v>
      </c>
      <c r="V207" t="s">
        <v>52</v>
      </c>
      <c r="W207" t="s">
        <v>59</v>
      </c>
      <c r="X207" t="s">
        <v>112</v>
      </c>
      <c r="Y207" t="s">
        <v>47</v>
      </c>
      <c r="Z207" t="s">
        <v>47</v>
      </c>
      <c r="AA207" t="s">
        <v>54</v>
      </c>
      <c r="AB207" t="s">
        <v>45</v>
      </c>
      <c r="AC207" t="s">
        <v>70</v>
      </c>
      <c r="AD207" t="s">
        <v>45</v>
      </c>
      <c r="AE207" t="s">
        <v>41</v>
      </c>
      <c r="AF207" t="s">
        <v>70</v>
      </c>
      <c r="AG207" t="s">
        <v>47</v>
      </c>
      <c r="AH207" t="s">
        <v>40</v>
      </c>
      <c r="AI207" t="s">
        <v>91</v>
      </c>
    </row>
    <row r="208" spans="1:35" x14ac:dyDescent="0.25">
      <c r="A208" t="s">
        <v>112</v>
      </c>
      <c r="B208" t="s">
        <v>59</v>
      </c>
      <c r="C208" t="s">
        <v>37</v>
      </c>
      <c r="D208" t="s">
        <v>869</v>
      </c>
      <c r="E208" t="s">
        <v>62</v>
      </c>
      <c r="F208" t="s">
        <v>57</v>
      </c>
      <c r="G208" t="s">
        <v>45</v>
      </c>
      <c r="H208" t="s">
        <v>42</v>
      </c>
      <c r="I208" t="s">
        <v>40</v>
      </c>
      <c r="J208" t="s">
        <v>870</v>
      </c>
      <c r="K208" t="s">
        <v>47</v>
      </c>
      <c r="L208" t="s">
        <v>63</v>
      </c>
      <c r="M208" t="s">
        <v>275</v>
      </c>
      <c r="N208" t="s">
        <v>47</v>
      </c>
      <c r="O208" t="s">
        <v>40</v>
      </c>
      <c r="P208" t="s">
        <v>65</v>
      </c>
      <c r="Q208" t="s">
        <v>41</v>
      </c>
      <c r="R208" t="s">
        <v>109</v>
      </c>
      <c r="S208" t="s">
        <v>871</v>
      </c>
      <c r="T208" t="s">
        <v>872</v>
      </c>
      <c r="U208" t="s">
        <v>40</v>
      </c>
      <c r="V208" t="s">
        <v>52</v>
      </c>
      <c r="W208" t="s">
        <v>36</v>
      </c>
      <c r="X208" t="s">
        <v>128</v>
      </c>
      <c r="Y208" t="s">
        <v>45</v>
      </c>
      <c r="Z208" t="s">
        <v>40</v>
      </c>
      <c r="AA208" t="s">
        <v>54</v>
      </c>
      <c r="AB208" t="s">
        <v>40</v>
      </c>
      <c r="AC208" t="s">
        <v>47</v>
      </c>
      <c r="AD208" t="s">
        <v>41</v>
      </c>
      <c r="AE208" t="s">
        <v>41</v>
      </c>
      <c r="AF208" t="s">
        <v>47</v>
      </c>
      <c r="AG208" t="s">
        <v>41</v>
      </c>
      <c r="AH208" t="s">
        <v>41</v>
      </c>
      <c r="AI208" t="s">
        <v>41</v>
      </c>
    </row>
    <row r="209" spans="1:35" x14ac:dyDescent="0.25">
      <c r="A209" t="s">
        <v>120</v>
      </c>
      <c r="B209" t="s">
        <v>59</v>
      </c>
      <c r="C209" t="s">
        <v>60</v>
      </c>
      <c r="D209" t="s">
        <v>873</v>
      </c>
      <c r="E209" t="s">
        <v>62</v>
      </c>
      <c r="F209" t="s">
        <v>145</v>
      </c>
      <c r="G209" t="s">
        <v>40</v>
      </c>
      <c r="H209" t="s">
        <v>87</v>
      </c>
      <c r="I209" t="s">
        <v>40</v>
      </c>
      <c r="J209" t="s">
        <v>874</v>
      </c>
      <c r="K209" t="s">
        <v>41</v>
      </c>
      <c r="L209" t="s">
        <v>43</v>
      </c>
      <c r="M209" t="s">
        <v>279</v>
      </c>
      <c r="N209" t="s">
        <v>45</v>
      </c>
      <c r="O209" t="s">
        <v>40</v>
      </c>
      <c r="P209" t="s">
        <v>76</v>
      </c>
      <c r="Q209" t="s">
        <v>47</v>
      </c>
      <c r="R209" t="s">
        <v>48</v>
      </c>
      <c r="S209" t="s">
        <v>875</v>
      </c>
      <c r="T209" t="s">
        <v>876</v>
      </c>
      <c r="U209" t="s">
        <v>40</v>
      </c>
      <c r="V209" t="s">
        <v>52</v>
      </c>
      <c r="W209" t="s">
        <v>59</v>
      </c>
      <c r="X209" t="s">
        <v>98</v>
      </c>
      <c r="Y209" t="s">
        <v>45</v>
      </c>
      <c r="Z209" t="s">
        <v>40</v>
      </c>
      <c r="AA209" t="s">
        <v>54</v>
      </c>
      <c r="AB209" t="s">
        <v>55</v>
      </c>
      <c r="AC209" t="s">
        <v>51</v>
      </c>
      <c r="AD209" t="s">
        <v>41</v>
      </c>
      <c r="AE209" t="s">
        <v>45</v>
      </c>
      <c r="AF209" t="s">
        <v>51</v>
      </c>
      <c r="AG209" t="s">
        <v>40</v>
      </c>
      <c r="AH209" t="s">
        <v>40</v>
      </c>
      <c r="AI209" t="s">
        <v>71</v>
      </c>
    </row>
    <row r="210" spans="1:35" x14ac:dyDescent="0.25">
      <c r="A210" t="s">
        <v>88</v>
      </c>
      <c r="B210" t="s">
        <v>59</v>
      </c>
      <c r="C210" t="s">
        <v>161</v>
      </c>
      <c r="D210" t="s">
        <v>877</v>
      </c>
      <c r="E210" t="s">
        <v>62</v>
      </c>
      <c r="F210" t="s">
        <v>91</v>
      </c>
      <c r="G210" t="s">
        <v>57</v>
      </c>
      <c r="H210" t="s">
        <v>42</v>
      </c>
      <c r="I210" t="s">
        <v>40</v>
      </c>
      <c r="J210" t="s">
        <v>878</v>
      </c>
      <c r="K210" t="s">
        <v>47</v>
      </c>
      <c r="L210" t="s">
        <v>63</v>
      </c>
      <c r="M210" t="s">
        <v>288</v>
      </c>
      <c r="N210" t="s">
        <v>41</v>
      </c>
      <c r="O210" t="s">
        <v>41</v>
      </c>
      <c r="P210" t="s">
        <v>122</v>
      </c>
      <c r="Q210" t="s">
        <v>47</v>
      </c>
      <c r="R210" t="s">
        <v>66</v>
      </c>
      <c r="S210" t="s">
        <v>879</v>
      </c>
      <c r="T210" t="s">
        <v>880</v>
      </c>
      <c r="U210" t="s">
        <v>91</v>
      </c>
      <c r="V210" t="s">
        <v>52</v>
      </c>
      <c r="W210" t="s">
        <v>59</v>
      </c>
      <c r="X210" t="s">
        <v>129</v>
      </c>
      <c r="Y210" t="s">
        <v>45</v>
      </c>
      <c r="Z210" t="s">
        <v>47</v>
      </c>
      <c r="AA210" t="s">
        <v>54</v>
      </c>
      <c r="AB210" t="s">
        <v>40</v>
      </c>
      <c r="AC210" t="s">
        <v>57</v>
      </c>
      <c r="AD210" t="s">
        <v>57</v>
      </c>
      <c r="AE210" t="s">
        <v>40</v>
      </c>
      <c r="AF210" t="s">
        <v>45</v>
      </c>
      <c r="AG210" t="s">
        <v>41</v>
      </c>
      <c r="AH210" t="s">
        <v>55</v>
      </c>
      <c r="AI210" t="s">
        <v>41</v>
      </c>
    </row>
    <row r="211" spans="1:35" x14ac:dyDescent="0.25">
      <c r="A211" t="s">
        <v>213</v>
      </c>
      <c r="B211" t="s">
        <v>59</v>
      </c>
      <c r="C211" t="s">
        <v>37</v>
      </c>
      <c r="D211" t="s">
        <v>881</v>
      </c>
      <c r="E211" t="s">
        <v>62</v>
      </c>
      <c r="F211" t="s">
        <v>40</v>
      </c>
      <c r="G211" t="s">
        <v>47</v>
      </c>
      <c r="H211" t="s">
        <v>87</v>
      </c>
      <c r="I211" t="s">
        <v>40</v>
      </c>
      <c r="J211" t="s">
        <v>431</v>
      </c>
      <c r="K211" t="s">
        <v>47</v>
      </c>
      <c r="L211" t="s">
        <v>63</v>
      </c>
      <c r="M211" t="s">
        <v>244</v>
      </c>
      <c r="N211" t="s">
        <v>45</v>
      </c>
      <c r="O211" t="s">
        <v>45</v>
      </c>
      <c r="P211" t="s">
        <v>122</v>
      </c>
      <c r="Q211" t="s">
        <v>40</v>
      </c>
      <c r="R211" t="s">
        <v>109</v>
      </c>
      <c r="S211" t="s">
        <v>882</v>
      </c>
      <c r="T211" t="s">
        <v>883</v>
      </c>
      <c r="U211" t="s">
        <v>71</v>
      </c>
      <c r="V211" t="s">
        <v>52</v>
      </c>
      <c r="W211" t="s">
        <v>59</v>
      </c>
      <c r="X211" t="s">
        <v>128</v>
      </c>
      <c r="Y211" t="s">
        <v>45</v>
      </c>
      <c r="Z211" t="s">
        <v>45</v>
      </c>
      <c r="AA211" t="s">
        <v>54</v>
      </c>
      <c r="AB211" t="s">
        <v>40</v>
      </c>
      <c r="AC211" t="s">
        <v>125</v>
      </c>
      <c r="AD211" t="s">
        <v>45</v>
      </c>
      <c r="AE211" t="s">
        <v>45</v>
      </c>
      <c r="AF211" t="s">
        <v>47</v>
      </c>
      <c r="AG211" t="s">
        <v>41</v>
      </c>
      <c r="AH211" t="s">
        <v>55</v>
      </c>
      <c r="AI211" t="s">
        <v>45</v>
      </c>
    </row>
    <row r="212" spans="1:35" x14ac:dyDescent="0.25">
      <c r="A212" t="s">
        <v>93</v>
      </c>
      <c r="B212" t="s">
        <v>36</v>
      </c>
      <c r="C212" t="s">
        <v>37</v>
      </c>
      <c r="D212" t="s">
        <v>884</v>
      </c>
      <c r="E212" t="s">
        <v>39</v>
      </c>
      <c r="F212" t="s">
        <v>47</v>
      </c>
      <c r="G212" t="s">
        <v>47</v>
      </c>
      <c r="H212" t="s">
        <v>87</v>
      </c>
      <c r="I212" t="s">
        <v>40</v>
      </c>
      <c r="J212" t="s">
        <v>885</v>
      </c>
      <c r="K212" t="s">
        <v>47</v>
      </c>
      <c r="L212" t="s">
        <v>63</v>
      </c>
      <c r="M212" t="s">
        <v>93</v>
      </c>
      <c r="N212" t="s">
        <v>40</v>
      </c>
      <c r="O212" t="s">
        <v>45</v>
      </c>
      <c r="P212" t="s">
        <v>46</v>
      </c>
      <c r="Q212" t="s">
        <v>47</v>
      </c>
      <c r="R212" t="s">
        <v>66</v>
      </c>
      <c r="S212" t="s">
        <v>886</v>
      </c>
      <c r="T212" t="s">
        <v>887</v>
      </c>
      <c r="U212" t="s">
        <v>40</v>
      </c>
      <c r="V212" t="s">
        <v>52</v>
      </c>
      <c r="W212" t="s">
        <v>59</v>
      </c>
      <c r="X212" t="s">
        <v>53</v>
      </c>
      <c r="Y212" t="s">
        <v>45</v>
      </c>
      <c r="Z212" t="s">
        <v>45</v>
      </c>
      <c r="AA212" t="s">
        <v>54</v>
      </c>
      <c r="AB212" t="s">
        <v>55</v>
      </c>
      <c r="AC212" t="s">
        <v>129</v>
      </c>
      <c r="AD212" t="s">
        <v>41</v>
      </c>
      <c r="AE212" t="s">
        <v>41</v>
      </c>
      <c r="AF212" t="s">
        <v>129</v>
      </c>
      <c r="AG212" t="s">
        <v>51</v>
      </c>
      <c r="AH212" t="s">
        <v>91</v>
      </c>
      <c r="AI212" t="s">
        <v>51</v>
      </c>
    </row>
    <row r="213" spans="1:35" x14ac:dyDescent="0.25">
      <c r="A213" t="s">
        <v>105</v>
      </c>
      <c r="B213" t="s">
        <v>59</v>
      </c>
      <c r="C213" t="s">
        <v>161</v>
      </c>
      <c r="D213" t="s">
        <v>888</v>
      </c>
      <c r="E213" t="s">
        <v>62</v>
      </c>
      <c r="F213" t="s">
        <v>40</v>
      </c>
      <c r="G213" t="s">
        <v>40</v>
      </c>
      <c r="H213" t="s">
        <v>42</v>
      </c>
      <c r="I213" t="s">
        <v>40</v>
      </c>
      <c r="J213" t="s">
        <v>889</v>
      </c>
      <c r="K213" t="s">
        <v>45</v>
      </c>
      <c r="L213" t="s">
        <v>63</v>
      </c>
      <c r="M213" t="s">
        <v>356</v>
      </c>
      <c r="N213" t="s">
        <v>41</v>
      </c>
      <c r="O213" t="s">
        <v>45</v>
      </c>
      <c r="P213" t="s">
        <v>116</v>
      </c>
      <c r="Q213" t="s">
        <v>45</v>
      </c>
      <c r="R213" t="s">
        <v>48</v>
      </c>
      <c r="S213" t="s">
        <v>890</v>
      </c>
      <c r="T213" t="s">
        <v>891</v>
      </c>
      <c r="U213" t="s">
        <v>40</v>
      </c>
      <c r="V213" t="s">
        <v>52</v>
      </c>
      <c r="W213" t="s">
        <v>59</v>
      </c>
      <c r="X213" t="s">
        <v>112</v>
      </c>
      <c r="Y213" t="s">
        <v>47</v>
      </c>
      <c r="Z213" t="s">
        <v>45</v>
      </c>
      <c r="AA213" t="s">
        <v>54</v>
      </c>
      <c r="AB213" t="s">
        <v>55</v>
      </c>
      <c r="AC213" t="s">
        <v>92</v>
      </c>
      <c r="AD213" t="s">
        <v>41</v>
      </c>
      <c r="AE213" t="s">
        <v>45</v>
      </c>
      <c r="AF213" t="s">
        <v>53</v>
      </c>
      <c r="AG213" t="s">
        <v>51</v>
      </c>
      <c r="AH213" t="s">
        <v>57</v>
      </c>
      <c r="AI213" t="s">
        <v>51</v>
      </c>
    </row>
    <row r="214" spans="1:35" x14ac:dyDescent="0.25">
      <c r="A214" t="s">
        <v>85</v>
      </c>
      <c r="B214" t="s">
        <v>59</v>
      </c>
      <c r="C214" t="s">
        <v>60</v>
      </c>
      <c r="D214" t="s">
        <v>892</v>
      </c>
      <c r="E214" t="s">
        <v>39</v>
      </c>
      <c r="F214" t="s">
        <v>104</v>
      </c>
      <c r="G214" t="s">
        <v>45</v>
      </c>
      <c r="H214" t="s">
        <v>42</v>
      </c>
      <c r="I214" t="s">
        <v>40</v>
      </c>
      <c r="J214" t="s">
        <v>893</v>
      </c>
      <c r="K214" t="s">
        <v>47</v>
      </c>
      <c r="L214" t="s">
        <v>43</v>
      </c>
      <c r="M214" t="s">
        <v>360</v>
      </c>
      <c r="N214" t="s">
        <v>45</v>
      </c>
      <c r="O214" t="s">
        <v>41</v>
      </c>
      <c r="P214" t="s">
        <v>46</v>
      </c>
      <c r="Q214" t="s">
        <v>45</v>
      </c>
      <c r="R214" t="s">
        <v>48</v>
      </c>
      <c r="S214" t="s">
        <v>894</v>
      </c>
      <c r="T214" t="s">
        <v>895</v>
      </c>
      <c r="U214" t="s">
        <v>40</v>
      </c>
      <c r="V214" t="s">
        <v>52</v>
      </c>
      <c r="W214" t="s">
        <v>59</v>
      </c>
      <c r="X214" t="s">
        <v>129</v>
      </c>
      <c r="Y214" t="s">
        <v>45</v>
      </c>
      <c r="Z214" t="s">
        <v>47</v>
      </c>
      <c r="AA214" t="s">
        <v>54</v>
      </c>
      <c r="AB214" t="s">
        <v>55</v>
      </c>
      <c r="AC214" t="s">
        <v>71</v>
      </c>
      <c r="AD214" t="s">
        <v>41</v>
      </c>
      <c r="AE214" t="s">
        <v>45</v>
      </c>
      <c r="AF214" t="s">
        <v>71</v>
      </c>
      <c r="AG214" t="s">
        <v>71</v>
      </c>
      <c r="AH214" t="s">
        <v>55</v>
      </c>
      <c r="AI214" t="s">
        <v>71</v>
      </c>
    </row>
    <row r="215" spans="1:35" x14ac:dyDescent="0.25">
      <c r="A215" t="s">
        <v>155</v>
      </c>
      <c r="B215" t="s">
        <v>59</v>
      </c>
      <c r="C215" t="s">
        <v>37</v>
      </c>
      <c r="D215" t="s">
        <v>896</v>
      </c>
      <c r="E215" t="s">
        <v>62</v>
      </c>
      <c r="F215" t="s">
        <v>51</v>
      </c>
      <c r="G215" t="s">
        <v>47</v>
      </c>
      <c r="H215" t="s">
        <v>42</v>
      </c>
      <c r="I215" t="s">
        <v>40</v>
      </c>
      <c r="J215" t="s">
        <v>897</v>
      </c>
      <c r="K215" t="s">
        <v>41</v>
      </c>
      <c r="L215" t="s">
        <v>63</v>
      </c>
      <c r="M215" t="s">
        <v>101</v>
      </c>
      <c r="N215" t="s">
        <v>41</v>
      </c>
      <c r="O215" t="s">
        <v>45</v>
      </c>
      <c r="P215" t="s">
        <v>186</v>
      </c>
      <c r="Q215" t="s">
        <v>41</v>
      </c>
      <c r="R215" t="s">
        <v>66</v>
      </c>
      <c r="S215" t="s">
        <v>898</v>
      </c>
      <c r="T215" t="s">
        <v>899</v>
      </c>
      <c r="U215" t="s">
        <v>57</v>
      </c>
      <c r="V215" t="s">
        <v>52</v>
      </c>
      <c r="W215" t="s">
        <v>59</v>
      </c>
      <c r="X215" t="s">
        <v>128</v>
      </c>
      <c r="Y215" t="s">
        <v>45</v>
      </c>
      <c r="Z215" t="s">
        <v>47</v>
      </c>
      <c r="AA215" t="s">
        <v>54</v>
      </c>
      <c r="AB215" t="s">
        <v>41</v>
      </c>
      <c r="AC215" t="s">
        <v>128</v>
      </c>
      <c r="AD215" t="s">
        <v>57</v>
      </c>
      <c r="AE215" t="s">
        <v>40</v>
      </c>
      <c r="AF215" t="s">
        <v>70</v>
      </c>
      <c r="AG215" t="s">
        <v>91</v>
      </c>
      <c r="AH215" t="s">
        <v>47</v>
      </c>
      <c r="AI215" t="s">
        <v>71</v>
      </c>
    </row>
    <row r="216" spans="1:35" x14ac:dyDescent="0.25">
      <c r="A216" t="s">
        <v>105</v>
      </c>
      <c r="B216" t="s">
        <v>36</v>
      </c>
      <c r="C216" t="s">
        <v>37</v>
      </c>
      <c r="D216" t="s">
        <v>94</v>
      </c>
      <c r="E216" t="s">
        <v>62</v>
      </c>
      <c r="F216" t="s">
        <v>45</v>
      </c>
      <c r="G216" t="s">
        <v>45</v>
      </c>
      <c r="H216" t="s">
        <v>228</v>
      </c>
      <c r="I216" t="s">
        <v>40</v>
      </c>
      <c r="J216" t="s">
        <v>900</v>
      </c>
      <c r="K216" t="s">
        <v>47</v>
      </c>
      <c r="L216" t="s">
        <v>43</v>
      </c>
      <c r="M216" t="s">
        <v>356</v>
      </c>
      <c r="N216" t="s">
        <v>45</v>
      </c>
      <c r="O216" t="s">
        <v>40</v>
      </c>
      <c r="P216" t="s">
        <v>65</v>
      </c>
      <c r="Q216" t="s">
        <v>40</v>
      </c>
      <c r="R216" t="s">
        <v>48</v>
      </c>
      <c r="S216" t="s">
        <v>901</v>
      </c>
      <c r="T216" t="s">
        <v>902</v>
      </c>
      <c r="U216" t="s">
        <v>57</v>
      </c>
      <c r="V216" t="s">
        <v>52</v>
      </c>
      <c r="W216" t="s">
        <v>36</v>
      </c>
      <c r="X216" t="s">
        <v>53</v>
      </c>
      <c r="Y216" t="s">
        <v>45</v>
      </c>
      <c r="Z216" t="s">
        <v>45</v>
      </c>
      <c r="AA216" t="s">
        <v>54</v>
      </c>
      <c r="AB216" t="s">
        <v>55</v>
      </c>
      <c r="AC216" t="s">
        <v>51</v>
      </c>
      <c r="AD216" t="s">
        <v>57</v>
      </c>
      <c r="AE216" t="s">
        <v>45</v>
      </c>
      <c r="AF216" t="s">
        <v>57</v>
      </c>
      <c r="AG216" t="s">
        <v>41</v>
      </c>
      <c r="AH216" t="s">
        <v>55</v>
      </c>
      <c r="AI216" t="s">
        <v>47</v>
      </c>
    </row>
    <row r="217" spans="1:35" x14ac:dyDescent="0.25">
      <c r="A217" t="s">
        <v>35</v>
      </c>
      <c r="B217" t="s">
        <v>59</v>
      </c>
      <c r="C217" t="s">
        <v>37</v>
      </c>
      <c r="D217" t="s">
        <v>903</v>
      </c>
      <c r="E217" t="s">
        <v>39</v>
      </c>
      <c r="F217" t="s">
        <v>56</v>
      </c>
      <c r="G217" t="s">
        <v>45</v>
      </c>
      <c r="H217" t="s">
        <v>42</v>
      </c>
      <c r="I217" t="s">
        <v>40</v>
      </c>
      <c r="J217" t="s">
        <v>904</v>
      </c>
      <c r="K217" t="s">
        <v>47</v>
      </c>
      <c r="L217" t="s">
        <v>43</v>
      </c>
      <c r="M217" t="s">
        <v>255</v>
      </c>
      <c r="N217" t="s">
        <v>45</v>
      </c>
      <c r="O217" t="s">
        <v>45</v>
      </c>
      <c r="P217" t="s">
        <v>169</v>
      </c>
      <c r="Q217" t="s">
        <v>47</v>
      </c>
      <c r="R217" t="s">
        <v>48</v>
      </c>
      <c r="S217" t="s">
        <v>905</v>
      </c>
      <c r="T217" t="s">
        <v>906</v>
      </c>
      <c r="U217" t="s">
        <v>45</v>
      </c>
      <c r="V217" t="s">
        <v>52</v>
      </c>
      <c r="W217" t="s">
        <v>36</v>
      </c>
      <c r="X217" t="s">
        <v>145</v>
      </c>
      <c r="Y217" t="s">
        <v>45</v>
      </c>
      <c r="Z217" t="s">
        <v>45</v>
      </c>
      <c r="AA217" t="s">
        <v>54</v>
      </c>
      <c r="AB217" t="s">
        <v>55</v>
      </c>
      <c r="AC217" t="s">
        <v>128</v>
      </c>
      <c r="AD217" t="s">
        <v>45</v>
      </c>
      <c r="AE217" t="s">
        <v>45</v>
      </c>
      <c r="AF217" t="s">
        <v>40</v>
      </c>
      <c r="AG217" t="s">
        <v>55</v>
      </c>
      <c r="AH217" t="s">
        <v>55</v>
      </c>
      <c r="AI217" t="s">
        <v>55</v>
      </c>
    </row>
    <row r="218" spans="1:35" x14ac:dyDescent="0.25">
      <c r="A218" t="s">
        <v>105</v>
      </c>
      <c r="B218" t="s">
        <v>36</v>
      </c>
      <c r="C218" t="s">
        <v>60</v>
      </c>
      <c r="D218" t="s">
        <v>158</v>
      </c>
      <c r="E218" t="s">
        <v>39</v>
      </c>
      <c r="F218" t="s">
        <v>139</v>
      </c>
      <c r="G218" t="s">
        <v>47</v>
      </c>
      <c r="H218" t="s">
        <v>206</v>
      </c>
      <c r="I218" t="s">
        <v>40</v>
      </c>
      <c r="J218" t="s">
        <v>907</v>
      </c>
      <c r="K218" t="s">
        <v>45</v>
      </c>
      <c r="L218" t="s">
        <v>43</v>
      </c>
      <c r="M218" t="s">
        <v>251</v>
      </c>
      <c r="N218" t="s">
        <v>41</v>
      </c>
      <c r="O218" t="s">
        <v>41</v>
      </c>
      <c r="P218" t="s">
        <v>46</v>
      </c>
      <c r="Q218" t="s">
        <v>40</v>
      </c>
      <c r="R218" t="s">
        <v>48</v>
      </c>
      <c r="S218" t="s">
        <v>908</v>
      </c>
      <c r="T218" t="s">
        <v>909</v>
      </c>
      <c r="U218" t="s">
        <v>57</v>
      </c>
      <c r="V218" t="s">
        <v>52</v>
      </c>
      <c r="W218" t="s">
        <v>59</v>
      </c>
      <c r="X218" t="s">
        <v>79</v>
      </c>
      <c r="Y218" t="s">
        <v>45</v>
      </c>
      <c r="Z218" t="s">
        <v>45</v>
      </c>
      <c r="AA218" t="s">
        <v>54</v>
      </c>
      <c r="AB218" t="s">
        <v>55</v>
      </c>
      <c r="AC218" t="s">
        <v>91</v>
      </c>
      <c r="AD218" t="s">
        <v>57</v>
      </c>
      <c r="AE218" t="s">
        <v>41</v>
      </c>
      <c r="AF218" t="s">
        <v>56</v>
      </c>
      <c r="AG218" t="s">
        <v>45</v>
      </c>
      <c r="AH218" t="s">
        <v>55</v>
      </c>
      <c r="AI218" t="s">
        <v>40</v>
      </c>
    </row>
    <row r="219" spans="1:35" x14ac:dyDescent="0.25">
      <c r="A219" t="s">
        <v>133</v>
      </c>
      <c r="B219" t="s">
        <v>36</v>
      </c>
      <c r="C219" t="s">
        <v>37</v>
      </c>
      <c r="D219" t="s">
        <v>910</v>
      </c>
      <c r="E219" t="s">
        <v>62</v>
      </c>
      <c r="F219" t="s">
        <v>40</v>
      </c>
      <c r="G219" t="s">
        <v>45</v>
      </c>
      <c r="H219" t="s">
        <v>228</v>
      </c>
      <c r="I219" t="s">
        <v>40</v>
      </c>
      <c r="J219" t="s">
        <v>911</v>
      </c>
      <c r="K219" t="s">
        <v>45</v>
      </c>
      <c r="L219" t="s">
        <v>63</v>
      </c>
      <c r="M219" t="s">
        <v>348</v>
      </c>
      <c r="N219" t="s">
        <v>45</v>
      </c>
      <c r="O219" t="s">
        <v>40</v>
      </c>
      <c r="P219" t="s">
        <v>65</v>
      </c>
      <c r="Q219" t="s">
        <v>45</v>
      </c>
      <c r="R219" t="s">
        <v>48</v>
      </c>
      <c r="S219" t="s">
        <v>912</v>
      </c>
      <c r="T219" t="s">
        <v>913</v>
      </c>
      <c r="U219" t="s">
        <v>55</v>
      </c>
      <c r="V219" t="s">
        <v>52</v>
      </c>
      <c r="W219" t="s">
        <v>59</v>
      </c>
      <c r="X219" t="s">
        <v>129</v>
      </c>
      <c r="Y219" t="s">
        <v>45</v>
      </c>
      <c r="Z219" t="s">
        <v>47</v>
      </c>
      <c r="AA219" t="s">
        <v>54</v>
      </c>
      <c r="AB219" t="s">
        <v>55</v>
      </c>
      <c r="AC219" t="s">
        <v>71</v>
      </c>
      <c r="AD219" t="s">
        <v>40</v>
      </c>
      <c r="AE219" t="s">
        <v>41</v>
      </c>
      <c r="AF219" t="s">
        <v>56</v>
      </c>
      <c r="AG219" t="s">
        <v>41</v>
      </c>
      <c r="AH219" t="s">
        <v>40</v>
      </c>
      <c r="AI219" t="s">
        <v>57</v>
      </c>
    </row>
    <row r="220" spans="1:35" x14ac:dyDescent="0.25">
      <c r="A220" t="s">
        <v>174</v>
      </c>
      <c r="B220" t="s">
        <v>59</v>
      </c>
      <c r="C220" t="s">
        <v>161</v>
      </c>
      <c r="D220" t="s">
        <v>914</v>
      </c>
      <c r="E220" t="s">
        <v>39</v>
      </c>
      <c r="F220" t="s">
        <v>56</v>
      </c>
      <c r="G220" t="s">
        <v>45</v>
      </c>
      <c r="H220" t="s">
        <v>87</v>
      </c>
      <c r="I220" t="s">
        <v>40</v>
      </c>
      <c r="J220" t="s">
        <v>915</v>
      </c>
      <c r="K220" t="s">
        <v>47</v>
      </c>
      <c r="L220" t="s">
        <v>43</v>
      </c>
      <c r="M220" t="s">
        <v>269</v>
      </c>
      <c r="N220" t="s">
        <v>41</v>
      </c>
      <c r="O220" t="s">
        <v>45</v>
      </c>
      <c r="P220" t="s">
        <v>46</v>
      </c>
      <c r="Q220" t="s">
        <v>47</v>
      </c>
      <c r="R220" t="s">
        <v>48</v>
      </c>
      <c r="S220" t="s">
        <v>916</v>
      </c>
      <c r="T220" t="s">
        <v>917</v>
      </c>
      <c r="U220" t="s">
        <v>56</v>
      </c>
      <c r="V220" t="s">
        <v>52</v>
      </c>
      <c r="W220" t="s">
        <v>59</v>
      </c>
      <c r="X220" t="s">
        <v>92</v>
      </c>
      <c r="Y220" t="s">
        <v>45</v>
      </c>
      <c r="Z220" t="s">
        <v>47</v>
      </c>
      <c r="AA220" t="s">
        <v>54</v>
      </c>
      <c r="AB220" t="s">
        <v>55</v>
      </c>
      <c r="AC220" t="s">
        <v>69</v>
      </c>
      <c r="AD220" t="s">
        <v>41</v>
      </c>
      <c r="AE220" t="s">
        <v>45</v>
      </c>
      <c r="AF220" t="s">
        <v>144</v>
      </c>
      <c r="AG220" t="s">
        <v>71</v>
      </c>
      <c r="AH220" t="s">
        <v>92</v>
      </c>
      <c r="AI220" t="s">
        <v>51</v>
      </c>
    </row>
    <row r="221" spans="1:35" x14ac:dyDescent="0.25">
      <c r="A221" t="s">
        <v>259</v>
      </c>
      <c r="B221" t="s">
        <v>59</v>
      </c>
      <c r="C221" t="s">
        <v>37</v>
      </c>
      <c r="D221" t="s">
        <v>918</v>
      </c>
      <c r="E221" t="s">
        <v>39</v>
      </c>
      <c r="F221" t="s">
        <v>45</v>
      </c>
      <c r="G221" t="s">
        <v>45</v>
      </c>
      <c r="H221" t="s">
        <v>206</v>
      </c>
      <c r="I221" t="s">
        <v>40</v>
      </c>
      <c r="J221" t="s">
        <v>702</v>
      </c>
      <c r="K221" t="s">
        <v>47</v>
      </c>
      <c r="L221" t="s">
        <v>43</v>
      </c>
      <c r="M221" t="s">
        <v>251</v>
      </c>
      <c r="N221" t="s">
        <v>45</v>
      </c>
      <c r="O221" t="s">
        <v>41</v>
      </c>
      <c r="P221" t="s">
        <v>46</v>
      </c>
      <c r="Q221" t="s">
        <v>40</v>
      </c>
      <c r="R221" t="s">
        <v>66</v>
      </c>
      <c r="S221" t="s">
        <v>919</v>
      </c>
      <c r="T221" t="s">
        <v>920</v>
      </c>
      <c r="U221" t="s">
        <v>41</v>
      </c>
      <c r="V221" t="s">
        <v>52</v>
      </c>
      <c r="W221" t="s">
        <v>59</v>
      </c>
      <c r="X221" t="s">
        <v>129</v>
      </c>
      <c r="Y221" t="s">
        <v>45</v>
      </c>
      <c r="Z221" t="s">
        <v>47</v>
      </c>
      <c r="AA221" t="s">
        <v>54</v>
      </c>
      <c r="AB221" t="s">
        <v>40</v>
      </c>
      <c r="AC221" t="s">
        <v>128</v>
      </c>
      <c r="AD221" t="s">
        <v>47</v>
      </c>
      <c r="AE221" t="s">
        <v>45</v>
      </c>
      <c r="AF221" t="s">
        <v>56</v>
      </c>
      <c r="AG221" t="s">
        <v>41</v>
      </c>
      <c r="AH221" t="s">
        <v>55</v>
      </c>
      <c r="AI221" t="s">
        <v>57</v>
      </c>
    </row>
    <row r="222" spans="1:35" x14ac:dyDescent="0.25">
      <c r="A222" t="s">
        <v>120</v>
      </c>
      <c r="B222" t="s">
        <v>59</v>
      </c>
      <c r="C222" t="s">
        <v>37</v>
      </c>
      <c r="D222" t="s">
        <v>921</v>
      </c>
      <c r="E222" t="s">
        <v>62</v>
      </c>
      <c r="F222" t="s">
        <v>57</v>
      </c>
      <c r="G222" t="s">
        <v>41</v>
      </c>
      <c r="H222" t="s">
        <v>42</v>
      </c>
      <c r="I222" t="s">
        <v>40</v>
      </c>
      <c r="J222" t="s">
        <v>922</v>
      </c>
      <c r="K222" t="s">
        <v>47</v>
      </c>
      <c r="L222" t="s">
        <v>63</v>
      </c>
      <c r="M222" t="s">
        <v>283</v>
      </c>
      <c r="N222" t="s">
        <v>45</v>
      </c>
      <c r="O222" t="s">
        <v>41</v>
      </c>
      <c r="P222" t="s">
        <v>76</v>
      </c>
      <c r="Q222" t="s">
        <v>41</v>
      </c>
      <c r="R222" t="s">
        <v>48</v>
      </c>
      <c r="S222" t="s">
        <v>923</v>
      </c>
      <c r="T222" t="s">
        <v>924</v>
      </c>
      <c r="U222" t="s">
        <v>51</v>
      </c>
      <c r="V222" t="s">
        <v>52</v>
      </c>
      <c r="W222" t="s">
        <v>59</v>
      </c>
      <c r="X222" t="s">
        <v>128</v>
      </c>
      <c r="Y222" t="s">
        <v>45</v>
      </c>
      <c r="Z222" t="s">
        <v>47</v>
      </c>
      <c r="AA222" t="s">
        <v>54</v>
      </c>
      <c r="AB222" t="s">
        <v>55</v>
      </c>
      <c r="AC222" t="s">
        <v>128</v>
      </c>
      <c r="AD222" t="s">
        <v>45</v>
      </c>
      <c r="AE222" t="s">
        <v>47</v>
      </c>
      <c r="AF222" t="s">
        <v>98</v>
      </c>
      <c r="AG222" t="s">
        <v>53</v>
      </c>
      <c r="AH222" t="s">
        <v>45</v>
      </c>
      <c r="AI222" t="s">
        <v>71</v>
      </c>
    </row>
    <row r="223" spans="1:35" x14ac:dyDescent="0.25">
      <c r="A223" t="s">
        <v>80</v>
      </c>
      <c r="B223" t="s">
        <v>59</v>
      </c>
      <c r="C223" t="s">
        <v>37</v>
      </c>
      <c r="D223" t="s">
        <v>520</v>
      </c>
      <c r="E223" t="s">
        <v>62</v>
      </c>
      <c r="F223" t="s">
        <v>47</v>
      </c>
      <c r="G223" t="s">
        <v>47</v>
      </c>
      <c r="H223" t="s">
        <v>87</v>
      </c>
      <c r="I223" t="s">
        <v>40</v>
      </c>
      <c r="J223" t="s">
        <v>925</v>
      </c>
      <c r="K223" t="s">
        <v>45</v>
      </c>
      <c r="L223" t="s">
        <v>43</v>
      </c>
      <c r="M223" t="s">
        <v>239</v>
      </c>
      <c r="N223" t="s">
        <v>41</v>
      </c>
      <c r="O223" t="s">
        <v>40</v>
      </c>
      <c r="P223" t="s">
        <v>65</v>
      </c>
      <c r="Q223" t="s">
        <v>41</v>
      </c>
      <c r="R223" t="s">
        <v>66</v>
      </c>
      <c r="S223" t="s">
        <v>926</v>
      </c>
      <c r="T223" t="s">
        <v>927</v>
      </c>
      <c r="U223" t="s">
        <v>56</v>
      </c>
      <c r="V223" t="s">
        <v>52</v>
      </c>
      <c r="W223" t="s">
        <v>59</v>
      </c>
      <c r="X223" t="s">
        <v>119</v>
      </c>
      <c r="Y223" t="s">
        <v>47</v>
      </c>
      <c r="Z223" t="s">
        <v>47</v>
      </c>
      <c r="AA223" t="s">
        <v>54</v>
      </c>
      <c r="AB223" t="s">
        <v>55</v>
      </c>
      <c r="AC223" t="s">
        <v>71</v>
      </c>
      <c r="AD223" t="s">
        <v>45</v>
      </c>
      <c r="AE223" t="s">
        <v>45</v>
      </c>
      <c r="AF223" t="s">
        <v>45</v>
      </c>
      <c r="AG223" t="s">
        <v>41</v>
      </c>
      <c r="AH223" t="s">
        <v>40</v>
      </c>
      <c r="AI223" t="s">
        <v>40</v>
      </c>
    </row>
    <row r="224" spans="1:35" x14ac:dyDescent="0.25">
      <c r="A224" t="s">
        <v>72</v>
      </c>
      <c r="B224" t="s">
        <v>59</v>
      </c>
      <c r="C224" t="s">
        <v>60</v>
      </c>
      <c r="D224" t="s">
        <v>928</v>
      </c>
      <c r="E224" t="s">
        <v>62</v>
      </c>
      <c r="F224" t="s">
        <v>53</v>
      </c>
      <c r="G224" t="s">
        <v>45</v>
      </c>
      <c r="H224" t="s">
        <v>74</v>
      </c>
      <c r="I224" t="s">
        <v>40</v>
      </c>
      <c r="J224" t="s">
        <v>929</v>
      </c>
      <c r="K224" t="s">
        <v>41</v>
      </c>
      <c r="L224" t="s">
        <v>63</v>
      </c>
      <c r="M224" t="s">
        <v>239</v>
      </c>
      <c r="N224" t="s">
        <v>45</v>
      </c>
      <c r="O224" t="s">
        <v>45</v>
      </c>
      <c r="P224" t="s">
        <v>186</v>
      </c>
      <c r="Q224" t="s">
        <v>47</v>
      </c>
      <c r="R224" t="s">
        <v>109</v>
      </c>
      <c r="S224" t="s">
        <v>930</v>
      </c>
      <c r="T224" t="s">
        <v>931</v>
      </c>
      <c r="U224" t="s">
        <v>40</v>
      </c>
      <c r="V224" t="s">
        <v>52</v>
      </c>
      <c r="W224" t="s">
        <v>36</v>
      </c>
      <c r="X224" t="s">
        <v>129</v>
      </c>
      <c r="Y224" t="s">
        <v>45</v>
      </c>
      <c r="Z224" t="s">
        <v>45</v>
      </c>
      <c r="AA224" t="s">
        <v>54</v>
      </c>
      <c r="AB224" t="s">
        <v>45</v>
      </c>
      <c r="AC224" t="s">
        <v>70</v>
      </c>
      <c r="AD224" t="s">
        <v>40</v>
      </c>
      <c r="AE224" t="s">
        <v>45</v>
      </c>
      <c r="AF224" t="s">
        <v>70</v>
      </c>
      <c r="AG224" t="s">
        <v>51</v>
      </c>
      <c r="AH224" t="s">
        <v>55</v>
      </c>
      <c r="AI224" t="s">
        <v>71</v>
      </c>
    </row>
    <row r="225" spans="1:35" x14ac:dyDescent="0.25">
      <c r="A225" t="s">
        <v>113</v>
      </c>
      <c r="B225" t="s">
        <v>59</v>
      </c>
      <c r="C225" t="s">
        <v>37</v>
      </c>
      <c r="D225" t="s">
        <v>440</v>
      </c>
      <c r="E225" t="s">
        <v>39</v>
      </c>
      <c r="F225" t="s">
        <v>45</v>
      </c>
      <c r="G225" t="s">
        <v>45</v>
      </c>
      <c r="H225" t="s">
        <v>42</v>
      </c>
      <c r="I225" t="s">
        <v>40</v>
      </c>
      <c r="J225" t="s">
        <v>932</v>
      </c>
      <c r="K225" t="s">
        <v>40</v>
      </c>
      <c r="L225" t="s">
        <v>63</v>
      </c>
      <c r="M225" t="s">
        <v>322</v>
      </c>
      <c r="N225" t="s">
        <v>45</v>
      </c>
      <c r="O225" t="s">
        <v>45</v>
      </c>
      <c r="P225" t="s">
        <v>46</v>
      </c>
      <c r="Q225" t="s">
        <v>45</v>
      </c>
      <c r="R225" t="s">
        <v>109</v>
      </c>
      <c r="S225" t="s">
        <v>933</v>
      </c>
      <c r="T225" t="s">
        <v>934</v>
      </c>
      <c r="U225" t="s">
        <v>55</v>
      </c>
      <c r="V225" t="s">
        <v>52</v>
      </c>
      <c r="W225" t="s">
        <v>59</v>
      </c>
      <c r="X225" t="s">
        <v>92</v>
      </c>
      <c r="Y225" t="s">
        <v>45</v>
      </c>
      <c r="Z225" t="s">
        <v>45</v>
      </c>
      <c r="AA225" t="s">
        <v>54</v>
      </c>
      <c r="AB225" t="s">
        <v>41</v>
      </c>
      <c r="AC225" t="s">
        <v>125</v>
      </c>
      <c r="AD225" t="s">
        <v>56</v>
      </c>
      <c r="AE225" t="s">
        <v>41</v>
      </c>
      <c r="AF225" t="s">
        <v>128</v>
      </c>
      <c r="AG225" t="s">
        <v>70</v>
      </c>
      <c r="AH225" t="s">
        <v>57</v>
      </c>
      <c r="AI225" t="s">
        <v>98</v>
      </c>
    </row>
    <row r="226" spans="1:35" x14ac:dyDescent="0.25">
      <c r="A226" t="s">
        <v>137</v>
      </c>
      <c r="B226" t="s">
        <v>59</v>
      </c>
      <c r="C226" t="s">
        <v>161</v>
      </c>
      <c r="D226" t="s">
        <v>935</v>
      </c>
      <c r="E226" t="s">
        <v>62</v>
      </c>
      <c r="F226" t="s">
        <v>40</v>
      </c>
      <c r="G226" t="s">
        <v>47</v>
      </c>
      <c r="H226" t="s">
        <v>87</v>
      </c>
      <c r="I226" t="s">
        <v>40</v>
      </c>
      <c r="J226" t="s">
        <v>936</v>
      </c>
      <c r="K226" t="s">
        <v>45</v>
      </c>
      <c r="L226" t="s">
        <v>63</v>
      </c>
      <c r="M226" t="s">
        <v>360</v>
      </c>
      <c r="N226" t="s">
        <v>40</v>
      </c>
      <c r="O226" t="s">
        <v>41</v>
      </c>
      <c r="P226" t="s">
        <v>116</v>
      </c>
      <c r="Q226" t="s">
        <v>45</v>
      </c>
      <c r="R226" t="s">
        <v>66</v>
      </c>
      <c r="S226" t="s">
        <v>937</v>
      </c>
      <c r="T226" t="s">
        <v>938</v>
      </c>
      <c r="U226" t="s">
        <v>55</v>
      </c>
      <c r="V226" t="s">
        <v>52</v>
      </c>
      <c r="W226" t="s">
        <v>59</v>
      </c>
      <c r="X226" t="s">
        <v>92</v>
      </c>
      <c r="Y226" t="s">
        <v>45</v>
      </c>
      <c r="Z226" t="s">
        <v>47</v>
      </c>
      <c r="AA226" t="s">
        <v>54</v>
      </c>
      <c r="AB226" t="s">
        <v>40</v>
      </c>
      <c r="AC226" t="s">
        <v>56</v>
      </c>
      <c r="AD226" t="s">
        <v>41</v>
      </c>
      <c r="AE226" t="s">
        <v>45</v>
      </c>
      <c r="AF226" t="s">
        <v>57</v>
      </c>
      <c r="AG226" t="s">
        <v>47</v>
      </c>
      <c r="AH226" t="s">
        <v>40</v>
      </c>
      <c r="AI226" t="s">
        <v>47</v>
      </c>
    </row>
    <row r="227" spans="1:35" x14ac:dyDescent="0.25">
      <c r="A227" t="s">
        <v>99</v>
      </c>
      <c r="B227" t="s">
        <v>59</v>
      </c>
      <c r="C227" t="s">
        <v>37</v>
      </c>
      <c r="D227" t="s">
        <v>504</v>
      </c>
      <c r="E227" t="s">
        <v>62</v>
      </c>
      <c r="F227" t="s">
        <v>45</v>
      </c>
      <c r="G227" t="s">
        <v>45</v>
      </c>
      <c r="H227" t="s">
        <v>42</v>
      </c>
      <c r="I227" t="s">
        <v>40</v>
      </c>
      <c r="J227" t="s">
        <v>939</v>
      </c>
      <c r="K227" t="s">
        <v>45</v>
      </c>
      <c r="L227" t="s">
        <v>63</v>
      </c>
      <c r="M227" t="s">
        <v>304</v>
      </c>
      <c r="N227" t="s">
        <v>41</v>
      </c>
      <c r="O227" t="s">
        <v>40</v>
      </c>
      <c r="P227" t="s">
        <v>65</v>
      </c>
      <c r="Q227" t="s">
        <v>47</v>
      </c>
      <c r="R227" t="s">
        <v>66</v>
      </c>
      <c r="S227" t="s">
        <v>940</v>
      </c>
      <c r="T227" t="s">
        <v>941</v>
      </c>
      <c r="U227" t="s">
        <v>45</v>
      </c>
      <c r="V227" t="s">
        <v>52</v>
      </c>
      <c r="W227" t="s">
        <v>59</v>
      </c>
      <c r="X227" t="s">
        <v>125</v>
      </c>
      <c r="Y227" t="s">
        <v>45</v>
      </c>
      <c r="Z227" t="s">
        <v>40</v>
      </c>
      <c r="AA227" t="s">
        <v>54</v>
      </c>
      <c r="AB227" t="s">
        <v>40</v>
      </c>
      <c r="AC227" t="s">
        <v>71</v>
      </c>
      <c r="AD227" t="s">
        <v>56</v>
      </c>
      <c r="AE227" t="s">
        <v>45</v>
      </c>
      <c r="AF227" t="s">
        <v>40</v>
      </c>
      <c r="AG227" t="s">
        <v>55</v>
      </c>
      <c r="AH227" t="s">
        <v>55</v>
      </c>
      <c r="AI227" t="s">
        <v>55</v>
      </c>
    </row>
    <row r="228" spans="1:35" x14ac:dyDescent="0.25">
      <c r="A228" t="s">
        <v>72</v>
      </c>
      <c r="B228" t="s">
        <v>59</v>
      </c>
      <c r="C228" t="s">
        <v>60</v>
      </c>
      <c r="D228" t="s">
        <v>942</v>
      </c>
      <c r="E228" t="s">
        <v>39</v>
      </c>
      <c r="F228" t="s">
        <v>47</v>
      </c>
      <c r="G228" t="s">
        <v>47</v>
      </c>
      <c r="H228" t="s">
        <v>206</v>
      </c>
      <c r="I228" t="s">
        <v>40</v>
      </c>
      <c r="J228" t="s">
        <v>943</v>
      </c>
      <c r="K228" t="s">
        <v>40</v>
      </c>
      <c r="L228" t="s">
        <v>63</v>
      </c>
      <c r="M228" t="s">
        <v>35</v>
      </c>
      <c r="N228" t="s">
        <v>45</v>
      </c>
      <c r="O228" t="s">
        <v>40</v>
      </c>
      <c r="P228" t="s">
        <v>182</v>
      </c>
      <c r="Q228" t="s">
        <v>47</v>
      </c>
      <c r="R228" t="s">
        <v>109</v>
      </c>
      <c r="S228" t="s">
        <v>944</v>
      </c>
      <c r="T228" t="s">
        <v>945</v>
      </c>
      <c r="U228" t="s">
        <v>47</v>
      </c>
      <c r="V228" t="s">
        <v>52</v>
      </c>
      <c r="W228" t="s">
        <v>59</v>
      </c>
      <c r="X228" t="s">
        <v>125</v>
      </c>
      <c r="Y228" t="s">
        <v>45</v>
      </c>
      <c r="Z228" t="s">
        <v>45</v>
      </c>
      <c r="AA228" t="s">
        <v>54</v>
      </c>
      <c r="AB228" t="s">
        <v>40</v>
      </c>
      <c r="AC228" t="s">
        <v>98</v>
      </c>
      <c r="AD228" t="s">
        <v>41</v>
      </c>
      <c r="AE228" t="s">
        <v>45</v>
      </c>
      <c r="AF228" t="s">
        <v>91</v>
      </c>
      <c r="AG228" t="s">
        <v>51</v>
      </c>
      <c r="AH228" t="s">
        <v>57</v>
      </c>
      <c r="AI228" t="s">
        <v>51</v>
      </c>
    </row>
    <row r="229" spans="1:35" x14ac:dyDescent="0.25">
      <c r="A229" t="s">
        <v>133</v>
      </c>
      <c r="B229" t="s">
        <v>59</v>
      </c>
      <c r="C229" t="s">
        <v>60</v>
      </c>
      <c r="D229" t="s">
        <v>946</v>
      </c>
      <c r="E229" t="s">
        <v>39</v>
      </c>
      <c r="F229" t="s">
        <v>40</v>
      </c>
      <c r="G229" t="s">
        <v>40</v>
      </c>
      <c r="H229" t="s">
        <v>87</v>
      </c>
      <c r="I229" t="s">
        <v>40</v>
      </c>
      <c r="J229" t="s">
        <v>947</v>
      </c>
      <c r="K229" t="s">
        <v>41</v>
      </c>
      <c r="L229" t="s">
        <v>43</v>
      </c>
      <c r="M229" t="s">
        <v>204</v>
      </c>
      <c r="N229" t="s">
        <v>45</v>
      </c>
      <c r="O229" t="s">
        <v>45</v>
      </c>
      <c r="P229" t="s">
        <v>46</v>
      </c>
      <c r="Q229" t="s">
        <v>47</v>
      </c>
      <c r="R229" t="s">
        <v>66</v>
      </c>
      <c r="S229" t="s">
        <v>948</v>
      </c>
      <c r="T229" t="s">
        <v>949</v>
      </c>
      <c r="U229" t="s">
        <v>40</v>
      </c>
      <c r="V229" t="s">
        <v>52</v>
      </c>
      <c r="W229" t="s">
        <v>59</v>
      </c>
      <c r="X229" t="s">
        <v>129</v>
      </c>
      <c r="Y229" t="s">
        <v>45</v>
      </c>
      <c r="Z229" t="s">
        <v>47</v>
      </c>
      <c r="AA229" t="s">
        <v>54</v>
      </c>
      <c r="AB229" t="s">
        <v>40</v>
      </c>
      <c r="AC229" t="s">
        <v>53</v>
      </c>
      <c r="AD229" t="s">
        <v>57</v>
      </c>
      <c r="AE229" t="s">
        <v>45</v>
      </c>
      <c r="AF229" t="s">
        <v>53</v>
      </c>
      <c r="AG229" t="s">
        <v>70</v>
      </c>
      <c r="AH229" t="s">
        <v>47</v>
      </c>
      <c r="AI229" t="s">
        <v>40</v>
      </c>
    </row>
    <row r="230" spans="1:35" x14ac:dyDescent="0.25">
      <c r="A230" t="s">
        <v>126</v>
      </c>
      <c r="B230" t="s">
        <v>59</v>
      </c>
      <c r="C230" t="s">
        <v>60</v>
      </c>
      <c r="D230" t="s">
        <v>950</v>
      </c>
      <c r="E230" t="s">
        <v>39</v>
      </c>
      <c r="F230" t="s">
        <v>40</v>
      </c>
      <c r="G230" t="s">
        <v>45</v>
      </c>
      <c r="H230" t="s">
        <v>206</v>
      </c>
      <c r="I230" t="s">
        <v>40</v>
      </c>
      <c r="J230" t="s">
        <v>951</v>
      </c>
      <c r="K230" t="s">
        <v>45</v>
      </c>
      <c r="L230" t="s">
        <v>43</v>
      </c>
      <c r="M230" t="s">
        <v>75</v>
      </c>
      <c r="N230" t="s">
        <v>45</v>
      </c>
      <c r="O230" t="s">
        <v>45</v>
      </c>
      <c r="P230" t="s">
        <v>46</v>
      </c>
      <c r="Q230" t="s">
        <v>45</v>
      </c>
      <c r="R230" t="s">
        <v>48</v>
      </c>
      <c r="S230" t="s">
        <v>952</v>
      </c>
      <c r="T230" t="s">
        <v>953</v>
      </c>
      <c r="U230" t="s">
        <v>40</v>
      </c>
      <c r="V230" t="s">
        <v>52</v>
      </c>
      <c r="W230" t="s">
        <v>59</v>
      </c>
      <c r="X230" t="s">
        <v>129</v>
      </c>
      <c r="Y230" t="s">
        <v>45</v>
      </c>
      <c r="Z230" t="s">
        <v>40</v>
      </c>
      <c r="AA230" t="s">
        <v>54</v>
      </c>
      <c r="AB230" t="s">
        <v>55</v>
      </c>
      <c r="AC230" t="s">
        <v>70</v>
      </c>
      <c r="AD230" t="s">
        <v>45</v>
      </c>
      <c r="AE230" t="s">
        <v>47</v>
      </c>
      <c r="AF230" t="s">
        <v>70</v>
      </c>
      <c r="AG230" t="s">
        <v>71</v>
      </c>
      <c r="AH230" t="s">
        <v>55</v>
      </c>
      <c r="AI230" t="s">
        <v>51</v>
      </c>
    </row>
    <row r="231" spans="1:35" x14ac:dyDescent="0.25">
      <c r="A231" t="s">
        <v>133</v>
      </c>
      <c r="B231" t="s">
        <v>36</v>
      </c>
      <c r="C231" t="s">
        <v>37</v>
      </c>
      <c r="D231" t="s">
        <v>903</v>
      </c>
      <c r="E231" t="s">
        <v>62</v>
      </c>
      <c r="F231" t="s">
        <v>145</v>
      </c>
      <c r="G231" t="s">
        <v>40</v>
      </c>
      <c r="H231" t="s">
        <v>87</v>
      </c>
      <c r="I231" t="s">
        <v>40</v>
      </c>
      <c r="J231" t="s">
        <v>954</v>
      </c>
      <c r="K231" t="s">
        <v>45</v>
      </c>
      <c r="L231" t="s">
        <v>63</v>
      </c>
      <c r="M231" t="s">
        <v>240</v>
      </c>
      <c r="N231" t="s">
        <v>41</v>
      </c>
      <c r="O231" t="s">
        <v>40</v>
      </c>
      <c r="P231" t="s">
        <v>65</v>
      </c>
      <c r="Q231" t="s">
        <v>47</v>
      </c>
      <c r="R231" t="s">
        <v>48</v>
      </c>
      <c r="S231" t="s">
        <v>955</v>
      </c>
      <c r="T231" t="s">
        <v>956</v>
      </c>
      <c r="U231" t="s">
        <v>40</v>
      </c>
      <c r="V231" t="s">
        <v>52</v>
      </c>
      <c r="W231" t="s">
        <v>36</v>
      </c>
      <c r="X231" t="s">
        <v>98</v>
      </c>
      <c r="Y231" t="s">
        <v>45</v>
      </c>
      <c r="Z231" t="s">
        <v>45</v>
      </c>
      <c r="AA231" t="s">
        <v>54</v>
      </c>
      <c r="AB231" t="s">
        <v>55</v>
      </c>
      <c r="AC231" t="s">
        <v>47</v>
      </c>
      <c r="AD231" t="s">
        <v>45</v>
      </c>
      <c r="AE231" t="s">
        <v>41</v>
      </c>
      <c r="AF231" t="s">
        <v>47</v>
      </c>
      <c r="AG231" t="s">
        <v>45</v>
      </c>
      <c r="AH231" t="s">
        <v>55</v>
      </c>
      <c r="AI231" t="s">
        <v>40</v>
      </c>
    </row>
    <row r="232" spans="1:35" x14ac:dyDescent="0.25">
      <c r="A232" t="s">
        <v>251</v>
      </c>
      <c r="B232" t="s">
        <v>59</v>
      </c>
      <c r="C232" t="s">
        <v>37</v>
      </c>
      <c r="D232" t="s">
        <v>957</v>
      </c>
      <c r="E232" t="s">
        <v>62</v>
      </c>
      <c r="F232" t="s">
        <v>41</v>
      </c>
      <c r="G232" t="s">
        <v>45</v>
      </c>
      <c r="H232" t="s">
        <v>42</v>
      </c>
      <c r="I232" t="s">
        <v>40</v>
      </c>
      <c r="J232" t="s">
        <v>958</v>
      </c>
      <c r="K232" t="s">
        <v>45</v>
      </c>
      <c r="L232" t="s">
        <v>43</v>
      </c>
      <c r="M232" t="s">
        <v>959</v>
      </c>
      <c r="N232" t="s">
        <v>41</v>
      </c>
      <c r="O232" t="s">
        <v>40</v>
      </c>
      <c r="P232" t="s">
        <v>76</v>
      </c>
      <c r="Q232" t="s">
        <v>47</v>
      </c>
      <c r="R232" t="s">
        <v>48</v>
      </c>
      <c r="S232" t="s">
        <v>960</v>
      </c>
      <c r="T232" t="s">
        <v>961</v>
      </c>
      <c r="U232" t="s">
        <v>71</v>
      </c>
      <c r="V232" t="s">
        <v>52</v>
      </c>
      <c r="W232" t="s">
        <v>59</v>
      </c>
      <c r="X232" t="s">
        <v>79</v>
      </c>
      <c r="Y232" t="s">
        <v>45</v>
      </c>
      <c r="Z232" t="s">
        <v>41</v>
      </c>
      <c r="AA232" t="s">
        <v>54</v>
      </c>
      <c r="AB232" t="s">
        <v>55</v>
      </c>
      <c r="AC232" t="s">
        <v>56</v>
      </c>
      <c r="AD232" t="s">
        <v>45</v>
      </c>
      <c r="AE232" t="s">
        <v>41</v>
      </c>
      <c r="AF232" t="s">
        <v>41</v>
      </c>
      <c r="AG232" t="s">
        <v>41</v>
      </c>
      <c r="AH232" t="s">
        <v>41</v>
      </c>
      <c r="AI232" t="s">
        <v>41</v>
      </c>
    </row>
    <row r="233" spans="1:35" x14ac:dyDescent="0.25">
      <c r="A233" t="s">
        <v>204</v>
      </c>
      <c r="B233" t="s">
        <v>59</v>
      </c>
      <c r="C233" t="s">
        <v>37</v>
      </c>
      <c r="D233" t="s">
        <v>962</v>
      </c>
      <c r="E233" t="s">
        <v>62</v>
      </c>
      <c r="F233" t="s">
        <v>47</v>
      </c>
      <c r="G233" t="s">
        <v>41</v>
      </c>
      <c r="H233" t="s">
        <v>228</v>
      </c>
      <c r="I233" t="s">
        <v>40</v>
      </c>
      <c r="J233" t="s">
        <v>942</v>
      </c>
      <c r="K233" t="s">
        <v>45</v>
      </c>
      <c r="L233" t="s">
        <v>63</v>
      </c>
      <c r="M233" t="s">
        <v>197</v>
      </c>
      <c r="N233" t="s">
        <v>45</v>
      </c>
      <c r="O233" t="s">
        <v>57</v>
      </c>
      <c r="P233" t="s">
        <v>169</v>
      </c>
      <c r="Q233" t="s">
        <v>47</v>
      </c>
      <c r="R233" t="s">
        <v>66</v>
      </c>
      <c r="S233" t="s">
        <v>963</v>
      </c>
      <c r="T233" t="s">
        <v>964</v>
      </c>
      <c r="U233" t="s">
        <v>40</v>
      </c>
      <c r="V233" t="s">
        <v>52</v>
      </c>
      <c r="W233" t="s">
        <v>59</v>
      </c>
      <c r="X233" t="s">
        <v>53</v>
      </c>
      <c r="Y233" t="s">
        <v>45</v>
      </c>
      <c r="Z233" t="s">
        <v>47</v>
      </c>
      <c r="AA233" t="s">
        <v>54</v>
      </c>
      <c r="AB233" t="s">
        <v>55</v>
      </c>
      <c r="AC233" t="s">
        <v>112</v>
      </c>
      <c r="AD233" t="s">
        <v>45</v>
      </c>
      <c r="AE233" t="s">
        <v>45</v>
      </c>
      <c r="AF233" t="s">
        <v>112</v>
      </c>
      <c r="AG233" t="s">
        <v>125</v>
      </c>
      <c r="AH233" t="s">
        <v>53</v>
      </c>
      <c r="AI233" t="s">
        <v>79</v>
      </c>
    </row>
    <row r="234" spans="1:35" x14ac:dyDescent="0.25">
      <c r="A234" t="s">
        <v>99</v>
      </c>
      <c r="B234" t="s">
        <v>59</v>
      </c>
      <c r="C234" t="s">
        <v>37</v>
      </c>
      <c r="D234" t="s">
        <v>965</v>
      </c>
      <c r="E234" t="s">
        <v>397</v>
      </c>
      <c r="F234" t="s">
        <v>56</v>
      </c>
      <c r="G234" t="s">
        <v>41</v>
      </c>
      <c r="H234" t="s">
        <v>87</v>
      </c>
      <c r="I234" t="s">
        <v>40</v>
      </c>
      <c r="J234" t="s">
        <v>966</v>
      </c>
      <c r="K234" t="s">
        <v>41</v>
      </c>
      <c r="L234" t="s">
        <v>63</v>
      </c>
      <c r="M234" t="s">
        <v>251</v>
      </c>
      <c r="N234" t="s">
        <v>45</v>
      </c>
      <c r="O234" t="s">
        <v>40</v>
      </c>
      <c r="P234" t="s">
        <v>397</v>
      </c>
      <c r="Q234" t="s">
        <v>45</v>
      </c>
      <c r="R234" t="s">
        <v>66</v>
      </c>
      <c r="S234" t="s">
        <v>967</v>
      </c>
      <c r="T234" t="s">
        <v>968</v>
      </c>
      <c r="U234" t="s">
        <v>51</v>
      </c>
      <c r="V234" t="s">
        <v>52</v>
      </c>
      <c r="W234" t="s">
        <v>59</v>
      </c>
      <c r="X234" t="s">
        <v>125</v>
      </c>
      <c r="Y234" t="s">
        <v>45</v>
      </c>
      <c r="Z234" t="s">
        <v>47</v>
      </c>
      <c r="AA234" t="s">
        <v>54</v>
      </c>
      <c r="AB234" t="s">
        <v>55</v>
      </c>
      <c r="AC234" t="s">
        <v>71</v>
      </c>
      <c r="AD234" t="s">
        <v>41</v>
      </c>
      <c r="AE234" t="s">
        <v>41</v>
      </c>
      <c r="AF234" t="s">
        <v>41</v>
      </c>
      <c r="AG234" t="s">
        <v>41</v>
      </c>
      <c r="AH234" t="s">
        <v>41</v>
      </c>
      <c r="AI234" t="s">
        <v>41</v>
      </c>
    </row>
    <row r="235" spans="1:35" x14ac:dyDescent="0.25">
      <c r="A235" t="s">
        <v>151</v>
      </c>
      <c r="B235" t="s">
        <v>59</v>
      </c>
      <c r="C235" t="s">
        <v>37</v>
      </c>
      <c r="D235" t="s">
        <v>969</v>
      </c>
      <c r="E235" t="s">
        <v>39</v>
      </c>
      <c r="F235" t="s">
        <v>40</v>
      </c>
      <c r="G235" t="s">
        <v>47</v>
      </c>
      <c r="H235" t="s">
        <v>87</v>
      </c>
      <c r="I235" t="s">
        <v>40</v>
      </c>
      <c r="J235" t="s">
        <v>970</v>
      </c>
      <c r="K235" t="s">
        <v>47</v>
      </c>
      <c r="L235" t="s">
        <v>43</v>
      </c>
      <c r="M235" t="s">
        <v>300</v>
      </c>
      <c r="N235" t="s">
        <v>45</v>
      </c>
      <c r="O235" t="s">
        <v>57</v>
      </c>
      <c r="P235" t="s">
        <v>169</v>
      </c>
      <c r="Q235" t="s">
        <v>47</v>
      </c>
      <c r="R235" t="s">
        <v>109</v>
      </c>
      <c r="S235" t="s">
        <v>971</v>
      </c>
      <c r="T235" t="s">
        <v>972</v>
      </c>
      <c r="U235" t="s">
        <v>45</v>
      </c>
      <c r="V235" t="s">
        <v>52</v>
      </c>
      <c r="W235" t="s">
        <v>59</v>
      </c>
      <c r="X235" t="s">
        <v>53</v>
      </c>
      <c r="Y235" t="s">
        <v>45</v>
      </c>
      <c r="Z235" t="s">
        <v>45</v>
      </c>
      <c r="AA235" t="s">
        <v>54</v>
      </c>
      <c r="AB235" t="s">
        <v>40</v>
      </c>
      <c r="AC235" t="s">
        <v>93</v>
      </c>
      <c r="AD235" t="s">
        <v>45</v>
      </c>
      <c r="AE235" t="s">
        <v>41</v>
      </c>
      <c r="AF235" t="s">
        <v>71</v>
      </c>
      <c r="AG235" t="s">
        <v>55</v>
      </c>
      <c r="AH235" t="s">
        <v>55</v>
      </c>
      <c r="AI235" t="s">
        <v>56</v>
      </c>
    </row>
    <row r="236" spans="1:35" x14ac:dyDescent="0.25">
      <c r="A236" t="s">
        <v>80</v>
      </c>
      <c r="B236" t="s">
        <v>36</v>
      </c>
      <c r="C236" t="s">
        <v>37</v>
      </c>
      <c r="D236" t="s">
        <v>231</v>
      </c>
      <c r="E236" t="s">
        <v>62</v>
      </c>
      <c r="F236" t="s">
        <v>129</v>
      </c>
      <c r="G236" t="s">
        <v>45</v>
      </c>
      <c r="H236" t="s">
        <v>87</v>
      </c>
      <c r="I236" t="s">
        <v>40</v>
      </c>
      <c r="J236" t="s">
        <v>973</v>
      </c>
      <c r="K236" t="s">
        <v>45</v>
      </c>
      <c r="L236" t="s">
        <v>63</v>
      </c>
      <c r="M236" t="s">
        <v>197</v>
      </c>
      <c r="N236" t="s">
        <v>45</v>
      </c>
      <c r="O236" t="s">
        <v>40</v>
      </c>
      <c r="P236" t="s">
        <v>76</v>
      </c>
      <c r="Q236" t="s">
        <v>47</v>
      </c>
      <c r="R236" t="s">
        <v>66</v>
      </c>
      <c r="S236" t="s">
        <v>974</v>
      </c>
      <c r="T236" t="s">
        <v>975</v>
      </c>
      <c r="U236" t="s">
        <v>57</v>
      </c>
      <c r="V236" t="s">
        <v>52</v>
      </c>
      <c r="W236" t="s">
        <v>36</v>
      </c>
      <c r="X236" t="s">
        <v>98</v>
      </c>
      <c r="Y236" t="s">
        <v>45</v>
      </c>
      <c r="Z236" t="s">
        <v>45</v>
      </c>
      <c r="AA236" t="s">
        <v>54</v>
      </c>
      <c r="AB236" t="s">
        <v>40</v>
      </c>
      <c r="AC236" t="s">
        <v>51</v>
      </c>
      <c r="AD236" t="s">
        <v>41</v>
      </c>
      <c r="AE236" t="s">
        <v>40</v>
      </c>
      <c r="AF236" t="s">
        <v>57</v>
      </c>
      <c r="AG236" t="s">
        <v>47</v>
      </c>
      <c r="AH236" t="s">
        <v>55</v>
      </c>
      <c r="AI236" t="s">
        <v>47</v>
      </c>
    </row>
    <row r="237" spans="1:35" x14ac:dyDescent="0.25">
      <c r="A237" t="s">
        <v>234</v>
      </c>
      <c r="B237" t="s">
        <v>59</v>
      </c>
      <c r="C237" t="s">
        <v>37</v>
      </c>
      <c r="D237" t="s">
        <v>976</v>
      </c>
      <c r="E237" t="s">
        <v>39</v>
      </c>
      <c r="F237" t="s">
        <v>128</v>
      </c>
      <c r="G237" t="s">
        <v>45</v>
      </c>
      <c r="H237" t="s">
        <v>206</v>
      </c>
      <c r="I237" t="s">
        <v>40</v>
      </c>
      <c r="J237" t="s">
        <v>977</v>
      </c>
      <c r="K237" t="s">
        <v>47</v>
      </c>
      <c r="L237" t="s">
        <v>43</v>
      </c>
      <c r="M237" t="s">
        <v>54</v>
      </c>
      <c r="N237" t="s">
        <v>45</v>
      </c>
      <c r="O237" t="s">
        <v>47</v>
      </c>
      <c r="P237" t="s">
        <v>169</v>
      </c>
      <c r="Q237" t="s">
        <v>47</v>
      </c>
      <c r="R237" t="s">
        <v>66</v>
      </c>
      <c r="S237" t="s">
        <v>978</v>
      </c>
      <c r="T237" t="s">
        <v>979</v>
      </c>
      <c r="U237" t="s">
        <v>57</v>
      </c>
      <c r="V237" t="s">
        <v>52</v>
      </c>
      <c r="W237" t="s">
        <v>36</v>
      </c>
      <c r="X237" t="s">
        <v>112</v>
      </c>
      <c r="Y237" t="s">
        <v>47</v>
      </c>
      <c r="Z237" t="s">
        <v>45</v>
      </c>
      <c r="AA237" t="s">
        <v>54</v>
      </c>
      <c r="AB237" t="s">
        <v>40</v>
      </c>
      <c r="AC237" t="s">
        <v>112</v>
      </c>
      <c r="AD237" t="s">
        <v>45</v>
      </c>
      <c r="AE237" t="s">
        <v>45</v>
      </c>
      <c r="AF237" t="s">
        <v>125</v>
      </c>
      <c r="AG237" t="s">
        <v>98</v>
      </c>
      <c r="AH237" t="s">
        <v>40</v>
      </c>
      <c r="AI237" t="s">
        <v>91</v>
      </c>
    </row>
    <row r="238" spans="1:35" x14ac:dyDescent="0.25">
      <c r="A238" t="s">
        <v>80</v>
      </c>
      <c r="B238" t="s">
        <v>36</v>
      </c>
      <c r="C238" t="s">
        <v>37</v>
      </c>
      <c r="D238" t="s">
        <v>727</v>
      </c>
      <c r="E238" t="s">
        <v>62</v>
      </c>
      <c r="F238" t="s">
        <v>41</v>
      </c>
      <c r="G238" t="s">
        <v>41</v>
      </c>
      <c r="H238" t="s">
        <v>42</v>
      </c>
      <c r="I238" t="s">
        <v>40</v>
      </c>
      <c r="J238" t="s">
        <v>785</v>
      </c>
      <c r="K238" t="s">
        <v>40</v>
      </c>
      <c r="L238" t="s">
        <v>43</v>
      </c>
      <c r="M238" t="s">
        <v>218</v>
      </c>
      <c r="N238" t="s">
        <v>45</v>
      </c>
      <c r="O238" t="s">
        <v>40</v>
      </c>
      <c r="P238" t="s">
        <v>76</v>
      </c>
      <c r="Q238" t="s">
        <v>40</v>
      </c>
      <c r="R238" t="s">
        <v>66</v>
      </c>
      <c r="S238" t="s">
        <v>980</v>
      </c>
      <c r="T238" t="s">
        <v>981</v>
      </c>
      <c r="U238" t="s">
        <v>71</v>
      </c>
      <c r="V238" t="s">
        <v>52</v>
      </c>
      <c r="W238" t="s">
        <v>59</v>
      </c>
      <c r="X238" t="s">
        <v>104</v>
      </c>
      <c r="Y238" t="s">
        <v>47</v>
      </c>
      <c r="Z238" t="s">
        <v>40</v>
      </c>
      <c r="AA238" t="s">
        <v>54</v>
      </c>
      <c r="AB238" t="s">
        <v>55</v>
      </c>
      <c r="AC238" t="s">
        <v>98</v>
      </c>
      <c r="AD238" t="s">
        <v>45</v>
      </c>
      <c r="AE238" t="s">
        <v>47</v>
      </c>
      <c r="AF238" t="s">
        <v>91</v>
      </c>
      <c r="AG238" t="s">
        <v>71</v>
      </c>
      <c r="AH238" t="s">
        <v>40</v>
      </c>
      <c r="AI238" t="s">
        <v>71</v>
      </c>
    </row>
    <row r="239" spans="1:35" x14ac:dyDescent="0.25">
      <c r="A239" t="s">
        <v>251</v>
      </c>
      <c r="B239" t="s">
        <v>59</v>
      </c>
      <c r="C239" t="s">
        <v>161</v>
      </c>
      <c r="D239" t="s">
        <v>982</v>
      </c>
      <c r="E239" t="s">
        <v>39</v>
      </c>
      <c r="F239" t="s">
        <v>41</v>
      </c>
      <c r="G239" t="s">
        <v>47</v>
      </c>
      <c r="H239" t="s">
        <v>42</v>
      </c>
      <c r="I239" t="s">
        <v>40</v>
      </c>
      <c r="J239" t="s">
        <v>983</v>
      </c>
      <c r="K239" t="s">
        <v>40</v>
      </c>
      <c r="L239" t="s">
        <v>63</v>
      </c>
      <c r="M239" t="s">
        <v>95</v>
      </c>
      <c r="N239" t="s">
        <v>41</v>
      </c>
      <c r="O239" t="s">
        <v>57</v>
      </c>
      <c r="P239" t="s">
        <v>169</v>
      </c>
      <c r="Q239" t="s">
        <v>45</v>
      </c>
      <c r="R239" t="s">
        <v>48</v>
      </c>
      <c r="S239" t="s">
        <v>984</v>
      </c>
      <c r="T239" t="s">
        <v>985</v>
      </c>
      <c r="U239" t="s">
        <v>40</v>
      </c>
      <c r="V239" t="s">
        <v>52</v>
      </c>
      <c r="W239" t="s">
        <v>36</v>
      </c>
      <c r="X239" t="s">
        <v>145</v>
      </c>
      <c r="Y239" t="s">
        <v>45</v>
      </c>
      <c r="Z239" t="s">
        <v>47</v>
      </c>
      <c r="AA239" t="s">
        <v>54</v>
      </c>
      <c r="AB239" t="s">
        <v>55</v>
      </c>
      <c r="AC239" t="s">
        <v>80</v>
      </c>
      <c r="AD239" t="s">
        <v>41</v>
      </c>
      <c r="AE239" t="s">
        <v>47</v>
      </c>
      <c r="AF239" t="s">
        <v>80</v>
      </c>
      <c r="AG239" t="s">
        <v>71</v>
      </c>
      <c r="AH239" t="s">
        <v>79</v>
      </c>
      <c r="AI239" t="s">
        <v>92</v>
      </c>
    </row>
    <row r="240" spans="1:35" x14ac:dyDescent="0.25">
      <c r="A240" t="s">
        <v>93</v>
      </c>
      <c r="B240" t="s">
        <v>59</v>
      </c>
      <c r="C240" t="s">
        <v>37</v>
      </c>
      <c r="D240" t="s">
        <v>986</v>
      </c>
      <c r="E240" t="s">
        <v>39</v>
      </c>
      <c r="F240" t="s">
        <v>47</v>
      </c>
      <c r="G240" t="s">
        <v>41</v>
      </c>
      <c r="H240" t="s">
        <v>42</v>
      </c>
      <c r="I240" t="s">
        <v>40</v>
      </c>
      <c r="J240" t="s">
        <v>987</v>
      </c>
      <c r="K240" t="s">
        <v>45</v>
      </c>
      <c r="L240" t="s">
        <v>43</v>
      </c>
      <c r="M240" t="s">
        <v>82</v>
      </c>
      <c r="N240" t="s">
        <v>45</v>
      </c>
      <c r="O240" t="s">
        <v>40</v>
      </c>
      <c r="P240" t="s">
        <v>182</v>
      </c>
      <c r="Q240" t="s">
        <v>41</v>
      </c>
      <c r="R240" t="s">
        <v>66</v>
      </c>
      <c r="S240" t="s">
        <v>988</v>
      </c>
      <c r="T240" t="s">
        <v>989</v>
      </c>
      <c r="U240" t="s">
        <v>41</v>
      </c>
      <c r="V240" t="s">
        <v>52</v>
      </c>
      <c r="W240" t="s">
        <v>59</v>
      </c>
      <c r="X240" t="s">
        <v>53</v>
      </c>
      <c r="Y240" t="s">
        <v>45</v>
      </c>
      <c r="Z240" t="s">
        <v>40</v>
      </c>
      <c r="AA240" t="s">
        <v>54</v>
      </c>
      <c r="AB240" t="s">
        <v>40</v>
      </c>
      <c r="AC240" t="s">
        <v>56</v>
      </c>
      <c r="AD240" t="s">
        <v>57</v>
      </c>
      <c r="AE240" t="s">
        <v>45</v>
      </c>
      <c r="AF240" t="s">
        <v>47</v>
      </c>
      <c r="AG240" t="s">
        <v>45</v>
      </c>
      <c r="AH240" t="s">
        <v>40</v>
      </c>
      <c r="AI240" t="s">
        <v>41</v>
      </c>
    </row>
    <row r="241" spans="1:35" x14ac:dyDescent="0.25">
      <c r="A241" t="s">
        <v>93</v>
      </c>
      <c r="B241" t="s">
        <v>36</v>
      </c>
      <c r="C241" t="s">
        <v>37</v>
      </c>
      <c r="D241" t="s">
        <v>310</v>
      </c>
      <c r="E241" t="s">
        <v>62</v>
      </c>
      <c r="F241" t="s">
        <v>40</v>
      </c>
      <c r="G241" t="s">
        <v>45</v>
      </c>
      <c r="H241" t="s">
        <v>42</v>
      </c>
      <c r="I241" t="s">
        <v>40</v>
      </c>
      <c r="J241" t="s">
        <v>990</v>
      </c>
      <c r="K241" t="s">
        <v>47</v>
      </c>
      <c r="L241" t="s">
        <v>63</v>
      </c>
      <c r="M241" t="s">
        <v>283</v>
      </c>
      <c r="N241" t="s">
        <v>41</v>
      </c>
      <c r="O241" t="s">
        <v>40</v>
      </c>
      <c r="P241" t="s">
        <v>76</v>
      </c>
      <c r="Q241" t="s">
        <v>45</v>
      </c>
      <c r="R241" t="s">
        <v>48</v>
      </c>
      <c r="S241" t="s">
        <v>991</v>
      </c>
      <c r="T241" t="s">
        <v>992</v>
      </c>
      <c r="U241" t="s">
        <v>55</v>
      </c>
      <c r="V241" t="s">
        <v>52</v>
      </c>
      <c r="W241" t="s">
        <v>36</v>
      </c>
      <c r="X241" t="s">
        <v>129</v>
      </c>
      <c r="Y241" t="s">
        <v>45</v>
      </c>
      <c r="Z241" t="s">
        <v>47</v>
      </c>
      <c r="AA241" t="s">
        <v>54</v>
      </c>
      <c r="AB241" t="s">
        <v>55</v>
      </c>
      <c r="AC241" t="s">
        <v>47</v>
      </c>
      <c r="AD241" t="s">
        <v>41</v>
      </c>
      <c r="AE241" t="s">
        <v>40</v>
      </c>
      <c r="AF241" t="s">
        <v>45</v>
      </c>
      <c r="AG241" t="s">
        <v>41</v>
      </c>
      <c r="AH241" t="s">
        <v>40</v>
      </c>
      <c r="AI241" t="s">
        <v>41</v>
      </c>
    </row>
    <row r="242" spans="1:35" x14ac:dyDescent="0.25">
      <c r="A242" t="s">
        <v>218</v>
      </c>
      <c r="B242" t="s">
        <v>59</v>
      </c>
      <c r="C242" t="s">
        <v>37</v>
      </c>
      <c r="D242" t="s">
        <v>993</v>
      </c>
      <c r="E242" t="s">
        <v>62</v>
      </c>
      <c r="F242" t="s">
        <v>40</v>
      </c>
      <c r="G242" t="s">
        <v>47</v>
      </c>
      <c r="H242" t="s">
        <v>87</v>
      </c>
      <c r="I242" t="s">
        <v>40</v>
      </c>
      <c r="J242" t="s">
        <v>994</v>
      </c>
      <c r="K242" t="s">
        <v>45</v>
      </c>
      <c r="L242" t="s">
        <v>43</v>
      </c>
      <c r="M242" t="s">
        <v>163</v>
      </c>
      <c r="N242" t="s">
        <v>45</v>
      </c>
      <c r="O242" t="s">
        <v>40</v>
      </c>
      <c r="P242" t="s">
        <v>76</v>
      </c>
      <c r="Q242" t="s">
        <v>45</v>
      </c>
      <c r="R242" t="s">
        <v>109</v>
      </c>
      <c r="S242" t="s">
        <v>995</v>
      </c>
      <c r="T242" t="s">
        <v>996</v>
      </c>
      <c r="U242" t="s">
        <v>71</v>
      </c>
      <c r="V242" t="s">
        <v>52</v>
      </c>
      <c r="W242" t="s">
        <v>59</v>
      </c>
      <c r="X242" t="s">
        <v>129</v>
      </c>
      <c r="Y242" t="s">
        <v>45</v>
      </c>
      <c r="Z242" t="s">
        <v>45</v>
      </c>
      <c r="AA242" t="s">
        <v>54</v>
      </c>
      <c r="AB242" t="s">
        <v>45</v>
      </c>
      <c r="AC242" t="s">
        <v>71</v>
      </c>
      <c r="AD242" t="s">
        <v>40</v>
      </c>
      <c r="AE242" t="s">
        <v>45</v>
      </c>
      <c r="AF242" t="s">
        <v>45</v>
      </c>
      <c r="AG242" t="s">
        <v>41</v>
      </c>
      <c r="AH242" t="s">
        <v>40</v>
      </c>
      <c r="AI242" t="s">
        <v>41</v>
      </c>
    </row>
    <row r="243" spans="1:35" x14ac:dyDescent="0.25">
      <c r="A243" t="s">
        <v>93</v>
      </c>
      <c r="B243" t="s">
        <v>59</v>
      </c>
      <c r="C243" t="s">
        <v>161</v>
      </c>
      <c r="D243" t="s">
        <v>997</v>
      </c>
      <c r="E243" t="s">
        <v>39</v>
      </c>
      <c r="F243" t="s">
        <v>139</v>
      </c>
      <c r="G243" t="s">
        <v>47</v>
      </c>
      <c r="H243" t="s">
        <v>206</v>
      </c>
      <c r="I243" t="s">
        <v>40</v>
      </c>
      <c r="J243" t="s">
        <v>998</v>
      </c>
      <c r="K243" t="s">
        <v>45</v>
      </c>
      <c r="L243" t="s">
        <v>63</v>
      </c>
      <c r="M243" t="s">
        <v>385</v>
      </c>
      <c r="N243" t="s">
        <v>45</v>
      </c>
      <c r="O243" t="s">
        <v>41</v>
      </c>
      <c r="P243" t="s">
        <v>46</v>
      </c>
      <c r="Q243" t="s">
        <v>47</v>
      </c>
      <c r="R243" t="s">
        <v>66</v>
      </c>
      <c r="S243" t="s">
        <v>999</v>
      </c>
      <c r="T243" t="s">
        <v>1000</v>
      </c>
      <c r="U243" t="s">
        <v>55</v>
      </c>
      <c r="V243" t="s">
        <v>52</v>
      </c>
      <c r="W243" t="s">
        <v>59</v>
      </c>
      <c r="X243" t="s">
        <v>145</v>
      </c>
      <c r="Y243" t="s">
        <v>45</v>
      </c>
      <c r="Z243" t="s">
        <v>40</v>
      </c>
      <c r="AA243" t="s">
        <v>54</v>
      </c>
      <c r="AB243" t="s">
        <v>55</v>
      </c>
      <c r="AC243" t="s">
        <v>47</v>
      </c>
      <c r="AD243" t="s">
        <v>41</v>
      </c>
      <c r="AE243" t="s">
        <v>45</v>
      </c>
      <c r="AF243" t="s">
        <v>45</v>
      </c>
      <c r="AG243" t="s">
        <v>41</v>
      </c>
      <c r="AH243" t="s">
        <v>41</v>
      </c>
      <c r="AI243" t="s">
        <v>41</v>
      </c>
    </row>
    <row r="244" spans="1:35" x14ac:dyDescent="0.25">
      <c r="A244" t="s">
        <v>35</v>
      </c>
      <c r="B244" t="s">
        <v>59</v>
      </c>
      <c r="C244" t="s">
        <v>37</v>
      </c>
      <c r="D244" t="s">
        <v>1001</v>
      </c>
      <c r="E244" t="s">
        <v>62</v>
      </c>
      <c r="F244" t="s">
        <v>144</v>
      </c>
      <c r="G244" t="s">
        <v>41</v>
      </c>
      <c r="H244" t="s">
        <v>42</v>
      </c>
      <c r="I244" t="s">
        <v>40</v>
      </c>
      <c r="J244" t="s">
        <v>158</v>
      </c>
      <c r="K244" t="s">
        <v>45</v>
      </c>
      <c r="L244" t="s">
        <v>63</v>
      </c>
      <c r="M244" t="s">
        <v>120</v>
      </c>
      <c r="N244" t="s">
        <v>45</v>
      </c>
      <c r="O244" t="s">
        <v>41</v>
      </c>
      <c r="P244" t="s">
        <v>65</v>
      </c>
      <c r="Q244" t="s">
        <v>40</v>
      </c>
      <c r="R244" t="s">
        <v>109</v>
      </c>
      <c r="S244" t="s">
        <v>753</v>
      </c>
      <c r="T244" t="s">
        <v>1002</v>
      </c>
      <c r="U244" t="s">
        <v>41</v>
      </c>
      <c r="V244" t="s">
        <v>52</v>
      </c>
      <c r="W244" t="s">
        <v>59</v>
      </c>
      <c r="X244" t="s">
        <v>128</v>
      </c>
      <c r="Y244" t="s">
        <v>45</v>
      </c>
      <c r="Z244" t="s">
        <v>40</v>
      </c>
      <c r="AA244" t="s">
        <v>54</v>
      </c>
      <c r="AB244" t="s">
        <v>41</v>
      </c>
      <c r="AC244" t="s">
        <v>125</v>
      </c>
      <c r="AD244" t="s">
        <v>41</v>
      </c>
      <c r="AE244" t="s">
        <v>41</v>
      </c>
      <c r="AF244" t="s">
        <v>40</v>
      </c>
      <c r="AG244" t="s">
        <v>55</v>
      </c>
      <c r="AH244" t="s">
        <v>55</v>
      </c>
      <c r="AI244" t="s">
        <v>55</v>
      </c>
    </row>
    <row r="245" spans="1:35" x14ac:dyDescent="0.25">
      <c r="A245" t="s">
        <v>88</v>
      </c>
      <c r="B245" t="s">
        <v>59</v>
      </c>
      <c r="C245" t="s">
        <v>37</v>
      </c>
      <c r="D245" t="s">
        <v>1003</v>
      </c>
      <c r="E245" t="s">
        <v>62</v>
      </c>
      <c r="F245" t="s">
        <v>107</v>
      </c>
      <c r="G245" t="s">
        <v>41</v>
      </c>
      <c r="H245" t="s">
        <v>228</v>
      </c>
      <c r="I245" t="s">
        <v>40</v>
      </c>
      <c r="J245" t="s">
        <v>1004</v>
      </c>
      <c r="K245" t="s">
        <v>40</v>
      </c>
      <c r="L245" t="s">
        <v>63</v>
      </c>
      <c r="M245" t="s">
        <v>283</v>
      </c>
      <c r="N245" t="s">
        <v>45</v>
      </c>
      <c r="O245" t="s">
        <v>41</v>
      </c>
      <c r="P245" t="s">
        <v>65</v>
      </c>
      <c r="Q245" t="s">
        <v>47</v>
      </c>
      <c r="R245" t="s">
        <v>109</v>
      </c>
      <c r="S245" t="s">
        <v>1005</v>
      </c>
      <c r="T245" t="s">
        <v>1006</v>
      </c>
      <c r="U245" t="s">
        <v>40</v>
      </c>
      <c r="V245" t="s">
        <v>52</v>
      </c>
      <c r="W245" t="s">
        <v>59</v>
      </c>
      <c r="X245" t="s">
        <v>125</v>
      </c>
      <c r="Y245" t="s">
        <v>45</v>
      </c>
      <c r="Z245" t="s">
        <v>40</v>
      </c>
      <c r="AA245" t="s">
        <v>54</v>
      </c>
      <c r="AB245" t="s">
        <v>41</v>
      </c>
      <c r="AC245" t="s">
        <v>91</v>
      </c>
      <c r="AD245" t="s">
        <v>45</v>
      </c>
      <c r="AE245" t="s">
        <v>45</v>
      </c>
      <c r="AF245" t="s">
        <v>91</v>
      </c>
      <c r="AG245" t="s">
        <v>51</v>
      </c>
      <c r="AH245" t="s">
        <v>47</v>
      </c>
      <c r="AI245" t="s">
        <v>71</v>
      </c>
    </row>
    <row r="246" spans="1:35" x14ac:dyDescent="0.25">
      <c r="A246" t="s">
        <v>174</v>
      </c>
      <c r="B246" t="s">
        <v>59</v>
      </c>
      <c r="C246" t="s">
        <v>37</v>
      </c>
      <c r="D246" t="s">
        <v>793</v>
      </c>
      <c r="E246" t="s">
        <v>62</v>
      </c>
      <c r="F246" t="s">
        <v>40</v>
      </c>
      <c r="G246" t="s">
        <v>45</v>
      </c>
      <c r="H246" t="s">
        <v>74</v>
      </c>
      <c r="I246" t="s">
        <v>40</v>
      </c>
      <c r="J246" t="s">
        <v>1007</v>
      </c>
      <c r="K246" t="s">
        <v>45</v>
      </c>
      <c r="L246" t="s">
        <v>63</v>
      </c>
      <c r="M246" t="s">
        <v>304</v>
      </c>
      <c r="N246" t="s">
        <v>47</v>
      </c>
      <c r="O246" t="s">
        <v>57</v>
      </c>
      <c r="P246" t="s">
        <v>169</v>
      </c>
      <c r="Q246" t="s">
        <v>47</v>
      </c>
      <c r="R246" t="s">
        <v>66</v>
      </c>
      <c r="S246" t="s">
        <v>1008</v>
      </c>
      <c r="T246" t="s">
        <v>1009</v>
      </c>
      <c r="U246" t="s">
        <v>55</v>
      </c>
      <c r="V246" t="s">
        <v>52</v>
      </c>
      <c r="W246" t="s">
        <v>59</v>
      </c>
      <c r="X246" t="s">
        <v>53</v>
      </c>
      <c r="Y246" t="s">
        <v>45</v>
      </c>
      <c r="Z246" t="s">
        <v>45</v>
      </c>
      <c r="AA246" t="s">
        <v>54</v>
      </c>
      <c r="AB246" t="s">
        <v>40</v>
      </c>
      <c r="AC246" t="s">
        <v>172</v>
      </c>
      <c r="AD246" t="s">
        <v>41</v>
      </c>
      <c r="AE246" t="s">
        <v>45</v>
      </c>
      <c r="AF246" t="s">
        <v>107</v>
      </c>
      <c r="AG246" t="s">
        <v>55</v>
      </c>
      <c r="AH246" t="s">
        <v>40</v>
      </c>
      <c r="AI246" t="s">
        <v>71</v>
      </c>
    </row>
    <row r="247" spans="1:35" x14ac:dyDescent="0.25">
      <c r="A247" t="s">
        <v>137</v>
      </c>
      <c r="B247" t="s">
        <v>59</v>
      </c>
      <c r="C247" t="s">
        <v>60</v>
      </c>
      <c r="D247" t="s">
        <v>1010</v>
      </c>
      <c r="E247" t="s">
        <v>62</v>
      </c>
      <c r="F247" t="s">
        <v>45</v>
      </c>
      <c r="G247" t="s">
        <v>47</v>
      </c>
      <c r="H247" t="s">
        <v>87</v>
      </c>
      <c r="I247" t="s">
        <v>40</v>
      </c>
      <c r="J247" t="s">
        <v>1011</v>
      </c>
      <c r="K247" t="s">
        <v>41</v>
      </c>
      <c r="L247" t="s">
        <v>63</v>
      </c>
      <c r="M247" t="s">
        <v>279</v>
      </c>
      <c r="N247" t="s">
        <v>45</v>
      </c>
      <c r="O247" t="s">
        <v>45</v>
      </c>
      <c r="P247" t="s">
        <v>186</v>
      </c>
      <c r="Q247" t="s">
        <v>45</v>
      </c>
      <c r="R247" t="s">
        <v>109</v>
      </c>
      <c r="S247" t="s">
        <v>1012</v>
      </c>
      <c r="T247" t="s">
        <v>1013</v>
      </c>
      <c r="U247" t="s">
        <v>91</v>
      </c>
      <c r="V247" t="s">
        <v>52</v>
      </c>
      <c r="W247" t="s">
        <v>59</v>
      </c>
      <c r="X247" t="s">
        <v>92</v>
      </c>
      <c r="Y247" t="s">
        <v>45</v>
      </c>
      <c r="Z247" t="s">
        <v>40</v>
      </c>
      <c r="AA247" t="s">
        <v>54</v>
      </c>
      <c r="AB247" t="s">
        <v>40</v>
      </c>
      <c r="AC247" t="s">
        <v>91</v>
      </c>
      <c r="AD247" t="s">
        <v>45</v>
      </c>
      <c r="AE247" t="s">
        <v>45</v>
      </c>
      <c r="AF247" t="s">
        <v>41</v>
      </c>
      <c r="AG247" t="s">
        <v>41</v>
      </c>
      <c r="AH247" t="s">
        <v>41</v>
      </c>
      <c r="AI247" t="s">
        <v>41</v>
      </c>
    </row>
    <row r="248" spans="1:35" x14ac:dyDescent="0.25">
      <c r="A248" t="s">
        <v>80</v>
      </c>
      <c r="B248" t="s">
        <v>59</v>
      </c>
      <c r="C248" t="s">
        <v>37</v>
      </c>
      <c r="D248" t="s">
        <v>1014</v>
      </c>
      <c r="E248" t="s">
        <v>62</v>
      </c>
      <c r="F248" t="s">
        <v>57</v>
      </c>
      <c r="G248" t="s">
        <v>47</v>
      </c>
      <c r="H248" t="s">
        <v>42</v>
      </c>
      <c r="I248" t="s">
        <v>40</v>
      </c>
      <c r="J248" t="s">
        <v>1015</v>
      </c>
      <c r="K248" t="s">
        <v>45</v>
      </c>
      <c r="L248" t="s">
        <v>43</v>
      </c>
      <c r="M248" t="s">
        <v>288</v>
      </c>
      <c r="N248" t="s">
        <v>41</v>
      </c>
      <c r="O248" t="s">
        <v>40</v>
      </c>
      <c r="P248" t="s">
        <v>65</v>
      </c>
      <c r="Q248" t="s">
        <v>47</v>
      </c>
      <c r="R248" t="s">
        <v>66</v>
      </c>
      <c r="S248" t="s">
        <v>140</v>
      </c>
      <c r="T248" t="s">
        <v>1016</v>
      </c>
      <c r="U248" t="s">
        <v>40</v>
      </c>
      <c r="V248" t="s">
        <v>52</v>
      </c>
      <c r="W248" t="s">
        <v>59</v>
      </c>
      <c r="X248" t="s">
        <v>98</v>
      </c>
      <c r="Y248" t="s">
        <v>45</v>
      </c>
      <c r="Z248" t="s">
        <v>45</v>
      </c>
      <c r="AA248" t="s">
        <v>54</v>
      </c>
      <c r="AB248" t="s">
        <v>40</v>
      </c>
      <c r="AC248" t="s">
        <v>41</v>
      </c>
      <c r="AD248" t="s">
        <v>41</v>
      </c>
      <c r="AE248" t="s">
        <v>41</v>
      </c>
      <c r="AF248" t="s">
        <v>41</v>
      </c>
      <c r="AG248" t="s">
        <v>41</v>
      </c>
      <c r="AH248" t="s">
        <v>55</v>
      </c>
      <c r="AI248" t="s">
        <v>41</v>
      </c>
    </row>
    <row r="249" spans="1:35" x14ac:dyDescent="0.25">
      <c r="A249" t="s">
        <v>142</v>
      </c>
      <c r="B249" t="s">
        <v>59</v>
      </c>
      <c r="C249" t="s">
        <v>37</v>
      </c>
      <c r="D249" t="s">
        <v>588</v>
      </c>
      <c r="E249" t="s">
        <v>62</v>
      </c>
      <c r="F249" t="s">
        <v>41</v>
      </c>
      <c r="G249" t="s">
        <v>47</v>
      </c>
      <c r="H249" t="s">
        <v>42</v>
      </c>
      <c r="I249" t="s">
        <v>40</v>
      </c>
      <c r="J249" t="s">
        <v>1017</v>
      </c>
      <c r="K249" t="s">
        <v>47</v>
      </c>
      <c r="L249" t="s">
        <v>63</v>
      </c>
      <c r="M249" t="s">
        <v>130</v>
      </c>
      <c r="N249" t="s">
        <v>41</v>
      </c>
      <c r="O249" t="s">
        <v>41</v>
      </c>
      <c r="P249" t="s">
        <v>116</v>
      </c>
      <c r="Q249" t="s">
        <v>40</v>
      </c>
      <c r="R249" t="s">
        <v>66</v>
      </c>
      <c r="S249" t="s">
        <v>1018</v>
      </c>
      <c r="T249" t="s">
        <v>1019</v>
      </c>
      <c r="U249" t="s">
        <v>56</v>
      </c>
      <c r="V249" t="s">
        <v>52</v>
      </c>
      <c r="W249" t="s">
        <v>59</v>
      </c>
      <c r="X249" t="s">
        <v>98</v>
      </c>
      <c r="Y249" t="s">
        <v>45</v>
      </c>
      <c r="Z249" t="s">
        <v>41</v>
      </c>
      <c r="AA249" t="s">
        <v>54</v>
      </c>
      <c r="AB249" t="s">
        <v>40</v>
      </c>
      <c r="AC249" t="s">
        <v>98</v>
      </c>
      <c r="AD249" t="s">
        <v>45</v>
      </c>
      <c r="AE249" t="s">
        <v>45</v>
      </c>
      <c r="AF249" t="s">
        <v>53</v>
      </c>
      <c r="AG249" t="s">
        <v>91</v>
      </c>
      <c r="AH249" t="s">
        <v>57</v>
      </c>
      <c r="AI249" t="s">
        <v>91</v>
      </c>
    </row>
    <row r="250" spans="1:35" x14ac:dyDescent="0.25">
      <c r="A250" t="s">
        <v>72</v>
      </c>
      <c r="B250" t="s">
        <v>59</v>
      </c>
      <c r="C250" t="s">
        <v>37</v>
      </c>
      <c r="D250" t="s">
        <v>1020</v>
      </c>
      <c r="E250" t="s">
        <v>62</v>
      </c>
      <c r="F250" t="s">
        <v>40</v>
      </c>
      <c r="G250" t="s">
        <v>41</v>
      </c>
      <c r="H250" t="s">
        <v>87</v>
      </c>
      <c r="I250" t="s">
        <v>40</v>
      </c>
      <c r="J250" t="s">
        <v>1021</v>
      </c>
      <c r="K250" t="s">
        <v>45</v>
      </c>
      <c r="L250" t="s">
        <v>43</v>
      </c>
      <c r="M250" t="s">
        <v>193</v>
      </c>
      <c r="N250" t="s">
        <v>41</v>
      </c>
      <c r="O250" t="s">
        <v>40</v>
      </c>
      <c r="P250" t="s">
        <v>65</v>
      </c>
      <c r="Q250" t="s">
        <v>40</v>
      </c>
      <c r="R250" t="s">
        <v>66</v>
      </c>
      <c r="S250" t="s">
        <v>1022</v>
      </c>
      <c r="T250" t="s">
        <v>1023</v>
      </c>
      <c r="U250" t="s">
        <v>41</v>
      </c>
      <c r="V250" t="s">
        <v>52</v>
      </c>
      <c r="W250" t="s">
        <v>59</v>
      </c>
      <c r="X250" t="s">
        <v>129</v>
      </c>
      <c r="Y250" t="s">
        <v>45</v>
      </c>
      <c r="Z250" t="s">
        <v>40</v>
      </c>
      <c r="AA250" t="s">
        <v>54</v>
      </c>
      <c r="AB250" t="s">
        <v>40</v>
      </c>
      <c r="AC250" t="s">
        <v>125</v>
      </c>
      <c r="AD250" t="s">
        <v>41</v>
      </c>
      <c r="AE250" t="s">
        <v>41</v>
      </c>
      <c r="AF250" t="s">
        <v>45</v>
      </c>
      <c r="AG250" t="s">
        <v>40</v>
      </c>
      <c r="AH250" t="s">
        <v>55</v>
      </c>
      <c r="AI250" t="s">
        <v>41</v>
      </c>
    </row>
    <row r="251" spans="1:35" x14ac:dyDescent="0.25">
      <c r="A251" t="s">
        <v>174</v>
      </c>
      <c r="B251" t="s">
        <v>59</v>
      </c>
      <c r="C251" t="s">
        <v>60</v>
      </c>
      <c r="D251" t="s">
        <v>1024</v>
      </c>
      <c r="E251" t="s">
        <v>62</v>
      </c>
      <c r="F251" t="s">
        <v>71</v>
      </c>
      <c r="G251" t="s">
        <v>47</v>
      </c>
      <c r="H251" t="s">
        <v>42</v>
      </c>
      <c r="I251" t="s">
        <v>40</v>
      </c>
      <c r="J251" t="s">
        <v>1025</v>
      </c>
      <c r="K251" t="s">
        <v>40</v>
      </c>
      <c r="L251" t="s">
        <v>63</v>
      </c>
      <c r="M251" t="s">
        <v>326</v>
      </c>
      <c r="N251" t="s">
        <v>47</v>
      </c>
      <c r="O251" t="s">
        <v>41</v>
      </c>
      <c r="P251" t="s">
        <v>116</v>
      </c>
      <c r="Q251" t="s">
        <v>45</v>
      </c>
      <c r="R251" t="s">
        <v>66</v>
      </c>
      <c r="S251" t="s">
        <v>1026</v>
      </c>
      <c r="T251" t="s">
        <v>1027</v>
      </c>
      <c r="U251" t="s">
        <v>47</v>
      </c>
      <c r="V251" t="s">
        <v>52</v>
      </c>
      <c r="W251" t="s">
        <v>59</v>
      </c>
      <c r="X251" t="s">
        <v>125</v>
      </c>
      <c r="Y251" t="s">
        <v>45</v>
      </c>
      <c r="Z251" t="s">
        <v>47</v>
      </c>
      <c r="AA251" t="s">
        <v>54</v>
      </c>
      <c r="AB251" t="s">
        <v>40</v>
      </c>
      <c r="AC251" t="s">
        <v>91</v>
      </c>
      <c r="AD251" t="s">
        <v>40</v>
      </c>
      <c r="AE251" t="s">
        <v>45</v>
      </c>
      <c r="AF251" t="s">
        <v>45</v>
      </c>
      <c r="AG251" t="s">
        <v>41</v>
      </c>
      <c r="AH251" t="s">
        <v>55</v>
      </c>
      <c r="AI251" t="s">
        <v>41</v>
      </c>
    </row>
    <row r="252" spans="1:35" x14ac:dyDescent="0.25">
      <c r="A252" t="s">
        <v>72</v>
      </c>
      <c r="B252" t="s">
        <v>36</v>
      </c>
      <c r="C252" t="s">
        <v>60</v>
      </c>
      <c r="D252" t="s">
        <v>1028</v>
      </c>
      <c r="E252" t="s">
        <v>62</v>
      </c>
      <c r="F252" t="s">
        <v>70</v>
      </c>
      <c r="G252" t="s">
        <v>45</v>
      </c>
      <c r="H252" t="s">
        <v>87</v>
      </c>
      <c r="I252" t="s">
        <v>40</v>
      </c>
      <c r="J252" t="s">
        <v>1029</v>
      </c>
      <c r="K252" t="s">
        <v>40</v>
      </c>
      <c r="L252" t="s">
        <v>63</v>
      </c>
      <c r="M252" t="s">
        <v>64</v>
      </c>
      <c r="N252" t="s">
        <v>45</v>
      </c>
      <c r="O252" t="s">
        <v>45</v>
      </c>
      <c r="P252" t="s">
        <v>116</v>
      </c>
      <c r="Q252" t="s">
        <v>45</v>
      </c>
      <c r="R252" t="s">
        <v>109</v>
      </c>
      <c r="S252" t="s">
        <v>1030</v>
      </c>
      <c r="T252" t="s">
        <v>1031</v>
      </c>
      <c r="U252" t="s">
        <v>56</v>
      </c>
      <c r="V252" t="s">
        <v>52</v>
      </c>
      <c r="W252" t="s">
        <v>59</v>
      </c>
      <c r="X252" t="s">
        <v>53</v>
      </c>
      <c r="Y252" t="s">
        <v>45</v>
      </c>
      <c r="Z252" t="s">
        <v>41</v>
      </c>
      <c r="AA252" t="s">
        <v>54</v>
      </c>
      <c r="AB252" t="s">
        <v>41</v>
      </c>
      <c r="AC252" t="s">
        <v>125</v>
      </c>
      <c r="AD252" t="s">
        <v>57</v>
      </c>
      <c r="AE252" t="s">
        <v>45</v>
      </c>
      <c r="AF252" t="s">
        <v>40</v>
      </c>
      <c r="AG252" t="s">
        <v>55</v>
      </c>
      <c r="AH252" t="s">
        <v>55</v>
      </c>
      <c r="AI252" t="s">
        <v>55</v>
      </c>
    </row>
    <row r="253" spans="1:35" x14ac:dyDescent="0.25">
      <c r="A253" t="s">
        <v>218</v>
      </c>
      <c r="B253" t="s">
        <v>59</v>
      </c>
      <c r="C253" t="s">
        <v>60</v>
      </c>
      <c r="D253" t="s">
        <v>1032</v>
      </c>
      <c r="E253" t="s">
        <v>62</v>
      </c>
      <c r="F253" t="s">
        <v>41</v>
      </c>
      <c r="G253" t="s">
        <v>47</v>
      </c>
      <c r="H253" t="s">
        <v>228</v>
      </c>
      <c r="I253" t="s">
        <v>40</v>
      </c>
      <c r="J253" t="s">
        <v>1033</v>
      </c>
      <c r="K253" t="s">
        <v>45</v>
      </c>
      <c r="L253" t="s">
        <v>43</v>
      </c>
      <c r="M253" t="s">
        <v>292</v>
      </c>
      <c r="N253" t="s">
        <v>45</v>
      </c>
      <c r="O253" t="s">
        <v>45</v>
      </c>
      <c r="P253" t="s">
        <v>122</v>
      </c>
      <c r="Q253" t="s">
        <v>45</v>
      </c>
      <c r="R253" t="s">
        <v>48</v>
      </c>
      <c r="S253" t="s">
        <v>1034</v>
      </c>
      <c r="T253" t="s">
        <v>1035</v>
      </c>
      <c r="U253" t="s">
        <v>55</v>
      </c>
      <c r="V253" t="s">
        <v>52</v>
      </c>
      <c r="W253" t="s">
        <v>59</v>
      </c>
      <c r="X253" t="s">
        <v>172</v>
      </c>
      <c r="Y253" t="s">
        <v>47</v>
      </c>
      <c r="Z253" t="s">
        <v>47</v>
      </c>
      <c r="AA253" t="s">
        <v>54</v>
      </c>
      <c r="AB253" t="s">
        <v>55</v>
      </c>
      <c r="AC253" t="s">
        <v>104</v>
      </c>
      <c r="AD253" t="s">
        <v>40</v>
      </c>
      <c r="AE253" t="s">
        <v>45</v>
      </c>
      <c r="AF253" t="s">
        <v>144</v>
      </c>
      <c r="AG253" t="s">
        <v>56</v>
      </c>
      <c r="AH253" t="s">
        <v>53</v>
      </c>
      <c r="AI253" t="s">
        <v>51</v>
      </c>
    </row>
    <row r="254" spans="1:35" x14ac:dyDescent="0.25">
      <c r="A254" t="s">
        <v>133</v>
      </c>
      <c r="B254" t="s">
        <v>59</v>
      </c>
      <c r="C254" t="s">
        <v>37</v>
      </c>
      <c r="D254" t="s">
        <v>488</v>
      </c>
      <c r="E254" t="s">
        <v>62</v>
      </c>
      <c r="F254" t="s">
        <v>79</v>
      </c>
      <c r="G254" t="s">
        <v>45</v>
      </c>
      <c r="H254" t="s">
        <v>42</v>
      </c>
      <c r="I254" t="s">
        <v>40</v>
      </c>
      <c r="J254" t="s">
        <v>1036</v>
      </c>
      <c r="K254" t="s">
        <v>45</v>
      </c>
      <c r="L254" t="s">
        <v>63</v>
      </c>
      <c r="M254" t="s">
        <v>275</v>
      </c>
      <c r="N254" t="s">
        <v>45</v>
      </c>
      <c r="O254" t="s">
        <v>40</v>
      </c>
      <c r="P254" t="s">
        <v>65</v>
      </c>
      <c r="Q254" t="s">
        <v>47</v>
      </c>
      <c r="R254" t="s">
        <v>48</v>
      </c>
      <c r="S254" t="s">
        <v>1037</v>
      </c>
      <c r="T254" t="s">
        <v>1038</v>
      </c>
      <c r="U254" t="s">
        <v>40</v>
      </c>
      <c r="V254" t="s">
        <v>52</v>
      </c>
      <c r="W254" t="s">
        <v>59</v>
      </c>
      <c r="X254" t="s">
        <v>144</v>
      </c>
      <c r="Y254" t="s">
        <v>45</v>
      </c>
      <c r="Z254" t="s">
        <v>40</v>
      </c>
      <c r="AA254" t="s">
        <v>54</v>
      </c>
      <c r="AB254" t="s">
        <v>55</v>
      </c>
      <c r="AC254" t="s">
        <v>56</v>
      </c>
      <c r="AD254" t="s">
        <v>40</v>
      </c>
      <c r="AE254" t="s">
        <v>45</v>
      </c>
      <c r="AF254" t="s">
        <v>56</v>
      </c>
      <c r="AG254" t="s">
        <v>57</v>
      </c>
      <c r="AH254" t="s">
        <v>40</v>
      </c>
      <c r="AI254" t="s">
        <v>57</v>
      </c>
    </row>
    <row r="255" spans="1:35" x14ac:dyDescent="0.25">
      <c r="A255" t="s">
        <v>204</v>
      </c>
      <c r="B255" t="s">
        <v>59</v>
      </c>
      <c r="C255" t="s">
        <v>37</v>
      </c>
      <c r="D255" t="s">
        <v>1039</v>
      </c>
      <c r="E255" t="s">
        <v>62</v>
      </c>
      <c r="F255" t="s">
        <v>125</v>
      </c>
      <c r="G255" t="s">
        <v>41</v>
      </c>
      <c r="H255" t="s">
        <v>42</v>
      </c>
      <c r="I255" t="s">
        <v>40</v>
      </c>
      <c r="J255" t="s">
        <v>1040</v>
      </c>
      <c r="K255" t="s">
        <v>47</v>
      </c>
      <c r="L255" t="s">
        <v>43</v>
      </c>
      <c r="M255" t="s">
        <v>181</v>
      </c>
      <c r="N255" t="s">
        <v>47</v>
      </c>
      <c r="O255" t="s">
        <v>41</v>
      </c>
      <c r="P255" t="s">
        <v>65</v>
      </c>
      <c r="Q255" t="s">
        <v>40</v>
      </c>
      <c r="R255" t="s">
        <v>48</v>
      </c>
      <c r="S255" t="s">
        <v>1041</v>
      </c>
      <c r="T255" t="s">
        <v>387</v>
      </c>
      <c r="U255" t="s">
        <v>45</v>
      </c>
      <c r="V255" t="s">
        <v>52</v>
      </c>
      <c r="W255" t="s">
        <v>36</v>
      </c>
      <c r="X255" t="s">
        <v>98</v>
      </c>
      <c r="Y255" t="s">
        <v>45</v>
      </c>
      <c r="Z255" t="s">
        <v>45</v>
      </c>
      <c r="AA255" t="s">
        <v>54</v>
      </c>
      <c r="AB255" t="s">
        <v>55</v>
      </c>
      <c r="AC255" t="s">
        <v>70</v>
      </c>
      <c r="AD255" t="s">
        <v>40</v>
      </c>
      <c r="AE255" t="s">
        <v>45</v>
      </c>
      <c r="AF255" t="s">
        <v>45</v>
      </c>
      <c r="AG255" t="s">
        <v>41</v>
      </c>
      <c r="AH255" t="s">
        <v>55</v>
      </c>
      <c r="AI255" t="s">
        <v>41</v>
      </c>
    </row>
    <row r="256" spans="1:35" x14ac:dyDescent="0.25">
      <c r="A256" t="s">
        <v>133</v>
      </c>
      <c r="B256" t="s">
        <v>59</v>
      </c>
      <c r="C256" t="s">
        <v>37</v>
      </c>
      <c r="D256" t="s">
        <v>1042</v>
      </c>
      <c r="E256" t="s">
        <v>39</v>
      </c>
      <c r="F256" t="s">
        <v>104</v>
      </c>
      <c r="G256" t="s">
        <v>41</v>
      </c>
      <c r="H256" t="s">
        <v>206</v>
      </c>
      <c r="I256" t="s">
        <v>40</v>
      </c>
      <c r="J256" t="s">
        <v>1043</v>
      </c>
      <c r="K256" t="s">
        <v>47</v>
      </c>
      <c r="L256" t="s">
        <v>63</v>
      </c>
      <c r="M256" t="s">
        <v>174</v>
      </c>
      <c r="N256" t="s">
        <v>45</v>
      </c>
      <c r="O256" t="s">
        <v>41</v>
      </c>
      <c r="P256" t="s">
        <v>46</v>
      </c>
      <c r="Q256" t="s">
        <v>47</v>
      </c>
      <c r="R256" t="s">
        <v>109</v>
      </c>
      <c r="S256" t="s">
        <v>1044</v>
      </c>
      <c r="T256" t="s">
        <v>1045</v>
      </c>
      <c r="U256" t="s">
        <v>41</v>
      </c>
      <c r="V256" t="s">
        <v>52</v>
      </c>
      <c r="W256" t="s">
        <v>59</v>
      </c>
      <c r="X256" t="s">
        <v>129</v>
      </c>
      <c r="Y256" t="s">
        <v>45</v>
      </c>
      <c r="Z256" t="s">
        <v>47</v>
      </c>
      <c r="AA256" t="s">
        <v>54</v>
      </c>
      <c r="AB256" t="s">
        <v>40</v>
      </c>
      <c r="AC256" t="s">
        <v>70</v>
      </c>
      <c r="AD256" t="s">
        <v>41</v>
      </c>
      <c r="AE256" t="s">
        <v>45</v>
      </c>
      <c r="AF256" t="s">
        <v>45</v>
      </c>
      <c r="AG256" t="s">
        <v>41</v>
      </c>
      <c r="AH256" t="s">
        <v>55</v>
      </c>
      <c r="AI256" t="s">
        <v>41</v>
      </c>
    </row>
    <row r="257" spans="1:35" x14ac:dyDescent="0.25">
      <c r="A257" t="s">
        <v>172</v>
      </c>
      <c r="B257" t="s">
        <v>59</v>
      </c>
      <c r="C257" t="s">
        <v>37</v>
      </c>
      <c r="D257" t="s">
        <v>1046</v>
      </c>
      <c r="E257" t="s">
        <v>62</v>
      </c>
      <c r="F257" t="s">
        <v>40</v>
      </c>
      <c r="G257" t="s">
        <v>45</v>
      </c>
      <c r="H257" t="s">
        <v>42</v>
      </c>
      <c r="I257" t="s">
        <v>40</v>
      </c>
      <c r="J257" t="s">
        <v>1047</v>
      </c>
      <c r="K257" t="s">
        <v>40</v>
      </c>
      <c r="L257" t="s">
        <v>43</v>
      </c>
      <c r="M257" t="s">
        <v>283</v>
      </c>
      <c r="N257" t="s">
        <v>45</v>
      </c>
      <c r="O257" t="s">
        <v>41</v>
      </c>
      <c r="P257" t="s">
        <v>116</v>
      </c>
      <c r="Q257" t="s">
        <v>45</v>
      </c>
      <c r="R257" t="s">
        <v>66</v>
      </c>
      <c r="S257" t="s">
        <v>1048</v>
      </c>
      <c r="T257" t="s">
        <v>1049</v>
      </c>
      <c r="U257" t="s">
        <v>55</v>
      </c>
      <c r="V257" t="s">
        <v>52</v>
      </c>
      <c r="W257" t="s">
        <v>59</v>
      </c>
      <c r="X257" t="s">
        <v>92</v>
      </c>
      <c r="Y257" t="s">
        <v>45</v>
      </c>
      <c r="Z257" t="s">
        <v>47</v>
      </c>
      <c r="AA257" t="s">
        <v>54</v>
      </c>
      <c r="AB257" t="s">
        <v>41</v>
      </c>
      <c r="AC257" t="s">
        <v>57</v>
      </c>
      <c r="AD257" t="s">
        <v>45</v>
      </c>
      <c r="AE257" t="s">
        <v>45</v>
      </c>
      <c r="AF257" t="s">
        <v>47</v>
      </c>
      <c r="AG257" t="s">
        <v>41</v>
      </c>
      <c r="AH257" t="s">
        <v>40</v>
      </c>
      <c r="AI257" t="s">
        <v>41</v>
      </c>
    </row>
    <row r="258" spans="1:35" x14ac:dyDescent="0.25">
      <c r="A258" t="s">
        <v>204</v>
      </c>
      <c r="B258" t="s">
        <v>59</v>
      </c>
      <c r="C258" t="s">
        <v>37</v>
      </c>
      <c r="D258" t="s">
        <v>832</v>
      </c>
      <c r="E258" t="s">
        <v>62</v>
      </c>
      <c r="F258" t="s">
        <v>41</v>
      </c>
      <c r="G258" t="s">
        <v>45</v>
      </c>
      <c r="H258" t="s">
        <v>87</v>
      </c>
      <c r="I258" t="s">
        <v>40</v>
      </c>
      <c r="J258" t="s">
        <v>1050</v>
      </c>
      <c r="K258" t="s">
        <v>47</v>
      </c>
      <c r="L258" t="s">
        <v>43</v>
      </c>
      <c r="M258" t="s">
        <v>82</v>
      </c>
      <c r="N258" t="s">
        <v>41</v>
      </c>
      <c r="O258" t="s">
        <v>40</v>
      </c>
      <c r="P258" t="s">
        <v>76</v>
      </c>
      <c r="Q258" t="s">
        <v>40</v>
      </c>
      <c r="R258" t="s">
        <v>109</v>
      </c>
      <c r="S258" t="s">
        <v>1051</v>
      </c>
      <c r="T258" t="s">
        <v>1052</v>
      </c>
      <c r="U258" t="s">
        <v>55</v>
      </c>
      <c r="V258" t="s">
        <v>52</v>
      </c>
      <c r="W258" t="s">
        <v>36</v>
      </c>
      <c r="X258" t="s">
        <v>53</v>
      </c>
      <c r="Y258" t="s">
        <v>45</v>
      </c>
      <c r="Z258" t="s">
        <v>45</v>
      </c>
      <c r="AA258" t="s">
        <v>54</v>
      </c>
      <c r="AB258" t="s">
        <v>40</v>
      </c>
      <c r="AC258" t="s">
        <v>70</v>
      </c>
      <c r="AD258" t="s">
        <v>47</v>
      </c>
      <c r="AE258" t="s">
        <v>45</v>
      </c>
      <c r="AF258" t="s">
        <v>91</v>
      </c>
      <c r="AG258" t="s">
        <v>56</v>
      </c>
      <c r="AH258" t="s">
        <v>71</v>
      </c>
      <c r="AI258" t="s">
        <v>51</v>
      </c>
    </row>
    <row r="259" spans="1:35" x14ac:dyDescent="0.25">
      <c r="A259" t="s">
        <v>88</v>
      </c>
      <c r="B259" t="s">
        <v>59</v>
      </c>
      <c r="C259" t="s">
        <v>37</v>
      </c>
      <c r="D259" t="s">
        <v>1053</v>
      </c>
      <c r="E259" t="s">
        <v>62</v>
      </c>
      <c r="F259" t="s">
        <v>41</v>
      </c>
      <c r="G259" t="s">
        <v>41</v>
      </c>
      <c r="H259" t="s">
        <v>87</v>
      </c>
      <c r="I259" t="s">
        <v>40</v>
      </c>
      <c r="J259" t="s">
        <v>1054</v>
      </c>
      <c r="K259" t="s">
        <v>40</v>
      </c>
      <c r="L259" t="s">
        <v>63</v>
      </c>
      <c r="M259" t="s">
        <v>58</v>
      </c>
      <c r="N259" t="s">
        <v>45</v>
      </c>
      <c r="O259" t="s">
        <v>57</v>
      </c>
      <c r="P259" t="s">
        <v>186</v>
      </c>
      <c r="Q259" t="s">
        <v>45</v>
      </c>
      <c r="R259" t="s">
        <v>109</v>
      </c>
      <c r="S259" t="s">
        <v>1055</v>
      </c>
      <c r="T259" t="s">
        <v>1056</v>
      </c>
      <c r="U259" t="s">
        <v>55</v>
      </c>
      <c r="V259" t="s">
        <v>52</v>
      </c>
      <c r="W259" t="s">
        <v>59</v>
      </c>
      <c r="X259" t="s">
        <v>144</v>
      </c>
      <c r="Y259" t="s">
        <v>45</v>
      </c>
      <c r="Z259" t="s">
        <v>47</v>
      </c>
      <c r="AA259" t="s">
        <v>54</v>
      </c>
      <c r="AB259" t="s">
        <v>40</v>
      </c>
      <c r="AC259" t="s">
        <v>112</v>
      </c>
      <c r="AD259" t="s">
        <v>57</v>
      </c>
      <c r="AE259" t="s">
        <v>45</v>
      </c>
      <c r="AF259" t="s">
        <v>119</v>
      </c>
      <c r="AG259" t="s">
        <v>71</v>
      </c>
      <c r="AH259" t="s">
        <v>45</v>
      </c>
      <c r="AI259" t="s">
        <v>91</v>
      </c>
    </row>
    <row r="260" spans="1:35" x14ac:dyDescent="0.25">
      <c r="A260" t="s">
        <v>155</v>
      </c>
      <c r="B260" t="s">
        <v>59</v>
      </c>
      <c r="C260" t="s">
        <v>37</v>
      </c>
      <c r="D260" t="s">
        <v>1057</v>
      </c>
      <c r="E260" t="s">
        <v>62</v>
      </c>
      <c r="F260" t="s">
        <v>40</v>
      </c>
      <c r="G260" t="s">
        <v>45</v>
      </c>
      <c r="H260" t="s">
        <v>42</v>
      </c>
      <c r="I260" t="s">
        <v>40</v>
      </c>
      <c r="J260" t="s">
        <v>1058</v>
      </c>
      <c r="K260" t="s">
        <v>45</v>
      </c>
      <c r="L260" t="s">
        <v>63</v>
      </c>
      <c r="M260" t="s">
        <v>163</v>
      </c>
      <c r="N260" t="s">
        <v>45</v>
      </c>
      <c r="O260" t="s">
        <v>40</v>
      </c>
      <c r="P260" t="s">
        <v>65</v>
      </c>
      <c r="Q260" t="s">
        <v>47</v>
      </c>
      <c r="R260" t="s">
        <v>66</v>
      </c>
      <c r="S260" t="s">
        <v>1059</v>
      </c>
      <c r="T260" t="s">
        <v>1060</v>
      </c>
      <c r="U260" t="s">
        <v>40</v>
      </c>
      <c r="V260" t="s">
        <v>52</v>
      </c>
      <c r="W260" t="s">
        <v>59</v>
      </c>
      <c r="X260" t="s">
        <v>53</v>
      </c>
      <c r="Y260" t="s">
        <v>45</v>
      </c>
      <c r="Z260" t="s">
        <v>41</v>
      </c>
      <c r="AA260" t="s">
        <v>54</v>
      </c>
      <c r="AB260" t="s">
        <v>55</v>
      </c>
      <c r="AC260" t="s">
        <v>40</v>
      </c>
      <c r="AD260" t="s">
        <v>55</v>
      </c>
      <c r="AE260" t="s">
        <v>41</v>
      </c>
      <c r="AF260" t="s">
        <v>40</v>
      </c>
      <c r="AG260" t="s">
        <v>55</v>
      </c>
      <c r="AH260" t="s">
        <v>55</v>
      </c>
      <c r="AI260" t="s">
        <v>55</v>
      </c>
    </row>
    <row r="261" spans="1:35" x14ac:dyDescent="0.25">
      <c r="A261" t="s">
        <v>137</v>
      </c>
      <c r="B261" t="s">
        <v>36</v>
      </c>
      <c r="C261" t="s">
        <v>60</v>
      </c>
      <c r="D261" t="s">
        <v>932</v>
      </c>
      <c r="E261" t="s">
        <v>62</v>
      </c>
      <c r="F261" t="s">
        <v>133</v>
      </c>
      <c r="G261" t="s">
        <v>41</v>
      </c>
      <c r="H261" t="s">
        <v>87</v>
      </c>
      <c r="I261" t="s">
        <v>40</v>
      </c>
      <c r="J261" t="s">
        <v>1061</v>
      </c>
      <c r="K261" t="s">
        <v>45</v>
      </c>
      <c r="L261" t="s">
        <v>63</v>
      </c>
      <c r="M261" t="s">
        <v>315</v>
      </c>
      <c r="N261" t="s">
        <v>41</v>
      </c>
      <c r="O261" t="s">
        <v>40</v>
      </c>
      <c r="P261" t="s">
        <v>76</v>
      </c>
      <c r="Q261" t="s">
        <v>41</v>
      </c>
      <c r="R261" t="s">
        <v>48</v>
      </c>
      <c r="S261" t="s">
        <v>1062</v>
      </c>
      <c r="T261" t="s">
        <v>1063</v>
      </c>
      <c r="U261" t="s">
        <v>55</v>
      </c>
      <c r="V261" t="s">
        <v>52</v>
      </c>
      <c r="W261" t="s">
        <v>59</v>
      </c>
      <c r="X261" t="s">
        <v>53</v>
      </c>
      <c r="Y261" t="s">
        <v>45</v>
      </c>
      <c r="Z261" t="s">
        <v>41</v>
      </c>
      <c r="AA261" t="s">
        <v>54</v>
      </c>
      <c r="AB261" t="s">
        <v>55</v>
      </c>
      <c r="AC261" t="s">
        <v>56</v>
      </c>
      <c r="AD261" t="s">
        <v>41</v>
      </c>
      <c r="AE261" t="s">
        <v>47</v>
      </c>
      <c r="AF261" t="s">
        <v>57</v>
      </c>
      <c r="AG261" t="s">
        <v>47</v>
      </c>
      <c r="AH261" t="s">
        <v>40</v>
      </c>
      <c r="AI261" t="s">
        <v>47</v>
      </c>
    </row>
    <row r="262" spans="1:35" x14ac:dyDescent="0.25">
      <c r="A262" t="s">
        <v>93</v>
      </c>
      <c r="B262" t="s">
        <v>59</v>
      </c>
      <c r="C262" t="s">
        <v>60</v>
      </c>
      <c r="D262" t="s">
        <v>1064</v>
      </c>
      <c r="E262" t="s">
        <v>62</v>
      </c>
      <c r="F262" t="s">
        <v>71</v>
      </c>
      <c r="G262" t="s">
        <v>45</v>
      </c>
      <c r="H262" t="s">
        <v>42</v>
      </c>
      <c r="I262" t="s">
        <v>40</v>
      </c>
      <c r="J262" t="s">
        <v>1065</v>
      </c>
      <c r="K262" t="s">
        <v>41</v>
      </c>
      <c r="L262" t="s">
        <v>63</v>
      </c>
      <c r="M262" t="s">
        <v>385</v>
      </c>
      <c r="N262" t="s">
        <v>47</v>
      </c>
      <c r="O262" t="s">
        <v>40</v>
      </c>
      <c r="P262" t="s">
        <v>76</v>
      </c>
      <c r="Q262" t="s">
        <v>41</v>
      </c>
      <c r="R262" t="s">
        <v>66</v>
      </c>
      <c r="S262" t="s">
        <v>1066</v>
      </c>
      <c r="T262" t="s">
        <v>1067</v>
      </c>
      <c r="U262" t="s">
        <v>40</v>
      </c>
      <c r="V262" t="s">
        <v>52</v>
      </c>
      <c r="W262" t="s">
        <v>59</v>
      </c>
      <c r="X262" t="s">
        <v>104</v>
      </c>
      <c r="Y262" t="s">
        <v>47</v>
      </c>
      <c r="Z262" t="s">
        <v>45</v>
      </c>
      <c r="AA262" t="s">
        <v>54</v>
      </c>
      <c r="AB262" t="s">
        <v>55</v>
      </c>
      <c r="AC262" t="s">
        <v>57</v>
      </c>
      <c r="AD262" t="s">
        <v>45</v>
      </c>
      <c r="AE262" t="s">
        <v>40</v>
      </c>
      <c r="AF262" t="s">
        <v>57</v>
      </c>
      <c r="AG262" t="s">
        <v>40</v>
      </c>
      <c r="AH262" t="s">
        <v>55</v>
      </c>
      <c r="AI262" t="s">
        <v>45</v>
      </c>
    </row>
    <row r="263" spans="1:35" x14ac:dyDescent="0.25">
      <c r="A263" t="s">
        <v>113</v>
      </c>
      <c r="B263" t="s">
        <v>59</v>
      </c>
      <c r="C263" t="s">
        <v>161</v>
      </c>
      <c r="D263" t="s">
        <v>1010</v>
      </c>
      <c r="E263" t="s">
        <v>39</v>
      </c>
      <c r="F263" t="s">
        <v>41</v>
      </c>
      <c r="G263" t="s">
        <v>41</v>
      </c>
      <c r="H263" t="s">
        <v>42</v>
      </c>
      <c r="I263" t="s">
        <v>40</v>
      </c>
      <c r="J263" t="s">
        <v>1068</v>
      </c>
      <c r="K263" t="s">
        <v>47</v>
      </c>
      <c r="L263" t="s">
        <v>63</v>
      </c>
      <c r="M263" t="s">
        <v>218</v>
      </c>
      <c r="N263" t="s">
        <v>41</v>
      </c>
      <c r="O263" t="s">
        <v>41</v>
      </c>
      <c r="P263" t="s">
        <v>46</v>
      </c>
      <c r="Q263" t="s">
        <v>47</v>
      </c>
      <c r="R263" t="s">
        <v>66</v>
      </c>
      <c r="S263" t="s">
        <v>1069</v>
      </c>
      <c r="T263" t="s">
        <v>1070</v>
      </c>
      <c r="U263" t="s">
        <v>45</v>
      </c>
      <c r="V263" t="s">
        <v>52</v>
      </c>
      <c r="W263" t="s">
        <v>59</v>
      </c>
      <c r="X263" t="s">
        <v>145</v>
      </c>
      <c r="Y263" t="s">
        <v>45</v>
      </c>
      <c r="Z263" t="s">
        <v>47</v>
      </c>
      <c r="AA263" t="s">
        <v>54</v>
      </c>
      <c r="AB263" t="s">
        <v>40</v>
      </c>
      <c r="AC263" t="s">
        <v>98</v>
      </c>
      <c r="AD263" t="s">
        <v>55</v>
      </c>
      <c r="AE263" t="s">
        <v>45</v>
      </c>
      <c r="AF263" t="s">
        <v>51</v>
      </c>
      <c r="AG263" t="s">
        <v>71</v>
      </c>
      <c r="AH263" t="s">
        <v>71</v>
      </c>
      <c r="AI263" t="s">
        <v>57</v>
      </c>
    </row>
    <row r="264" spans="1:35" x14ac:dyDescent="0.25">
      <c r="A264" t="s">
        <v>93</v>
      </c>
      <c r="B264" t="s">
        <v>59</v>
      </c>
      <c r="C264" t="s">
        <v>37</v>
      </c>
      <c r="D264" t="s">
        <v>463</v>
      </c>
      <c r="E264" t="s">
        <v>62</v>
      </c>
      <c r="F264" t="s">
        <v>41</v>
      </c>
      <c r="G264" t="s">
        <v>40</v>
      </c>
      <c r="H264" t="s">
        <v>228</v>
      </c>
      <c r="I264" t="s">
        <v>40</v>
      </c>
      <c r="J264" t="s">
        <v>1071</v>
      </c>
      <c r="K264" t="s">
        <v>47</v>
      </c>
      <c r="L264" t="s">
        <v>63</v>
      </c>
      <c r="M264" t="s">
        <v>130</v>
      </c>
      <c r="N264" t="s">
        <v>41</v>
      </c>
      <c r="O264" t="s">
        <v>41</v>
      </c>
      <c r="P264" t="s">
        <v>76</v>
      </c>
      <c r="Q264" t="s">
        <v>40</v>
      </c>
      <c r="R264" t="s">
        <v>48</v>
      </c>
      <c r="S264" t="s">
        <v>1072</v>
      </c>
      <c r="T264" t="s">
        <v>1073</v>
      </c>
      <c r="U264" t="s">
        <v>47</v>
      </c>
      <c r="V264" t="s">
        <v>52</v>
      </c>
      <c r="W264" t="s">
        <v>59</v>
      </c>
      <c r="X264" t="s">
        <v>98</v>
      </c>
      <c r="Y264" t="s">
        <v>45</v>
      </c>
      <c r="Z264" t="s">
        <v>47</v>
      </c>
      <c r="AA264" t="s">
        <v>54</v>
      </c>
      <c r="AB264" t="s">
        <v>55</v>
      </c>
      <c r="AC264" t="s">
        <v>91</v>
      </c>
      <c r="AD264" t="s">
        <v>57</v>
      </c>
      <c r="AE264" t="s">
        <v>45</v>
      </c>
      <c r="AF264" t="s">
        <v>56</v>
      </c>
      <c r="AG264" t="s">
        <v>41</v>
      </c>
      <c r="AH264" t="s">
        <v>55</v>
      </c>
      <c r="AI264" t="s">
        <v>47</v>
      </c>
    </row>
    <row r="265" spans="1:35" x14ac:dyDescent="0.25">
      <c r="A265" t="s">
        <v>213</v>
      </c>
      <c r="B265" t="s">
        <v>59</v>
      </c>
      <c r="C265" t="s">
        <v>37</v>
      </c>
      <c r="D265" t="s">
        <v>1074</v>
      </c>
      <c r="E265" t="s">
        <v>39</v>
      </c>
      <c r="F265" t="s">
        <v>41</v>
      </c>
      <c r="G265" t="s">
        <v>45</v>
      </c>
      <c r="H265" t="s">
        <v>228</v>
      </c>
      <c r="I265" t="s">
        <v>40</v>
      </c>
      <c r="J265" t="s">
        <v>1075</v>
      </c>
      <c r="K265" t="s">
        <v>45</v>
      </c>
      <c r="L265" t="s">
        <v>43</v>
      </c>
      <c r="M265" t="s">
        <v>255</v>
      </c>
      <c r="N265" t="s">
        <v>40</v>
      </c>
      <c r="O265" t="s">
        <v>47</v>
      </c>
      <c r="P265" t="s">
        <v>169</v>
      </c>
      <c r="Q265" t="s">
        <v>41</v>
      </c>
      <c r="R265" t="s">
        <v>66</v>
      </c>
      <c r="S265" t="s">
        <v>1076</v>
      </c>
      <c r="T265" t="s">
        <v>1077</v>
      </c>
      <c r="U265" t="s">
        <v>45</v>
      </c>
      <c r="V265" t="s">
        <v>52</v>
      </c>
      <c r="W265" t="s">
        <v>36</v>
      </c>
      <c r="X265" t="s">
        <v>92</v>
      </c>
      <c r="Y265" t="s">
        <v>45</v>
      </c>
      <c r="Z265" t="s">
        <v>41</v>
      </c>
      <c r="AA265" t="s">
        <v>54</v>
      </c>
      <c r="AB265" t="s">
        <v>40</v>
      </c>
      <c r="AC265" t="s">
        <v>149</v>
      </c>
      <c r="AD265" t="s">
        <v>41</v>
      </c>
      <c r="AE265" t="s">
        <v>41</v>
      </c>
      <c r="AF265" t="s">
        <v>71</v>
      </c>
      <c r="AG265" t="s">
        <v>71</v>
      </c>
      <c r="AH265" t="s">
        <v>71</v>
      </c>
      <c r="AI265" t="s">
        <v>71</v>
      </c>
    </row>
    <row r="266" spans="1:35" x14ac:dyDescent="0.25">
      <c r="A266" t="s">
        <v>149</v>
      </c>
      <c r="B266" t="s">
        <v>36</v>
      </c>
      <c r="C266" t="s">
        <v>37</v>
      </c>
      <c r="D266" t="s">
        <v>1078</v>
      </c>
      <c r="E266" t="s">
        <v>62</v>
      </c>
      <c r="F266" t="s">
        <v>41</v>
      </c>
      <c r="G266" t="s">
        <v>47</v>
      </c>
      <c r="H266" t="s">
        <v>42</v>
      </c>
      <c r="I266" t="s">
        <v>40</v>
      </c>
      <c r="J266" t="s">
        <v>637</v>
      </c>
      <c r="K266" t="s">
        <v>40</v>
      </c>
      <c r="L266" t="s">
        <v>63</v>
      </c>
      <c r="M266" t="s">
        <v>95</v>
      </c>
      <c r="N266" t="s">
        <v>45</v>
      </c>
      <c r="O266" t="s">
        <v>40</v>
      </c>
      <c r="P266" t="s">
        <v>76</v>
      </c>
      <c r="Q266" t="s">
        <v>45</v>
      </c>
      <c r="R266" t="s">
        <v>48</v>
      </c>
      <c r="S266" t="s">
        <v>1079</v>
      </c>
      <c r="T266" t="s">
        <v>1080</v>
      </c>
      <c r="U266" t="s">
        <v>41</v>
      </c>
      <c r="V266" t="s">
        <v>52</v>
      </c>
      <c r="W266" t="s">
        <v>59</v>
      </c>
      <c r="X266" t="s">
        <v>53</v>
      </c>
      <c r="Y266" t="s">
        <v>45</v>
      </c>
      <c r="Z266" t="s">
        <v>45</v>
      </c>
      <c r="AA266" t="s">
        <v>54</v>
      </c>
      <c r="AB266" t="s">
        <v>55</v>
      </c>
      <c r="AC266" t="s">
        <v>57</v>
      </c>
      <c r="AD266" t="s">
        <v>57</v>
      </c>
      <c r="AE266" t="s">
        <v>40</v>
      </c>
      <c r="AF266" t="s">
        <v>55</v>
      </c>
      <c r="AG266" t="s">
        <v>55</v>
      </c>
      <c r="AH266" t="s">
        <v>55</v>
      </c>
      <c r="AI266" t="s">
        <v>55</v>
      </c>
    </row>
    <row r="267" spans="1:35" x14ac:dyDescent="0.25">
      <c r="A267" t="s">
        <v>133</v>
      </c>
      <c r="B267" t="s">
        <v>59</v>
      </c>
      <c r="C267" t="s">
        <v>37</v>
      </c>
      <c r="D267" t="s">
        <v>1081</v>
      </c>
      <c r="E267" t="s">
        <v>39</v>
      </c>
      <c r="F267" t="s">
        <v>41</v>
      </c>
      <c r="G267" t="s">
        <v>45</v>
      </c>
      <c r="H267" t="s">
        <v>87</v>
      </c>
      <c r="I267" t="s">
        <v>40</v>
      </c>
      <c r="J267" t="s">
        <v>1082</v>
      </c>
      <c r="K267" t="s">
        <v>40</v>
      </c>
      <c r="L267" t="s">
        <v>63</v>
      </c>
      <c r="M267" t="s">
        <v>168</v>
      </c>
      <c r="N267" t="s">
        <v>41</v>
      </c>
      <c r="O267" t="s">
        <v>41</v>
      </c>
      <c r="P267" t="s">
        <v>46</v>
      </c>
      <c r="Q267" t="s">
        <v>41</v>
      </c>
      <c r="R267" t="s">
        <v>66</v>
      </c>
      <c r="S267" t="s">
        <v>1083</v>
      </c>
      <c r="T267" t="s">
        <v>1084</v>
      </c>
      <c r="U267" t="s">
        <v>41</v>
      </c>
      <c r="V267" t="s">
        <v>52</v>
      </c>
      <c r="W267" t="s">
        <v>59</v>
      </c>
      <c r="X267" t="s">
        <v>144</v>
      </c>
      <c r="Y267" t="s">
        <v>45</v>
      </c>
      <c r="Z267" t="s">
        <v>41</v>
      </c>
      <c r="AA267" t="s">
        <v>54</v>
      </c>
      <c r="AB267" t="s">
        <v>41</v>
      </c>
      <c r="AC267" t="s">
        <v>70</v>
      </c>
      <c r="AD267" t="s">
        <v>41</v>
      </c>
      <c r="AE267" t="s">
        <v>45</v>
      </c>
      <c r="AF267" t="s">
        <v>55</v>
      </c>
      <c r="AG267" t="s">
        <v>55</v>
      </c>
      <c r="AH267" t="s">
        <v>55</v>
      </c>
      <c r="AI267" t="s">
        <v>55</v>
      </c>
    </row>
    <row r="268" spans="1:35" x14ac:dyDescent="0.25">
      <c r="A268" t="s">
        <v>137</v>
      </c>
      <c r="B268" t="s">
        <v>59</v>
      </c>
      <c r="C268" t="s">
        <v>37</v>
      </c>
      <c r="D268" t="s">
        <v>1085</v>
      </c>
      <c r="E268" t="s">
        <v>62</v>
      </c>
      <c r="F268" t="s">
        <v>69</v>
      </c>
      <c r="G268" t="s">
        <v>45</v>
      </c>
      <c r="H268" t="s">
        <v>87</v>
      </c>
      <c r="I268" t="s">
        <v>40</v>
      </c>
      <c r="J268" t="s">
        <v>1086</v>
      </c>
      <c r="K268" t="s">
        <v>41</v>
      </c>
      <c r="L268" t="s">
        <v>63</v>
      </c>
      <c r="M268" t="s">
        <v>292</v>
      </c>
      <c r="N268" t="s">
        <v>41</v>
      </c>
      <c r="O268" t="s">
        <v>41</v>
      </c>
      <c r="P268" t="s">
        <v>122</v>
      </c>
      <c r="Q268" t="s">
        <v>47</v>
      </c>
      <c r="R268" t="s">
        <v>66</v>
      </c>
      <c r="S268" t="s">
        <v>1087</v>
      </c>
      <c r="T268" t="s">
        <v>1088</v>
      </c>
      <c r="U268" t="s">
        <v>55</v>
      </c>
      <c r="V268" t="s">
        <v>52</v>
      </c>
      <c r="W268" t="s">
        <v>59</v>
      </c>
      <c r="X268" t="s">
        <v>119</v>
      </c>
      <c r="Y268" t="s">
        <v>47</v>
      </c>
      <c r="Z268" t="s">
        <v>41</v>
      </c>
      <c r="AA268" t="s">
        <v>54</v>
      </c>
      <c r="AB268" t="s">
        <v>40</v>
      </c>
      <c r="AC268" t="s">
        <v>70</v>
      </c>
      <c r="AD268" t="s">
        <v>41</v>
      </c>
      <c r="AE268" t="s">
        <v>45</v>
      </c>
      <c r="AF268" t="s">
        <v>91</v>
      </c>
      <c r="AG268" t="s">
        <v>55</v>
      </c>
      <c r="AH268" t="s">
        <v>71</v>
      </c>
      <c r="AI268" t="s">
        <v>51</v>
      </c>
    </row>
    <row r="269" spans="1:35" x14ac:dyDescent="0.25">
      <c r="A269" t="s">
        <v>172</v>
      </c>
      <c r="B269" t="s">
        <v>59</v>
      </c>
      <c r="C269" t="s">
        <v>161</v>
      </c>
      <c r="D269" t="s">
        <v>1089</v>
      </c>
      <c r="E269" t="s">
        <v>62</v>
      </c>
      <c r="F269" t="s">
        <v>57</v>
      </c>
      <c r="G269" t="s">
        <v>41</v>
      </c>
      <c r="H269" t="s">
        <v>42</v>
      </c>
      <c r="I269" t="s">
        <v>40</v>
      </c>
      <c r="J269" t="s">
        <v>1090</v>
      </c>
      <c r="K269" t="s">
        <v>41</v>
      </c>
      <c r="L269" t="s">
        <v>63</v>
      </c>
      <c r="M269" t="s">
        <v>348</v>
      </c>
      <c r="N269" t="s">
        <v>47</v>
      </c>
      <c r="O269" t="s">
        <v>41</v>
      </c>
      <c r="P269" t="s">
        <v>122</v>
      </c>
      <c r="Q269" t="s">
        <v>40</v>
      </c>
      <c r="R269" t="s">
        <v>109</v>
      </c>
      <c r="S269" t="s">
        <v>1091</v>
      </c>
      <c r="T269" t="s">
        <v>1092</v>
      </c>
      <c r="U269" t="s">
        <v>40</v>
      </c>
      <c r="V269" t="s">
        <v>52</v>
      </c>
      <c r="W269" t="s">
        <v>59</v>
      </c>
      <c r="X269" t="s">
        <v>92</v>
      </c>
      <c r="Y269" t="s">
        <v>45</v>
      </c>
      <c r="Z269" t="s">
        <v>47</v>
      </c>
      <c r="AA269" t="s">
        <v>54</v>
      </c>
      <c r="AB269" t="s">
        <v>41</v>
      </c>
      <c r="AC269" t="s">
        <v>56</v>
      </c>
      <c r="AD269" t="s">
        <v>41</v>
      </c>
      <c r="AE269" t="s">
        <v>45</v>
      </c>
      <c r="AF269" t="s">
        <v>56</v>
      </c>
      <c r="AG269" t="s">
        <v>45</v>
      </c>
      <c r="AH269" t="s">
        <v>40</v>
      </c>
      <c r="AI269" t="s">
        <v>57</v>
      </c>
    </row>
    <row r="270" spans="1:35" x14ac:dyDescent="0.25">
      <c r="A270" t="s">
        <v>174</v>
      </c>
      <c r="B270" t="s">
        <v>59</v>
      </c>
      <c r="C270" t="s">
        <v>37</v>
      </c>
      <c r="D270" t="s">
        <v>1093</v>
      </c>
      <c r="E270" t="s">
        <v>62</v>
      </c>
      <c r="F270" t="s">
        <v>104</v>
      </c>
      <c r="G270" t="s">
        <v>41</v>
      </c>
      <c r="H270" t="s">
        <v>87</v>
      </c>
      <c r="I270" t="s">
        <v>40</v>
      </c>
      <c r="J270" t="s">
        <v>1094</v>
      </c>
      <c r="K270" t="s">
        <v>45</v>
      </c>
      <c r="L270" t="s">
        <v>63</v>
      </c>
      <c r="M270" t="s">
        <v>95</v>
      </c>
      <c r="N270" t="s">
        <v>45</v>
      </c>
      <c r="O270" t="s">
        <v>47</v>
      </c>
      <c r="P270" t="s">
        <v>122</v>
      </c>
      <c r="Q270" t="s">
        <v>47</v>
      </c>
      <c r="R270" t="s">
        <v>66</v>
      </c>
      <c r="S270" t="s">
        <v>1095</v>
      </c>
      <c r="T270" t="s">
        <v>1096</v>
      </c>
      <c r="U270" t="s">
        <v>55</v>
      </c>
      <c r="V270" t="s">
        <v>52</v>
      </c>
      <c r="W270" t="s">
        <v>36</v>
      </c>
      <c r="X270" t="s">
        <v>129</v>
      </c>
      <c r="Y270" t="s">
        <v>45</v>
      </c>
      <c r="Z270" t="s">
        <v>41</v>
      </c>
      <c r="AA270" t="s">
        <v>54</v>
      </c>
      <c r="AB270" t="s">
        <v>55</v>
      </c>
      <c r="AC270" t="s">
        <v>119</v>
      </c>
      <c r="AD270" t="s">
        <v>41</v>
      </c>
      <c r="AE270" t="s">
        <v>45</v>
      </c>
      <c r="AF270" t="s">
        <v>104</v>
      </c>
      <c r="AG270" t="s">
        <v>71</v>
      </c>
      <c r="AH270" t="s">
        <v>47</v>
      </c>
      <c r="AI270" t="s">
        <v>70</v>
      </c>
    </row>
    <row r="271" spans="1:35" x14ac:dyDescent="0.25">
      <c r="A271" t="s">
        <v>120</v>
      </c>
      <c r="B271" t="s">
        <v>59</v>
      </c>
      <c r="C271" t="s">
        <v>37</v>
      </c>
      <c r="D271" t="s">
        <v>1097</v>
      </c>
      <c r="E271" t="s">
        <v>62</v>
      </c>
      <c r="F271" t="s">
        <v>56</v>
      </c>
      <c r="G271" t="s">
        <v>45</v>
      </c>
      <c r="H271" t="s">
        <v>42</v>
      </c>
      <c r="I271" t="s">
        <v>40</v>
      </c>
      <c r="J271" t="s">
        <v>1098</v>
      </c>
      <c r="K271" t="s">
        <v>47</v>
      </c>
      <c r="L271" t="s">
        <v>63</v>
      </c>
      <c r="M271" t="s">
        <v>239</v>
      </c>
      <c r="N271" t="s">
        <v>45</v>
      </c>
      <c r="O271" t="s">
        <v>40</v>
      </c>
      <c r="P271" t="s">
        <v>76</v>
      </c>
      <c r="Q271" t="s">
        <v>47</v>
      </c>
      <c r="R271" t="s">
        <v>66</v>
      </c>
      <c r="S271" t="s">
        <v>1099</v>
      </c>
      <c r="T271" t="s">
        <v>1100</v>
      </c>
      <c r="U271" t="s">
        <v>55</v>
      </c>
      <c r="V271" t="s">
        <v>52</v>
      </c>
      <c r="W271" t="s">
        <v>59</v>
      </c>
      <c r="X271" t="s">
        <v>53</v>
      </c>
      <c r="Y271" t="s">
        <v>45</v>
      </c>
      <c r="Z271" t="s">
        <v>45</v>
      </c>
      <c r="AA271" t="s">
        <v>54</v>
      </c>
      <c r="AB271" t="s">
        <v>40</v>
      </c>
      <c r="AC271" t="s">
        <v>128</v>
      </c>
      <c r="AD271" t="s">
        <v>47</v>
      </c>
      <c r="AE271" t="s">
        <v>45</v>
      </c>
      <c r="AF271" t="s">
        <v>79</v>
      </c>
      <c r="AG271" t="s">
        <v>98</v>
      </c>
      <c r="AH271" t="s">
        <v>70</v>
      </c>
      <c r="AI271" t="s">
        <v>53</v>
      </c>
    </row>
    <row r="272" spans="1:35" x14ac:dyDescent="0.25">
      <c r="A272" t="s">
        <v>263</v>
      </c>
      <c r="B272" t="s">
        <v>59</v>
      </c>
      <c r="C272" t="s">
        <v>37</v>
      </c>
      <c r="D272" t="s">
        <v>1101</v>
      </c>
      <c r="E272" t="s">
        <v>62</v>
      </c>
      <c r="F272" t="s">
        <v>40</v>
      </c>
      <c r="G272" t="s">
        <v>45</v>
      </c>
      <c r="H272" t="s">
        <v>87</v>
      </c>
      <c r="I272" t="s">
        <v>40</v>
      </c>
      <c r="J272" t="s">
        <v>1102</v>
      </c>
      <c r="K272" t="s">
        <v>47</v>
      </c>
      <c r="L272" t="s">
        <v>63</v>
      </c>
      <c r="M272" t="s">
        <v>101</v>
      </c>
      <c r="N272" t="s">
        <v>45</v>
      </c>
      <c r="O272" t="s">
        <v>57</v>
      </c>
      <c r="P272" t="s">
        <v>169</v>
      </c>
      <c r="Q272" t="s">
        <v>40</v>
      </c>
      <c r="R272" t="s">
        <v>48</v>
      </c>
      <c r="S272" t="s">
        <v>1103</v>
      </c>
      <c r="T272" t="s">
        <v>1104</v>
      </c>
      <c r="U272" t="s">
        <v>55</v>
      </c>
      <c r="V272" t="s">
        <v>52</v>
      </c>
      <c r="W272" t="s">
        <v>36</v>
      </c>
      <c r="X272" t="s">
        <v>129</v>
      </c>
      <c r="Y272" t="s">
        <v>45</v>
      </c>
      <c r="Z272" t="s">
        <v>45</v>
      </c>
      <c r="AA272" t="s">
        <v>54</v>
      </c>
      <c r="AB272" t="s">
        <v>55</v>
      </c>
      <c r="AC272" t="s">
        <v>72</v>
      </c>
      <c r="AD272" t="s">
        <v>41</v>
      </c>
      <c r="AE272" t="s">
        <v>45</v>
      </c>
      <c r="AF272" t="s">
        <v>120</v>
      </c>
      <c r="AG272" t="s">
        <v>70</v>
      </c>
      <c r="AH272" t="s">
        <v>47</v>
      </c>
      <c r="AI272" t="s">
        <v>98</v>
      </c>
    </row>
    <row r="273" spans="1:35" x14ac:dyDescent="0.25">
      <c r="A273" t="s">
        <v>239</v>
      </c>
      <c r="B273" t="s">
        <v>36</v>
      </c>
      <c r="C273" t="s">
        <v>161</v>
      </c>
      <c r="D273" t="s">
        <v>1105</v>
      </c>
      <c r="E273" t="s">
        <v>62</v>
      </c>
      <c r="F273" t="s">
        <v>133</v>
      </c>
      <c r="G273" t="s">
        <v>47</v>
      </c>
      <c r="H273" t="s">
        <v>42</v>
      </c>
      <c r="I273" t="s">
        <v>40</v>
      </c>
      <c r="J273" t="s">
        <v>1106</v>
      </c>
      <c r="K273" t="s">
        <v>40</v>
      </c>
      <c r="L273" t="s">
        <v>63</v>
      </c>
      <c r="M273" t="s">
        <v>356</v>
      </c>
      <c r="N273" t="s">
        <v>45</v>
      </c>
      <c r="O273" t="s">
        <v>45</v>
      </c>
      <c r="P273" t="s">
        <v>169</v>
      </c>
      <c r="Q273" t="s">
        <v>41</v>
      </c>
      <c r="R273" t="s">
        <v>66</v>
      </c>
      <c r="S273" t="s">
        <v>1107</v>
      </c>
      <c r="T273" t="s">
        <v>1108</v>
      </c>
      <c r="U273" t="s">
        <v>40</v>
      </c>
      <c r="V273" t="s">
        <v>52</v>
      </c>
      <c r="W273" t="s">
        <v>36</v>
      </c>
      <c r="X273" t="s">
        <v>92</v>
      </c>
      <c r="Y273" t="s">
        <v>45</v>
      </c>
      <c r="Z273" t="s">
        <v>47</v>
      </c>
      <c r="AA273" t="s">
        <v>54</v>
      </c>
      <c r="AB273" t="s">
        <v>40</v>
      </c>
      <c r="AC273" t="s">
        <v>70</v>
      </c>
      <c r="AD273" t="s">
        <v>41</v>
      </c>
      <c r="AE273" t="s">
        <v>41</v>
      </c>
      <c r="AF273" t="s">
        <v>70</v>
      </c>
      <c r="AG273" t="s">
        <v>71</v>
      </c>
      <c r="AH273" t="s">
        <v>91</v>
      </c>
      <c r="AI273" t="s">
        <v>91</v>
      </c>
    </row>
    <row r="274" spans="1:35" x14ac:dyDescent="0.25">
      <c r="A274" t="s">
        <v>149</v>
      </c>
      <c r="B274" t="s">
        <v>59</v>
      </c>
      <c r="C274" t="s">
        <v>37</v>
      </c>
      <c r="D274" t="s">
        <v>1109</v>
      </c>
      <c r="E274" t="s">
        <v>62</v>
      </c>
      <c r="F274" t="s">
        <v>91</v>
      </c>
      <c r="G274" t="s">
        <v>45</v>
      </c>
      <c r="H274" t="s">
        <v>87</v>
      </c>
      <c r="I274" t="s">
        <v>40</v>
      </c>
      <c r="J274" t="s">
        <v>1110</v>
      </c>
      <c r="K274" t="s">
        <v>47</v>
      </c>
      <c r="L274" t="s">
        <v>63</v>
      </c>
      <c r="M274" t="s">
        <v>44</v>
      </c>
      <c r="N274" t="s">
        <v>45</v>
      </c>
      <c r="O274" t="s">
        <v>40</v>
      </c>
      <c r="P274" t="s">
        <v>65</v>
      </c>
      <c r="Q274" t="s">
        <v>47</v>
      </c>
      <c r="R274" t="s">
        <v>66</v>
      </c>
      <c r="S274" t="s">
        <v>1111</v>
      </c>
      <c r="T274" t="s">
        <v>555</v>
      </c>
      <c r="U274" t="s">
        <v>40</v>
      </c>
      <c r="V274" t="s">
        <v>52</v>
      </c>
      <c r="W274" t="s">
        <v>59</v>
      </c>
      <c r="X274" t="s">
        <v>69</v>
      </c>
      <c r="Y274" t="s">
        <v>47</v>
      </c>
      <c r="Z274" t="s">
        <v>47</v>
      </c>
      <c r="AA274" t="s">
        <v>54</v>
      </c>
      <c r="AB274" t="s">
        <v>40</v>
      </c>
      <c r="AC274" t="s">
        <v>57</v>
      </c>
      <c r="AD274" t="s">
        <v>45</v>
      </c>
      <c r="AE274" t="s">
        <v>41</v>
      </c>
      <c r="AF274" t="s">
        <v>57</v>
      </c>
      <c r="AG274" t="s">
        <v>41</v>
      </c>
      <c r="AH274" t="s">
        <v>55</v>
      </c>
      <c r="AI274" t="s">
        <v>47</v>
      </c>
    </row>
    <row r="275" spans="1:35" x14ac:dyDescent="0.25">
      <c r="A275" t="s">
        <v>72</v>
      </c>
      <c r="B275" t="s">
        <v>59</v>
      </c>
      <c r="C275" t="s">
        <v>37</v>
      </c>
      <c r="D275" t="s">
        <v>731</v>
      </c>
      <c r="E275" t="s">
        <v>39</v>
      </c>
      <c r="F275" t="s">
        <v>56</v>
      </c>
      <c r="G275" t="s">
        <v>47</v>
      </c>
      <c r="H275" t="s">
        <v>87</v>
      </c>
      <c r="I275" t="s">
        <v>40</v>
      </c>
      <c r="J275" t="s">
        <v>1112</v>
      </c>
      <c r="K275" t="s">
        <v>45</v>
      </c>
      <c r="L275" t="s">
        <v>63</v>
      </c>
      <c r="M275" t="s">
        <v>284</v>
      </c>
      <c r="N275" t="s">
        <v>45</v>
      </c>
      <c r="O275" t="s">
        <v>41</v>
      </c>
      <c r="P275" t="s">
        <v>46</v>
      </c>
      <c r="Q275" t="s">
        <v>47</v>
      </c>
      <c r="R275" t="s">
        <v>66</v>
      </c>
      <c r="S275" t="s">
        <v>1113</v>
      </c>
      <c r="T275" t="s">
        <v>1114</v>
      </c>
      <c r="U275" t="s">
        <v>47</v>
      </c>
      <c r="V275" t="s">
        <v>52</v>
      </c>
      <c r="W275" t="s">
        <v>59</v>
      </c>
      <c r="X275" t="s">
        <v>129</v>
      </c>
      <c r="Y275" t="s">
        <v>45</v>
      </c>
      <c r="Z275" t="s">
        <v>41</v>
      </c>
      <c r="AA275" t="s">
        <v>54</v>
      </c>
      <c r="AB275" t="s">
        <v>40</v>
      </c>
      <c r="AC275" t="s">
        <v>71</v>
      </c>
      <c r="AD275" t="s">
        <v>57</v>
      </c>
      <c r="AE275" t="s">
        <v>47</v>
      </c>
      <c r="AF275" t="s">
        <v>57</v>
      </c>
      <c r="AG275" t="s">
        <v>47</v>
      </c>
      <c r="AH275" t="s">
        <v>55</v>
      </c>
      <c r="AI275" t="s">
        <v>40</v>
      </c>
    </row>
    <row r="276" spans="1:35" x14ac:dyDescent="0.25">
      <c r="A276" t="s">
        <v>119</v>
      </c>
      <c r="B276" t="s">
        <v>59</v>
      </c>
      <c r="C276" t="s">
        <v>37</v>
      </c>
      <c r="D276" t="s">
        <v>1115</v>
      </c>
      <c r="E276" t="s">
        <v>62</v>
      </c>
      <c r="F276" t="s">
        <v>45</v>
      </c>
      <c r="G276" t="s">
        <v>41</v>
      </c>
      <c r="H276" t="s">
        <v>87</v>
      </c>
      <c r="I276" t="s">
        <v>40</v>
      </c>
      <c r="J276" t="s">
        <v>1116</v>
      </c>
      <c r="K276" t="s">
        <v>47</v>
      </c>
      <c r="L276" t="s">
        <v>63</v>
      </c>
      <c r="M276" t="s">
        <v>385</v>
      </c>
      <c r="N276" t="s">
        <v>41</v>
      </c>
      <c r="O276" t="s">
        <v>40</v>
      </c>
      <c r="P276" t="s">
        <v>65</v>
      </c>
      <c r="Q276" t="s">
        <v>45</v>
      </c>
      <c r="R276" t="s">
        <v>48</v>
      </c>
      <c r="S276" t="s">
        <v>1117</v>
      </c>
      <c r="T276" t="s">
        <v>1118</v>
      </c>
      <c r="U276" t="s">
        <v>40</v>
      </c>
      <c r="V276" t="s">
        <v>52</v>
      </c>
      <c r="W276" t="s">
        <v>59</v>
      </c>
      <c r="X276" t="s">
        <v>125</v>
      </c>
      <c r="Y276" t="s">
        <v>45</v>
      </c>
      <c r="Z276" t="s">
        <v>40</v>
      </c>
      <c r="AA276" t="s">
        <v>54</v>
      </c>
      <c r="AB276" t="s">
        <v>55</v>
      </c>
      <c r="AC276" t="s">
        <v>45</v>
      </c>
      <c r="AD276" t="s">
        <v>47</v>
      </c>
      <c r="AE276" t="s">
        <v>47</v>
      </c>
      <c r="AF276" t="s">
        <v>45</v>
      </c>
      <c r="AG276" t="s">
        <v>41</v>
      </c>
      <c r="AH276" t="s">
        <v>40</v>
      </c>
      <c r="AI276" t="s">
        <v>55</v>
      </c>
    </row>
    <row r="277" spans="1:35" x14ac:dyDescent="0.25">
      <c r="A277" t="s">
        <v>72</v>
      </c>
      <c r="B277" t="s">
        <v>59</v>
      </c>
      <c r="C277" t="s">
        <v>161</v>
      </c>
      <c r="D277" t="s">
        <v>1119</v>
      </c>
      <c r="E277" t="s">
        <v>62</v>
      </c>
      <c r="F277" t="s">
        <v>40</v>
      </c>
      <c r="G277" t="s">
        <v>47</v>
      </c>
      <c r="H277" t="s">
        <v>87</v>
      </c>
      <c r="I277" t="s">
        <v>40</v>
      </c>
      <c r="J277" t="s">
        <v>1120</v>
      </c>
      <c r="K277" t="s">
        <v>40</v>
      </c>
      <c r="L277" t="s">
        <v>43</v>
      </c>
      <c r="M277" t="s">
        <v>54</v>
      </c>
      <c r="N277" t="s">
        <v>45</v>
      </c>
      <c r="O277" t="s">
        <v>45</v>
      </c>
      <c r="P277" t="s">
        <v>186</v>
      </c>
      <c r="Q277" t="s">
        <v>47</v>
      </c>
      <c r="R277" t="s">
        <v>109</v>
      </c>
      <c r="S277" t="s">
        <v>1121</v>
      </c>
      <c r="T277" t="s">
        <v>1122</v>
      </c>
      <c r="U277" t="s">
        <v>41</v>
      </c>
      <c r="V277" t="s">
        <v>52</v>
      </c>
      <c r="W277" t="s">
        <v>36</v>
      </c>
      <c r="X277" t="s">
        <v>145</v>
      </c>
      <c r="Y277" t="s">
        <v>45</v>
      </c>
      <c r="Z277" t="s">
        <v>40</v>
      </c>
      <c r="AA277" t="s">
        <v>54</v>
      </c>
      <c r="AB277" t="s">
        <v>41</v>
      </c>
      <c r="AC277" t="s">
        <v>79</v>
      </c>
      <c r="AD277" t="s">
        <v>41</v>
      </c>
      <c r="AE277" t="s">
        <v>45</v>
      </c>
      <c r="AF277" t="s">
        <v>57</v>
      </c>
      <c r="AG277" t="s">
        <v>41</v>
      </c>
      <c r="AH277" t="s">
        <v>55</v>
      </c>
      <c r="AI277" t="s">
        <v>41</v>
      </c>
    </row>
    <row r="278" spans="1:35" x14ac:dyDescent="0.25">
      <c r="A278" t="s">
        <v>126</v>
      </c>
      <c r="B278" t="s">
        <v>59</v>
      </c>
      <c r="C278" t="s">
        <v>37</v>
      </c>
      <c r="D278" t="s">
        <v>1123</v>
      </c>
      <c r="E278" t="s">
        <v>62</v>
      </c>
      <c r="F278" t="s">
        <v>112</v>
      </c>
      <c r="G278" t="s">
        <v>45</v>
      </c>
      <c r="H278" t="s">
        <v>42</v>
      </c>
      <c r="I278" t="s">
        <v>40</v>
      </c>
      <c r="J278" t="s">
        <v>1124</v>
      </c>
      <c r="K278" t="s">
        <v>41</v>
      </c>
      <c r="L278" t="s">
        <v>43</v>
      </c>
      <c r="M278" t="s">
        <v>315</v>
      </c>
      <c r="N278" t="s">
        <v>47</v>
      </c>
      <c r="O278" t="s">
        <v>45</v>
      </c>
      <c r="P278" t="s">
        <v>169</v>
      </c>
      <c r="Q278" t="s">
        <v>41</v>
      </c>
      <c r="R278" t="s">
        <v>109</v>
      </c>
      <c r="S278" t="s">
        <v>1125</v>
      </c>
      <c r="T278" t="s">
        <v>1126</v>
      </c>
      <c r="U278" t="s">
        <v>71</v>
      </c>
      <c r="V278" t="s">
        <v>52</v>
      </c>
      <c r="W278" t="s">
        <v>59</v>
      </c>
      <c r="X278" t="s">
        <v>145</v>
      </c>
      <c r="Y278" t="s">
        <v>45</v>
      </c>
      <c r="Z278" t="s">
        <v>41</v>
      </c>
      <c r="AA278" t="s">
        <v>54</v>
      </c>
      <c r="AB278" t="s">
        <v>40</v>
      </c>
      <c r="AC278" t="s">
        <v>70</v>
      </c>
      <c r="AD278" t="s">
        <v>56</v>
      </c>
      <c r="AE278" t="s">
        <v>41</v>
      </c>
      <c r="AF278" t="s">
        <v>71</v>
      </c>
      <c r="AG278" t="s">
        <v>71</v>
      </c>
      <c r="AH278" t="s">
        <v>56</v>
      </c>
      <c r="AI278" t="s">
        <v>41</v>
      </c>
    </row>
    <row r="279" spans="1:35" x14ac:dyDescent="0.25">
      <c r="A279" t="s">
        <v>113</v>
      </c>
      <c r="B279" t="s">
        <v>59</v>
      </c>
      <c r="C279" t="s">
        <v>37</v>
      </c>
      <c r="D279" t="s">
        <v>1127</v>
      </c>
      <c r="E279" t="s">
        <v>39</v>
      </c>
      <c r="F279" t="s">
        <v>71</v>
      </c>
      <c r="G279" t="s">
        <v>41</v>
      </c>
      <c r="H279" t="s">
        <v>87</v>
      </c>
      <c r="I279" t="s">
        <v>40</v>
      </c>
      <c r="J279" t="s">
        <v>1128</v>
      </c>
      <c r="K279" t="s">
        <v>40</v>
      </c>
      <c r="L279" t="s">
        <v>43</v>
      </c>
      <c r="M279" t="s">
        <v>115</v>
      </c>
      <c r="N279" t="s">
        <v>47</v>
      </c>
      <c r="O279" t="s">
        <v>41</v>
      </c>
      <c r="P279" t="s">
        <v>46</v>
      </c>
      <c r="Q279" t="s">
        <v>40</v>
      </c>
      <c r="R279" t="s">
        <v>109</v>
      </c>
      <c r="S279" t="s">
        <v>669</v>
      </c>
      <c r="T279" t="s">
        <v>1129</v>
      </c>
      <c r="U279" t="s">
        <v>40</v>
      </c>
      <c r="V279" t="s">
        <v>52</v>
      </c>
      <c r="W279" t="s">
        <v>36</v>
      </c>
      <c r="X279" t="s">
        <v>107</v>
      </c>
      <c r="Y279" t="s">
        <v>47</v>
      </c>
      <c r="Z279" t="s">
        <v>45</v>
      </c>
      <c r="AA279" t="s">
        <v>54</v>
      </c>
      <c r="AB279" t="s">
        <v>40</v>
      </c>
      <c r="AC279" t="s">
        <v>51</v>
      </c>
      <c r="AD279" t="s">
        <v>45</v>
      </c>
      <c r="AE279" t="s">
        <v>45</v>
      </c>
      <c r="AF279" t="s">
        <v>51</v>
      </c>
      <c r="AG279" t="s">
        <v>55</v>
      </c>
      <c r="AH279" t="s">
        <v>71</v>
      </c>
      <c r="AI279" t="s">
        <v>71</v>
      </c>
    </row>
    <row r="280" spans="1:35" x14ac:dyDescent="0.25">
      <c r="A280" t="s">
        <v>139</v>
      </c>
      <c r="B280" t="s">
        <v>59</v>
      </c>
      <c r="C280" t="s">
        <v>60</v>
      </c>
      <c r="D280" t="s">
        <v>1130</v>
      </c>
      <c r="E280" t="s">
        <v>62</v>
      </c>
      <c r="F280" t="s">
        <v>40</v>
      </c>
      <c r="G280" t="s">
        <v>45</v>
      </c>
      <c r="H280" t="s">
        <v>42</v>
      </c>
      <c r="I280" t="s">
        <v>40</v>
      </c>
      <c r="J280" t="s">
        <v>1131</v>
      </c>
      <c r="K280" t="s">
        <v>45</v>
      </c>
      <c r="L280" t="s">
        <v>43</v>
      </c>
      <c r="M280" t="s">
        <v>130</v>
      </c>
      <c r="N280" t="s">
        <v>45</v>
      </c>
      <c r="O280" t="s">
        <v>41</v>
      </c>
      <c r="P280" t="s">
        <v>116</v>
      </c>
      <c r="Q280" t="s">
        <v>41</v>
      </c>
      <c r="R280" t="s">
        <v>109</v>
      </c>
      <c r="S280" t="s">
        <v>1132</v>
      </c>
      <c r="T280" t="s">
        <v>1133</v>
      </c>
      <c r="U280" t="s">
        <v>40</v>
      </c>
      <c r="V280" t="s">
        <v>52</v>
      </c>
      <c r="W280" t="s">
        <v>59</v>
      </c>
      <c r="X280" t="s">
        <v>104</v>
      </c>
      <c r="Y280" t="s">
        <v>47</v>
      </c>
      <c r="Z280" t="s">
        <v>40</v>
      </c>
      <c r="AA280" t="s">
        <v>54</v>
      </c>
      <c r="AB280" t="s">
        <v>40</v>
      </c>
      <c r="AC280" t="s">
        <v>56</v>
      </c>
      <c r="AD280" t="s">
        <v>56</v>
      </c>
      <c r="AE280" t="s">
        <v>40</v>
      </c>
      <c r="AF280" t="s">
        <v>56</v>
      </c>
      <c r="AG280" t="s">
        <v>57</v>
      </c>
      <c r="AH280" t="s">
        <v>40</v>
      </c>
      <c r="AI280" t="s">
        <v>47</v>
      </c>
    </row>
    <row r="281" spans="1:35" x14ac:dyDescent="0.25">
      <c r="A281" t="s">
        <v>151</v>
      </c>
      <c r="B281" t="s">
        <v>59</v>
      </c>
      <c r="C281" t="s">
        <v>37</v>
      </c>
      <c r="D281" t="s">
        <v>1134</v>
      </c>
      <c r="E281" t="s">
        <v>62</v>
      </c>
      <c r="F281" t="s">
        <v>47</v>
      </c>
      <c r="G281" t="s">
        <v>40</v>
      </c>
      <c r="H281" t="s">
        <v>42</v>
      </c>
      <c r="I281" t="s">
        <v>40</v>
      </c>
      <c r="J281" t="s">
        <v>1135</v>
      </c>
      <c r="K281" t="s">
        <v>40</v>
      </c>
      <c r="L281" t="s">
        <v>63</v>
      </c>
      <c r="M281" t="s">
        <v>163</v>
      </c>
      <c r="N281" t="s">
        <v>45</v>
      </c>
      <c r="O281" t="s">
        <v>57</v>
      </c>
      <c r="P281" t="s">
        <v>186</v>
      </c>
      <c r="Q281" t="s">
        <v>41</v>
      </c>
      <c r="R281" t="s">
        <v>109</v>
      </c>
      <c r="S281" t="s">
        <v>1136</v>
      </c>
      <c r="T281" t="s">
        <v>1137</v>
      </c>
      <c r="U281" t="s">
        <v>45</v>
      </c>
      <c r="V281" t="s">
        <v>52</v>
      </c>
      <c r="W281" t="s">
        <v>59</v>
      </c>
      <c r="X281" t="s">
        <v>129</v>
      </c>
      <c r="Y281" t="s">
        <v>45</v>
      </c>
      <c r="Z281" t="s">
        <v>40</v>
      </c>
      <c r="AA281" t="s">
        <v>54</v>
      </c>
      <c r="AB281" t="s">
        <v>41</v>
      </c>
      <c r="AC281" t="s">
        <v>149</v>
      </c>
      <c r="AD281" t="s">
        <v>47</v>
      </c>
      <c r="AE281" t="s">
        <v>41</v>
      </c>
      <c r="AF281" t="s">
        <v>70</v>
      </c>
      <c r="AG281" t="s">
        <v>47</v>
      </c>
      <c r="AH281" t="s">
        <v>40</v>
      </c>
      <c r="AI281" t="s">
        <v>56</v>
      </c>
    </row>
    <row r="282" spans="1:35" x14ac:dyDescent="0.25">
      <c r="A282" t="s">
        <v>166</v>
      </c>
      <c r="B282" t="s">
        <v>59</v>
      </c>
      <c r="C282" t="s">
        <v>37</v>
      </c>
      <c r="D282" t="s">
        <v>1138</v>
      </c>
      <c r="E282" t="s">
        <v>62</v>
      </c>
      <c r="F282" t="s">
        <v>45</v>
      </c>
      <c r="G282" t="s">
        <v>47</v>
      </c>
      <c r="H282" t="s">
        <v>87</v>
      </c>
      <c r="I282" t="s">
        <v>40</v>
      </c>
      <c r="J282" t="s">
        <v>1139</v>
      </c>
      <c r="K282" t="s">
        <v>45</v>
      </c>
      <c r="L282" t="s">
        <v>63</v>
      </c>
      <c r="M282" t="s">
        <v>174</v>
      </c>
      <c r="N282" t="s">
        <v>45</v>
      </c>
      <c r="O282" t="s">
        <v>47</v>
      </c>
      <c r="P282" t="s">
        <v>186</v>
      </c>
      <c r="Q282" t="s">
        <v>45</v>
      </c>
      <c r="R282" t="s">
        <v>66</v>
      </c>
      <c r="S282" t="s">
        <v>1140</v>
      </c>
      <c r="T282" t="s">
        <v>1141</v>
      </c>
      <c r="U282" t="s">
        <v>45</v>
      </c>
      <c r="V282" t="s">
        <v>52</v>
      </c>
      <c r="W282" t="s">
        <v>36</v>
      </c>
      <c r="X282" t="s">
        <v>128</v>
      </c>
      <c r="Y282" t="s">
        <v>45</v>
      </c>
      <c r="Z282" t="s">
        <v>47</v>
      </c>
      <c r="AA282" t="s">
        <v>54</v>
      </c>
      <c r="AB282" t="s">
        <v>45</v>
      </c>
      <c r="AC282" t="s">
        <v>119</v>
      </c>
      <c r="AD282" t="s">
        <v>57</v>
      </c>
      <c r="AE282" t="s">
        <v>41</v>
      </c>
      <c r="AF282" t="s">
        <v>57</v>
      </c>
      <c r="AG282" t="s">
        <v>45</v>
      </c>
      <c r="AH282" t="s">
        <v>40</v>
      </c>
      <c r="AI282" t="s">
        <v>45</v>
      </c>
    </row>
    <row r="283" spans="1:35" x14ac:dyDescent="0.25">
      <c r="A283" t="s">
        <v>204</v>
      </c>
      <c r="B283" t="s">
        <v>59</v>
      </c>
      <c r="C283" t="s">
        <v>37</v>
      </c>
      <c r="D283" t="s">
        <v>873</v>
      </c>
      <c r="E283" t="s">
        <v>39</v>
      </c>
      <c r="F283" t="s">
        <v>40</v>
      </c>
      <c r="G283" t="s">
        <v>40</v>
      </c>
      <c r="H283" t="s">
        <v>42</v>
      </c>
      <c r="I283" t="s">
        <v>40</v>
      </c>
      <c r="J283" t="s">
        <v>1142</v>
      </c>
      <c r="K283" t="s">
        <v>41</v>
      </c>
      <c r="L283" t="s">
        <v>63</v>
      </c>
      <c r="M283" t="s">
        <v>338</v>
      </c>
      <c r="N283" t="s">
        <v>45</v>
      </c>
      <c r="O283" t="s">
        <v>41</v>
      </c>
      <c r="P283" t="s">
        <v>46</v>
      </c>
      <c r="Q283" t="s">
        <v>45</v>
      </c>
      <c r="R283" t="s">
        <v>66</v>
      </c>
      <c r="S283" t="s">
        <v>1143</v>
      </c>
      <c r="T283" t="s">
        <v>1144</v>
      </c>
      <c r="U283" t="s">
        <v>40</v>
      </c>
      <c r="V283" t="s">
        <v>52</v>
      </c>
      <c r="W283" t="s">
        <v>59</v>
      </c>
      <c r="X283" t="s">
        <v>172</v>
      </c>
      <c r="Y283" t="s">
        <v>47</v>
      </c>
      <c r="Z283" t="s">
        <v>45</v>
      </c>
      <c r="AA283" t="s">
        <v>54</v>
      </c>
      <c r="AB283" t="s">
        <v>55</v>
      </c>
      <c r="AC283" t="s">
        <v>104</v>
      </c>
      <c r="AD283" t="s">
        <v>45</v>
      </c>
      <c r="AE283" t="s">
        <v>45</v>
      </c>
      <c r="AF283" t="s">
        <v>104</v>
      </c>
      <c r="AG283" t="s">
        <v>128</v>
      </c>
      <c r="AH283" t="s">
        <v>53</v>
      </c>
      <c r="AI283" t="s">
        <v>56</v>
      </c>
    </row>
    <row r="284" spans="1:35" x14ac:dyDescent="0.25">
      <c r="A284" t="s">
        <v>133</v>
      </c>
      <c r="B284" t="s">
        <v>59</v>
      </c>
      <c r="C284" t="s">
        <v>60</v>
      </c>
      <c r="D284" t="s">
        <v>1145</v>
      </c>
      <c r="E284" t="s">
        <v>39</v>
      </c>
      <c r="F284" t="s">
        <v>41</v>
      </c>
      <c r="G284" t="s">
        <v>41</v>
      </c>
      <c r="H284" t="s">
        <v>42</v>
      </c>
      <c r="I284" t="s">
        <v>40</v>
      </c>
      <c r="J284" t="s">
        <v>1146</v>
      </c>
      <c r="K284" t="s">
        <v>41</v>
      </c>
      <c r="L284" t="s">
        <v>63</v>
      </c>
      <c r="M284" t="s">
        <v>115</v>
      </c>
      <c r="N284" t="s">
        <v>45</v>
      </c>
      <c r="O284" t="s">
        <v>41</v>
      </c>
      <c r="P284" t="s">
        <v>46</v>
      </c>
      <c r="Q284" t="s">
        <v>47</v>
      </c>
      <c r="R284" t="s">
        <v>48</v>
      </c>
      <c r="S284" t="s">
        <v>1147</v>
      </c>
      <c r="T284" t="s">
        <v>1148</v>
      </c>
      <c r="U284" t="s">
        <v>40</v>
      </c>
      <c r="V284" t="s">
        <v>52</v>
      </c>
      <c r="W284" t="s">
        <v>59</v>
      </c>
      <c r="X284" t="s">
        <v>145</v>
      </c>
      <c r="Y284" t="s">
        <v>45</v>
      </c>
      <c r="Z284" t="s">
        <v>40</v>
      </c>
      <c r="AA284" t="s">
        <v>54</v>
      </c>
      <c r="AB284" t="s">
        <v>55</v>
      </c>
      <c r="AC284" t="s">
        <v>70</v>
      </c>
      <c r="AD284" t="s">
        <v>45</v>
      </c>
      <c r="AE284" t="s">
        <v>41</v>
      </c>
      <c r="AF284" t="s">
        <v>70</v>
      </c>
      <c r="AG284" t="s">
        <v>71</v>
      </c>
      <c r="AH284" t="s">
        <v>55</v>
      </c>
      <c r="AI284" t="s">
        <v>91</v>
      </c>
    </row>
    <row r="285" spans="1:35" x14ac:dyDescent="0.25">
      <c r="A285" t="s">
        <v>263</v>
      </c>
      <c r="B285" t="s">
        <v>59</v>
      </c>
      <c r="C285" t="s">
        <v>37</v>
      </c>
      <c r="D285" t="s">
        <v>520</v>
      </c>
      <c r="E285" t="s">
        <v>62</v>
      </c>
      <c r="F285" t="s">
        <v>104</v>
      </c>
      <c r="G285" t="s">
        <v>41</v>
      </c>
      <c r="H285" t="s">
        <v>228</v>
      </c>
      <c r="I285" t="s">
        <v>40</v>
      </c>
      <c r="J285" t="s">
        <v>1149</v>
      </c>
      <c r="K285" t="s">
        <v>41</v>
      </c>
      <c r="L285" t="s">
        <v>63</v>
      </c>
      <c r="M285" t="s">
        <v>72</v>
      </c>
      <c r="N285" t="s">
        <v>45</v>
      </c>
      <c r="O285" t="s">
        <v>41</v>
      </c>
      <c r="P285" t="s">
        <v>76</v>
      </c>
      <c r="Q285" t="s">
        <v>47</v>
      </c>
      <c r="R285" t="s">
        <v>66</v>
      </c>
      <c r="S285" t="s">
        <v>1150</v>
      </c>
      <c r="T285" t="s">
        <v>1151</v>
      </c>
      <c r="U285" t="s">
        <v>45</v>
      </c>
      <c r="V285" t="s">
        <v>52</v>
      </c>
      <c r="W285" t="s">
        <v>36</v>
      </c>
      <c r="X285" t="s">
        <v>144</v>
      </c>
      <c r="Y285" t="s">
        <v>45</v>
      </c>
      <c r="Z285" t="s">
        <v>47</v>
      </c>
      <c r="AA285" t="s">
        <v>54</v>
      </c>
      <c r="AB285" t="s">
        <v>40</v>
      </c>
      <c r="AC285" t="s">
        <v>92</v>
      </c>
      <c r="AD285" t="s">
        <v>47</v>
      </c>
      <c r="AE285" t="s">
        <v>45</v>
      </c>
      <c r="AF285" t="s">
        <v>70</v>
      </c>
      <c r="AG285" t="s">
        <v>71</v>
      </c>
      <c r="AH285" t="s">
        <v>55</v>
      </c>
      <c r="AI285" t="s">
        <v>51</v>
      </c>
    </row>
    <row r="286" spans="1:35" x14ac:dyDescent="0.25">
      <c r="A286" t="s">
        <v>139</v>
      </c>
      <c r="B286" t="s">
        <v>59</v>
      </c>
      <c r="C286" t="s">
        <v>60</v>
      </c>
      <c r="D286" t="s">
        <v>1152</v>
      </c>
      <c r="E286" t="s">
        <v>62</v>
      </c>
      <c r="F286" t="s">
        <v>53</v>
      </c>
      <c r="G286" t="s">
        <v>41</v>
      </c>
      <c r="H286" t="s">
        <v>87</v>
      </c>
      <c r="I286" t="s">
        <v>40</v>
      </c>
      <c r="J286" t="s">
        <v>1153</v>
      </c>
      <c r="K286" t="s">
        <v>40</v>
      </c>
      <c r="L286" t="s">
        <v>63</v>
      </c>
      <c r="M286" t="s">
        <v>275</v>
      </c>
      <c r="N286" t="s">
        <v>45</v>
      </c>
      <c r="O286" t="s">
        <v>41</v>
      </c>
      <c r="P286" t="s">
        <v>122</v>
      </c>
      <c r="Q286" t="s">
        <v>40</v>
      </c>
      <c r="R286" t="s">
        <v>66</v>
      </c>
      <c r="S286" t="s">
        <v>1154</v>
      </c>
      <c r="T286" t="s">
        <v>1155</v>
      </c>
      <c r="U286" t="s">
        <v>40</v>
      </c>
      <c r="V286" t="s">
        <v>52</v>
      </c>
      <c r="W286" t="s">
        <v>36</v>
      </c>
      <c r="X286" t="s">
        <v>98</v>
      </c>
      <c r="Y286" t="s">
        <v>45</v>
      </c>
      <c r="Z286" t="s">
        <v>45</v>
      </c>
      <c r="AA286" t="s">
        <v>54</v>
      </c>
      <c r="AB286" t="s">
        <v>40</v>
      </c>
      <c r="AC286" t="s">
        <v>57</v>
      </c>
      <c r="AD286" t="s">
        <v>45</v>
      </c>
      <c r="AE286" t="s">
        <v>45</v>
      </c>
      <c r="AF286" t="s">
        <v>57</v>
      </c>
      <c r="AG286" t="s">
        <v>45</v>
      </c>
      <c r="AH286" t="s">
        <v>45</v>
      </c>
      <c r="AI286" t="s">
        <v>45</v>
      </c>
    </row>
    <row r="287" spans="1:35" x14ac:dyDescent="0.25">
      <c r="A287" t="s">
        <v>72</v>
      </c>
      <c r="B287" t="s">
        <v>59</v>
      </c>
      <c r="C287" t="s">
        <v>37</v>
      </c>
      <c r="D287" t="s">
        <v>1156</v>
      </c>
      <c r="E287" t="s">
        <v>62</v>
      </c>
      <c r="F287" t="s">
        <v>40</v>
      </c>
      <c r="G287" t="s">
        <v>45</v>
      </c>
      <c r="H287" t="s">
        <v>42</v>
      </c>
      <c r="I287" t="s">
        <v>40</v>
      </c>
      <c r="J287" t="s">
        <v>189</v>
      </c>
      <c r="K287" t="s">
        <v>47</v>
      </c>
      <c r="L287" t="s">
        <v>43</v>
      </c>
      <c r="M287" t="s">
        <v>204</v>
      </c>
      <c r="N287" t="s">
        <v>45</v>
      </c>
      <c r="O287" t="s">
        <v>40</v>
      </c>
      <c r="P287" t="s">
        <v>65</v>
      </c>
      <c r="Q287" t="s">
        <v>47</v>
      </c>
      <c r="R287" t="s">
        <v>48</v>
      </c>
      <c r="S287" t="s">
        <v>1157</v>
      </c>
      <c r="T287" t="s">
        <v>1158</v>
      </c>
      <c r="U287" t="s">
        <v>40</v>
      </c>
      <c r="V287" t="s">
        <v>52</v>
      </c>
      <c r="W287" t="s">
        <v>59</v>
      </c>
      <c r="X287" t="s">
        <v>92</v>
      </c>
      <c r="Y287" t="s">
        <v>45</v>
      </c>
      <c r="Z287" t="s">
        <v>41</v>
      </c>
      <c r="AA287" t="s">
        <v>54</v>
      </c>
      <c r="AB287" t="s">
        <v>55</v>
      </c>
      <c r="AC287" t="s">
        <v>125</v>
      </c>
      <c r="AD287" t="s">
        <v>45</v>
      </c>
      <c r="AE287" t="s">
        <v>45</v>
      </c>
      <c r="AF287" t="s">
        <v>125</v>
      </c>
      <c r="AG287" t="s">
        <v>92</v>
      </c>
      <c r="AH287" t="s">
        <v>57</v>
      </c>
      <c r="AI287" t="s">
        <v>71</v>
      </c>
    </row>
    <row r="288" spans="1:35" x14ac:dyDescent="0.25">
      <c r="A288" t="s">
        <v>115</v>
      </c>
      <c r="B288" t="s">
        <v>36</v>
      </c>
      <c r="C288" t="s">
        <v>60</v>
      </c>
      <c r="D288" t="s">
        <v>1159</v>
      </c>
      <c r="E288" t="s">
        <v>62</v>
      </c>
      <c r="F288" t="s">
        <v>107</v>
      </c>
      <c r="G288" t="s">
        <v>45</v>
      </c>
      <c r="H288" t="s">
        <v>42</v>
      </c>
      <c r="I288" t="s">
        <v>40</v>
      </c>
      <c r="J288" t="s">
        <v>1160</v>
      </c>
      <c r="K288" t="s">
        <v>47</v>
      </c>
      <c r="L288" t="s">
        <v>63</v>
      </c>
      <c r="M288" t="s">
        <v>234</v>
      </c>
      <c r="N288" t="s">
        <v>45</v>
      </c>
      <c r="O288" t="s">
        <v>40</v>
      </c>
      <c r="P288" t="s">
        <v>76</v>
      </c>
      <c r="Q288" t="s">
        <v>45</v>
      </c>
      <c r="R288" t="s">
        <v>109</v>
      </c>
      <c r="S288" t="s">
        <v>1161</v>
      </c>
      <c r="T288" t="s">
        <v>1162</v>
      </c>
      <c r="U288" t="s">
        <v>45</v>
      </c>
      <c r="V288" t="s">
        <v>52</v>
      </c>
      <c r="W288" t="s">
        <v>36</v>
      </c>
      <c r="X288" t="s">
        <v>112</v>
      </c>
      <c r="Y288" t="s">
        <v>47</v>
      </c>
      <c r="Z288" t="s">
        <v>47</v>
      </c>
      <c r="AA288" t="s">
        <v>54</v>
      </c>
      <c r="AB288" t="s">
        <v>40</v>
      </c>
      <c r="AC288" t="s">
        <v>144</v>
      </c>
      <c r="AD288" t="s">
        <v>55</v>
      </c>
      <c r="AE288" t="s">
        <v>40</v>
      </c>
      <c r="AF288" t="s">
        <v>40</v>
      </c>
      <c r="AG288" t="s">
        <v>55</v>
      </c>
      <c r="AH288" t="s">
        <v>55</v>
      </c>
      <c r="AI288" t="s">
        <v>55</v>
      </c>
    </row>
    <row r="289" spans="1:35" x14ac:dyDescent="0.25">
      <c r="A289" t="s">
        <v>113</v>
      </c>
      <c r="B289" t="s">
        <v>59</v>
      </c>
      <c r="C289" t="s">
        <v>37</v>
      </c>
      <c r="D289" t="s">
        <v>1163</v>
      </c>
      <c r="E289" t="s">
        <v>62</v>
      </c>
      <c r="F289" t="s">
        <v>69</v>
      </c>
      <c r="G289" t="s">
        <v>47</v>
      </c>
      <c r="H289" t="s">
        <v>42</v>
      </c>
      <c r="I289" t="s">
        <v>40</v>
      </c>
      <c r="J289" t="s">
        <v>1164</v>
      </c>
      <c r="K289" t="s">
        <v>47</v>
      </c>
      <c r="L289" t="s">
        <v>63</v>
      </c>
      <c r="M289" t="s">
        <v>181</v>
      </c>
      <c r="N289" t="s">
        <v>45</v>
      </c>
      <c r="O289" t="s">
        <v>41</v>
      </c>
      <c r="P289" t="s">
        <v>122</v>
      </c>
      <c r="Q289" t="s">
        <v>47</v>
      </c>
      <c r="R289" t="s">
        <v>109</v>
      </c>
      <c r="S289" t="s">
        <v>1165</v>
      </c>
      <c r="T289" t="s">
        <v>1166</v>
      </c>
      <c r="U289" t="s">
        <v>91</v>
      </c>
      <c r="V289" t="s">
        <v>52</v>
      </c>
      <c r="W289" t="s">
        <v>59</v>
      </c>
      <c r="X289" t="s">
        <v>129</v>
      </c>
      <c r="Y289" t="s">
        <v>45</v>
      </c>
      <c r="Z289" t="s">
        <v>41</v>
      </c>
      <c r="AA289" t="s">
        <v>54</v>
      </c>
      <c r="AB289" t="s">
        <v>40</v>
      </c>
      <c r="AC289" t="s">
        <v>70</v>
      </c>
      <c r="AD289" t="s">
        <v>41</v>
      </c>
      <c r="AE289" t="s">
        <v>45</v>
      </c>
      <c r="AF289" t="s">
        <v>41</v>
      </c>
      <c r="AG289" t="s">
        <v>41</v>
      </c>
      <c r="AH289" t="s">
        <v>40</v>
      </c>
      <c r="AI289" t="s">
        <v>41</v>
      </c>
    </row>
    <row r="290" spans="1:35" x14ac:dyDescent="0.25">
      <c r="A290" t="s">
        <v>139</v>
      </c>
      <c r="B290" t="s">
        <v>36</v>
      </c>
      <c r="C290" t="s">
        <v>37</v>
      </c>
      <c r="D290" t="s">
        <v>1167</v>
      </c>
      <c r="E290" t="s">
        <v>62</v>
      </c>
      <c r="F290" t="s">
        <v>128</v>
      </c>
      <c r="G290" t="s">
        <v>47</v>
      </c>
      <c r="H290" t="s">
        <v>87</v>
      </c>
      <c r="I290" t="s">
        <v>40</v>
      </c>
      <c r="J290" t="s">
        <v>549</v>
      </c>
      <c r="K290" t="s">
        <v>40</v>
      </c>
      <c r="L290" t="s">
        <v>63</v>
      </c>
      <c r="M290" t="s">
        <v>174</v>
      </c>
      <c r="N290" t="s">
        <v>45</v>
      </c>
      <c r="O290" t="s">
        <v>40</v>
      </c>
      <c r="P290" t="s">
        <v>76</v>
      </c>
      <c r="Q290" t="s">
        <v>41</v>
      </c>
      <c r="R290" t="s">
        <v>109</v>
      </c>
      <c r="S290" t="s">
        <v>1168</v>
      </c>
      <c r="T290" t="s">
        <v>1169</v>
      </c>
      <c r="U290" t="s">
        <v>41</v>
      </c>
      <c r="V290" t="s">
        <v>52</v>
      </c>
      <c r="W290" t="s">
        <v>36</v>
      </c>
      <c r="X290" t="s">
        <v>98</v>
      </c>
      <c r="Y290" t="s">
        <v>45</v>
      </c>
      <c r="Z290" t="s">
        <v>47</v>
      </c>
      <c r="AA290" t="s">
        <v>54</v>
      </c>
      <c r="AB290" t="s">
        <v>40</v>
      </c>
      <c r="AC290" t="s">
        <v>57</v>
      </c>
      <c r="AD290" t="s">
        <v>41</v>
      </c>
      <c r="AE290" t="s">
        <v>45</v>
      </c>
      <c r="AF290" t="s">
        <v>45</v>
      </c>
      <c r="AG290" t="s">
        <v>41</v>
      </c>
      <c r="AH290" t="s">
        <v>55</v>
      </c>
      <c r="AI290" t="s">
        <v>41</v>
      </c>
    </row>
    <row r="291" spans="1:35" x14ac:dyDescent="0.25">
      <c r="A291" t="s">
        <v>149</v>
      </c>
      <c r="B291" t="s">
        <v>59</v>
      </c>
      <c r="C291" t="s">
        <v>37</v>
      </c>
      <c r="D291" t="s">
        <v>1170</v>
      </c>
      <c r="E291" t="s">
        <v>62</v>
      </c>
      <c r="F291" t="s">
        <v>51</v>
      </c>
      <c r="G291" t="s">
        <v>41</v>
      </c>
      <c r="H291" t="s">
        <v>42</v>
      </c>
      <c r="I291" t="s">
        <v>40</v>
      </c>
      <c r="J291" t="s">
        <v>1171</v>
      </c>
      <c r="K291" t="s">
        <v>47</v>
      </c>
      <c r="L291" t="s">
        <v>43</v>
      </c>
      <c r="M291" t="s">
        <v>375</v>
      </c>
      <c r="N291" t="s">
        <v>45</v>
      </c>
      <c r="O291" t="s">
        <v>40</v>
      </c>
      <c r="P291" t="s">
        <v>65</v>
      </c>
      <c r="Q291" t="s">
        <v>47</v>
      </c>
      <c r="R291" t="s">
        <v>48</v>
      </c>
      <c r="S291" t="s">
        <v>1172</v>
      </c>
      <c r="T291" t="s">
        <v>1173</v>
      </c>
      <c r="U291" t="s">
        <v>40</v>
      </c>
      <c r="V291" t="s">
        <v>52</v>
      </c>
      <c r="W291" t="s">
        <v>59</v>
      </c>
      <c r="X291" t="s">
        <v>119</v>
      </c>
      <c r="Y291" t="s">
        <v>47</v>
      </c>
      <c r="Z291" t="s">
        <v>47</v>
      </c>
      <c r="AA291" t="s">
        <v>54</v>
      </c>
      <c r="AB291" t="s">
        <v>55</v>
      </c>
      <c r="AC291" t="s">
        <v>57</v>
      </c>
      <c r="AD291" t="s">
        <v>45</v>
      </c>
      <c r="AE291" t="s">
        <v>45</v>
      </c>
      <c r="AF291" t="s">
        <v>57</v>
      </c>
      <c r="AG291" t="s">
        <v>45</v>
      </c>
      <c r="AH291" t="s">
        <v>55</v>
      </c>
      <c r="AI291" t="s">
        <v>41</v>
      </c>
    </row>
    <row r="292" spans="1:35" x14ac:dyDescent="0.25">
      <c r="A292" t="s">
        <v>58</v>
      </c>
      <c r="B292" t="s">
        <v>59</v>
      </c>
      <c r="C292" t="s">
        <v>60</v>
      </c>
      <c r="D292" t="s">
        <v>1174</v>
      </c>
      <c r="E292" t="s">
        <v>62</v>
      </c>
      <c r="F292" t="s">
        <v>70</v>
      </c>
      <c r="G292" t="s">
        <v>47</v>
      </c>
      <c r="H292" t="s">
        <v>42</v>
      </c>
      <c r="I292" t="s">
        <v>40</v>
      </c>
      <c r="J292" t="s">
        <v>1175</v>
      </c>
      <c r="K292" t="s">
        <v>45</v>
      </c>
      <c r="L292" t="s">
        <v>43</v>
      </c>
      <c r="M292" t="s">
        <v>126</v>
      </c>
      <c r="N292" t="s">
        <v>45</v>
      </c>
      <c r="O292" t="s">
        <v>57</v>
      </c>
      <c r="P292" t="s">
        <v>186</v>
      </c>
      <c r="Q292" t="s">
        <v>40</v>
      </c>
      <c r="R292" t="s">
        <v>48</v>
      </c>
      <c r="S292" t="s">
        <v>1176</v>
      </c>
      <c r="T292" t="s">
        <v>1177</v>
      </c>
      <c r="U292" t="s">
        <v>91</v>
      </c>
      <c r="V292" t="s">
        <v>52</v>
      </c>
      <c r="W292" t="s">
        <v>36</v>
      </c>
      <c r="X292" t="s">
        <v>53</v>
      </c>
      <c r="Y292" t="s">
        <v>45</v>
      </c>
      <c r="Z292" t="s">
        <v>47</v>
      </c>
      <c r="AA292" t="s">
        <v>54</v>
      </c>
      <c r="AB292" t="s">
        <v>55</v>
      </c>
      <c r="AC292" t="s">
        <v>112</v>
      </c>
      <c r="AD292" t="s">
        <v>47</v>
      </c>
      <c r="AE292" t="s">
        <v>45</v>
      </c>
      <c r="AF292" t="s">
        <v>45</v>
      </c>
      <c r="AG292" t="s">
        <v>41</v>
      </c>
      <c r="AH292" t="s">
        <v>40</v>
      </c>
      <c r="AI292" t="s">
        <v>41</v>
      </c>
    </row>
    <row r="293" spans="1:35" x14ac:dyDescent="0.25">
      <c r="A293" t="s">
        <v>120</v>
      </c>
      <c r="B293" t="s">
        <v>59</v>
      </c>
      <c r="C293" t="s">
        <v>37</v>
      </c>
      <c r="D293" t="s">
        <v>1178</v>
      </c>
      <c r="E293" t="s">
        <v>62</v>
      </c>
      <c r="F293" t="s">
        <v>45</v>
      </c>
      <c r="G293" t="s">
        <v>45</v>
      </c>
      <c r="H293" t="s">
        <v>228</v>
      </c>
      <c r="I293" t="s">
        <v>40</v>
      </c>
      <c r="J293" t="s">
        <v>392</v>
      </c>
      <c r="K293" t="s">
        <v>45</v>
      </c>
      <c r="L293" t="s">
        <v>63</v>
      </c>
      <c r="M293" t="s">
        <v>105</v>
      </c>
      <c r="N293" t="s">
        <v>45</v>
      </c>
      <c r="O293" t="s">
        <v>41</v>
      </c>
      <c r="P293" t="s">
        <v>65</v>
      </c>
      <c r="Q293" t="s">
        <v>41</v>
      </c>
      <c r="R293" t="s">
        <v>48</v>
      </c>
      <c r="S293" t="s">
        <v>1179</v>
      </c>
      <c r="T293" t="s">
        <v>1180</v>
      </c>
      <c r="U293" t="s">
        <v>47</v>
      </c>
      <c r="V293" t="s">
        <v>52</v>
      </c>
      <c r="W293" t="s">
        <v>59</v>
      </c>
      <c r="X293" t="s">
        <v>92</v>
      </c>
      <c r="Y293" t="s">
        <v>45</v>
      </c>
      <c r="Z293" t="s">
        <v>47</v>
      </c>
      <c r="AA293" t="s">
        <v>54</v>
      </c>
      <c r="AB293" t="s">
        <v>55</v>
      </c>
      <c r="AC293" t="s">
        <v>70</v>
      </c>
      <c r="AD293" t="s">
        <v>41</v>
      </c>
      <c r="AE293" t="s">
        <v>45</v>
      </c>
      <c r="AF293" t="s">
        <v>51</v>
      </c>
      <c r="AG293" t="s">
        <v>55</v>
      </c>
      <c r="AH293" t="s">
        <v>71</v>
      </c>
      <c r="AI293" t="s">
        <v>71</v>
      </c>
    </row>
    <row r="294" spans="1:35" x14ac:dyDescent="0.25">
      <c r="A294" t="s">
        <v>137</v>
      </c>
      <c r="B294" t="s">
        <v>59</v>
      </c>
      <c r="C294" t="s">
        <v>60</v>
      </c>
      <c r="D294" t="s">
        <v>1181</v>
      </c>
      <c r="E294" t="s">
        <v>39</v>
      </c>
      <c r="F294" t="s">
        <v>57</v>
      </c>
      <c r="G294" t="s">
        <v>45</v>
      </c>
      <c r="H294" t="s">
        <v>206</v>
      </c>
      <c r="I294" t="s">
        <v>40</v>
      </c>
      <c r="J294" t="s">
        <v>1182</v>
      </c>
      <c r="K294" t="s">
        <v>47</v>
      </c>
      <c r="L294" t="s">
        <v>43</v>
      </c>
      <c r="M294" t="s">
        <v>130</v>
      </c>
      <c r="N294" t="s">
        <v>45</v>
      </c>
      <c r="O294" t="s">
        <v>40</v>
      </c>
      <c r="P294" t="s">
        <v>182</v>
      </c>
      <c r="Q294" t="s">
        <v>41</v>
      </c>
      <c r="R294" t="s">
        <v>109</v>
      </c>
      <c r="S294" t="s">
        <v>1183</v>
      </c>
      <c r="T294" t="s">
        <v>1184</v>
      </c>
      <c r="U294" t="s">
        <v>40</v>
      </c>
      <c r="V294" t="s">
        <v>52</v>
      </c>
      <c r="W294" t="s">
        <v>59</v>
      </c>
      <c r="X294" t="s">
        <v>53</v>
      </c>
      <c r="Y294" t="s">
        <v>45</v>
      </c>
      <c r="Z294" t="s">
        <v>45</v>
      </c>
      <c r="AA294" t="s">
        <v>54</v>
      </c>
      <c r="AB294" t="s">
        <v>40</v>
      </c>
      <c r="AC294" t="s">
        <v>41</v>
      </c>
      <c r="AD294" t="s">
        <v>57</v>
      </c>
      <c r="AE294" t="s">
        <v>41</v>
      </c>
      <c r="AF294" t="s">
        <v>41</v>
      </c>
      <c r="AG294" t="s">
        <v>41</v>
      </c>
      <c r="AH294" t="s">
        <v>41</v>
      </c>
      <c r="AI294" t="s">
        <v>41</v>
      </c>
    </row>
    <row r="295" spans="1:35" x14ac:dyDescent="0.25">
      <c r="A295" t="s">
        <v>139</v>
      </c>
      <c r="B295" t="s">
        <v>36</v>
      </c>
      <c r="C295" t="s">
        <v>37</v>
      </c>
      <c r="D295" t="s">
        <v>1185</v>
      </c>
      <c r="E295" t="s">
        <v>39</v>
      </c>
      <c r="F295" t="s">
        <v>47</v>
      </c>
      <c r="G295" t="s">
        <v>47</v>
      </c>
      <c r="H295" t="s">
        <v>206</v>
      </c>
      <c r="I295" t="s">
        <v>40</v>
      </c>
      <c r="J295" t="s">
        <v>1186</v>
      </c>
      <c r="K295" t="s">
        <v>47</v>
      </c>
      <c r="L295" t="s">
        <v>63</v>
      </c>
      <c r="M295" t="s">
        <v>207</v>
      </c>
      <c r="N295" t="s">
        <v>41</v>
      </c>
      <c r="O295" t="s">
        <v>41</v>
      </c>
      <c r="P295" t="s">
        <v>46</v>
      </c>
      <c r="Q295" t="s">
        <v>47</v>
      </c>
      <c r="R295" t="s">
        <v>48</v>
      </c>
      <c r="S295" t="s">
        <v>1187</v>
      </c>
      <c r="T295" t="s">
        <v>1188</v>
      </c>
      <c r="U295" t="s">
        <v>40</v>
      </c>
      <c r="V295" t="s">
        <v>52</v>
      </c>
      <c r="W295" t="s">
        <v>36</v>
      </c>
      <c r="X295" t="s">
        <v>92</v>
      </c>
      <c r="Y295" t="s">
        <v>45</v>
      </c>
      <c r="Z295" t="s">
        <v>41</v>
      </c>
      <c r="AA295" t="s">
        <v>54</v>
      </c>
      <c r="AB295" t="s">
        <v>55</v>
      </c>
      <c r="AC295" t="s">
        <v>51</v>
      </c>
      <c r="AD295" t="s">
        <v>55</v>
      </c>
      <c r="AE295" t="s">
        <v>45</v>
      </c>
      <c r="AF295" t="s">
        <v>51</v>
      </c>
      <c r="AG295" t="s">
        <v>71</v>
      </c>
      <c r="AH295" t="s">
        <v>71</v>
      </c>
      <c r="AI295" t="s">
        <v>47</v>
      </c>
    </row>
    <row r="296" spans="1:35" x14ac:dyDescent="0.25">
      <c r="A296" t="s">
        <v>72</v>
      </c>
      <c r="B296" t="s">
        <v>59</v>
      </c>
      <c r="C296" t="s">
        <v>60</v>
      </c>
      <c r="D296" t="s">
        <v>1189</v>
      </c>
      <c r="E296" t="s">
        <v>62</v>
      </c>
      <c r="F296" t="s">
        <v>91</v>
      </c>
      <c r="G296" t="s">
        <v>45</v>
      </c>
      <c r="H296" t="s">
        <v>87</v>
      </c>
      <c r="I296" t="s">
        <v>40</v>
      </c>
      <c r="J296" t="s">
        <v>1190</v>
      </c>
      <c r="K296" t="s">
        <v>41</v>
      </c>
      <c r="L296" t="s">
        <v>63</v>
      </c>
      <c r="M296" t="s">
        <v>166</v>
      </c>
      <c r="N296" t="s">
        <v>45</v>
      </c>
      <c r="O296" t="s">
        <v>40</v>
      </c>
      <c r="P296" t="s">
        <v>65</v>
      </c>
      <c r="Q296" t="s">
        <v>47</v>
      </c>
      <c r="R296" t="s">
        <v>66</v>
      </c>
      <c r="S296" t="s">
        <v>1191</v>
      </c>
      <c r="T296" t="s">
        <v>1192</v>
      </c>
      <c r="U296" t="s">
        <v>40</v>
      </c>
      <c r="V296" t="s">
        <v>52</v>
      </c>
      <c r="W296" t="s">
        <v>36</v>
      </c>
      <c r="X296" t="s">
        <v>92</v>
      </c>
      <c r="Y296" t="s">
        <v>45</v>
      </c>
      <c r="Z296" t="s">
        <v>45</v>
      </c>
      <c r="AA296" t="s">
        <v>54</v>
      </c>
      <c r="AB296" t="s">
        <v>45</v>
      </c>
      <c r="AC296" t="s">
        <v>47</v>
      </c>
      <c r="AD296" t="s">
        <v>45</v>
      </c>
      <c r="AE296" t="s">
        <v>41</v>
      </c>
      <c r="AF296" t="s">
        <v>47</v>
      </c>
      <c r="AG296" t="s">
        <v>41</v>
      </c>
      <c r="AH296" t="s">
        <v>40</v>
      </c>
      <c r="AI296" t="s">
        <v>41</v>
      </c>
    </row>
    <row r="297" spans="1:35" x14ac:dyDescent="0.25">
      <c r="A297" t="s">
        <v>204</v>
      </c>
      <c r="B297" t="s">
        <v>59</v>
      </c>
      <c r="C297" t="s">
        <v>60</v>
      </c>
      <c r="D297" t="s">
        <v>1193</v>
      </c>
      <c r="E297" t="s">
        <v>39</v>
      </c>
      <c r="F297" t="s">
        <v>139</v>
      </c>
      <c r="G297" t="s">
        <v>45</v>
      </c>
      <c r="H297" t="s">
        <v>206</v>
      </c>
      <c r="I297" t="s">
        <v>40</v>
      </c>
      <c r="J297" t="s">
        <v>1194</v>
      </c>
      <c r="K297" t="s">
        <v>45</v>
      </c>
      <c r="L297" t="s">
        <v>43</v>
      </c>
      <c r="M297" t="s">
        <v>326</v>
      </c>
      <c r="N297" t="s">
        <v>45</v>
      </c>
      <c r="O297" t="s">
        <v>47</v>
      </c>
      <c r="P297" t="s">
        <v>46</v>
      </c>
      <c r="Q297" t="s">
        <v>41</v>
      </c>
      <c r="R297" t="s">
        <v>66</v>
      </c>
      <c r="S297" t="s">
        <v>1195</v>
      </c>
      <c r="T297" t="s">
        <v>1196</v>
      </c>
      <c r="U297" t="s">
        <v>57</v>
      </c>
      <c r="V297" t="s">
        <v>52</v>
      </c>
      <c r="W297" t="s">
        <v>59</v>
      </c>
      <c r="X297" t="s">
        <v>129</v>
      </c>
      <c r="Y297" t="s">
        <v>45</v>
      </c>
      <c r="Z297" t="s">
        <v>47</v>
      </c>
      <c r="AA297" t="s">
        <v>54</v>
      </c>
      <c r="AB297" t="s">
        <v>40</v>
      </c>
      <c r="AC297" t="s">
        <v>69</v>
      </c>
      <c r="AD297" t="s">
        <v>41</v>
      </c>
      <c r="AE297" t="s">
        <v>47</v>
      </c>
      <c r="AF297" t="s">
        <v>104</v>
      </c>
      <c r="AG297" t="s">
        <v>47</v>
      </c>
      <c r="AH297" t="s">
        <v>47</v>
      </c>
      <c r="AI297" t="s">
        <v>51</v>
      </c>
    </row>
    <row r="298" spans="1:35" x14ac:dyDescent="0.25">
      <c r="A298" t="s">
        <v>145</v>
      </c>
      <c r="B298" t="s">
        <v>36</v>
      </c>
      <c r="C298" t="s">
        <v>37</v>
      </c>
      <c r="D298" t="s">
        <v>735</v>
      </c>
      <c r="E298" t="s">
        <v>62</v>
      </c>
      <c r="F298" t="s">
        <v>45</v>
      </c>
      <c r="G298" t="s">
        <v>45</v>
      </c>
      <c r="H298" t="s">
        <v>42</v>
      </c>
      <c r="I298" t="s">
        <v>40</v>
      </c>
      <c r="J298" t="s">
        <v>1197</v>
      </c>
      <c r="K298" t="s">
        <v>45</v>
      </c>
      <c r="L298" t="s">
        <v>63</v>
      </c>
      <c r="M298" t="s">
        <v>259</v>
      </c>
      <c r="N298" t="s">
        <v>45</v>
      </c>
      <c r="O298" t="s">
        <v>40</v>
      </c>
      <c r="P298" t="s">
        <v>76</v>
      </c>
      <c r="Q298" t="s">
        <v>45</v>
      </c>
      <c r="R298" t="s">
        <v>48</v>
      </c>
      <c r="S298" t="s">
        <v>496</v>
      </c>
      <c r="T298" t="s">
        <v>1198</v>
      </c>
      <c r="U298" t="s">
        <v>40</v>
      </c>
      <c r="V298" t="s">
        <v>52</v>
      </c>
      <c r="W298" t="s">
        <v>59</v>
      </c>
      <c r="X298" t="s">
        <v>98</v>
      </c>
      <c r="Y298" t="s">
        <v>45</v>
      </c>
      <c r="Z298" t="s">
        <v>45</v>
      </c>
      <c r="AA298" t="s">
        <v>54</v>
      </c>
      <c r="AB298" t="s">
        <v>55</v>
      </c>
      <c r="AC298" t="s">
        <v>55</v>
      </c>
      <c r="AD298" t="s">
        <v>41</v>
      </c>
      <c r="AE298" t="s">
        <v>45</v>
      </c>
      <c r="AF298" t="s">
        <v>55</v>
      </c>
      <c r="AG298" t="s">
        <v>55</v>
      </c>
      <c r="AH298" t="s">
        <v>55</v>
      </c>
      <c r="AI298" t="s">
        <v>55</v>
      </c>
    </row>
    <row r="299" spans="1:35" x14ac:dyDescent="0.25">
      <c r="A299" t="s">
        <v>126</v>
      </c>
      <c r="B299" t="s">
        <v>59</v>
      </c>
      <c r="C299" t="s">
        <v>37</v>
      </c>
      <c r="D299" t="s">
        <v>190</v>
      </c>
      <c r="E299" t="s">
        <v>39</v>
      </c>
      <c r="F299" t="s">
        <v>128</v>
      </c>
      <c r="G299" t="s">
        <v>45</v>
      </c>
      <c r="H299" t="s">
        <v>206</v>
      </c>
      <c r="I299" t="s">
        <v>40</v>
      </c>
      <c r="J299" t="s">
        <v>1199</v>
      </c>
      <c r="K299" t="s">
        <v>45</v>
      </c>
      <c r="L299" t="s">
        <v>63</v>
      </c>
      <c r="M299" t="s">
        <v>163</v>
      </c>
      <c r="N299" t="s">
        <v>45</v>
      </c>
      <c r="O299" t="s">
        <v>45</v>
      </c>
      <c r="P299" t="s">
        <v>46</v>
      </c>
      <c r="Q299" t="s">
        <v>41</v>
      </c>
      <c r="R299" t="s">
        <v>66</v>
      </c>
      <c r="S299" t="s">
        <v>1200</v>
      </c>
      <c r="T299" t="s">
        <v>1201</v>
      </c>
      <c r="U299" t="s">
        <v>55</v>
      </c>
      <c r="V299" t="s">
        <v>52</v>
      </c>
      <c r="W299" t="s">
        <v>59</v>
      </c>
      <c r="X299" t="s">
        <v>79</v>
      </c>
      <c r="Y299" t="s">
        <v>45</v>
      </c>
      <c r="Z299" t="s">
        <v>45</v>
      </c>
      <c r="AA299" t="s">
        <v>54</v>
      </c>
      <c r="AB299" t="s">
        <v>41</v>
      </c>
      <c r="AC299" t="s">
        <v>92</v>
      </c>
      <c r="AD299" t="s">
        <v>45</v>
      </c>
      <c r="AE299" t="s">
        <v>41</v>
      </c>
      <c r="AF299" t="s">
        <v>53</v>
      </c>
      <c r="AG299" t="s">
        <v>91</v>
      </c>
      <c r="AH299" t="s">
        <v>56</v>
      </c>
      <c r="AI299" t="s">
        <v>91</v>
      </c>
    </row>
    <row r="300" spans="1:35" x14ac:dyDescent="0.25">
      <c r="A300" t="s">
        <v>120</v>
      </c>
      <c r="B300" t="s">
        <v>59</v>
      </c>
      <c r="C300" t="s">
        <v>60</v>
      </c>
      <c r="D300" t="s">
        <v>1202</v>
      </c>
      <c r="E300" t="s">
        <v>62</v>
      </c>
      <c r="F300" t="s">
        <v>145</v>
      </c>
      <c r="G300" t="s">
        <v>47</v>
      </c>
      <c r="H300" t="s">
        <v>42</v>
      </c>
      <c r="I300" t="s">
        <v>40</v>
      </c>
      <c r="J300" t="s">
        <v>1203</v>
      </c>
      <c r="K300" t="s">
        <v>45</v>
      </c>
      <c r="L300" t="s">
        <v>63</v>
      </c>
      <c r="M300" t="s">
        <v>101</v>
      </c>
      <c r="N300" t="s">
        <v>47</v>
      </c>
      <c r="O300" t="s">
        <v>40</v>
      </c>
      <c r="P300" t="s">
        <v>76</v>
      </c>
      <c r="Q300" t="s">
        <v>47</v>
      </c>
      <c r="R300" t="s">
        <v>66</v>
      </c>
      <c r="S300" t="s">
        <v>1204</v>
      </c>
      <c r="T300" t="s">
        <v>1205</v>
      </c>
      <c r="U300" t="s">
        <v>47</v>
      </c>
      <c r="V300" t="s">
        <v>52</v>
      </c>
      <c r="W300" t="s">
        <v>59</v>
      </c>
      <c r="X300" t="s">
        <v>145</v>
      </c>
      <c r="Y300" t="s">
        <v>45</v>
      </c>
      <c r="Z300" t="s">
        <v>47</v>
      </c>
      <c r="AA300" t="s">
        <v>54</v>
      </c>
      <c r="AB300" t="s">
        <v>41</v>
      </c>
      <c r="AC300" t="s">
        <v>47</v>
      </c>
      <c r="AD300" t="s">
        <v>41</v>
      </c>
      <c r="AE300" t="s">
        <v>45</v>
      </c>
      <c r="AF300" t="s">
        <v>40</v>
      </c>
      <c r="AG300" t="s">
        <v>55</v>
      </c>
      <c r="AH300" t="s">
        <v>55</v>
      </c>
      <c r="AI300" t="s">
        <v>55</v>
      </c>
    </row>
    <row r="301" spans="1:35" x14ac:dyDescent="0.25">
      <c r="A301" t="s">
        <v>155</v>
      </c>
      <c r="B301" t="s">
        <v>59</v>
      </c>
      <c r="C301" t="s">
        <v>37</v>
      </c>
      <c r="D301" t="s">
        <v>1206</v>
      </c>
      <c r="E301" t="s">
        <v>62</v>
      </c>
      <c r="F301" t="s">
        <v>41</v>
      </c>
      <c r="G301" t="s">
        <v>45</v>
      </c>
      <c r="H301" t="s">
        <v>87</v>
      </c>
      <c r="I301" t="s">
        <v>40</v>
      </c>
      <c r="J301" t="s">
        <v>278</v>
      </c>
      <c r="K301" t="s">
        <v>47</v>
      </c>
      <c r="L301" t="s">
        <v>63</v>
      </c>
      <c r="M301" t="s">
        <v>130</v>
      </c>
      <c r="N301" t="s">
        <v>40</v>
      </c>
      <c r="O301" t="s">
        <v>41</v>
      </c>
      <c r="P301" t="s">
        <v>116</v>
      </c>
      <c r="Q301" t="s">
        <v>41</v>
      </c>
      <c r="R301" t="s">
        <v>109</v>
      </c>
      <c r="S301" t="s">
        <v>1207</v>
      </c>
      <c r="T301" t="s">
        <v>1208</v>
      </c>
      <c r="U301" t="s">
        <v>57</v>
      </c>
      <c r="V301" t="s">
        <v>52</v>
      </c>
      <c r="W301" t="s">
        <v>59</v>
      </c>
      <c r="X301" t="s">
        <v>145</v>
      </c>
      <c r="Y301" t="s">
        <v>45</v>
      </c>
      <c r="Z301" t="s">
        <v>47</v>
      </c>
      <c r="AA301" t="s">
        <v>54</v>
      </c>
      <c r="AB301" t="s">
        <v>40</v>
      </c>
      <c r="AC301" t="s">
        <v>98</v>
      </c>
      <c r="AD301" t="s">
        <v>45</v>
      </c>
      <c r="AE301" t="s">
        <v>45</v>
      </c>
      <c r="AF301" t="s">
        <v>47</v>
      </c>
      <c r="AG301" t="s">
        <v>40</v>
      </c>
      <c r="AH301" t="s">
        <v>40</v>
      </c>
      <c r="AI301" t="s">
        <v>41</v>
      </c>
    </row>
    <row r="302" spans="1:35" x14ac:dyDescent="0.25">
      <c r="A302" t="s">
        <v>35</v>
      </c>
      <c r="B302" t="s">
        <v>59</v>
      </c>
      <c r="C302" t="s">
        <v>37</v>
      </c>
      <c r="D302" t="s">
        <v>158</v>
      </c>
      <c r="E302" t="s">
        <v>39</v>
      </c>
      <c r="F302" t="s">
        <v>41</v>
      </c>
      <c r="G302" t="s">
        <v>47</v>
      </c>
      <c r="H302" t="s">
        <v>42</v>
      </c>
      <c r="I302" t="s">
        <v>40</v>
      </c>
      <c r="J302" t="s">
        <v>1209</v>
      </c>
      <c r="K302" t="s">
        <v>47</v>
      </c>
      <c r="L302" t="s">
        <v>63</v>
      </c>
      <c r="M302" t="s">
        <v>356</v>
      </c>
      <c r="N302" t="s">
        <v>45</v>
      </c>
      <c r="O302" t="s">
        <v>47</v>
      </c>
      <c r="P302" t="s">
        <v>169</v>
      </c>
      <c r="Q302" t="s">
        <v>41</v>
      </c>
      <c r="R302" t="s">
        <v>48</v>
      </c>
      <c r="S302" t="s">
        <v>1210</v>
      </c>
      <c r="T302" t="s">
        <v>1211</v>
      </c>
      <c r="U302" t="s">
        <v>40</v>
      </c>
      <c r="V302" t="s">
        <v>52</v>
      </c>
      <c r="W302" t="s">
        <v>59</v>
      </c>
      <c r="X302" t="s">
        <v>144</v>
      </c>
      <c r="Y302" t="s">
        <v>45</v>
      </c>
      <c r="Z302" t="s">
        <v>41</v>
      </c>
      <c r="AA302" t="s">
        <v>54</v>
      </c>
      <c r="AB302" t="s">
        <v>55</v>
      </c>
      <c r="AC302" t="s">
        <v>112</v>
      </c>
      <c r="AD302" t="s">
        <v>41</v>
      </c>
      <c r="AE302" t="s">
        <v>45</v>
      </c>
      <c r="AF302" t="s">
        <v>112</v>
      </c>
      <c r="AG302" t="s">
        <v>70</v>
      </c>
      <c r="AH302" t="s">
        <v>55</v>
      </c>
      <c r="AI302" t="s">
        <v>47</v>
      </c>
    </row>
    <row r="303" spans="1:35" x14ac:dyDescent="0.25">
      <c r="A303" t="s">
        <v>145</v>
      </c>
      <c r="B303" t="s">
        <v>59</v>
      </c>
      <c r="C303" t="s">
        <v>37</v>
      </c>
      <c r="D303" t="s">
        <v>1212</v>
      </c>
      <c r="E303" t="s">
        <v>39</v>
      </c>
      <c r="F303" t="s">
        <v>70</v>
      </c>
      <c r="G303" t="s">
        <v>45</v>
      </c>
      <c r="H303" t="s">
        <v>87</v>
      </c>
      <c r="I303" t="s">
        <v>40</v>
      </c>
      <c r="J303" t="s">
        <v>1213</v>
      </c>
      <c r="K303" t="s">
        <v>47</v>
      </c>
      <c r="L303" t="s">
        <v>43</v>
      </c>
      <c r="M303" t="s">
        <v>1214</v>
      </c>
      <c r="N303" t="s">
        <v>41</v>
      </c>
      <c r="O303" t="s">
        <v>40</v>
      </c>
      <c r="P303" t="s">
        <v>182</v>
      </c>
      <c r="Q303" t="s">
        <v>45</v>
      </c>
      <c r="R303" t="s">
        <v>48</v>
      </c>
      <c r="S303" t="s">
        <v>1215</v>
      </c>
      <c r="T303" t="s">
        <v>353</v>
      </c>
      <c r="U303" t="s">
        <v>40</v>
      </c>
      <c r="V303" t="s">
        <v>52</v>
      </c>
      <c r="W303" t="s">
        <v>59</v>
      </c>
      <c r="X303" t="s">
        <v>92</v>
      </c>
      <c r="Y303" t="s">
        <v>45</v>
      </c>
      <c r="Z303" t="s">
        <v>40</v>
      </c>
      <c r="AA303" t="s">
        <v>54</v>
      </c>
      <c r="AB303" t="s">
        <v>55</v>
      </c>
      <c r="AC303" t="s">
        <v>55</v>
      </c>
      <c r="AD303" t="s">
        <v>41</v>
      </c>
      <c r="AE303" t="s">
        <v>45</v>
      </c>
      <c r="AF303" t="s">
        <v>55</v>
      </c>
      <c r="AG303" t="s">
        <v>55</v>
      </c>
      <c r="AH303" t="s">
        <v>55</v>
      </c>
      <c r="AI303" t="s">
        <v>55</v>
      </c>
    </row>
    <row r="304" spans="1:35" x14ac:dyDescent="0.25">
      <c r="A304" t="s">
        <v>149</v>
      </c>
      <c r="B304" t="s">
        <v>59</v>
      </c>
      <c r="C304" t="s">
        <v>37</v>
      </c>
      <c r="D304" t="s">
        <v>1216</v>
      </c>
      <c r="E304" t="s">
        <v>62</v>
      </c>
      <c r="F304" t="s">
        <v>128</v>
      </c>
      <c r="G304" t="s">
        <v>41</v>
      </c>
      <c r="H304" t="s">
        <v>87</v>
      </c>
      <c r="I304" t="s">
        <v>40</v>
      </c>
      <c r="J304" t="s">
        <v>1217</v>
      </c>
      <c r="K304" t="s">
        <v>41</v>
      </c>
      <c r="L304" t="s">
        <v>63</v>
      </c>
      <c r="M304" t="s">
        <v>300</v>
      </c>
      <c r="N304" t="s">
        <v>47</v>
      </c>
      <c r="O304" t="s">
        <v>41</v>
      </c>
      <c r="P304" t="s">
        <v>122</v>
      </c>
      <c r="Q304" t="s">
        <v>40</v>
      </c>
      <c r="R304" t="s">
        <v>48</v>
      </c>
      <c r="S304" t="s">
        <v>1218</v>
      </c>
      <c r="T304" t="s">
        <v>1219</v>
      </c>
      <c r="U304" t="s">
        <v>55</v>
      </c>
      <c r="V304" t="s">
        <v>52</v>
      </c>
      <c r="W304" t="s">
        <v>59</v>
      </c>
      <c r="X304" t="s">
        <v>144</v>
      </c>
      <c r="Y304" t="s">
        <v>45</v>
      </c>
      <c r="Z304" t="s">
        <v>45</v>
      </c>
      <c r="AA304" t="s">
        <v>54</v>
      </c>
      <c r="AB304" t="s">
        <v>55</v>
      </c>
      <c r="AC304" t="s">
        <v>91</v>
      </c>
      <c r="AD304" t="s">
        <v>41</v>
      </c>
      <c r="AE304" t="s">
        <v>45</v>
      </c>
      <c r="AF304" t="s">
        <v>51</v>
      </c>
      <c r="AG304" t="s">
        <v>45</v>
      </c>
      <c r="AH304" t="s">
        <v>55</v>
      </c>
      <c r="AI304" t="s">
        <v>71</v>
      </c>
    </row>
    <row r="305" spans="1:35" x14ac:dyDescent="0.25">
      <c r="A305" t="s">
        <v>137</v>
      </c>
      <c r="B305" t="s">
        <v>59</v>
      </c>
      <c r="C305" t="s">
        <v>37</v>
      </c>
      <c r="D305" t="s">
        <v>709</v>
      </c>
      <c r="E305" t="s">
        <v>39</v>
      </c>
      <c r="F305" t="s">
        <v>71</v>
      </c>
      <c r="G305" t="s">
        <v>45</v>
      </c>
      <c r="H305" t="s">
        <v>228</v>
      </c>
      <c r="I305" t="s">
        <v>40</v>
      </c>
      <c r="J305" t="s">
        <v>1220</v>
      </c>
      <c r="K305" t="s">
        <v>41</v>
      </c>
      <c r="L305" t="s">
        <v>63</v>
      </c>
      <c r="M305" t="s">
        <v>385</v>
      </c>
      <c r="N305" t="s">
        <v>47</v>
      </c>
      <c r="O305" t="s">
        <v>41</v>
      </c>
      <c r="P305" t="s">
        <v>46</v>
      </c>
      <c r="Q305" t="s">
        <v>47</v>
      </c>
      <c r="R305" t="s">
        <v>66</v>
      </c>
      <c r="S305" t="s">
        <v>1221</v>
      </c>
      <c r="T305" t="s">
        <v>1222</v>
      </c>
      <c r="U305" t="s">
        <v>47</v>
      </c>
      <c r="V305" t="s">
        <v>52</v>
      </c>
      <c r="W305" t="s">
        <v>59</v>
      </c>
      <c r="X305" t="s">
        <v>53</v>
      </c>
      <c r="Y305" t="s">
        <v>45</v>
      </c>
      <c r="Z305" t="s">
        <v>41</v>
      </c>
      <c r="AA305" t="s">
        <v>54</v>
      </c>
      <c r="AB305" t="s">
        <v>40</v>
      </c>
      <c r="AC305" t="s">
        <v>70</v>
      </c>
      <c r="AD305" t="s">
        <v>45</v>
      </c>
      <c r="AE305" t="s">
        <v>41</v>
      </c>
      <c r="AF305" t="s">
        <v>51</v>
      </c>
      <c r="AG305" t="s">
        <v>71</v>
      </c>
      <c r="AH305" t="s">
        <v>71</v>
      </c>
      <c r="AI305" t="s">
        <v>71</v>
      </c>
    </row>
    <row r="306" spans="1:35" x14ac:dyDescent="0.25">
      <c r="A306" t="s">
        <v>218</v>
      </c>
      <c r="B306" t="s">
        <v>59</v>
      </c>
      <c r="C306" t="s">
        <v>37</v>
      </c>
      <c r="D306" t="s">
        <v>1223</v>
      </c>
      <c r="E306" t="s">
        <v>62</v>
      </c>
      <c r="F306" t="s">
        <v>40</v>
      </c>
      <c r="G306" t="s">
        <v>45</v>
      </c>
      <c r="H306" t="s">
        <v>87</v>
      </c>
      <c r="I306" t="s">
        <v>40</v>
      </c>
      <c r="J306" t="s">
        <v>1224</v>
      </c>
      <c r="K306" t="s">
        <v>45</v>
      </c>
      <c r="L306" t="s">
        <v>63</v>
      </c>
      <c r="M306" t="s">
        <v>207</v>
      </c>
      <c r="N306" t="s">
        <v>47</v>
      </c>
      <c r="O306" t="s">
        <v>45</v>
      </c>
      <c r="P306" t="s">
        <v>122</v>
      </c>
      <c r="Q306" t="s">
        <v>47</v>
      </c>
      <c r="R306" t="s">
        <v>109</v>
      </c>
      <c r="S306" t="s">
        <v>1225</v>
      </c>
      <c r="T306" t="s">
        <v>1226</v>
      </c>
      <c r="U306" t="s">
        <v>55</v>
      </c>
      <c r="V306" t="s">
        <v>52</v>
      </c>
      <c r="W306" t="s">
        <v>59</v>
      </c>
      <c r="X306" t="s">
        <v>125</v>
      </c>
      <c r="Y306" t="s">
        <v>45</v>
      </c>
      <c r="Z306" t="s">
        <v>40</v>
      </c>
      <c r="AA306" t="s">
        <v>54</v>
      </c>
      <c r="AB306" t="s">
        <v>45</v>
      </c>
      <c r="AC306" t="s">
        <v>144</v>
      </c>
      <c r="AD306" t="s">
        <v>57</v>
      </c>
      <c r="AE306" t="s">
        <v>41</v>
      </c>
      <c r="AF306" t="s">
        <v>145</v>
      </c>
      <c r="AG306" t="s">
        <v>70</v>
      </c>
      <c r="AH306" t="s">
        <v>45</v>
      </c>
      <c r="AI306" t="s">
        <v>71</v>
      </c>
    </row>
    <row r="307" spans="1:35" x14ac:dyDescent="0.25">
      <c r="A307" t="s">
        <v>120</v>
      </c>
      <c r="B307" t="s">
        <v>59</v>
      </c>
      <c r="C307" t="s">
        <v>161</v>
      </c>
      <c r="D307" t="s">
        <v>1227</v>
      </c>
      <c r="E307" t="s">
        <v>62</v>
      </c>
      <c r="F307" t="s">
        <v>107</v>
      </c>
      <c r="G307" t="s">
        <v>47</v>
      </c>
      <c r="H307" t="s">
        <v>42</v>
      </c>
      <c r="I307" t="s">
        <v>40</v>
      </c>
      <c r="J307" t="s">
        <v>185</v>
      </c>
      <c r="K307" t="s">
        <v>41</v>
      </c>
      <c r="L307" t="s">
        <v>43</v>
      </c>
      <c r="M307" t="s">
        <v>239</v>
      </c>
      <c r="N307" t="s">
        <v>45</v>
      </c>
      <c r="O307" t="s">
        <v>41</v>
      </c>
      <c r="P307" t="s">
        <v>76</v>
      </c>
      <c r="Q307" t="s">
        <v>41</v>
      </c>
      <c r="R307" t="s">
        <v>66</v>
      </c>
      <c r="S307" t="s">
        <v>1228</v>
      </c>
      <c r="T307" t="s">
        <v>1229</v>
      </c>
      <c r="U307" t="s">
        <v>71</v>
      </c>
      <c r="V307" t="s">
        <v>52</v>
      </c>
      <c r="W307" t="s">
        <v>59</v>
      </c>
      <c r="X307" t="s">
        <v>79</v>
      </c>
      <c r="Y307" t="s">
        <v>45</v>
      </c>
      <c r="Z307" t="s">
        <v>45</v>
      </c>
      <c r="AA307" t="s">
        <v>54</v>
      </c>
      <c r="AB307" t="s">
        <v>40</v>
      </c>
      <c r="AC307" t="s">
        <v>53</v>
      </c>
      <c r="AD307" t="s">
        <v>45</v>
      </c>
      <c r="AE307" t="s">
        <v>45</v>
      </c>
      <c r="AF307" t="s">
        <v>91</v>
      </c>
      <c r="AG307" t="s">
        <v>51</v>
      </c>
      <c r="AH307" t="s">
        <v>55</v>
      </c>
      <c r="AI307" t="s">
        <v>51</v>
      </c>
    </row>
    <row r="308" spans="1:35" x14ac:dyDescent="0.25">
      <c r="A308" t="s">
        <v>93</v>
      </c>
      <c r="B308" t="s">
        <v>59</v>
      </c>
      <c r="C308" t="s">
        <v>37</v>
      </c>
      <c r="D308" t="s">
        <v>1230</v>
      </c>
      <c r="E308" t="s">
        <v>39</v>
      </c>
      <c r="F308" t="s">
        <v>71</v>
      </c>
      <c r="G308" t="s">
        <v>45</v>
      </c>
      <c r="H308" t="s">
        <v>42</v>
      </c>
      <c r="I308" t="s">
        <v>40</v>
      </c>
      <c r="J308" t="s">
        <v>1231</v>
      </c>
      <c r="K308" t="s">
        <v>47</v>
      </c>
      <c r="L308" t="s">
        <v>63</v>
      </c>
      <c r="M308" t="s">
        <v>364</v>
      </c>
      <c r="N308" t="s">
        <v>41</v>
      </c>
      <c r="O308" t="s">
        <v>41</v>
      </c>
      <c r="P308" t="s">
        <v>46</v>
      </c>
      <c r="Q308" t="s">
        <v>45</v>
      </c>
      <c r="R308" t="s">
        <v>66</v>
      </c>
      <c r="S308" t="s">
        <v>1232</v>
      </c>
      <c r="T308" t="s">
        <v>1233</v>
      </c>
      <c r="U308" t="s">
        <v>40</v>
      </c>
      <c r="V308" t="s">
        <v>52</v>
      </c>
      <c r="W308" t="s">
        <v>59</v>
      </c>
      <c r="X308" t="s">
        <v>129</v>
      </c>
      <c r="Y308" t="s">
        <v>45</v>
      </c>
      <c r="Z308" t="s">
        <v>45</v>
      </c>
      <c r="AA308" t="s">
        <v>54</v>
      </c>
      <c r="AB308" t="s">
        <v>40</v>
      </c>
      <c r="AC308" t="s">
        <v>98</v>
      </c>
      <c r="AD308" t="s">
        <v>45</v>
      </c>
      <c r="AE308" t="s">
        <v>41</v>
      </c>
      <c r="AF308" t="s">
        <v>98</v>
      </c>
      <c r="AG308" t="s">
        <v>51</v>
      </c>
      <c r="AH308" t="s">
        <v>47</v>
      </c>
      <c r="AI308" t="s">
        <v>51</v>
      </c>
    </row>
    <row r="309" spans="1:35" x14ac:dyDescent="0.25">
      <c r="A309" t="s">
        <v>113</v>
      </c>
      <c r="B309" t="s">
        <v>59</v>
      </c>
      <c r="C309" t="s">
        <v>37</v>
      </c>
      <c r="D309" t="s">
        <v>1234</v>
      </c>
      <c r="E309" t="s">
        <v>62</v>
      </c>
      <c r="F309" t="s">
        <v>172</v>
      </c>
      <c r="G309" t="s">
        <v>41</v>
      </c>
      <c r="H309" t="s">
        <v>42</v>
      </c>
      <c r="I309" t="s">
        <v>40</v>
      </c>
      <c r="J309" t="s">
        <v>1235</v>
      </c>
      <c r="K309" t="s">
        <v>40</v>
      </c>
      <c r="L309" t="s">
        <v>43</v>
      </c>
      <c r="M309" t="s">
        <v>101</v>
      </c>
      <c r="N309" t="s">
        <v>41</v>
      </c>
      <c r="O309" t="s">
        <v>45</v>
      </c>
      <c r="P309" t="s">
        <v>186</v>
      </c>
      <c r="Q309" t="s">
        <v>41</v>
      </c>
      <c r="R309" t="s">
        <v>66</v>
      </c>
      <c r="S309" t="s">
        <v>1236</v>
      </c>
      <c r="T309" t="s">
        <v>1237</v>
      </c>
      <c r="U309" t="s">
        <v>45</v>
      </c>
      <c r="V309" t="s">
        <v>52</v>
      </c>
      <c r="W309" t="s">
        <v>59</v>
      </c>
      <c r="X309" t="s">
        <v>125</v>
      </c>
      <c r="Y309" t="s">
        <v>45</v>
      </c>
      <c r="Z309" t="s">
        <v>45</v>
      </c>
      <c r="AA309" t="s">
        <v>54</v>
      </c>
      <c r="AB309" t="s">
        <v>40</v>
      </c>
      <c r="AC309" t="s">
        <v>144</v>
      </c>
      <c r="AD309" t="s">
        <v>41</v>
      </c>
      <c r="AE309" t="s">
        <v>45</v>
      </c>
      <c r="AF309" t="s">
        <v>70</v>
      </c>
      <c r="AG309" t="s">
        <v>51</v>
      </c>
      <c r="AH309" t="s">
        <v>55</v>
      </c>
      <c r="AI309" t="s">
        <v>40</v>
      </c>
    </row>
    <row r="310" spans="1:35" x14ac:dyDescent="0.25">
      <c r="A310" t="s">
        <v>197</v>
      </c>
      <c r="B310" t="s">
        <v>59</v>
      </c>
      <c r="C310" t="s">
        <v>161</v>
      </c>
      <c r="D310" t="s">
        <v>1153</v>
      </c>
      <c r="E310" t="s">
        <v>62</v>
      </c>
      <c r="F310" t="s">
        <v>40</v>
      </c>
      <c r="G310" t="s">
        <v>47</v>
      </c>
      <c r="H310" t="s">
        <v>42</v>
      </c>
      <c r="I310" t="s">
        <v>40</v>
      </c>
      <c r="J310" t="s">
        <v>1238</v>
      </c>
      <c r="K310" t="s">
        <v>47</v>
      </c>
      <c r="L310" t="s">
        <v>63</v>
      </c>
      <c r="M310" t="s">
        <v>93</v>
      </c>
      <c r="N310" t="s">
        <v>40</v>
      </c>
      <c r="O310" t="s">
        <v>41</v>
      </c>
      <c r="P310" t="s">
        <v>122</v>
      </c>
      <c r="Q310" t="s">
        <v>45</v>
      </c>
      <c r="R310" t="s">
        <v>109</v>
      </c>
      <c r="S310" t="s">
        <v>1239</v>
      </c>
      <c r="T310" t="s">
        <v>1240</v>
      </c>
      <c r="U310" t="s">
        <v>41</v>
      </c>
      <c r="V310" t="s">
        <v>52</v>
      </c>
      <c r="W310" t="s">
        <v>36</v>
      </c>
      <c r="X310" t="s">
        <v>98</v>
      </c>
      <c r="Y310" t="s">
        <v>45</v>
      </c>
      <c r="Z310" t="s">
        <v>47</v>
      </c>
      <c r="AA310" t="s">
        <v>54</v>
      </c>
      <c r="AB310" t="s">
        <v>40</v>
      </c>
      <c r="AC310" t="s">
        <v>92</v>
      </c>
      <c r="AD310" t="s">
        <v>41</v>
      </c>
      <c r="AE310" t="s">
        <v>45</v>
      </c>
      <c r="AF310" t="s">
        <v>57</v>
      </c>
      <c r="AG310" t="s">
        <v>45</v>
      </c>
      <c r="AH310" t="s">
        <v>40</v>
      </c>
      <c r="AI310" t="s">
        <v>41</v>
      </c>
    </row>
    <row r="311" spans="1:35" x14ac:dyDescent="0.25">
      <c r="A311" t="s">
        <v>137</v>
      </c>
      <c r="B311" t="s">
        <v>59</v>
      </c>
      <c r="C311" t="s">
        <v>37</v>
      </c>
      <c r="D311" t="s">
        <v>205</v>
      </c>
      <c r="E311" t="s">
        <v>62</v>
      </c>
      <c r="F311" t="s">
        <v>57</v>
      </c>
      <c r="G311" t="s">
        <v>47</v>
      </c>
      <c r="H311" t="s">
        <v>228</v>
      </c>
      <c r="I311" t="s">
        <v>40</v>
      </c>
      <c r="J311" t="s">
        <v>1241</v>
      </c>
      <c r="K311" t="s">
        <v>45</v>
      </c>
      <c r="L311" t="s">
        <v>63</v>
      </c>
      <c r="M311" t="s">
        <v>240</v>
      </c>
      <c r="N311" t="s">
        <v>45</v>
      </c>
      <c r="O311" t="s">
        <v>40</v>
      </c>
      <c r="P311" t="s">
        <v>65</v>
      </c>
      <c r="Q311" t="s">
        <v>47</v>
      </c>
      <c r="R311" t="s">
        <v>66</v>
      </c>
      <c r="S311" t="s">
        <v>1242</v>
      </c>
      <c r="T311" t="s">
        <v>1243</v>
      </c>
      <c r="U311" t="s">
        <v>55</v>
      </c>
      <c r="V311" t="s">
        <v>52</v>
      </c>
      <c r="W311" t="s">
        <v>36</v>
      </c>
      <c r="X311" t="s">
        <v>92</v>
      </c>
      <c r="Y311" t="s">
        <v>45</v>
      </c>
      <c r="Z311" t="s">
        <v>45</v>
      </c>
      <c r="AA311" t="s">
        <v>54</v>
      </c>
      <c r="AB311" t="s">
        <v>40</v>
      </c>
      <c r="AC311" t="s">
        <v>56</v>
      </c>
      <c r="AD311" t="s">
        <v>47</v>
      </c>
      <c r="AE311" t="s">
        <v>45</v>
      </c>
      <c r="AF311" t="s">
        <v>57</v>
      </c>
      <c r="AG311" t="s">
        <v>41</v>
      </c>
      <c r="AH311" t="s">
        <v>55</v>
      </c>
      <c r="AI311" t="s">
        <v>45</v>
      </c>
    </row>
    <row r="312" spans="1:35" x14ac:dyDescent="0.25">
      <c r="A312" t="s">
        <v>137</v>
      </c>
      <c r="B312" t="s">
        <v>59</v>
      </c>
      <c r="C312" t="s">
        <v>37</v>
      </c>
      <c r="D312" t="s">
        <v>408</v>
      </c>
      <c r="E312" t="s">
        <v>397</v>
      </c>
      <c r="F312" t="s">
        <v>41</v>
      </c>
      <c r="G312" t="s">
        <v>45</v>
      </c>
      <c r="H312" t="s">
        <v>397</v>
      </c>
      <c r="I312" t="s">
        <v>40</v>
      </c>
      <c r="J312" t="s">
        <v>1244</v>
      </c>
      <c r="K312" t="s">
        <v>40</v>
      </c>
      <c r="L312" t="s">
        <v>63</v>
      </c>
      <c r="M312" t="s">
        <v>283</v>
      </c>
      <c r="N312" t="s">
        <v>41</v>
      </c>
      <c r="O312" t="s">
        <v>41</v>
      </c>
      <c r="P312" t="s">
        <v>397</v>
      </c>
      <c r="Q312" t="s">
        <v>40</v>
      </c>
      <c r="R312" t="s">
        <v>66</v>
      </c>
      <c r="S312" t="s">
        <v>1245</v>
      </c>
      <c r="T312" t="s">
        <v>1246</v>
      </c>
      <c r="U312" t="s">
        <v>45</v>
      </c>
      <c r="V312" t="s">
        <v>52</v>
      </c>
      <c r="W312" t="s">
        <v>59</v>
      </c>
      <c r="X312" t="s">
        <v>92</v>
      </c>
      <c r="Y312" t="s">
        <v>45</v>
      </c>
      <c r="Z312" t="s">
        <v>47</v>
      </c>
      <c r="AA312" t="s">
        <v>54</v>
      </c>
      <c r="AB312" t="s">
        <v>55</v>
      </c>
      <c r="AC312" t="s">
        <v>91</v>
      </c>
      <c r="AD312" t="s">
        <v>40</v>
      </c>
      <c r="AE312" t="s">
        <v>45</v>
      </c>
      <c r="AF312" t="s">
        <v>41</v>
      </c>
      <c r="AG312" t="s">
        <v>41</v>
      </c>
      <c r="AH312" t="s">
        <v>40</v>
      </c>
      <c r="AI312" t="s">
        <v>55</v>
      </c>
    </row>
    <row r="313" spans="1:35" x14ac:dyDescent="0.25">
      <c r="A313" t="s">
        <v>174</v>
      </c>
      <c r="B313" t="s">
        <v>59</v>
      </c>
      <c r="C313" t="s">
        <v>60</v>
      </c>
      <c r="D313" t="s">
        <v>1247</v>
      </c>
      <c r="E313" t="s">
        <v>62</v>
      </c>
      <c r="F313" t="s">
        <v>71</v>
      </c>
      <c r="G313" t="s">
        <v>45</v>
      </c>
      <c r="H313" t="s">
        <v>42</v>
      </c>
      <c r="I313" t="s">
        <v>40</v>
      </c>
      <c r="J313" t="s">
        <v>1248</v>
      </c>
      <c r="K313" t="s">
        <v>40</v>
      </c>
      <c r="L313" t="s">
        <v>63</v>
      </c>
      <c r="M313" t="s">
        <v>244</v>
      </c>
      <c r="N313" t="s">
        <v>45</v>
      </c>
      <c r="O313" t="s">
        <v>45</v>
      </c>
      <c r="P313" t="s">
        <v>76</v>
      </c>
      <c r="Q313" t="s">
        <v>40</v>
      </c>
      <c r="R313" t="s">
        <v>109</v>
      </c>
      <c r="S313" t="s">
        <v>1249</v>
      </c>
      <c r="T313" t="s">
        <v>1250</v>
      </c>
      <c r="U313" t="s">
        <v>40</v>
      </c>
      <c r="V313" t="s">
        <v>52</v>
      </c>
      <c r="W313" t="s">
        <v>59</v>
      </c>
      <c r="X313" t="s">
        <v>145</v>
      </c>
      <c r="Y313" t="s">
        <v>45</v>
      </c>
      <c r="Z313" t="s">
        <v>40</v>
      </c>
      <c r="AA313" t="s">
        <v>54</v>
      </c>
      <c r="AB313" t="s">
        <v>40</v>
      </c>
      <c r="AC313" t="s">
        <v>107</v>
      </c>
      <c r="AD313" t="s">
        <v>41</v>
      </c>
      <c r="AE313" t="s">
        <v>45</v>
      </c>
      <c r="AF313" t="s">
        <v>107</v>
      </c>
      <c r="AG313" t="s">
        <v>91</v>
      </c>
      <c r="AH313" t="s">
        <v>91</v>
      </c>
      <c r="AI313" t="s">
        <v>53</v>
      </c>
    </row>
    <row r="314" spans="1:35" x14ac:dyDescent="0.25">
      <c r="A314" t="s">
        <v>137</v>
      </c>
      <c r="B314" t="s">
        <v>59</v>
      </c>
      <c r="C314" t="s">
        <v>37</v>
      </c>
      <c r="D314" t="s">
        <v>634</v>
      </c>
      <c r="E314" t="s">
        <v>62</v>
      </c>
      <c r="F314" t="s">
        <v>41</v>
      </c>
      <c r="G314" t="s">
        <v>47</v>
      </c>
      <c r="H314" t="s">
        <v>42</v>
      </c>
      <c r="I314" t="s">
        <v>40</v>
      </c>
      <c r="J314" t="s">
        <v>1251</v>
      </c>
      <c r="K314" t="s">
        <v>45</v>
      </c>
      <c r="L314" t="s">
        <v>63</v>
      </c>
      <c r="M314" t="s">
        <v>93</v>
      </c>
      <c r="N314" t="s">
        <v>45</v>
      </c>
      <c r="O314" t="s">
        <v>40</v>
      </c>
      <c r="P314" t="s">
        <v>65</v>
      </c>
      <c r="Q314" t="s">
        <v>47</v>
      </c>
      <c r="R314" t="s">
        <v>109</v>
      </c>
      <c r="S314" t="s">
        <v>1252</v>
      </c>
      <c r="T314" t="s">
        <v>1253</v>
      </c>
      <c r="U314" t="s">
        <v>55</v>
      </c>
      <c r="V314" t="s">
        <v>52</v>
      </c>
      <c r="W314" t="s">
        <v>36</v>
      </c>
      <c r="X314" t="s">
        <v>145</v>
      </c>
      <c r="Y314" t="s">
        <v>45</v>
      </c>
      <c r="Z314" t="s">
        <v>41</v>
      </c>
      <c r="AA314" t="s">
        <v>54</v>
      </c>
      <c r="AB314" t="s">
        <v>40</v>
      </c>
      <c r="AC314" t="s">
        <v>45</v>
      </c>
      <c r="AD314" t="s">
        <v>41</v>
      </c>
      <c r="AE314" t="s">
        <v>40</v>
      </c>
      <c r="AF314" t="s">
        <v>41</v>
      </c>
      <c r="AG314" t="s">
        <v>41</v>
      </c>
      <c r="AH314" t="s">
        <v>41</v>
      </c>
      <c r="AI314" t="s">
        <v>41</v>
      </c>
    </row>
    <row r="315" spans="1:35" x14ac:dyDescent="0.25">
      <c r="A315" t="s">
        <v>80</v>
      </c>
      <c r="B315" t="s">
        <v>59</v>
      </c>
      <c r="C315" t="s">
        <v>60</v>
      </c>
      <c r="D315" t="s">
        <v>1254</v>
      </c>
      <c r="E315" t="s">
        <v>62</v>
      </c>
      <c r="F315" t="s">
        <v>57</v>
      </c>
      <c r="G315" t="s">
        <v>47</v>
      </c>
      <c r="H315" t="s">
        <v>42</v>
      </c>
      <c r="I315" t="s">
        <v>40</v>
      </c>
      <c r="J315" t="s">
        <v>1255</v>
      </c>
      <c r="K315" t="s">
        <v>47</v>
      </c>
      <c r="L315" t="s">
        <v>43</v>
      </c>
      <c r="M315" t="s">
        <v>314</v>
      </c>
      <c r="N315" t="s">
        <v>45</v>
      </c>
      <c r="O315" t="s">
        <v>45</v>
      </c>
      <c r="P315" t="s">
        <v>169</v>
      </c>
      <c r="Q315" t="s">
        <v>41</v>
      </c>
      <c r="R315" t="s">
        <v>66</v>
      </c>
      <c r="S315" t="s">
        <v>1256</v>
      </c>
      <c r="T315" t="s">
        <v>1257</v>
      </c>
      <c r="U315" t="s">
        <v>56</v>
      </c>
      <c r="V315" t="s">
        <v>52</v>
      </c>
      <c r="W315" t="s">
        <v>59</v>
      </c>
      <c r="X315" t="s">
        <v>53</v>
      </c>
      <c r="Y315" t="s">
        <v>45</v>
      </c>
      <c r="Z315" t="s">
        <v>41</v>
      </c>
      <c r="AA315" t="s">
        <v>54</v>
      </c>
      <c r="AB315" t="s">
        <v>41</v>
      </c>
      <c r="AC315" t="s">
        <v>92</v>
      </c>
      <c r="AD315" t="s">
        <v>41</v>
      </c>
      <c r="AE315" t="s">
        <v>45</v>
      </c>
      <c r="AF315" t="s">
        <v>70</v>
      </c>
      <c r="AG315" t="s">
        <v>56</v>
      </c>
      <c r="AH315" t="s">
        <v>51</v>
      </c>
      <c r="AI315" t="s">
        <v>51</v>
      </c>
    </row>
    <row r="316" spans="1:35" x14ac:dyDescent="0.25">
      <c r="A316" t="s">
        <v>218</v>
      </c>
      <c r="B316" t="s">
        <v>59</v>
      </c>
      <c r="C316" t="s">
        <v>37</v>
      </c>
      <c r="D316" t="s">
        <v>432</v>
      </c>
      <c r="E316" t="s">
        <v>62</v>
      </c>
      <c r="F316" t="s">
        <v>70</v>
      </c>
      <c r="G316" t="s">
        <v>40</v>
      </c>
      <c r="H316" t="s">
        <v>87</v>
      </c>
      <c r="I316" t="s">
        <v>40</v>
      </c>
      <c r="J316" t="s">
        <v>1258</v>
      </c>
      <c r="K316" t="s">
        <v>45</v>
      </c>
      <c r="L316" t="s">
        <v>63</v>
      </c>
      <c r="M316" t="s">
        <v>338</v>
      </c>
      <c r="N316" t="s">
        <v>45</v>
      </c>
      <c r="O316" t="s">
        <v>47</v>
      </c>
      <c r="P316" t="s">
        <v>169</v>
      </c>
      <c r="Q316" t="s">
        <v>40</v>
      </c>
      <c r="R316" t="s">
        <v>66</v>
      </c>
      <c r="S316" t="s">
        <v>1259</v>
      </c>
      <c r="T316" t="s">
        <v>1260</v>
      </c>
      <c r="U316" t="s">
        <v>40</v>
      </c>
      <c r="V316" t="s">
        <v>52</v>
      </c>
      <c r="W316" t="s">
        <v>36</v>
      </c>
      <c r="X316" t="s">
        <v>129</v>
      </c>
      <c r="Y316" t="s">
        <v>45</v>
      </c>
      <c r="Z316" t="s">
        <v>47</v>
      </c>
      <c r="AA316" t="s">
        <v>54</v>
      </c>
      <c r="AB316" t="s">
        <v>55</v>
      </c>
      <c r="AC316" t="s">
        <v>119</v>
      </c>
      <c r="AD316" t="s">
        <v>45</v>
      </c>
      <c r="AE316" t="s">
        <v>45</v>
      </c>
      <c r="AF316" t="s">
        <v>119</v>
      </c>
      <c r="AG316" t="s">
        <v>91</v>
      </c>
      <c r="AH316" t="s">
        <v>53</v>
      </c>
      <c r="AI316" t="s">
        <v>70</v>
      </c>
    </row>
    <row r="317" spans="1:35" x14ac:dyDescent="0.25">
      <c r="A317" t="s">
        <v>234</v>
      </c>
      <c r="B317" t="s">
        <v>59</v>
      </c>
      <c r="C317" t="s">
        <v>60</v>
      </c>
      <c r="D317" t="s">
        <v>1261</v>
      </c>
      <c r="E317" t="s">
        <v>62</v>
      </c>
      <c r="F317" t="s">
        <v>70</v>
      </c>
      <c r="G317" t="s">
        <v>47</v>
      </c>
      <c r="H317" t="s">
        <v>42</v>
      </c>
      <c r="I317" t="s">
        <v>40</v>
      </c>
      <c r="J317" t="s">
        <v>1262</v>
      </c>
      <c r="K317" t="s">
        <v>45</v>
      </c>
      <c r="L317" t="s">
        <v>43</v>
      </c>
      <c r="M317" t="s">
        <v>80</v>
      </c>
      <c r="N317" t="s">
        <v>45</v>
      </c>
      <c r="O317" t="s">
        <v>40</v>
      </c>
      <c r="P317" t="s">
        <v>76</v>
      </c>
      <c r="Q317" t="s">
        <v>47</v>
      </c>
      <c r="R317" t="s">
        <v>48</v>
      </c>
      <c r="S317" t="s">
        <v>1263</v>
      </c>
      <c r="T317" t="s">
        <v>1264</v>
      </c>
      <c r="U317" t="s">
        <v>55</v>
      </c>
      <c r="V317" t="s">
        <v>52</v>
      </c>
      <c r="W317" t="s">
        <v>59</v>
      </c>
      <c r="X317" t="s">
        <v>144</v>
      </c>
      <c r="Y317" t="s">
        <v>45</v>
      </c>
      <c r="Z317" t="s">
        <v>40</v>
      </c>
      <c r="AA317" t="s">
        <v>54</v>
      </c>
      <c r="AB317" t="s">
        <v>55</v>
      </c>
      <c r="AC317" t="s">
        <v>91</v>
      </c>
      <c r="AD317" t="s">
        <v>57</v>
      </c>
      <c r="AE317" t="s">
        <v>45</v>
      </c>
      <c r="AF317" t="s">
        <v>51</v>
      </c>
      <c r="AG317" t="s">
        <v>71</v>
      </c>
      <c r="AH317" t="s">
        <v>40</v>
      </c>
      <c r="AI317" t="s">
        <v>71</v>
      </c>
    </row>
    <row r="318" spans="1:35" x14ac:dyDescent="0.25">
      <c r="A318" t="s">
        <v>58</v>
      </c>
      <c r="B318" t="s">
        <v>59</v>
      </c>
      <c r="C318" t="s">
        <v>37</v>
      </c>
      <c r="D318" t="s">
        <v>1265</v>
      </c>
      <c r="E318" t="s">
        <v>62</v>
      </c>
      <c r="F318" t="s">
        <v>40</v>
      </c>
      <c r="G318" t="s">
        <v>41</v>
      </c>
      <c r="H318" t="s">
        <v>228</v>
      </c>
      <c r="I318" t="s">
        <v>40</v>
      </c>
      <c r="J318" t="s">
        <v>1266</v>
      </c>
      <c r="K318" t="s">
        <v>45</v>
      </c>
      <c r="L318" t="s">
        <v>43</v>
      </c>
      <c r="M318" t="s">
        <v>360</v>
      </c>
      <c r="N318" t="s">
        <v>41</v>
      </c>
      <c r="O318" t="s">
        <v>47</v>
      </c>
      <c r="P318" t="s">
        <v>122</v>
      </c>
      <c r="Q318" t="s">
        <v>45</v>
      </c>
      <c r="R318" t="s">
        <v>48</v>
      </c>
      <c r="S318" t="s">
        <v>1267</v>
      </c>
      <c r="T318" t="s">
        <v>1268</v>
      </c>
      <c r="U318" t="s">
        <v>71</v>
      </c>
      <c r="V318" t="s">
        <v>52</v>
      </c>
      <c r="W318" t="s">
        <v>36</v>
      </c>
      <c r="X318" t="s">
        <v>92</v>
      </c>
      <c r="Y318" t="s">
        <v>45</v>
      </c>
      <c r="Z318" t="s">
        <v>47</v>
      </c>
      <c r="AA318" t="s">
        <v>54</v>
      </c>
      <c r="AB318" t="s">
        <v>55</v>
      </c>
      <c r="AC318" t="s">
        <v>172</v>
      </c>
      <c r="AD318" t="s">
        <v>41</v>
      </c>
      <c r="AE318" t="s">
        <v>45</v>
      </c>
      <c r="AF318" t="s">
        <v>71</v>
      </c>
      <c r="AG318" t="s">
        <v>40</v>
      </c>
      <c r="AH318" t="s">
        <v>55</v>
      </c>
      <c r="AI318" t="s">
        <v>71</v>
      </c>
    </row>
    <row r="319" spans="1:35" x14ac:dyDescent="0.25">
      <c r="A319" t="s">
        <v>251</v>
      </c>
      <c r="B319" t="s">
        <v>36</v>
      </c>
      <c r="C319" t="s">
        <v>37</v>
      </c>
      <c r="D319" t="s">
        <v>1269</v>
      </c>
      <c r="E319" t="s">
        <v>62</v>
      </c>
      <c r="F319" t="s">
        <v>51</v>
      </c>
      <c r="G319" t="s">
        <v>47</v>
      </c>
      <c r="H319" t="s">
        <v>87</v>
      </c>
      <c r="I319" t="s">
        <v>40</v>
      </c>
      <c r="J319" t="s">
        <v>1270</v>
      </c>
      <c r="K319" t="s">
        <v>45</v>
      </c>
      <c r="L319" t="s">
        <v>63</v>
      </c>
      <c r="M319" t="s">
        <v>348</v>
      </c>
      <c r="N319" t="s">
        <v>41</v>
      </c>
      <c r="O319" t="s">
        <v>41</v>
      </c>
      <c r="P319" t="s">
        <v>65</v>
      </c>
      <c r="Q319" t="s">
        <v>41</v>
      </c>
      <c r="R319" t="s">
        <v>66</v>
      </c>
      <c r="S319" t="s">
        <v>612</v>
      </c>
      <c r="T319" t="s">
        <v>1271</v>
      </c>
      <c r="U319" t="s">
        <v>41</v>
      </c>
      <c r="V319" t="s">
        <v>52</v>
      </c>
      <c r="W319" t="s">
        <v>59</v>
      </c>
      <c r="X319" t="s">
        <v>79</v>
      </c>
      <c r="Y319" t="s">
        <v>45</v>
      </c>
      <c r="Z319" t="s">
        <v>40</v>
      </c>
      <c r="AA319" t="s">
        <v>54</v>
      </c>
      <c r="AB319" t="s">
        <v>55</v>
      </c>
      <c r="AC319" t="s">
        <v>53</v>
      </c>
      <c r="AD319" t="s">
        <v>45</v>
      </c>
      <c r="AE319" t="s">
        <v>41</v>
      </c>
      <c r="AF319" t="s">
        <v>51</v>
      </c>
      <c r="AG319" t="s">
        <v>41</v>
      </c>
      <c r="AH319" t="s">
        <v>71</v>
      </c>
      <c r="AI319" t="s">
        <v>71</v>
      </c>
    </row>
    <row r="320" spans="1:35" x14ac:dyDescent="0.25">
      <c r="A320" t="s">
        <v>85</v>
      </c>
      <c r="B320" t="s">
        <v>59</v>
      </c>
      <c r="C320" t="s">
        <v>37</v>
      </c>
      <c r="D320" t="s">
        <v>1272</v>
      </c>
      <c r="E320" t="s">
        <v>62</v>
      </c>
      <c r="F320" t="s">
        <v>57</v>
      </c>
      <c r="G320" t="s">
        <v>45</v>
      </c>
      <c r="H320" t="s">
        <v>42</v>
      </c>
      <c r="I320" t="s">
        <v>40</v>
      </c>
      <c r="J320" t="s">
        <v>1273</v>
      </c>
      <c r="K320" t="s">
        <v>45</v>
      </c>
      <c r="L320" t="s">
        <v>43</v>
      </c>
      <c r="M320" t="s">
        <v>348</v>
      </c>
      <c r="N320" t="s">
        <v>45</v>
      </c>
      <c r="O320" t="s">
        <v>40</v>
      </c>
      <c r="P320" t="s">
        <v>65</v>
      </c>
      <c r="Q320" t="s">
        <v>41</v>
      </c>
      <c r="R320" t="s">
        <v>48</v>
      </c>
      <c r="S320" t="s">
        <v>1274</v>
      </c>
      <c r="T320" t="s">
        <v>1275</v>
      </c>
      <c r="U320" t="s">
        <v>40</v>
      </c>
      <c r="V320" t="s">
        <v>52</v>
      </c>
      <c r="W320" t="s">
        <v>36</v>
      </c>
      <c r="X320" t="s">
        <v>92</v>
      </c>
      <c r="Y320" t="s">
        <v>45</v>
      </c>
      <c r="Z320" t="s">
        <v>41</v>
      </c>
      <c r="AA320" t="s">
        <v>54</v>
      </c>
      <c r="AB320" t="s">
        <v>55</v>
      </c>
      <c r="AC320" t="s">
        <v>47</v>
      </c>
      <c r="AD320" t="s">
        <v>41</v>
      </c>
      <c r="AE320" t="s">
        <v>41</v>
      </c>
      <c r="AF320" t="s">
        <v>47</v>
      </c>
      <c r="AG320" t="s">
        <v>45</v>
      </c>
      <c r="AH320" t="s">
        <v>40</v>
      </c>
      <c r="AI320" t="s">
        <v>41</v>
      </c>
    </row>
    <row r="321" spans="1:35" x14ac:dyDescent="0.25">
      <c r="A321" t="s">
        <v>93</v>
      </c>
      <c r="B321" t="s">
        <v>59</v>
      </c>
      <c r="C321" t="s">
        <v>37</v>
      </c>
      <c r="D321" t="s">
        <v>1276</v>
      </c>
      <c r="E321" t="s">
        <v>39</v>
      </c>
      <c r="F321" t="s">
        <v>51</v>
      </c>
      <c r="G321" t="s">
        <v>41</v>
      </c>
      <c r="H321" t="s">
        <v>228</v>
      </c>
      <c r="I321" t="s">
        <v>40</v>
      </c>
      <c r="J321" t="s">
        <v>1277</v>
      </c>
      <c r="K321" t="s">
        <v>45</v>
      </c>
      <c r="L321" t="s">
        <v>43</v>
      </c>
      <c r="M321" t="s">
        <v>296</v>
      </c>
      <c r="N321" t="s">
        <v>41</v>
      </c>
      <c r="O321" t="s">
        <v>41</v>
      </c>
      <c r="P321" t="s">
        <v>46</v>
      </c>
      <c r="Q321" t="s">
        <v>41</v>
      </c>
      <c r="R321" t="s">
        <v>66</v>
      </c>
      <c r="S321" t="s">
        <v>824</v>
      </c>
      <c r="T321" t="s">
        <v>1278</v>
      </c>
      <c r="U321" t="s">
        <v>40</v>
      </c>
      <c r="V321" t="s">
        <v>52</v>
      </c>
      <c r="W321" t="s">
        <v>36</v>
      </c>
      <c r="X321" t="s">
        <v>53</v>
      </c>
      <c r="Y321" t="s">
        <v>45</v>
      </c>
      <c r="Z321" t="s">
        <v>47</v>
      </c>
      <c r="AA321" t="s">
        <v>54</v>
      </c>
      <c r="AB321" t="s">
        <v>55</v>
      </c>
      <c r="AC321" t="s">
        <v>98</v>
      </c>
      <c r="AD321" t="s">
        <v>41</v>
      </c>
      <c r="AE321" t="s">
        <v>45</v>
      </c>
      <c r="AF321" t="s">
        <v>98</v>
      </c>
      <c r="AG321" t="s">
        <v>92</v>
      </c>
      <c r="AH321" t="s">
        <v>53</v>
      </c>
      <c r="AI321" t="s">
        <v>91</v>
      </c>
    </row>
    <row r="322" spans="1:35" x14ac:dyDescent="0.25">
      <c r="A322" t="s">
        <v>85</v>
      </c>
      <c r="B322" t="s">
        <v>59</v>
      </c>
      <c r="C322" t="s">
        <v>37</v>
      </c>
      <c r="D322" t="s">
        <v>1279</v>
      </c>
      <c r="E322" t="s">
        <v>39</v>
      </c>
      <c r="F322" t="s">
        <v>41</v>
      </c>
      <c r="G322" t="s">
        <v>45</v>
      </c>
      <c r="H322" t="s">
        <v>42</v>
      </c>
      <c r="I322" t="s">
        <v>40</v>
      </c>
      <c r="J322" t="s">
        <v>1280</v>
      </c>
      <c r="K322" t="s">
        <v>47</v>
      </c>
      <c r="L322" t="s">
        <v>63</v>
      </c>
      <c r="M322" t="s">
        <v>314</v>
      </c>
      <c r="N322" t="s">
        <v>45</v>
      </c>
      <c r="O322" t="s">
        <v>41</v>
      </c>
      <c r="P322" t="s">
        <v>46</v>
      </c>
      <c r="Q322" t="s">
        <v>45</v>
      </c>
      <c r="R322" t="s">
        <v>48</v>
      </c>
      <c r="S322" t="s">
        <v>1281</v>
      </c>
      <c r="T322" t="s">
        <v>1282</v>
      </c>
      <c r="U322" t="s">
        <v>40</v>
      </c>
      <c r="V322" t="s">
        <v>52</v>
      </c>
      <c r="W322" t="s">
        <v>36</v>
      </c>
      <c r="X322" t="s">
        <v>53</v>
      </c>
      <c r="Y322" t="s">
        <v>45</v>
      </c>
      <c r="Z322" t="s">
        <v>40</v>
      </c>
      <c r="AA322" t="s">
        <v>54</v>
      </c>
      <c r="AB322" t="s">
        <v>55</v>
      </c>
      <c r="AC322" t="s">
        <v>57</v>
      </c>
      <c r="AD322" t="s">
        <v>45</v>
      </c>
      <c r="AE322" t="s">
        <v>45</v>
      </c>
      <c r="AF322" t="s">
        <v>57</v>
      </c>
      <c r="AG322" t="s">
        <v>47</v>
      </c>
      <c r="AH322" t="s">
        <v>55</v>
      </c>
      <c r="AI322" t="s">
        <v>47</v>
      </c>
    </row>
    <row r="323" spans="1:35" x14ac:dyDescent="0.25">
      <c r="A323" t="s">
        <v>137</v>
      </c>
      <c r="B323" t="s">
        <v>59</v>
      </c>
      <c r="C323" t="s">
        <v>37</v>
      </c>
      <c r="D323" t="s">
        <v>205</v>
      </c>
      <c r="E323" t="s">
        <v>39</v>
      </c>
      <c r="F323" t="s">
        <v>71</v>
      </c>
      <c r="G323" t="s">
        <v>45</v>
      </c>
      <c r="H323" t="s">
        <v>206</v>
      </c>
      <c r="I323" t="s">
        <v>40</v>
      </c>
      <c r="J323" t="s">
        <v>640</v>
      </c>
      <c r="K323" t="s">
        <v>47</v>
      </c>
      <c r="L323" t="s">
        <v>63</v>
      </c>
      <c r="M323" t="s">
        <v>279</v>
      </c>
      <c r="N323" t="s">
        <v>45</v>
      </c>
      <c r="O323" t="s">
        <v>41</v>
      </c>
      <c r="P323" t="s">
        <v>46</v>
      </c>
      <c r="Q323" t="s">
        <v>47</v>
      </c>
      <c r="R323" t="s">
        <v>109</v>
      </c>
      <c r="S323" t="s">
        <v>1283</v>
      </c>
      <c r="T323" t="s">
        <v>1284</v>
      </c>
      <c r="U323" t="s">
        <v>47</v>
      </c>
      <c r="V323" t="s">
        <v>52</v>
      </c>
      <c r="W323" t="s">
        <v>59</v>
      </c>
      <c r="X323" t="s">
        <v>92</v>
      </c>
      <c r="Y323" t="s">
        <v>45</v>
      </c>
      <c r="Z323" t="s">
        <v>47</v>
      </c>
      <c r="AA323" t="s">
        <v>54</v>
      </c>
      <c r="AB323" t="s">
        <v>45</v>
      </c>
      <c r="AC323" t="s">
        <v>98</v>
      </c>
      <c r="AD323" t="s">
        <v>45</v>
      </c>
      <c r="AE323" t="s">
        <v>45</v>
      </c>
      <c r="AF323" t="s">
        <v>71</v>
      </c>
      <c r="AG323" t="s">
        <v>71</v>
      </c>
      <c r="AH323" t="s">
        <v>40</v>
      </c>
      <c r="AI323" t="s">
        <v>71</v>
      </c>
    </row>
    <row r="324" spans="1:35" x14ac:dyDescent="0.25">
      <c r="A324" t="s">
        <v>93</v>
      </c>
      <c r="B324" t="s">
        <v>59</v>
      </c>
      <c r="C324" t="s">
        <v>37</v>
      </c>
      <c r="D324" t="s">
        <v>1285</v>
      </c>
      <c r="E324" t="s">
        <v>62</v>
      </c>
      <c r="F324" t="s">
        <v>41</v>
      </c>
      <c r="G324" t="s">
        <v>47</v>
      </c>
      <c r="H324" t="s">
        <v>87</v>
      </c>
      <c r="I324" t="s">
        <v>40</v>
      </c>
      <c r="J324" t="s">
        <v>1286</v>
      </c>
      <c r="K324" t="s">
        <v>40</v>
      </c>
      <c r="L324" t="s">
        <v>43</v>
      </c>
      <c r="M324" t="s">
        <v>314</v>
      </c>
      <c r="N324" t="s">
        <v>47</v>
      </c>
      <c r="O324" t="s">
        <v>41</v>
      </c>
      <c r="P324" t="s">
        <v>65</v>
      </c>
      <c r="Q324" t="s">
        <v>47</v>
      </c>
      <c r="R324" t="s">
        <v>48</v>
      </c>
      <c r="S324" t="s">
        <v>1287</v>
      </c>
      <c r="T324" t="s">
        <v>1288</v>
      </c>
      <c r="U324" t="s">
        <v>71</v>
      </c>
      <c r="V324" t="s">
        <v>52</v>
      </c>
      <c r="W324" t="s">
        <v>59</v>
      </c>
      <c r="X324" t="s">
        <v>128</v>
      </c>
      <c r="Y324" t="s">
        <v>45</v>
      </c>
      <c r="Z324" t="s">
        <v>45</v>
      </c>
      <c r="AA324" t="s">
        <v>54</v>
      </c>
      <c r="AB324" t="s">
        <v>55</v>
      </c>
      <c r="AC324" t="s">
        <v>70</v>
      </c>
      <c r="AD324" t="s">
        <v>55</v>
      </c>
      <c r="AE324" t="s">
        <v>41</v>
      </c>
      <c r="AF324" t="s">
        <v>71</v>
      </c>
      <c r="AG324" t="s">
        <v>71</v>
      </c>
      <c r="AH324" t="s">
        <v>55</v>
      </c>
      <c r="AI324" t="s">
        <v>71</v>
      </c>
    </row>
    <row r="325" spans="1:35" x14ac:dyDescent="0.25">
      <c r="A325" t="s">
        <v>149</v>
      </c>
      <c r="B325" t="s">
        <v>36</v>
      </c>
      <c r="C325" t="s">
        <v>37</v>
      </c>
      <c r="D325" t="s">
        <v>740</v>
      </c>
      <c r="E325" t="s">
        <v>62</v>
      </c>
      <c r="F325" t="s">
        <v>41</v>
      </c>
      <c r="G325" t="s">
        <v>47</v>
      </c>
      <c r="H325" t="s">
        <v>87</v>
      </c>
      <c r="I325" t="s">
        <v>40</v>
      </c>
      <c r="J325" t="s">
        <v>712</v>
      </c>
      <c r="K325" t="s">
        <v>40</v>
      </c>
      <c r="L325" t="s">
        <v>63</v>
      </c>
      <c r="M325" t="s">
        <v>130</v>
      </c>
      <c r="N325" t="s">
        <v>40</v>
      </c>
      <c r="O325" t="s">
        <v>40</v>
      </c>
      <c r="P325" t="s">
        <v>65</v>
      </c>
      <c r="Q325" t="s">
        <v>47</v>
      </c>
      <c r="R325" t="s">
        <v>66</v>
      </c>
      <c r="S325" t="s">
        <v>1289</v>
      </c>
      <c r="T325" t="s">
        <v>1290</v>
      </c>
      <c r="U325" t="s">
        <v>57</v>
      </c>
      <c r="V325" t="s">
        <v>52</v>
      </c>
      <c r="W325" t="s">
        <v>36</v>
      </c>
      <c r="X325" t="s">
        <v>98</v>
      </c>
      <c r="Y325" t="s">
        <v>45</v>
      </c>
      <c r="Z325" t="s">
        <v>47</v>
      </c>
      <c r="AA325" t="s">
        <v>54</v>
      </c>
      <c r="AB325" t="s">
        <v>55</v>
      </c>
      <c r="AC325" t="s">
        <v>57</v>
      </c>
      <c r="AD325" t="s">
        <v>47</v>
      </c>
      <c r="AE325" t="s">
        <v>41</v>
      </c>
      <c r="AF325" t="s">
        <v>45</v>
      </c>
      <c r="AG325" t="s">
        <v>41</v>
      </c>
      <c r="AH325" t="s">
        <v>41</v>
      </c>
      <c r="AI325" t="s">
        <v>41</v>
      </c>
    </row>
    <row r="326" spans="1:35" x14ac:dyDescent="0.25">
      <c r="A326" t="s">
        <v>105</v>
      </c>
      <c r="B326" t="s">
        <v>59</v>
      </c>
      <c r="C326" t="s">
        <v>37</v>
      </c>
      <c r="D326" t="s">
        <v>1291</v>
      </c>
      <c r="E326" t="s">
        <v>62</v>
      </c>
      <c r="F326" t="s">
        <v>149</v>
      </c>
      <c r="G326" t="s">
        <v>41</v>
      </c>
      <c r="H326" t="s">
        <v>87</v>
      </c>
      <c r="I326" t="s">
        <v>40</v>
      </c>
      <c r="J326" t="s">
        <v>561</v>
      </c>
      <c r="K326" t="s">
        <v>47</v>
      </c>
      <c r="L326" t="s">
        <v>43</v>
      </c>
      <c r="M326" t="s">
        <v>292</v>
      </c>
      <c r="N326" t="s">
        <v>45</v>
      </c>
      <c r="O326" t="s">
        <v>41</v>
      </c>
      <c r="P326" t="s">
        <v>65</v>
      </c>
      <c r="Q326" t="s">
        <v>47</v>
      </c>
      <c r="R326" t="s">
        <v>66</v>
      </c>
      <c r="S326" t="s">
        <v>1292</v>
      </c>
      <c r="T326" t="s">
        <v>1293</v>
      </c>
      <c r="U326" t="s">
        <v>40</v>
      </c>
      <c r="V326" t="s">
        <v>52</v>
      </c>
      <c r="W326" t="s">
        <v>59</v>
      </c>
      <c r="X326" t="s">
        <v>98</v>
      </c>
      <c r="Y326" t="s">
        <v>45</v>
      </c>
      <c r="Z326" t="s">
        <v>47</v>
      </c>
      <c r="AA326" t="s">
        <v>54</v>
      </c>
      <c r="AB326" t="s">
        <v>41</v>
      </c>
      <c r="AC326" t="s">
        <v>53</v>
      </c>
      <c r="AD326" t="s">
        <v>41</v>
      </c>
      <c r="AE326" t="s">
        <v>45</v>
      </c>
      <c r="AF326" t="s">
        <v>70</v>
      </c>
      <c r="AG326" t="s">
        <v>51</v>
      </c>
      <c r="AH326" t="s">
        <v>40</v>
      </c>
      <c r="AI326" t="s">
        <v>91</v>
      </c>
    </row>
    <row r="327" spans="1:35" x14ac:dyDescent="0.25">
      <c r="A327" t="s">
        <v>137</v>
      </c>
      <c r="B327" t="s">
        <v>59</v>
      </c>
      <c r="C327" t="s">
        <v>60</v>
      </c>
      <c r="D327" t="s">
        <v>1294</v>
      </c>
      <c r="E327" t="s">
        <v>62</v>
      </c>
      <c r="F327" t="s">
        <v>71</v>
      </c>
      <c r="G327" t="s">
        <v>41</v>
      </c>
      <c r="H327" t="s">
        <v>42</v>
      </c>
      <c r="I327" t="s">
        <v>40</v>
      </c>
      <c r="J327" t="s">
        <v>1145</v>
      </c>
      <c r="K327" t="s">
        <v>45</v>
      </c>
      <c r="L327" t="s">
        <v>43</v>
      </c>
      <c r="M327" t="s">
        <v>207</v>
      </c>
      <c r="N327" t="s">
        <v>41</v>
      </c>
      <c r="O327" t="s">
        <v>45</v>
      </c>
      <c r="P327" t="s">
        <v>116</v>
      </c>
      <c r="Q327" t="s">
        <v>45</v>
      </c>
      <c r="R327" t="s">
        <v>66</v>
      </c>
      <c r="S327" t="s">
        <v>1295</v>
      </c>
      <c r="T327" t="s">
        <v>1296</v>
      </c>
      <c r="U327" t="s">
        <v>40</v>
      </c>
      <c r="V327" t="s">
        <v>52</v>
      </c>
      <c r="W327" t="s">
        <v>59</v>
      </c>
      <c r="X327" t="s">
        <v>107</v>
      </c>
      <c r="Y327" t="s">
        <v>47</v>
      </c>
      <c r="Z327" t="s">
        <v>40</v>
      </c>
      <c r="AA327" t="s">
        <v>54</v>
      </c>
      <c r="AB327" t="s">
        <v>40</v>
      </c>
      <c r="AC327" t="s">
        <v>70</v>
      </c>
      <c r="AD327" t="s">
        <v>41</v>
      </c>
      <c r="AE327" t="s">
        <v>45</v>
      </c>
      <c r="AF327" t="s">
        <v>70</v>
      </c>
      <c r="AG327" t="s">
        <v>91</v>
      </c>
      <c r="AH327" t="s">
        <v>51</v>
      </c>
      <c r="AI327" t="s">
        <v>91</v>
      </c>
    </row>
    <row r="328" spans="1:35" x14ac:dyDescent="0.25">
      <c r="A328" t="s">
        <v>218</v>
      </c>
      <c r="B328" t="s">
        <v>59</v>
      </c>
      <c r="C328" t="s">
        <v>60</v>
      </c>
      <c r="D328" t="s">
        <v>1297</v>
      </c>
      <c r="E328" t="s">
        <v>62</v>
      </c>
      <c r="F328" t="s">
        <v>71</v>
      </c>
      <c r="G328" t="s">
        <v>41</v>
      </c>
      <c r="H328" t="s">
        <v>87</v>
      </c>
      <c r="I328" t="s">
        <v>40</v>
      </c>
      <c r="J328" t="s">
        <v>1181</v>
      </c>
      <c r="K328" t="s">
        <v>45</v>
      </c>
      <c r="L328" t="s">
        <v>63</v>
      </c>
      <c r="M328" t="s">
        <v>259</v>
      </c>
      <c r="N328" t="s">
        <v>41</v>
      </c>
      <c r="O328" t="s">
        <v>57</v>
      </c>
      <c r="P328" t="s">
        <v>169</v>
      </c>
      <c r="Q328" t="s">
        <v>47</v>
      </c>
      <c r="R328" t="s">
        <v>66</v>
      </c>
      <c r="S328" t="s">
        <v>1298</v>
      </c>
      <c r="T328" t="s">
        <v>1299</v>
      </c>
      <c r="U328" t="s">
        <v>40</v>
      </c>
      <c r="V328" t="s">
        <v>52</v>
      </c>
      <c r="W328" t="s">
        <v>59</v>
      </c>
      <c r="X328" t="s">
        <v>79</v>
      </c>
      <c r="Y328" t="s">
        <v>45</v>
      </c>
      <c r="Z328" t="s">
        <v>40</v>
      </c>
      <c r="AA328" t="s">
        <v>54</v>
      </c>
      <c r="AB328" t="s">
        <v>40</v>
      </c>
      <c r="AC328" t="s">
        <v>119</v>
      </c>
      <c r="AD328" t="s">
        <v>41</v>
      </c>
      <c r="AE328" t="s">
        <v>45</v>
      </c>
      <c r="AF328" t="s">
        <v>119</v>
      </c>
      <c r="AG328" t="s">
        <v>91</v>
      </c>
      <c r="AH328" t="s">
        <v>98</v>
      </c>
      <c r="AI328" t="s">
        <v>45</v>
      </c>
    </row>
    <row r="329" spans="1:35" x14ac:dyDescent="0.25">
      <c r="A329" t="s">
        <v>218</v>
      </c>
      <c r="B329" t="s">
        <v>36</v>
      </c>
      <c r="C329" t="s">
        <v>37</v>
      </c>
      <c r="D329" t="s">
        <v>1300</v>
      </c>
      <c r="E329" t="s">
        <v>39</v>
      </c>
      <c r="F329" t="s">
        <v>45</v>
      </c>
      <c r="G329" t="s">
        <v>41</v>
      </c>
      <c r="H329" t="s">
        <v>87</v>
      </c>
      <c r="I329" t="s">
        <v>40</v>
      </c>
      <c r="J329" t="s">
        <v>1301</v>
      </c>
      <c r="K329" t="s">
        <v>47</v>
      </c>
      <c r="L329" t="s">
        <v>43</v>
      </c>
      <c r="M329" t="s">
        <v>35</v>
      </c>
      <c r="N329" t="s">
        <v>45</v>
      </c>
      <c r="O329" t="s">
        <v>41</v>
      </c>
      <c r="P329" t="s">
        <v>46</v>
      </c>
      <c r="Q329" t="s">
        <v>45</v>
      </c>
      <c r="R329" t="s">
        <v>66</v>
      </c>
      <c r="S329" t="s">
        <v>1302</v>
      </c>
      <c r="T329" t="s">
        <v>1303</v>
      </c>
      <c r="U329" t="s">
        <v>47</v>
      </c>
      <c r="V329" t="s">
        <v>52</v>
      </c>
      <c r="W329" t="s">
        <v>36</v>
      </c>
      <c r="X329" t="s">
        <v>145</v>
      </c>
      <c r="Y329" t="s">
        <v>45</v>
      </c>
      <c r="Z329" t="s">
        <v>40</v>
      </c>
      <c r="AA329" t="s">
        <v>54</v>
      </c>
      <c r="AB329" t="s">
        <v>55</v>
      </c>
      <c r="AC329" t="s">
        <v>92</v>
      </c>
      <c r="AD329" t="s">
        <v>45</v>
      </c>
      <c r="AE329" t="s">
        <v>41</v>
      </c>
      <c r="AF329" t="s">
        <v>40</v>
      </c>
      <c r="AG329" t="s">
        <v>55</v>
      </c>
      <c r="AH329" t="s">
        <v>55</v>
      </c>
      <c r="AI329" t="s">
        <v>55</v>
      </c>
    </row>
    <row r="330" spans="1:35" x14ac:dyDescent="0.25">
      <c r="A330" t="s">
        <v>80</v>
      </c>
      <c r="B330" t="s">
        <v>59</v>
      </c>
      <c r="C330" t="s">
        <v>60</v>
      </c>
      <c r="D330" t="s">
        <v>1304</v>
      </c>
      <c r="E330" t="s">
        <v>39</v>
      </c>
      <c r="F330" t="s">
        <v>70</v>
      </c>
      <c r="G330" t="s">
        <v>45</v>
      </c>
      <c r="H330" t="s">
        <v>206</v>
      </c>
      <c r="I330" t="s">
        <v>40</v>
      </c>
      <c r="J330" t="s">
        <v>1305</v>
      </c>
      <c r="K330" t="s">
        <v>41</v>
      </c>
      <c r="L330" t="s">
        <v>63</v>
      </c>
      <c r="M330" t="s">
        <v>213</v>
      </c>
      <c r="N330" t="s">
        <v>41</v>
      </c>
      <c r="O330" t="s">
        <v>41</v>
      </c>
      <c r="P330" t="s">
        <v>46</v>
      </c>
      <c r="Q330" t="s">
        <v>47</v>
      </c>
      <c r="R330" t="s">
        <v>48</v>
      </c>
      <c r="S330" t="s">
        <v>1306</v>
      </c>
      <c r="T330" t="s">
        <v>638</v>
      </c>
      <c r="U330" t="s">
        <v>45</v>
      </c>
      <c r="V330" t="s">
        <v>52</v>
      </c>
      <c r="W330" t="s">
        <v>59</v>
      </c>
      <c r="X330" t="s">
        <v>129</v>
      </c>
      <c r="Y330" t="s">
        <v>45</v>
      </c>
      <c r="Z330" t="s">
        <v>45</v>
      </c>
      <c r="AA330" t="s">
        <v>54</v>
      </c>
      <c r="AB330" t="s">
        <v>55</v>
      </c>
      <c r="AC330" t="s">
        <v>91</v>
      </c>
      <c r="AD330" t="s">
        <v>56</v>
      </c>
      <c r="AE330" t="s">
        <v>41</v>
      </c>
      <c r="AF330" t="s">
        <v>71</v>
      </c>
      <c r="AG330" t="s">
        <v>71</v>
      </c>
      <c r="AH330" t="s">
        <v>55</v>
      </c>
      <c r="AI330" t="s">
        <v>40</v>
      </c>
    </row>
    <row r="331" spans="1:35" x14ac:dyDescent="0.25">
      <c r="A331" t="s">
        <v>239</v>
      </c>
      <c r="B331" t="s">
        <v>59</v>
      </c>
      <c r="C331" t="s">
        <v>37</v>
      </c>
      <c r="D331" t="s">
        <v>1307</v>
      </c>
      <c r="E331" t="s">
        <v>62</v>
      </c>
      <c r="F331" t="s">
        <v>57</v>
      </c>
      <c r="G331" t="s">
        <v>57</v>
      </c>
      <c r="H331" t="s">
        <v>42</v>
      </c>
      <c r="I331" t="s">
        <v>40</v>
      </c>
      <c r="J331" t="s">
        <v>1308</v>
      </c>
      <c r="K331" t="s">
        <v>47</v>
      </c>
      <c r="L331" t="s">
        <v>63</v>
      </c>
      <c r="M331" t="s">
        <v>204</v>
      </c>
      <c r="N331" t="s">
        <v>45</v>
      </c>
      <c r="O331" t="s">
        <v>57</v>
      </c>
      <c r="P331" t="s">
        <v>186</v>
      </c>
      <c r="Q331" t="s">
        <v>45</v>
      </c>
      <c r="R331" t="s">
        <v>66</v>
      </c>
      <c r="S331" t="s">
        <v>1309</v>
      </c>
      <c r="T331" t="s">
        <v>1310</v>
      </c>
      <c r="U331" t="s">
        <v>47</v>
      </c>
      <c r="V331" t="s">
        <v>52</v>
      </c>
      <c r="W331" t="s">
        <v>59</v>
      </c>
      <c r="X331" t="s">
        <v>53</v>
      </c>
      <c r="Y331" t="s">
        <v>45</v>
      </c>
      <c r="Z331" t="s">
        <v>41</v>
      </c>
      <c r="AA331" t="s">
        <v>54</v>
      </c>
      <c r="AB331" t="s">
        <v>40</v>
      </c>
      <c r="AC331" t="s">
        <v>119</v>
      </c>
      <c r="AD331" t="s">
        <v>41</v>
      </c>
      <c r="AE331" t="s">
        <v>45</v>
      </c>
      <c r="AF331" t="s">
        <v>45</v>
      </c>
      <c r="AG331" t="s">
        <v>41</v>
      </c>
      <c r="AH331" t="s">
        <v>40</v>
      </c>
      <c r="AI331" t="s">
        <v>40</v>
      </c>
    </row>
    <row r="332" spans="1:35" x14ac:dyDescent="0.25">
      <c r="A332" t="s">
        <v>234</v>
      </c>
      <c r="B332" t="s">
        <v>59</v>
      </c>
      <c r="C332" t="s">
        <v>60</v>
      </c>
      <c r="D332" t="s">
        <v>1311</v>
      </c>
      <c r="E332" t="s">
        <v>62</v>
      </c>
      <c r="F332" t="s">
        <v>70</v>
      </c>
      <c r="G332" t="s">
        <v>47</v>
      </c>
      <c r="H332" t="s">
        <v>42</v>
      </c>
      <c r="I332" t="s">
        <v>40</v>
      </c>
      <c r="J332" t="s">
        <v>1312</v>
      </c>
      <c r="K332" t="s">
        <v>45</v>
      </c>
      <c r="L332" t="s">
        <v>43</v>
      </c>
      <c r="M332" t="s">
        <v>181</v>
      </c>
      <c r="N332" t="s">
        <v>41</v>
      </c>
      <c r="O332" t="s">
        <v>41</v>
      </c>
      <c r="P332" t="s">
        <v>76</v>
      </c>
      <c r="Q332" t="s">
        <v>45</v>
      </c>
      <c r="R332" t="s">
        <v>109</v>
      </c>
      <c r="S332" t="s">
        <v>1313</v>
      </c>
      <c r="T332" t="s">
        <v>1314</v>
      </c>
      <c r="U332" t="s">
        <v>40</v>
      </c>
      <c r="V332" t="s">
        <v>52</v>
      </c>
      <c r="W332" t="s">
        <v>59</v>
      </c>
      <c r="X332" t="s">
        <v>53</v>
      </c>
      <c r="Y332" t="s">
        <v>45</v>
      </c>
      <c r="Z332" t="s">
        <v>41</v>
      </c>
      <c r="AA332" t="s">
        <v>54</v>
      </c>
      <c r="AB332" t="s">
        <v>40</v>
      </c>
      <c r="AC332" t="s">
        <v>91</v>
      </c>
      <c r="AD332" t="s">
        <v>45</v>
      </c>
      <c r="AE332" t="s">
        <v>47</v>
      </c>
      <c r="AF332" t="s">
        <v>91</v>
      </c>
      <c r="AG332" t="s">
        <v>71</v>
      </c>
      <c r="AH332" t="s">
        <v>55</v>
      </c>
      <c r="AI332" t="s">
        <v>55</v>
      </c>
    </row>
    <row r="333" spans="1:35" x14ac:dyDescent="0.25">
      <c r="A333" t="s">
        <v>85</v>
      </c>
      <c r="B333" t="s">
        <v>59</v>
      </c>
      <c r="C333" t="s">
        <v>161</v>
      </c>
      <c r="D333" t="s">
        <v>1315</v>
      </c>
      <c r="E333" t="s">
        <v>39</v>
      </c>
      <c r="F333" t="s">
        <v>40</v>
      </c>
      <c r="G333" t="s">
        <v>40</v>
      </c>
      <c r="H333" t="s">
        <v>206</v>
      </c>
      <c r="I333" t="s">
        <v>40</v>
      </c>
      <c r="J333" t="s">
        <v>1316</v>
      </c>
      <c r="K333" t="s">
        <v>45</v>
      </c>
      <c r="L333" t="s">
        <v>63</v>
      </c>
      <c r="M333" t="s">
        <v>279</v>
      </c>
      <c r="N333" t="s">
        <v>45</v>
      </c>
      <c r="O333" t="s">
        <v>41</v>
      </c>
      <c r="P333" t="s">
        <v>46</v>
      </c>
      <c r="Q333" t="s">
        <v>41</v>
      </c>
      <c r="R333" t="s">
        <v>66</v>
      </c>
      <c r="S333" t="s">
        <v>1317</v>
      </c>
      <c r="T333" t="s">
        <v>1318</v>
      </c>
      <c r="U333" t="s">
        <v>55</v>
      </c>
      <c r="V333" t="s">
        <v>52</v>
      </c>
      <c r="W333" t="s">
        <v>36</v>
      </c>
      <c r="X333" t="s">
        <v>98</v>
      </c>
      <c r="Y333" t="s">
        <v>45</v>
      </c>
      <c r="Z333" t="s">
        <v>47</v>
      </c>
      <c r="AA333" t="s">
        <v>54</v>
      </c>
      <c r="AB333" t="s">
        <v>40</v>
      </c>
      <c r="AC333" t="s">
        <v>56</v>
      </c>
      <c r="AD333" t="s">
        <v>55</v>
      </c>
      <c r="AE333" t="s">
        <v>45</v>
      </c>
      <c r="AF333" t="s">
        <v>57</v>
      </c>
      <c r="AG333" t="s">
        <v>47</v>
      </c>
      <c r="AH333" t="s">
        <v>40</v>
      </c>
      <c r="AI333" t="s">
        <v>47</v>
      </c>
    </row>
    <row r="334" spans="1:35" x14ac:dyDescent="0.25">
      <c r="A334" t="s">
        <v>259</v>
      </c>
      <c r="B334" t="s">
        <v>59</v>
      </c>
      <c r="C334" t="s">
        <v>60</v>
      </c>
      <c r="D334" t="s">
        <v>1319</v>
      </c>
      <c r="E334" t="s">
        <v>62</v>
      </c>
      <c r="F334" t="s">
        <v>104</v>
      </c>
      <c r="G334" t="s">
        <v>47</v>
      </c>
      <c r="H334" t="s">
        <v>42</v>
      </c>
      <c r="I334" t="s">
        <v>40</v>
      </c>
      <c r="J334" t="s">
        <v>1320</v>
      </c>
      <c r="K334" t="s">
        <v>47</v>
      </c>
      <c r="L334" t="s">
        <v>43</v>
      </c>
      <c r="M334" t="s">
        <v>137</v>
      </c>
      <c r="N334" t="s">
        <v>45</v>
      </c>
      <c r="O334" t="s">
        <v>41</v>
      </c>
      <c r="P334" t="s">
        <v>65</v>
      </c>
      <c r="Q334" t="s">
        <v>45</v>
      </c>
      <c r="R334" t="s">
        <v>48</v>
      </c>
      <c r="S334" t="s">
        <v>1321</v>
      </c>
      <c r="T334" t="s">
        <v>1322</v>
      </c>
      <c r="U334" t="s">
        <v>45</v>
      </c>
      <c r="V334" t="s">
        <v>52</v>
      </c>
      <c r="W334" t="s">
        <v>59</v>
      </c>
      <c r="X334" t="s">
        <v>92</v>
      </c>
      <c r="Y334" t="s">
        <v>45</v>
      </c>
      <c r="Z334" t="s">
        <v>47</v>
      </c>
      <c r="AA334" t="s">
        <v>54</v>
      </c>
      <c r="AB334" t="s">
        <v>55</v>
      </c>
      <c r="AC334" t="s">
        <v>104</v>
      </c>
      <c r="AD334" t="s">
        <v>47</v>
      </c>
      <c r="AE334" t="s">
        <v>41</v>
      </c>
      <c r="AF334" t="s">
        <v>47</v>
      </c>
      <c r="AG334" t="s">
        <v>45</v>
      </c>
      <c r="AH334" t="s">
        <v>55</v>
      </c>
      <c r="AI334" t="s">
        <v>45</v>
      </c>
    </row>
    <row r="335" spans="1:35" x14ac:dyDescent="0.25">
      <c r="A335" t="s">
        <v>234</v>
      </c>
      <c r="B335" t="s">
        <v>59</v>
      </c>
      <c r="C335" t="s">
        <v>37</v>
      </c>
      <c r="D335" t="s">
        <v>1323</v>
      </c>
      <c r="E335" t="s">
        <v>62</v>
      </c>
      <c r="F335" t="s">
        <v>71</v>
      </c>
      <c r="G335" t="s">
        <v>45</v>
      </c>
      <c r="H335" t="s">
        <v>42</v>
      </c>
      <c r="I335" t="s">
        <v>40</v>
      </c>
      <c r="J335" t="s">
        <v>1324</v>
      </c>
      <c r="K335" t="s">
        <v>45</v>
      </c>
      <c r="L335" t="s">
        <v>43</v>
      </c>
      <c r="M335" t="s">
        <v>234</v>
      </c>
      <c r="N335" t="s">
        <v>45</v>
      </c>
      <c r="O335" t="s">
        <v>45</v>
      </c>
      <c r="P335" t="s">
        <v>122</v>
      </c>
      <c r="Q335" t="s">
        <v>40</v>
      </c>
      <c r="R335" t="s">
        <v>66</v>
      </c>
      <c r="S335" t="s">
        <v>1325</v>
      </c>
      <c r="T335" t="s">
        <v>1326</v>
      </c>
      <c r="U335" t="s">
        <v>51</v>
      </c>
      <c r="V335" t="s">
        <v>52</v>
      </c>
      <c r="W335" t="s">
        <v>59</v>
      </c>
      <c r="X335" t="s">
        <v>128</v>
      </c>
      <c r="Y335" t="s">
        <v>45</v>
      </c>
      <c r="Z335" t="s">
        <v>40</v>
      </c>
      <c r="AA335" t="s">
        <v>54</v>
      </c>
      <c r="AB335" t="s">
        <v>40</v>
      </c>
      <c r="AC335" t="s">
        <v>70</v>
      </c>
      <c r="AD335" t="s">
        <v>40</v>
      </c>
      <c r="AE335" t="s">
        <v>41</v>
      </c>
      <c r="AF335" t="s">
        <v>40</v>
      </c>
      <c r="AG335" t="s">
        <v>55</v>
      </c>
      <c r="AH335" t="s">
        <v>55</v>
      </c>
      <c r="AI335" t="s">
        <v>55</v>
      </c>
    </row>
    <row r="336" spans="1:35" x14ac:dyDescent="0.25">
      <c r="A336" t="s">
        <v>174</v>
      </c>
      <c r="B336" t="s">
        <v>59</v>
      </c>
      <c r="C336" t="s">
        <v>37</v>
      </c>
      <c r="D336" t="s">
        <v>1327</v>
      </c>
      <c r="E336" t="s">
        <v>62</v>
      </c>
      <c r="F336" t="s">
        <v>51</v>
      </c>
      <c r="G336" t="s">
        <v>47</v>
      </c>
      <c r="H336" t="s">
        <v>74</v>
      </c>
      <c r="I336" t="s">
        <v>40</v>
      </c>
      <c r="J336" t="s">
        <v>1101</v>
      </c>
      <c r="K336" t="s">
        <v>47</v>
      </c>
      <c r="L336" t="s">
        <v>63</v>
      </c>
      <c r="M336" t="s">
        <v>255</v>
      </c>
      <c r="N336" t="s">
        <v>45</v>
      </c>
      <c r="O336" t="s">
        <v>41</v>
      </c>
      <c r="P336" t="s">
        <v>65</v>
      </c>
      <c r="Q336" t="s">
        <v>47</v>
      </c>
      <c r="R336" t="s">
        <v>66</v>
      </c>
      <c r="S336" t="s">
        <v>1328</v>
      </c>
      <c r="T336" t="s">
        <v>1329</v>
      </c>
      <c r="U336" t="s">
        <v>91</v>
      </c>
      <c r="V336" t="s">
        <v>52</v>
      </c>
      <c r="W336" t="s">
        <v>59</v>
      </c>
      <c r="X336" t="s">
        <v>129</v>
      </c>
      <c r="Y336" t="s">
        <v>45</v>
      </c>
      <c r="Z336" t="s">
        <v>40</v>
      </c>
      <c r="AA336" t="s">
        <v>54</v>
      </c>
      <c r="AB336" t="s">
        <v>41</v>
      </c>
      <c r="AC336" t="s">
        <v>92</v>
      </c>
      <c r="AD336" t="s">
        <v>45</v>
      </c>
      <c r="AE336" t="s">
        <v>45</v>
      </c>
      <c r="AF336" t="s">
        <v>70</v>
      </c>
      <c r="AG336" t="s">
        <v>91</v>
      </c>
      <c r="AH336" t="s">
        <v>91</v>
      </c>
      <c r="AI336" t="s">
        <v>51</v>
      </c>
    </row>
    <row r="337" spans="1:35" x14ac:dyDescent="0.25">
      <c r="A337" t="s">
        <v>88</v>
      </c>
      <c r="B337" t="s">
        <v>59</v>
      </c>
      <c r="C337" t="s">
        <v>37</v>
      </c>
      <c r="D337" t="s">
        <v>1330</v>
      </c>
      <c r="E337" t="s">
        <v>39</v>
      </c>
      <c r="F337" t="s">
        <v>40</v>
      </c>
      <c r="G337" t="s">
        <v>41</v>
      </c>
      <c r="H337" t="s">
        <v>87</v>
      </c>
      <c r="I337" t="s">
        <v>40</v>
      </c>
      <c r="J337" t="s">
        <v>1331</v>
      </c>
      <c r="K337" t="s">
        <v>41</v>
      </c>
      <c r="L337" t="s">
        <v>63</v>
      </c>
      <c r="M337" t="s">
        <v>269</v>
      </c>
      <c r="N337" t="s">
        <v>40</v>
      </c>
      <c r="O337" t="s">
        <v>41</v>
      </c>
      <c r="P337" t="s">
        <v>46</v>
      </c>
      <c r="Q337" t="s">
        <v>47</v>
      </c>
      <c r="R337" t="s">
        <v>66</v>
      </c>
      <c r="S337" t="s">
        <v>1332</v>
      </c>
      <c r="T337" t="s">
        <v>1333</v>
      </c>
      <c r="U337" t="s">
        <v>41</v>
      </c>
      <c r="V337" t="s">
        <v>52</v>
      </c>
      <c r="W337" t="s">
        <v>36</v>
      </c>
      <c r="X337" t="s">
        <v>112</v>
      </c>
      <c r="Y337" t="s">
        <v>47</v>
      </c>
      <c r="Z337" t="s">
        <v>45</v>
      </c>
      <c r="AA337" t="s">
        <v>54</v>
      </c>
      <c r="AB337" t="s">
        <v>45</v>
      </c>
      <c r="AC337" t="s">
        <v>56</v>
      </c>
      <c r="AD337" t="s">
        <v>41</v>
      </c>
      <c r="AE337" t="s">
        <v>41</v>
      </c>
      <c r="AF337" t="s">
        <v>47</v>
      </c>
      <c r="AG337" t="s">
        <v>45</v>
      </c>
      <c r="AH337" t="s">
        <v>55</v>
      </c>
      <c r="AI337" t="s">
        <v>41</v>
      </c>
    </row>
    <row r="338" spans="1:35" x14ac:dyDescent="0.25">
      <c r="A338" t="s">
        <v>133</v>
      </c>
      <c r="B338" t="s">
        <v>36</v>
      </c>
      <c r="C338" t="s">
        <v>37</v>
      </c>
      <c r="D338" t="s">
        <v>359</v>
      </c>
      <c r="E338" t="s">
        <v>62</v>
      </c>
      <c r="F338" t="s">
        <v>51</v>
      </c>
      <c r="G338" t="s">
        <v>47</v>
      </c>
      <c r="H338" t="s">
        <v>74</v>
      </c>
      <c r="I338" t="s">
        <v>40</v>
      </c>
      <c r="J338" t="s">
        <v>1334</v>
      </c>
      <c r="K338" t="s">
        <v>41</v>
      </c>
      <c r="L338" t="s">
        <v>63</v>
      </c>
      <c r="M338" t="s">
        <v>326</v>
      </c>
      <c r="N338" t="s">
        <v>40</v>
      </c>
      <c r="O338" t="s">
        <v>40</v>
      </c>
      <c r="P338" t="s">
        <v>76</v>
      </c>
      <c r="Q338" t="s">
        <v>40</v>
      </c>
      <c r="R338" t="s">
        <v>66</v>
      </c>
      <c r="S338" t="s">
        <v>1335</v>
      </c>
      <c r="T338" t="s">
        <v>1336</v>
      </c>
      <c r="U338" t="s">
        <v>40</v>
      </c>
      <c r="V338" t="s">
        <v>52</v>
      </c>
      <c r="W338" t="s">
        <v>36</v>
      </c>
      <c r="X338" t="s">
        <v>53</v>
      </c>
      <c r="Y338" t="s">
        <v>45</v>
      </c>
      <c r="Z338" t="s">
        <v>47</v>
      </c>
      <c r="AA338" t="s">
        <v>54</v>
      </c>
      <c r="AB338" t="s">
        <v>55</v>
      </c>
      <c r="AC338" t="s">
        <v>71</v>
      </c>
      <c r="AD338" t="s">
        <v>47</v>
      </c>
      <c r="AE338" t="s">
        <v>41</v>
      </c>
      <c r="AF338" t="s">
        <v>71</v>
      </c>
      <c r="AG338" t="s">
        <v>71</v>
      </c>
      <c r="AH338" t="s">
        <v>55</v>
      </c>
      <c r="AI338" t="s">
        <v>71</v>
      </c>
    </row>
    <row r="339" spans="1:35" x14ac:dyDescent="0.25">
      <c r="A339" t="s">
        <v>133</v>
      </c>
      <c r="B339" t="s">
        <v>59</v>
      </c>
      <c r="C339" t="s">
        <v>37</v>
      </c>
      <c r="D339" t="s">
        <v>1337</v>
      </c>
      <c r="E339" t="s">
        <v>62</v>
      </c>
      <c r="F339" t="s">
        <v>91</v>
      </c>
      <c r="G339" t="s">
        <v>57</v>
      </c>
      <c r="H339" t="s">
        <v>74</v>
      </c>
      <c r="I339" t="s">
        <v>40</v>
      </c>
      <c r="J339" t="s">
        <v>1338</v>
      </c>
      <c r="K339" t="s">
        <v>41</v>
      </c>
      <c r="L339" t="s">
        <v>63</v>
      </c>
      <c r="M339" t="s">
        <v>105</v>
      </c>
      <c r="N339" t="s">
        <v>41</v>
      </c>
      <c r="O339" t="s">
        <v>40</v>
      </c>
      <c r="P339" t="s">
        <v>76</v>
      </c>
      <c r="Q339" t="s">
        <v>47</v>
      </c>
      <c r="R339" t="s">
        <v>48</v>
      </c>
      <c r="S339" t="s">
        <v>1339</v>
      </c>
      <c r="T339" t="s">
        <v>1340</v>
      </c>
      <c r="U339" t="s">
        <v>55</v>
      </c>
      <c r="V339" t="s">
        <v>52</v>
      </c>
      <c r="W339" t="s">
        <v>59</v>
      </c>
      <c r="X339" t="s">
        <v>125</v>
      </c>
      <c r="Y339" t="s">
        <v>45</v>
      </c>
      <c r="Z339" t="s">
        <v>45</v>
      </c>
      <c r="AA339" t="s">
        <v>54</v>
      </c>
      <c r="AB339" t="s">
        <v>55</v>
      </c>
      <c r="AC339" t="s">
        <v>47</v>
      </c>
      <c r="AD339" t="s">
        <v>41</v>
      </c>
      <c r="AE339" t="s">
        <v>45</v>
      </c>
      <c r="AF339" t="s">
        <v>45</v>
      </c>
      <c r="AG339" t="s">
        <v>41</v>
      </c>
      <c r="AH339" t="s">
        <v>41</v>
      </c>
      <c r="AI339" t="s">
        <v>41</v>
      </c>
    </row>
    <row r="340" spans="1:35" x14ac:dyDescent="0.25">
      <c r="A340" t="s">
        <v>105</v>
      </c>
      <c r="B340" t="s">
        <v>59</v>
      </c>
      <c r="C340" t="s">
        <v>37</v>
      </c>
      <c r="D340" t="s">
        <v>1341</v>
      </c>
      <c r="E340" t="s">
        <v>39</v>
      </c>
      <c r="F340" t="s">
        <v>57</v>
      </c>
      <c r="G340" t="s">
        <v>45</v>
      </c>
      <c r="H340" t="s">
        <v>206</v>
      </c>
      <c r="I340" t="s">
        <v>40</v>
      </c>
      <c r="J340" t="s">
        <v>1342</v>
      </c>
      <c r="K340" t="s">
        <v>47</v>
      </c>
      <c r="L340" t="s">
        <v>43</v>
      </c>
      <c r="M340" t="s">
        <v>105</v>
      </c>
      <c r="N340" t="s">
        <v>41</v>
      </c>
      <c r="O340" t="s">
        <v>41</v>
      </c>
      <c r="P340" t="s">
        <v>46</v>
      </c>
      <c r="Q340" t="s">
        <v>45</v>
      </c>
      <c r="R340" t="s">
        <v>109</v>
      </c>
      <c r="S340" t="s">
        <v>1343</v>
      </c>
      <c r="T340" t="s">
        <v>1344</v>
      </c>
      <c r="U340" t="s">
        <v>40</v>
      </c>
      <c r="V340" t="s">
        <v>52</v>
      </c>
      <c r="W340" t="s">
        <v>59</v>
      </c>
      <c r="X340" t="s">
        <v>98</v>
      </c>
      <c r="Y340" t="s">
        <v>45</v>
      </c>
      <c r="Z340" t="s">
        <v>45</v>
      </c>
      <c r="AA340" t="s">
        <v>54</v>
      </c>
      <c r="AB340" t="s">
        <v>45</v>
      </c>
      <c r="AC340" t="s">
        <v>70</v>
      </c>
      <c r="AD340" t="s">
        <v>41</v>
      </c>
      <c r="AE340" t="s">
        <v>45</v>
      </c>
      <c r="AF340" t="s">
        <v>70</v>
      </c>
      <c r="AG340" t="s">
        <v>91</v>
      </c>
      <c r="AH340" t="s">
        <v>40</v>
      </c>
      <c r="AI340" t="s">
        <v>41</v>
      </c>
    </row>
    <row r="341" spans="1:35" x14ac:dyDescent="0.25">
      <c r="A341" t="s">
        <v>85</v>
      </c>
      <c r="B341" t="s">
        <v>59</v>
      </c>
      <c r="C341" t="s">
        <v>37</v>
      </c>
      <c r="D341" t="s">
        <v>1345</v>
      </c>
      <c r="E341" t="s">
        <v>39</v>
      </c>
      <c r="F341" t="s">
        <v>51</v>
      </c>
      <c r="G341" t="s">
        <v>47</v>
      </c>
      <c r="H341" t="s">
        <v>206</v>
      </c>
      <c r="I341" t="s">
        <v>40</v>
      </c>
      <c r="J341" t="s">
        <v>1346</v>
      </c>
      <c r="K341" t="s">
        <v>41</v>
      </c>
      <c r="L341" t="s">
        <v>43</v>
      </c>
      <c r="M341" t="s">
        <v>82</v>
      </c>
      <c r="N341" t="s">
        <v>45</v>
      </c>
      <c r="O341" t="s">
        <v>41</v>
      </c>
      <c r="P341" t="s">
        <v>46</v>
      </c>
      <c r="Q341" t="s">
        <v>41</v>
      </c>
      <c r="R341" t="s">
        <v>66</v>
      </c>
      <c r="S341" t="s">
        <v>1347</v>
      </c>
      <c r="T341" t="s">
        <v>1348</v>
      </c>
      <c r="U341" t="s">
        <v>40</v>
      </c>
      <c r="V341" t="s">
        <v>52</v>
      </c>
      <c r="W341" t="s">
        <v>59</v>
      </c>
      <c r="X341" t="s">
        <v>145</v>
      </c>
      <c r="Y341" t="s">
        <v>45</v>
      </c>
      <c r="Z341" t="s">
        <v>40</v>
      </c>
      <c r="AA341" t="s">
        <v>54</v>
      </c>
      <c r="AB341" t="s">
        <v>40</v>
      </c>
      <c r="AC341" t="s">
        <v>51</v>
      </c>
      <c r="AD341" t="s">
        <v>45</v>
      </c>
      <c r="AE341" t="s">
        <v>45</v>
      </c>
      <c r="AF341" t="s">
        <v>51</v>
      </c>
      <c r="AG341" t="s">
        <v>71</v>
      </c>
      <c r="AH341" t="s">
        <v>55</v>
      </c>
      <c r="AI341" t="s">
        <v>71</v>
      </c>
    </row>
    <row r="342" spans="1:35" x14ac:dyDescent="0.25">
      <c r="A342" t="s">
        <v>72</v>
      </c>
      <c r="B342" t="s">
        <v>59</v>
      </c>
      <c r="C342" t="s">
        <v>37</v>
      </c>
      <c r="D342" t="s">
        <v>1349</v>
      </c>
      <c r="E342" t="s">
        <v>62</v>
      </c>
      <c r="F342" t="s">
        <v>57</v>
      </c>
      <c r="G342" t="s">
        <v>41</v>
      </c>
      <c r="H342" t="s">
        <v>87</v>
      </c>
      <c r="I342" t="s">
        <v>40</v>
      </c>
      <c r="J342" t="s">
        <v>1350</v>
      </c>
      <c r="K342" t="s">
        <v>47</v>
      </c>
      <c r="L342" t="s">
        <v>63</v>
      </c>
      <c r="M342" t="s">
        <v>64</v>
      </c>
      <c r="N342" t="s">
        <v>45</v>
      </c>
      <c r="O342" t="s">
        <v>41</v>
      </c>
      <c r="P342" t="s">
        <v>116</v>
      </c>
      <c r="Q342" t="s">
        <v>47</v>
      </c>
      <c r="R342" t="s">
        <v>109</v>
      </c>
      <c r="S342" t="s">
        <v>627</v>
      </c>
      <c r="T342" t="s">
        <v>1351</v>
      </c>
      <c r="U342" t="s">
        <v>71</v>
      </c>
      <c r="V342" t="s">
        <v>52</v>
      </c>
      <c r="W342" t="s">
        <v>59</v>
      </c>
      <c r="X342" t="s">
        <v>128</v>
      </c>
      <c r="Y342" t="s">
        <v>45</v>
      </c>
      <c r="Z342" t="s">
        <v>45</v>
      </c>
      <c r="AA342" t="s">
        <v>54</v>
      </c>
      <c r="AB342" t="s">
        <v>41</v>
      </c>
      <c r="AC342" t="s">
        <v>51</v>
      </c>
      <c r="AD342" t="s">
        <v>41</v>
      </c>
      <c r="AE342" t="s">
        <v>41</v>
      </c>
      <c r="AF342" t="s">
        <v>56</v>
      </c>
      <c r="AG342" t="s">
        <v>41</v>
      </c>
      <c r="AH342" t="s">
        <v>55</v>
      </c>
      <c r="AI342" t="s">
        <v>47</v>
      </c>
    </row>
    <row r="343" spans="1:35" x14ac:dyDescent="0.25">
      <c r="A343" t="s">
        <v>113</v>
      </c>
      <c r="B343" t="s">
        <v>59</v>
      </c>
      <c r="C343" t="s">
        <v>37</v>
      </c>
      <c r="D343" t="s">
        <v>1033</v>
      </c>
      <c r="E343" t="s">
        <v>62</v>
      </c>
      <c r="F343" t="s">
        <v>79</v>
      </c>
      <c r="G343" t="s">
        <v>41</v>
      </c>
      <c r="H343" t="s">
        <v>42</v>
      </c>
      <c r="I343" t="s">
        <v>40</v>
      </c>
      <c r="J343" t="s">
        <v>1352</v>
      </c>
      <c r="K343" t="s">
        <v>45</v>
      </c>
      <c r="L343" t="s">
        <v>63</v>
      </c>
      <c r="M343" t="s">
        <v>75</v>
      </c>
      <c r="N343" t="s">
        <v>41</v>
      </c>
      <c r="O343" t="s">
        <v>45</v>
      </c>
      <c r="P343" t="s">
        <v>186</v>
      </c>
      <c r="Q343" t="s">
        <v>47</v>
      </c>
      <c r="R343" t="s">
        <v>109</v>
      </c>
      <c r="S343" t="s">
        <v>1353</v>
      </c>
      <c r="T343" t="s">
        <v>1354</v>
      </c>
      <c r="U343" t="s">
        <v>55</v>
      </c>
      <c r="V343" t="s">
        <v>52</v>
      </c>
      <c r="W343" t="s">
        <v>36</v>
      </c>
      <c r="X343" t="s">
        <v>129</v>
      </c>
      <c r="Y343" t="s">
        <v>45</v>
      </c>
      <c r="Z343" t="s">
        <v>41</v>
      </c>
      <c r="AA343" t="s">
        <v>54</v>
      </c>
      <c r="AB343" t="s">
        <v>40</v>
      </c>
      <c r="AC343" t="s">
        <v>92</v>
      </c>
      <c r="AD343" t="s">
        <v>45</v>
      </c>
      <c r="AE343" t="s">
        <v>45</v>
      </c>
      <c r="AF343" t="s">
        <v>53</v>
      </c>
      <c r="AG343" t="s">
        <v>70</v>
      </c>
      <c r="AH343" t="s">
        <v>41</v>
      </c>
      <c r="AI343" t="s">
        <v>91</v>
      </c>
    </row>
    <row r="344" spans="1:35" x14ac:dyDescent="0.25">
      <c r="A344" t="s">
        <v>137</v>
      </c>
      <c r="B344" t="s">
        <v>59</v>
      </c>
      <c r="C344" t="s">
        <v>37</v>
      </c>
      <c r="D344" t="s">
        <v>190</v>
      </c>
      <c r="E344" t="s">
        <v>62</v>
      </c>
      <c r="F344" t="s">
        <v>71</v>
      </c>
      <c r="G344" t="s">
        <v>47</v>
      </c>
      <c r="H344" t="s">
        <v>87</v>
      </c>
      <c r="I344" t="s">
        <v>40</v>
      </c>
      <c r="J344" t="s">
        <v>1355</v>
      </c>
      <c r="K344" t="s">
        <v>45</v>
      </c>
      <c r="L344" t="s">
        <v>43</v>
      </c>
      <c r="M344" t="s">
        <v>218</v>
      </c>
      <c r="N344" t="s">
        <v>45</v>
      </c>
      <c r="O344" t="s">
        <v>45</v>
      </c>
      <c r="P344" t="s">
        <v>116</v>
      </c>
      <c r="Q344" t="s">
        <v>47</v>
      </c>
      <c r="R344" t="s">
        <v>48</v>
      </c>
      <c r="S344" t="s">
        <v>1284</v>
      </c>
      <c r="T344" t="s">
        <v>1356</v>
      </c>
      <c r="U344" t="s">
        <v>40</v>
      </c>
      <c r="V344" t="s">
        <v>52</v>
      </c>
      <c r="W344" t="s">
        <v>36</v>
      </c>
      <c r="X344" t="s">
        <v>129</v>
      </c>
      <c r="Y344" t="s">
        <v>45</v>
      </c>
      <c r="Z344" t="s">
        <v>45</v>
      </c>
      <c r="AA344" t="s">
        <v>54</v>
      </c>
      <c r="AB344" t="s">
        <v>55</v>
      </c>
      <c r="AC344" t="s">
        <v>53</v>
      </c>
      <c r="AD344" t="s">
        <v>41</v>
      </c>
      <c r="AE344" t="s">
        <v>41</v>
      </c>
      <c r="AF344" t="s">
        <v>53</v>
      </c>
      <c r="AG344" t="s">
        <v>91</v>
      </c>
      <c r="AH344" t="s">
        <v>47</v>
      </c>
      <c r="AI344" t="s">
        <v>70</v>
      </c>
    </row>
    <row r="345" spans="1:35" x14ac:dyDescent="0.25">
      <c r="A345" t="s">
        <v>133</v>
      </c>
      <c r="B345" t="s">
        <v>59</v>
      </c>
      <c r="C345" t="s">
        <v>37</v>
      </c>
      <c r="D345" t="s">
        <v>512</v>
      </c>
      <c r="E345" t="s">
        <v>39</v>
      </c>
      <c r="F345" t="s">
        <v>70</v>
      </c>
      <c r="G345" t="s">
        <v>40</v>
      </c>
      <c r="H345" t="s">
        <v>206</v>
      </c>
      <c r="I345" t="s">
        <v>40</v>
      </c>
      <c r="J345" t="s">
        <v>1357</v>
      </c>
      <c r="K345" t="s">
        <v>47</v>
      </c>
      <c r="L345" t="s">
        <v>43</v>
      </c>
      <c r="M345" t="s">
        <v>218</v>
      </c>
      <c r="N345" t="s">
        <v>41</v>
      </c>
      <c r="O345" t="s">
        <v>41</v>
      </c>
      <c r="P345" t="s">
        <v>46</v>
      </c>
      <c r="Q345" t="s">
        <v>41</v>
      </c>
      <c r="R345" t="s">
        <v>109</v>
      </c>
      <c r="S345" t="s">
        <v>1358</v>
      </c>
      <c r="T345" t="s">
        <v>1359</v>
      </c>
      <c r="U345" t="s">
        <v>40</v>
      </c>
      <c r="V345" t="s">
        <v>52</v>
      </c>
      <c r="W345" t="s">
        <v>36</v>
      </c>
      <c r="X345" t="s">
        <v>129</v>
      </c>
      <c r="Y345" t="s">
        <v>45</v>
      </c>
      <c r="Z345" t="s">
        <v>40</v>
      </c>
      <c r="AA345" t="s">
        <v>54</v>
      </c>
      <c r="AB345" t="s">
        <v>41</v>
      </c>
      <c r="AC345" t="s">
        <v>71</v>
      </c>
      <c r="AD345" t="s">
        <v>41</v>
      </c>
      <c r="AE345" t="s">
        <v>45</v>
      </c>
      <c r="AF345" t="s">
        <v>71</v>
      </c>
      <c r="AG345" t="s">
        <v>71</v>
      </c>
      <c r="AH345" t="s">
        <v>40</v>
      </c>
      <c r="AI345" t="s">
        <v>71</v>
      </c>
    </row>
    <row r="346" spans="1:35" x14ac:dyDescent="0.25">
      <c r="A346" t="s">
        <v>126</v>
      </c>
      <c r="B346" t="s">
        <v>59</v>
      </c>
      <c r="C346" t="s">
        <v>37</v>
      </c>
      <c r="D346" t="s">
        <v>1360</v>
      </c>
      <c r="E346" t="s">
        <v>62</v>
      </c>
      <c r="F346" t="s">
        <v>57</v>
      </c>
      <c r="G346" t="s">
        <v>47</v>
      </c>
      <c r="H346" t="s">
        <v>228</v>
      </c>
      <c r="I346" t="s">
        <v>40</v>
      </c>
      <c r="J346" t="s">
        <v>254</v>
      </c>
      <c r="K346" t="s">
        <v>45</v>
      </c>
      <c r="L346" t="s">
        <v>63</v>
      </c>
      <c r="M346" t="s">
        <v>283</v>
      </c>
      <c r="N346" t="s">
        <v>45</v>
      </c>
      <c r="O346" t="s">
        <v>45</v>
      </c>
      <c r="P346" t="s">
        <v>116</v>
      </c>
      <c r="Q346" t="s">
        <v>41</v>
      </c>
      <c r="R346" t="s">
        <v>48</v>
      </c>
      <c r="S346" t="s">
        <v>1361</v>
      </c>
      <c r="T346" t="s">
        <v>1362</v>
      </c>
      <c r="U346" t="s">
        <v>55</v>
      </c>
      <c r="V346" t="s">
        <v>52</v>
      </c>
      <c r="W346" t="s">
        <v>59</v>
      </c>
      <c r="X346" t="s">
        <v>98</v>
      </c>
      <c r="Y346" t="s">
        <v>45</v>
      </c>
      <c r="Z346" t="s">
        <v>47</v>
      </c>
      <c r="AA346" t="s">
        <v>54</v>
      </c>
      <c r="AB346" t="s">
        <v>55</v>
      </c>
      <c r="AC346" t="s">
        <v>125</v>
      </c>
      <c r="AD346" t="s">
        <v>57</v>
      </c>
      <c r="AE346" t="s">
        <v>45</v>
      </c>
      <c r="AF346" t="s">
        <v>128</v>
      </c>
      <c r="AG346" t="s">
        <v>56</v>
      </c>
      <c r="AH346" t="s">
        <v>55</v>
      </c>
      <c r="AI346" t="s">
        <v>98</v>
      </c>
    </row>
    <row r="347" spans="1:35" x14ac:dyDescent="0.25">
      <c r="A347" t="s">
        <v>69</v>
      </c>
      <c r="B347" t="s">
        <v>59</v>
      </c>
      <c r="C347" t="s">
        <v>37</v>
      </c>
      <c r="D347" t="s">
        <v>1363</v>
      </c>
      <c r="E347" t="s">
        <v>62</v>
      </c>
      <c r="F347" t="s">
        <v>139</v>
      </c>
      <c r="G347" t="s">
        <v>40</v>
      </c>
      <c r="H347" t="s">
        <v>42</v>
      </c>
      <c r="I347" t="s">
        <v>40</v>
      </c>
      <c r="J347" t="s">
        <v>727</v>
      </c>
      <c r="K347" t="s">
        <v>45</v>
      </c>
      <c r="L347" t="s">
        <v>63</v>
      </c>
      <c r="M347" t="s">
        <v>193</v>
      </c>
      <c r="N347" t="s">
        <v>45</v>
      </c>
      <c r="O347" t="s">
        <v>40</v>
      </c>
      <c r="P347" t="s">
        <v>65</v>
      </c>
      <c r="Q347" t="s">
        <v>47</v>
      </c>
      <c r="R347" t="s">
        <v>109</v>
      </c>
      <c r="S347" t="s">
        <v>1364</v>
      </c>
      <c r="T347" t="s">
        <v>1365</v>
      </c>
      <c r="U347" t="s">
        <v>40</v>
      </c>
      <c r="V347" t="s">
        <v>52</v>
      </c>
      <c r="W347" t="s">
        <v>59</v>
      </c>
      <c r="X347" t="s">
        <v>92</v>
      </c>
      <c r="Y347" t="s">
        <v>45</v>
      </c>
      <c r="Z347" t="s">
        <v>45</v>
      </c>
      <c r="AA347" t="s">
        <v>54</v>
      </c>
      <c r="AB347" t="s">
        <v>41</v>
      </c>
      <c r="AC347" t="s">
        <v>47</v>
      </c>
      <c r="AD347" t="s">
        <v>41</v>
      </c>
      <c r="AE347" t="s">
        <v>41</v>
      </c>
      <c r="AF347" t="s">
        <v>47</v>
      </c>
      <c r="AG347" t="s">
        <v>41</v>
      </c>
      <c r="AH347" t="s">
        <v>55</v>
      </c>
      <c r="AI347" t="s">
        <v>41</v>
      </c>
    </row>
    <row r="348" spans="1:35" x14ac:dyDescent="0.25">
      <c r="A348" t="s">
        <v>35</v>
      </c>
      <c r="B348" t="s">
        <v>59</v>
      </c>
      <c r="C348" t="s">
        <v>37</v>
      </c>
      <c r="D348" t="s">
        <v>1366</v>
      </c>
      <c r="E348" t="s">
        <v>62</v>
      </c>
      <c r="F348" t="s">
        <v>56</v>
      </c>
      <c r="G348" t="s">
        <v>45</v>
      </c>
      <c r="H348" t="s">
        <v>87</v>
      </c>
      <c r="I348" t="s">
        <v>40</v>
      </c>
      <c r="J348" t="s">
        <v>1367</v>
      </c>
      <c r="K348" t="s">
        <v>47</v>
      </c>
      <c r="L348" t="s">
        <v>63</v>
      </c>
      <c r="M348" t="s">
        <v>349</v>
      </c>
      <c r="N348" t="s">
        <v>41</v>
      </c>
      <c r="O348" t="s">
        <v>41</v>
      </c>
      <c r="P348" t="s">
        <v>116</v>
      </c>
      <c r="Q348" t="s">
        <v>41</v>
      </c>
      <c r="R348" t="s">
        <v>48</v>
      </c>
      <c r="S348" t="s">
        <v>1368</v>
      </c>
      <c r="T348" t="s">
        <v>1369</v>
      </c>
      <c r="U348" t="s">
        <v>56</v>
      </c>
      <c r="V348" t="s">
        <v>52</v>
      </c>
      <c r="W348" t="s">
        <v>36</v>
      </c>
      <c r="X348" t="s">
        <v>79</v>
      </c>
      <c r="Y348" t="s">
        <v>45</v>
      </c>
      <c r="Z348" t="s">
        <v>47</v>
      </c>
      <c r="AA348" t="s">
        <v>54</v>
      </c>
      <c r="AB348" t="s">
        <v>55</v>
      </c>
      <c r="AC348" t="s">
        <v>51</v>
      </c>
      <c r="AD348" t="s">
        <v>45</v>
      </c>
      <c r="AE348" t="s">
        <v>45</v>
      </c>
      <c r="AF348" t="s">
        <v>57</v>
      </c>
      <c r="AG348" t="s">
        <v>47</v>
      </c>
      <c r="AH348" t="s">
        <v>40</v>
      </c>
      <c r="AI348" t="s">
        <v>41</v>
      </c>
    </row>
    <row r="349" spans="1:35" x14ac:dyDescent="0.25">
      <c r="A349" t="s">
        <v>239</v>
      </c>
      <c r="B349" t="s">
        <v>59</v>
      </c>
      <c r="C349" t="s">
        <v>60</v>
      </c>
      <c r="D349" t="s">
        <v>1363</v>
      </c>
      <c r="E349" t="s">
        <v>39</v>
      </c>
      <c r="F349" t="s">
        <v>47</v>
      </c>
      <c r="G349" t="s">
        <v>40</v>
      </c>
      <c r="H349" t="s">
        <v>87</v>
      </c>
      <c r="I349" t="s">
        <v>40</v>
      </c>
      <c r="J349" t="s">
        <v>1370</v>
      </c>
      <c r="K349" t="s">
        <v>41</v>
      </c>
      <c r="L349" t="s">
        <v>63</v>
      </c>
      <c r="M349" t="s">
        <v>338</v>
      </c>
      <c r="N349" t="s">
        <v>45</v>
      </c>
      <c r="O349" t="s">
        <v>41</v>
      </c>
      <c r="P349" t="s">
        <v>182</v>
      </c>
      <c r="Q349" t="s">
        <v>45</v>
      </c>
      <c r="R349" t="s">
        <v>48</v>
      </c>
      <c r="S349" t="s">
        <v>1371</v>
      </c>
      <c r="T349" t="s">
        <v>1372</v>
      </c>
      <c r="U349" t="s">
        <v>45</v>
      </c>
      <c r="V349" t="s">
        <v>52</v>
      </c>
      <c r="W349" t="s">
        <v>59</v>
      </c>
      <c r="X349" t="s">
        <v>144</v>
      </c>
      <c r="Y349" t="s">
        <v>45</v>
      </c>
      <c r="Z349" t="s">
        <v>40</v>
      </c>
      <c r="AA349" t="s">
        <v>54</v>
      </c>
      <c r="AB349" t="s">
        <v>55</v>
      </c>
      <c r="AC349" t="s">
        <v>57</v>
      </c>
      <c r="AD349" t="s">
        <v>45</v>
      </c>
      <c r="AE349" t="s">
        <v>45</v>
      </c>
      <c r="AF349" t="s">
        <v>55</v>
      </c>
      <c r="AG349" t="s">
        <v>55</v>
      </c>
      <c r="AH349" t="s">
        <v>55</v>
      </c>
      <c r="AI349" t="s">
        <v>55</v>
      </c>
    </row>
    <row r="350" spans="1:35" x14ac:dyDescent="0.25">
      <c r="A350" t="s">
        <v>204</v>
      </c>
      <c r="B350" t="s">
        <v>59</v>
      </c>
      <c r="C350" t="s">
        <v>37</v>
      </c>
      <c r="D350" t="s">
        <v>1373</v>
      </c>
      <c r="E350" t="s">
        <v>62</v>
      </c>
      <c r="F350" t="s">
        <v>69</v>
      </c>
      <c r="G350" t="s">
        <v>57</v>
      </c>
      <c r="H350" t="s">
        <v>42</v>
      </c>
      <c r="I350" t="s">
        <v>40</v>
      </c>
      <c r="J350" t="s">
        <v>1374</v>
      </c>
      <c r="K350" t="s">
        <v>40</v>
      </c>
      <c r="L350" t="s">
        <v>43</v>
      </c>
      <c r="M350" t="s">
        <v>115</v>
      </c>
      <c r="N350" t="s">
        <v>45</v>
      </c>
      <c r="O350" t="s">
        <v>47</v>
      </c>
      <c r="P350" t="s">
        <v>186</v>
      </c>
      <c r="Q350" t="s">
        <v>47</v>
      </c>
      <c r="R350" t="s">
        <v>48</v>
      </c>
      <c r="S350" t="s">
        <v>1375</v>
      </c>
      <c r="T350" t="s">
        <v>1376</v>
      </c>
      <c r="U350" t="s">
        <v>41</v>
      </c>
      <c r="V350" t="s">
        <v>52</v>
      </c>
      <c r="W350" t="s">
        <v>59</v>
      </c>
      <c r="X350" t="s">
        <v>129</v>
      </c>
      <c r="Y350" t="s">
        <v>45</v>
      </c>
      <c r="Z350" t="s">
        <v>41</v>
      </c>
      <c r="AA350" t="s">
        <v>54</v>
      </c>
      <c r="AB350" t="s">
        <v>55</v>
      </c>
      <c r="AC350" t="s">
        <v>128</v>
      </c>
      <c r="AD350" t="s">
        <v>41</v>
      </c>
      <c r="AE350" t="s">
        <v>45</v>
      </c>
      <c r="AF350" t="s">
        <v>40</v>
      </c>
      <c r="AG350" t="s">
        <v>55</v>
      </c>
      <c r="AH350" t="s">
        <v>55</v>
      </c>
      <c r="AI350" t="s">
        <v>55</v>
      </c>
    </row>
    <row r="351" spans="1:35" x14ac:dyDescent="0.25">
      <c r="A351" t="s">
        <v>133</v>
      </c>
      <c r="B351" t="s">
        <v>59</v>
      </c>
      <c r="C351" t="s">
        <v>161</v>
      </c>
      <c r="D351" t="s">
        <v>381</v>
      </c>
      <c r="E351" t="s">
        <v>39</v>
      </c>
      <c r="F351" t="s">
        <v>41</v>
      </c>
      <c r="G351" t="s">
        <v>45</v>
      </c>
      <c r="H351" t="s">
        <v>42</v>
      </c>
      <c r="I351" t="s">
        <v>40</v>
      </c>
      <c r="J351" t="s">
        <v>1377</v>
      </c>
      <c r="K351" t="s">
        <v>47</v>
      </c>
      <c r="L351" t="s">
        <v>63</v>
      </c>
      <c r="M351" t="s">
        <v>64</v>
      </c>
      <c r="N351" t="s">
        <v>45</v>
      </c>
      <c r="O351" t="s">
        <v>41</v>
      </c>
      <c r="P351" t="s">
        <v>46</v>
      </c>
      <c r="Q351" t="s">
        <v>45</v>
      </c>
      <c r="R351" t="s">
        <v>66</v>
      </c>
      <c r="S351" t="s">
        <v>1378</v>
      </c>
      <c r="T351" t="s">
        <v>1379</v>
      </c>
      <c r="U351" t="s">
        <v>40</v>
      </c>
      <c r="V351" t="s">
        <v>52</v>
      </c>
      <c r="W351" t="s">
        <v>59</v>
      </c>
      <c r="X351" t="s">
        <v>129</v>
      </c>
      <c r="Y351" t="s">
        <v>45</v>
      </c>
      <c r="Z351" t="s">
        <v>40</v>
      </c>
      <c r="AA351" t="s">
        <v>54</v>
      </c>
      <c r="AB351" t="s">
        <v>40</v>
      </c>
      <c r="AC351" t="s">
        <v>47</v>
      </c>
      <c r="AD351" t="s">
        <v>45</v>
      </c>
      <c r="AE351" t="s">
        <v>41</v>
      </c>
      <c r="AF351" t="s">
        <v>47</v>
      </c>
      <c r="AG351" t="s">
        <v>45</v>
      </c>
      <c r="AH351" t="s">
        <v>55</v>
      </c>
      <c r="AI351" t="s">
        <v>41</v>
      </c>
    </row>
    <row r="352" spans="1:35" x14ac:dyDescent="0.25">
      <c r="A352" t="s">
        <v>204</v>
      </c>
      <c r="B352" t="s">
        <v>59</v>
      </c>
      <c r="C352" t="s">
        <v>37</v>
      </c>
      <c r="D352" t="s">
        <v>1380</v>
      </c>
      <c r="E352" t="s">
        <v>397</v>
      </c>
      <c r="F352" t="s">
        <v>41</v>
      </c>
      <c r="G352" t="s">
        <v>40</v>
      </c>
      <c r="H352" t="s">
        <v>228</v>
      </c>
      <c r="I352" t="s">
        <v>40</v>
      </c>
      <c r="J352" t="s">
        <v>588</v>
      </c>
      <c r="K352" t="s">
        <v>45</v>
      </c>
      <c r="L352" t="s">
        <v>63</v>
      </c>
      <c r="M352" t="s">
        <v>251</v>
      </c>
      <c r="N352" t="s">
        <v>45</v>
      </c>
      <c r="O352" t="s">
        <v>40</v>
      </c>
      <c r="P352" t="s">
        <v>397</v>
      </c>
      <c r="Q352" t="s">
        <v>45</v>
      </c>
      <c r="R352" t="s">
        <v>109</v>
      </c>
      <c r="S352" t="s">
        <v>1381</v>
      </c>
      <c r="T352" t="s">
        <v>1382</v>
      </c>
      <c r="U352" t="s">
        <v>55</v>
      </c>
      <c r="V352" t="s">
        <v>52</v>
      </c>
      <c r="W352" t="s">
        <v>36</v>
      </c>
      <c r="X352" t="s">
        <v>53</v>
      </c>
      <c r="Y352" t="s">
        <v>45</v>
      </c>
      <c r="Z352" t="s">
        <v>45</v>
      </c>
      <c r="AA352" t="s">
        <v>54</v>
      </c>
      <c r="AB352" t="s">
        <v>40</v>
      </c>
      <c r="AC352" t="s">
        <v>47</v>
      </c>
      <c r="AD352" t="s">
        <v>57</v>
      </c>
      <c r="AE352" t="s">
        <v>45</v>
      </c>
      <c r="AF352" t="s">
        <v>45</v>
      </c>
      <c r="AG352" t="s">
        <v>41</v>
      </c>
      <c r="AH352" t="s">
        <v>40</v>
      </c>
      <c r="AI352" t="s">
        <v>55</v>
      </c>
    </row>
    <row r="353" spans="1:35" x14ac:dyDescent="0.25">
      <c r="A353" t="s">
        <v>93</v>
      </c>
      <c r="B353" t="s">
        <v>59</v>
      </c>
      <c r="C353" t="s">
        <v>37</v>
      </c>
      <c r="D353" t="s">
        <v>1383</v>
      </c>
      <c r="E353" t="s">
        <v>62</v>
      </c>
      <c r="F353" t="s">
        <v>41</v>
      </c>
      <c r="G353" t="s">
        <v>45</v>
      </c>
      <c r="H353" t="s">
        <v>87</v>
      </c>
      <c r="I353" t="s">
        <v>40</v>
      </c>
      <c r="J353" t="s">
        <v>1384</v>
      </c>
      <c r="K353" t="s">
        <v>45</v>
      </c>
      <c r="L353" t="s">
        <v>43</v>
      </c>
      <c r="M353" t="s">
        <v>255</v>
      </c>
      <c r="N353" t="s">
        <v>45</v>
      </c>
      <c r="O353" t="s">
        <v>40</v>
      </c>
      <c r="P353" t="s">
        <v>76</v>
      </c>
      <c r="Q353" t="s">
        <v>41</v>
      </c>
      <c r="R353" t="s">
        <v>66</v>
      </c>
      <c r="S353" t="s">
        <v>1385</v>
      </c>
      <c r="T353" t="s">
        <v>1386</v>
      </c>
      <c r="U353" t="s">
        <v>40</v>
      </c>
      <c r="V353" t="s">
        <v>52</v>
      </c>
      <c r="W353" t="s">
        <v>59</v>
      </c>
      <c r="X353" t="s">
        <v>98</v>
      </c>
      <c r="Y353" t="s">
        <v>45</v>
      </c>
      <c r="Z353" t="s">
        <v>45</v>
      </c>
      <c r="AA353" t="s">
        <v>54</v>
      </c>
      <c r="AB353" t="s">
        <v>40</v>
      </c>
      <c r="AC353" t="s">
        <v>51</v>
      </c>
      <c r="AD353" t="s">
        <v>47</v>
      </c>
      <c r="AE353" t="s">
        <v>45</v>
      </c>
      <c r="AF353" t="s">
        <v>51</v>
      </c>
      <c r="AG353" t="s">
        <v>55</v>
      </c>
      <c r="AH353" t="s">
        <v>55</v>
      </c>
      <c r="AI353" t="s">
        <v>71</v>
      </c>
    </row>
    <row r="354" spans="1:35" x14ac:dyDescent="0.25">
      <c r="A354" t="s">
        <v>207</v>
      </c>
      <c r="B354" t="s">
        <v>59</v>
      </c>
      <c r="C354" t="s">
        <v>37</v>
      </c>
      <c r="D354" t="s">
        <v>439</v>
      </c>
      <c r="E354" t="s">
        <v>39</v>
      </c>
      <c r="F354" t="s">
        <v>133</v>
      </c>
      <c r="G354" t="s">
        <v>40</v>
      </c>
      <c r="H354" t="s">
        <v>87</v>
      </c>
      <c r="I354" t="s">
        <v>40</v>
      </c>
      <c r="J354" t="s">
        <v>1387</v>
      </c>
      <c r="K354" t="s">
        <v>40</v>
      </c>
      <c r="L354" t="s">
        <v>43</v>
      </c>
      <c r="M354" t="s">
        <v>364</v>
      </c>
      <c r="N354" t="s">
        <v>45</v>
      </c>
      <c r="O354" t="s">
        <v>45</v>
      </c>
      <c r="P354" t="s">
        <v>169</v>
      </c>
      <c r="Q354" t="s">
        <v>45</v>
      </c>
      <c r="R354" t="s">
        <v>66</v>
      </c>
      <c r="S354" t="s">
        <v>1388</v>
      </c>
      <c r="T354" t="s">
        <v>1389</v>
      </c>
      <c r="U354" t="s">
        <v>45</v>
      </c>
      <c r="V354" t="s">
        <v>52</v>
      </c>
      <c r="W354" t="s">
        <v>59</v>
      </c>
      <c r="X354" t="s">
        <v>119</v>
      </c>
      <c r="Y354" t="s">
        <v>47</v>
      </c>
      <c r="Z354" t="s">
        <v>41</v>
      </c>
      <c r="AA354" t="s">
        <v>54</v>
      </c>
      <c r="AB354" t="s">
        <v>40</v>
      </c>
      <c r="AC354" t="s">
        <v>79</v>
      </c>
      <c r="AD354" t="s">
        <v>45</v>
      </c>
      <c r="AE354" t="s">
        <v>40</v>
      </c>
      <c r="AF354" t="s">
        <v>55</v>
      </c>
      <c r="AG354" t="s">
        <v>55</v>
      </c>
      <c r="AH354" t="s">
        <v>55</v>
      </c>
      <c r="AI354" t="s">
        <v>55</v>
      </c>
    </row>
    <row r="355" spans="1:35" x14ac:dyDescent="0.25">
      <c r="A355" t="s">
        <v>72</v>
      </c>
      <c r="B355" t="s">
        <v>59</v>
      </c>
      <c r="C355" t="s">
        <v>37</v>
      </c>
      <c r="D355" t="s">
        <v>1390</v>
      </c>
      <c r="E355" t="s">
        <v>62</v>
      </c>
      <c r="F355" t="s">
        <v>56</v>
      </c>
      <c r="G355" t="s">
        <v>45</v>
      </c>
      <c r="H355" t="s">
        <v>87</v>
      </c>
      <c r="I355" t="s">
        <v>40</v>
      </c>
      <c r="J355" t="s">
        <v>1391</v>
      </c>
      <c r="K355" t="s">
        <v>45</v>
      </c>
      <c r="L355" t="s">
        <v>63</v>
      </c>
      <c r="M355" t="s">
        <v>155</v>
      </c>
      <c r="N355" t="s">
        <v>47</v>
      </c>
      <c r="O355" t="s">
        <v>41</v>
      </c>
      <c r="P355" t="s">
        <v>65</v>
      </c>
      <c r="Q355" t="s">
        <v>40</v>
      </c>
      <c r="R355" t="s">
        <v>109</v>
      </c>
      <c r="S355" t="s">
        <v>1392</v>
      </c>
      <c r="T355" t="s">
        <v>1393</v>
      </c>
      <c r="U355" t="s">
        <v>47</v>
      </c>
      <c r="V355" t="s">
        <v>52</v>
      </c>
      <c r="W355" t="s">
        <v>36</v>
      </c>
      <c r="X355" t="s">
        <v>98</v>
      </c>
      <c r="Y355" t="s">
        <v>45</v>
      </c>
      <c r="Z355" t="s">
        <v>40</v>
      </c>
      <c r="AA355" t="s">
        <v>54</v>
      </c>
      <c r="AB355" t="s">
        <v>41</v>
      </c>
      <c r="AC355" t="s">
        <v>98</v>
      </c>
      <c r="AD355" t="s">
        <v>41</v>
      </c>
      <c r="AE355" t="s">
        <v>45</v>
      </c>
      <c r="AF355" t="s">
        <v>71</v>
      </c>
      <c r="AG355" t="s">
        <v>71</v>
      </c>
      <c r="AH355" t="s">
        <v>56</v>
      </c>
      <c r="AI355" t="s">
        <v>71</v>
      </c>
    </row>
    <row r="356" spans="1:35" x14ac:dyDescent="0.25">
      <c r="A356" t="s">
        <v>105</v>
      </c>
      <c r="B356" t="s">
        <v>59</v>
      </c>
      <c r="C356" t="s">
        <v>161</v>
      </c>
      <c r="D356" t="s">
        <v>1394</v>
      </c>
      <c r="E356" t="s">
        <v>39</v>
      </c>
      <c r="F356" t="s">
        <v>172</v>
      </c>
      <c r="G356" t="s">
        <v>41</v>
      </c>
      <c r="H356" t="s">
        <v>228</v>
      </c>
      <c r="I356" t="s">
        <v>40</v>
      </c>
      <c r="J356" t="s">
        <v>1395</v>
      </c>
      <c r="K356" t="s">
        <v>47</v>
      </c>
      <c r="L356" t="s">
        <v>43</v>
      </c>
      <c r="M356" t="s">
        <v>348</v>
      </c>
      <c r="N356" t="s">
        <v>45</v>
      </c>
      <c r="O356" t="s">
        <v>41</v>
      </c>
      <c r="P356" t="s">
        <v>46</v>
      </c>
      <c r="Q356" t="s">
        <v>45</v>
      </c>
      <c r="R356" t="s">
        <v>66</v>
      </c>
      <c r="S356" t="s">
        <v>1396</v>
      </c>
      <c r="T356" t="s">
        <v>1397</v>
      </c>
      <c r="U356" t="s">
        <v>71</v>
      </c>
      <c r="V356" t="s">
        <v>52</v>
      </c>
      <c r="W356" t="s">
        <v>36</v>
      </c>
      <c r="X356" t="s">
        <v>92</v>
      </c>
      <c r="Y356" t="s">
        <v>45</v>
      </c>
      <c r="Z356" t="s">
        <v>41</v>
      </c>
      <c r="AA356" t="s">
        <v>54</v>
      </c>
      <c r="AB356" t="s">
        <v>40</v>
      </c>
      <c r="AC356" t="s">
        <v>47</v>
      </c>
      <c r="AD356" t="s">
        <v>41</v>
      </c>
      <c r="AE356" t="s">
        <v>47</v>
      </c>
      <c r="AF356" t="s">
        <v>41</v>
      </c>
      <c r="AG356" t="s">
        <v>41</v>
      </c>
      <c r="AH356" t="s">
        <v>41</v>
      </c>
      <c r="AI356" t="s">
        <v>41</v>
      </c>
    </row>
    <row r="357" spans="1:35" x14ac:dyDescent="0.25">
      <c r="A357" t="s">
        <v>139</v>
      </c>
      <c r="B357" t="s">
        <v>59</v>
      </c>
      <c r="C357" t="s">
        <v>37</v>
      </c>
      <c r="D357" t="s">
        <v>660</v>
      </c>
      <c r="E357" t="s">
        <v>39</v>
      </c>
      <c r="F357" t="s">
        <v>40</v>
      </c>
      <c r="G357" t="s">
        <v>45</v>
      </c>
      <c r="H357" t="s">
        <v>42</v>
      </c>
      <c r="I357" t="s">
        <v>40</v>
      </c>
      <c r="J357" t="s">
        <v>1398</v>
      </c>
      <c r="K357" t="s">
        <v>45</v>
      </c>
      <c r="L357" t="s">
        <v>63</v>
      </c>
      <c r="M357" t="s">
        <v>269</v>
      </c>
      <c r="N357" t="s">
        <v>45</v>
      </c>
      <c r="O357" t="s">
        <v>41</v>
      </c>
      <c r="P357" t="s">
        <v>46</v>
      </c>
      <c r="Q357" t="s">
        <v>45</v>
      </c>
      <c r="R357" t="s">
        <v>66</v>
      </c>
      <c r="S357" t="s">
        <v>1399</v>
      </c>
      <c r="T357" t="s">
        <v>1400</v>
      </c>
      <c r="U357" t="s">
        <v>40</v>
      </c>
      <c r="V357" t="s">
        <v>52</v>
      </c>
      <c r="W357" t="s">
        <v>59</v>
      </c>
      <c r="X357" t="s">
        <v>125</v>
      </c>
      <c r="Y357" t="s">
        <v>45</v>
      </c>
      <c r="Z357" t="s">
        <v>41</v>
      </c>
      <c r="AA357" t="s">
        <v>54</v>
      </c>
      <c r="AB357" t="s">
        <v>40</v>
      </c>
      <c r="AC357" t="s">
        <v>51</v>
      </c>
      <c r="AD357" t="s">
        <v>45</v>
      </c>
      <c r="AE357" t="s">
        <v>45</v>
      </c>
      <c r="AF357" t="s">
        <v>51</v>
      </c>
      <c r="AG357" t="s">
        <v>71</v>
      </c>
      <c r="AH357" t="s">
        <v>71</v>
      </c>
      <c r="AI357" t="s">
        <v>71</v>
      </c>
    </row>
    <row r="358" spans="1:35" x14ac:dyDescent="0.25">
      <c r="A358" t="s">
        <v>204</v>
      </c>
      <c r="B358" t="s">
        <v>59</v>
      </c>
      <c r="C358" t="s">
        <v>37</v>
      </c>
      <c r="D358" t="s">
        <v>1401</v>
      </c>
      <c r="E358" t="s">
        <v>62</v>
      </c>
      <c r="F358" t="s">
        <v>41</v>
      </c>
      <c r="G358" t="s">
        <v>47</v>
      </c>
      <c r="H358" t="s">
        <v>74</v>
      </c>
      <c r="I358" t="s">
        <v>40</v>
      </c>
      <c r="J358" t="s">
        <v>210</v>
      </c>
      <c r="K358" t="s">
        <v>40</v>
      </c>
      <c r="L358" t="s">
        <v>63</v>
      </c>
      <c r="M358" t="s">
        <v>284</v>
      </c>
      <c r="N358" t="s">
        <v>41</v>
      </c>
      <c r="O358" t="s">
        <v>41</v>
      </c>
      <c r="P358" t="s">
        <v>122</v>
      </c>
      <c r="Q358" t="s">
        <v>47</v>
      </c>
      <c r="R358" t="s">
        <v>48</v>
      </c>
      <c r="S358" t="s">
        <v>1402</v>
      </c>
      <c r="T358" t="s">
        <v>1403</v>
      </c>
      <c r="U358" t="s">
        <v>45</v>
      </c>
      <c r="V358" t="s">
        <v>52</v>
      </c>
      <c r="W358" t="s">
        <v>59</v>
      </c>
      <c r="X358" t="s">
        <v>69</v>
      </c>
      <c r="Y358" t="s">
        <v>47</v>
      </c>
      <c r="Z358" t="s">
        <v>41</v>
      </c>
      <c r="AA358" t="s">
        <v>54</v>
      </c>
      <c r="AB358" t="s">
        <v>55</v>
      </c>
      <c r="AC358" t="s">
        <v>129</v>
      </c>
      <c r="AD358" t="s">
        <v>56</v>
      </c>
      <c r="AE358" t="s">
        <v>45</v>
      </c>
      <c r="AF358" t="s">
        <v>40</v>
      </c>
      <c r="AG358" t="s">
        <v>55</v>
      </c>
      <c r="AH358" t="s">
        <v>55</v>
      </c>
      <c r="AI358" t="s">
        <v>55</v>
      </c>
    </row>
    <row r="359" spans="1:35" x14ac:dyDescent="0.25">
      <c r="A359" t="s">
        <v>119</v>
      </c>
      <c r="B359" t="s">
        <v>36</v>
      </c>
      <c r="C359" t="s">
        <v>60</v>
      </c>
      <c r="D359" t="s">
        <v>1404</v>
      </c>
      <c r="E359" t="s">
        <v>39</v>
      </c>
      <c r="F359" t="s">
        <v>40</v>
      </c>
      <c r="G359" t="s">
        <v>40</v>
      </c>
      <c r="H359" t="s">
        <v>228</v>
      </c>
      <c r="I359" t="s">
        <v>40</v>
      </c>
      <c r="J359" t="s">
        <v>1405</v>
      </c>
      <c r="K359" t="s">
        <v>40</v>
      </c>
      <c r="L359" t="s">
        <v>43</v>
      </c>
      <c r="M359" t="s">
        <v>338</v>
      </c>
      <c r="N359" t="s">
        <v>41</v>
      </c>
      <c r="O359" t="s">
        <v>40</v>
      </c>
      <c r="P359" t="s">
        <v>182</v>
      </c>
      <c r="Q359" t="s">
        <v>41</v>
      </c>
      <c r="R359" t="s">
        <v>48</v>
      </c>
      <c r="S359" t="s">
        <v>1406</v>
      </c>
      <c r="T359" t="s">
        <v>1407</v>
      </c>
      <c r="U359" t="s">
        <v>40</v>
      </c>
      <c r="V359" t="s">
        <v>52</v>
      </c>
      <c r="W359" t="s">
        <v>36</v>
      </c>
      <c r="X359" t="s">
        <v>53</v>
      </c>
      <c r="Y359" t="s">
        <v>45</v>
      </c>
      <c r="Z359" t="s">
        <v>45</v>
      </c>
      <c r="AA359" t="s">
        <v>54</v>
      </c>
      <c r="AB359" t="s">
        <v>55</v>
      </c>
      <c r="AC359" t="s">
        <v>45</v>
      </c>
      <c r="AD359" t="s">
        <v>45</v>
      </c>
      <c r="AE359" t="s">
        <v>45</v>
      </c>
      <c r="AF359" t="s">
        <v>45</v>
      </c>
      <c r="AG359" t="s">
        <v>41</v>
      </c>
      <c r="AH359" t="s">
        <v>40</v>
      </c>
      <c r="AI359" t="s">
        <v>41</v>
      </c>
    </row>
    <row r="360" spans="1:35" x14ac:dyDescent="0.25">
      <c r="A360" t="s">
        <v>120</v>
      </c>
      <c r="B360" t="s">
        <v>59</v>
      </c>
      <c r="C360" t="s">
        <v>161</v>
      </c>
      <c r="D360" t="s">
        <v>1408</v>
      </c>
      <c r="E360" t="s">
        <v>39</v>
      </c>
      <c r="F360" t="s">
        <v>40</v>
      </c>
      <c r="G360" t="s">
        <v>57</v>
      </c>
      <c r="H360" t="s">
        <v>87</v>
      </c>
      <c r="I360" t="s">
        <v>40</v>
      </c>
      <c r="J360" t="s">
        <v>1409</v>
      </c>
      <c r="K360" t="s">
        <v>47</v>
      </c>
      <c r="L360" t="s">
        <v>43</v>
      </c>
      <c r="M360" t="s">
        <v>174</v>
      </c>
      <c r="N360" t="s">
        <v>45</v>
      </c>
      <c r="O360" t="s">
        <v>41</v>
      </c>
      <c r="P360" t="s">
        <v>46</v>
      </c>
      <c r="Q360" t="s">
        <v>47</v>
      </c>
      <c r="R360" t="s">
        <v>48</v>
      </c>
      <c r="S360" t="s">
        <v>1410</v>
      </c>
      <c r="T360" t="s">
        <v>1411</v>
      </c>
      <c r="U360" t="s">
        <v>47</v>
      </c>
      <c r="V360" t="s">
        <v>52</v>
      </c>
      <c r="W360" t="s">
        <v>59</v>
      </c>
      <c r="X360" t="s">
        <v>79</v>
      </c>
      <c r="Y360" t="s">
        <v>45</v>
      </c>
      <c r="Z360" t="s">
        <v>41</v>
      </c>
      <c r="AA360" t="s">
        <v>54</v>
      </c>
      <c r="AB360" t="s">
        <v>55</v>
      </c>
      <c r="AC360" t="s">
        <v>71</v>
      </c>
      <c r="AD360" t="s">
        <v>56</v>
      </c>
      <c r="AE360" t="s">
        <v>45</v>
      </c>
      <c r="AF360" t="s">
        <v>40</v>
      </c>
      <c r="AG360" t="s">
        <v>55</v>
      </c>
      <c r="AH360" t="s">
        <v>55</v>
      </c>
      <c r="AI360" t="s">
        <v>55</v>
      </c>
    </row>
    <row r="361" spans="1:35" x14ac:dyDescent="0.25">
      <c r="A361" t="s">
        <v>120</v>
      </c>
      <c r="B361" t="s">
        <v>59</v>
      </c>
      <c r="C361" t="s">
        <v>60</v>
      </c>
      <c r="D361" t="s">
        <v>423</v>
      </c>
      <c r="E361" t="s">
        <v>39</v>
      </c>
      <c r="F361" t="s">
        <v>45</v>
      </c>
      <c r="G361" t="s">
        <v>47</v>
      </c>
      <c r="H361" t="s">
        <v>87</v>
      </c>
      <c r="I361" t="s">
        <v>40</v>
      </c>
      <c r="J361" t="s">
        <v>1412</v>
      </c>
      <c r="K361" t="s">
        <v>40</v>
      </c>
      <c r="L361" t="s">
        <v>63</v>
      </c>
      <c r="M361" t="s">
        <v>207</v>
      </c>
      <c r="N361" t="s">
        <v>41</v>
      </c>
      <c r="O361" t="s">
        <v>45</v>
      </c>
      <c r="P361" t="s">
        <v>46</v>
      </c>
      <c r="Q361" t="s">
        <v>47</v>
      </c>
      <c r="R361" t="s">
        <v>66</v>
      </c>
      <c r="S361" t="s">
        <v>1413</v>
      </c>
      <c r="T361" t="s">
        <v>1414</v>
      </c>
      <c r="U361" t="s">
        <v>47</v>
      </c>
      <c r="V361" t="s">
        <v>52</v>
      </c>
      <c r="W361" t="s">
        <v>59</v>
      </c>
      <c r="X361" t="s">
        <v>53</v>
      </c>
      <c r="Y361" t="s">
        <v>45</v>
      </c>
      <c r="Z361" t="s">
        <v>40</v>
      </c>
      <c r="AA361" t="s">
        <v>54</v>
      </c>
      <c r="AB361" t="s">
        <v>40</v>
      </c>
      <c r="AC361" t="s">
        <v>128</v>
      </c>
      <c r="AD361" t="s">
        <v>41</v>
      </c>
      <c r="AE361" t="s">
        <v>45</v>
      </c>
      <c r="AF361" t="s">
        <v>98</v>
      </c>
      <c r="AG361" t="s">
        <v>91</v>
      </c>
      <c r="AH361" t="s">
        <v>40</v>
      </c>
      <c r="AI361" t="s">
        <v>92</v>
      </c>
    </row>
    <row r="362" spans="1:35" x14ac:dyDescent="0.25">
      <c r="A362" t="s">
        <v>269</v>
      </c>
      <c r="B362" t="s">
        <v>59</v>
      </c>
      <c r="C362" t="s">
        <v>37</v>
      </c>
      <c r="D362" t="s">
        <v>1415</v>
      </c>
      <c r="E362" t="s">
        <v>62</v>
      </c>
      <c r="F362" t="s">
        <v>40</v>
      </c>
      <c r="G362" t="s">
        <v>47</v>
      </c>
      <c r="H362" t="s">
        <v>87</v>
      </c>
      <c r="I362" t="s">
        <v>40</v>
      </c>
      <c r="J362" t="s">
        <v>1416</v>
      </c>
      <c r="K362" t="s">
        <v>47</v>
      </c>
      <c r="L362" t="s">
        <v>63</v>
      </c>
      <c r="M362" t="s">
        <v>356</v>
      </c>
      <c r="N362" t="s">
        <v>45</v>
      </c>
      <c r="O362" t="s">
        <v>41</v>
      </c>
      <c r="P362" t="s">
        <v>122</v>
      </c>
      <c r="Q362" t="s">
        <v>45</v>
      </c>
      <c r="R362" t="s">
        <v>66</v>
      </c>
      <c r="S362" t="s">
        <v>1417</v>
      </c>
      <c r="T362" t="s">
        <v>1418</v>
      </c>
      <c r="U362" t="s">
        <v>41</v>
      </c>
      <c r="V362" t="s">
        <v>52</v>
      </c>
      <c r="W362" t="s">
        <v>59</v>
      </c>
      <c r="X362" t="s">
        <v>53</v>
      </c>
      <c r="Y362" t="s">
        <v>45</v>
      </c>
      <c r="Z362" t="s">
        <v>45</v>
      </c>
      <c r="AA362" t="s">
        <v>54</v>
      </c>
      <c r="AB362" t="s">
        <v>55</v>
      </c>
      <c r="AC362" t="s">
        <v>79</v>
      </c>
      <c r="AD362" t="s">
        <v>41</v>
      </c>
      <c r="AE362" t="s">
        <v>45</v>
      </c>
      <c r="AF362" t="s">
        <v>45</v>
      </c>
      <c r="AG362" t="s">
        <v>41</v>
      </c>
      <c r="AH362" t="s">
        <v>40</v>
      </c>
      <c r="AI362" t="s">
        <v>41</v>
      </c>
    </row>
    <row r="363" spans="1:35" x14ac:dyDescent="0.25">
      <c r="A363" t="s">
        <v>88</v>
      </c>
      <c r="B363" t="s">
        <v>59</v>
      </c>
      <c r="C363" t="s">
        <v>37</v>
      </c>
      <c r="D363" t="s">
        <v>1419</v>
      </c>
      <c r="E363" t="s">
        <v>62</v>
      </c>
      <c r="F363" t="s">
        <v>70</v>
      </c>
      <c r="G363" t="s">
        <v>47</v>
      </c>
      <c r="H363" t="s">
        <v>42</v>
      </c>
      <c r="I363" t="s">
        <v>40</v>
      </c>
      <c r="J363" t="s">
        <v>1366</v>
      </c>
      <c r="K363" t="s">
        <v>47</v>
      </c>
      <c r="L363" t="s">
        <v>43</v>
      </c>
      <c r="M363" t="s">
        <v>213</v>
      </c>
      <c r="N363" t="s">
        <v>47</v>
      </c>
      <c r="O363" t="s">
        <v>40</v>
      </c>
      <c r="P363" t="s">
        <v>76</v>
      </c>
      <c r="Q363" t="s">
        <v>45</v>
      </c>
      <c r="R363" t="s">
        <v>66</v>
      </c>
      <c r="S363" t="s">
        <v>1420</v>
      </c>
      <c r="T363" t="s">
        <v>1421</v>
      </c>
      <c r="U363" t="s">
        <v>45</v>
      </c>
      <c r="V363" t="s">
        <v>52</v>
      </c>
      <c r="W363" t="s">
        <v>36</v>
      </c>
      <c r="X363" t="s">
        <v>98</v>
      </c>
      <c r="Y363" t="s">
        <v>45</v>
      </c>
      <c r="Z363" t="s">
        <v>45</v>
      </c>
      <c r="AA363" t="s">
        <v>54</v>
      </c>
      <c r="AB363" t="s">
        <v>40</v>
      </c>
      <c r="AC363" t="s">
        <v>70</v>
      </c>
      <c r="AD363" t="s">
        <v>45</v>
      </c>
      <c r="AE363" t="s">
        <v>45</v>
      </c>
      <c r="AF363" t="s">
        <v>71</v>
      </c>
      <c r="AG363" t="s">
        <v>71</v>
      </c>
      <c r="AH363" t="s">
        <v>40</v>
      </c>
      <c r="AI363" t="s">
        <v>71</v>
      </c>
    </row>
    <row r="364" spans="1:35" x14ac:dyDescent="0.25">
      <c r="A364" t="s">
        <v>119</v>
      </c>
      <c r="B364" t="s">
        <v>59</v>
      </c>
      <c r="C364" t="s">
        <v>161</v>
      </c>
      <c r="D364" t="s">
        <v>227</v>
      </c>
      <c r="E364" t="s">
        <v>39</v>
      </c>
      <c r="F364" t="s">
        <v>91</v>
      </c>
      <c r="G364" t="s">
        <v>41</v>
      </c>
      <c r="H364" t="s">
        <v>87</v>
      </c>
      <c r="I364" t="s">
        <v>40</v>
      </c>
      <c r="J364" t="s">
        <v>1422</v>
      </c>
      <c r="K364" t="s">
        <v>40</v>
      </c>
      <c r="L364" t="s">
        <v>63</v>
      </c>
      <c r="M364" t="s">
        <v>218</v>
      </c>
      <c r="N364" t="s">
        <v>45</v>
      </c>
      <c r="O364" t="s">
        <v>40</v>
      </c>
      <c r="P364" t="s">
        <v>182</v>
      </c>
      <c r="Q364" t="s">
        <v>47</v>
      </c>
      <c r="R364" t="s">
        <v>48</v>
      </c>
      <c r="S364" t="s">
        <v>1423</v>
      </c>
      <c r="T364" t="s">
        <v>1424</v>
      </c>
      <c r="U364" t="s">
        <v>40</v>
      </c>
      <c r="V364" t="s">
        <v>52</v>
      </c>
      <c r="W364" t="s">
        <v>59</v>
      </c>
      <c r="X364" t="s">
        <v>107</v>
      </c>
      <c r="Y364" t="s">
        <v>47</v>
      </c>
      <c r="Z364" t="s">
        <v>45</v>
      </c>
      <c r="AA364" t="s">
        <v>54</v>
      </c>
      <c r="AB364" t="s">
        <v>55</v>
      </c>
      <c r="AC364" t="s">
        <v>45</v>
      </c>
      <c r="AD364" t="s">
        <v>45</v>
      </c>
      <c r="AE364" t="s">
        <v>41</v>
      </c>
      <c r="AF364" t="s">
        <v>45</v>
      </c>
      <c r="AG364" t="s">
        <v>41</v>
      </c>
      <c r="AH364" t="s">
        <v>41</v>
      </c>
      <c r="AI364" t="s">
        <v>41</v>
      </c>
    </row>
    <row r="365" spans="1:35" x14ac:dyDescent="0.25">
      <c r="A365" t="s">
        <v>80</v>
      </c>
      <c r="B365" t="s">
        <v>36</v>
      </c>
      <c r="C365" t="s">
        <v>37</v>
      </c>
      <c r="D365" t="s">
        <v>1047</v>
      </c>
      <c r="E365" t="s">
        <v>39</v>
      </c>
      <c r="F365" t="s">
        <v>57</v>
      </c>
      <c r="G365" t="s">
        <v>45</v>
      </c>
      <c r="H365" t="s">
        <v>206</v>
      </c>
      <c r="I365" t="s">
        <v>40</v>
      </c>
      <c r="J365" t="s">
        <v>1425</v>
      </c>
      <c r="K365" t="s">
        <v>47</v>
      </c>
      <c r="L365" t="s">
        <v>43</v>
      </c>
      <c r="M365" t="s">
        <v>142</v>
      </c>
      <c r="N365" t="s">
        <v>45</v>
      </c>
      <c r="O365" t="s">
        <v>40</v>
      </c>
      <c r="P365" t="s">
        <v>182</v>
      </c>
      <c r="Q365" t="s">
        <v>45</v>
      </c>
      <c r="R365" t="s">
        <v>48</v>
      </c>
      <c r="S365" t="s">
        <v>1424</v>
      </c>
      <c r="T365" t="s">
        <v>1407</v>
      </c>
      <c r="U365" t="s">
        <v>40</v>
      </c>
      <c r="V365" t="s">
        <v>52</v>
      </c>
      <c r="W365" t="s">
        <v>36</v>
      </c>
      <c r="X365" t="s">
        <v>98</v>
      </c>
      <c r="Y365" t="s">
        <v>45</v>
      </c>
      <c r="Z365" t="s">
        <v>41</v>
      </c>
      <c r="AA365" t="s">
        <v>54</v>
      </c>
      <c r="AB365" t="s">
        <v>55</v>
      </c>
      <c r="AC365" t="s">
        <v>40</v>
      </c>
      <c r="AD365" t="s">
        <v>41</v>
      </c>
      <c r="AE365" t="s">
        <v>45</v>
      </c>
      <c r="AF365" t="s">
        <v>40</v>
      </c>
      <c r="AG365" t="s">
        <v>55</v>
      </c>
      <c r="AH365" t="s">
        <v>55</v>
      </c>
      <c r="AI365" t="s">
        <v>55</v>
      </c>
    </row>
    <row r="366" spans="1:35" x14ac:dyDescent="0.25">
      <c r="A366" t="s">
        <v>72</v>
      </c>
      <c r="B366" t="s">
        <v>59</v>
      </c>
      <c r="C366" t="s">
        <v>37</v>
      </c>
      <c r="D366" t="s">
        <v>1426</v>
      </c>
      <c r="E366" t="s">
        <v>62</v>
      </c>
      <c r="F366" t="s">
        <v>70</v>
      </c>
      <c r="G366" t="s">
        <v>45</v>
      </c>
      <c r="H366" t="s">
        <v>87</v>
      </c>
      <c r="I366" t="s">
        <v>40</v>
      </c>
      <c r="J366" t="s">
        <v>1427</v>
      </c>
      <c r="K366" t="s">
        <v>45</v>
      </c>
      <c r="L366" t="s">
        <v>43</v>
      </c>
      <c r="M366" t="s">
        <v>284</v>
      </c>
      <c r="N366" t="s">
        <v>45</v>
      </c>
      <c r="O366" t="s">
        <v>40</v>
      </c>
      <c r="P366" t="s">
        <v>76</v>
      </c>
      <c r="Q366" t="s">
        <v>40</v>
      </c>
      <c r="R366" t="s">
        <v>66</v>
      </c>
      <c r="S366" t="s">
        <v>635</v>
      </c>
      <c r="T366" t="s">
        <v>1428</v>
      </c>
      <c r="U366" t="s">
        <v>56</v>
      </c>
      <c r="V366" t="s">
        <v>52</v>
      </c>
      <c r="W366" t="s">
        <v>59</v>
      </c>
      <c r="X366" t="s">
        <v>104</v>
      </c>
      <c r="Y366" t="s">
        <v>47</v>
      </c>
      <c r="Z366" t="s">
        <v>41</v>
      </c>
      <c r="AA366" t="s">
        <v>54</v>
      </c>
      <c r="AB366" t="s">
        <v>40</v>
      </c>
      <c r="AC366" t="s">
        <v>125</v>
      </c>
      <c r="AD366" t="s">
        <v>45</v>
      </c>
      <c r="AE366" t="s">
        <v>45</v>
      </c>
      <c r="AF366" t="s">
        <v>57</v>
      </c>
      <c r="AG366" t="s">
        <v>47</v>
      </c>
      <c r="AH366" t="s">
        <v>55</v>
      </c>
      <c r="AI366" t="s">
        <v>45</v>
      </c>
    </row>
    <row r="367" spans="1:35" x14ac:dyDescent="0.25">
      <c r="A367" t="s">
        <v>213</v>
      </c>
      <c r="B367" t="s">
        <v>59</v>
      </c>
      <c r="C367" t="s">
        <v>161</v>
      </c>
      <c r="D367" t="s">
        <v>1429</v>
      </c>
      <c r="E367" t="s">
        <v>62</v>
      </c>
      <c r="F367" t="s">
        <v>71</v>
      </c>
      <c r="G367" t="s">
        <v>47</v>
      </c>
      <c r="H367" t="s">
        <v>87</v>
      </c>
      <c r="I367" t="s">
        <v>40</v>
      </c>
      <c r="J367" t="s">
        <v>1430</v>
      </c>
      <c r="K367" t="s">
        <v>45</v>
      </c>
      <c r="L367" t="s">
        <v>43</v>
      </c>
      <c r="M367" t="s">
        <v>105</v>
      </c>
      <c r="N367" t="s">
        <v>45</v>
      </c>
      <c r="O367" t="s">
        <v>41</v>
      </c>
      <c r="P367" t="s">
        <v>116</v>
      </c>
      <c r="Q367" t="s">
        <v>45</v>
      </c>
      <c r="R367" t="s">
        <v>66</v>
      </c>
      <c r="S367" t="s">
        <v>1431</v>
      </c>
      <c r="T367" t="s">
        <v>1432</v>
      </c>
      <c r="U367" t="s">
        <v>41</v>
      </c>
      <c r="V367" t="s">
        <v>52</v>
      </c>
      <c r="W367" t="s">
        <v>59</v>
      </c>
      <c r="X367" t="s">
        <v>129</v>
      </c>
      <c r="Y367" t="s">
        <v>45</v>
      </c>
      <c r="Z367" t="s">
        <v>45</v>
      </c>
      <c r="AA367" t="s">
        <v>54</v>
      </c>
      <c r="AB367" t="s">
        <v>55</v>
      </c>
      <c r="AC367" t="s">
        <v>71</v>
      </c>
      <c r="AD367" t="s">
        <v>41</v>
      </c>
      <c r="AE367" t="s">
        <v>47</v>
      </c>
      <c r="AF367" t="s">
        <v>40</v>
      </c>
      <c r="AG367" t="s">
        <v>55</v>
      </c>
      <c r="AH367" t="s">
        <v>55</v>
      </c>
      <c r="AI367" t="s">
        <v>55</v>
      </c>
    </row>
    <row r="368" spans="1:35" x14ac:dyDescent="0.25">
      <c r="A368" t="s">
        <v>35</v>
      </c>
      <c r="B368" t="s">
        <v>36</v>
      </c>
      <c r="C368" t="s">
        <v>60</v>
      </c>
      <c r="D368" t="s">
        <v>508</v>
      </c>
      <c r="E368" t="s">
        <v>39</v>
      </c>
      <c r="F368" t="s">
        <v>47</v>
      </c>
      <c r="G368" t="s">
        <v>45</v>
      </c>
      <c r="H368" t="s">
        <v>206</v>
      </c>
      <c r="I368" t="s">
        <v>40</v>
      </c>
      <c r="J368" t="s">
        <v>1074</v>
      </c>
      <c r="K368" t="s">
        <v>40</v>
      </c>
      <c r="L368" t="s">
        <v>63</v>
      </c>
      <c r="M368" t="s">
        <v>82</v>
      </c>
      <c r="N368" t="s">
        <v>45</v>
      </c>
      <c r="O368" t="s">
        <v>41</v>
      </c>
      <c r="P368" t="s">
        <v>46</v>
      </c>
      <c r="Q368" t="s">
        <v>41</v>
      </c>
      <c r="R368" t="s">
        <v>48</v>
      </c>
      <c r="S368" t="s">
        <v>1433</v>
      </c>
      <c r="T368" t="s">
        <v>1434</v>
      </c>
      <c r="U368" t="s">
        <v>40</v>
      </c>
      <c r="V368" t="s">
        <v>52</v>
      </c>
      <c r="W368" t="s">
        <v>59</v>
      </c>
      <c r="X368" t="s">
        <v>145</v>
      </c>
      <c r="Y368" t="s">
        <v>45</v>
      </c>
      <c r="Z368" t="s">
        <v>45</v>
      </c>
      <c r="AA368" t="s">
        <v>54</v>
      </c>
      <c r="AB368" t="s">
        <v>55</v>
      </c>
      <c r="AC368" t="s">
        <v>51</v>
      </c>
      <c r="AD368" t="s">
        <v>57</v>
      </c>
      <c r="AE368" t="s">
        <v>45</v>
      </c>
      <c r="AF368" t="s">
        <v>51</v>
      </c>
      <c r="AG368" t="s">
        <v>71</v>
      </c>
      <c r="AH368" t="s">
        <v>71</v>
      </c>
      <c r="AI368" t="s">
        <v>71</v>
      </c>
    </row>
    <row r="369" spans="1:35" x14ac:dyDescent="0.25">
      <c r="A369" t="s">
        <v>151</v>
      </c>
      <c r="B369" t="s">
        <v>59</v>
      </c>
      <c r="C369" t="s">
        <v>37</v>
      </c>
      <c r="D369" t="s">
        <v>1435</v>
      </c>
      <c r="E369" t="s">
        <v>62</v>
      </c>
      <c r="F369" t="s">
        <v>70</v>
      </c>
      <c r="G369" t="s">
        <v>45</v>
      </c>
      <c r="H369" t="s">
        <v>228</v>
      </c>
      <c r="I369" t="s">
        <v>40</v>
      </c>
      <c r="J369" t="s">
        <v>1436</v>
      </c>
      <c r="K369" t="s">
        <v>47</v>
      </c>
      <c r="L369" t="s">
        <v>63</v>
      </c>
      <c r="M369" t="s">
        <v>385</v>
      </c>
      <c r="N369" t="s">
        <v>41</v>
      </c>
      <c r="O369" t="s">
        <v>45</v>
      </c>
      <c r="P369" t="s">
        <v>122</v>
      </c>
      <c r="Q369" t="s">
        <v>47</v>
      </c>
      <c r="R369" t="s">
        <v>48</v>
      </c>
      <c r="S369" t="s">
        <v>1437</v>
      </c>
      <c r="T369" t="s">
        <v>1438</v>
      </c>
      <c r="U369" t="s">
        <v>56</v>
      </c>
      <c r="V369" t="s">
        <v>52</v>
      </c>
      <c r="W369" t="s">
        <v>59</v>
      </c>
      <c r="X369" t="s">
        <v>79</v>
      </c>
      <c r="Y369" t="s">
        <v>45</v>
      </c>
      <c r="Z369" t="s">
        <v>47</v>
      </c>
      <c r="AA369" t="s">
        <v>54</v>
      </c>
      <c r="AB369" t="s">
        <v>55</v>
      </c>
      <c r="AC369" t="s">
        <v>104</v>
      </c>
      <c r="AD369" t="s">
        <v>41</v>
      </c>
      <c r="AE369" t="s">
        <v>45</v>
      </c>
      <c r="AF369" t="s">
        <v>47</v>
      </c>
      <c r="AG369" t="s">
        <v>45</v>
      </c>
      <c r="AH369" t="s">
        <v>40</v>
      </c>
      <c r="AI369" t="s">
        <v>45</v>
      </c>
    </row>
    <row r="370" spans="1:35" x14ac:dyDescent="0.25">
      <c r="A370" t="s">
        <v>88</v>
      </c>
      <c r="B370" t="s">
        <v>36</v>
      </c>
      <c r="C370" t="s">
        <v>37</v>
      </c>
      <c r="D370" t="s">
        <v>1439</v>
      </c>
      <c r="E370" t="s">
        <v>39</v>
      </c>
      <c r="F370" t="s">
        <v>112</v>
      </c>
      <c r="G370" t="s">
        <v>41</v>
      </c>
      <c r="H370" t="s">
        <v>206</v>
      </c>
      <c r="I370" t="s">
        <v>40</v>
      </c>
      <c r="J370" t="s">
        <v>1440</v>
      </c>
      <c r="K370" t="s">
        <v>45</v>
      </c>
      <c r="L370" t="s">
        <v>63</v>
      </c>
      <c r="M370" t="s">
        <v>300</v>
      </c>
      <c r="N370" t="s">
        <v>41</v>
      </c>
      <c r="O370" t="s">
        <v>41</v>
      </c>
      <c r="P370" t="s">
        <v>46</v>
      </c>
      <c r="Q370" t="s">
        <v>45</v>
      </c>
      <c r="R370" t="s">
        <v>66</v>
      </c>
      <c r="S370" t="s">
        <v>1441</v>
      </c>
      <c r="T370" t="s">
        <v>1442</v>
      </c>
      <c r="U370" t="s">
        <v>41</v>
      </c>
      <c r="V370" t="s">
        <v>52</v>
      </c>
      <c r="W370" t="s">
        <v>36</v>
      </c>
      <c r="X370" t="s">
        <v>92</v>
      </c>
      <c r="Y370" t="s">
        <v>45</v>
      </c>
      <c r="Z370" t="s">
        <v>40</v>
      </c>
      <c r="AA370" t="s">
        <v>54</v>
      </c>
      <c r="AB370" t="s">
        <v>41</v>
      </c>
      <c r="AC370" t="s">
        <v>51</v>
      </c>
      <c r="AD370" t="s">
        <v>56</v>
      </c>
      <c r="AE370" t="s">
        <v>45</v>
      </c>
      <c r="AF370" t="s">
        <v>56</v>
      </c>
      <c r="AG370" t="s">
        <v>47</v>
      </c>
      <c r="AH370" t="s">
        <v>40</v>
      </c>
      <c r="AI370" t="s">
        <v>55</v>
      </c>
    </row>
    <row r="371" spans="1:35" x14ac:dyDescent="0.25">
      <c r="A371" t="s">
        <v>137</v>
      </c>
      <c r="B371" t="s">
        <v>59</v>
      </c>
      <c r="C371" t="s">
        <v>37</v>
      </c>
      <c r="D371" t="s">
        <v>278</v>
      </c>
      <c r="E371" t="s">
        <v>62</v>
      </c>
      <c r="F371" t="s">
        <v>91</v>
      </c>
      <c r="G371" t="s">
        <v>47</v>
      </c>
      <c r="H371" t="s">
        <v>42</v>
      </c>
      <c r="I371" t="s">
        <v>40</v>
      </c>
      <c r="J371" t="s">
        <v>1443</v>
      </c>
      <c r="K371" t="s">
        <v>45</v>
      </c>
      <c r="L371" t="s">
        <v>63</v>
      </c>
      <c r="M371" t="s">
        <v>204</v>
      </c>
      <c r="N371" t="s">
        <v>41</v>
      </c>
      <c r="O371" t="s">
        <v>40</v>
      </c>
      <c r="P371" t="s">
        <v>65</v>
      </c>
      <c r="Q371" t="s">
        <v>41</v>
      </c>
      <c r="R371" t="s">
        <v>48</v>
      </c>
      <c r="S371" t="s">
        <v>901</v>
      </c>
      <c r="T371" t="s">
        <v>1444</v>
      </c>
      <c r="U371" t="s">
        <v>55</v>
      </c>
      <c r="V371" t="s">
        <v>52</v>
      </c>
      <c r="W371" t="s">
        <v>36</v>
      </c>
      <c r="X371" t="s">
        <v>128</v>
      </c>
      <c r="Y371" t="s">
        <v>45</v>
      </c>
      <c r="Z371" t="s">
        <v>47</v>
      </c>
      <c r="AA371" t="s">
        <v>54</v>
      </c>
      <c r="AB371" t="s">
        <v>55</v>
      </c>
      <c r="AC371" t="s">
        <v>45</v>
      </c>
      <c r="AD371" t="s">
        <v>57</v>
      </c>
      <c r="AE371" t="s">
        <v>45</v>
      </c>
      <c r="AF371" t="s">
        <v>41</v>
      </c>
      <c r="AG371" t="s">
        <v>41</v>
      </c>
      <c r="AH371" t="s">
        <v>41</v>
      </c>
      <c r="AI371" t="s">
        <v>41</v>
      </c>
    </row>
    <row r="372" spans="1:35" x14ac:dyDescent="0.25">
      <c r="A372" t="s">
        <v>119</v>
      </c>
      <c r="B372" t="s">
        <v>36</v>
      </c>
      <c r="C372" t="s">
        <v>37</v>
      </c>
      <c r="D372" t="s">
        <v>1445</v>
      </c>
      <c r="E372" t="s">
        <v>39</v>
      </c>
      <c r="F372" t="s">
        <v>92</v>
      </c>
      <c r="G372" t="s">
        <v>45</v>
      </c>
      <c r="H372" t="s">
        <v>42</v>
      </c>
      <c r="I372" t="s">
        <v>40</v>
      </c>
      <c r="J372" t="s">
        <v>1446</v>
      </c>
      <c r="K372" t="s">
        <v>45</v>
      </c>
      <c r="L372" t="s">
        <v>43</v>
      </c>
      <c r="M372" t="s">
        <v>360</v>
      </c>
      <c r="N372" t="s">
        <v>47</v>
      </c>
      <c r="O372" t="s">
        <v>40</v>
      </c>
      <c r="P372" t="s">
        <v>182</v>
      </c>
      <c r="Q372" t="s">
        <v>41</v>
      </c>
      <c r="R372" t="s">
        <v>48</v>
      </c>
      <c r="S372" t="s">
        <v>1447</v>
      </c>
      <c r="T372" t="s">
        <v>1448</v>
      </c>
      <c r="U372" t="s">
        <v>40</v>
      </c>
      <c r="V372" t="s">
        <v>52</v>
      </c>
      <c r="W372" t="s">
        <v>59</v>
      </c>
      <c r="X372" t="s">
        <v>79</v>
      </c>
      <c r="Y372" t="s">
        <v>45</v>
      </c>
      <c r="Z372" t="s">
        <v>47</v>
      </c>
      <c r="AA372" t="s">
        <v>54</v>
      </c>
      <c r="AB372" t="s">
        <v>55</v>
      </c>
      <c r="AC372" t="s">
        <v>40</v>
      </c>
      <c r="AD372" t="s">
        <v>55</v>
      </c>
      <c r="AE372" t="s">
        <v>45</v>
      </c>
      <c r="AF372" t="s">
        <v>40</v>
      </c>
      <c r="AG372" t="s">
        <v>55</v>
      </c>
      <c r="AH372" t="s">
        <v>55</v>
      </c>
      <c r="AI372" t="s">
        <v>55</v>
      </c>
    </row>
    <row r="373" spans="1:35" x14ac:dyDescent="0.25">
      <c r="A373" t="s">
        <v>133</v>
      </c>
      <c r="B373" t="s">
        <v>59</v>
      </c>
      <c r="C373" t="s">
        <v>37</v>
      </c>
      <c r="D373" t="s">
        <v>1449</v>
      </c>
      <c r="E373" t="s">
        <v>62</v>
      </c>
      <c r="F373" t="s">
        <v>69</v>
      </c>
      <c r="G373" t="s">
        <v>45</v>
      </c>
      <c r="H373" t="s">
        <v>42</v>
      </c>
      <c r="I373" t="s">
        <v>40</v>
      </c>
      <c r="J373" t="s">
        <v>1450</v>
      </c>
      <c r="K373" t="s">
        <v>47</v>
      </c>
      <c r="L373" t="s">
        <v>63</v>
      </c>
      <c r="M373" t="s">
        <v>259</v>
      </c>
      <c r="N373" t="s">
        <v>45</v>
      </c>
      <c r="O373" t="s">
        <v>40</v>
      </c>
      <c r="P373" t="s">
        <v>65</v>
      </c>
      <c r="Q373" t="s">
        <v>47</v>
      </c>
      <c r="R373" t="s">
        <v>48</v>
      </c>
      <c r="S373" t="s">
        <v>1451</v>
      </c>
      <c r="T373" t="s">
        <v>1452</v>
      </c>
      <c r="U373" t="s">
        <v>91</v>
      </c>
      <c r="V373" t="s">
        <v>52</v>
      </c>
      <c r="W373" t="s">
        <v>59</v>
      </c>
      <c r="X373" t="s">
        <v>128</v>
      </c>
      <c r="Y373" t="s">
        <v>45</v>
      </c>
      <c r="Z373" t="s">
        <v>47</v>
      </c>
      <c r="AA373" t="s">
        <v>54</v>
      </c>
      <c r="AB373" t="s">
        <v>55</v>
      </c>
      <c r="AC373" t="s">
        <v>56</v>
      </c>
      <c r="AD373" t="s">
        <v>47</v>
      </c>
      <c r="AE373" t="s">
        <v>45</v>
      </c>
      <c r="AF373" t="s">
        <v>45</v>
      </c>
      <c r="AG373" t="s">
        <v>41</v>
      </c>
      <c r="AH373" t="s">
        <v>40</v>
      </c>
      <c r="AI373" t="s">
        <v>41</v>
      </c>
    </row>
    <row r="374" spans="1:35" x14ac:dyDescent="0.25">
      <c r="A374" t="s">
        <v>126</v>
      </c>
      <c r="B374" t="s">
        <v>59</v>
      </c>
      <c r="C374" t="s">
        <v>37</v>
      </c>
      <c r="D374" t="s">
        <v>1453</v>
      </c>
      <c r="E374" t="s">
        <v>62</v>
      </c>
      <c r="F374" t="s">
        <v>91</v>
      </c>
      <c r="G374" t="s">
        <v>47</v>
      </c>
      <c r="H374" t="s">
        <v>42</v>
      </c>
      <c r="I374" t="s">
        <v>40</v>
      </c>
      <c r="J374" t="s">
        <v>1152</v>
      </c>
      <c r="K374" t="s">
        <v>45</v>
      </c>
      <c r="L374" t="s">
        <v>63</v>
      </c>
      <c r="M374" t="s">
        <v>244</v>
      </c>
      <c r="N374" t="s">
        <v>41</v>
      </c>
      <c r="O374" t="s">
        <v>41</v>
      </c>
      <c r="P374" t="s">
        <v>122</v>
      </c>
      <c r="Q374" t="s">
        <v>41</v>
      </c>
      <c r="R374" t="s">
        <v>48</v>
      </c>
      <c r="S374" t="s">
        <v>1454</v>
      </c>
      <c r="T374" t="s">
        <v>1455</v>
      </c>
      <c r="U374" t="s">
        <v>91</v>
      </c>
      <c r="V374" t="s">
        <v>52</v>
      </c>
      <c r="W374" t="s">
        <v>59</v>
      </c>
      <c r="X374" t="s">
        <v>144</v>
      </c>
      <c r="Y374" t="s">
        <v>45</v>
      </c>
      <c r="Z374" t="s">
        <v>45</v>
      </c>
      <c r="AA374" t="s">
        <v>54</v>
      </c>
      <c r="AB374" t="s">
        <v>55</v>
      </c>
      <c r="AC374" t="s">
        <v>70</v>
      </c>
      <c r="AD374" t="s">
        <v>57</v>
      </c>
      <c r="AE374" t="s">
        <v>45</v>
      </c>
      <c r="AF374" t="s">
        <v>40</v>
      </c>
      <c r="AG374" t="s">
        <v>40</v>
      </c>
      <c r="AH374" t="s">
        <v>55</v>
      </c>
      <c r="AI374" t="s">
        <v>55</v>
      </c>
    </row>
    <row r="375" spans="1:35" x14ac:dyDescent="0.25">
      <c r="A375" t="s">
        <v>85</v>
      </c>
      <c r="B375" t="s">
        <v>59</v>
      </c>
      <c r="C375" t="s">
        <v>37</v>
      </c>
      <c r="D375" t="s">
        <v>896</v>
      </c>
      <c r="E375" t="s">
        <v>62</v>
      </c>
      <c r="F375" t="s">
        <v>40</v>
      </c>
      <c r="G375" t="s">
        <v>41</v>
      </c>
      <c r="H375" t="s">
        <v>87</v>
      </c>
      <c r="I375" t="s">
        <v>40</v>
      </c>
      <c r="J375" t="s">
        <v>1456</v>
      </c>
      <c r="K375" t="s">
        <v>47</v>
      </c>
      <c r="L375" t="s">
        <v>63</v>
      </c>
      <c r="M375" t="s">
        <v>181</v>
      </c>
      <c r="N375" t="s">
        <v>45</v>
      </c>
      <c r="O375" t="s">
        <v>40</v>
      </c>
      <c r="P375" t="s">
        <v>76</v>
      </c>
      <c r="Q375" t="s">
        <v>41</v>
      </c>
      <c r="R375" t="s">
        <v>109</v>
      </c>
      <c r="S375" t="s">
        <v>1457</v>
      </c>
      <c r="T375" t="s">
        <v>1458</v>
      </c>
      <c r="U375" t="s">
        <v>40</v>
      </c>
      <c r="V375" t="s">
        <v>52</v>
      </c>
      <c r="W375" t="s">
        <v>59</v>
      </c>
      <c r="X375" t="s">
        <v>53</v>
      </c>
      <c r="Y375" t="s">
        <v>45</v>
      </c>
      <c r="Z375" t="s">
        <v>41</v>
      </c>
      <c r="AA375" t="s">
        <v>54</v>
      </c>
      <c r="AB375" t="s">
        <v>40</v>
      </c>
      <c r="AC375" t="s">
        <v>57</v>
      </c>
      <c r="AD375" t="s">
        <v>41</v>
      </c>
      <c r="AE375" t="s">
        <v>45</v>
      </c>
      <c r="AF375" t="s">
        <v>57</v>
      </c>
      <c r="AG375" t="s">
        <v>41</v>
      </c>
      <c r="AH375" t="s">
        <v>55</v>
      </c>
      <c r="AI375" t="s">
        <v>47</v>
      </c>
    </row>
    <row r="376" spans="1:35" x14ac:dyDescent="0.25">
      <c r="A376" t="s">
        <v>149</v>
      </c>
      <c r="B376" t="s">
        <v>59</v>
      </c>
      <c r="C376" t="s">
        <v>37</v>
      </c>
      <c r="D376" t="s">
        <v>922</v>
      </c>
      <c r="E376" t="s">
        <v>39</v>
      </c>
      <c r="F376" t="s">
        <v>91</v>
      </c>
      <c r="G376" t="s">
        <v>47</v>
      </c>
      <c r="H376" t="s">
        <v>42</v>
      </c>
      <c r="I376" t="s">
        <v>40</v>
      </c>
      <c r="J376" t="s">
        <v>1459</v>
      </c>
      <c r="K376" t="s">
        <v>41</v>
      </c>
      <c r="L376" t="s">
        <v>63</v>
      </c>
      <c r="M376" t="s">
        <v>75</v>
      </c>
      <c r="N376" t="s">
        <v>45</v>
      </c>
      <c r="O376" t="s">
        <v>41</v>
      </c>
      <c r="P376" t="s">
        <v>46</v>
      </c>
      <c r="Q376" t="s">
        <v>47</v>
      </c>
      <c r="R376" t="s">
        <v>48</v>
      </c>
      <c r="S376" t="s">
        <v>1460</v>
      </c>
      <c r="T376" t="s">
        <v>1461</v>
      </c>
      <c r="U376" t="s">
        <v>40</v>
      </c>
      <c r="V376" t="s">
        <v>52</v>
      </c>
      <c r="W376" t="s">
        <v>59</v>
      </c>
      <c r="X376" t="s">
        <v>128</v>
      </c>
      <c r="Y376" t="s">
        <v>45</v>
      </c>
      <c r="Z376" t="s">
        <v>47</v>
      </c>
      <c r="AA376" t="s">
        <v>54</v>
      </c>
      <c r="AB376" t="s">
        <v>55</v>
      </c>
      <c r="AC376" t="s">
        <v>71</v>
      </c>
      <c r="AD376" t="s">
        <v>40</v>
      </c>
      <c r="AE376" t="s">
        <v>45</v>
      </c>
      <c r="AF376" t="s">
        <v>71</v>
      </c>
      <c r="AG376" t="s">
        <v>57</v>
      </c>
      <c r="AH376" t="s">
        <v>55</v>
      </c>
      <c r="AI376" t="s">
        <v>71</v>
      </c>
    </row>
    <row r="377" spans="1:35" x14ac:dyDescent="0.25">
      <c r="A377" t="s">
        <v>58</v>
      </c>
      <c r="B377" t="s">
        <v>59</v>
      </c>
      <c r="C377" t="s">
        <v>37</v>
      </c>
      <c r="D377" t="s">
        <v>839</v>
      </c>
      <c r="E377" t="s">
        <v>62</v>
      </c>
      <c r="F377" t="s">
        <v>71</v>
      </c>
      <c r="G377" t="s">
        <v>45</v>
      </c>
      <c r="H377" t="s">
        <v>74</v>
      </c>
      <c r="I377" t="s">
        <v>40</v>
      </c>
      <c r="J377" t="s">
        <v>1462</v>
      </c>
      <c r="K377" t="s">
        <v>41</v>
      </c>
      <c r="L377" t="s">
        <v>63</v>
      </c>
      <c r="M377" t="s">
        <v>137</v>
      </c>
      <c r="N377" t="s">
        <v>41</v>
      </c>
      <c r="O377" t="s">
        <v>45</v>
      </c>
      <c r="P377" t="s">
        <v>122</v>
      </c>
      <c r="Q377" t="s">
        <v>45</v>
      </c>
      <c r="R377" t="s">
        <v>48</v>
      </c>
      <c r="S377" t="s">
        <v>1463</v>
      </c>
      <c r="T377" t="s">
        <v>1464</v>
      </c>
      <c r="U377" t="s">
        <v>51</v>
      </c>
      <c r="V377" t="s">
        <v>52</v>
      </c>
      <c r="W377" t="s">
        <v>59</v>
      </c>
      <c r="X377" t="s">
        <v>107</v>
      </c>
      <c r="Y377" t="s">
        <v>47</v>
      </c>
      <c r="Z377" t="s">
        <v>45</v>
      </c>
      <c r="AA377" t="s">
        <v>54</v>
      </c>
      <c r="AB377" t="s">
        <v>55</v>
      </c>
      <c r="AC377" t="s">
        <v>139</v>
      </c>
      <c r="AD377" t="s">
        <v>41</v>
      </c>
      <c r="AE377" t="s">
        <v>45</v>
      </c>
      <c r="AF377" t="s">
        <v>57</v>
      </c>
      <c r="AG377" t="s">
        <v>41</v>
      </c>
      <c r="AH377" t="s">
        <v>55</v>
      </c>
      <c r="AI377" t="s">
        <v>55</v>
      </c>
    </row>
    <row r="378" spans="1:35" x14ac:dyDescent="0.25">
      <c r="A378" t="s">
        <v>155</v>
      </c>
      <c r="B378" t="s">
        <v>59</v>
      </c>
      <c r="C378" t="s">
        <v>37</v>
      </c>
      <c r="D378" t="s">
        <v>1465</v>
      </c>
      <c r="E378" t="s">
        <v>39</v>
      </c>
      <c r="F378" t="s">
        <v>129</v>
      </c>
      <c r="G378" t="s">
        <v>41</v>
      </c>
      <c r="H378" t="s">
        <v>42</v>
      </c>
      <c r="I378" t="s">
        <v>40</v>
      </c>
      <c r="J378" t="s">
        <v>1466</v>
      </c>
      <c r="K378" t="s">
        <v>45</v>
      </c>
      <c r="L378" t="s">
        <v>43</v>
      </c>
      <c r="M378" t="s">
        <v>371</v>
      </c>
      <c r="N378" t="s">
        <v>45</v>
      </c>
      <c r="O378" t="s">
        <v>41</v>
      </c>
      <c r="P378" t="s">
        <v>46</v>
      </c>
      <c r="Q378" t="s">
        <v>47</v>
      </c>
      <c r="R378" t="s">
        <v>66</v>
      </c>
      <c r="S378" t="s">
        <v>1467</v>
      </c>
      <c r="T378" t="s">
        <v>1468</v>
      </c>
      <c r="U378" t="s">
        <v>47</v>
      </c>
      <c r="V378" t="s">
        <v>52</v>
      </c>
      <c r="W378" t="s">
        <v>59</v>
      </c>
      <c r="X378" t="s">
        <v>53</v>
      </c>
      <c r="Y378" t="s">
        <v>45</v>
      </c>
      <c r="Z378" t="s">
        <v>45</v>
      </c>
      <c r="AA378" t="s">
        <v>54</v>
      </c>
      <c r="AB378" t="s">
        <v>40</v>
      </c>
      <c r="AC378" t="s">
        <v>145</v>
      </c>
      <c r="AD378" t="s">
        <v>41</v>
      </c>
      <c r="AE378" t="s">
        <v>41</v>
      </c>
      <c r="AF378" t="s">
        <v>71</v>
      </c>
      <c r="AG378" t="s">
        <v>71</v>
      </c>
      <c r="AH378" t="s">
        <v>55</v>
      </c>
      <c r="AI378" t="s">
        <v>71</v>
      </c>
    </row>
    <row r="379" spans="1:35" x14ac:dyDescent="0.25">
      <c r="A379" t="s">
        <v>120</v>
      </c>
      <c r="B379" t="s">
        <v>59</v>
      </c>
      <c r="C379" t="s">
        <v>37</v>
      </c>
      <c r="D379" t="s">
        <v>983</v>
      </c>
      <c r="E379" t="s">
        <v>62</v>
      </c>
      <c r="F379" t="s">
        <v>41</v>
      </c>
      <c r="G379" t="s">
        <v>45</v>
      </c>
      <c r="H379" t="s">
        <v>42</v>
      </c>
      <c r="I379" t="s">
        <v>40</v>
      </c>
      <c r="J379" t="s">
        <v>1469</v>
      </c>
      <c r="K379" t="s">
        <v>47</v>
      </c>
      <c r="L379" t="s">
        <v>43</v>
      </c>
      <c r="M379" t="s">
        <v>163</v>
      </c>
      <c r="N379" t="s">
        <v>45</v>
      </c>
      <c r="O379" t="s">
        <v>40</v>
      </c>
      <c r="P379" t="s">
        <v>65</v>
      </c>
      <c r="Q379" t="s">
        <v>45</v>
      </c>
      <c r="R379" t="s">
        <v>66</v>
      </c>
      <c r="S379" t="s">
        <v>1470</v>
      </c>
      <c r="T379" t="s">
        <v>1471</v>
      </c>
      <c r="U379" t="s">
        <v>47</v>
      </c>
      <c r="V379" t="s">
        <v>52</v>
      </c>
      <c r="W379" t="s">
        <v>59</v>
      </c>
      <c r="X379" t="s">
        <v>98</v>
      </c>
      <c r="Y379" t="s">
        <v>45</v>
      </c>
      <c r="Z379" t="s">
        <v>41</v>
      </c>
      <c r="AA379" t="s">
        <v>54</v>
      </c>
      <c r="AB379" t="s">
        <v>40</v>
      </c>
      <c r="AC379" t="s">
        <v>56</v>
      </c>
      <c r="AD379" t="s">
        <v>45</v>
      </c>
      <c r="AE379" t="s">
        <v>45</v>
      </c>
      <c r="AF379" t="s">
        <v>41</v>
      </c>
      <c r="AG379" t="s">
        <v>41</v>
      </c>
      <c r="AH379" t="s">
        <v>41</v>
      </c>
      <c r="AI379" t="s">
        <v>41</v>
      </c>
    </row>
    <row r="380" spans="1:35" x14ac:dyDescent="0.25">
      <c r="A380" t="s">
        <v>142</v>
      </c>
      <c r="B380" t="s">
        <v>36</v>
      </c>
      <c r="C380" t="s">
        <v>161</v>
      </c>
      <c r="D380" t="s">
        <v>1472</v>
      </c>
      <c r="E380" t="s">
        <v>39</v>
      </c>
      <c r="F380" t="s">
        <v>144</v>
      </c>
      <c r="G380" t="s">
        <v>45</v>
      </c>
      <c r="H380" t="s">
        <v>206</v>
      </c>
      <c r="I380" t="s">
        <v>40</v>
      </c>
      <c r="J380" t="s">
        <v>1473</v>
      </c>
      <c r="K380" t="s">
        <v>40</v>
      </c>
      <c r="L380" t="s">
        <v>63</v>
      </c>
      <c r="M380" t="s">
        <v>108</v>
      </c>
      <c r="N380" t="s">
        <v>47</v>
      </c>
      <c r="O380" t="s">
        <v>41</v>
      </c>
      <c r="P380" t="s">
        <v>46</v>
      </c>
      <c r="Q380" t="s">
        <v>47</v>
      </c>
      <c r="R380" t="s">
        <v>48</v>
      </c>
      <c r="S380" t="s">
        <v>1474</v>
      </c>
      <c r="T380" t="s">
        <v>1475</v>
      </c>
      <c r="U380" t="s">
        <v>51</v>
      </c>
      <c r="V380" t="s">
        <v>52</v>
      </c>
      <c r="W380" t="s">
        <v>36</v>
      </c>
      <c r="X380" t="s">
        <v>98</v>
      </c>
      <c r="Y380" t="s">
        <v>45</v>
      </c>
      <c r="Z380" t="s">
        <v>41</v>
      </c>
      <c r="AA380" t="s">
        <v>54</v>
      </c>
      <c r="AB380" t="s">
        <v>55</v>
      </c>
      <c r="AC380" t="s">
        <v>91</v>
      </c>
      <c r="AD380" t="s">
        <v>45</v>
      </c>
      <c r="AE380" t="s">
        <v>41</v>
      </c>
      <c r="AF380" t="s">
        <v>57</v>
      </c>
      <c r="AG380" t="s">
        <v>41</v>
      </c>
      <c r="AH380" t="s">
        <v>55</v>
      </c>
      <c r="AI380" t="s">
        <v>47</v>
      </c>
    </row>
    <row r="381" spans="1:35" x14ac:dyDescent="0.25">
      <c r="A381" t="s">
        <v>263</v>
      </c>
      <c r="B381" t="s">
        <v>59</v>
      </c>
      <c r="C381" t="s">
        <v>37</v>
      </c>
      <c r="D381" t="s">
        <v>1064</v>
      </c>
      <c r="E381" t="s">
        <v>62</v>
      </c>
      <c r="F381" t="s">
        <v>41</v>
      </c>
      <c r="G381" t="s">
        <v>45</v>
      </c>
      <c r="H381" t="s">
        <v>42</v>
      </c>
      <c r="I381" t="s">
        <v>40</v>
      </c>
      <c r="J381" t="s">
        <v>1032</v>
      </c>
      <c r="K381" t="s">
        <v>45</v>
      </c>
      <c r="L381" t="s">
        <v>43</v>
      </c>
      <c r="M381" t="s">
        <v>244</v>
      </c>
      <c r="N381" t="s">
        <v>45</v>
      </c>
      <c r="O381" t="s">
        <v>47</v>
      </c>
      <c r="P381" t="s">
        <v>169</v>
      </c>
      <c r="Q381" t="s">
        <v>47</v>
      </c>
      <c r="R381" t="s">
        <v>48</v>
      </c>
      <c r="S381" t="s">
        <v>1476</v>
      </c>
      <c r="T381" t="s">
        <v>1477</v>
      </c>
      <c r="U381" t="s">
        <v>41</v>
      </c>
      <c r="V381" t="s">
        <v>52</v>
      </c>
      <c r="W381" t="s">
        <v>36</v>
      </c>
      <c r="X381" t="s">
        <v>98</v>
      </c>
      <c r="Y381" t="s">
        <v>45</v>
      </c>
      <c r="Z381" t="s">
        <v>45</v>
      </c>
      <c r="AA381" t="s">
        <v>54</v>
      </c>
      <c r="AB381" t="s">
        <v>55</v>
      </c>
      <c r="AC381" t="s">
        <v>105</v>
      </c>
      <c r="AD381" t="s">
        <v>41</v>
      </c>
      <c r="AE381" t="s">
        <v>45</v>
      </c>
      <c r="AF381" t="s">
        <v>57</v>
      </c>
      <c r="AG381" t="s">
        <v>47</v>
      </c>
      <c r="AH381" t="s">
        <v>40</v>
      </c>
      <c r="AI381" t="s">
        <v>41</v>
      </c>
    </row>
    <row r="382" spans="1:35" x14ac:dyDescent="0.25">
      <c r="A382" t="s">
        <v>107</v>
      </c>
      <c r="B382" t="s">
        <v>59</v>
      </c>
      <c r="C382" t="s">
        <v>37</v>
      </c>
      <c r="D382" t="s">
        <v>1478</v>
      </c>
      <c r="E382" t="s">
        <v>39</v>
      </c>
      <c r="F382" t="s">
        <v>70</v>
      </c>
      <c r="G382" t="s">
        <v>47</v>
      </c>
      <c r="H382" t="s">
        <v>206</v>
      </c>
      <c r="I382" t="s">
        <v>40</v>
      </c>
      <c r="J382" t="s">
        <v>1479</v>
      </c>
      <c r="K382" t="s">
        <v>47</v>
      </c>
      <c r="L382" t="s">
        <v>43</v>
      </c>
      <c r="M382" t="s">
        <v>326</v>
      </c>
      <c r="N382" t="s">
        <v>45</v>
      </c>
      <c r="O382" t="s">
        <v>41</v>
      </c>
      <c r="P382" t="s">
        <v>46</v>
      </c>
      <c r="Q382" t="s">
        <v>45</v>
      </c>
      <c r="R382" t="s">
        <v>109</v>
      </c>
      <c r="S382" t="s">
        <v>1480</v>
      </c>
      <c r="T382" t="s">
        <v>323</v>
      </c>
      <c r="U382" t="s">
        <v>40</v>
      </c>
      <c r="V382" t="s">
        <v>52</v>
      </c>
      <c r="W382" t="s">
        <v>36</v>
      </c>
      <c r="X382" t="s">
        <v>92</v>
      </c>
      <c r="Y382" t="s">
        <v>45</v>
      </c>
      <c r="Z382" t="s">
        <v>47</v>
      </c>
      <c r="AA382" t="s">
        <v>54</v>
      </c>
      <c r="AB382" t="s">
        <v>40</v>
      </c>
      <c r="AC382" t="s">
        <v>57</v>
      </c>
      <c r="AD382" t="s">
        <v>41</v>
      </c>
      <c r="AE382" t="s">
        <v>47</v>
      </c>
      <c r="AF382" t="s">
        <v>57</v>
      </c>
      <c r="AG382" t="s">
        <v>41</v>
      </c>
      <c r="AH382" t="s">
        <v>55</v>
      </c>
      <c r="AI382" t="s">
        <v>45</v>
      </c>
    </row>
    <row r="383" spans="1:35" x14ac:dyDescent="0.25">
      <c r="A383" t="s">
        <v>105</v>
      </c>
      <c r="B383" t="s">
        <v>59</v>
      </c>
      <c r="C383" t="s">
        <v>37</v>
      </c>
      <c r="D383" t="s">
        <v>668</v>
      </c>
      <c r="E383" t="s">
        <v>39</v>
      </c>
      <c r="F383" t="s">
        <v>41</v>
      </c>
      <c r="G383" t="s">
        <v>40</v>
      </c>
      <c r="H383" t="s">
        <v>228</v>
      </c>
      <c r="I383" t="s">
        <v>40</v>
      </c>
      <c r="J383" t="s">
        <v>1304</v>
      </c>
      <c r="K383" t="s">
        <v>45</v>
      </c>
      <c r="L383" t="s">
        <v>63</v>
      </c>
      <c r="M383" t="s">
        <v>201</v>
      </c>
      <c r="N383" t="s">
        <v>45</v>
      </c>
      <c r="O383" t="s">
        <v>40</v>
      </c>
      <c r="P383" t="s">
        <v>182</v>
      </c>
      <c r="Q383" t="s">
        <v>41</v>
      </c>
      <c r="R383" t="s">
        <v>66</v>
      </c>
      <c r="S383" t="s">
        <v>1481</v>
      </c>
      <c r="T383" t="s">
        <v>1482</v>
      </c>
      <c r="U383" t="s">
        <v>40</v>
      </c>
      <c r="V383" t="s">
        <v>52</v>
      </c>
      <c r="W383" t="s">
        <v>59</v>
      </c>
      <c r="X383" t="s">
        <v>145</v>
      </c>
      <c r="Y383" t="s">
        <v>45</v>
      </c>
      <c r="Z383" t="s">
        <v>40</v>
      </c>
      <c r="AA383" t="s">
        <v>54</v>
      </c>
      <c r="AB383" t="s">
        <v>40</v>
      </c>
      <c r="AC383" t="s">
        <v>40</v>
      </c>
      <c r="AD383" t="s">
        <v>45</v>
      </c>
      <c r="AE383" t="s">
        <v>45</v>
      </c>
      <c r="AF383" t="s">
        <v>40</v>
      </c>
      <c r="AG383" t="s">
        <v>55</v>
      </c>
      <c r="AH383" t="s">
        <v>55</v>
      </c>
      <c r="AI383" t="s">
        <v>55</v>
      </c>
    </row>
    <row r="384" spans="1:35" x14ac:dyDescent="0.25">
      <c r="A384" t="s">
        <v>139</v>
      </c>
      <c r="B384" t="s">
        <v>36</v>
      </c>
      <c r="C384" t="s">
        <v>60</v>
      </c>
      <c r="D384" t="s">
        <v>1439</v>
      </c>
      <c r="E384" t="s">
        <v>62</v>
      </c>
      <c r="F384" t="s">
        <v>45</v>
      </c>
      <c r="G384" t="s">
        <v>40</v>
      </c>
      <c r="H384" t="s">
        <v>228</v>
      </c>
      <c r="I384" t="s">
        <v>40</v>
      </c>
      <c r="J384" t="s">
        <v>1483</v>
      </c>
      <c r="K384" t="s">
        <v>45</v>
      </c>
      <c r="L384" t="s">
        <v>63</v>
      </c>
      <c r="M384" t="s">
        <v>279</v>
      </c>
      <c r="N384" t="s">
        <v>45</v>
      </c>
      <c r="O384" t="s">
        <v>40</v>
      </c>
      <c r="P384" t="s">
        <v>65</v>
      </c>
      <c r="Q384" t="s">
        <v>40</v>
      </c>
      <c r="R384" t="s">
        <v>48</v>
      </c>
      <c r="S384" t="s">
        <v>1484</v>
      </c>
      <c r="T384" t="s">
        <v>1485</v>
      </c>
      <c r="U384" t="s">
        <v>55</v>
      </c>
      <c r="V384" t="s">
        <v>52</v>
      </c>
      <c r="W384" t="s">
        <v>59</v>
      </c>
      <c r="X384" t="s">
        <v>112</v>
      </c>
      <c r="Y384" t="s">
        <v>47</v>
      </c>
      <c r="Z384" t="s">
        <v>45</v>
      </c>
      <c r="AA384" t="s">
        <v>54</v>
      </c>
      <c r="AB384" t="s">
        <v>55</v>
      </c>
      <c r="AC384" t="s">
        <v>71</v>
      </c>
      <c r="AD384" t="s">
        <v>41</v>
      </c>
      <c r="AE384" t="s">
        <v>45</v>
      </c>
      <c r="AF384" t="s">
        <v>56</v>
      </c>
      <c r="AG384" t="s">
        <v>47</v>
      </c>
      <c r="AH384" t="s">
        <v>55</v>
      </c>
      <c r="AI384" t="s">
        <v>47</v>
      </c>
    </row>
    <row r="385" spans="1:35" x14ac:dyDescent="0.25">
      <c r="A385" t="s">
        <v>112</v>
      </c>
      <c r="B385" t="s">
        <v>59</v>
      </c>
      <c r="C385" t="s">
        <v>37</v>
      </c>
      <c r="D385" t="s">
        <v>796</v>
      </c>
      <c r="E385" t="s">
        <v>62</v>
      </c>
      <c r="F385" t="s">
        <v>53</v>
      </c>
      <c r="G385" t="s">
        <v>45</v>
      </c>
      <c r="H385" t="s">
        <v>87</v>
      </c>
      <c r="I385" t="s">
        <v>40</v>
      </c>
      <c r="J385" t="s">
        <v>1486</v>
      </c>
      <c r="K385" t="s">
        <v>40</v>
      </c>
      <c r="L385" t="s">
        <v>43</v>
      </c>
      <c r="M385" t="s">
        <v>234</v>
      </c>
      <c r="N385" t="s">
        <v>45</v>
      </c>
      <c r="O385" t="s">
        <v>40</v>
      </c>
      <c r="P385" t="s">
        <v>65</v>
      </c>
      <c r="Q385" t="s">
        <v>41</v>
      </c>
      <c r="R385" t="s">
        <v>66</v>
      </c>
      <c r="S385" t="s">
        <v>1487</v>
      </c>
      <c r="T385" t="s">
        <v>1488</v>
      </c>
      <c r="U385" t="s">
        <v>40</v>
      </c>
      <c r="V385" t="s">
        <v>52</v>
      </c>
      <c r="W385" t="s">
        <v>59</v>
      </c>
      <c r="X385" t="s">
        <v>98</v>
      </c>
      <c r="Y385" t="s">
        <v>45</v>
      </c>
      <c r="Z385" t="s">
        <v>47</v>
      </c>
      <c r="AA385" t="s">
        <v>54</v>
      </c>
      <c r="AB385" t="s">
        <v>40</v>
      </c>
      <c r="AC385" t="s">
        <v>41</v>
      </c>
      <c r="AD385" t="s">
        <v>40</v>
      </c>
      <c r="AE385" t="s">
        <v>45</v>
      </c>
      <c r="AF385" t="s">
        <v>41</v>
      </c>
      <c r="AG385" t="s">
        <v>40</v>
      </c>
      <c r="AH385" t="s">
        <v>40</v>
      </c>
      <c r="AI385" t="s">
        <v>41</v>
      </c>
    </row>
    <row r="386" spans="1:35" x14ac:dyDescent="0.25">
      <c r="A386" t="s">
        <v>120</v>
      </c>
      <c r="B386" t="s">
        <v>59</v>
      </c>
      <c r="C386" t="s">
        <v>37</v>
      </c>
      <c r="D386" t="s">
        <v>574</v>
      </c>
      <c r="E386" t="s">
        <v>39</v>
      </c>
      <c r="F386" t="s">
        <v>41</v>
      </c>
      <c r="G386" t="s">
        <v>41</v>
      </c>
      <c r="H386" t="s">
        <v>87</v>
      </c>
      <c r="I386" t="s">
        <v>40</v>
      </c>
      <c r="J386" t="s">
        <v>1489</v>
      </c>
      <c r="K386" t="s">
        <v>41</v>
      </c>
      <c r="L386" t="s">
        <v>63</v>
      </c>
      <c r="M386" t="s">
        <v>64</v>
      </c>
      <c r="N386" t="s">
        <v>41</v>
      </c>
      <c r="O386" t="s">
        <v>45</v>
      </c>
      <c r="P386" t="s">
        <v>46</v>
      </c>
      <c r="Q386" t="s">
        <v>45</v>
      </c>
      <c r="R386" t="s">
        <v>66</v>
      </c>
      <c r="S386" t="s">
        <v>1490</v>
      </c>
      <c r="T386" t="s">
        <v>1491</v>
      </c>
      <c r="U386" t="s">
        <v>40</v>
      </c>
      <c r="V386" t="s">
        <v>52</v>
      </c>
      <c r="W386" t="s">
        <v>59</v>
      </c>
      <c r="X386" t="s">
        <v>98</v>
      </c>
      <c r="Y386" t="s">
        <v>45</v>
      </c>
      <c r="Z386" t="s">
        <v>41</v>
      </c>
      <c r="AA386" t="s">
        <v>54</v>
      </c>
      <c r="AB386" t="s">
        <v>41</v>
      </c>
      <c r="AC386" t="s">
        <v>70</v>
      </c>
      <c r="AD386" t="s">
        <v>41</v>
      </c>
      <c r="AE386" t="s">
        <v>45</v>
      </c>
      <c r="AF386" t="s">
        <v>70</v>
      </c>
      <c r="AG386" t="s">
        <v>91</v>
      </c>
      <c r="AH386" t="s">
        <v>91</v>
      </c>
      <c r="AI386" t="s">
        <v>55</v>
      </c>
    </row>
    <row r="387" spans="1:35" x14ac:dyDescent="0.25">
      <c r="A387" t="s">
        <v>105</v>
      </c>
      <c r="B387" t="s">
        <v>36</v>
      </c>
      <c r="C387" t="s">
        <v>60</v>
      </c>
      <c r="D387" t="s">
        <v>254</v>
      </c>
      <c r="E387" t="s">
        <v>62</v>
      </c>
      <c r="F387" t="s">
        <v>47</v>
      </c>
      <c r="G387" t="s">
        <v>45</v>
      </c>
      <c r="H387" t="s">
        <v>228</v>
      </c>
      <c r="I387" t="s">
        <v>40</v>
      </c>
      <c r="J387" t="s">
        <v>1492</v>
      </c>
      <c r="K387" t="s">
        <v>45</v>
      </c>
      <c r="L387" t="s">
        <v>63</v>
      </c>
      <c r="M387" t="s">
        <v>88</v>
      </c>
      <c r="N387" t="s">
        <v>45</v>
      </c>
      <c r="O387" t="s">
        <v>40</v>
      </c>
      <c r="P387" t="s">
        <v>65</v>
      </c>
      <c r="Q387" t="s">
        <v>47</v>
      </c>
      <c r="R387" t="s">
        <v>48</v>
      </c>
      <c r="S387" t="s">
        <v>1493</v>
      </c>
      <c r="T387" t="s">
        <v>1494</v>
      </c>
      <c r="U387" t="s">
        <v>91</v>
      </c>
      <c r="V387" t="s">
        <v>52</v>
      </c>
      <c r="W387" t="s">
        <v>36</v>
      </c>
      <c r="X387" t="s">
        <v>69</v>
      </c>
      <c r="Y387" t="s">
        <v>47</v>
      </c>
      <c r="Z387" t="s">
        <v>45</v>
      </c>
      <c r="AA387" t="s">
        <v>54</v>
      </c>
      <c r="AB387" t="s">
        <v>55</v>
      </c>
      <c r="AC387" t="s">
        <v>45</v>
      </c>
      <c r="AD387" t="s">
        <v>47</v>
      </c>
      <c r="AE387" t="s">
        <v>45</v>
      </c>
      <c r="AF387" t="s">
        <v>40</v>
      </c>
      <c r="AG387" t="s">
        <v>55</v>
      </c>
      <c r="AH387" t="s">
        <v>55</v>
      </c>
      <c r="AI387" t="s">
        <v>55</v>
      </c>
    </row>
    <row r="388" spans="1:35" x14ac:dyDescent="0.25">
      <c r="A388" t="s">
        <v>72</v>
      </c>
      <c r="B388" t="s">
        <v>59</v>
      </c>
      <c r="C388" t="s">
        <v>37</v>
      </c>
      <c r="D388" t="s">
        <v>1495</v>
      </c>
      <c r="E388" t="s">
        <v>62</v>
      </c>
      <c r="F388" t="s">
        <v>129</v>
      </c>
      <c r="G388" t="s">
        <v>45</v>
      </c>
      <c r="H388" t="s">
        <v>42</v>
      </c>
      <c r="I388" t="s">
        <v>40</v>
      </c>
      <c r="J388" t="s">
        <v>310</v>
      </c>
      <c r="K388" t="s">
        <v>47</v>
      </c>
      <c r="L388" t="s">
        <v>43</v>
      </c>
      <c r="M388" t="s">
        <v>349</v>
      </c>
      <c r="N388" t="s">
        <v>45</v>
      </c>
      <c r="O388" t="s">
        <v>40</v>
      </c>
      <c r="P388" t="s">
        <v>76</v>
      </c>
      <c r="Q388" t="s">
        <v>40</v>
      </c>
      <c r="R388" t="s">
        <v>109</v>
      </c>
      <c r="S388" t="s">
        <v>1496</v>
      </c>
      <c r="T388" t="s">
        <v>1497</v>
      </c>
      <c r="U388" t="s">
        <v>40</v>
      </c>
      <c r="V388" t="s">
        <v>52</v>
      </c>
      <c r="W388" t="s">
        <v>59</v>
      </c>
      <c r="X388" t="s">
        <v>92</v>
      </c>
      <c r="Y388" t="s">
        <v>45</v>
      </c>
      <c r="Z388" t="s">
        <v>45</v>
      </c>
      <c r="AA388" t="s">
        <v>54</v>
      </c>
      <c r="AB388" t="s">
        <v>40</v>
      </c>
      <c r="AC388" t="s">
        <v>145</v>
      </c>
      <c r="AD388" t="s">
        <v>41</v>
      </c>
      <c r="AE388" t="s">
        <v>41</v>
      </c>
      <c r="AF388" t="s">
        <v>145</v>
      </c>
      <c r="AG388" t="s">
        <v>71</v>
      </c>
      <c r="AH388" t="s">
        <v>92</v>
      </c>
      <c r="AI388" t="s">
        <v>125</v>
      </c>
    </row>
    <row r="389" spans="1:35" x14ac:dyDescent="0.25">
      <c r="A389" t="s">
        <v>88</v>
      </c>
      <c r="B389" t="s">
        <v>59</v>
      </c>
      <c r="C389" t="s">
        <v>37</v>
      </c>
      <c r="D389" t="s">
        <v>1498</v>
      </c>
      <c r="E389" t="s">
        <v>39</v>
      </c>
      <c r="F389" t="s">
        <v>41</v>
      </c>
      <c r="G389" t="s">
        <v>41</v>
      </c>
      <c r="H389" t="s">
        <v>206</v>
      </c>
      <c r="I389" t="s">
        <v>40</v>
      </c>
      <c r="J389" t="s">
        <v>1499</v>
      </c>
      <c r="K389" t="s">
        <v>47</v>
      </c>
      <c r="L389" t="s">
        <v>43</v>
      </c>
      <c r="M389" t="s">
        <v>213</v>
      </c>
      <c r="N389" t="s">
        <v>45</v>
      </c>
      <c r="O389" t="s">
        <v>41</v>
      </c>
      <c r="P389" t="s">
        <v>46</v>
      </c>
      <c r="Q389" t="s">
        <v>41</v>
      </c>
      <c r="R389" t="s">
        <v>109</v>
      </c>
      <c r="S389" t="s">
        <v>1500</v>
      </c>
      <c r="T389" t="s">
        <v>1501</v>
      </c>
      <c r="U389" t="s">
        <v>71</v>
      </c>
      <c r="V389" t="s">
        <v>52</v>
      </c>
      <c r="W389" t="s">
        <v>59</v>
      </c>
      <c r="X389" t="s">
        <v>92</v>
      </c>
      <c r="Y389" t="s">
        <v>45</v>
      </c>
      <c r="Z389" t="s">
        <v>45</v>
      </c>
      <c r="AA389" t="s">
        <v>54</v>
      </c>
      <c r="AB389" t="s">
        <v>41</v>
      </c>
      <c r="AC389" t="s">
        <v>51</v>
      </c>
      <c r="AD389" t="s">
        <v>57</v>
      </c>
      <c r="AE389" t="s">
        <v>45</v>
      </c>
      <c r="AF389" t="s">
        <v>57</v>
      </c>
      <c r="AG389" t="s">
        <v>47</v>
      </c>
      <c r="AH389" t="s">
        <v>40</v>
      </c>
      <c r="AI389" t="s">
        <v>45</v>
      </c>
    </row>
    <row r="390" spans="1:35" x14ac:dyDescent="0.25">
      <c r="A390" t="s">
        <v>204</v>
      </c>
      <c r="B390" t="s">
        <v>59</v>
      </c>
      <c r="C390" t="s">
        <v>37</v>
      </c>
      <c r="D390" t="s">
        <v>648</v>
      </c>
      <c r="E390" t="s">
        <v>62</v>
      </c>
      <c r="F390" t="s">
        <v>40</v>
      </c>
      <c r="G390" t="s">
        <v>47</v>
      </c>
      <c r="H390" t="s">
        <v>42</v>
      </c>
      <c r="I390" t="s">
        <v>40</v>
      </c>
      <c r="J390" t="s">
        <v>1502</v>
      </c>
      <c r="K390" t="s">
        <v>41</v>
      </c>
      <c r="L390" t="s">
        <v>43</v>
      </c>
      <c r="M390" t="s">
        <v>349</v>
      </c>
      <c r="N390" t="s">
        <v>45</v>
      </c>
      <c r="O390" t="s">
        <v>40</v>
      </c>
      <c r="P390" t="s">
        <v>76</v>
      </c>
      <c r="Q390" t="s">
        <v>40</v>
      </c>
      <c r="R390" t="s">
        <v>109</v>
      </c>
      <c r="S390" t="s">
        <v>1503</v>
      </c>
      <c r="T390" t="s">
        <v>1504</v>
      </c>
      <c r="U390" t="s">
        <v>45</v>
      </c>
      <c r="V390" t="s">
        <v>52</v>
      </c>
      <c r="W390" t="s">
        <v>59</v>
      </c>
      <c r="X390" t="s">
        <v>128</v>
      </c>
      <c r="Y390" t="s">
        <v>45</v>
      </c>
      <c r="Z390" t="s">
        <v>41</v>
      </c>
      <c r="AA390" t="s">
        <v>54</v>
      </c>
      <c r="AB390" t="s">
        <v>40</v>
      </c>
      <c r="AC390" t="s">
        <v>51</v>
      </c>
      <c r="AD390" t="s">
        <v>57</v>
      </c>
      <c r="AE390" t="s">
        <v>45</v>
      </c>
      <c r="AF390" t="s">
        <v>57</v>
      </c>
      <c r="AG390" t="s">
        <v>41</v>
      </c>
      <c r="AH390" t="s">
        <v>40</v>
      </c>
      <c r="AI390" t="s">
        <v>41</v>
      </c>
    </row>
    <row r="391" spans="1:35" x14ac:dyDescent="0.25">
      <c r="A391" t="s">
        <v>72</v>
      </c>
      <c r="B391" t="s">
        <v>59</v>
      </c>
      <c r="C391" t="s">
        <v>37</v>
      </c>
      <c r="D391" t="s">
        <v>1505</v>
      </c>
      <c r="E391" t="s">
        <v>62</v>
      </c>
      <c r="F391" t="s">
        <v>70</v>
      </c>
      <c r="G391" t="s">
        <v>47</v>
      </c>
      <c r="H391" t="s">
        <v>42</v>
      </c>
      <c r="I391" t="s">
        <v>40</v>
      </c>
      <c r="J391" t="s">
        <v>1506</v>
      </c>
      <c r="K391" t="s">
        <v>45</v>
      </c>
      <c r="L391" t="s">
        <v>63</v>
      </c>
      <c r="M391" t="s">
        <v>58</v>
      </c>
      <c r="N391" t="s">
        <v>45</v>
      </c>
      <c r="O391" t="s">
        <v>41</v>
      </c>
      <c r="P391" t="s">
        <v>116</v>
      </c>
      <c r="Q391" t="s">
        <v>41</v>
      </c>
      <c r="R391" t="s">
        <v>48</v>
      </c>
      <c r="S391" t="s">
        <v>1507</v>
      </c>
      <c r="T391" t="s">
        <v>1508</v>
      </c>
      <c r="U391" t="s">
        <v>41</v>
      </c>
      <c r="V391" t="s">
        <v>52</v>
      </c>
      <c r="W391" t="s">
        <v>36</v>
      </c>
      <c r="X391" t="s">
        <v>92</v>
      </c>
      <c r="Y391" t="s">
        <v>45</v>
      </c>
      <c r="Z391" t="s">
        <v>47</v>
      </c>
      <c r="AA391" t="s">
        <v>54</v>
      </c>
      <c r="AB391" t="s">
        <v>55</v>
      </c>
      <c r="AC391" t="s">
        <v>145</v>
      </c>
      <c r="AD391" t="s">
        <v>41</v>
      </c>
      <c r="AE391" t="s">
        <v>41</v>
      </c>
      <c r="AF391" t="s">
        <v>40</v>
      </c>
      <c r="AG391" t="s">
        <v>55</v>
      </c>
      <c r="AH391" t="s">
        <v>55</v>
      </c>
      <c r="AI391" t="s">
        <v>40</v>
      </c>
    </row>
    <row r="392" spans="1:35" x14ac:dyDescent="0.25">
      <c r="A392" t="s">
        <v>234</v>
      </c>
      <c r="B392" t="s">
        <v>59</v>
      </c>
      <c r="C392" t="s">
        <v>37</v>
      </c>
      <c r="D392" t="s">
        <v>1509</v>
      </c>
      <c r="E392" t="s">
        <v>62</v>
      </c>
      <c r="F392" t="s">
        <v>92</v>
      </c>
      <c r="G392" t="s">
        <v>45</v>
      </c>
      <c r="H392" t="s">
        <v>42</v>
      </c>
      <c r="I392" t="s">
        <v>40</v>
      </c>
      <c r="J392" t="s">
        <v>1510</v>
      </c>
      <c r="K392" t="s">
        <v>40</v>
      </c>
      <c r="L392" t="s">
        <v>63</v>
      </c>
      <c r="M392" t="s">
        <v>99</v>
      </c>
      <c r="N392" t="s">
        <v>41</v>
      </c>
      <c r="O392" t="s">
        <v>47</v>
      </c>
      <c r="P392" t="s">
        <v>186</v>
      </c>
      <c r="Q392" t="s">
        <v>41</v>
      </c>
      <c r="R392" t="s">
        <v>109</v>
      </c>
      <c r="S392" t="s">
        <v>1511</v>
      </c>
      <c r="T392" t="s">
        <v>937</v>
      </c>
      <c r="U392" t="s">
        <v>40</v>
      </c>
      <c r="V392" t="s">
        <v>52</v>
      </c>
      <c r="W392" t="s">
        <v>59</v>
      </c>
      <c r="X392" t="s">
        <v>53</v>
      </c>
      <c r="Y392" t="s">
        <v>45</v>
      </c>
      <c r="Z392" t="s">
        <v>45</v>
      </c>
      <c r="AA392" t="s">
        <v>54</v>
      </c>
      <c r="AB392" t="s">
        <v>40</v>
      </c>
      <c r="AC392" t="s">
        <v>172</v>
      </c>
      <c r="AD392" t="s">
        <v>45</v>
      </c>
      <c r="AE392" t="s">
        <v>45</v>
      </c>
      <c r="AF392" t="s">
        <v>172</v>
      </c>
      <c r="AG392" t="s">
        <v>70</v>
      </c>
      <c r="AH392" t="s">
        <v>45</v>
      </c>
      <c r="AI392" t="s">
        <v>91</v>
      </c>
    </row>
    <row r="393" spans="1:35" x14ac:dyDescent="0.25">
      <c r="A393" t="s">
        <v>88</v>
      </c>
      <c r="B393" t="s">
        <v>59</v>
      </c>
      <c r="C393" t="s">
        <v>37</v>
      </c>
      <c r="D393" t="s">
        <v>1193</v>
      </c>
      <c r="E393" t="s">
        <v>62</v>
      </c>
      <c r="F393" t="s">
        <v>41</v>
      </c>
      <c r="G393" t="s">
        <v>45</v>
      </c>
      <c r="H393" t="s">
        <v>87</v>
      </c>
      <c r="I393" t="s">
        <v>40</v>
      </c>
      <c r="J393" t="s">
        <v>1512</v>
      </c>
      <c r="K393" t="s">
        <v>41</v>
      </c>
      <c r="L393" t="s">
        <v>43</v>
      </c>
      <c r="M393" t="s">
        <v>168</v>
      </c>
      <c r="N393" t="s">
        <v>41</v>
      </c>
      <c r="O393" t="s">
        <v>41</v>
      </c>
      <c r="P393" t="s">
        <v>76</v>
      </c>
      <c r="Q393" t="s">
        <v>45</v>
      </c>
      <c r="R393" t="s">
        <v>66</v>
      </c>
      <c r="S393" t="s">
        <v>1513</v>
      </c>
      <c r="T393" t="s">
        <v>1514</v>
      </c>
      <c r="U393" t="s">
        <v>56</v>
      </c>
      <c r="V393" t="s">
        <v>52</v>
      </c>
      <c r="W393" t="s">
        <v>59</v>
      </c>
      <c r="X393" t="s">
        <v>112</v>
      </c>
      <c r="Y393" t="s">
        <v>47</v>
      </c>
      <c r="Z393" t="s">
        <v>41</v>
      </c>
      <c r="AA393" t="s">
        <v>54</v>
      </c>
      <c r="AB393" t="s">
        <v>40</v>
      </c>
      <c r="AC393" t="s">
        <v>104</v>
      </c>
      <c r="AD393" t="s">
        <v>45</v>
      </c>
      <c r="AE393" t="s">
        <v>45</v>
      </c>
      <c r="AF393" t="s">
        <v>40</v>
      </c>
      <c r="AG393" t="s">
        <v>55</v>
      </c>
      <c r="AH393" t="s">
        <v>55</v>
      </c>
      <c r="AI393" t="s">
        <v>55</v>
      </c>
    </row>
    <row r="394" spans="1:35" x14ac:dyDescent="0.25">
      <c r="A394" t="s">
        <v>259</v>
      </c>
      <c r="B394" t="s">
        <v>59</v>
      </c>
      <c r="C394" t="s">
        <v>37</v>
      </c>
      <c r="D394" t="s">
        <v>1515</v>
      </c>
      <c r="E394" t="s">
        <v>62</v>
      </c>
      <c r="F394" t="s">
        <v>57</v>
      </c>
      <c r="G394" t="s">
        <v>41</v>
      </c>
      <c r="H394" t="s">
        <v>87</v>
      </c>
      <c r="I394" t="s">
        <v>40</v>
      </c>
      <c r="J394" t="s">
        <v>1516</v>
      </c>
      <c r="K394" t="s">
        <v>40</v>
      </c>
      <c r="L394" t="s">
        <v>63</v>
      </c>
      <c r="M394" t="s">
        <v>240</v>
      </c>
      <c r="N394" t="s">
        <v>45</v>
      </c>
      <c r="O394" t="s">
        <v>57</v>
      </c>
      <c r="P394" t="s">
        <v>186</v>
      </c>
      <c r="Q394" t="s">
        <v>40</v>
      </c>
      <c r="R394" t="s">
        <v>66</v>
      </c>
      <c r="S394" t="s">
        <v>1517</v>
      </c>
      <c r="T394" t="s">
        <v>1518</v>
      </c>
      <c r="U394" t="s">
        <v>47</v>
      </c>
      <c r="V394" t="s">
        <v>52</v>
      </c>
      <c r="W394" t="s">
        <v>59</v>
      </c>
      <c r="X394" t="s">
        <v>53</v>
      </c>
      <c r="Y394" t="s">
        <v>45</v>
      </c>
      <c r="Z394" t="s">
        <v>45</v>
      </c>
      <c r="AA394" t="s">
        <v>54</v>
      </c>
      <c r="AB394" t="s">
        <v>40</v>
      </c>
      <c r="AC394" t="s">
        <v>107</v>
      </c>
      <c r="AD394" t="s">
        <v>47</v>
      </c>
      <c r="AE394" t="s">
        <v>41</v>
      </c>
      <c r="AF394" t="s">
        <v>47</v>
      </c>
      <c r="AG394" t="s">
        <v>41</v>
      </c>
      <c r="AH394" t="s">
        <v>40</v>
      </c>
      <c r="AI394" t="s">
        <v>41</v>
      </c>
    </row>
    <row r="395" spans="1:35" x14ac:dyDescent="0.25">
      <c r="A395" t="s">
        <v>142</v>
      </c>
      <c r="B395" t="s">
        <v>59</v>
      </c>
      <c r="C395" t="s">
        <v>161</v>
      </c>
      <c r="D395" t="s">
        <v>1519</v>
      </c>
      <c r="E395" t="s">
        <v>39</v>
      </c>
      <c r="F395" t="s">
        <v>47</v>
      </c>
      <c r="G395" t="s">
        <v>47</v>
      </c>
      <c r="H395" t="s">
        <v>206</v>
      </c>
      <c r="I395" t="s">
        <v>40</v>
      </c>
      <c r="J395" t="s">
        <v>1520</v>
      </c>
      <c r="K395" t="s">
        <v>45</v>
      </c>
      <c r="L395" t="s">
        <v>43</v>
      </c>
      <c r="M395" t="s">
        <v>201</v>
      </c>
      <c r="N395" t="s">
        <v>45</v>
      </c>
      <c r="O395" t="s">
        <v>41</v>
      </c>
      <c r="P395" t="s">
        <v>46</v>
      </c>
      <c r="Q395" t="s">
        <v>45</v>
      </c>
      <c r="R395" t="s">
        <v>66</v>
      </c>
      <c r="S395" t="s">
        <v>1521</v>
      </c>
      <c r="T395" t="s">
        <v>1522</v>
      </c>
      <c r="U395" t="s">
        <v>91</v>
      </c>
      <c r="V395" t="s">
        <v>52</v>
      </c>
      <c r="W395" t="s">
        <v>59</v>
      </c>
      <c r="X395" t="s">
        <v>79</v>
      </c>
      <c r="Y395" t="s">
        <v>45</v>
      </c>
      <c r="Z395" t="s">
        <v>40</v>
      </c>
      <c r="AA395" t="s">
        <v>54</v>
      </c>
      <c r="AB395" t="s">
        <v>40</v>
      </c>
      <c r="AC395" t="s">
        <v>56</v>
      </c>
      <c r="AD395" t="s">
        <v>45</v>
      </c>
      <c r="AE395" t="s">
        <v>45</v>
      </c>
      <c r="AF395" t="s">
        <v>45</v>
      </c>
      <c r="AG395" t="s">
        <v>41</v>
      </c>
      <c r="AH395" t="s">
        <v>40</v>
      </c>
      <c r="AI395" t="s">
        <v>41</v>
      </c>
    </row>
    <row r="396" spans="1:35" x14ac:dyDescent="0.25">
      <c r="A396" t="s">
        <v>137</v>
      </c>
      <c r="B396" t="s">
        <v>59</v>
      </c>
      <c r="C396" t="s">
        <v>37</v>
      </c>
      <c r="D396" t="s">
        <v>1523</v>
      </c>
      <c r="E396" t="s">
        <v>62</v>
      </c>
      <c r="F396" t="s">
        <v>71</v>
      </c>
      <c r="G396" t="s">
        <v>41</v>
      </c>
      <c r="H396" t="s">
        <v>87</v>
      </c>
      <c r="I396" t="s">
        <v>40</v>
      </c>
      <c r="J396" t="s">
        <v>1524</v>
      </c>
      <c r="K396" t="s">
        <v>41</v>
      </c>
      <c r="L396" t="s">
        <v>43</v>
      </c>
      <c r="M396" t="s">
        <v>137</v>
      </c>
      <c r="N396" t="s">
        <v>45</v>
      </c>
      <c r="O396" t="s">
        <v>41</v>
      </c>
      <c r="P396" t="s">
        <v>116</v>
      </c>
      <c r="Q396" t="s">
        <v>40</v>
      </c>
      <c r="R396" t="s">
        <v>66</v>
      </c>
      <c r="S396" t="s">
        <v>176</v>
      </c>
      <c r="T396" t="s">
        <v>1525</v>
      </c>
      <c r="U396" t="s">
        <v>40</v>
      </c>
      <c r="V396" t="s">
        <v>52</v>
      </c>
      <c r="W396" t="s">
        <v>59</v>
      </c>
      <c r="X396" t="s">
        <v>92</v>
      </c>
      <c r="Y396" t="s">
        <v>45</v>
      </c>
      <c r="Z396" t="s">
        <v>41</v>
      </c>
      <c r="AA396" t="s">
        <v>54</v>
      </c>
      <c r="AB396" t="s">
        <v>40</v>
      </c>
      <c r="AC396" t="s">
        <v>98</v>
      </c>
      <c r="AD396" t="s">
        <v>57</v>
      </c>
      <c r="AE396" t="s">
        <v>40</v>
      </c>
      <c r="AF396" t="s">
        <v>98</v>
      </c>
      <c r="AG396" t="s">
        <v>70</v>
      </c>
      <c r="AH396" t="s">
        <v>45</v>
      </c>
      <c r="AI396" t="s">
        <v>92</v>
      </c>
    </row>
    <row r="397" spans="1:35" x14ac:dyDescent="0.25">
      <c r="A397" t="s">
        <v>234</v>
      </c>
      <c r="B397" t="s">
        <v>59</v>
      </c>
      <c r="C397" t="s">
        <v>60</v>
      </c>
      <c r="D397" t="s">
        <v>806</v>
      </c>
      <c r="E397" t="s">
        <v>62</v>
      </c>
      <c r="F397" t="s">
        <v>119</v>
      </c>
      <c r="G397" t="s">
        <v>45</v>
      </c>
      <c r="H397" t="s">
        <v>87</v>
      </c>
      <c r="I397" t="s">
        <v>40</v>
      </c>
      <c r="J397" t="s">
        <v>1526</v>
      </c>
      <c r="K397" t="s">
        <v>47</v>
      </c>
      <c r="L397" t="s">
        <v>63</v>
      </c>
      <c r="M397" t="s">
        <v>64</v>
      </c>
      <c r="N397" t="s">
        <v>45</v>
      </c>
      <c r="O397" t="s">
        <v>40</v>
      </c>
      <c r="P397" t="s">
        <v>76</v>
      </c>
      <c r="Q397" t="s">
        <v>47</v>
      </c>
      <c r="R397" t="s">
        <v>66</v>
      </c>
      <c r="S397" t="s">
        <v>1527</v>
      </c>
      <c r="T397" t="s">
        <v>1528</v>
      </c>
      <c r="U397" t="s">
        <v>71</v>
      </c>
      <c r="V397" t="s">
        <v>52</v>
      </c>
      <c r="W397" t="s">
        <v>59</v>
      </c>
      <c r="X397" t="s">
        <v>104</v>
      </c>
      <c r="Y397" t="s">
        <v>47</v>
      </c>
      <c r="Z397" t="s">
        <v>40</v>
      </c>
      <c r="AA397" t="s">
        <v>54</v>
      </c>
      <c r="AB397" t="s">
        <v>40</v>
      </c>
      <c r="AC397" t="s">
        <v>51</v>
      </c>
      <c r="AD397" t="s">
        <v>40</v>
      </c>
      <c r="AE397" t="s">
        <v>45</v>
      </c>
      <c r="AF397" t="s">
        <v>45</v>
      </c>
      <c r="AG397" t="s">
        <v>41</v>
      </c>
      <c r="AH397" t="s">
        <v>40</v>
      </c>
      <c r="AI397" t="s">
        <v>41</v>
      </c>
    </row>
    <row r="398" spans="1:35" x14ac:dyDescent="0.25">
      <c r="A398" t="s">
        <v>234</v>
      </c>
      <c r="B398" t="s">
        <v>59</v>
      </c>
      <c r="C398" t="s">
        <v>37</v>
      </c>
      <c r="D398" t="s">
        <v>1529</v>
      </c>
      <c r="E398" t="s">
        <v>62</v>
      </c>
      <c r="F398" t="s">
        <v>51</v>
      </c>
      <c r="G398" t="s">
        <v>47</v>
      </c>
      <c r="H398" t="s">
        <v>74</v>
      </c>
      <c r="I398" t="s">
        <v>40</v>
      </c>
      <c r="J398" t="s">
        <v>767</v>
      </c>
      <c r="K398" t="s">
        <v>45</v>
      </c>
      <c r="L398" t="s">
        <v>43</v>
      </c>
      <c r="M398" t="s">
        <v>314</v>
      </c>
      <c r="N398" t="s">
        <v>45</v>
      </c>
      <c r="O398" t="s">
        <v>41</v>
      </c>
      <c r="P398" t="s">
        <v>122</v>
      </c>
      <c r="Q398" t="s">
        <v>45</v>
      </c>
      <c r="R398" t="s">
        <v>109</v>
      </c>
      <c r="S398" t="s">
        <v>1530</v>
      </c>
      <c r="T398" t="s">
        <v>1531</v>
      </c>
      <c r="U398" t="s">
        <v>47</v>
      </c>
      <c r="V398" t="s">
        <v>52</v>
      </c>
      <c r="W398" t="s">
        <v>36</v>
      </c>
      <c r="X398" t="s">
        <v>129</v>
      </c>
      <c r="Y398" t="s">
        <v>45</v>
      </c>
      <c r="Z398" t="s">
        <v>47</v>
      </c>
      <c r="AA398" t="s">
        <v>54</v>
      </c>
      <c r="AB398" t="s">
        <v>55</v>
      </c>
      <c r="AC398" t="s">
        <v>51</v>
      </c>
      <c r="AD398" t="s">
        <v>45</v>
      </c>
      <c r="AE398" t="s">
        <v>45</v>
      </c>
      <c r="AF398" t="s">
        <v>57</v>
      </c>
      <c r="AG398" t="s">
        <v>41</v>
      </c>
      <c r="AH398" t="s">
        <v>55</v>
      </c>
      <c r="AI398" t="s">
        <v>41</v>
      </c>
    </row>
    <row r="399" spans="1:35" x14ac:dyDescent="0.25">
      <c r="A399" t="s">
        <v>172</v>
      </c>
      <c r="B399" t="s">
        <v>59</v>
      </c>
      <c r="C399" t="s">
        <v>37</v>
      </c>
      <c r="D399" t="s">
        <v>1532</v>
      </c>
      <c r="E399" t="s">
        <v>39</v>
      </c>
      <c r="F399" t="s">
        <v>47</v>
      </c>
      <c r="G399" t="s">
        <v>41</v>
      </c>
      <c r="H399" t="s">
        <v>42</v>
      </c>
      <c r="I399" t="s">
        <v>40</v>
      </c>
      <c r="J399" t="s">
        <v>1533</v>
      </c>
      <c r="K399" t="s">
        <v>41</v>
      </c>
      <c r="L399" t="s">
        <v>43</v>
      </c>
      <c r="M399" t="s">
        <v>338</v>
      </c>
      <c r="N399" t="s">
        <v>41</v>
      </c>
      <c r="O399" t="s">
        <v>41</v>
      </c>
      <c r="P399" t="s">
        <v>46</v>
      </c>
      <c r="Q399" t="s">
        <v>47</v>
      </c>
      <c r="R399" t="s">
        <v>48</v>
      </c>
      <c r="S399" t="s">
        <v>1534</v>
      </c>
      <c r="T399" t="s">
        <v>1535</v>
      </c>
      <c r="U399" t="s">
        <v>40</v>
      </c>
      <c r="V399" t="s">
        <v>52</v>
      </c>
      <c r="W399" t="s">
        <v>36</v>
      </c>
      <c r="X399" t="s">
        <v>53</v>
      </c>
      <c r="Y399" t="s">
        <v>45</v>
      </c>
      <c r="Z399" t="s">
        <v>41</v>
      </c>
      <c r="AA399" t="s">
        <v>54</v>
      </c>
      <c r="AB399" t="s">
        <v>55</v>
      </c>
      <c r="AC399" t="s">
        <v>57</v>
      </c>
      <c r="AD399" t="s">
        <v>45</v>
      </c>
      <c r="AE399" t="s">
        <v>45</v>
      </c>
      <c r="AF399" t="s">
        <v>57</v>
      </c>
      <c r="AG399" t="s">
        <v>47</v>
      </c>
      <c r="AH399" t="s">
        <v>40</v>
      </c>
      <c r="AI399" t="s">
        <v>45</v>
      </c>
    </row>
    <row r="400" spans="1:35" x14ac:dyDescent="0.25">
      <c r="A400" t="s">
        <v>72</v>
      </c>
      <c r="B400" t="s">
        <v>59</v>
      </c>
      <c r="C400" t="s">
        <v>161</v>
      </c>
      <c r="D400" t="s">
        <v>1536</v>
      </c>
      <c r="E400" t="s">
        <v>62</v>
      </c>
      <c r="F400" t="s">
        <v>172</v>
      </c>
      <c r="G400" t="s">
        <v>57</v>
      </c>
      <c r="H400" t="s">
        <v>87</v>
      </c>
      <c r="I400" t="s">
        <v>40</v>
      </c>
      <c r="J400" t="s">
        <v>1078</v>
      </c>
      <c r="K400" t="s">
        <v>41</v>
      </c>
      <c r="L400" t="s">
        <v>43</v>
      </c>
      <c r="M400" t="s">
        <v>201</v>
      </c>
      <c r="N400" t="s">
        <v>45</v>
      </c>
      <c r="O400" t="s">
        <v>41</v>
      </c>
      <c r="P400" t="s">
        <v>65</v>
      </c>
      <c r="Q400" t="s">
        <v>45</v>
      </c>
      <c r="R400" t="s">
        <v>66</v>
      </c>
      <c r="S400" t="s">
        <v>1537</v>
      </c>
      <c r="T400" t="s">
        <v>1538</v>
      </c>
      <c r="U400" t="s">
        <v>45</v>
      </c>
      <c r="V400" t="s">
        <v>52</v>
      </c>
      <c r="W400" t="s">
        <v>36</v>
      </c>
      <c r="X400" t="s">
        <v>79</v>
      </c>
      <c r="Y400" t="s">
        <v>45</v>
      </c>
      <c r="Z400" t="s">
        <v>40</v>
      </c>
      <c r="AA400" t="s">
        <v>54</v>
      </c>
      <c r="AB400" t="s">
        <v>41</v>
      </c>
      <c r="AC400" t="s">
        <v>79</v>
      </c>
      <c r="AD400" t="s">
        <v>41</v>
      </c>
      <c r="AE400" t="s">
        <v>45</v>
      </c>
      <c r="AF400" t="s">
        <v>98</v>
      </c>
      <c r="AG400" t="s">
        <v>53</v>
      </c>
      <c r="AH400" t="s">
        <v>70</v>
      </c>
      <c r="AI400" t="s">
        <v>71</v>
      </c>
    </row>
    <row r="401" spans="1:35" x14ac:dyDescent="0.25">
      <c r="A401" t="s">
        <v>137</v>
      </c>
      <c r="B401" t="s">
        <v>59</v>
      </c>
      <c r="C401" t="s">
        <v>37</v>
      </c>
      <c r="D401" t="s">
        <v>983</v>
      </c>
      <c r="E401" t="s">
        <v>62</v>
      </c>
      <c r="F401" t="s">
        <v>40</v>
      </c>
      <c r="G401" t="s">
        <v>41</v>
      </c>
      <c r="H401" t="s">
        <v>42</v>
      </c>
      <c r="I401" t="s">
        <v>40</v>
      </c>
      <c r="J401" t="s">
        <v>439</v>
      </c>
      <c r="K401" t="s">
        <v>47</v>
      </c>
      <c r="L401" t="s">
        <v>63</v>
      </c>
      <c r="M401" t="s">
        <v>284</v>
      </c>
      <c r="N401" t="s">
        <v>41</v>
      </c>
      <c r="O401" t="s">
        <v>40</v>
      </c>
      <c r="P401" t="s">
        <v>76</v>
      </c>
      <c r="Q401" t="s">
        <v>40</v>
      </c>
      <c r="R401" t="s">
        <v>66</v>
      </c>
      <c r="S401" t="s">
        <v>1539</v>
      </c>
      <c r="T401" t="s">
        <v>1540</v>
      </c>
      <c r="U401" t="s">
        <v>40</v>
      </c>
      <c r="V401" t="s">
        <v>52</v>
      </c>
      <c r="W401" t="s">
        <v>59</v>
      </c>
      <c r="X401" t="s">
        <v>92</v>
      </c>
      <c r="Y401" t="s">
        <v>45</v>
      </c>
      <c r="Z401" t="s">
        <v>45</v>
      </c>
      <c r="AA401" t="s">
        <v>54</v>
      </c>
      <c r="AB401" t="s">
        <v>40</v>
      </c>
      <c r="AC401" t="s">
        <v>47</v>
      </c>
      <c r="AD401" t="s">
        <v>45</v>
      </c>
      <c r="AE401" t="s">
        <v>45</v>
      </c>
      <c r="AF401" t="s">
        <v>47</v>
      </c>
      <c r="AG401" t="s">
        <v>41</v>
      </c>
      <c r="AH401" t="s">
        <v>45</v>
      </c>
      <c r="AI401" t="s">
        <v>41</v>
      </c>
    </row>
    <row r="402" spans="1:35" x14ac:dyDescent="0.25">
      <c r="A402" t="s">
        <v>218</v>
      </c>
      <c r="B402" t="s">
        <v>59</v>
      </c>
      <c r="C402" t="s">
        <v>60</v>
      </c>
      <c r="D402" t="s">
        <v>180</v>
      </c>
      <c r="E402" t="s">
        <v>62</v>
      </c>
      <c r="F402" t="s">
        <v>40</v>
      </c>
      <c r="G402" t="s">
        <v>40</v>
      </c>
      <c r="H402" t="s">
        <v>42</v>
      </c>
      <c r="I402" t="s">
        <v>40</v>
      </c>
      <c r="J402" t="s">
        <v>1541</v>
      </c>
      <c r="K402" t="s">
        <v>41</v>
      </c>
      <c r="L402" t="s">
        <v>63</v>
      </c>
      <c r="M402" t="s">
        <v>251</v>
      </c>
      <c r="N402" t="s">
        <v>45</v>
      </c>
      <c r="O402" t="s">
        <v>57</v>
      </c>
      <c r="P402" t="s">
        <v>169</v>
      </c>
      <c r="Q402" t="s">
        <v>45</v>
      </c>
      <c r="R402" t="s">
        <v>109</v>
      </c>
      <c r="S402" t="s">
        <v>1542</v>
      </c>
      <c r="T402" t="s">
        <v>1543</v>
      </c>
      <c r="U402" t="s">
        <v>40</v>
      </c>
      <c r="V402" t="s">
        <v>52</v>
      </c>
      <c r="W402" t="s">
        <v>36</v>
      </c>
      <c r="X402" t="s">
        <v>129</v>
      </c>
      <c r="Y402" t="s">
        <v>45</v>
      </c>
      <c r="Z402" t="s">
        <v>45</v>
      </c>
      <c r="AA402" t="s">
        <v>54</v>
      </c>
      <c r="AB402" t="s">
        <v>40</v>
      </c>
      <c r="AC402" t="s">
        <v>119</v>
      </c>
      <c r="AD402" t="s">
        <v>45</v>
      </c>
      <c r="AE402" t="s">
        <v>45</v>
      </c>
      <c r="AF402" t="s">
        <v>119</v>
      </c>
      <c r="AG402" t="s">
        <v>51</v>
      </c>
      <c r="AH402" t="s">
        <v>40</v>
      </c>
      <c r="AI402" t="s">
        <v>56</v>
      </c>
    </row>
    <row r="403" spans="1:35" x14ac:dyDescent="0.25">
      <c r="A403" t="s">
        <v>82</v>
      </c>
      <c r="B403" t="s">
        <v>59</v>
      </c>
      <c r="C403" t="s">
        <v>60</v>
      </c>
      <c r="D403" t="s">
        <v>1230</v>
      </c>
      <c r="E403" t="s">
        <v>39</v>
      </c>
      <c r="F403" t="s">
        <v>56</v>
      </c>
      <c r="G403" t="s">
        <v>45</v>
      </c>
      <c r="H403" t="s">
        <v>42</v>
      </c>
      <c r="I403" t="s">
        <v>40</v>
      </c>
      <c r="J403" t="s">
        <v>962</v>
      </c>
      <c r="K403" t="s">
        <v>45</v>
      </c>
      <c r="L403" t="s">
        <v>43</v>
      </c>
      <c r="M403" t="s">
        <v>240</v>
      </c>
      <c r="N403" t="s">
        <v>47</v>
      </c>
      <c r="O403" t="s">
        <v>47</v>
      </c>
      <c r="P403" t="s">
        <v>46</v>
      </c>
      <c r="Q403" t="s">
        <v>40</v>
      </c>
      <c r="R403" t="s">
        <v>66</v>
      </c>
      <c r="S403" t="s">
        <v>1544</v>
      </c>
      <c r="T403" t="s">
        <v>1545</v>
      </c>
      <c r="U403" t="s">
        <v>91</v>
      </c>
      <c r="V403" t="s">
        <v>52</v>
      </c>
      <c r="W403" t="s">
        <v>59</v>
      </c>
      <c r="X403" t="s">
        <v>53</v>
      </c>
      <c r="Y403" t="s">
        <v>45</v>
      </c>
      <c r="Z403" t="s">
        <v>47</v>
      </c>
      <c r="AA403" t="s">
        <v>54</v>
      </c>
      <c r="AB403" t="s">
        <v>45</v>
      </c>
      <c r="AC403" t="s">
        <v>120</v>
      </c>
      <c r="AD403" t="s">
        <v>55</v>
      </c>
      <c r="AE403" t="s">
        <v>41</v>
      </c>
      <c r="AF403" t="s">
        <v>71</v>
      </c>
      <c r="AG403" t="s">
        <v>71</v>
      </c>
      <c r="AH403" t="s">
        <v>71</v>
      </c>
      <c r="AI403" t="s">
        <v>71</v>
      </c>
    </row>
    <row r="404" spans="1:35" x14ac:dyDescent="0.25">
      <c r="A404" t="s">
        <v>105</v>
      </c>
      <c r="B404" t="s">
        <v>59</v>
      </c>
      <c r="C404" t="s">
        <v>37</v>
      </c>
      <c r="D404" t="s">
        <v>370</v>
      </c>
      <c r="E404" t="s">
        <v>39</v>
      </c>
      <c r="F404" t="s">
        <v>92</v>
      </c>
      <c r="G404" t="s">
        <v>45</v>
      </c>
      <c r="H404" t="s">
        <v>228</v>
      </c>
      <c r="I404" t="s">
        <v>40</v>
      </c>
      <c r="J404" t="s">
        <v>1546</v>
      </c>
      <c r="K404" t="s">
        <v>41</v>
      </c>
      <c r="L404" t="s">
        <v>43</v>
      </c>
      <c r="M404" t="s">
        <v>193</v>
      </c>
      <c r="N404" t="s">
        <v>45</v>
      </c>
      <c r="O404" t="s">
        <v>41</v>
      </c>
      <c r="P404" t="s">
        <v>46</v>
      </c>
      <c r="Q404" t="s">
        <v>45</v>
      </c>
      <c r="R404" t="s">
        <v>48</v>
      </c>
      <c r="S404" t="s">
        <v>1547</v>
      </c>
      <c r="T404" t="s">
        <v>1548</v>
      </c>
      <c r="U404" t="s">
        <v>55</v>
      </c>
      <c r="V404" t="s">
        <v>52</v>
      </c>
      <c r="W404" t="s">
        <v>59</v>
      </c>
      <c r="X404" t="s">
        <v>53</v>
      </c>
      <c r="Y404" t="s">
        <v>45</v>
      </c>
      <c r="Z404" t="s">
        <v>41</v>
      </c>
      <c r="AA404" t="s">
        <v>54</v>
      </c>
      <c r="AB404" t="s">
        <v>55</v>
      </c>
      <c r="AC404" t="s">
        <v>56</v>
      </c>
      <c r="AD404" t="s">
        <v>56</v>
      </c>
      <c r="AE404" t="s">
        <v>45</v>
      </c>
      <c r="AF404" t="s">
        <v>57</v>
      </c>
      <c r="AG404" t="s">
        <v>47</v>
      </c>
      <c r="AH404" t="s">
        <v>47</v>
      </c>
      <c r="AI404" t="s">
        <v>47</v>
      </c>
    </row>
    <row r="405" spans="1:35" x14ac:dyDescent="0.25">
      <c r="A405" t="s">
        <v>35</v>
      </c>
      <c r="B405" t="s">
        <v>59</v>
      </c>
      <c r="C405" t="s">
        <v>37</v>
      </c>
      <c r="D405" t="s">
        <v>1549</v>
      </c>
      <c r="E405" t="s">
        <v>39</v>
      </c>
      <c r="F405" t="s">
        <v>40</v>
      </c>
      <c r="G405" t="s">
        <v>45</v>
      </c>
      <c r="H405" t="s">
        <v>206</v>
      </c>
      <c r="I405" t="s">
        <v>40</v>
      </c>
      <c r="J405" t="s">
        <v>511</v>
      </c>
      <c r="K405" t="s">
        <v>41</v>
      </c>
      <c r="L405" t="s">
        <v>63</v>
      </c>
      <c r="M405" t="s">
        <v>58</v>
      </c>
      <c r="N405" t="s">
        <v>47</v>
      </c>
      <c r="O405" t="s">
        <v>45</v>
      </c>
      <c r="P405" t="s">
        <v>46</v>
      </c>
      <c r="Q405" t="s">
        <v>40</v>
      </c>
      <c r="R405" t="s">
        <v>66</v>
      </c>
      <c r="S405" t="s">
        <v>1550</v>
      </c>
      <c r="T405" t="s">
        <v>1551</v>
      </c>
      <c r="U405" t="s">
        <v>40</v>
      </c>
      <c r="V405" t="s">
        <v>52</v>
      </c>
      <c r="W405" t="s">
        <v>59</v>
      </c>
      <c r="X405" t="s">
        <v>128</v>
      </c>
      <c r="Y405" t="s">
        <v>45</v>
      </c>
      <c r="Z405" t="s">
        <v>45</v>
      </c>
      <c r="AA405" t="s">
        <v>54</v>
      </c>
      <c r="AB405" t="s">
        <v>40</v>
      </c>
      <c r="AC405" t="s">
        <v>70</v>
      </c>
      <c r="AD405" t="s">
        <v>41</v>
      </c>
      <c r="AE405" t="s">
        <v>45</v>
      </c>
      <c r="AF405" t="s">
        <v>70</v>
      </c>
      <c r="AG405" t="s">
        <v>71</v>
      </c>
      <c r="AH405" t="s">
        <v>55</v>
      </c>
      <c r="AI405" t="s">
        <v>71</v>
      </c>
    </row>
    <row r="406" spans="1:35" x14ac:dyDescent="0.25">
      <c r="A406" t="s">
        <v>149</v>
      </c>
      <c r="B406" t="s">
        <v>59</v>
      </c>
      <c r="C406" t="s">
        <v>37</v>
      </c>
      <c r="D406" t="s">
        <v>1003</v>
      </c>
      <c r="E406" t="s">
        <v>62</v>
      </c>
      <c r="F406" t="s">
        <v>125</v>
      </c>
      <c r="G406" t="s">
        <v>41</v>
      </c>
      <c r="H406" t="s">
        <v>87</v>
      </c>
      <c r="I406" t="s">
        <v>40</v>
      </c>
      <c r="J406" t="s">
        <v>1552</v>
      </c>
      <c r="K406" t="s">
        <v>45</v>
      </c>
      <c r="L406" t="s">
        <v>63</v>
      </c>
      <c r="M406" t="s">
        <v>95</v>
      </c>
      <c r="N406" t="s">
        <v>45</v>
      </c>
      <c r="O406" t="s">
        <v>41</v>
      </c>
      <c r="P406" t="s">
        <v>76</v>
      </c>
      <c r="Q406" t="s">
        <v>40</v>
      </c>
      <c r="R406" t="s">
        <v>109</v>
      </c>
      <c r="S406" t="s">
        <v>1553</v>
      </c>
      <c r="T406" t="s">
        <v>1554</v>
      </c>
      <c r="U406" t="s">
        <v>40</v>
      </c>
      <c r="V406" t="s">
        <v>52</v>
      </c>
      <c r="W406" t="s">
        <v>59</v>
      </c>
      <c r="X406" t="s">
        <v>92</v>
      </c>
      <c r="Y406" t="s">
        <v>45</v>
      </c>
      <c r="Z406" t="s">
        <v>47</v>
      </c>
      <c r="AA406" t="s">
        <v>54</v>
      </c>
      <c r="AB406" t="s">
        <v>40</v>
      </c>
      <c r="AC406" t="s">
        <v>70</v>
      </c>
      <c r="AD406" t="s">
        <v>41</v>
      </c>
      <c r="AE406" t="s">
        <v>45</v>
      </c>
      <c r="AF406" t="s">
        <v>70</v>
      </c>
      <c r="AG406" t="s">
        <v>55</v>
      </c>
      <c r="AH406" t="s">
        <v>40</v>
      </c>
      <c r="AI406" t="s">
        <v>51</v>
      </c>
    </row>
    <row r="407" spans="1:35" x14ac:dyDescent="0.25">
      <c r="A407" t="s">
        <v>172</v>
      </c>
      <c r="B407" t="s">
        <v>36</v>
      </c>
      <c r="C407" t="s">
        <v>37</v>
      </c>
      <c r="D407" t="s">
        <v>1163</v>
      </c>
      <c r="E407" t="s">
        <v>62</v>
      </c>
      <c r="F407" t="s">
        <v>45</v>
      </c>
      <c r="G407" t="s">
        <v>45</v>
      </c>
      <c r="H407" t="s">
        <v>87</v>
      </c>
      <c r="I407" t="s">
        <v>40</v>
      </c>
      <c r="J407" t="s">
        <v>1555</v>
      </c>
      <c r="K407" t="s">
        <v>40</v>
      </c>
      <c r="L407" t="s">
        <v>63</v>
      </c>
      <c r="M407" t="s">
        <v>364</v>
      </c>
      <c r="N407" t="s">
        <v>45</v>
      </c>
      <c r="O407" t="s">
        <v>40</v>
      </c>
      <c r="P407" t="s">
        <v>76</v>
      </c>
      <c r="Q407" t="s">
        <v>40</v>
      </c>
      <c r="R407" t="s">
        <v>66</v>
      </c>
      <c r="S407" t="s">
        <v>1556</v>
      </c>
      <c r="T407" t="s">
        <v>882</v>
      </c>
      <c r="U407" t="s">
        <v>57</v>
      </c>
      <c r="V407" t="s">
        <v>52</v>
      </c>
      <c r="W407" t="s">
        <v>59</v>
      </c>
      <c r="X407" t="s">
        <v>98</v>
      </c>
      <c r="Y407" t="s">
        <v>45</v>
      </c>
      <c r="Z407" t="s">
        <v>45</v>
      </c>
      <c r="AA407" t="s">
        <v>54</v>
      </c>
      <c r="AB407" t="s">
        <v>40</v>
      </c>
      <c r="AC407" t="s">
        <v>56</v>
      </c>
      <c r="AD407" t="s">
        <v>57</v>
      </c>
      <c r="AE407" t="s">
        <v>45</v>
      </c>
      <c r="AF407" t="s">
        <v>41</v>
      </c>
      <c r="AG407" t="s">
        <v>41</v>
      </c>
      <c r="AH407" t="s">
        <v>55</v>
      </c>
      <c r="AI407" t="s">
        <v>41</v>
      </c>
    </row>
    <row r="408" spans="1:35" x14ac:dyDescent="0.25">
      <c r="A408" t="s">
        <v>251</v>
      </c>
      <c r="B408" t="s">
        <v>59</v>
      </c>
      <c r="C408" t="s">
        <v>37</v>
      </c>
      <c r="D408" t="s">
        <v>942</v>
      </c>
      <c r="E408" t="s">
        <v>62</v>
      </c>
      <c r="F408" t="s">
        <v>45</v>
      </c>
      <c r="G408" t="s">
        <v>45</v>
      </c>
      <c r="H408" t="s">
        <v>87</v>
      </c>
      <c r="I408" t="s">
        <v>40</v>
      </c>
      <c r="J408" t="s">
        <v>1557</v>
      </c>
      <c r="K408" t="s">
        <v>47</v>
      </c>
      <c r="L408" t="s">
        <v>63</v>
      </c>
      <c r="M408" t="s">
        <v>218</v>
      </c>
      <c r="N408" t="s">
        <v>41</v>
      </c>
      <c r="O408" t="s">
        <v>45</v>
      </c>
      <c r="P408" t="s">
        <v>116</v>
      </c>
      <c r="Q408" t="s">
        <v>45</v>
      </c>
      <c r="R408" t="s">
        <v>66</v>
      </c>
      <c r="S408" t="s">
        <v>1558</v>
      </c>
      <c r="T408" t="s">
        <v>1559</v>
      </c>
      <c r="U408" t="s">
        <v>41</v>
      </c>
      <c r="V408" t="s">
        <v>52</v>
      </c>
      <c r="W408" t="s">
        <v>36</v>
      </c>
      <c r="X408" t="s">
        <v>129</v>
      </c>
      <c r="Y408" t="s">
        <v>45</v>
      </c>
      <c r="Z408" t="s">
        <v>45</v>
      </c>
      <c r="AA408" t="s">
        <v>54</v>
      </c>
      <c r="AB408" t="s">
        <v>55</v>
      </c>
      <c r="AC408" t="s">
        <v>149</v>
      </c>
      <c r="AD408" t="s">
        <v>47</v>
      </c>
      <c r="AE408" t="s">
        <v>45</v>
      </c>
      <c r="AF408" t="s">
        <v>57</v>
      </c>
      <c r="AG408" t="s">
        <v>47</v>
      </c>
      <c r="AH408" t="s">
        <v>55</v>
      </c>
      <c r="AI408" t="s">
        <v>47</v>
      </c>
    </row>
    <row r="409" spans="1:35" x14ac:dyDescent="0.25">
      <c r="A409" t="s">
        <v>174</v>
      </c>
      <c r="B409" t="s">
        <v>59</v>
      </c>
      <c r="C409" t="s">
        <v>37</v>
      </c>
      <c r="D409" t="s">
        <v>634</v>
      </c>
      <c r="E409" t="s">
        <v>62</v>
      </c>
      <c r="F409" t="s">
        <v>70</v>
      </c>
      <c r="G409" t="s">
        <v>41</v>
      </c>
      <c r="H409" t="s">
        <v>42</v>
      </c>
      <c r="I409" t="s">
        <v>40</v>
      </c>
      <c r="J409" t="s">
        <v>1380</v>
      </c>
      <c r="K409" t="s">
        <v>40</v>
      </c>
      <c r="L409" t="s">
        <v>63</v>
      </c>
      <c r="M409" t="s">
        <v>1214</v>
      </c>
      <c r="N409" t="s">
        <v>45</v>
      </c>
      <c r="O409" t="s">
        <v>40</v>
      </c>
      <c r="P409" t="s">
        <v>65</v>
      </c>
      <c r="Q409" t="s">
        <v>47</v>
      </c>
      <c r="R409" t="s">
        <v>66</v>
      </c>
      <c r="S409" t="s">
        <v>1560</v>
      </c>
      <c r="T409" t="s">
        <v>1561</v>
      </c>
      <c r="U409" t="s">
        <v>45</v>
      </c>
      <c r="V409" t="s">
        <v>52</v>
      </c>
      <c r="W409" t="s">
        <v>59</v>
      </c>
      <c r="X409" t="s">
        <v>119</v>
      </c>
      <c r="Y409" t="s">
        <v>47</v>
      </c>
      <c r="Z409" t="s">
        <v>47</v>
      </c>
      <c r="AA409" t="s">
        <v>54</v>
      </c>
      <c r="AB409" t="s">
        <v>41</v>
      </c>
      <c r="AC409" t="s">
        <v>51</v>
      </c>
      <c r="AD409" t="s">
        <v>45</v>
      </c>
      <c r="AE409" t="s">
        <v>41</v>
      </c>
      <c r="AF409" t="s">
        <v>41</v>
      </c>
      <c r="AG409" t="s">
        <v>41</v>
      </c>
      <c r="AH409" t="s">
        <v>55</v>
      </c>
      <c r="AI409" t="s">
        <v>41</v>
      </c>
    </row>
    <row r="410" spans="1:35" x14ac:dyDescent="0.25">
      <c r="A410" t="s">
        <v>251</v>
      </c>
      <c r="B410" t="s">
        <v>59</v>
      </c>
      <c r="C410" t="s">
        <v>37</v>
      </c>
      <c r="D410" t="s">
        <v>1562</v>
      </c>
      <c r="E410" t="s">
        <v>62</v>
      </c>
      <c r="F410" t="s">
        <v>47</v>
      </c>
      <c r="G410" t="s">
        <v>41</v>
      </c>
      <c r="H410" t="s">
        <v>42</v>
      </c>
      <c r="I410" t="s">
        <v>40</v>
      </c>
      <c r="J410" t="s">
        <v>1563</v>
      </c>
      <c r="K410" t="s">
        <v>47</v>
      </c>
      <c r="L410" t="s">
        <v>43</v>
      </c>
      <c r="M410" t="s">
        <v>105</v>
      </c>
      <c r="N410" t="s">
        <v>45</v>
      </c>
      <c r="O410" t="s">
        <v>47</v>
      </c>
      <c r="P410" t="s">
        <v>169</v>
      </c>
      <c r="Q410" t="s">
        <v>47</v>
      </c>
      <c r="R410" t="s">
        <v>66</v>
      </c>
      <c r="S410" t="s">
        <v>1564</v>
      </c>
      <c r="T410" t="s">
        <v>1565</v>
      </c>
      <c r="U410" t="s">
        <v>41</v>
      </c>
      <c r="V410" t="s">
        <v>52</v>
      </c>
      <c r="W410" t="s">
        <v>59</v>
      </c>
      <c r="X410" t="s">
        <v>98</v>
      </c>
      <c r="Y410" t="s">
        <v>45</v>
      </c>
      <c r="Z410" t="s">
        <v>47</v>
      </c>
      <c r="AA410" t="s">
        <v>54</v>
      </c>
      <c r="AB410" t="s">
        <v>55</v>
      </c>
      <c r="AC410" t="s">
        <v>137</v>
      </c>
      <c r="AD410" t="s">
        <v>41</v>
      </c>
      <c r="AE410" t="s">
        <v>40</v>
      </c>
      <c r="AF410" t="s">
        <v>57</v>
      </c>
      <c r="AG410" t="s">
        <v>41</v>
      </c>
      <c r="AH410" t="s">
        <v>40</v>
      </c>
      <c r="AI410" t="s">
        <v>47</v>
      </c>
    </row>
    <row r="411" spans="1:35" x14ac:dyDescent="0.25">
      <c r="A411" t="s">
        <v>204</v>
      </c>
      <c r="B411" t="s">
        <v>59</v>
      </c>
      <c r="C411" t="s">
        <v>60</v>
      </c>
      <c r="D411" t="s">
        <v>962</v>
      </c>
      <c r="E411" t="s">
        <v>62</v>
      </c>
      <c r="F411" t="s">
        <v>133</v>
      </c>
      <c r="G411" t="s">
        <v>41</v>
      </c>
      <c r="H411" t="s">
        <v>42</v>
      </c>
      <c r="I411" t="s">
        <v>40</v>
      </c>
      <c r="J411" t="s">
        <v>1566</v>
      </c>
      <c r="K411" t="s">
        <v>40</v>
      </c>
      <c r="L411" t="s">
        <v>43</v>
      </c>
      <c r="M411" t="s">
        <v>75</v>
      </c>
      <c r="N411" t="s">
        <v>45</v>
      </c>
      <c r="O411" t="s">
        <v>41</v>
      </c>
      <c r="P411" t="s">
        <v>65</v>
      </c>
      <c r="Q411" t="s">
        <v>45</v>
      </c>
      <c r="R411" t="s">
        <v>109</v>
      </c>
      <c r="S411" t="s">
        <v>1567</v>
      </c>
      <c r="T411" t="s">
        <v>1568</v>
      </c>
      <c r="U411" t="s">
        <v>41</v>
      </c>
      <c r="V411" t="s">
        <v>52</v>
      </c>
      <c r="W411" t="s">
        <v>59</v>
      </c>
      <c r="X411" t="s">
        <v>53</v>
      </c>
      <c r="Y411" t="s">
        <v>45</v>
      </c>
      <c r="Z411" t="s">
        <v>41</v>
      </c>
      <c r="AA411" t="s">
        <v>54</v>
      </c>
      <c r="AB411" t="s">
        <v>40</v>
      </c>
      <c r="AC411" t="s">
        <v>144</v>
      </c>
      <c r="AD411" t="s">
        <v>45</v>
      </c>
      <c r="AE411" t="s">
        <v>45</v>
      </c>
      <c r="AF411" t="s">
        <v>57</v>
      </c>
      <c r="AG411" t="s">
        <v>47</v>
      </c>
      <c r="AH411" t="s">
        <v>55</v>
      </c>
      <c r="AI411" t="s">
        <v>41</v>
      </c>
    </row>
    <row r="412" spans="1:35" x14ac:dyDescent="0.25">
      <c r="A412" t="s">
        <v>105</v>
      </c>
      <c r="B412" t="s">
        <v>59</v>
      </c>
      <c r="C412" t="s">
        <v>37</v>
      </c>
      <c r="D412" t="s">
        <v>1569</v>
      </c>
      <c r="E412" t="s">
        <v>62</v>
      </c>
      <c r="F412" t="s">
        <v>41</v>
      </c>
      <c r="G412" t="s">
        <v>45</v>
      </c>
      <c r="H412" t="s">
        <v>42</v>
      </c>
      <c r="I412" t="s">
        <v>40</v>
      </c>
      <c r="J412" t="s">
        <v>374</v>
      </c>
      <c r="K412" t="s">
        <v>45</v>
      </c>
      <c r="L412" t="s">
        <v>43</v>
      </c>
      <c r="M412" t="s">
        <v>234</v>
      </c>
      <c r="N412" t="s">
        <v>40</v>
      </c>
      <c r="O412" t="s">
        <v>41</v>
      </c>
      <c r="P412" t="s">
        <v>116</v>
      </c>
      <c r="Q412" t="s">
        <v>47</v>
      </c>
      <c r="R412" t="s">
        <v>48</v>
      </c>
      <c r="S412" t="s">
        <v>1570</v>
      </c>
      <c r="T412" t="s">
        <v>1571</v>
      </c>
      <c r="U412" t="s">
        <v>41</v>
      </c>
      <c r="V412" t="s">
        <v>52</v>
      </c>
      <c r="W412" t="s">
        <v>59</v>
      </c>
      <c r="X412" t="s">
        <v>104</v>
      </c>
      <c r="Y412" t="s">
        <v>47</v>
      </c>
      <c r="Z412" t="s">
        <v>45</v>
      </c>
      <c r="AA412" t="s">
        <v>54</v>
      </c>
      <c r="AB412" t="s">
        <v>55</v>
      </c>
      <c r="AC412" t="s">
        <v>53</v>
      </c>
      <c r="AD412" t="s">
        <v>41</v>
      </c>
      <c r="AE412" t="s">
        <v>45</v>
      </c>
      <c r="AF412" t="s">
        <v>57</v>
      </c>
      <c r="AG412" t="s">
        <v>47</v>
      </c>
      <c r="AH412" t="s">
        <v>55</v>
      </c>
      <c r="AI412" t="s">
        <v>41</v>
      </c>
    </row>
    <row r="413" spans="1:35" x14ac:dyDescent="0.25">
      <c r="A413" t="s">
        <v>275</v>
      </c>
      <c r="B413" t="s">
        <v>59</v>
      </c>
      <c r="C413" t="s">
        <v>37</v>
      </c>
      <c r="D413" t="s">
        <v>1238</v>
      </c>
      <c r="E413" t="s">
        <v>62</v>
      </c>
      <c r="F413" t="s">
        <v>71</v>
      </c>
      <c r="G413" t="s">
        <v>45</v>
      </c>
      <c r="H413" t="s">
        <v>42</v>
      </c>
      <c r="I413" t="s">
        <v>40</v>
      </c>
      <c r="J413" t="s">
        <v>1327</v>
      </c>
      <c r="K413" t="s">
        <v>40</v>
      </c>
      <c r="L413" t="s">
        <v>43</v>
      </c>
      <c r="M413" t="s">
        <v>35</v>
      </c>
      <c r="N413" t="s">
        <v>45</v>
      </c>
      <c r="O413" t="s">
        <v>57</v>
      </c>
      <c r="P413" t="s">
        <v>169</v>
      </c>
      <c r="Q413" t="s">
        <v>40</v>
      </c>
      <c r="R413" t="s">
        <v>66</v>
      </c>
      <c r="S413" t="s">
        <v>1551</v>
      </c>
      <c r="T413" t="s">
        <v>1572</v>
      </c>
      <c r="U413" t="s">
        <v>57</v>
      </c>
      <c r="V413" t="s">
        <v>52</v>
      </c>
      <c r="W413" t="s">
        <v>59</v>
      </c>
      <c r="X413" t="s">
        <v>53</v>
      </c>
      <c r="Y413" t="s">
        <v>45</v>
      </c>
      <c r="Z413" t="s">
        <v>47</v>
      </c>
      <c r="AA413" t="s">
        <v>54</v>
      </c>
      <c r="AB413" t="s">
        <v>55</v>
      </c>
      <c r="AC413" t="s">
        <v>80</v>
      </c>
      <c r="AD413" t="s">
        <v>57</v>
      </c>
      <c r="AE413" t="s">
        <v>40</v>
      </c>
      <c r="AF413" t="s">
        <v>133</v>
      </c>
      <c r="AG413" t="s">
        <v>51</v>
      </c>
      <c r="AH413" t="s">
        <v>53</v>
      </c>
      <c r="AI413" t="s">
        <v>70</v>
      </c>
    </row>
    <row r="414" spans="1:35" x14ac:dyDescent="0.25">
      <c r="A414" t="s">
        <v>213</v>
      </c>
      <c r="B414" t="s">
        <v>59</v>
      </c>
      <c r="C414" t="s">
        <v>37</v>
      </c>
      <c r="D414" t="s">
        <v>1573</v>
      </c>
      <c r="E414" t="s">
        <v>62</v>
      </c>
      <c r="F414" t="s">
        <v>145</v>
      </c>
      <c r="G414" t="s">
        <v>45</v>
      </c>
      <c r="H414" t="s">
        <v>87</v>
      </c>
      <c r="I414" t="s">
        <v>40</v>
      </c>
      <c r="J414" t="s">
        <v>1574</v>
      </c>
      <c r="K414" t="s">
        <v>45</v>
      </c>
      <c r="L414" t="s">
        <v>43</v>
      </c>
      <c r="M414" t="s">
        <v>371</v>
      </c>
      <c r="N414" t="s">
        <v>45</v>
      </c>
      <c r="O414" t="s">
        <v>41</v>
      </c>
      <c r="P414" t="s">
        <v>116</v>
      </c>
      <c r="Q414" t="s">
        <v>45</v>
      </c>
      <c r="R414" t="s">
        <v>109</v>
      </c>
      <c r="S414" t="s">
        <v>1575</v>
      </c>
      <c r="T414" t="s">
        <v>1576</v>
      </c>
      <c r="U414" t="s">
        <v>41</v>
      </c>
      <c r="V414" t="s">
        <v>52</v>
      </c>
      <c r="W414" t="s">
        <v>59</v>
      </c>
      <c r="X414" t="s">
        <v>129</v>
      </c>
      <c r="Y414" t="s">
        <v>45</v>
      </c>
      <c r="Z414" t="s">
        <v>45</v>
      </c>
      <c r="AA414" t="s">
        <v>54</v>
      </c>
      <c r="AB414" t="s">
        <v>40</v>
      </c>
      <c r="AC414" t="s">
        <v>144</v>
      </c>
      <c r="AD414" t="s">
        <v>57</v>
      </c>
      <c r="AE414" t="s">
        <v>41</v>
      </c>
      <c r="AF414" t="s">
        <v>70</v>
      </c>
      <c r="AG414" t="s">
        <v>71</v>
      </c>
      <c r="AH414" t="s">
        <v>55</v>
      </c>
      <c r="AI414" t="s">
        <v>51</v>
      </c>
    </row>
    <row r="415" spans="1:35" x14ac:dyDescent="0.25">
      <c r="A415" t="s">
        <v>204</v>
      </c>
      <c r="B415" t="s">
        <v>59</v>
      </c>
      <c r="C415" t="s">
        <v>60</v>
      </c>
      <c r="D415" t="s">
        <v>1577</v>
      </c>
      <c r="E415" t="s">
        <v>62</v>
      </c>
      <c r="F415" t="s">
        <v>149</v>
      </c>
      <c r="G415" t="s">
        <v>47</v>
      </c>
      <c r="H415" t="s">
        <v>228</v>
      </c>
      <c r="I415" t="s">
        <v>40</v>
      </c>
      <c r="J415" t="s">
        <v>1578</v>
      </c>
      <c r="K415" t="s">
        <v>47</v>
      </c>
      <c r="L415" t="s">
        <v>43</v>
      </c>
      <c r="M415" t="s">
        <v>356</v>
      </c>
      <c r="N415" t="s">
        <v>41</v>
      </c>
      <c r="O415" t="s">
        <v>41</v>
      </c>
      <c r="P415" t="s">
        <v>122</v>
      </c>
      <c r="Q415" t="s">
        <v>47</v>
      </c>
      <c r="R415" t="s">
        <v>66</v>
      </c>
      <c r="S415" t="s">
        <v>1579</v>
      </c>
      <c r="T415" t="s">
        <v>1580</v>
      </c>
      <c r="U415" t="s">
        <v>55</v>
      </c>
      <c r="V415" t="s">
        <v>52</v>
      </c>
      <c r="W415" t="s">
        <v>59</v>
      </c>
      <c r="X415" t="s">
        <v>53</v>
      </c>
      <c r="Y415" t="s">
        <v>45</v>
      </c>
      <c r="Z415" t="s">
        <v>47</v>
      </c>
      <c r="AA415" t="s">
        <v>54</v>
      </c>
      <c r="AB415" t="s">
        <v>45</v>
      </c>
      <c r="AC415" t="s">
        <v>71</v>
      </c>
      <c r="AD415" t="s">
        <v>47</v>
      </c>
      <c r="AE415" t="s">
        <v>47</v>
      </c>
      <c r="AF415" t="s">
        <v>56</v>
      </c>
      <c r="AG415" t="s">
        <v>57</v>
      </c>
      <c r="AH415" t="s">
        <v>55</v>
      </c>
      <c r="AI415" t="s">
        <v>47</v>
      </c>
    </row>
    <row r="416" spans="1:35" x14ac:dyDescent="0.25">
      <c r="A416" t="s">
        <v>107</v>
      </c>
      <c r="B416" t="s">
        <v>36</v>
      </c>
      <c r="C416" t="s">
        <v>37</v>
      </c>
      <c r="D416" t="s">
        <v>1581</v>
      </c>
      <c r="E416" t="s">
        <v>39</v>
      </c>
      <c r="F416" t="s">
        <v>40</v>
      </c>
      <c r="G416" t="s">
        <v>40</v>
      </c>
      <c r="H416" t="s">
        <v>228</v>
      </c>
      <c r="I416" t="s">
        <v>40</v>
      </c>
      <c r="J416" t="s">
        <v>1582</v>
      </c>
      <c r="K416" t="s">
        <v>40</v>
      </c>
      <c r="L416" t="s">
        <v>43</v>
      </c>
      <c r="M416" t="s">
        <v>283</v>
      </c>
      <c r="N416" t="s">
        <v>45</v>
      </c>
      <c r="O416" t="s">
        <v>40</v>
      </c>
      <c r="P416" t="s">
        <v>182</v>
      </c>
      <c r="Q416" t="s">
        <v>41</v>
      </c>
      <c r="R416" t="s">
        <v>48</v>
      </c>
      <c r="S416" t="s">
        <v>1583</v>
      </c>
      <c r="T416" t="s">
        <v>1584</v>
      </c>
      <c r="U416" t="s">
        <v>40</v>
      </c>
      <c r="V416" t="s">
        <v>52</v>
      </c>
      <c r="W416" t="s">
        <v>36</v>
      </c>
      <c r="X416" t="s">
        <v>128</v>
      </c>
      <c r="Y416" t="s">
        <v>45</v>
      </c>
      <c r="Z416" t="s">
        <v>41</v>
      </c>
      <c r="AA416" t="s">
        <v>54</v>
      </c>
      <c r="AB416" t="s">
        <v>55</v>
      </c>
      <c r="AC416" t="s">
        <v>56</v>
      </c>
      <c r="AD416" t="s">
        <v>47</v>
      </c>
      <c r="AE416" t="s">
        <v>45</v>
      </c>
      <c r="AF416" t="s">
        <v>57</v>
      </c>
      <c r="AG416" t="s">
        <v>45</v>
      </c>
      <c r="AH416" t="s">
        <v>40</v>
      </c>
      <c r="AI416" t="s">
        <v>47</v>
      </c>
    </row>
    <row r="417" spans="1:35" x14ac:dyDescent="0.25">
      <c r="A417" t="s">
        <v>142</v>
      </c>
      <c r="B417" t="s">
        <v>36</v>
      </c>
      <c r="C417" t="s">
        <v>60</v>
      </c>
      <c r="D417" t="s">
        <v>897</v>
      </c>
      <c r="E417" t="s">
        <v>39</v>
      </c>
      <c r="F417" t="s">
        <v>56</v>
      </c>
      <c r="G417" t="s">
        <v>41</v>
      </c>
      <c r="H417" t="s">
        <v>206</v>
      </c>
      <c r="I417" t="s">
        <v>40</v>
      </c>
      <c r="J417" t="s">
        <v>1193</v>
      </c>
      <c r="K417" t="s">
        <v>47</v>
      </c>
      <c r="L417" t="s">
        <v>43</v>
      </c>
      <c r="M417" t="s">
        <v>80</v>
      </c>
      <c r="N417" t="s">
        <v>40</v>
      </c>
      <c r="O417" t="s">
        <v>40</v>
      </c>
      <c r="P417" t="s">
        <v>182</v>
      </c>
      <c r="Q417" t="s">
        <v>45</v>
      </c>
      <c r="R417" t="s">
        <v>109</v>
      </c>
      <c r="S417" t="s">
        <v>1585</v>
      </c>
      <c r="T417" t="s">
        <v>1586</v>
      </c>
      <c r="U417" t="s">
        <v>55</v>
      </c>
      <c r="V417" t="s">
        <v>52</v>
      </c>
      <c r="W417" t="s">
        <v>59</v>
      </c>
      <c r="X417" t="s">
        <v>128</v>
      </c>
      <c r="Y417" t="s">
        <v>45</v>
      </c>
      <c r="Z417" t="s">
        <v>47</v>
      </c>
      <c r="AA417" t="s">
        <v>54</v>
      </c>
      <c r="AB417" t="s">
        <v>40</v>
      </c>
      <c r="AC417" t="s">
        <v>45</v>
      </c>
      <c r="AD417" t="s">
        <v>45</v>
      </c>
      <c r="AE417" t="s">
        <v>41</v>
      </c>
      <c r="AF417" t="s">
        <v>41</v>
      </c>
      <c r="AG417" t="s">
        <v>41</v>
      </c>
      <c r="AH417" t="s">
        <v>40</v>
      </c>
      <c r="AI417" t="s">
        <v>55</v>
      </c>
    </row>
    <row r="418" spans="1:35" x14ac:dyDescent="0.25">
      <c r="A418" t="s">
        <v>113</v>
      </c>
      <c r="B418" t="s">
        <v>59</v>
      </c>
      <c r="C418" t="s">
        <v>60</v>
      </c>
      <c r="D418" t="s">
        <v>1562</v>
      </c>
      <c r="E418" t="s">
        <v>62</v>
      </c>
      <c r="F418" t="s">
        <v>41</v>
      </c>
      <c r="G418" t="s">
        <v>41</v>
      </c>
      <c r="H418" t="s">
        <v>42</v>
      </c>
      <c r="I418" t="s">
        <v>40</v>
      </c>
      <c r="J418" t="s">
        <v>817</v>
      </c>
      <c r="K418" t="s">
        <v>47</v>
      </c>
      <c r="L418" t="s">
        <v>63</v>
      </c>
      <c r="M418" t="s">
        <v>204</v>
      </c>
      <c r="N418" t="s">
        <v>45</v>
      </c>
      <c r="O418" t="s">
        <v>40</v>
      </c>
      <c r="P418" t="s">
        <v>76</v>
      </c>
      <c r="Q418" t="s">
        <v>47</v>
      </c>
      <c r="R418" t="s">
        <v>66</v>
      </c>
      <c r="S418" t="s">
        <v>1587</v>
      </c>
      <c r="T418" t="s">
        <v>1588</v>
      </c>
      <c r="U418" t="s">
        <v>40</v>
      </c>
      <c r="V418" t="s">
        <v>52</v>
      </c>
      <c r="W418" t="s">
        <v>36</v>
      </c>
      <c r="X418" t="s">
        <v>69</v>
      </c>
      <c r="Y418" t="s">
        <v>47</v>
      </c>
      <c r="Z418" t="s">
        <v>45</v>
      </c>
      <c r="AA418" t="s">
        <v>54</v>
      </c>
      <c r="AB418" t="s">
        <v>40</v>
      </c>
      <c r="AC418" t="s">
        <v>40</v>
      </c>
      <c r="AD418" t="s">
        <v>45</v>
      </c>
      <c r="AE418" t="s">
        <v>45</v>
      </c>
      <c r="AF418" t="s">
        <v>40</v>
      </c>
      <c r="AG418" t="s">
        <v>55</v>
      </c>
      <c r="AH418" t="s">
        <v>55</v>
      </c>
      <c r="AI418" t="s">
        <v>55</v>
      </c>
    </row>
    <row r="419" spans="1:35" x14ac:dyDescent="0.25">
      <c r="A419" t="s">
        <v>88</v>
      </c>
      <c r="B419" t="s">
        <v>59</v>
      </c>
      <c r="C419" t="s">
        <v>37</v>
      </c>
      <c r="D419" t="s">
        <v>1589</v>
      </c>
      <c r="E419" t="s">
        <v>39</v>
      </c>
      <c r="F419" t="s">
        <v>41</v>
      </c>
      <c r="G419" t="s">
        <v>47</v>
      </c>
      <c r="H419" t="s">
        <v>42</v>
      </c>
      <c r="I419" t="s">
        <v>40</v>
      </c>
      <c r="J419" t="s">
        <v>1590</v>
      </c>
      <c r="K419" t="s">
        <v>45</v>
      </c>
      <c r="L419" t="s">
        <v>43</v>
      </c>
      <c r="M419" t="s">
        <v>95</v>
      </c>
      <c r="N419" t="s">
        <v>45</v>
      </c>
      <c r="O419" t="s">
        <v>57</v>
      </c>
      <c r="P419" t="s">
        <v>169</v>
      </c>
      <c r="Q419" t="s">
        <v>45</v>
      </c>
      <c r="R419" t="s">
        <v>66</v>
      </c>
      <c r="S419" t="s">
        <v>1591</v>
      </c>
      <c r="T419" t="s">
        <v>1592</v>
      </c>
      <c r="U419" t="s">
        <v>55</v>
      </c>
      <c r="V419" t="s">
        <v>52</v>
      </c>
      <c r="W419" t="s">
        <v>59</v>
      </c>
      <c r="X419" t="s">
        <v>129</v>
      </c>
      <c r="Y419" t="s">
        <v>45</v>
      </c>
      <c r="Z419" t="s">
        <v>47</v>
      </c>
      <c r="AA419" t="s">
        <v>54</v>
      </c>
      <c r="AB419" t="s">
        <v>55</v>
      </c>
      <c r="AC419" t="s">
        <v>119</v>
      </c>
      <c r="AD419" t="s">
        <v>41</v>
      </c>
      <c r="AE419" t="s">
        <v>45</v>
      </c>
      <c r="AF419" t="s">
        <v>104</v>
      </c>
      <c r="AG419" t="s">
        <v>79</v>
      </c>
      <c r="AH419" t="s">
        <v>40</v>
      </c>
      <c r="AI419" t="s">
        <v>92</v>
      </c>
    </row>
    <row r="420" spans="1:35" x14ac:dyDescent="0.25">
      <c r="A420" t="s">
        <v>139</v>
      </c>
      <c r="B420" t="s">
        <v>59</v>
      </c>
      <c r="C420" t="s">
        <v>37</v>
      </c>
      <c r="D420" t="s">
        <v>1593</v>
      </c>
      <c r="E420" t="s">
        <v>62</v>
      </c>
      <c r="F420" t="s">
        <v>69</v>
      </c>
      <c r="G420" t="s">
        <v>45</v>
      </c>
      <c r="H420" t="s">
        <v>42</v>
      </c>
      <c r="I420" t="s">
        <v>40</v>
      </c>
      <c r="J420" t="s">
        <v>1594</v>
      </c>
      <c r="K420" t="s">
        <v>40</v>
      </c>
      <c r="L420" t="s">
        <v>43</v>
      </c>
      <c r="M420" t="s">
        <v>360</v>
      </c>
      <c r="N420" t="s">
        <v>45</v>
      </c>
      <c r="O420" t="s">
        <v>40</v>
      </c>
      <c r="P420" t="s">
        <v>65</v>
      </c>
      <c r="Q420" t="s">
        <v>47</v>
      </c>
      <c r="R420" t="s">
        <v>109</v>
      </c>
      <c r="S420" t="s">
        <v>1595</v>
      </c>
      <c r="T420" t="s">
        <v>1596</v>
      </c>
      <c r="U420" t="s">
        <v>40</v>
      </c>
      <c r="V420" t="s">
        <v>52</v>
      </c>
      <c r="W420" t="s">
        <v>59</v>
      </c>
      <c r="X420" t="s">
        <v>112</v>
      </c>
      <c r="Y420" t="s">
        <v>47</v>
      </c>
      <c r="Z420" t="s">
        <v>41</v>
      </c>
      <c r="AA420" t="s">
        <v>54</v>
      </c>
      <c r="AB420" t="s">
        <v>41</v>
      </c>
      <c r="AC420" t="s">
        <v>45</v>
      </c>
      <c r="AD420" t="s">
        <v>45</v>
      </c>
      <c r="AE420" t="s">
        <v>40</v>
      </c>
      <c r="AF420" t="s">
        <v>45</v>
      </c>
      <c r="AG420" t="s">
        <v>41</v>
      </c>
      <c r="AH420" t="s">
        <v>55</v>
      </c>
      <c r="AI420" t="s">
        <v>41</v>
      </c>
    </row>
    <row r="421" spans="1:35" x14ac:dyDescent="0.25">
      <c r="A421" t="s">
        <v>105</v>
      </c>
      <c r="B421" t="s">
        <v>59</v>
      </c>
      <c r="C421" t="s">
        <v>161</v>
      </c>
      <c r="D421" t="s">
        <v>419</v>
      </c>
      <c r="E421" t="s">
        <v>62</v>
      </c>
      <c r="F421" t="s">
        <v>45</v>
      </c>
      <c r="G421" t="s">
        <v>45</v>
      </c>
      <c r="H421" t="s">
        <v>42</v>
      </c>
      <c r="I421" t="s">
        <v>40</v>
      </c>
      <c r="J421" t="s">
        <v>1597</v>
      </c>
      <c r="K421" t="s">
        <v>45</v>
      </c>
      <c r="L421" t="s">
        <v>63</v>
      </c>
      <c r="M421" t="s">
        <v>166</v>
      </c>
      <c r="N421" t="s">
        <v>45</v>
      </c>
      <c r="O421" t="s">
        <v>40</v>
      </c>
      <c r="P421" t="s">
        <v>76</v>
      </c>
      <c r="Q421" t="s">
        <v>47</v>
      </c>
      <c r="R421" t="s">
        <v>66</v>
      </c>
      <c r="S421" t="s">
        <v>1598</v>
      </c>
      <c r="T421" t="s">
        <v>1599</v>
      </c>
      <c r="U421" t="s">
        <v>47</v>
      </c>
      <c r="V421" t="s">
        <v>52</v>
      </c>
      <c r="W421" t="s">
        <v>59</v>
      </c>
      <c r="X421" t="s">
        <v>79</v>
      </c>
      <c r="Y421" t="s">
        <v>45</v>
      </c>
      <c r="Z421" t="s">
        <v>45</v>
      </c>
      <c r="AA421" t="s">
        <v>54</v>
      </c>
      <c r="AB421" t="s">
        <v>40</v>
      </c>
      <c r="AC421" t="s">
        <v>91</v>
      </c>
      <c r="AD421" t="s">
        <v>45</v>
      </c>
      <c r="AE421" t="s">
        <v>40</v>
      </c>
      <c r="AF421" t="s">
        <v>57</v>
      </c>
      <c r="AG421" t="s">
        <v>45</v>
      </c>
      <c r="AH421" t="s">
        <v>40</v>
      </c>
      <c r="AI421" t="s">
        <v>47</v>
      </c>
    </row>
    <row r="422" spans="1:35" x14ac:dyDescent="0.25">
      <c r="A422" t="s">
        <v>133</v>
      </c>
      <c r="B422" t="s">
        <v>59</v>
      </c>
      <c r="C422" t="s">
        <v>37</v>
      </c>
      <c r="D422" t="s">
        <v>1600</v>
      </c>
      <c r="E422" t="s">
        <v>62</v>
      </c>
      <c r="F422" t="s">
        <v>45</v>
      </c>
      <c r="G422" t="s">
        <v>47</v>
      </c>
      <c r="H422" t="s">
        <v>87</v>
      </c>
      <c r="I422" t="s">
        <v>40</v>
      </c>
      <c r="J422" t="s">
        <v>1601</v>
      </c>
      <c r="K422" t="s">
        <v>41</v>
      </c>
      <c r="L422" t="s">
        <v>63</v>
      </c>
      <c r="M422" t="s">
        <v>146</v>
      </c>
      <c r="N422" t="s">
        <v>41</v>
      </c>
      <c r="O422" t="s">
        <v>45</v>
      </c>
      <c r="P422" t="s">
        <v>186</v>
      </c>
      <c r="Q422" t="s">
        <v>45</v>
      </c>
      <c r="R422" t="s">
        <v>66</v>
      </c>
      <c r="S422" t="s">
        <v>1602</v>
      </c>
      <c r="T422" t="s">
        <v>1603</v>
      </c>
      <c r="U422" t="s">
        <v>40</v>
      </c>
      <c r="V422" t="s">
        <v>52</v>
      </c>
      <c r="W422" t="s">
        <v>59</v>
      </c>
      <c r="X422" t="s">
        <v>145</v>
      </c>
      <c r="Y422" t="s">
        <v>45</v>
      </c>
      <c r="Z422" t="s">
        <v>45</v>
      </c>
      <c r="AA422" t="s">
        <v>54</v>
      </c>
      <c r="AB422" t="s">
        <v>55</v>
      </c>
      <c r="AC422" t="s">
        <v>70</v>
      </c>
      <c r="AD422" t="s">
        <v>41</v>
      </c>
      <c r="AE422" t="s">
        <v>45</v>
      </c>
      <c r="AF422" t="s">
        <v>70</v>
      </c>
      <c r="AG422" t="s">
        <v>41</v>
      </c>
      <c r="AH422" t="s">
        <v>55</v>
      </c>
      <c r="AI422" t="s">
        <v>71</v>
      </c>
    </row>
    <row r="423" spans="1:35" x14ac:dyDescent="0.25">
      <c r="A423" t="s">
        <v>133</v>
      </c>
      <c r="B423" t="s">
        <v>36</v>
      </c>
      <c r="C423" t="s">
        <v>37</v>
      </c>
      <c r="D423" t="s">
        <v>278</v>
      </c>
      <c r="E423" t="s">
        <v>62</v>
      </c>
      <c r="F423" t="s">
        <v>172</v>
      </c>
      <c r="G423" t="s">
        <v>57</v>
      </c>
      <c r="H423" t="s">
        <v>228</v>
      </c>
      <c r="I423" t="s">
        <v>40</v>
      </c>
      <c r="J423" t="s">
        <v>1604</v>
      </c>
      <c r="K423" t="s">
        <v>45</v>
      </c>
      <c r="L423" t="s">
        <v>43</v>
      </c>
      <c r="M423" t="s">
        <v>315</v>
      </c>
      <c r="N423" t="s">
        <v>41</v>
      </c>
      <c r="O423" t="s">
        <v>40</v>
      </c>
      <c r="P423" t="s">
        <v>65</v>
      </c>
      <c r="Q423" t="s">
        <v>41</v>
      </c>
      <c r="R423" t="s">
        <v>66</v>
      </c>
      <c r="S423" t="s">
        <v>1605</v>
      </c>
      <c r="T423" t="s">
        <v>1309</v>
      </c>
      <c r="U423" t="s">
        <v>57</v>
      </c>
      <c r="V423" t="s">
        <v>52</v>
      </c>
      <c r="W423" t="s">
        <v>59</v>
      </c>
      <c r="X423" t="s">
        <v>128</v>
      </c>
      <c r="Y423" t="s">
        <v>45</v>
      </c>
      <c r="Z423" t="s">
        <v>41</v>
      </c>
      <c r="AA423" t="s">
        <v>54</v>
      </c>
      <c r="AB423" t="s">
        <v>55</v>
      </c>
      <c r="AC423" t="s">
        <v>56</v>
      </c>
      <c r="AD423" t="s">
        <v>41</v>
      </c>
      <c r="AE423" t="s">
        <v>47</v>
      </c>
      <c r="AF423" t="s">
        <v>41</v>
      </c>
      <c r="AG423" t="s">
        <v>41</v>
      </c>
      <c r="AH423" t="s">
        <v>40</v>
      </c>
      <c r="AI423" t="s">
        <v>40</v>
      </c>
    </row>
    <row r="424" spans="1:35" x14ac:dyDescent="0.25">
      <c r="A424" t="s">
        <v>144</v>
      </c>
      <c r="B424" t="s">
        <v>36</v>
      </c>
      <c r="C424" t="s">
        <v>37</v>
      </c>
      <c r="D424" t="s">
        <v>473</v>
      </c>
      <c r="E424" t="s">
        <v>397</v>
      </c>
      <c r="F424" t="s">
        <v>41</v>
      </c>
      <c r="G424" t="s">
        <v>41</v>
      </c>
      <c r="H424" t="s">
        <v>228</v>
      </c>
      <c r="I424" t="s">
        <v>40</v>
      </c>
      <c r="J424" t="s">
        <v>1202</v>
      </c>
      <c r="K424" t="s">
        <v>40</v>
      </c>
      <c r="L424" t="s">
        <v>63</v>
      </c>
      <c r="M424" t="s">
        <v>251</v>
      </c>
      <c r="N424" t="s">
        <v>41</v>
      </c>
      <c r="O424" t="s">
        <v>40</v>
      </c>
      <c r="P424" t="s">
        <v>397</v>
      </c>
      <c r="Q424" t="s">
        <v>47</v>
      </c>
      <c r="R424" t="s">
        <v>48</v>
      </c>
      <c r="S424" t="s">
        <v>1606</v>
      </c>
      <c r="T424" t="s">
        <v>1607</v>
      </c>
      <c r="U424" t="s">
        <v>40</v>
      </c>
      <c r="V424" t="s">
        <v>52</v>
      </c>
      <c r="W424" t="s">
        <v>59</v>
      </c>
      <c r="X424" t="s">
        <v>92</v>
      </c>
      <c r="Y424" t="s">
        <v>45</v>
      </c>
      <c r="Z424" t="s">
        <v>45</v>
      </c>
      <c r="AA424" t="s">
        <v>54</v>
      </c>
      <c r="AB424" t="s">
        <v>55</v>
      </c>
      <c r="AC424" t="s">
        <v>40</v>
      </c>
      <c r="AD424" t="s">
        <v>45</v>
      </c>
      <c r="AE424" t="s">
        <v>47</v>
      </c>
      <c r="AF424" t="s">
        <v>40</v>
      </c>
      <c r="AG424" t="s">
        <v>55</v>
      </c>
      <c r="AH424" t="s">
        <v>55</v>
      </c>
      <c r="AI424" t="s">
        <v>55</v>
      </c>
    </row>
    <row r="425" spans="1:35" x14ac:dyDescent="0.25">
      <c r="A425" t="s">
        <v>105</v>
      </c>
      <c r="B425" t="s">
        <v>59</v>
      </c>
      <c r="C425" t="s">
        <v>161</v>
      </c>
      <c r="D425" t="s">
        <v>1589</v>
      </c>
      <c r="E425" t="s">
        <v>39</v>
      </c>
      <c r="F425" t="s">
        <v>112</v>
      </c>
      <c r="G425" t="s">
        <v>47</v>
      </c>
      <c r="H425" t="s">
        <v>74</v>
      </c>
      <c r="I425" t="s">
        <v>40</v>
      </c>
      <c r="J425" t="s">
        <v>1608</v>
      </c>
      <c r="K425" t="s">
        <v>45</v>
      </c>
      <c r="L425" t="s">
        <v>43</v>
      </c>
      <c r="M425" t="s">
        <v>1214</v>
      </c>
      <c r="N425" t="s">
        <v>45</v>
      </c>
      <c r="O425" t="s">
        <v>45</v>
      </c>
      <c r="P425" t="s">
        <v>46</v>
      </c>
      <c r="Q425" t="s">
        <v>40</v>
      </c>
      <c r="R425" t="s">
        <v>66</v>
      </c>
      <c r="S425" t="s">
        <v>1609</v>
      </c>
      <c r="T425" t="s">
        <v>1610</v>
      </c>
      <c r="U425" t="s">
        <v>55</v>
      </c>
      <c r="V425" t="s">
        <v>52</v>
      </c>
      <c r="W425" t="s">
        <v>59</v>
      </c>
      <c r="X425" t="s">
        <v>53</v>
      </c>
      <c r="Y425" t="s">
        <v>45</v>
      </c>
      <c r="Z425" t="s">
        <v>45</v>
      </c>
      <c r="AA425" t="s">
        <v>54</v>
      </c>
      <c r="AB425" t="s">
        <v>55</v>
      </c>
      <c r="AC425" t="s">
        <v>70</v>
      </c>
      <c r="AD425" t="s">
        <v>45</v>
      </c>
      <c r="AE425" t="s">
        <v>45</v>
      </c>
      <c r="AF425" t="s">
        <v>91</v>
      </c>
      <c r="AG425" t="s">
        <v>51</v>
      </c>
      <c r="AH425" t="s">
        <v>71</v>
      </c>
      <c r="AI425" t="s">
        <v>51</v>
      </c>
    </row>
    <row r="426" spans="1:35" x14ac:dyDescent="0.25">
      <c r="A426" t="s">
        <v>269</v>
      </c>
      <c r="B426" t="s">
        <v>59</v>
      </c>
      <c r="C426" t="s">
        <v>37</v>
      </c>
      <c r="D426" t="s">
        <v>1315</v>
      </c>
      <c r="E426" t="s">
        <v>39</v>
      </c>
      <c r="F426" t="s">
        <v>133</v>
      </c>
      <c r="G426" t="s">
        <v>45</v>
      </c>
      <c r="H426" t="s">
        <v>206</v>
      </c>
      <c r="I426" t="s">
        <v>40</v>
      </c>
      <c r="J426" t="s">
        <v>1611</v>
      </c>
      <c r="K426" t="s">
        <v>40</v>
      </c>
      <c r="L426" t="s">
        <v>63</v>
      </c>
      <c r="M426" t="s">
        <v>82</v>
      </c>
      <c r="N426" t="s">
        <v>41</v>
      </c>
      <c r="O426" t="s">
        <v>47</v>
      </c>
      <c r="P426" t="s">
        <v>169</v>
      </c>
      <c r="Q426" t="s">
        <v>47</v>
      </c>
      <c r="R426" t="s">
        <v>109</v>
      </c>
      <c r="S426" t="s">
        <v>1612</v>
      </c>
      <c r="T426" t="s">
        <v>1613</v>
      </c>
      <c r="U426" t="s">
        <v>45</v>
      </c>
      <c r="V426" t="s">
        <v>52</v>
      </c>
      <c r="W426" t="s">
        <v>59</v>
      </c>
      <c r="X426" t="s">
        <v>92</v>
      </c>
      <c r="Y426" t="s">
        <v>45</v>
      </c>
      <c r="Z426" t="s">
        <v>45</v>
      </c>
      <c r="AA426" t="s">
        <v>54</v>
      </c>
      <c r="AB426" t="s">
        <v>40</v>
      </c>
      <c r="AC426" t="s">
        <v>93</v>
      </c>
      <c r="AD426" t="s">
        <v>45</v>
      </c>
      <c r="AE426" t="s">
        <v>41</v>
      </c>
      <c r="AF426" t="s">
        <v>40</v>
      </c>
      <c r="AG426" t="s">
        <v>55</v>
      </c>
      <c r="AH426" t="s">
        <v>55</v>
      </c>
      <c r="AI426" t="s">
        <v>55</v>
      </c>
    </row>
    <row r="427" spans="1:35" x14ac:dyDescent="0.25">
      <c r="A427" t="s">
        <v>151</v>
      </c>
      <c r="B427" t="s">
        <v>59</v>
      </c>
      <c r="C427" t="s">
        <v>37</v>
      </c>
      <c r="D427" t="s">
        <v>1614</v>
      </c>
      <c r="E427" t="s">
        <v>62</v>
      </c>
      <c r="F427" t="s">
        <v>133</v>
      </c>
      <c r="G427" t="s">
        <v>47</v>
      </c>
      <c r="H427" t="s">
        <v>42</v>
      </c>
      <c r="I427" t="s">
        <v>40</v>
      </c>
      <c r="J427" t="s">
        <v>1615</v>
      </c>
      <c r="K427" t="s">
        <v>41</v>
      </c>
      <c r="L427" t="s">
        <v>63</v>
      </c>
      <c r="M427" t="s">
        <v>356</v>
      </c>
      <c r="N427" t="s">
        <v>41</v>
      </c>
      <c r="O427" t="s">
        <v>47</v>
      </c>
      <c r="P427" t="s">
        <v>169</v>
      </c>
      <c r="Q427" t="s">
        <v>45</v>
      </c>
      <c r="R427" t="s">
        <v>66</v>
      </c>
      <c r="S427" t="s">
        <v>1616</v>
      </c>
      <c r="T427" t="s">
        <v>1617</v>
      </c>
      <c r="U427" t="s">
        <v>55</v>
      </c>
      <c r="V427" t="s">
        <v>52</v>
      </c>
      <c r="W427" t="s">
        <v>59</v>
      </c>
      <c r="X427" t="s">
        <v>79</v>
      </c>
      <c r="Y427" t="s">
        <v>45</v>
      </c>
      <c r="Z427" t="s">
        <v>41</v>
      </c>
      <c r="AA427" t="s">
        <v>54</v>
      </c>
      <c r="AB427" t="s">
        <v>40</v>
      </c>
      <c r="AC427" t="s">
        <v>149</v>
      </c>
      <c r="AD427" t="s">
        <v>41</v>
      </c>
      <c r="AE427" t="s">
        <v>45</v>
      </c>
      <c r="AF427" t="s">
        <v>85</v>
      </c>
      <c r="AG427" t="s">
        <v>70</v>
      </c>
      <c r="AH427" t="s">
        <v>79</v>
      </c>
      <c r="AI427" t="s">
        <v>71</v>
      </c>
    </row>
    <row r="428" spans="1:35" x14ac:dyDescent="0.25">
      <c r="A428" t="s">
        <v>105</v>
      </c>
      <c r="B428" t="s">
        <v>59</v>
      </c>
      <c r="C428" t="s">
        <v>161</v>
      </c>
      <c r="D428" t="s">
        <v>1618</v>
      </c>
      <c r="E428" t="s">
        <v>62</v>
      </c>
      <c r="F428" t="s">
        <v>41</v>
      </c>
      <c r="G428" t="s">
        <v>45</v>
      </c>
      <c r="H428" t="s">
        <v>87</v>
      </c>
      <c r="I428" t="s">
        <v>40</v>
      </c>
      <c r="J428" t="s">
        <v>1619</v>
      </c>
      <c r="K428" t="s">
        <v>45</v>
      </c>
      <c r="L428" t="s">
        <v>43</v>
      </c>
      <c r="M428" t="s">
        <v>58</v>
      </c>
      <c r="N428" t="s">
        <v>45</v>
      </c>
      <c r="O428" t="s">
        <v>40</v>
      </c>
      <c r="P428" t="s">
        <v>76</v>
      </c>
      <c r="Q428" t="s">
        <v>47</v>
      </c>
      <c r="R428" t="s">
        <v>48</v>
      </c>
      <c r="S428" t="s">
        <v>1606</v>
      </c>
      <c r="T428" t="s">
        <v>1620</v>
      </c>
      <c r="U428" t="s">
        <v>55</v>
      </c>
      <c r="V428" t="s">
        <v>52</v>
      </c>
      <c r="W428" t="s">
        <v>59</v>
      </c>
      <c r="X428" t="s">
        <v>129</v>
      </c>
      <c r="Y428" t="s">
        <v>45</v>
      </c>
      <c r="Z428" t="s">
        <v>45</v>
      </c>
      <c r="AA428" t="s">
        <v>54</v>
      </c>
      <c r="AB428" t="s">
        <v>55</v>
      </c>
      <c r="AC428" t="s">
        <v>92</v>
      </c>
      <c r="AD428" t="s">
        <v>41</v>
      </c>
      <c r="AE428" t="s">
        <v>41</v>
      </c>
      <c r="AF428" t="s">
        <v>53</v>
      </c>
      <c r="AG428" t="s">
        <v>71</v>
      </c>
      <c r="AH428" t="s">
        <v>56</v>
      </c>
      <c r="AI428" t="s">
        <v>71</v>
      </c>
    </row>
    <row r="429" spans="1:35" x14ac:dyDescent="0.25">
      <c r="A429" t="s">
        <v>275</v>
      </c>
      <c r="B429" t="s">
        <v>59</v>
      </c>
      <c r="C429" t="s">
        <v>60</v>
      </c>
      <c r="D429" t="s">
        <v>1621</v>
      </c>
      <c r="E429" t="s">
        <v>39</v>
      </c>
      <c r="F429" t="s">
        <v>149</v>
      </c>
      <c r="G429" t="s">
        <v>45</v>
      </c>
      <c r="H429" t="s">
        <v>206</v>
      </c>
      <c r="I429" t="s">
        <v>40</v>
      </c>
      <c r="J429" t="s">
        <v>411</v>
      </c>
      <c r="K429" t="s">
        <v>45</v>
      </c>
      <c r="L429" t="s">
        <v>43</v>
      </c>
      <c r="M429" t="s">
        <v>54</v>
      </c>
      <c r="N429" t="s">
        <v>41</v>
      </c>
      <c r="O429" t="s">
        <v>45</v>
      </c>
      <c r="P429" t="s">
        <v>46</v>
      </c>
      <c r="Q429" t="s">
        <v>40</v>
      </c>
      <c r="R429" t="s">
        <v>66</v>
      </c>
      <c r="S429" t="s">
        <v>1622</v>
      </c>
      <c r="T429" t="s">
        <v>1623</v>
      </c>
      <c r="U429" t="s">
        <v>47</v>
      </c>
      <c r="V429" t="s">
        <v>52</v>
      </c>
      <c r="W429" t="s">
        <v>59</v>
      </c>
      <c r="X429" t="s">
        <v>144</v>
      </c>
      <c r="Y429" t="s">
        <v>45</v>
      </c>
      <c r="Z429" t="s">
        <v>47</v>
      </c>
      <c r="AA429" t="s">
        <v>54</v>
      </c>
      <c r="AB429" t="s">
        <v>55</v>
      </c>
      <c r="AC429" t="s">
        <v>112</v>
      </c>
      <c r="AD429" t="s">
        <v>57</v>
      </c>
      <c r="AE429" t="s">
        <v>47</v>
      </c>
      <c r="AF429" t="s">
        <v>145</v>
      </c>
      <c r="AG429" t="s">
        <v>98</v>
      </c>
      <c r="AH429" t="s">
        <v>98</v>
      </c>
      <c r="AI429" t="s">
        <v>53</v>
      </c>
    </row>
    <row r="430" spans="1:35" x14ac:dyDescent="0.25">
      <c r="A430" t="s">
        <v>239</v>
      </c>
      <c r="B430" t="s">
        <v>59</v>
      </c>
      <c r="C430" t="s">
        <v>37</v>
      </c>
      <c r="D430" t="s">
        <v>1624</v>
      </c>
      <c r="E430" t="s">
        <v>62</v>
      </c>
      <c r="F430" t="s">
        <v>41</v>
      </c>
      <c r="G430" t="s">
        <v>41</v>
      </c>
      <c r="H430" t="s">
        <v>87</v>
      </c>
      <c r="I430" t="s">
        <v>40</v>
      </c>
      <c r="J430" t="s">
        <v>1625</v>
      </c>
      <c r="K430" t="s">
        <v>40</v>
      </c>
      <c r="L430" t="s">
        <v>43</v>
      </c>
      <c r="M430" t="s">
        <v>296</v>
      </c>
      <c r="N430" t="s">
        <v>45</v>
      </c>
      <c r="O430" t="s">
        <v>41</v>
      </c>
      <c r="P430" t="s">
        <v>116</v>
      </c>
      <c r="Q430" t="s">
        <v>47</v>
      </c>
      <c r="R430" t="s">
        <v>109</v>
      </c>
      <c r="S430" t="s">
        <v>1626</v>
      </c>
      <c r="T430" t="s">
        <v>1627</v>
      </c>
      <c r="U430" t="s">
        <v>57</v>
      </c>
      <c r="V430" t="s">
        <v>52</v>
      </c>
      <c r="W430" t="s">
        <v>59</v>
      </c>
      <c r="X430" t="s">
        <v>98</v>
      </c>
      <c r="Y430" t="s">
        <v>45</v>
      </c>
      <c r="Z430" t="s">
        <v>45</v>
      </c>
      <c r="AA430" t="s">
        <v>54</v>
      </c>
      <c r="AB430" t="s">
        <v>45</v>
      </c>
      <c r="AC430" t="s">
        <v>104</v>
      </c>
      <c r="AD430" t="s">
        <v>41</v>
      </c>
      <c r="AE430" t="s">
        <v>45</v>
      </c>
      <c r="AF430" t="s">
        <v>57</v>
      </c>
      <c r="AG430" t="s">
        <v>55</v>
      </c>
      <c r="AH430" t="s">
        <v>55</v>
      </c>
      <c r="AI430" t="s">
        <v>47</v>
      </c>
    </row>
    <row r="431" spans="1:35" x14ac:dyDescent="0.25">
      <c r="A431" t="s">
        <v>213</v>
      </c>
      <c r="B431" t="s">
        <v>59</v>
      </c>
      <c r="C431" t="s">
        <v>37</v>
      </c>
      <c r="D431" t="s">
        <v>1628</v>
      </c>
      <c r="E431" t="s">
        <v>62</v>
      </c>
      <c r="F431" t="s">
        <v>41</v>
      </c>
      <c r="G431" t="s">
        <v>45</v>
      </c>
      <c r="H431" t="s">
        <v>42</v>
      </c>
      <c r="I431" t="s">
        <v>40</v>
      </c>
      <c r="J431" t="s">
        <v>1439</v>
      </c>
      <c r="K431" t="s">
        <v>40</v>
      </c>
      <c r="L431" t="s">
        <v>63</v>
      </c>
      <c r="M431" t="s">
        <v>155</v>
      </c>
      <c r="N431" t="s">
        <v>45</v>
      </c>
      <c r="O431" t="s">
        <v>47</v>
      </c>
      <c r="P431" t="s">
        <v>186</v>
      </c>
      <c r="Q431" t="s">
        <v>45</v>
      </c>
      <c r="R431" t="s">
        <v>66</v>
      </c>
      <c r="S431" t="s">
        <v>1629</v>
      </c>
      <c r="T431" t="s">
        <v>773</v>
      </c>
      <c r="U431" t="s">
        <v>56</v>
      </c>
      <c r="V431" t="s">
        <v>52</v>
      </c>
      <c r="W431" t="s">
        <v>59</v>
      </c>
      <c r="X431" t="s">
        <v>98</v>
      </c>
      <c r="Y431" t="s">
        <v>45</v>
      </c>
      <c r="Z431" t="s">
        <v>45</v>
      </c>
      <c r="AA431" t="s">
        <v>54</v>
      </c>
      <c r="AB431" t="s">
        <v>55</v>
      </c>
      <c r="AC431" t="s">
        <v>139</v>
      </c>
      <c r="AD431" t="s">
        <v>41</v>
      </c>
      <c r="AE431" t="s">
        <v>40</v>
      </c>
      <c r="AF431" t="s">
        <v>45</v>
      </c>
      <c r="AG431" t="s">
        <v>41</v>
      </c>
      <c r="AH431" t="s">
        <v>55</v>
      </c>
      <c r="AI431" t="s">
        <v>40</v>
      </c>
    </row>
    <row r="432" spans="1:35" x14ac:dyDescent="0.25">
      <c r="A432" t="s">
        <v>126</v>
      </c>
      <c r="B432" t="s">
        <v>59</v>
      </c>
      <c r="C432" t="s">
        <v>37</v>
      </c>
      <c r="D432" t="s">
        <v>512</v>
      </c>
      <c r="E432" t="s">
        <v>62</v>
      </c>
      <c r="F432" t="s">
        <v>112</v>
      </c>
      <c r="G432" t="s">
        <v>45</v>
      </c>
      <c r="H432" t="s">
        <v>42</v>
      </c>
      <c r="I432" t="s">
        <v>40</v>
      </c>
      <c r="J432" t="s">
        <v>1630</v>
      </c>
      <c r="K432" t="s">
        <v>47</v>
      </c>
      <c r="L432" t="s">
        <v>63</v>
      </c>
      <c r="M432" t="s">
        <v>213</v>
      </c>
      <c r="N432" t="s">
        <v>40</v>
      </c>
      <c r="O432" t="s">
        <v>40</v>
      </c>
      <c r="P432" t="s">
        <v>76</v>
      </c>
      <c r="Q432" t="s">
        <v>45</v>
      </c>
      <c r="R432" t="s">
        <v>48</v>
      </c>
      <c r="S432" t="s">
        <v>1631</v>
      </c>
      <c r="T432" t="s">
        <v>1632</v>
      </c>
      <c r="U432" t="s">
        <v>55</v>
      </c>
      <c r="V432" t="s">
        <v>52</v>
      </c>
      <c r="W432" t="s">
        <v>59</v>
      </c>
      <c r="X432" t="s">
        <v>79</v>
      </c>
      <c r="Y432" t="s">
        <v>45</v>
      </c>
      <c r="Z432" t="s">
        <v>45</v>
      </c>
      <c r="AA432" t="s">
        <v>54</v>
      </c>
      <c r="AB432" t="s">
        <v>55</v>
      </c>
      <c r="AC432" t="s">
        <v>56</v>
      </c>
      <c r="AD432" t="s">
        <v>41</v>
      </c>
      <c r="AE432" t="s">
        <v>45</v>
      </c>
      <c r="AF432" t="s">
        <v>57</v>
      </c>
      <c r="AG432" t="s">
        <v>47</v>
      </c>
      <c r="AH432" t="s">
        <v>47</v>
      </c>
      <c r="AI432" t="s">
        <v>45</v>
      </c>
    </row>
    <row r="433" spans="1:35" x14ac:dyDescent="0.25">
      <c r="A433" t="s">
        <v>259</v>
      </c>
      <c r="B433" t="s">
        <v>59</v>
      </c>
      <c r="C433" t="s">
        <v>37</v>
      </c>
      <c r="D433" t="s">
        <v>374</v>
      </c>
      <c r="E433" t="s">
        <v>62</v>
      </c>
      <c r="F433" t="s">
        <v>51</v>
      </c>
      <c r="G433" t="s">
        <v>47</v>
      </c>
      <c r="H433" t="s">
        <v>42</v>
      </c>
      <c r="I433" t="s">
        <v>40</v>
      </c>
      <c r="J433" t="s">
        <v>1633</v>
      </c>
      <c r="K433" t="s">
        <v>45</v>
      </c>
      <c r="L433" t="s">
        <v>43</v>
      </c>
      <c r="M433" t="s">
        <v>204</v>
      </c>
      <c r="N433" t="s">
        <v>45</v>
      </c>
      <c r="O433" t="s">
        <v>41</v>
      </c>
      <c r="P433" t="s">
        <v>76</v>
      </c>
      <c r="Q433" t="s">
        <v>45</v>
      </c>
      <c r="R433" t="s">
        <v>48</v>
      </c>
      <c r="S433" t="s">
        <v>1634</v>
      </c>
      <c r="T433" t="s">
        <v>1635</v>
      </c>
      <c r="U433" t="s">
        <v>71</v>
      </c>
      <c r="V433" t="s">
        <v>52</v>
      </c>
      <c r="W433" t="s">
        <v>59</v>
      </c>
      <c r="X433" t="s">
        <v>53</v>
      </c>
      <c r="Y433" t="s">
        <v>45</v>
      </c>
      <c r="Z433" t="s">
        <v>45</v>
      </c>
      <c r="AA433" t="s">
        <v>54</v>
      </c>
      <c r="AB433" t="s">
        <v>55</v>
      </c>
      <c r="AC433" t="s">
        <v>144</v>
      </c>
      <c r="AD433" t="s">
        <v>45</v>
      </c>
      <c r="AE433" t="s">
        <v>45</v>
      </c>
      <c r="AF433" t="s">
        <v>40</v>
      </c>
      <c r="AG433" t="s">
        <v>55</v>
      </c>
      <c r="AH433" t="s">
        <v>55</v>
      </c>
      <c r="AI433" t="s">
        <v>55</v>
      </c>
    </row>
    <row r="434" spans="1:35" x14ac:dyDescent="0.25">
      <c r="A434" t="s">
        <v>142</v>
      </c>
      <c r="B434" t="s">
        <v>59</v>
      </c>
      <c r="C434" t="s">
        <v>37</v>
      </c>
      <c r="D434" t="s">
        <v>1636</v>
      </c>
      <c r="E434" t="s">
        <v>62</v>
      </c>
      <c r="F434" t="s">
        <v>41</v>
      </c>
      <c r="G434" t="s">
        <v>47</v>
      </c>
      <c r="H434" t="s">
        <v>42</v>
      </c>
      <c r="I434" t="s">
        <v>40</v>
      </c>
      <c r="J434" t="s">
        <v>1637</v>
      </c>
      <c r="K434" t="s">
        <v>47</v>
      </c>
      <c r="L434" t="s">
        <v>63</v>
      </c>
      <c r="M434" t="s">
        <v>283</v>
      </c>
      <c r="N434" t="s">
        <v>41</v>
      </c>
      <c r="O434" t="s">
        <v>40</v>
      </c>
      <c r="P434" t="s">
        <v>65</v>
      </c>
      <c r="Q434" t="s">
        <v>45</v>
      </c>
      <c r="R434" t="s">
        <v>109</v>
      </c>
      <c r="S434" t="s">
        <v>1638</v>
      </c>
      <c r="T434" t="s">
        <v>1639</v>
      </c>
      <c r="U434" t="s">
        <v>45</v>
      </c>
      <c r="V434" t="s">
        <v>52</v>
      </c>
      <c r="W434" t="s">
        <v>59</v>
      </c>
      <c r="X434" t="s">
        <v>92</v>
      </c>
      <c r="Y434" t="s">
        <v>45</v>
      </c>
      <c r="Z434" t="s">
        <v>45</v>
      </c>
      <c r="AA434" t="s">
        <v>54</v>
      </c>
      <c r="AB434" t="s">
        <v>40</v>
      </c>
      <c r="AC434" t="s">
        <v>129</v>
      </c>
      <c r="AD434" t="s">
        <v>45</v>
      </c>
      <c r="AE434" t="s">
        <v>45</v>
      </c>
      <c r="AF434" t="s">
        <v>71</v>
      </c>
      <c r="AG434" t="s">
        <v>45</v>
      </c>
      <c r="AH434" t="s">
        <v>57</v>
      </c>
      <c r="AI434" t="s">
        <v>71</v>
      </c>
    </row>
    <row r="435" spans="1:35" x14ac:dyDescent="0.25">
      <c r="A435" t="s">
        <v>213</v>
      </c>
      <c r="B435" t="s">
        <v>59</v>
      </c>
      <c r="C435" t="s">
        <v>37</v>
      </c>
      <c r="D435" t="s">
        <v>200</v>
      </c>
      <c r="E435" t="s">
        <v>39</v>
      </c>
      <c r="F435" t="s">
        <v>70</v>
      </c>
      <c r="G435" t="s">
        <v>45</v>
      </c>
      <c r="H435" t="s">
        <v>206</v>
      </c>
      <c r="I435" t="s">
        <v>40</v>
      </c>
      <c r="J435" t="s">
        <v>1640</v>
      </c>
      <c r="K435" t="s">
        <v>45</v>
      </c>
      <c r="L435" t="s">
        <v>43</v>
      </c>
      <c r="M435" t="s">
        <v>44</v>
      </c>
      <c r="N435" t="s">
        <v>41</v>
      </c>
      <c r="O435" t="s">
        <v>45</v>
      </c>
      <c r="P435" t="s">
        <v>46</v>
      </c>
      <c r="Q435" t="s">
        <v>47</v>
      </c>
      <c r="R435" t="s">
        <v>66</v>
      </c>
      <c r="S435" t="s">
        <v>1641</v>
      </c>
      <c r="T435" t="s">
        <v>1642</v>
      </c>
      <c r="U435" t="s">
        <v>41</v>
      </c>
      <c r="V435" t="s">
        <v>52</v>
      </c>
      <c r="W435" t="s">
        <v>36</v>
      </c>
      <c r="X435" t="s">
        <v>144</v>
      </c>
      <c r="Y435" t="s">
        <v>45</v>
      </c>
      <c r="Z435" t="s">
        <v>45</v>
      </c>
      <c r="AA435" t="s">
        <v>54</v>
      </c>
      <c r="AB435" t="s">
        <v>40</v>
      </c>
      <c r="AC435" t="s">
        <v>79</v>
      </c>
      <c r="AD435" t="s">
        <v>45</v>
      </c>
      <c r="AE435" t="s">
        <v>45</v>
      </c>
      <c r="AF435" t="s">
        <v>45</v>
      </c>
      <c r="AG435" t="s">
        <v>41</v>
      </c>
      <c r="AH435" t="s">
        <v>40</v>
      </c>
      <c r="AI435" t="s">
        <v>41</v>
      </c>
    </row>
    <row r="436" spans="1:35" x14ac:dyDescent="0.25">
      <c r="A436" t="s">
        <v>137</v>
      </c>
      <c r="B436" t="s">
        <v>59</v>
      </c>
      <c r="C436" t="s">
        <v>37</v>
      </c>
      <c r="D436" t="s">
        <v>1643</v>
      </c>
      <c r="E436" t="s">
        <v>62</v>
      </c>
      <c r="F436" t="s">
        <v>91</v>
      </c>
      <c r="G436" t="s">
        <v>40</v>
      </c>
      <c r="H436" t="s">
        <v>42</v>
      </c>
      <c r="I436" t="s">
        <v>40</v>
      </c>
      <c r="J436" t="s">
        <v>1644</v>
      </c>
      <c r="K436" t="s">
        <v>45</v>
      </c>
      <c r="L436" t="s">
        <v>63</v>
      </c>
      <c r="M436" t="s">
        <v>80</v>
      </c>
      <c r="N436" t="s">
        <v>45</v>
      </c>
      <c r="O436" t="s">
        <v>45</v>
      </c>
      <c r="P436" t="s">
        <v>116</v>
      </c>
      <c r="Q436" t="s">
        <v>41</v>
      </c>
      <c r="R436" t="s">
        <v>109</v>
      </c>
      <c r="S436" t="s">
        <v>1645</v>
      </c>
      <c r="T436" t="s">
        <v>1646</v>
      </c>
      <c r="U436" t="s">
        <v>40</v>
      </c>
      <c r="V436" t="s">
        <v>52</v>
      </c>
      <c r="W436" t="s">
        <v>59</v>
      </c>
      <c r="X436" t="s">
        <v>172</v>
      </c>
      <c r="Y436" t="s">
        <v>47</v>
      </c>
      <c r="Z436" t="s">
        <v>47</v>
      </c>
      <c r="AA436" t="s">
        <v>54</v>
      </c>
      <c r="AB436" t="s">
        <v>40</v>
      </c>
      <c r="AC436" t="s">
        <v>98</v>
      </c>
      <c r="AD436" t="s">
        <v>56</v>
      </c>
      <c r="AE436" t="s">
        <v>47</v>
      </c>
      <c r="AF436" t="s">
        <v>98</v>
      </c>
      <c r="AG436" t="s">
        <v>51</v>
      </c>
      <c r="AH436" t="s">
        <v>55</v>
      </c>
      <c r="AI436" t="s">
        <v>51</v>
      </c>
    </row>
    <row r="437" spans="1:35" x14ac:dyDescent="0.25">
      <c r="A437" t="s">
        <v>80</v>
      </c>
      <c r="B437" t="s">
        <v>36</v>
      </c>
      <c r="C437" t="s">
        <v>37</v>
      </c>
      <c r="D437" t="s">
        <v>1647</v>
      </c>
      <c r="E437" t="s">
        <v>62</v>
      </c>
      <c r="F437" t="s">
        <v>79</v>
      </c>
      <c r="G437" t="s">
        <v>40</v>
      </c>
      <c r="H437" t="s">
        <v>87</v>
      </c>
      <c r="I437" t="s">
        <v>40</v>
      </c>
      <c r="J437" t="s">
        <v>1648</v>
      </c>
      <c r="K437" t="s">
        <v>41</v>
      </c>
      <c r="L437" t="s">
        <v>63</v>
      </c>
      <c r="M437" t="s">
        <v>82</v>
      </c>
      <c r="N437" t="s">
        <v>45</v>
      </c>
      <c r="O437" t="s">
        <v>45</v>
      </c>
      <c r="P437" t="s">
        <v>169</v>
      </c>
      <c r="Q437" t="s">
        <v>45</v>
      </c>
      <c r="R437" t="s">
        <v>66</v>
      </c>
      <c r="S437" t="s">
        <v>1649</v>
      </c>
      <c r="T437" t="s">
        <v>1650</v>
      </c>
      <c r="U437" t="s">
        <v>71</v>
      </c>
      <c r="V437" t="s">
        <v>52</v>
      </c>
      <c r="W437" t="s">
        <v>36</v>
      </c>
      <c r="X437" t="s">
        <v>92</v>
      </c>
      <c r="Y437" t="s">
        <v>45</v>
      </c>
      <c r="Z437" t="s">
        <v>47</v>
      </c>
      <c r="AA437" t="s">
        <v>54</v>
      </c>
      <c r="AB437" t="s">
        <v>55</v>
      </c>
      <c r="AC437" t="s">
        <v>79</v>
      </c>
      <c r="AD437" t="s">
        <v>41</v>
      </c>
      <c r="AE437" t="s">
        <v>47</v>
      </c>
      <c r="AF437" t="s">
        <v>71</v>
      </c>
      <c r="AG437" t="s">
        <v>56</v>
      </c>
      <c r="AH437" t="s">
        <v>71</v>
      </c>
      <c r="AI437" t="s">
        <v>71</v>
      </c>
    </row>
    <row r="438" spans="1:35" x14ac:dyDescent="0.25">
      <c r="A438" t="s">
        <v>80</v>
      </c>
      <c r="B438" t="s">
        <v>36</v>
      </c>
      <c r="C438" t="s">
        <v>37</v>
      </c>
      <c r="D438" t="s">
        <v>1651</v>
      </c>
      <c r="E438" t="s">
        <v>62</v>
      </c>
      <c r="F438" t="s">
        <v>70</v>
      </c>
      <c r="G438" t="s">
        <v>40</v>
      </c>
      <c r="H438" t="s">
        <v>87</v>
      </c>
      <c r="I438" t="s">
        <v>40</v>
      </c>
      <c r="J438" t="s">
        <v>1652</v>
      </c>
      <c r="K438" t="s">
        <v>40</v>
      </c>
      <c r="L438" t="s">
        <v>63</v>
      </c>
      <c r="M438" t="s">
        <v>113</v>
      </c>
      <c r="N438" t="s">
        <v>40</v>
      </c>
      <c r="O438" t="s">
        <v>40</v>
      </c>
      <c r="P438" t="s">
        <v>76</v>
      </c>
      <c r="Q438" t="s">
        <v>47</v>
      </c>
      <c r="R438" t="s">
        <v>109</v>
      </c>
      <c r="S438" t="s">
        <v>1653</v>
      </c>
      <c r="T438" t="s">
        <v>1654</v>
      </c>
      <c r="U438" t="s">
        <v>71</v>
      </c>
      <c r="V438" t="s">
        <v>52</v>
      </c>
      <c r="W438" t="s">
        <v>59</v>
      </c>
      <c r="X438" t="s">
        <v>98</v>
      </c>
      <c r="Y438" t="s">
        <v>45</v>
      </c>
      <c r="Z438" t="s">
        <v>40</v>
      </c>
      <c r="AA438" t="s">
        <v>54</v>
      </c>
      <c r="AB438" t="s">
        <v>45</v>
      </c>
      <c r="AC438" t="s">
        <v>51</v>
      </c>
      <c r="AD438" t="s">
        <v>41</v>
      </c>
      <c r="AE438" t="s">
        <v>45</v>
      </c>
      <c r="AF438" t="s">
        <v>47</v>
      </c>
      <c r="AG438" t="s">
        <v>45</v>
      </c>
      <c r="AH438" t="s">
        <v>40</v>
      </c>
      <c r="AI438" t="s">
        <v>45</v>
      </c>
    </row>
    <row r="439" spans="1:35" x14ac:dyDescent="0.25">
      <c r="A439" t="s">
        <v>105</v>
      </c>
      <c r="B439" t="s">
        <v>59</v>
      </c>
      <c r="C439" t="s">
        <v>37</v>
      </c>
      <c r="D439" t="s">
        <v>1655</v>
      </c>
      <c r="E439" t="s">
        <v>39</v>
      </c>
      <c r="F439" t="s">
        <v>71</v>
      </c>
      <c r="G439" t="s">
        <v>40</v>
      </c>
      <c r="H439" t="s">
        <v>206</v>
      </c>
      <c r="I439" t="s">
        <v>40</v>
      </c>
      <c r="J439" t="s">
        <v>1656</v>
      </c>
      <c r="K439" t="s">
        <v>47</v>
      </c>
      <c r="L439" t="s">
        <v>63</v>
      </c>
      <c r="M439" t="s">
        <v>269</v>
      </c>
      <c r="N439" t="s">
        <v>45</v>
      </c>
      <c r="O439" t="s">
        <v>40</v>
      </c>
      <c r="P439" t="s">
        <v>182</v>
      </c>
      <c r="Q439" t="s">
        <v>41</v>
      </c>
      <c r="R439" t="s">
        <v>48</v>
      </c>
      <c r="S439" t="s">
        <v>1657</v>
      </c>
      <c r="T439" t="s">
        <v>1658</v>
      </c>
      <c r="U439" t="s">
        <v>55</v>
      </c>
      <c r="V439" t="s">
        <v>52</v>
      </c>
      <c r="W439" t="s">
        <v>59</v>
      </c>
      <c r="X439" t="s">
        <v>129</v>
      </c>
      <c r="Y439" t="s">
        <v>45</v>
      </c>
      <c r="Z439" t="s">
        <v>40</v>
      </c>
      <c r="AA439" t="s">
        <v>54</v>
      </c>
      <c r="AB439" t="s">
        <v>55</v>
      </c>
      <c r="AC439" t="s">
        <v>47</v>
      </c>
      <c r="AD439" t="s">
        <v>45</v>
      </c>
      <c r="AE439" t="s">
        <v>45</v>
      </c>
      <c r="AF439" t="s">
        <v>45</v>
      </c>
      <c r="AG439" t="s">
        <v>41</v>
      </c>
      <c r="AH439" t="s">
        <v>40</v>
      </c>
      <c r="AI439" t="s">
        <v>41</v>
      </c>
    </row>
    <row r="440" spans="1:35" x14ac:dyDescent="0.25">
      <c r="A440" t="s">
        <v>126</v>
      </c>
      <c r="B440" t="s">
        <v>59</v>
      </c>
      <c r="C440" t="s">
        <v>37</v>
      </c>
      <c r="D440" t="s">
        <v>1659</v>
      </c>
      <c r="E440" t="s">
        <v>62</v>
      </c>
      <c r="F440" t="s">
        <v>128</v>
      </c>
      <c r="G440" t="s">
        <v>45</v>
      </c>
      <c r="H440" t="s">
        <v>42</v>
      </c>
      <c r="I440" t="s">
        <v>40</v>
      </c>
      <c r="J440" t="s">
        <v>1660</v>
      </c>
      <c r="K440" t="s">
        <v>47</v>
      </c>
      <c r="L440" t="s">
        <v>63</v>
      </c>
      <c r="M440" t="s">
        <v>201</v>
      </c>
      <c r="N440" t="s">
        <v>45</v>
      </c>
      <c r="O440" t="s">
        <v>45</v>
      </c>
      <c r="P440" t="s">
        <v>122</v>
      </c>
      <c r="Q440" t="s">
        <v>45</v>
      </c>
      <c r="R440" t="s">
        <v>66</v>
      </c>
      <c r="S440" t="s">
        <v>1661</v>
      </c>
      <c r="T440" t="s">
        <v>1662</v>
      </c>
      <c r="U440" t="s">
        <v>47</v>
      </c>
      <c r="V440" t="s">
        <v>52</v>
      </c>
      <c r="W440" t="s">
        <v>36</v>
      </c>
      <c r="X440" t="s">
        <v>92</v>
      </c>
      <c r="Y440" t="s">
        <v>45</v>
      </c>
      <c r="Z440" t="s">
        <v>45</v>
      </c>
      <c r="AA440" t="s">
        <v>54</v>
      </c>
      <c r="AB440" t="s">
        <v>55</v>
      </c>
      <c r="AC440" t="s">
        <v>70</v>
      </c>
      <c r="AD440" t="s">
        <v>41</v>
      </c>
      <c r="AE440" t="s">
        <v>45</v>
      </c>
      <c r="AF440" t="s">
        <v>51</v>
      </c>
      <c r="AG440" t="s">
        <v>71</v>
      </c>
      <c r="AH440" t="s">
        <v>55</v>
      </c>
      <c r="AI440" t="s">
        <v>55</v>
      </c>
    </row>
    <row r="441" spans="1:35" x14ac:dyDescent="0.25">
      <c r="A441" t="s">
        <v>137</v>
      </c>
      <c r="B441" t="s">
        <v>36</v>
      </c>
      <c r="C441" t="s">
        <v>60</v>
      </c>
      <c r="D441" t="s">
        <v>511</v>
      </c>
      <c r="E441" t="s">
        <v>62</v>
      </c>
      <c r="F441" t="s">
        <v>104</v>
      </c>
      <c r="G441" t="s">
        <v>45</v>
      </c>
      <c r="H441" t="s">
        <v>42</v>
      </c>
      <c r="I441" t="s">
        <v>40</v>
      </c>
      <c r="J441" t="s">
        <v>1651</v>
      </c>
      <c r="K441" t="s">
        <v>40</v>
      </c>
      <c r="L441" t="s">
        <v>63</v>
      </c>
      <c r="M441" t="s">
        <v>375</v>
      </c>
      <c r="N441" t="s">
        <v>45</v>
      </c>
      <c r="O441" t="s">
        <v>45</v>
      </c>
      <c r="P441" t="s">
        <v>122</v>
      </c>
      <c r="Q441" t="s">
        <v>45</v>
      </c>
      <c r="R441" t="s">
        <v>66</v>
      </c>
      <c r="S441" t="s">
        <v>1663</v>
      </c>
      <c r="T441" t="s">
        <v>1664</v>
      </c>
      <c r="U441" t="s">
        <v>45</v>
      </c>
      <c r="V441" t="s">
        <v>52</v>
      </c>
      <c r="W441" t="s">
        <v>59</v>
      </c>
      <c r="X441" t="s">
        <v>92</v>
      </c>
      <c r="Y441" t="s">
        <v>45</v>
      </c>
      <c r="Z441" t="s">
        <v>40</v>
      </c>
      <c r="AA441" t="s">
        <v>54</v>
      </c>
      <c r="AB441" t="s">
        <v>55</v>
      </c>
      <c r="AC441" t="s">
        <v>92</v>
      </c>
      <c r="AD441" t="s">
        <v>41</v>
      </c>
      <c r="AE441" t="s">
        <v>45</v>
      </c>
      <c r="AF441" t="s">
        <v>40</v>
      </c>
      <c r="AG441" t="s">
        <v>55</v>
      </c>
      <c r="AH441" t="s">
        <v>55</v>
      </c>
      <c r="AI441" t="s">
        <v>55</v>
      </c>
    </row>
    <row r="442" spans="1:35" x14ac:dyDescent="0.25">
      <c r="A442" t="s">
        <v>142</v>
      </c>
      <c r="B442" t="s">
        <v>36</v>
      </c>
      <c r="C442" t="s">
        <v>60</v>
      </c>
      <c r="D442" t="s">
        <v>1665</v>
      </c>
      <c r="E442" t="s">
        <v>397</v>
      </c>
      <c r="F442" t="s">
        <v>69</v>
      </c>
      <c r="G442" t="s">
        <v>45</v>
      </c>
      <c r="H442" t="s">
        <v>397</v>
      </c>
      <c r="I442" t="s">
        <v>40</v>
      </c>
      <c r="J442" t="s">
        <v>1666</v>
      </c>
      <c r="K442" t="s">
        <v>41</v>
      </c>
      <c r="L442" t="s">
        <v>43</v>
      </c>
      <c r="M442" t="s">
        <v>234</v>
      </c>
      <c r="N442" t="s">
        <v>45</v>
      </c>
      <c r="O442" t="s">
        <v>45</v>
      </c>
      <c r="P442" t="s">
        <v>397</v>
      </c>
      <c r="Q442" t="s">
        <v>40</v>
      </c>
      <c r="R442" t="s">
        <v>109</v>
      </c>
      <c r="S442" t="s">
        <v>1667</v>
      </c>
      <c r="T442" t="s">
        <v>1668</v>
      </c>
      <c r="U442" t="s">
        <v>91</v>
      </c>
      <c r="V442" t="s">
        <v>52</v>
      </c>
      <c r="W442" t="s">
        <v>36</v>
      </c>
      <c r="X442" t="s">
        <v>79</v>
      </c>
      <c r="Y442" t="s">
        <v>45</v>
      </c>
      <c r="Z442" t="s">
        <v>45</v>
      </c>
      <c r="AA442" t="s">
        <v>54</v>
      </c>
      <c r="AB442" t="s">
        <v>45</v>
      </c>
      <c r="AC442" t="s">
        <v>53</v>
      </c>
      <c r="AD442" t="s">
        <v>41</v>
      </c>
      <c r="AE442" t="s">
        <v>45</v>
      </c>
      <c r="AF442" t="s">
        <v>45</v>
      </c>
      <c r="AG442" t="s">
        <v>41</v>
      </c>
      <c r="AH442" t="s">
        <v>55</v>
      </c>
      <c r="AI442" t="s">
        <v>41</v>
      </c>
    </row>
    <row r="443" spans="1:35" x14ac:dyDescent="0.25">
      <c r="A443" t="s">
        <v>204</v>
      </c>
      <c r="B443" t="s">
        <v>59</v>
      </c>
      <c r="C443" t="s">
        <v>60</v>
      </c>
      <c r="D443" t="s">
        <v>1669</v>
      </c>
      <c r="E443" t="s">
        <v>62</v>
      </c>
      <c r="F443" t="s">
        <v>57</v>
      </c>
      <c r="G443" t="s">
        <v>41</v>
      </c>
      <c r="H443" t="s">
        <v>74</v>
      </c>
      <c r="I443" t="s">
        <v>40</v>
      </c>
      <c r="J443" t="s">
        <v>86</v>
      </c>
      <c r="K443" t="s">
        <v>41</v>
      </c>
      <c r="L443" t="s">
        <v>63</v>
      </c>
      <c r="M443" t="s">
        <v>244</v>
      </c>
      <c r="N443" t="s">
        <v>45</v>
      </c>
      <c r="O443" t="s">
        <v>40</v>
      </c>
      <c r="P443" t="s">
        <v>76</v>
      </c>
      <c r="Q443" t="s">
        <v>45</v>
      </c>
      <c r="R443" t="s">
        <v>66</v>
      </c>
      <c r="S443" t="s">
        <v>1670</v>
      </c>
      <c r="T443" t="s">
        <v>1671</v>
      </c>
      <c r="U443" t="s">
        <v>47</v>
      </c>
      <c r="V443" t="s">
        <v>52</v>
      </c>
      <c r="W443" t="s">
        <v>59</v>
      </c>
      <c r="X443" t="s">
        <v>125</v>
      </c>
      <c r="Y443" t="s">
        <v>45</v>
      </c>
      <c r="Z443" t="s">
        <v>47</v>
      </c>
      <c r="AA443" t="s">
        <v>54</v>
      </c>
      <c r="AB443" t="s">
        <v>40</v>
      </c>
      <c r="AC443" t="s">
        <v>51</v>
      </c>
      <c r="AD443" t="s">
        <v>47</v>
      </c>
      <c r="AE443" t="s">
        <v>45</v>
      </c>
      <c r="AF443" t="s">
        <v>41</v>
      </c>
      <c r="AG443" t="s">
        <v>41</v>
      </c>
      <c r="AH443" t="s">
        <v>41</v>
      </c>
      <c r="AI443" t="s">
        <v>55</v>
      </c>
    </row>
    <row r="444" spans="1:35" x14ac:dyDescent="0.25">
      <c r="A444" t="s">
        <v>120</v>
      </c>
      <c r="B444" t="s">
        <v>59</v>
      </c>
      <c r="C444" t="s">
        <v>161</v>
      </c>
      <c r="D444" t="s">
        <v>873</v>
      </c>
      <c r="E444" t="s">
        <v>39</v>
      </c>
      <c r="F444" t="s">
        <v>70</v>
      </c>
      <c r="G444" t="s">
        <v>47</v>
      </c>
      <c r="H444" t="s">
        <v>87</v>
      </c>
      <c r="I444" t="s">
        <v>40</v>
      </c>
      <c r="J444" t="s">
        <v>1672</v>
      </c>
      <c r="K444" t="s">
        <v>41</v>
      </c>
      <c r="L444" t="s">
        <v>63</v>
      </c>
      <c r="M444" t="s">
        <v>93</v>
      </c>
      <c r="N444" t="s">
        <v>45</v>
      </c>
      <c r="O444" t="s">
        <v>45</v>
      </c>
      <c r="P444" t="s">
        <v>46</v>
      </c>
      <c r="Q444" t="s">
        <v>47</v>
      </c>
      <c r="R444" t="s">
        <v>48</v>
      </c>
      <c r="S444" t="s">
        <v>156</v>
      </c>
      <c r="T444" t="s">
        <v>1673</v>
      </c>
      <c r="U444" t="s">
        <v>40</v>
      </c>
      <c r="V444" t="s">
        <v>52</v>
      </c>
      <c r="W444" t="s">
        <v>59</v>
      </c>
      <c r="X444" t="s">
        <v>129</v>
      </c>
      <c r="Y444" t="s">
        <v>45</v>
      </c>
      <c r="Z444" t="s">
        <v>47</v>
      </c>
      <c r="AA444" t="s">
        <v>54</v>
      </c>
      <c r="AB444" t="s">
        <v>55</v>
      </c>
      <c r="AC444" t="s">
        <v>70</v>
      </c>
      <c r="AD444" t="s">
        <v>45</v>
      </c>
      <c r="AE444" t="s">
        <v>41</v>
      </c>
      <c r="AF444" t="s">
        <v>70</v>
      </c>
      <c r="AG444" t="s">
        <v>45</v>
      </c>
      <c r="AH444" t="s">
        <v>91</v>
      </c>
      <c r="AI444" t="s">
        <v>71</v>
      </c>
    </row>
    <row r="445" spans="1:35" x14ac:dyDescent="0.25">
      <c r="A445" t="s">
        <v>112</v>
      </c>
      <c r="B445" t="s">
        <v>36</v>
      </c>
      <c r="C445" t="s">
        <v>60</v>
      </c>
      <c r="D445" t="s">
        <v>1577</v>
      </c>
      <c r="E445" t="s">
        <v>62</v>
      </c>
      <c r="F445" t="s">
        <v>47</v>
      </c>
      <c r="G445" t="s">
        <v>40</v>
      </c>
      <c r="H445" t="s">
        <v>228</v>
      </c>
      <c r="I445" t="s">
        <v>40</v>
      </c>
      <c r="J445" t="s">
        <v>1415</v>
      </c>
      <c r="K445" t="s">
        <v>45</v>
      </c>
      <c r="L445" t="s">
        <v>63</v>
      </c>
      <c r="M445" t="s">
        <v>338</v>
      </c>
      <c r="N445" t="s">
        <v>41</v>
      </c>
      <c r="O445" t="s">
        <v>40</v>
      </c>
      <c r="P445" t="s">
        <v>76</v>
      </c>
      <c r="Q445" t="s">
        <v>45</v>
      </c>
      <c r="R445" t="s">
        <v>48</v>
      </c>
      <c r="S445" t="s">
        <v>1674</v>
      </c>
      <c r="T445" t="s">
        <v>1675</v>
      </c>
      <c r="U445" t="s">
        <v>57</v>
      </c>
      <c r="V445" t="s">
        <v>52</v>
      </c>
      <c r="W445" t="s">
        <v>59</v>
      </c>
      <c r="X445" t="s">
        <v>128</v>
      </c>
      <c r="Y445" t="s">
        <v>45</v>
      </c>
      <c r="Z445" t="s">
        <v>45</v>
      </c>
      <c r="AA445" t="s">
        <v>54</v>
      </c>
      <c r="AB445" t="s">
        <v>55</v>
      </c>
      <c r="AC445" t="s">
        <v>47</v>
      </c>
      <c r="AD445" t="s">
        <v>45</v>
      </c>
      <c r="AE445" t="s">
        <v>45</v>
      </c>
      <c r="AF445" t="s">
        <v>41</v>
      </c>
      <c r="AG445" t="s">
        <v>41</v>
      </c>
      <c r="AH445" t="s">
        <v>40</v>
      </c>
      <c r="AI445" t="s">
        <v>41</v>
      </c>
    </row>
    <row r="446" spans="1:35" x14ac:dyDescent="0.25">
      <c r="A446" t="s">
        <v>207</v>
      </c>
      <c r="B446" t="s">
        <v>59</v>
      </c>
      <c r="C446" t="s">
        <v>37</v>
      </c>
      <c r="D446" t="s">
        <v>570</v>
      </c>
      <c r="E446" t="s">
        <v>39</v>
      </c>
      <c r="F446" t="s">
        <v>41</v>
      </c>
      <c r="G446" t="s">
        <v>57</v>
      </c>
      <c r="H446" t="s">
        <v>206</v>
      </c>
      <c r="I446" t="s">
        <v>40</v>
      </c>
      <c r="J446" t="s">
        <v>1676</v>
      </c>
      <c r="K446" t="s">
        <v>41</v>
      </c>
      <c r="L446" t="s">
        <v>43</v>
      </c>
      <c r="M446" t="s">
        <v>72</v>
      </c>
      <c r="N446" t="s">
        <v>45</v>
      </c>
      <c r="O446" t="s">
        <v>41</v>
      </c>
      <c r="P446" t="s">
        <v>46</v>
      </c>
      <c r="Q446" t="s">
        <v>47</v>
      </c>
      <c r="R446" t="s">
        <v>66</v>
      </c>
      <c r="S446" t="s">
        <v>1677</v>
      </c>
      <c r="T446" t="s">
        <v>1678</v>
      </c>
      <c r="U446" t="s">
        <v>41</v>
      </c>
      <c r="V446" t="s">
        <v>52</v>
      </c>
      <c r="W446" t="s">
        <v>59</v>
      </c>
      <c r="X446" t="s">
        <v>129</v>
      </c>
      <c r="Y446" t="s">
        <v>45</v>
      </c>
      <c r="Z446" t="s">
        <v>40</v>
      </c>
      <c r="AA446" t="s">
        <v>54</v>
      </c>
      <c r="AB446" t="s">
        <v>40</v>
      </c>
      <c r="AC446" t="s">
        <v>129</v>
      </c>
      <c r="AD446" t="s">
        <v>41</v>
      </c>
      <c r="AE446" t="s">
        <v>45</v>
      </c>
      <c r="AF446" t="s">
        <v>91</v>
      </c>
      <c r="AG446" t="s">
        <v>71</v>
      </c>
      <c r="AH446" t="s">
        <v>56</v>
      </c>
      <c r="AI446" t="s">
        <v>71</v>
      </c>
    </row>
    <row r="447" spans="1:35" x14ac:dyDescent="0.25">
      <c r="A447" t="s">
        <v>263</v>
      </c>
      <c r="B447" t="s">
        <v>59</v>
      </c>
      <c r="C447" t="s">
        <v>37</v>
      </c>
      <c r="D447" t="s">
        <v>1170</v>
      </c>
      <c r="E447" t="s">
        <v>39</v>
      </c>
      <c r="F447" t="s">
        <v>145</v>
      </c>
      <c r="G447" t="s">
        <v>57</v>
      </c>
      <c r="H447" t="s">
        <v>42</v>
      </c>
      <c r="I447" t="s">
        <v>40</v>
      </c>
      <c r="J447" t="s">
        <v>1679</v>
      </c>
      <c r="K447" t="s">
        <v>40</v>
      </c>
      <c r="L447" t="s">
        <v>43</v>
      </c>
      <c r="M447" t="s">
        <v>193</v>
      </c>
      <c r="N447" t="s">
        <v>45</v>
      </c>
      <c r="O447" t="s">
        <v>47</v>
      </c>
      <c r="P447" t="s">
        <v>169</v>
      </c>
      <c r="Q447" t="s">
        <v>41</v>
      </c>
      <c r="R447" t="s">
        <v>48</v>
      </c>
      <c r="S447" t="s">
        <v>1680</v>
      </c>
      <c r="T447" t="s">
        <v>1681</v>
      </c>
      <c r="U447" t="s">
        <v>45</v>
      </c>
      <c r="V447" t="s">
        <v>52</v>
      </c>
      <c r="W447" t="s">
        <v>59</v>
      </c>
      <c r="X447" t="s">
        <v>69</v>
      </c>
      <c r="Y447" t="s">
        <v>47</v>
      </c>
      <c r="Z447" t="s">
        <v>47</v>
      </c>
      <c r="AA447" t="s">
        <v>54</v>
      </c>
      <c r="AB447" t="s">
        <v>55</v>
      </c>
      <c r="AC447" t="s">
        <v>72</v>
      </c>
      <c r="AD447" t="s">
        <v>41</v>
      </c>
      <c r="AE447" t="s">
        <v>45</v>
      </c>
      <c r="AF447" t="s">
        <v>70</v>
      </c>
      <c r="AG447" t="s">
        <v>91</v>
      </c>
      <c r="AH447" t="s">
        <v>71</v>
      </c>
      <c r="AI447" t="s">
        <v>71</v>
      </c>
    </row>
    <row r="448" spans="1:35" x14ac:dyDescent="0.25">
      <c r="A448" t="s">
        <v>35</v>
      </c>
      <c r="B448" t="s">
        <v>59</v>
      </c>
      <c r="C448" t="s">
        <v>161</v>
      </c>
      <c r="D448" t="s">
        <v>829</v>
      </c>
      <c r="E448" t="s">
        <v>39</v>
      </c>
      <c r="F448" t="s">
        <v>70</v>
      </c>
      <c r="G448" t="s">
        <v>41</v>
      </c>
      <c r="H448" t="s">
        <v>42</v>
      </c>
      <c r="I448" t="s">
        <v>40</v>
      </c>
      <c r="J448" t="s">
        <v>1682</v>
      </c>
      <c r="K448" t="s">
        <v>47</v>
      </c>
      <c r="L448" t="s">
        <v>63</v>
      </c>
      <c r="M448" t="s">
        <v>82</v>
      </c>
      <c r="N448" t="s">
        <v>45</v>
      </c>
      <c r="O448" t="s">
        <v>41</v>
      </c>
      <c r="P448" t="s">
        <v>46</v>
      </c>
      <c r="Q448" t="s">
        <v>47</v>
      </c>
      <c r="R448" t="s">
        <v>48</v>
      </c>
      <c r="S448" t="s">
        <v>1683</v>
      </c>
      <c r="T448" t="s">
        <v>1684</v>
      </c>
      <c r="U448" t="s">
        <v>71</v>
      </c>
      <c r="V448" t="s">
        <v>52</v>
      </c>
      <c r="W448" t="s">
        <v>59</v>
      </c>
      <c r="X448" t="s">
        <v>129</v>
      </c>
      <c r="Y448" t="s">
        <v>45</v>
      </c>
      <c r="Z448" t="s">
        <v>47</v>
      </c>
      <c r="AA448" t="s">
        <v>54</v>
      </c>
      <c r="AB448" t="s">
        <v>55</v>
      </c>
      <c r="AC448" t="s">
        <v>128</v>
      </c>
      <c r="AD448" t="s">
        <v>45</v>
      </c>
      <c r="AE448" t="s">
        <v>45</v>
      </c>
      <c r="AF448" t="s">
        <v>129</v>
      </c>
      <c r="AG448" t="s">
        <v>45</v>
      </c>
      <c r="AH448" t="s">
        <v>40</v>
      </c>
      <c r="AI448" t="s">
        <v>70</v>
      </c>
    </row>
    <row r="449" spans="1:35" x14ac:dyDescent="0.25">
      <c r="A449" t="s">
        <v>126</v>
      </c>
      <c r="B449" t="s">
        <v>59</v>
      </c>
      <c r="C449" t="s">
        <v>37</v>
      </c>
      <c r="D449" t="s">
        <v>1685</v>
      </c>
      <c r="E449" t="s">
        <v>39</v>
      </c>
      <c r="F449" t="s">
        <v>40</v>
      </c>
      <c r="G449" t="s">
        <v>45</v>
      </c>
      <c r="H449" t="s">
        <v>206</v>
      </c>
      <c r="I449" t="s">
        <v>40</v>
      </c>
      <c r="J449" t="s">
        <v>1686</v>
      </c>
      <c r="K449" t="s">
        <v>41</v>
      </c>
      <c r="L449" t="s">
        <v>63</v>
      </c>
      <c r="M449" t="s">
        <v>348</v>
      </c>
      <c r="N449" t="s">
        <v>45</v>
      </c>
      <c r="O449" t="s">
        <v>41</v>
      </c>
      <c r="P449" t="s">
        <v>46</v>
      </c>
      <c r="Q449" t="s">
        <v>45</v>
      </c>
      <c r="R449" t="s">
        <v>66</v>
      </c>
      <c r="S449" t="s">
        <v>1687</v>
      </c>
      <c r="T449" t="s">
        <v>1688</v>
      </c>
      <c r="U449" t="s">
        <v>91</v>
      </c>
      <c r="V449" t="s">
        <v>52</v>
      </c>
      <c r="W449" t="s">
        <v>59</v>
      </c>
      <c r="X449" t="s">
        <v>53</v>
      </c>
      <c r="Y449" t="s">
        <v>45</v>
      </c>
      <c r="Z449" t="s">
        <v>45</v>
      </c>
      <c r="AA449" t="s">
        <v>54</v>
      </c>
      <c r="AB449" t="s">
        <v>55</v>
      </c>
      <c r="AC449" t="s">
        <v>79</v>
      </c>
      <c r="AD449" t="s">
        <v>41</v>
      </c>
      <c r="AE449" t="s">
        <v>45</v>
      </c>
      <c r="AF449" t="s">
        <v>53</v>
      </c>
      <c r="AG449" t="s">
        <v>91</v>
      </c>
      <c r="AH449" t="s">
        <v>56</v>
      </c>
      <c r="AI449" t="s">
        <v>91</v>
      </c>
    </row>
    <row r="450" spans="1:35" x14ac:dyDescent="0.25">
      <c r="A450" t="s">
        <v>88</v>
      </c>
      <c r="B450" t="s">
        <v>59</v>
      </c>
      <c r="C450" t="s">
        <v>37</v>
      </c>
      <c r="D450" t="s">
        <v>915</v>
      </c>
      <c r="E450" t="s">
        <v>62</v>
      </c>
      <c r="F450" t="s">
        <v>56</v>
      </c>
      <c r="G450" t="s">
        <v>45</v>
      </c>
      <c r="H450" t="s">
        <v>42</v>
      </c>
      <c r="I450" t="s">
        <v>40</v>
      </c>
      <c r="J450" t="s">
        <v>1689</v>
      </c>
      <c r="K450" t="s">
        <v>41</v>
      </c>
      <c r="L450" t="s">
        <v>43</v>
      </c>
      <c r="M450" t="s">
        <v>255</v>
      </c>
      <c r="N450" t="s">
        <v>45</v>
      </c>
      <c r="O450" t="s">
        <v>47</v>
      </c>
      <c r="P450" t="s">
        <v>116</v>
      </c>
      <c r="Q450" t="s">
        <v>45</v>
      </c>
      <c r="R450" t="s">
        <v>48</v>
      </c>
      <c r="S450" t="s">
        <v>1690</v>
      </c>
      <c r="T450" t="s">
        <v>1691</v>
      </c>
      <c r="U450" t="s">
        <v>71</v>
      </c>
      <c r="V450" t="s">
        <v>52</v>
      </c>
      <c r="W450" t="s">
        <v>59</v>
      </c>
      <c r="X450" t="s">
        <v>79</v>
      </c>
      <c r="Y450" t="s">
        <v>45</v>
      </c>
      <c r="Z450" t="s">
        <v>45</v>
      </c>
      <c r="AA450" t="s">
        <v>54</v>
      </c>
      <c r="AB450" t="s">
        <v>55</v>
      </c>
      <c r="AC450" t="s">
        <v>112</v>
      </c>
      <c r="AD450" t="s">
        <v>45</v>
      </c>
      <c r="AE450" t="s">
        <v>45</v>
      </c>
      <c r="AF450" t="s">
        <v>104</v>
      </c>
      <c r="AG450" t="s">
        <v>56</v>
      </c>
      <c r="AH450" t="s">
        <v>57</v>
      </c>
      <c r="AI450" t="s">
        <v>98</v>
      </c>
    </row>
    <row r="451" spans="1:35" x14ac:dyDescent="0.25">
      <c r="A451" t="s">
        <v>218</v>
      </c>
      <c r="B451" t="s">
        <v>59</v>
      </c>
      <c r="C451" t="s">
        <v>60</v>
      </c>
      <c r="D451" t="s">
        <v>1692</v>
      </c>
      <c r="E451" t="s">
        <v>62</v>
      </c>
      <c r="F451" t="s">
        <v>51</v>
      </c>
      <c r="G451" t="s">
        <v>40</v>
      </c>
      <c r="H451" t="s">
        <v>42</v>
      </c>
      <c r="I451" t="s">
        <v>40</v>
      </c>
      <c r="J451" t="s">
        <v>744</v>
      </c>
      <c r="K451" t="s">
        <v>45</v>
      </c>
      <c r="L451" t="s">
        <v>43</v>
      </c>
      <c r="M451" t="s">
        <v>207</v>
      </c>
      <c r="N451" t="s">
        <v>45</v>
      </c>
      <c r="O451" t="s">
        <v>40</v>
      </c>
      <c r="P451" t="s">
        <v>76</v>
      </c>
      <c r="Q451" t="s">
        <v>45</v>
      </c>
      <c r="R451" t="s">
        <v>66</v>
      </c>
      <c r="S451" t="s">
        <v>1693</v>
      </c>
      <c r="T451" t="s">
        <v>1694</v>
      </c>
      <c r="U451" t="s">
        <v>40</v>
      </c>
      <c r="V451" t="s">
        <v>52</v>
      </c>
      <c r="W451" t="s">
        <v>59</v>
      </c>
      <c r="X451" t="s">
        <v>53</v>
      </c>
      <c r="Y451" t="s">
        <v>45</v>
      </c>
      <c r="Z451" t="s">
        <v>40</v>
      </c>
      <c r="AA451" t="s">
        <v>54</v>
      </c>
      <c r="AB451" t="s">
        <v>40</v>
      </c>
      <c r="AC451" t="s">
        <v>51</v>
      </c>
      <c r="AD451" t="s">
        <v>45</v>
      </c>
      <c r="AE451" t="s">
        <v>45</v>
      </c>
      <c r="AF451" t="s">
        <v>51</v>
      </c>
      <c r="AG451" t="s">
        <v>45</v>
      </c>
      <c r="AH451" t="s">
        <v>55</v>
      </c>
      <c r="AI451" t="s">
        <v>71</v>
      </c>
    </row>
    <row r="452" spans="1:35" x14ac:dyDescent="0.25">
      <c r="A452" t="s">
        <v>137</v>
      </c>
      <c r="B452" t="s">
        <v>59</v>
      </c>
      <c r="C452" t="s">
        <v>37</v>
      </c>
      <c r="D452" t="s">
        <v>1695</v>
      </c>
      <c r="E452" t="s">
        <v>39</v>
      </c>
      <c r="F452" t="s">
        <v>41</v>
      </c>
      <c r="G452" t="s">
        <v>40</v>
      </c>
      <c r="H452" t="s">
        <v>42</v>
      </c>
      <c r="I452" t="s">
        <v>40</v>
      </c>
      <c r="J452" t="s">
        <v>1696</v>
      </c>
      <c r="K452" t="s">
        <v>41</v>
      </c>
      <c r="L452" t="s">
        <v>63</v>
      </c>
      <c r="M452" t="s">
        <v>326</v>
      </c>
      <c r="N452" t="s">
        <v>45</v>
      </c>
      <c r="O452" t="s">
        <v>41</v>
      </c>
      <c r="P452" t="s">
        <v>46</v>
      </c>
      <c r="Q452" t="s">
        <v>47</v>
      </c>
      <c r="R452" t="s">
        <v>48</v>
      </c>
      <c r="S452" t="s">
        <v>1485</v>
      </c>
      <c r="T452" t="s">
        <v>1697</v>
      </c>
      <c r="U452" t="s">
        <v>47</v>
      </c>
      <c r="V452" t="s">
        <v>52</v>
      </c>
      <c r="W452" t="s">
        <v>36</v>
      </c>
      <c r="X452" t="s">
        <v>98</v>
      </c>
      <c r="Y452" t="s">
        <v>45</v>
      </c>
      <c r="Z452" t="s">
        <v>45</v>
      </c>
      <c r="AA452" t="s">
        <v>54</v>
      </c>
      <c r="AB452" t="s">
        <v>55</v>
      </c>
      <c r="AC452" t="s">
        <v>70</v>
      </c>
      <c r="AD452" t="s">
        <v>41</v>
      </c>
      <c r="AE452" t="s">
        <v>47</v>
      </c>
      <c r="AF452" t="s">
        <v>56</v>
      </c>
      <c r="AG452" t="s">
        <v>57</v>
      </c>
      <c r="AH452" t="s">
        <v>55</v>
      </c>
      <c r="AI452" t="s">
        <v>57</v>
      </c>
    </row>
    <row r="453" spans="1:35" x14ac:dyDescent="0.25">
      <c r="A453" t="s">
        <v>204</v>
      </c>
      <c r="B453" t="s">
        <v>59</v>
      </c>
      <c r="C453" t="s">
        <v>37</v>
      </c>
      <c r="D453" t="s">
        <v>942</v>
      </c>
      <c r="E453" t="s">
        <v>62</v>
      </c>
      <c r="F453" t="s">
        <v>107</v>
      </c>
      <c r="G453" t="s">
        <v>45</v>
      </c>
      <c r="H453" t="s">
        <v>87</v>
      </c>
      <c r="I453" t="s">
        <v>40</v>
      </c>
      <c r="J453" t="s">
        <v>1698</v>
      </c>
      <c r="K453" t="s">
        <v>47</v>
      </c>
      <c r="L453" t="s">
        <v>63</v>
      </c>
      <c r="M453" t="s">
        <v>82</v>
      </c>
      <c r="N453" t="s">
        <v>45</v>
      </c>
      <c r="O453" t="s">
        <v>45</v>
      </c>
      <c r="P453" t="s">
        <v>116</v>
      </c>
      <c r="Q453" t="s">
        <v>40</v>
      </c>
      <c r="R453" t="s">
        <v>66</v>
      </c>
      <c r="S453" t="s">
        <v>1699</v>
      </c>
      <c r="T453" t="s">
        <v>1700</v>
      </c>
      <c r="U453" t="s">
        <v>40</v>
      </c>
      <c r="V453" t="s">
        <v>52</v>
      </c>
      <c r="W453" t="s">
        <v>36</v>
      </c>
      <c r="X453" t="s">
        <v>119</v>
      </c>
      <c r="Y453" t="s">
        <v>47</v>
      </c>
      <c r="Z453" t="s">
        <v>47</v>
      </c>
      <c r="AA453" t="s">
        <v>54</v>
      </c>
      <c r="AB453" t="s">
        <v>40</v>
      </c>
      <c r="AC453" t="s">
        <v>70</v>
      </c>
      <c r="AD453" t="s">
        <v>57</v>
      </c>
      <c r="AE453" t="s">
        <v>41</v>
      </c>
      <c r="AF453" t="s">
        <v>70</v>
      </c>
      <c r="AG453" t="s">
        <v>91</v>
      </c>
      <c r="AH453" t="s">
        <v>57</v>
      </c>
      <c r="AI453" t="s">
        <v>51</v>
      </c>
    </row>
    <row r="454" spans="1:35" x14ac:dyDescent="0.25">
      <c r="A454" t="s">
        <v>174</v>
      </c>
      <c r="B454" t="s">
        <v>59</v>
      </c>
      <c r="C454" t="s">
        <v>37</v>
      </c>
      <c r="D454" t="s">
        <v>1701</v>
      </c>
      <c r="E454" t="s">
        <v>39</v>
      </c>
      <c r="F454" t="s">
        <v>41</v>
      </c>
      <c r="G454" t="s">
        <v>45</v>
      </c>
      <c r="H454" t="s">
        <v>74</v>
      </c>
      <c r="I454" t="s">
        <v>40</v>
      </c>
      <c r="J454" t="s">
        <v>1702</v>
      </c>
      <c r="K454" t="s">
        <v>47</v>
      </c>
      <c r="L454" t="s">
        <v>63</v>
      </c>
      <c r="M454" t="s">
        <v>64</v>
      </c>
      <c r="N454" t="s">
        <v>45</v>
      </c>
      <c r="O454" t="s">
        <v>41</v>
      </c>
      <c r="P454" t="s">
        <v>46</v>
      </c>
      <c r="Q454" t="s">
        <v>41</v>
      </c>
      <c r="R454" t="s">
        <v>66</v>
      </c>
      <c r="S454" t="s">
        <v>1703</v>
      </c>
      <c r="T454" t="s">
        <v>1704</v>
      </c>
      <c r="U454" t="s">
        <v>55</v>
      </c>
      <c r="V454" t="s">
        <v>52</v>
      </c>
      <c r="W454" t="s">
        <v>59</v>
      </c>
      <c r="X454" t="s">
        <v>144</v>
      </c>
      <c r="Y454" t="s">
        <v>45</v>
      </c>
      <c r="Z454" t="s">
        <v>41</v>
      </c>
      <c r="AA454" t="s">
        <v>54</v>
      </c>
      <c r="AB454" t="s">
        <v>40</v>
      </c>
      <c r="AC454" t="s">
        <v>91</v>
      </c>
      <c r="AD454" t="s">
        <v>45</v>
      </c>
      <c r="AE454" t="s">
        <v>47</v>
      </c>
      <c r="AF454" t="s">
        <v>51</v>
      </c>
      <c r="AG454" t="s">
        <v>71</v>
      </c>
      <c r="AH454" t="s">
        <v>45</v>
      </c>
      <c r="AI454" t="s">
        <v>71</v>
      </c>
    </row>
    <row r="455" spans="1:35" x14ac:dyDescent="0.25">
      <c r="A455" t="s">
        <v>139</v>
      </c>
      <c r="B455" t="s">
        <v>36</v>
      </c>
      <c r="C455" t="s">
        <v>60</v>
      </c>
      <c r="D455" t="s">
        <v>1251</v>
      </c>
      <c r="E455" t="s">
        <v>397</v>
      </c>
      <c r="F455" t="s">
        <v>125</v>
      </c>
      <c r="G455" t="s">
        <v>47</v>
      </c>
      <c r="H455" t="s">
        <v>42</v>
      </c>
      <c r="I455" t="s">
        <v>40</v>
      </c>
      <c r="J455" t="s">
        <v>1705</v>
      </c>
      <c r="K455" t="s">
        <v>41</v>
      </c>
      <c r="L455" t="s">
        <v>43</v>
      </c>
      <c r="M455" t="s">
        <v>197</v>
      </c>
      <c r="N455" t="s">
        <v>45</v>
      </c>
      <c r="O455" t="s">
        <v>40</v>
      </c>
      <c r="P455" t="s">
        <v>397</v>
      </c>
      <c r="Q455" t="s">
        <v>45</v>
      </c>
      <c r="R455" t="s">
        <v>109</v>
      </c>
      <c r="S455" t="s">
        <v>860</v>
      </c>
      <c r="T455" t="s">
        <v>1706</v>
      </c>
      <c r="U455" t="s">
        <v>55</v>
      </c>
      <c r="V455" t="s">
        <v>52</v>
      </c>
      <c r="W455" t="s">
        <v>36</v>
      </c>
      <c r="X455" t="s">
        <v>53</v>
      </c>
      <c r="Y455" t="s">
        <v>45</v>
      </c>
      <c r="Z455" t="s">
        <v>41</v>
      </c>
      <c r="AA455" t="s">
        <v>54</v>
      </c>
      <c r="AB455" t="s">
        <v>40</v>
      </c>
      <c r="AC455" t="s">
        <v>51</v>
      </c>
      <c r="AD455" t="s">
        <v>41</v>
      </c>
      <c r="AE455" t="s">
        <v>41</v>
      </c>
      <c r="AF455" t="s">
        <v>71</v>
      </c>
      <c r="AG455" t="s">
        <v>71</v>
      </c>
      <c r="AH455" t="s">
        <v>40</v>
      </c>
      <c r="AI455" t="s">
        <v>55</v>
      </c>
    </row>
    <row r="456" spans="1:35" x14ac:dyDescent="0.25">
      <c r="A456" t="s">
        <v>133</v>
      </c>
      <c r="B456" t="s">
        <v>59</v>
      </c>
      <c r="C456" t="s">
        <v>37</v>
      </c>
      <c r="D456" t="s">
        <v>1707</v>
      </c>
      <c r="E456" t="s">
        <v>62</v>
      </c>
      <c r="F456" t="s">
        <v>144</v>
      </c>
      <c r="G456" t="s">
        <v>45</v>
      </c>
      <c r="H456" t="s">
        <v>228</v>
      </c>
      <c r="I456" t="s">
        <v>40</v>
      </c>
      <c r="J456" t="s">
        <v>1708</v>
      </c>
      <c r="K456" t="s">
        <v>47</v>
      </c>
      <c r="L456" t="s">
        <v>63</v>
      </c>
      <c r="M456" t="s">
        <v>142</v>
      </c>
      <c r="N456" t="s">
        <v>45</v>
      </c>
      <c r="O456" t="s">
        <v>41</v>
      </c>
      <c r="P456" t="s">
        <v>116</v>
      </c>
      <c r="Q456" t="s">
        <v>47</v>
      </c>
      <c r="R456" t="s">
        <v>109</v>
      </c>
      <c r="S456" t="s">
        <v>1709</v>
      </c>
      <c r="T456" t="s">
        <v>1710</v>
      </c>
      <c r="U456" t="s">
        <v>47</v>
      </c>
      <c r="V456" t="s">
        <v>52</v>
      </c>
      <c r="W456" t="s">
        <v>59</v>
      </c>
      <c r="X456" t="s">
        <v>92</v>
      </c>
      <c r="Y456" t="s">
        <v>45</v>
      </c>
      <c r="Z456" t="s">
        <v>41</v>
      </c>
      <c r="AA456" t="s">
        <v>54</v>
      </c>
      <c r="AB456" t="s">
        <v>41</v>
      </c>
      <c r="AC456" t="s">
        <v>51</v>
      </c>
      <c r="AD456" t="s">
        <v>41</v>
      </c>
      <c r="AE456" t="s">
        <v>47</v>
      </c>
      <c r="AF456" t="s">
        <v>45</v>
      </c>
      <c r="AG456" t="s">
        <v>41</v>
      </c>
      <c r="AH456" t="s">
        <v>40</v>
      </c>
      <c r="AI456" t="s">
        <v>41</v>
      </c>
    </row>
    <row r="457" spans="1:35" x14ac:dyDescent="0.25">
      <c r="A457" t="s">
        <v>80</v>
      </c>
      <c r="B457" t="s">
        <v>59</v>
      </c>
      <c r="C457" t="s">
        <v>37</v>
      </c>
      <c r="D457" t="s">
        <v>545</v>
      </c>
      <c r="E457" t="s">
        <v>62</v>
      </c>
      <c r="F457" t="s">
        <v>40</v>
      </c>
      <c r="G457" t="s">
        <v>57</v>
      </c>
      <c r="H457" t="s">
        <v>87</v>
      </c>
      <c r="I457" t="s">
        <v>40</v>
      </c>
      <c r="J457" t="s">
        <v>1711</v>
      </c>
      <c r="K457" t="s">
        <v>40</v>
      </c>
      <c r="L457" t="s">
        <v>43</v>
      </c>
      <c r="M457" t="s">
        <v>349</v>
      </c>
      <c r="N457" t="s">
        <v>47</v>
      </c>
      <c r="O457" t="s">
        <v>47</v>
      </c>
      <c r="P457" t="s">
        <v>186</v>
      </c>
      <c r="Q457" t="s">
        <v>45</v>
      </c>
      <c r="R457" t="s">
        <v>109</v>
      </c>
      <c r="S457" t="s">
        <v>1712</v>
      </c>
      <c r="T457" t="s">
        <v>1713</v>
      </c>
      <c r="U457" t="s">
        <v>47</v>
      </c>
      <c r="V457" t="s">
        <v>52</v>
      </c>
      <c r="W457" t="s">
        <v>59</v>
      </c>
      <c r="X457" t="s">
        <v>144</v>
      </c>
      <c r="Y457" t="s">
        <v>45</v>
      </c>
      <c r="Z457" t="s">
        <v>45</v>
      </c>
      <c r="AA457" t="s">
        <v>54</v>
      </c>
      <c r="AB457" t="s">
        <v>40</v>
      </c>
      <c r="AC457" t="s">
        <v>70</v>
      </c>
      <c r="AD457" t="s">
        <v>41</v>
      </c>
      <c r="AE457" t="s">
        <v>45</v>
      </c>
      <c r="AF457" t="s">
        <v>56</v>
      </c>
      <c r="AG457" t="s">
        <v>40</v>
      </c>
      <c r="AH457" t="s">
        <v>55</v>
      </c>
      <c r="AI457" t="s">
        <v>57</v>
      </c>
    </row>
    <row r="458" spans="1:35" x14ac:dyDescent="0.25">
      <c r="A458" t="s">
        <v>137</v>
      </c>
      <c r="B458" t="s">
        <v>59</v>
      </c>
      <c r="C458" t="s">
        <v>37</v>
      </c>
      <c r="D458" t="s">
        <v>1163</v>
      </c>
      <c r="E458" t="s">
        <v>39</v>
      </c>
      <c r="F458" t="s">
        <v>71</v>
      </c>
      <c r="G458" t="s">
        <v>45</v>
      </c>
      <c r="H458" t="s">
        <v>42</v>
      </c>
      <c r="I458" t="s">
        <v>40</v>
      </c>
      <c r="J458" t="s">
        <v>1714</v>
      </c>
      <c r="K458" t="s">
        <v>45</v>
      </c>
      <c r="L458" t="s">
        <v>63</v>
      </c>
      <c r="M458" t="s">
        <v>115</v>
      </c>
      <c r="N458" t="s">
        <v>41</v>
      </c>
      <c r="O458" t="s">
        <v>45</v>
      </c>
      <c r="P458" t="s">
        <v>169</v>
      </c>
      <c r="Q458" t="s">
        <v>47</v>
      </c>
      <c r="R458" t="s">
        <v>109</v>
      </c>
      <c r="S458" t="s">
        <v>1715</v>
      </c>
      <c r="T458" t="s">
        <v>1716</v>
      </c>
      <c r="U458" t="s">
        <v>91</v>
      </c>
      <c r="V458" t="s">
        <v>52</v>
      </c>
      <c r="W458" t="s">
        <v>59</v>
      </c>
      <c r="X458" t="s">
        <v>119</v>
      </c>
      <c r="Y458" t="s">
        <v>47</v>
      </c>
      <c r="Z458" t="s">
        <v>45</v>
      </c>
      <c r="AA458" t="s">
        <v>54</v>
      </c>
      <c r="AB458" t="s">
        <v>40</v>
      </c>
      <c r="AC458" t="s">
        <v>70</v>
      </c>
      <c r="AD458" t="s">
        <v>45</v>
      </c>
      <c r="AE458" t="s">
        <v>41</v>
      </c>
      <c r="AF458" t="s">
        <v>57</v>
      </c>
      <c r="AG458" t="s">
        <v>47</v>
      </c>
      <c r="AH458" t="s">
        <v>55</v>
      </c>
      <c r="AI458" t="s">
        <v>40</v>
      </c>
    </row>
    <row r="459" spans="1:35" x14ac:dyDescent="0.25">
      <c r="A459" t="s">
        <v>145</v>
      </c>
      <c r="B459" t="s">
        <v>36</v>
      </c>
      <c r="C459" t="s">
        <v>60</v>
      </c>
      <c r="D459" t="s">
        <v>1717</v>
      </c>
      <c r="E459" t="s">
        <v>39</v>
      </c>
      <c r="F459" t="s">
        <v>57</v>
      </c>
      <c r="G459" t="s">
        <v>45</v>
      </c>
      <c r="H459" t="s">
        <v>206</v>
      </c>
      <c r="I459" t="s">
        <v>40</v>
      </c>
      <c r="J459" t="s">
        <v>1718</v>
      </c>
      <c r="K459" t="s">
        <v>41</v>
      </c>
      <c r="L459" t="s">
        <v>63</v>
      </c>
      <c r="M459" t="s">
        <v>1214</v>
      </c>
      <c r="N459" t="s">
        <v>45</v>
      </c>
      <c r="O459" t="s">
        <v>40</v>
      </c>
      <c r="P459" t="s">
        <v>182</v>
      </c>
      <c r="Q459" t="s">
        <v>41</v>
      </c>
      <c r="R459" t="s">
        <v>48</v>
      </c>
      <c r="S459" t="s">
        <v>1719</v>
      </c>
      <c r="T459" t="s">
        <v>1720</v>
      </c>
      <c r="U459" t="s">
        <v>40</v>
      </c>
      <c r="V459" t="s">
        <v>52</v>
      </c>
      <c r="W459" t="s">
        <v>36</v>
      </c>
      <c r="X459" t="s">
        <v>129</v>
      </c>
      <c r="Y459" t="s">
        <v>45</v>
      </c>
      <c r="Z459" t="s">
        <v>47</v>
      </c>
      <c r="AA459" t="s">
        <v>54</v>
      </c>
      <c r="AB459" t="s">
        <v>55</v>
      </c>
      <c r="AC459" t="s">
        <v>55</v>
      </c>
      <c r="AD459" t="s">
        <v>45</v>
      </c>
      <c r="AE459" t="s">
        <v>45</v>
      </c>
      <c r="AF459" t="s">
        <v>55</v>
      </c>
      <c r="AG459" t="s">
        <v>55</v>
      </c>
      <c r="AH459" t="s">
        <v>55</v>
      </c>
      <c r="AI459" t="s">
        <v>55</v>
      </c>
    </row>
    <row r="460" spans="1:35" x14ac:dyDescent="0.25">
      <c r="A460" t="s">
        <v>88</v>
      </c>
      <c r="B460" t="s">
        <v>59</v>
      </c>
      <c r="C460" t="s">
        <v>161</v>
      </c>
      <c r="D460" t="s">
        <v>1721</v>
      </c>
      <c r="E460" t="s">
        <v>39</v>
      </c>
      <c r="F460" t="s">
        <v>149</v>
      </c>
      <c r="G460" t="s">
        <v>45</v>
      </c>
      <c r="H460" t="s">
        <v>74</v>
      </c>
      <c r="I460" t="s">
        <v>40</v>
      </c>
      <c r="J460" t="s">
        <v>1722</v>
      </c>
      <c r="K460" t="s">
        <v>45</v>
      </c>
      <c r="L460" t="s">
        <v>63</v>
      </c>
      <c r="M460" t="s">
        <v>197</v>
      </c>
      <c r="N460" t="s">
        <v>40</v>
      </c>
      <c r="O460" t="s">
        <v>45</v>
      </c>
      <c r="P460" t="s">
        <v>46</v>
      </c>
      <c r="Q460" t="s">
        <v>40</v>
      </c>
      <c r="R460" t="s">
        <v>109</v>
      </c>
      <c r="S460" t="s">
        <v>1723</v>
      </c>
      <c r="T460" t="s">
        <v>1724</v>
      </c>
      <c r="U460" t="s">
        <v>45</v>
      </c>
      <c r="V460" t="s">
        <v>52</v>
      </c>
      <c r="W460" t="s">
        <v>59</v>
      </c>
      <c r="X460" t="s">
        <v>79</v>
      </c>
      <c r="Y460" t="s">
        <v>45</v>
      </c>
      <c r="Z460" t="s">
        <v>45</v>
      </c>
      <c r="AA460" t="s">
        <v>54</v>
      </c>
      <c r="AB460" t="s">
        <v>40</v>
      </c>
      <c r="AC460" t="s">
        <v>104</v>
      </c>
      <c r="AD460" t="s">
        <v>41</v>
      </c>
      <c r="AE460" t="s">
        <v>45</v>
      </c>
      <c r="AF460" t="s">
        <v>40</v>
      </c>
      <c r="AG460" t="s">
        <v>55</v>
      </c>
      <c r="AH460" t="s">
        <v>55</v>
      </c>
      <c r="AI460" t="s">
        <v>40</v>
      </c>
    </row>
    <row r="461" spans="1:35" x14ac:dyDescent="0.25">
      <c r="A461" t="s">
        <v>35</v>
      </c>
      <c r="B461" t="s">
        <v>59</v>
      </c>
      <c r="C461" t="s">
        <v>161</v>
      </c>
      <c r="D461" t="s">
        <v>1725</v>
      </c>
      <c r="E461" t="s">
        <v>62</v>
      </c>
      <c r="F461" t="s">
        <v>41</v>
      </c>
      <c r="G461" t="s">
        <v>47</v>
      </c>
      <c r="H461" t="s">
        <v>74</v>
      </c>
      <c r="I461" t="s">
        <v>40</v>
      </c>
      <c r="J461" t="s">
        <v>1726</v>
      </c>
      <c r="K461" t="s">
        <v>40</v>
      </c>
      <c r="L461" t="s">
        <v>43</v>
      </c>
      <c r="M461" t="s">
        <v>283</v>
      </c>
      <c r="N461" t="s">
        <v>41</v>
      </c>
      <c r="O461" t="s">
        <v>41</v>
      </c>
      <c r="P461" t="s">
        <v>122</v>
      </c>
      <c r="Q461" t="s">
        <v>45</v>
      </c>
      <c r="R461" t="s">
        <v>48</v>
      </c>
      <c r="S461" t="s">
        <v>1727</v>
      </c>
      <c r="T461" t="s">
        <v>1728</v>
      </c>
      <c r="U461" t="s">
        <v>41</v>
      </c>
      <c r="V461" t="s">
        <v>52</v>
      </c>
      <c r="W461" t="s">
        <v>36</v>
      </c>
      <c r="X461" t="s">
        <v>125</v>
      </c>
      <c r="Y461" t="s">
        <v>45</v>
      </c>
      <c r="Z461" t="s">
        <v>40</v>
      </c>
      <c r="AA461" t="s">
        <v>54</v>
      </c>
      <c r="AB461" t="s">
        <v>55</v>
      </c>
      <c r="AC461" t="s">
        <v>70</v>
      </c>
      <c r="AD461" t="s">
        <v>45</v>
      </c>
      <c r="AE461" t="s">
        <v>45</v>
      </c>
      <c r="AF461" t="s">
        <v>51</v>
      </c>
      <c r="AG461" t="s">
        <v>71</v>
      </c>
      <c r="AH461" t="s">
        <v>55</v>
      </c>
      <c r="AI461" t="s">
        <v>71</v>
      </c>
    </row>
    <row r="462" spans="1:35" x14ac:dyDescent="0.25">
      <c r="A462" t="s">
        <v>139</v>
      </c>
      <c r="B462" t="s">
        <v>59</v>
      </c>
      <c r="C462" t="s">
        <v>37</v>
      </c>
      <c r="D462" t="s">
        <v>1729</v>
      </c>
      <c r="E462" t="s">
        <v>39</v>
      </c>
      <c r="F462" t="s">
        <v>133</v>
      </c>
      <c r="G462" t="s">
        <v>41</v>
      </c>
      <c r="H462" t="s">
        <v>87</v>
      </c>
      <c r="I462" t="s">
        <v>40</v>
      </c>
      <c r="J462" t="s">
        <v>1730</v>
      </c>
      <c r="K462" t="s">
        <v>40</v>
      </c>
      <c r="L462" t="s">
        <v>63</v>
      </c>
      <c r="M462" t="s">
        <v>174</v>
      </c>
      <c r="N462" t="s">
        <v>45</v>
      </c>
      <c r="O462" t="s">
        <v>41</v>
      </c>
      <c r="P462" t="s">
        <v>46</v>
      </c>
      <c r="Q462" t="s">
        <v>45</v>
      </c>
      <c r="R462" t="s">
        <v>109</v>
      </c>
      <c r="S462" t="s">
        <v>176</v>
      </c>
      <c r="T462" t="s">
        <v>1731</v>
      </c>
      <c r="U462" t="s">
        <v>57</v>
      </c>
      <c r="V462" t="s">
        <v>52</v>
      </c>
      <c r="W462" t="s">
        <v>59</v>
      </c>
      <c r="X462" t="s">
        <v>92</v>
      </c>
      <c r="Y462" t="s">
        <v>45</v>
      </c>
      <c r="Z462" t="s">
        <v>40</v>
      </c>
      <c r="AA462" t="s">
        <v>54</v>
      </c>
      <c r="AB462" t="s">
        <v>41</v>
      </c>
      <c r="AC462" t="s">
        <v>51</v>
      </c>
      <c r="AD462" t="s">
        <v>57</v>
      </c>
      <c r="AE462" t="s">
        <v>45</v>
      </c>
      <c r="AF462" t="s">
        <v>55</v>
      </c>
      <c r="AG462" t="s">
        <v>55</v>
      </c>
      <c r="AH462" t="s">
        <v>55</v>
      </c>
      <c r="AI462" t="s">
        <v>55</v>
      </c>
    </row>
    <row r="463" spans="1:35" x14ac:dyDescent="0.25">
      <c r="A463" t="s">
        <v>126</v>
      </c>
      <c r="B463" t="s">
        <v>59</v>
      </c>
      <c r="C463" t="s">
        <v>37</v>
      </c>
      <c r="D463" t="s">
        <v>645</v>
      </c>
      <c r="E463" t="s">
        <v>39</v>
      </c>
      <c r="F463" t="s">
        <v>40</v>
      </c>
      <c r="G463" t="s">
        <v>45</v>
      </c>
      <c r="H463" t="s">
        <v>87</v>
      </c>
      <c r="I463" t="s">
        <v>40</v>
      </c>
      <c r="J463" t="s">
        <v>1732</v>
      </c>
      <c r="K463" t="s">
        <v>40</v>
      </c>
      <c r="L463" t="s">
        <v>43</v>
      </c>
      <c r="M463" t="s">
        <v>54</v>
      </c>
      <c r="N463" t="s">
        <v>45</v>
      </c>
      <c r="O463" t="s">
        <v>41</v>
      </c>
      <c r="P463" t="s">
        <v>46</v>
      </c>
      <c r="Q463" t="s">
        <v>45</v>
      </c>
      <c r="R463" t="s">
        <v>48</v>
      </c>
      <c r="S463" t="s">
        <v>1733</v>
      </c>
      <c r="T463" t="s">
        <v>1734</v>
      </c>
      <c r="U463" t="s">
        <v>40</v>
      </c>
      <c r="V463" t="s">
        <v>52</v>
      </c>
      <c r="W463" t="s">
        <v>59</v>
      </c>
      <c r="X463" t="s">
        <v>128</v>
      </c>
      <c r="Y463" t="s">
        <v>45</v>
      </c>
      <c r="Z463" t="s">
        <v>47</v>
      </c>
      <c r="AA463" t="s">
        <v>54</v>
      </c>
      <c r="AB463" t="s">
        <v>55</v>
      </c>
      <c r="AC463" t="s">
        <v>57</v>
      </c>
      <c r="AD463" t="s">
        <v>45</v>
      </c>
      <c r="AE463" t="s">
        <v>45</v>
      </c>
      <c r="AF463" t="s">
        <v>57</v>
      </c>
      <c r="AG463" t="s">
        <v>47</v>
      </c>
      <c r="AH463" t="s">
        <v>55</v>
      </c>
      <c r="AI463" t="s">
        <v>45</v>
      </c>
    </row>
    <row r="464" spans="1:35" x14ac:dyDescent="0.25">
      <c r="A464" t="s">
        <v>142</v>
      </c>
      <c r="B464" t="s">
        <v>59</v>
      </c>
      <c r="C464" t="s">
        <v>37</v>
      </c>
      <c r="D464" t="s">
        <v>807</v>
      </c>
      <c r="E464" t="s">
        <v>39</v>
      </c>
      <c r="F464" t="s">
        <v>119</v>
      </c>
      <c r="G464" t="s">
        <v>47</v>
      </c>
      <c r="H464" t="s">
        <v>42</v>
      </c>
      <c r="I464" t="s">
        <v>40</v>
      </c>
      <c r="J464" t="s">
        <v>1735</v>
      </c>
      <c r="K464" t="s">
        <v>47</v>
      </c>
      <c r="L464" t="s">
        <v>63</v>
      </c>
      <c r="M464" t="s">
        <v>314</v>
      </c>
      <c r="N464" t="s">
        <v>47</v>
      </c>
      <c r="O464" t="s">
        <v>41</v>
      </c>
      <c r="P464" t="s">
        <v>46</v>
      </c>
      <c r="Q464" t="s">
        <v>47</v>
      </c>
      <c r="R464" t="s">
        <v>48</v>
      </c>
      <c r="S464" t="s">
        <v>1736</v>
      </c>
      <c r="T464" t="s">
        <v>1737</v>
      </c>
      <c r="U464" t="s">
        <v>40</v>
      </c>
      <c r="V464" t="s">
        <v>52</v>
      </c>
      <c r="W464" t="s">
        <v>59</v>
      </c>
      <c r="X464" t="s">
        <v>92</v>
      </c>
      <c r="Y464" t="s">
        <v>45</v>
      </c>
      <c r="Z464" t="s">
        <v>47</v>
      </c>
      <c r="AA464" t="s">
        <v>54</v>
      </c>
      <c r="AB464" t="s">
        <v>55</v>
      </c>
      <c r="AC464" t="s">
        <v>70</v>
      </c>
      <c r="AD464" t="s">
        <v>45</v>
      </c>
      <c r="AE464" t="s">
        <v>45</v>
      </c>
      <c r="AF464" t="s">
        <v>70</v>
      </c>
      <c r="AG464" t="s">
        <v>71</v>
      </c>
      <c r="AH464" t="s">
        <v>57</v>
      </c>
      <c r="AI464" t="s">
        <v>71</v>
      </c>
    </row>
    <row r="465" spans="1:35" x14ac:dyDescent="0.25">
      <c r="A465" t="s">
        <v>139</v>
      </c>
      <c r="B465" t="s">
        <v>36</v>
      </c>
      <c r="C465" t="s">
        <v>37</v>
      </c>
      <c r="D465" t="s">
        <v>1384</v>
      </c>
      <c r="E465" t="s">
        <v>62</v>
      </c>
      <c r="F465" t="s">
        <v>107</v>
      </c>
      <c r="G465" t="s">
        <v>45</v>
      </c>
      <c r="H465" t="s">
        <v>228</v>
      </c>
      <c r="I465" t="s">
        <v>40</v>
      </c>
      <c r="J465" t="s">
        <v>1738</v>
      </c>
      <c r="K465" t="s">
        <v>45</v>
      </c>
      <c r="L465" t="s">
        <v>63</v>
      </c>
      <c r="M465" t="s">
        <v>375</v>
      </c>
      <c r="N465" t="s">
        <v>40</v>
      </c>
      <c r="O465" t="s">
        <v>40</v>
      </c>
      <c r="P465" t="s">
        <v>76</v>
      </c>
      <c r="Q465" t="s">
        <v>47</v>
      </c>
      <c r="R465" t="s">
        <v>48</v>
      </c>
      <c r="S465" t="s">
        <v>1037</v>
      </c>
      <c r="T465" t="s">
        <v>1739</v>
      </c>
      <c r="U465" t="s">
        <v>40</v>
      </c>
      <c r="V465" t="s">
        <v>52</v>
      </c>
      <c r="W465" t="s">
        <v>36</v>
      </c>
      <c r="X465" t="s">
        <v>145</v>
      </c>
      <c r="Y465" t="s">
        <v>45</v>
      </c>
      <c r="Z465" t="s">
        <v>41</v>
      </c>
      <c r="AA465" t="s">
        <v>54</v>
      </c>
      <c r="AB465" t="s">
        <v>55</v>
      </c>
      <c r="AC465" t="s">
        <v>40</v>
      </c>
      <c r="AD465" t="s">
        <v>45</v>
      </c>
      <c r="AE465" t="s">
        <v>40</v>
      </c>
      <c r="AF465" t="s">
        <v>40</v>
      </c>
      <c r="AG465" t="s">
        <v>55</v>
      </c>
      <c r="AH465" t="s">
        <v>55</v>
      </c>
      <c r="AI465" t="s">
        <v>55</v>
      </c>
    </row>
    <row r="466" spans="1:35" x14ac:dyDescent="0.25">
      <c r="A466" t="s">
        <v>72</v>
      </c>
      <c r="B466" t="s">
        <v>59</v>
      </c>
      <c r="C466" t="s">
        <v>37</v>
      </c>
      <c r="D466" t="s">
        <v>1740</v>
      </c>
      <c r="E466" t="s">
        <v>62</v>
      </c>
      <c r="F466" t="s">
        <v>40</v>
      </c>
      <c r="G466" t="s">
        <v>45</v>
      </c>
      <c r="H466" t="s">
        <v>228</v>
      </c>
      <c r="I466" t="s">
        <v>40</v>
      </c>
      <c r="J466" t="s">
        <v>1741</v>
      </c>
      <c r="K466" t="s">
        <v>41</v>
      </c>
      <c r="L466" t="s">
        <v>43</v>
      </c>
      <c r="M466" t="s">
        <v>99</v>
      </c>
      <c r="N466" t="s">
        <v>45</v>
      </c>
      <c r="O466" t="s">
        <v>45</v>
      </c>
      <c r="P466" t="s">
        <v>116</v>
      </c>
      <c r="Q466" t="s">
        <v>47</v>
      </c>
      <c r="R466" t="s">
        <v>48</v>
      </c>
      <c r="S466" t="s">
        <v>1742</v>
      </c>
      <c r="T466" t="s">
        <v>1743</v>
      </c>
      <c r="U466" t="s">
        <v>47</v>
      </c>
      <c r="V466" t="s">
        <v>52</v>
      </c>
      <c r="W466" t="s">
        <v>59</v>
      </c>
      <c r="X466" t="s">
        <v>125</v>
      </c>
      <c r="Y466" t="s">
        <v>45</v>
      </c>
      <c r="Z466" t="s">
        <v>47</v>
      </c>
      <c r="AA466" t="s">
        <v>54</v>
      </c>
      <c r="AB466" t="s">
        <v>55</v>
      </c>
      <c r="AC466" t="s">
        <v>92</v>
      </c>
      <c r="AD466" t="s">
        <v>45</v>
      </c>
      <c r="AE466" t="s">
        <v>47</v>
      </c>
      <c r="AF466" t="s">
        <v>56</v>
      </c>
      <c r="AG466" t="s">
        <v>57</v>
      </c>
      <c r="AH466" t="s">
        <v>40</v>
      </c>
      <c r="AI466" t="s">
        <v>41</v>
      </c>
    </row>
    <row r="467" spans="1:35" x14ac:dyDescent="0.25">
      <c r="A467" t="s">
        <v>213</v>
      </c>
      <c r="B467" t="s">
        <v>59</v>
      </c>
      <c r="C467" t="s">
        <v>60</v>
      </c>
      <c r="D467" t="s">
        <v>976</v>
      </c>
      <c r="E467" t="s">
        <v>62</v>
      </c>
      <c r="F467" t="s">
        <v>145</v>
      </c>
      <c r="G467" t="s">
        <v>40</v>
      </c>
      <c r="H467" t="s">
        <v>87</v>
      </c>
      <c r="I467" t="s">
        <v>40</v>
      </c>
      <c r="J467" t="s">
        <v>1744</v>
      </c>
      <c r="K467" t="s">
        <v>40</v>
      </c>
      <c r="L467" t="s">
        <v>43</v>
      </c>
      <c r="M467" t="s">
        <v>240</v>
      </c>
      <c r="N467" t="s">
        <v>45</v>
      </c>
      <c r="O467" t="s">
        <v>45</v>
      </c>
      <c r="P467" t="s">
        <v>122</v>
      </c>
      <c r="Q467" t="s">
        <v>45</v>
      </c>
      <c r="R467" t="s">
        <v>66</v>
      </c>
      <c r="S467" t="s">
        <v>1745</v>
      </c>
      <c r="T467" t="s">
        <v>1746</v>
      </c>
      <c r="U467" t="s">
        <v>57</v>
      </c>
      <c r="V467" t="s">
        <v>52</v>
      </c>
      <c r="W467" t="s">
        <v>59</v>
      </c>
      <c r="X467" t="s">
        <v>53</v>
      </c>
      <c r="Y467" t="s">
        <v>45</v>
      </c>
      <c r="Z467" t="s">
        <v>47</v>
      </c>
      <c r="AA467" t="s">
        <v>54</v>
      </c>
      <c r="AB467" t="s">
        <v>55</v>
      </c>
      <c r="AC467" t="s">
        <v>149</v>
      </c>
      <c r="AD467" t="s">
        <v>45</v>
      </c>
      <c r="AE467" t="s">
        <v>41</v>
      </c>
      <c r="AF467" t="s">
        <v>41</v>
      </c>
      <c r="AG467" t="s">
        <v>41</v>
      </c>
      <c r="AH467" t="s">
        <v>40</v>
      </c>
      <c r="AI467" t="s">
        <v>41</v>
      </c>
    </row>
    <row r="468" spans="1:35" x14ac:dyDescent="0.25">
      <c r="A468" t="s">
        <v>35</v>
      </c>
      <c r="B468" t="s">
        <v>59</v>
      </c>
      <c r="C468" t="s">
        <v>37</v>
      </c>
      <c r="D468" t="s">
        <v>1659</v>
      </c>
      <c r="E468" t="s">
        <v>39</v>
      </c>
      <c r="F468" t="s">
        <v>41</v>
      </c>
      <c r="G468" t="s">
        <v>57</v>
      </c>
      <c r="H468" t="s">
        <v>42</v>
      </c>
      <c r="I468" t="s">
        <v>40</v>
      </c>
      <c r="J468" t="s">
        <v>1747</v>
      </c>
      <c r="K468" t="s">
        <v>41</v>
      </c>
      <c r="L468" t="s">
        <v>43</v>
      </c>
      <c r="M468" t="s">
        <v>364</v>
      </c>
      <c r="N468" t="s">
        <v>45</v>
      </c>
      <c r="O468" t="s">
        <v>47</v>
      </c>
      <c r="P468" t="s">
        <v>169</v>
      </c>
      <c r="Q468" t="s">
        <v>40</v>
      </c>
      <c r="R468" t="s">
        <v>66</v>
      </c>
      <c r="S468" t="s">
        <v>1748</v>
      </c>
      <c r="T468" t="s">
        <v>1749</v>
      </c>
      <c r="U468" t="s">
        <v>71</v>
      </c>
      <c r="V468" t="s">
        <v>52</v>
      </c>
      <c r="W468" t="s">
        <v>59</v>
      </c>
      <c r="X468" t="s">
        <v>128</v>
      </c>
      <c r="Y468" t="s">
        <v>45</v>
      </c>
      <c r="Z468" t="s">
        <v>41</v>
      </c>
      <c r="AA468" t="s">
        <v>54</v>
      </c>
      <c r="AB468" t="s">
        <v>40</v>
      </c>
      <c r="AC468" t="s">
        <v>112</v>
      </c>
      <c r="AD468" t="s">
        <v>41</v>
      </c>
      <c r="AE468" t="s">
        <v>45</v>
      </c>
      <c r="AF468" t="s">
        <v>145</v>
      </c>
      <c r="AG468" t="s">
        <v>128</v>
      </c>
      <c r="AH468" t="s">
        <v>53</v>
      </c>
      <c r="AI468" t="s">
        <v>51</v>
      </c>
    </row>
    <row r="469" spans="1:35" x14ac:dyDescent="0.25">
      <c r="A469" t="s">
        <v>72</v>
      </c>
      <c r="B469" t="s">
        <v>59</v>
      </c>
      <c r="C469" t="s">
        <v>161</v>
      </c>
      <c r="D469" t="s">
        <v>504</v>
      </c>
      <c r="E469" t="s">
        <v>39</v>
      </c>
      <c r="F469" t="s">
        <v>91</v>
      </c>
      <c r="G469" t="s">
        <v>47</v>
      </c>
      <c r="H469" t="s">
        <v>87</v>
      </c>
      <c r="I469" t="s">
        <v>40</v>
      </c>
      <c r="J469" t="s">
        <v>291</v>
      </c>
      <c r="K469" t="s">
        <v>40</v>
      </c>
      <c r="L469" t="s">
        <v>63</v>
      </c>
      <c r="M469" t="s">
        <v>1214</v>
      </c>
      <c r="N469" t="s">
        <v>45</v>
      </c>
      <c r="O469" t="s">
        <v>45</v>
      </c>
      <c r="P469" t="s">
        <v>46</v>
      </c>
      <c r="Q469" t="s">
        <v>41</v>
      </c>
      <c r="R469" t="s">
        <v>109</v>
      </c>
      <c r="S469" t="s">
        <v>1750</v>
      </c>
      <c r="T469" t="s">
        <v>1751</v>
      </c>
      <c r="U469" t="s">
        <v>40</v>
      </c>
      <c r="V469" t="s">
        <v>52</v>
      </c>
      <c r="W469" t="s">
        <v>59</v>
      </c>
      <c r="X469" t="s">
        <v>98</v>
      </c>
      <c r="Y469" t="s">
        <v>45</v>
      </c>
      <c r="Z469" t="s">
        <v>47</v>
      </c>
      <c r="AA469" t="s">
        <v>54</v>
      </c>
      <c r="AB469" t="s">
        <v>40</v>
      </c>
      <c r="AC469" t="s">
        <v>91</v>
      </c>
      <c r="AD469" t="s">
        <v>56</v>
      </c>
      <c r="AE469" t="s">
        <v>45</v>
      </c>
      <c r="AF469" t="s">
        <v>91</v>
      </c>
      <c r="AG469" t="s">
        <v>57</v>
      </c>
      <c r="AH469" t="s">
        <v>71</v>
      </c>
      <c r="AI469" t="s">
        <v>71</v>
      </c>
    </row>
    <row r="470" spans="1:35" x14ac:dyDescent="0.25">
      <c r="A470" t="s">
        <v>251</v>
      </c>
      <c r="B470" t="s">
        <v>59</v>
      </c>
      <c r="C470" t="s">
        <v>37</v>
      </c>
      <c r="D470" t="s">
        <v>1752</v>
      </c>
      <c r="E470" t="s">
        <v>62</v>
      </c>
      <c r="F470" t="s">
        <v>56</v>
      </c>
      <c r="G470" t="s">
        <v>41</v>
      </c>
      <c r="H470" t="s">
        <v>228</v>
      </c>
      <c r="I470" t="s">
        <v>40</v>
      </c>
      <c r="J470" t="s">
        <v>698</v>
      </c>
      <c r="K470" t="s">
        <v>47</v>
      </c>
      <c r="L470" t="s">
        <v>63</v>
      </c>
      <c r="M470" t="s">
        <v>168</v>
      </c>
      <c r="N470" t="s">
        <v>45</v>
      </c>
      <c r="O470" t="s">
        <v>41</v>
      </c>
      <c r="P470" t="s">
        <v>65</v>
      </c>
      <c r="Q470" t="s">
        <v>40</v>
      </c>
      <c r="R470" t="s">
        <v>109</v>
      </c>
      <c r="S470" t="s">
        <v>1753</v>
      </c>
      <c r="T470" t="s">
        <v>1754</v>
      </c>
      <c r="U470" t="s">
        <v>45</v>
      </c>
      <c r="V470" t="s">
        <v>52</v>
      </c>
      <c r="W470" t="s">
        <v>36</v>
      </c>
      <c r="X470" t="s">
        <v>92</v>
      </c>
      <c r="Y470" t="s">
        <v>45</v>
      </c>
      <c r="Z470" t="s">
        <v>41</v>
      </c>
      <c r="AA470" t="s">
        <v>54</v>
      </c>
      <c r="AB470" t="s">
        <v>41</v>
      </c>
      <c r="AC470" t="s">
        <v>145</v>
      </c>
      <c r="AD470" t="s">
        <v>45</v>
      </c>
      <c r="AE470" t="s">
        <v>45</v>
      </c>
      <c r="AF470" t="s">
        <v>70</v>
      </c>
      <c r="AG470" t="s">
        <v>91</v>
      </c>
      <c r="AH470" t="s">
        <v>56</v>
      </c>
      <c r="AI470" t="s">
        <v>91</v>
      </c>
    </row>
    <row r="471" spans="1:35" x14ac:dyDescent="0.25">
      <c r="A471" t="s">
        <v>93</v>
      </c>
      <c r="B471" t="s">
        <v>36</v>
      </c>
      <c r="C471" t="s">
        <v>161</v>
      </c>
      <c r="D471" t="s">
        <v>1669</v>
      </c>
      <c r="E471" t="s">
        <v>39</v>
      </c>
      <c r="F471" t="s">
        <v>53</v>
      </c>
      <c r="G471" t="s">
        <v>47</v>
      </c>
      <c r="H471" t="s">
        <v>74</v>
      </c>
      <c r="I471" t="s">
        <v>40</v>
      </c>
      <c r="J471" t="s">
        <v>1755</v>
      </c>
      <c r="K471" t="s">
        <v>47</v>
      </c>
      <c r="L471" t="s">
        <v>63</v>
      </c>
      <c r="M471" t="s">
        <v>275</v>
      </c>
      <c r="N471" t="s">
        <v>47</v>
      </c>
      <c r="O471" t="s">
        <v>41</v>
      </c>
      <c r="P471" t="s">
        <v>46</v>
      </c>
      <c r="Q471" t="s">
        <v>45</v>
      </c>
      <c r="R471" t="s">
        <v>66</v>
      </c>
      <c r="S471" t="s">
        <v>1756</v>
      </c>
      <c r="T471" t="s">
        <v>1757</v>
      </c>
      <c r="U471" t="s">
        <v>51</v>
      </c>
      <c r="V471" t="s">
        <v>52</v>
      </c>
      <c r="W471" t="s">
        <v>59</v>
      </c>
      <c r="X471" t="s">
        <v>92</v>
      </c>
      <c r="Y471" t="s">
        <v>45</v>
      </c>
      <c r="Z471" t="s">
        <v>47</v>
      </c>
      <c r="AA471" t="s">
        <v>54</v>
      </c>
      <c r="AB471" t="s">
        <v>55</v>
      </c>
      <c r="AC471" t="s">
        <v>56</v>
      </c>
      <c r="AD471" t="s">
        <v>41</v>
      </c>
      <c r="AE471" t="s">
        <v>45</v>
      </c>
      <c r="AF471" t="s">
        <v>47</v>
      </c>
      <c r="AG471" t="s">
        <v>41</v>
      </c>
      <c r="AH471" t="s">
        <v>40</v>
      </c>
      <c r="AI471" t="s">
        <v>41</v>
      </c>
    </row>
    <row r="472" spans="1:35" x14ac:dyDescent="0.25">
      <c r="A472" t="s">
        <v>107</v>
      </c>
      <c r="B472" t="s">
        <v>59</v>
      </c>
      <c r="C472" t="s">
        <v>60</v>
      </c>
      <c r="D472" t="s">
        <v>1758</v>
      </c>
      <c r="E472" t="s">
        <v>39</v>
      </c>
      <c r="F472" t="s">
        <v>107</v>
      </c>
      <c r="G472" t="s">
        <v>45</v>
      </c>
      <c r="H472" t="s">
        <v>87</v>
      </c>
      <c r="I472" t="s">
        <v>40</v>
      </c>
      <c r="J472" t="s">
        <v>443</v>
      </c>
      <c r="K472" t="s">
        <v>47</v>
      </c>
      <c r="L472" t="s">
        <v>63</v>
      </c>
      <c r="M472" t="s">
        <v>113</v>
      </c>
      <c r="N472" t="s">
        <v>45</v>
      </c>
      <c r="O472" t="s">
        <v>40</v>
      </c>
      <c r="P472" t="s">
        <v>182</v>
      </c>
      <c r="Q472" t="s">
        <v>47</v>
      </c>
      <c r="R472" t="s">
        <v>66</v>
      </c>
      <c r="S472" t="s">
        <v>1759</v>
      </c>
      <c r="T472" t="s">
        <v>1760</v>
      </c>
      <c r="U472" t="s">
        <v>55</v>
      </c>
      <c r="V472" t="s">
        <v>52</v>
      </c>
      <c r="W472" t="s">
        <v>59</v>
      </c>
      <c r="X472" t="s">
        <v>98</v>
      </c>
      <c r="Y472" t="s">
        <v>45</v>
      </c>
      <c r="Z472" t="s">
        <v>45</v>
      </c>
      <c r="AA472" t="s">
        <v>54</v>
      </c>
      <c r="AB472" t="s">
        <v>41</v>
      </c>
      <c r="AC472" t="s">
        <v>45</v>
      </c>
      <c r="AD472" t="s">
        <v>45</v>
      </c>
      <c r="AE472" t="s">
        <v>45</v>
      </c>
      <c r="AF472" t="s">
        <v>41</v>
      </c>
      <c r="AG472" t="s">
        <v>41</v>
      </c>
      <c r="AH472" t="s">
        <v>41</v>
      </c>
      <c r="AI472" t="s">
        <v>40</v>
      </c>
    </row>
    <row r="473" spans="1:35" x14ac:dyDescent="0.25">
      <c r="A473" t="s">
        <v>113</v>
      </c>
      <c r="B473" t="s">
        <v>59</v>
      </c>
      <c r="C473" t="s">
        <v>37</v>
      </c>
      <c r="D473" t="s">
        <v>1761</v>
      </c>
      <c r="E473" t="s">
        <v>62</v>
      </c>
      <c r="F473" t="s">
        <v>70</v>
      </c>
      <c r="G473" t="s">
        <v>45</v>
      </c>
      <c r="H473" t="s">
        <v>87</v>
      </c>
      <c r="I473" t="s">
        <v>40</v>
      </c>
      <c r="J473" t="s">
        <v>1762</v>
      </c>
      <c r="K473" t="s">
        <v>45</v>
      </c>
      <c r="L473" t="s">
        <v>43</v>
      </c>
      <c r="M473" t="s">
        <v>322</v>
      </c>
      <c r="N473" t="s">
        <v>45</v>
      </c>
      <c r="O473" t="s">
        <v>41</v>
      </c>
      <c r="P473" t="s">
        <v>122</v>
      </c>
      <c r="Q473" t="s">
        <v>45</v>
      </c>
      <c r="R473" t="s">
        <v>66</v>
      </c>
      <c r="S473" t="s">
        <v>1663</v>
      </c>
      <c r="T473" t="s">
        <v>1763</v>
      </c>
      <c r="U473" t="s">
        <v>45</v>
      </c>
      <c r="V473" t="s">
        <v>52</v>
      </c>
      <c r="W473" t="s">
        <v>59</v>
      </c>
      <c r="X473" t="s">
        <v>144</v>
      </c>
      <c r="Y473" t="s">
        <v>45</v>
      </c>
      <c r="Z473" t="s">
        <v>45</v>
      </c>
      <c r="AA473" t="s">
        <v>54</v>
      </c>
      <c r="AB473" t="s">
        <v>40</v>
      </c>
      <c r="AC473" t="s">
        <v>145</v>
      </c>
      <c r="AD473" t="s">
        <v>47</v>
      </c>
      <c r="AE473" t="s">
        <v>45</v>
      </c>
      <c r="AF473" t="s">
        <v>40</v>
      </c>
      <c r="AG473" t="s">
        <v>55</v>
      </c>
      <c r="AH473" t="s">
        <v>55</v>
      </c>
      <c r="AI473" t="s">
        <v>55</v>
      </c>
    </row>
    <row r="474" spans="1:35" x14ac:dyDescent="0.25">
      <c r="A474" t="s">
        <v>72</v>
      </c>
      <c r="B474" t="s">
        <v>59</v>
      </c>
      <c r="C474" t="s">
        <v>37</v>
      </c>
      <c r="D474" t="s">
        <v>1305</v>
      </c>
      <c r="E474" t="s">
        <v>62</v>
      </c>
      <c r="F474" t="s">
        <v>40</v>
      </c>
      <c r="G474" t="s">
        <v>47</v>
      </c>
      <c r="H474" t="s">
        <v>42</v>
      </c>
      <c r="I474" t="s">
        <v>40</v>
      </c>
      <c r="J474" t="s">
        <v>873</v>
      </c>
      <c r="K474" t="s">
        <v>41</v>
      </c>
      <c r="L474" t="s">
        <v>43</v>
      </c>
      <c r="M474" t="s">
        <v>296</v>
      </c>
      <c r="N474" t="s">
        <v>45</v>
      </c>
      <c r="O474" t="s">
        <v>41</v>
      </c>
      <c r="P474" t="s">
        <v>116</v>
      </c>
      <c r="Q474" t="s">
        <v>41</v>
      </c>
      <c r="R474" t="s">
        <v>66</v>
      </c>
      <c r="S474" t="s">
        <v>1764</v>
      </c>
      <c r="T474" t="s">
        <v>1765</v>
      </c>
      <c r="U474" t="s">
        <v>56</v>
      </c>
      <c r="V474" t="s">
        <v>52</v>
      </c>
      <c r="W474" t="s">
        <v>59</v>
      </c>
      <c r="X474" t="s">
        <v>92</v>
      </c>
      <c r="Y474" t="s">
        <v>45</v>
      </c>
      <c r="Z474" t="s">
        <v>41</v>
      </c>
      <c r="AA474" t="s">
        <v>54</v>
      </c>
      <c r="AB474" t="s">
        <v>40</v>
      </c>
      <c r="AC474" t="s">
        <v>51</v>
      </c>
      <c r="AD474" t="s">
        <v>41</v>
      </c>
      <c r="AE474" t="s">
        <v>41</v>
      </c>
      <c r="AF474" t="s">
        <v>56</v>
      </c>
      <c r="AG474" t="s">
        <v>57</v>
      </c>
      <c r="AH474" t="s">
        <v>47</v>
      </c>
      <c r="AI474" t="s">
        <v>45</v>
      </c>
    </row>
    <row r="475" spans="1:35" x14ac:dyDescent="0.25">
      <c r="A475" t="s">
        <v>58</v>
      </c>
      <c r="B475" t="s">
        <v>59</v>
      </c>
      <c r="C475" t="s">
        <v>37</v>
      </c>
      <c r="D475" t="s">
        <v>1766</v>
      </c>
      <c r="E475" t="s">
        <v>62</v>
      </c>
      <c r="F475" t="s">
        <v>145</v>
      </c>
      <c r="G475" t="s">
        <v>47</v>
      </c>
      <c r="H475" t="s">
        <v>42</v>
      </c>
      <c r="I475" t="s">
        <v>40</v>
      </c>
      <c r="J475" t="s">
        <v>451</v>
      </c>
      <c r="K475" t="s">
        <v>47</v>
      </c>
      <c r="L475" t="s">
        <v>63</v>
      </c>
      <c r="M475" t="s">
        <v>197</v>
      </c>
      <c r="N475" t="s">
        <v>41</v>
      </c>
      <c r="O475" t="s">
        <v>57</v>
      </c>
      <c r="P475" t="s">
        <v>186</v>
      </c>
      <c r="Q475" t="s">
        <v>45</v>
      </c>
      <c r="R475" t="s">
        <v>109</v>
      </c>
      <c r="S475" t="s">
        <v>1767</v>
      </c>
      <c r="T475" t="s">
        <v>1768</v>
      </c>
      <c r="U475" t="s">
        <v>40</v>
      </c>
      <c r="V475" t="s">
        <v>52</v>
      </c>
      <c r="W475" t="s">
        <v>36</v>
      </c>
      <c r="X475" t="s">
        <v>125</v>
      </c>
      <c r="Y475" t="s">
        <v>45</v>
      </c>
      <c r="Z475" t="s">
        <v>45</v>
      </c>
      <c r="AA475" t="s">
        <v>54</v>
      </c>
      <c r="AB475" t="s">
        <v>40</v>
      </c>
      <c r="AC475" t="s">
        <v>137</v>
      </c>
      <c r="AD475" t="s">
        <v>57</v>
      </c>
      <c r="AE475" t="s">
        <v>45</v>
      </c>
      <c r="AF475" t="s">
        <v>137</v>
      </c>
      <c r="AG475" t="s">
        <v>91</v>
      </c>
      <c r="AH475" t="s">
        <v>55</v>
      </c>
      <c r="AI475" t="s">
        <v>91</v>
      </c>
    </row>
    <row r="476" spans="1:35" x14ac:dyDescent="0.25">
      <c r="A476" t="s">
        <v>107</v>
      </c>
      <c r="B476" t="s">
        <v>59</v>
      </c>
      <c r="C476" t="s">
        <v>37</v>
      </c>
      <c r="D476" t="s">
        <v>205</v>
      </c>
      <c r="E476" t="s">
        <v>62</v>
      </c>
      <c r="F476" t="s">
        <v>69</v>
      </c>
      <c r="G476" t="s">
        <v>45</v>
      </c>
      <c r="H476" t="s">
        <v>87</v>
      </c>
      <c r="I476" t="s">
        <v>40</v>
      </c>
      <c r="J476" t="s">
        <v>1769</v>
      </c>
      <c r="K476" t="s">
        <v>41</v>
      </c>
      <c r="L476" t="s">
        <v>63</v>
      </c>
      <c r="M476" t="s">
        <v>959</v>
      </c>
      <c r="N476" t="s">
        <v>47</v>
      </c>
      <c r="O476" t="s">
        <v>40</v>
      </c>
      <c r="P476" t="s">
        <v>65</v>
      </c>
      <c r="Q476" t="s">
        <v>47</v>
      </c>
      <c r="R476" t="s">
        <v>66</v>
      </c>
      <c r="S476" t="s">
        <v>1770</v>
      </c>
      <c r="T476" t="s">
        <v>1771</v>
      </c>
      <c r="U476" t="s">
        <v>40</v>
      </c>
      <c r="V476" t="s">
        <v>52</v>
      </c>
      <c r="W476" t="s">
        <v>36</v>
      </c>
      <c r="X476" t="s">
        <v>53</v>
      </c>
      <c r="Y476" t="s">
        <v>45</v>
      </c>
      <c r="Z476" t="s">
        <v>41</v>
      </c>
      <c r="AA476" t="s">
        <v>54</v>
      </c>
      <c r="AB476" t="s">
        <v>41</v>
      </c>
      <c r="AC476" t="s">
        <v>56</v>
      </c>
      <c r="AD476" t="s">
        <v>45</v>
      </c>
      <c r="AE476" t="s">
        <v>45</v>
      </c>
      <c r="AF476" t="s">
        <v>56</v>
      </c>
      <c r="AG476" t="s">
        <v>57</v>
      </c>
      <c r="AH476" t="s">
        <v>40</v>
      </c>
      <c r="AI476" t="s">
        <v>47</v>
      </c>
    </row>
    <row r="477" spans="1:35" x14ac:dyDescent="0.25">
      <c r="A477" t="s">
        <v>139</v>
      </c>
      <c r="B477" t="s">
        <v>59</v>
      </c>
      <c r="C477" t="s">
        <v>37</v>
      </c>
      <c r="D477" t="s">
        <v>1772</v>
      </c>
      <c r="E477" t="s">
        <v>39</v>
      </c>
      <c r="F477" t="s">
        <v>149</v>
      </c>
      <c r="G477" t="s">
        <v>41</v>
      </c>
      <c r="H477" t="s">
        <v>206</v>
      </c>
      <c r="I477" t="s">
        <v>40</v>
      </c>
      <c r="J477" t="s">
        <v>1394</v>
      </c>
      <c r="K477" t="s">
        <v>40</v>
      </c>
      <c r="L477" t="s">
        <v>63</v>
      </c>
      <c r="M477" t="s">
        <v>375</v>
      </c>
      <c r="N477" t="s">
        <v>45</v>
      </c>
      <c r="O477" t="s">
        <v>41</v>
      </c>
      <c r="P477" t="s">
        <v>46</v>
      </c>
      <c r="Q477" t="s">
        <v>41</v>
      </c>
      <c r="R477" t="s">
        <v>66</v>
      </c>
      <c r="S477" t="s">
        <v>1773</v>
      </c>
      <c r="T477" t="s">
        <v>536</v>
      </c>
      <c r="U477" t="s">
        <v>40</v>
      </c>
      <c r="V477" t="s">
        <v>52</v>
      </c>
      <c r="W477" t="s">
        <v>59</v>
      </c>
      <c r="X477" t="s">
        <v>104</v>
      </c>
      <c r="Y477" t="s">
        <v>47</v>
      </c>
      <c r="Z477" t="s">
        <v>47</v>
      </c>
      <c r="AA477" t="s">
        <v>54</v>
      </c>
      <c r="AB477" t="s">
        <v>41</v>
      </c>
      <c r="AC477" t="s">
        <v>56</v>
      </c>
      <c r="AD477" t="s">
        <v>57</v>
      </c>
      <c r="AE477" t="s">
        <v>47</v>
      </c>
      <c r="AF477" t="s">
        <v>57</v>
      </c>
      <c r="AG477" t="s">
        <v>45</v>
      </c>
      <c r="AH477" t="s">
        <v>40</v>
      </c>
      <c r="AI477" t="s">
        <v>47</v>
      </c>
    </row>
    <row r="478" spans="1:35" x14ac:dyDescent="0.25">
      <c r="A478" t="s">
        <v>107</v>
      </c>
      <c r="B478" t="s">
        <v>59</v>
      </c>
      <c r="C478" t="s">
        <v>37</v>
      </c>
      <c r="D478" t="s">
        <v>1774</v>
      </c>
      <c r="E478" t="s">
        <v>62</v>
      </c>
      <c r="F478" t="s">
        <v>125</v>
      </c>
      <c r="G478" t="s">
        <v>41</v>
      </c>
      <c r="H478" t="s">
        <v>74</v>
      </c>
      <c r="I478" t="s">
        <v>40</v>
      </c>
      <c r="J478" t="s">
        <v>1775</v>
      </c>
      <c r="K478" t="s">
        <v>47</v>
      </c>
      <c r="L478" t="s">
        <v>63</v>
      </c>
      <c r="M478" t="s">
        <v>44</v>
      </c>
      <c r="N478" t="s">
        <v>41</v>
      </c>
      <c r="O478" t="s">
        <v>40</v>
      </c>
      <c r="P478" t="s">
        <v>76</v>
      </c>
      <c r="Q478" t="s">
        <v>41</v>
      </c>
      <c r="R478" t="s">
        <v>66</v>
      </c>
      <c r="S478" t="s">
        <v>1776</v>
      </c>
      <c r="T478" t="s">
        <v>1777</v>
      </c>
      <c r="U478" t="s">
        <v>40</v>
      </c>
      <c r="V478" t="s">
        <v>52</v>
      </c>
      <c r="W478" t="s">
        <v>59</v>
      </c>
      <c r="X478" t="s">
        <v>119</v>
      </c>
      <c r="Y478" t="s">
        <v>47</v>
      </c>
      <c r="Z478" t="s">
        <v>47</v>
      </c>
      <c r="AA478" t="s">
        <v>54</v>
      </c>
      <c r="AB478" t="s">
        <v>40</v>
      </c>
      <c r="AC478" t="s">
        <v>40</v>
      </c>
      <c r="AD478" t="s">
        <v>41</v>
      </c>
      <c r="AE478" t="s">
        <v>45</v>
      </c>
      <c r="AF478" t="s">
        <v>40</v>
      </c>
      <c r="AG478" t="s">
        <v>55</v>
      </c>
      <c r="AH478" t="s">
        <v>55</v>
      </c>
      <c r="AI478" t="s">
        <v>55</v>
      </c>
    </row>
    <row r="479" spans="1:35" x14ac:dyDescent="0.25">
      <c r="A479" t="s">
        <v>151</v>
      </c>
      <c r="B479" t="s">
        <v>59</v>
      </c>
      <c r="C479" t="s">
        <v>60</v>
      </c>
      <c r="D479" t="s">
        <v>1778</v>
      </c>
      <c r="E479" t="s">
        <v>397</v>
      </c>
      <c r="F479" t="s">
        <v>45</v>
      </c>
      <c r="G479" t="s">
        <v>45</v>
      </c>
      <c r="H479" t="s">
        <v>87</v>
      </c>
      <c r="I479" t="s">
        <v>40</v>
      </c>
      <c r="J479" t="s">
        <v>881</v>
      </c>
      <c r="K479" t="s">
        <v>40</v>
      </c>
      <c r="L479" t="s">
        <v>63</v>
      </c>
      <c r="M479" t="s">
        <v>338</v>
      </c>
      <c r="N479" t="s">
        <v>45</v>
      </c>
      <c r="O479" t="s">
        <v>57</v>
      </c>
      <c r="P479" t="s">
        <v>169</v>
      </c>
      <c r="Q479" t="s">
        <v>41</v>
      </c>
      <c r="R479" t="s">
        <v>66</v>
      </c>
      <c r="S479" t="s">
        <v>1779</v>
      </c>
      <c r="T479" t="s">
        <v>1780</v>
      </c>
      <c r="U479" t="s">
        <v>40</v>
      </c>
      <c r="V479" t="s">
        <v>52</v>
      </c>
      <c r="W479" t="s">
        <v>59</v>
      </c>
      <c r="X479" t="s">
        <v>53</v>
      </c>
      <c r="Y479" t="s">
        <v>45</v>
      </c>
      <c r="Z479" t="s">
        <v>45</v>
      </c>
      <c r="AA479" t="s">
        <v>54</v>
      </c>
      <c r="AB479" t="s">
        <v>40</v>
      </c>
      <c r="AC479" t="s">
        <v>93</v>
      </c>
      <c r="AD479" t="s">
        <v>41</v>
      </c>
      <c r="AE479" t="s">
        <v>45</v>
      </c>
      <c r="AF479" t="s">
        <v>93</v>
      </c>
      <c r="AG479" t="s">
        <v>57</v>
      </c>
      <c r="AH479" t="s">
        <v>70</v>
      </c>
      <c r="AI479" t="s">
        <v>71</v>
      </c>
    </row>
    <row r="480" spans="1:35" x14ac:dyDescent="0.25">
      <c r="A480" t="s">
        <v>172</v>
      </c>
      <c r="B480" t="s">
        <v>59</v>
      </c>
      <c r="C480" t="s">
        <v>37</v>
      </c>
      <c r="D480" t="s">
        <v>1738</v>
      </c>
      <c r="E480" t="s">
        <v>39</v>
      </c>
      <c r="F480" t="s">
        <v>98</v>
      </c>
      <c r="G480" t="s">
        <v>40</v>
      </c>
      <c r="H480" t="s">
        <v>87</v>
      </c>
      <c r="I480" t="s">
        <v>40</v>
      </c>
      <c r="J480" t="s">
        <v>1549</v>
      </c>
      <c r="K480" t="s">
        <v>41</v>
      </c>
      <c r="L480" t="s">
        <v>63</v>
      </c>
      <c r="M480" t="s">
        <v>88</v>
      </c>
      <c r="N480" t="s">
        <v>45</v>
      </c>
      <c r="O480" t="s">
        <v>40</v>
      </c>
      <c r="P480" t="s">
        <v>182</v>
      </c>
      <c r="Q480" t="s">
        <v>45</v>
      </c>
      <c r="R480" t="s">
        <v>66</v>
      </c>
      <c r="S480" t="s">
        <v>1781</v>
      </c>
      <c r="T480" t="s">
        <v>1782</v>
      </c>
      <c r="U480" t="s">
        <v>40</v>
      </c>
      <c r="V480" t="s">
        <v>52</v>
      </c>
      <c r="W480" t="s">
        <v>59</v>
      </c>
      <c r="X480" t="s">
        <v>53</v>
      </c>
      <c r="Y480" t="s">
        <v>45</v>
      </c>
      <c r="Z480" t="s">
        <v>45</v>
      </c>
      <c r="AA480" t="s">
        <v>54</v>
      </c>
      <c r="AB480" t="s">
        <v>55</v>
      </c>
      <c r="AC480" t="s">
        <v>71</v>
      </c>
      <c r="AD480" t="s">
        <v>40</v>
      </c>
      <c r="AE480" t="s">
        <v>45</v>
      </c>
      <c r="AF480" t="s">
        <v>71</v>
      </c>
      <c r="AG480" t="s">
        <v>47</v>
      </c>
      <c r="AH480" t="s">
        <v>55</v>
      </c>
      <c r="AI480" t="s">
        <v>56</v>
      </c>
    </row>
    <row r="481" spans="1:35" x14ac:dyDescent="0.25">
      <c r="A481" t="s">
        <v>107</v>
      </c>
      <c r="B481" t="s">
        <v>36</v>
      </c>
      <c r="C481" t="s">
        <v>60</v>
      </c>
      <c r="D481" t="s">
        <v>1783</v>
      </c>
      <c r="E481" t="s">
        <v>62</v>
      </c>
      <c r="F481" t="s">
        <v>71</v>
      </c>
      <c r="G481" t="s">
        <v>45</v>
      </c>
      <c r="H481" t="s">
        <v>42</v>
      </c>
      <c r="I481" t="s">
        <v>40</v>
      </c>
      <c r="J481" t="s">
        <v>1784</v>
      </c>
      <c r="K481" t="s">
        <v>40</v>
      </c>
      <c r="L481" t="s">
        <v>43</v>
      </c>
      <c r="M481" t="s">
        <v>263</v>
      </c>
      <c r="N481" t="s">
        <v>45</v>
      </c>
      <c r="O481" t="s">
        <v>40</v>
      </c>
      <c r="P481" t="s">
        <v>76</v>
      </c>
      <c r="Q481" t="s">
        <v>45</v>
      </c>
      <c r="R481" t="s">
        <v>66</v>
      </c>
      <c r="S481" t="s">
        <v>1595</v>
      </c>
      <c r="T481" t="s">
        <v>1785</v>
      </c>
      <c r="U481" t="s">
        <v>40</v>
      </c>
      <c r="V481" t="s">
        <v>52</v>
      </c>
      <c r="W481" t="s">
        <v>36</v>
      </c>
      <c r="X481" t="s">
        <v>128</v>
      </c>
      <c r="Y481" t="s">
        <v>45</v>
      </c>
      <c r="Z481" t="s">
        <v>47</v>
      </c>
      <c r="AA481" t="s">
        <v>54</v>
      </c>
      <c r="AB481" t="s">
        <v>40</v>
      </c>
      <c r="AC481" t="s">
        <v>56</v>
      </c>
      <c r="AD481" t="s">
        <v>47</v>
      </c>
      <c r="AE481" t="s">
        <v>45</v>
      </c>
      <c r="AF481" t="s">
        <v>56</v>
      </c>
      <c r="AG481" t="s">
        <v>45</v>
      </c>
      <c r="AH481" t="s">
        <v>40</v>
      </c>
      <c r="AI481" t="s">
        <v>41</v>
      </c>
    </row>
    <row r="482" spans="1:35" x14ac:dyDescent="0.25">
      <c r="A482" t="s">
        <v>105</v>
      </c>
      <c r="B482" t="s">
        <v>36</v>
      </c>
      <c r="C482" t="s">
        <v>60</v>
      </c>
      <c r="D482" t="s">
        <v>1312</v>
      </c>
      <c r="E482" t="s">
        <v>39</v>
      </c>
      <c r="F482" t="s">
        <v>92</v>
      </c>
      <c r="G482" t="s">
        <v>47</v>
      </c>
      <c r="H482" t="s">
        <v>42</v>
      </c>
      <c r="I482" t="s">
        <v>40</v>
      </c>
      <c r="J482" t="s">
        <v>1786</v>
      </c>
      <c r="K482" t="s">
        <v>41</v>
      </c>
      <c r="L482" t="s">
        <v>63</v>
      </c>
      <c r="M482" t="s">
        <v>314</v>
      </c>
      <c r="N482" t="s">
        <v>41</v>
      </c>
      <c r="O482" t="s">
        <v>40</v>
      </c>
      <c r="P482" t="s">
        <v>182</v>
      </c>
      <c r="Q482" t="s">
        <v>40</v>
      </c>
      <c r="R482" t="s">
        <v>66</v>
      </c>
      <c r="S482" t="s">
        <v>1787</v>
      </c>
      <c r="T482" t="s">
        <v>1788</v>
      </c>
      <c r="U482" t="s">
        <v>40</v>
      </c>
      <c r="V482" t="s">
        <v>52</v>
      </c>
      <c r="W482" t="s">
        <v>59</v>
      </c>
      <c r="X482" t="s">
        <v>145</v>
      </c>
      <c r="Y482" t="s">
        <v>45</v>
      </c>
      <c r="Z482" t="s">
        <v>45</v>
      </c>
      <c r="AA482" t="s">
        <v>54</v>
      </c>
      <c r="AB482" t="s">
        <v>40</v>
      </c>
      <c r="AC482" t="s">
        <v>40</v>
      </c>
      <c r="AD482" t="s">
        <v>41</v>
      </c>
      <c r="AE482" t="s">
        <v>47</v>
      </c>
      <c r="AF482" t="s">
        <v>40</v>
      </c>
      <c r="AG482" t="s">
        <v>55</v>
      </c>
      <c r="AH482" t="s">
        <v>55</v>
      </c>
      <c r="AI482" t="s">
        <v>55</v>
      </c>
    </row>
    <row r="483" spans="1:35" x14ac:dyDescent="0.25">
      <c r="A483" t="s">
        <v>142</v>
      </c>
      <c r="B483" t="s">
        <v>59</v>
      </c>
      <c r="C483" t="s">
        <v>37</v>
      </c>
      <c r="D483" t="s">
        <v>799</v>
      </c>
      <c r="E483" t="s">
        <v>62</v>
      </c>
      <c r="F483" t="s">
        <v>40</v>
      </c>
      <c r="G483" t="s">
        <v>41</v>
      </c>
      <c r="H483" t="s">
        <v>42</v>
      </c>
      <c r="I483" t="s">
        <v>40</v>
      </c>
      <c r="J483" t="s">
        <v>1789</v>
      </c>
      <c r="K483" t="s">
        <v>41</v>
      </c>
      <c r="L483" t="s">
        <v>63</v>
      </c>
      <c r="M483" t="s">
        <v>193</v>
      </c>
      <c r="N483" t="s">
        <v>41</v>
      </c>
      <c r="O483" t="s">
        <v>40</v>
      </c>
      <c r="P483" t="s">
        <v>65</v>
      </c>
      <c r="Q483" t="s">
        <v>47</v>
      </c>
      <c r="R483" t="s">
        <v>66</v>
      </c>
      <c r="S483" t="s">
        <v>1790</v>
      </c>
      <c r="T483" t="s">
        <v>1791</v>
      </c>
      <c r="U483" t="s">
        <v>40</v>
      </c>
      <c r="V483" t="s">
        <v>52</v>
      </c>
      <c r="W483" t="s">
        <v>36</v>
      </c>
      <c r="X483" t="s">
        <v>98</v>
      </c>
      <c r="Y483" t="s">
        <v>45</v>
      </c>
      <c r="Z483" t="s">
        <v>47</v>
      </c>
      <c r="AA483" t="s">
        <v>54</v>
      </c>
      <c r="AB483" t="s">
        <v>40</v>
      </c>
      <c r="AC483" t="s">
        <v>56</v>
      </c>
      <c r="AD483" t="s">
        <v>45</v>
      </c>
      <c r="AE483" t="s">
        <v>45</v>
      </c>
      <c r="AF483" t="s">
        <v>56</v>
      </c>
      <c r="AG483" t="s">
        <v>57</v>
      </c>
      <c r="AH483" t="s">
        <v>40</v>
      </c>
      <c r="AI483" t="s">
        <v>45</v>
      </c>
    </row>
    <row r="484" spans="1:35" x14ac:dyDescent="0.25">
      <c r="A484" t="s">
        <v>137</v>
      </c>
      <c r="B484" t="s">
        <v>36</v>
      </c>
      <c r="C484" t="s">
        <v>37</v>
      </c>
      <c r="D484" t="s">
        <v>1792</v>
      </c>
      <c r="E484" t="s">
        <v>39</v>
      </c>
      <c r="F484" t="s">
        <v>98</v>
      </c>
      <c r="G484" t="s">
        <v>47</v>
      </c>
      <c r="H484" t="s">
        <v>87</v>
      </c>
      <c r="I484" t="s">
        <v>40</v>
      </c>
      <c r="J484" t="s">
        <v>1793</v>
      </c>
      <c r="K484" t="s">
        <v>41</v>
      </c>
      <c r="L484" t="s">
        <v>63</v>
      </c>
      <c r="M484" t="s">
        <v>213</v>
      </c>
      <c r="N484" t="s">
        <v>45</v>
      </c>
      <c r="O484" t="s">
        <v>41</v>
      </c>
      <c r="P484" t="s">
        <v>46</v>
      </c>
      <c r="Q484" t="s">
        <v>40</v>
      </c>
      <c r="R484" t="s">
        <v>109</v>
      </c>
      <c r="S484" t="s">
        <v>1794</v>
      </c>
      <c r="T484" t="s">
        <v>1795</v>
      </c>
      <c r="U484" t="s">
        <v>41</v>
      </c>
      <c r="V484" t="s">
        <v>52</v>
      </c>
      <c r="W484" t="s">
        <v>59</v>
      </c>
      <c r="X484" t="s">
        <v>125</v>
      </c>
      <c r="Y484" t="s">
        <v>45</v>
      </c>
      <c r="Z484" t="s">
        <v>45</v>
      </c>
      <c r="AA484" t="s">
        <v>54</v>
      </c>
      <c r="AB484" t="s">
        <v>55</v>
      </c>
      <c r="AC484" t="s">
        <v>91</v>
      </c>
      <c r="AD484" t="s">
        <v>41</v>
      </c>
      <c r="AE484" t="s">
        <v>40</v>
      </c>
      <c r="AF484" t="s">
        <v>45</v>
      </c>
      <c r="AG484" t="s">
        <v>40</v>
      </c>
      <c r="AH484" t="s">
        <v>40</v>
      </c>
      <c r="AI484" t="s">
        <v>41</v>
      </c>
    </row>
    <row r="485" spans="1:35" x14ac:dyDescent="0.25">
      <c r="A485" t="s">
        <v>126</v>
      </c>
      <c r="B485" t="s">
        <v>59</v>
      </c>
      <c r="C485" t="s">
        <v>37</v>
      </c>
      <c r="D485" t="s">
        <v>1555</v>
      </c>
      <c r="E485" t="s">
        <v>62</v>
      </c>
      <c r="F485" t="s">
        <v>172</v>
      </c>
      <c r="G485" t="s">
        <v>41</v>
      </c>
      <c r="H485" t="s">
        <v>74</v>
      </c>
      <c r="I485" t="s">
        <v>40</v>
      </c>
      <c r="J485" t="s">
        <v>1796</v>
      </c>
      <c r="K485" t="s">
        <v>40</v>
      </c>
      <c r="L485" t="s">
        <v>63</v>
      </c>
      <c r="M485" t="s">
        <v>259</v>
      </c>
      <c r="N485" t="s">
        <v>41</v>
      </c>
      <c r="O485" t="s">
        <v>41</v>
      </c>
      <c r="P485" t="s">
        <v>76</v>
      </c>
      <c r="Q485" t="s">
        <v>47</v>
      </c>
      <c r="R485" t="s">
        <v>48</v>
      </c>
      <c r="S485" t="s">
        <v>1797</v>
      </c>
      <c r="T485" t="s">
        <v>1798</v>
      </c>
      <c r="U485" t="s">
        <v>47</v>
      </c>
      <c r="V485" t="s">
        <v>52</v>
      </c>
      <c r="W485" t="s">
        <v>59</v>
      </c>
      <c r="X485" t="s">
        <v>129</v>
      </c>
      <c r="Y485" t="s">
        <v>45</v>
      </c>
      <c r="Z485" t="s">
        <v>47</v>
      </c>
      <c r="AA485" t="s">
        <v>54</v>
      </c>
      <c r="AB485" t="s">
        <v>55</v>
      </c>
      <c r="AC485" t="s">
        <v>91</v>
      </c>
      <c r="AD485" t="s">
        <v>45</v>
      </c>
      <c r="AE485" t="s">
        <v>45</v>
      </c>
      <c r="AF485" t="s">
        <v>45</v>
      </c>
      <c r="AG485" t="s">
        <v>41</v>
      </c>
      <c r="AH485" t="s">
        <v>55</v>
      </c>
      <c r="AI485" t="s">
        <v>41</v>
      </c>
    </row>
    <row r="486" spans="1:35" x14ac:dyDescent="0.25">
      <c r="A486" t="s">
        <v>137</v>
      </c>
      <c r="B486" t="s">
        <v>59</v>
      </c>
      <c r="C486" t="s">
        <v>37</v>
      </c>
      <c r="D486" t="s">
        <v>1526</v>
      </c>
      <c r="E486" t="s">
        <v>39</v>
      </c>
      <c r="F486" t="s">
        <v>56</v>
      </c>
      <c r="G486" t="s">
        <v>47</v>
      </c>
      <c r="H486" t="s">
        <v>87</v>
      </c>
      <c r="I486" t="s">
        <v>40</v>
      </c>
      <c r="J486" t="s">
        <v>331</v>
      </c>
      <c r="K486" t="s">
        <v>40</v>
      </c>
      <c r="L486" t="s">
        <v>63</v>
      </c>
      <c r="M486" t="s">
        <v>375</v>
      </c>
      <c r="N486" t="s">
        <v>47</v>
      </c>
      <c r="O486" t="s">
        <v>41</v>
      </c>
      <c r="P486" t="s">
        <v>46</v>
      </c>
      <c r="Q486" t="s">
        <v>47</v>
      </c>
      <c r="R486" t="s">
        <v>109</v>
      </c>
      <c r="S486" t="s">
        <v>1799</v>
      </c>
      <c r="T486" t="s">
        <v>1800</v>
      </c>
      <c r="U486" t="s">
        <v>47</v>
      </c>
      <c r="V486" t="s">
        <v>52</v>
      </c>
      <c r="W486" t="s">
        <v>59</v>
      </c>
      <c r="X486" t="s">
        <v>112</v>
      </c>
      <c r="Y486" t="s">
        <v>47</v>
      </c>
      <c r="Z486" t="s">
        <v>47</v>
      </c>
      <c r="AA486" t="s">
        <v>54</v>
      </c>
      <c r="AB486" t="s">
        <v>41</v>
      </c>
      <c r="AC486" t="s">
        <v>98</v>
      </c>
      <c r="AD486" t="s">
        <v>47</v>
      </c>
      <c r="AE486" t="s">
        <v>47</v>
      </c>
      <c r="AF486" t="s">
        <v>71</v>
      </c>
      <c r="AG486" t="s">
        <v>71</v>
      </c>
      <c r="AH486" t="s">
        <v>57</v>
      </c>
      <c r="AI486" t="s">
        <v>71</v>
      </c>
    </row>
    <row r="487" spans="1:35" x14ac:dyDescent="0.25">
      <c r="A487" t="s">
        <v>85</v>
      </c>
      <c r="B487" t="s">
        <v>59</v>
      </c>
      <c r="C487" t="s">
        <v>37</v>
      </c>
      <c r="D487" t="s">
        <v>1294</v>
      </c>
      <c r="E487" t="s">
        <v>62</v>
      </c>
      <c r="F487" t="s">
        <v>56</v>
      </c>
      <c r="G487" t="s">
        <v>47</v>
      </c>
      <c r="H487" t="s">
        <v>87</v>
      </c>
      <c r="I487" t="s">
        <v>40</v>
      </c>
      <c r="J487" t="s">
        <v>321</v>
      </c>
      <c r="K487" t="s">
        <v>40</v>
      </c>
      <c r="L487" t="s">
        <v>43</v>
      </c>
      <c r="M487" t="s">
        <v>375</v>
      </c>
      <c r="N487" t="s">
        <v>41</v>
      </c>
      <c r="O487" t="s">
        <v>40</v>
      </c>
      <c r="P487" t="s">
        <v>65</v>
      </c>
      <c r="Q487" t="s">
        <v>45</v>
      </c>
      <c r="R487" t="s">
        <v>109</v>
      </c>
      <c r="S487" t="s">
        <v>1801</v>
      </c>
      <c r="T487" t="s">
        <v>1802</v>
      </c>
      <c r="U487" t="s">
        <v>55</v>
      </c>
      <c r="V487" t="s">
        <v>52</v>
      </c>
      <c r="W487" t="s">
        <v>59</v>
      </c>
      <c r="X487" t="s">
        <v>92</v>
      </c>
      <c r="Y487" t="s">
        <v>45</v>
      </c>
      <c r="Z487" t="s">
        <v>45</v>
      </c>
      <c r="AA487" t="s">
        <v>54</v>
      </c>
      <c r="AB487" t="s">
        <v>41</v>
      </c>
      <c r="AC487" t="s">
        <v>56</v>
      </c>
      <c r="AD487" t="s">
        <v>57</v>
      </c>
      <c r="AE487" t="s">
        <v>41</v>
      </c>
      <c r="AF487" t="s">
        <v>57</v>
      </c>
      <c r="AG487" t="s">
        <v>45</v>
      </c>
      <c r="AH487" t="s">
        <v>55</v>
      </c>
      <c r="AI487" t="s">
        <v>45</v>
      </c>
    </row>
    <row r="488" spans="1:35" x14ac:dyDescent="0.25">
      <c r="A488" t="s">
        <v>72</v>
      </c>
      <c r="B488" t="s">
        <v>59</v>
      </c>
      <c r="C488" t="s">
        <v>37</v>
      </c>
      <c r="D488" t="s">
        <v>1590</v>
      </c>
      <c r="E488" t="s">
        <v>39</v>
      </c>
      <c r="F488" t="s">
        <v>41</v>
      </c>
      <c r="G488" t="s">
        <v>45</v>
      </c>
      <c r="H488" t="s">
        <v>206</v>
      </c>
      <c r="I488" t="s">
        <v>40</v>
      </c>
      <c r="J488" t="s">
        <v>1803</v>
      </c>
      <c r="K488" t="s">
        <v>47</v>
      </c>
      <c r="L488" t="s">
        <v>63</v>
      </c>
      <c r="M488" t="s">
        <v>255</v>
      </c>
      <c r="N488" t="s">
        <v>45</v>
      </c>
      <c r="O488" t="s">
        <v>41</v>
      </c>
      <c r="P488" t="s">
        <v>46</v>
      </c>
      <c r="Q488" t="s">
        <v>45</v>
      </c>
      <c r="R488" t="s">
        <v>66</v>
      </c>
      <c r="S488" t="s">
        <v>1804</v>
      </c>
      <c r="T488" t="s">
        <v>1805</v>
      </c>
      <c r="U488" t="s">
        <v>47</v>
      </c>
      <c r="V488" t="s">
        <v>52</v>
      </c>
      <c r="W488" t="s">
        <v>36</v>
      </c>
      <c r="X488" t="s">
        <v>53</v>
      </c>
      <c r="Y488" t="s">
        <v>45</v>
      </c>
      <c r="Z488" t="s">
        <v>45</v>
      </c>
      <c r="AA488" t="s">
        <v>54</v>
      </c>
      <c r="AB488" t="s">
        <v>40</v>
      </c>
      <c r="AC488" t="s">
        <v>125</v>
      </c>
      <c r="AD488" t="s">
        <v>45</v>
      </c>
      <c r="AE488" t="s">
        <v>41</v>
      </c>
      <c r="AF488" t="s">
        <v>45</v>
      </c>
      <c r="AG488" t="s">
        <v>55</v>
      </c>
      <c r="AH488" t="s">
        <v>40</v>
      </c>
      <c r="AI488" t="s">
        <v>55</v>
      </c>
    </row>
    <row r="489" spans="1:35" x14ac:dyDescent="0.25">
      <c r="A489" t="s">
        <v>104</v>
      </c>
      <c r="B489" t="s">
        <v>59</v>
      </c>
      <c r="C489" t="s">
        <v>37</v>
      </c>
      <c r="D489" t="s">
        <v>622</v>
      </c>
      <c r="E489" t="s">
        <v>62</v>
      </c>
      <c r="F489" t="s">
        <v>40</v>
      </c>
      <c r="G489" t="s">
        <v>45</v>
      </c>
      <c r="H489" t="s">
        <v>42</v>
      </c>
      <c r="I489" t="s">
        <v>40</v>
      </c>
      <c r="J489" t="s">
        <v>1806</v>
      </c>
      <c r="K489" t="s">
        <v>47</v>
      </c>
      <c r="L489" t="s">
        <v>43</v>
      </c>
      <c r="M489" t="s">
        <v>193</v>
      </c>
      <c r="N489" t="s">
        <v>41</v>
      </c>
      <c r="O489" t="s">
        <v>40</v>
      </c>
      <c r="P489" t="s">
        <v>65</v>
      </c>
      <c r="Q489" t="s">
        <v>41</v>
      </c>
      <c r="R489" t="s">
        <v>48</v>
      </c>
      <c r="S489" t="s">
        <v>1807</v>
      </c>
      <c r="T489" t="s">
        <v>1808</v>
      </c>
      <c r="U489" t="s">
        <v>40</v>
      </c>
      <c r="V489" t="s">
        <v>52</v>
      </c>
      <c r="W489" t="s">
        <v>59</v>
      </c>
      <c r="X489" t="s">
        <v>98</v>
      </c>
      <c r="Y489" t="s">
        <v>45</v>
      </c>
      <c r="Z489" t="s">
        <v>47</v>
      </c>
      <c r="AA489" t="s">
        <v>54</v>
      </c>
      <c r="AB489" t="s">
        <v>55</v>
      </c>
      <c r="AC489" t="s">
        <v>40</v>
      </c>
      <c r="AD489" t="s">
        <v>55</v>
      </c>
      <c r="AE489" t="s">
        <v>47</v>
      </c>
      <c r="AF489" t="s">
        <v>40</v>
      </c>
      <c r="AG489" t="s">
        <v>55</v>
      </c>
      <c r="AH489" t="s">
        <v>55</v>
      </c>
      <c r="AI489" t="s">
        <v>55</v>
      </c>
    </row>
    <row r="490" spans="1:35" x14ac:dyDescent="0.25">
      <c r="A490" t="s">
        <v>204</v>
      </c>
      <c r="B490" t="s">
        <v>59</v>
      </c>
      <c r="C490" t="s">
        <v>37</v>
      </c>
      <c r="D490" t="s">
        <v>1738</v>
      </c>
      <c r="E490" t="s">
        <v>62</v>
      </c>
      <c r="F490" t="s">
        <v>41</v>
      </c>
      <c r="G490" t="s">
        <v>47</v>
      </c>
      <c r="H490" t="s">
        <v>42</v>
      </c>
      <c r="I490" t="s">
        <v>40</v>
      </c>
      <c r="J490" t="s">
        <v>1809</v>
      </c>
      <c r="K490" t="s">
        <v>45</v>
      </c>
      <c r="L490" t="s">
        <v>43</v>
      </c>
      <c r="M490" t="s">
        <v>101</v>
      </c>
      <c r="N490" t="s">
        <v>45</v>
      </c>
      <c r="O490" t="s">
        <v>41</v>
      </c>
      <c r="P490" t="s">
        <v>122</v>
      </c>
      <c r="Q490" t="s">
        <v>47</v>
      </c>
      <c r="R490" t="s">
        <v>66</v>
      </c>
      <c r="S490" t="s">
        <v>1810</v>
      </c>
      <c r="T490" t="s">
        <v>1811</v>
      </c>
      <c r="U490" t="s">
        <v>40</v>
      </c>
      <c r="V490" t="s">
        <v>52</v>
      </c>
      <c r="W490" t="s">
        <v>59</v>
      </c>
      <c r="X490" t="s">
        <v>98</v>
      </c>
      <c r="Y490" t="s">
        <v>45</v>
      </c>
      <c r="Z490" t="s">
        <v>41</v>
      </c>
      <c r="AA490" t="s">
        <v>54</v>
      </c>
      <c r="AB490" t="s">
        <v>41</v>
      </c>
      <c r="AC490" t="s">
        <v>70</v>
      </c>
      <c r="AD490" t="s">
        <v>47</v>
      </c>
      <c r="AE490" t="s">
        <v>45</v>
      </c>
      <c r="AF490" t="s">
        <v>70</v>
      </c>
      <c r="AG490" t="s">
        <v>41</v>
      </c>
      <c r="AH490" t="s">
        <v>41</v>
      </c>
      <c r="AI490" t="s">
        <v>41</v>
      </c>
    </row>
    <row r="491" spans="1:35" x14ac:dyDescent="0.25">
      <c r="A491" t="s">
        <v>234</v>
      </c>
      <c r="B491" t="s">
        <v>59</v>
      </c>
      <c r="C491" t="s">
        <v>37</v>
      </c>
      <c r="D491" t="s">
        <v>1812</v>
      </c>
      <c r="E491" t="s">
        <v>62</v>
      </c>
      <c r="F491" t="s">
        <v>56</v>
      </c>
      <c r="G491" t="s">
        <v>47</v>
      </c>
      <c r="H491" t="s">
        <v>74</v>
      </c>
      <c r="I491" t="s">
        <v>40</v>
      </c>
      <c r="J491" t="s">
        <v>1813</v>
      </c>
      <c r="K491" t="s">
        <v>41</v>
      </c>
      <c r="L491" t="s">
        <v>63</v>
      </c>
      <c r="M491" t="s">
        <v>151</v>
      </c>
      <c r="N491" t="s">
        <v>41</v>
      </c>
      <c r="O491" t="s">
        <v>47</v>
      </c>
      <c r="P491" t="s">
        <v>186</v>
      </c>
      <c r="Q491" t="s">
        <v>47</v>
      </c>
      <c r="R491" t="s">
        <v>109</v>
      </c>
      <c r="S491" t="s">
        <v>1814</v>
      </c>
      <c r="T491" t="s">
        <v>1815</v>
      </c>
      <c r="U491" t="s">
        <v>47</v>
      </c>
      <c r="V491" t="s">
        <v>52</v>
      </c>
      <c r="W491" t="s">
        <v>36</v>
      </c>
      <c r="X491" t="s">
        <v>129</v>
      </c>
      <c r="Y491" t="s">
        <v>45</v>
      </c>
      <c r="Z491" t="s">
        <v>45</v>
      </c>
      <c r="AA491" t="s">
        <v>54</v>
      </c>
      <c r="AB491" t="s">
        <v>40</v>
      </c>
      <c r="AC491" t="s">
        <v>119</v>
      </c>
      <c r="AD491" t="s">
        <v>45</v>
      </c>
      <c r="AE491" t="s">
        <v>41</v>
      </c>
      <c r="AF491" t="s">
        <v>40</v>
      </c>
      <c r="AG491" t="s">
        <v>55</v>
      </c>
      <c r="AH491" t="s">
        <v>55</v>
      </c>
      <c r="AI491" t="s">
        <v>55</v>
      </c>
    </row>
    <row r="492" spans="1:35" x14ac:dyDescent="0.25">
      <c r="A492" t="s">
        <v>113</v>
      </c>
      <c r="B492" t="s">
        <v>59</v>
      </c>
      <c r="C492" t="s">
        <v>37</v>
      </c>
      <c r="D492" t="s">
        <v>1071</v>
      </c>
      <c r="E492" t="s">
        <v>62</v>
      </c>
      <c r="F492" t="s">
        <v>40</v>
      </c>
      <c r="G492" t="s">
        <v>40</v>
      </c>
      <c r="H492" t="s">
        <v>42</v>
      </c>
      <c r="I492" t="s">
        <v>40</v>
      </c>
      <c r="J492" t="s">
        <v>671</v>
      </c>
      <c r="K492" t="s">
        <v>45</v>
      </c>
      <c r="L492" t="s">
        <v>43</v>
      </c>
      <c r="M492" t="s">
        <v>234</v>
      </c>
      <c r="N492" t="s">
        <v>45</v>
      </c>
      <c r="O492" t="s">
        <v>40</v>
      </c>
      <c r="P492" t="s">
        <v>65</v>
      </c>
      <c r="Q492" t="s">
        <v>40</v>
      </c>
      <c r="R492" t="s">
        <v>48</v>
      </c>
      <c r="S492" t="s">
        <v>1816</v>
      </c>
      <c r="T492" t="s">
        <v>1817</v>
      </c>
      <c r="U492" t="s">
        <v>45</v>
      </c>
      <c r="V492" t="s">
        <v>52</v>
      </c>
      <c r="W492" t="s">
        <v>59</v>
      </c>
      <c r="X492" t="s">
        <v>125</v>
      </c>
      <c r="Y492" t="s">
        <v>45</v>
      </c>
      <c r="Z492" t="s">
        <v>47</v>
      </c>
      <c r="AA492" t="s">
        <v>54</v>
      </c>
      <c r="AB492" t="s">
        <v>55</v>
      </c>
      <c r="AC492" t="s">
        <v>51</v>
      </c>
      <c r="AD492" t="s">
        <v>45</v>
      </c>
      <c r="AE492" t="s">
        <v>41</v>
      </c>
      <c r="AF492" t="s">
        <v>55</v>
      </c>
      <c r="AG492" t="s">
        <v>55</v>
      </c>
      <c r="AH492" t="s">
        <v>55</v>
      </c>
      <c r="AI492" t="s">
        <v>55</v>
      </c>
    </row>
    <row r="493" spans="1:35" x14ac:dyDescent="0.25">
      <c r="A493" t="s">
        <v>234</v>
      </c>
      <c r="B493" t="s">
        <v>59</v>
      </c>
      <c r="C493" t="s">
        <v>60</v>
      </c>
      <c r="D493" t="s">
        <v>1323</v>
      </c>
      <c r="E493" t="s">
        <v>62</v>
      </c>
      <c r="F493" t="s">
        <v>91</v>
      </c>
      <c r="G493" t="s">
        <v>57</v>
      </c>
      <c r="H493" t="s">
        <v>87</v>
      </c>
      <c r="I493" t="s">
        <v>40</v>
      </c>
      <c r="J493" t="s">
        <v>928</v>
      </c>
      <c r="K493" t="s">
        <v>47</v>
      </c>
      <c r="L493" t="s">
        <v>63</v>
      </c>
      <c r="M493" t="s">
        <v>201</v>
      </c>
      <c r="N493" t="s">
        <v>45</v>
      </c>
      <c r="O493" t="s">
        <v>41</v>
      </c>
      <c r="P493" t="s">
        <v>76</v>
      </c>
      <c r="Q493" t="s">
        <v>45</v>
      </c>
      <c r="R493" t="s">
        <v>109</v>
      </c>
      <c r="S493" t="s">
        <v>1818</v>
      </c>
      <c r="T493" t="s">
        <v>1819</v>
      </c>
      <c r="U493" t="s">
        <v>45</v>
      </c>
      <c r="V493" t="s">
        <v>52</v>
      </c>
      <c r="W493" t="s">
        <v>36</v>
      </c>
      <c r="X493" t="s">
        <v>98</v>
      </c>
      <c r="Y493" t="s">
        <v>45</v>
      </c>
      <c r="Z493" t="s">
        <v>41</v>
      </c>
      <c r="AA493" t="s">
        <v>54</v>
      </c>
      <c r="AB493" t="s">
        <v>40</v>
      </c>
      <c r="AC493" t="s">
        <v>70</v>
      </c>
      <c r="AD493" t="s">
        <v>45</v>
      </c>
      <c r="AE493" t="s">
        <v>45</v>
      </c>
      <c r="AF493" t="s">
        <v>51</v>
      </c>
      <c r="AG493" t="s">
        <v>71</v>
      </c>
      <c r="AH493" t="s">
        <v>47</v>
      </c>
      <c r="AI493" t="s">
        <v>71</v>
      </c>
    </row>
    <row r="494" spans="1:35" x14ac:dyDescent="0.25">
      <c r="A494" t="s">
        <v>207</v>
      </c>
      <c r="B494" t="s">
        <v>59</v>
      </c>
      <c r="C494" t="s">
        <v>37</v>
      </c>
      <c r="D494" t="s">
        <v>1820</v>
      </c>
      <c r="E494" t="s">
        <v>62</v>
      </c>
      <c r="F494" t="s">
        <v>40</v>
      </c>
      <c r="G494" t="s">
        <v>47</v>
      </c>
      <c r="H494" t="s">
        <v>42</v>
      </c>
      <c r="I494" t="s">
        <v>40</v>
      </c>
      <c r="J494" t="s">
        <v>355</v>
      </c>
      <c r="K494" t="s">
        <v>47</v>
      </c>
      <c r="L494" t="s">
        <v>43</v>
      </c>
      <c r="M494" t="s">
        <v>88</v>
      </c>
      <c r="N494" t="s">
        <v>41</v>
      </c>
      <c r="O494" t="s">
        <v>47</v>
      </c>
      <c r="P494" t="s">
        <v>169</v>
      </c>
      <c r="Q494" t="s">
        <v>40</v>
      </c>
      <c r="R494" t="s">
        <v>66</v>
      </c>
      <c r="S494" t="s">
        <v>1821</v>
      </c>
      <c r="T494" t="s">
        <v>1822</v>
      </c>
      <c r="U494" t="s">
        <v>71</v>
      </c>
      <c r="V494" t="s">
        <v>52</v>
      </c>
      <c r="W494" t="s">
        <v>59</v>
      </c>
      <c r="X494" t="s">
        <v>53</v>
      </c>
      <c r="Y494" t="s">
        <v>45</v>
      </c>
      <c r="Z494" t="s">
        <v>40</v>
      </c>
      <c r="AA494" t="s">
        <v>54</v>
      </c>
      <c r="AB494" t="s">
        <v>40</v>
      </c>
      <c r="AC494" t="s">
        <v>119</v>
      </c>
      <c r="AD494" t="s">
        <v>45</v>
      </c>
      <c r="AE494" t="s">
        <v>40</v>
      </c>
      <c r="AF494" t="s">
        <v>45</v>
      </c>
      <c r="AG494" t="s">
        <v>41</v>
      </c>
      <c r="AH494" t="s">
        <v>55</v>
      </c>
      <c r="AI494" t="s">
        <v>41</v>
      </c>
    </row>
    <row r="495" spans="1:35" x14ac:dyDescent="0.25">
      <c r="A495" t="s">
        <v>115</v>
      </c>
      <c r="B495" t="s">
        <v>59</v>
      </c>
      <c r="C495" t="s">
        <v>37</v>
      </c>
      <c r="D495" t="s">
        <v>1823</v>
      </c>
      <c r="E495" t="s">
        <v>397</v>
      </c>
      <c r="F495" t="s">
        <v>40</v>
      </c>
      <c r="G495" t="s">
        <v>47</v>
      </c>
      <c r="H495" t="s">
        <v>42</v>
      </c>
      <c r="I495" t="s">
        <v>40</v>
      </c>
      <c r="J495" t="s">
        <v>488</v>
      </c>
      <c r="K495" t="s">
        <v>40</v>
      </c>
      <c r="L495" t="s">
        <v>43</v>
      </c>
      <c r="M495" t="s">
        <v>151</v>
      </c>
      <c r="N495" t="s">
        <v>41</v>
      </c>
      <c r="O495" t="s">
        <v>41</v>
      </c>
      <c r="P495" t="s">
        <v>397</v>
      </c>
      <c r="Q495" t="s">
        <v>45</v>
      </c>
      <c r="R495" t="s">
        <v>48</v>
      </c>
      <c r="S495" t="s">
        <v>1824</v>
      </c>
      <c r="T495" t="s">
        <v>1825</v>
      </c>
      <c r="U495" t="s">
        <v>47</v>
      </c>
      <c r="V495" t="s">
        <v>52</v>
      </c>
      <c r="W495" t="s">
        <v>59</v>
      </c>
      <c r="X495" t="s">
        <v>53</v>
      </c>
      <c r="Y495" t="s">
        <v>45</v>
      </c>
      <c r="Z495" t="s">
        <v>41</v>
      </c>
      <c r="AA495" t="s">
        <v>54</v>
      </c>
      <c r="AB495" t="s">
        <v>55</v>
      </c>
      <c r="AC495" t="s">
        <v>70</v>
      </c>
      <c r="AD495" t="s">
        <v>40</v>
      </c>
      <c r="AE495" t="s">
        <v>47</v>
      </c>
      <c r="AF495" t="s">
        <v>41</v>
      </c>
      <c r="AG495" t="s">
        <v>41</v>
      </c>
      <c r="AH495" t="s">
        <v>55</v>
      </c>
      <c r="AI495" t="s">
        <v>41</v>
      </c>
    </row>
    <row r="496" spans="1:35" x14ac:dyDescent="0.25">
      <c r="A496" t="s">
        <v>142</v>
      </c>
      <c r="B496" t="s">
        <v>59</v>
      </c>
      <c r="C496" t="s">
        <v>37</v>
      </c>
      <c r="D496" t="s">
        <v>672</v>
      </c>
      <c r="E496" t="s">
        <v>39</v>
      </c>
      <c r="F496" t="s">
        <v>129</v>
      </c>
      <c r="G496" t="s">
        <v>45</v>
      </c>
      <c r="H496" t="s">
        <v>228</v>
      </c>
      <c r="I496" t="s">
        <v>40</v>
      </c>
      <c r="J496" t="s">
        <v>1105</v>
      </c>
      <c r="K496" t="s">
        <v>45</v>
      </c>
      <c r="L496" t="s">
        <v>43</v>
      </c>
      <c r="M496" t="s">
        <v>137</v>
      </c>
      <c r="N496" t="s">
        <v>45</v>
      </c>
      <c r="O496" t="s">
        <v>40</v>
      </c>
      <c r="P496" t="s">
        <v>182</v>
      </c>
      <c r="Q496" t="s">
        <v>45</v>
      </c>
      <c r="R496" t="s">
        <v>109</v>
      </c>
      <c r="S496" t="s">
        <v>1826</v>
      </c>
      <c r="T496" t="s">
        <v>1827</v>
      </c>
      <c r="U496" t="s">
        <v>40</v>
      </c>
      <c r="V496" t="s">
        <v>52</v>
      </c>
      <c r="W496" t="s">
        <v>36</v>
      </c>
      <c r="X496" t="s">
        <v>145</v>
      </c>
      <c r="Y496" t="s">
        <v>45</v>
      </c>
      <c r="Z496" t="s">
        <v>47</v>
      </c>
      <c r="AA496" t="s">
        <v>54</v>
      </c>
      <c r="AB496" t="s">
        <v>41</v>
      </c>
      <c r="AC496" t="s">
        <v>51</v>
      </c>
      <c r="AD496" t="s">
        <v>45</v>
      </c>
      <c r="AE496" t="s">
        <v>45</v>
      </c>
      <c r="AF496" t="s">
        <v>51</v>
      </c>
      <c r="AG496" t="s">
        <v>41</v>
      </c>
      <c r="AH496" t="s">
        <v>55</v>
      </c>
      <c r="AI496" t="s">
        <v>56</v>
      </c>
    </row>
    <row r="497" spans="1:35" x14ac:dyDescent="0.25">
      <c r="A497" t="s">
        <v>85</v>
      </c>
      <c r="B497" t="s">
        <v>36</v>
      </c>
      <c r="C497" t="s">
        <v>37</v>
      </c>
      <c r="D497" t="s">
        <v>496</v>
      </c>
      <c r="E497" t="s">
        <v>39</v>
      </c>
      <c r="F497" t="s">
        <v>41</v>
      </c>
      <c r="G497" t="s">
        <v>40</v>
      </c>
      <c r="H497" t="s">
        <v>206</v>
      </c>
      <c r="I497" t="s">
        <v>40</v>
      </c>
      <c r="J497" t="s">
        <v>1828</v>
      </c>
      <c r="K497" t="s">
        <v>45</v>
      </c>
      <c r="L497" t="s">
        <v>63</v>
      </c>
      <c r="M497" t="s">
        <v>348</v>
      </c>
      <c r="N497" t="s">
        <v>45</v>
      </c>
      <c r="O497" t="s">
        <v>40</v>
      </c>
      <c r="P497" t="s">
        <v>182</v>
      </c>
      <c r="Q497" t="s">
        <v>40</v>
      </c>
      <c r="R497" t="s">
        <v>109</v>
      </c>
      <c r="S497" t="s">
        <v>1829</v>
      </c>
      <c r="T497" t="s">
        <v>1830</v>
      </c>
      <c r="U497" t="s">
        <v>55</v>
      </c>
      <c r="V497" t="s">
        <v>52</v>
      </c>
      <c r="W497" t="s">
        <v>59</v>
      </c>
      <c r="X497" t="s">
        <v>53</v>
      </c>
      <c r="Y497" t="s">
        <v>45</v>
      </c>
      <c r="Z497" t="s">
        <v>41</v>
      </c>
      <c r="AA497" t="s">
        <v>54</v>
      </c>
      <c r="AB497" t="s">
        <v>40</v>
      </c>
      <c r="AC497" t="s">
        <v>57</v>
      </c>
      <c r="AD497" t="s">
        <v>45</v>
      </c>
      <c r="AE497" t="s">
        <v>45</v>
      </c>
      <c r="AF497" t="s">
        <v>47</v>
      </c>
      <c r="AG497" t="s">
        <v>45</v>
      </c>
      <c r="AH497" t="s">
        <v>55</v>
      </c>
      <c r="AI497" t="s">
        <v>41</v>
      </c>
    </row>
    <row r="498" spans="1:35" x14ac:dyDescent="0.25">
      <c r="A498" t="s">
        <v>119</v>
      </c>
      <c r="B498" t="s">
        <v>59</v>
      </c>
      <c r="C498" t="s">
        <v>37</v>
      </c>
      <c r="D498" t="s">
        <v>1831</v>
      </c>
      <c r="E498" t="s">
        <v>39</v>
      </c>
      <c r="F498" t="s">
        <v>112</v>
      </c>
      <c r="G498" t="s">
        <v>40</v>
      </c>
      <c r="H498" t="s">
        <v>228</v>
      </c>
      <c r="I498" t="s">
        <v>40</v>
      </c>
      <c r="J498" t="s">
        <v>435</v>
      </c>
      <c r="K498" t="s">
        <v>45</v>
      </c>
      <c r="L498" t="s">
        <v>63</v>
      </c>
      <c r="M498" t="s">
        <v>58</v>
      </c>
      <c r="N498" t="s">
        <v>45</v>
      </c>
      <c r="O498" t="s">
        <v>40</v>
      </c>
      <c r="P498" t="s">
        <v>182</v>
      </c>
      <c r="Q498" t="s">
        <v>45</v>
      </c>
      <c r="R498" t="s">
        <v>48</v>
      </c>
      <c r="S498" t="s">
        <v>1832</v>
      </c>
      <c r="T498" t="s">
        <v>1833</v>
      </c>
      <c r="U498" t="s">
        <v>40</v>
      </c>
      <c r="V498" t="s">
        <v>52</v>
      </c>
      <c r="W498" t="s">
        <v>59</v>
      </c>
      <c r="X498" t="s">
        <v>53</v>
      </c>
      <c r="Y498" t="s">
        <v>45</v>
      </c>
      <c r="Z498" t="s">
        <v>45</v>
      </c>
      <c r="AA498" t="s">
        <v>54</v>
      </c>
      <c r="AB498" t="s">
        <v>55</v>
      </c>
      <c r="AC498" t="s">
        <v>45</v>
      </c>
      <c r="AD498" t="s">
        <v>41</v>
      </c>
      <c r="AE498" t="s">
        <v>45</v>
      </c>
      <c r="AF498" t="s">
        <v>45</v>
      </c>
      <c r="AG498" t="s">
        <v>41</v>
      </c>
      <c r="AH498" t="s">
        <v>40</v>
      </c>
      <c r="AI498" t="s">
        <v>41</v>
      </c>
    </row>
    <row r="499" spans="1:35" x14ac:dyDescent="0.25">
      <c r="A499" t="s">
        <v>115</v>
      </c>
      <c r="B499" t="s">
        <v>59</v>
      </c>
      <c r="C499" t="s">
        <v>37</v>
      </c>
      <c r="D499" t="s">
        <v>1123</v>
      </c>
      <c r="E499" t="s">
        <v>62</v>
      </c>
      <c r="F499" t="s">
        <v>45</v>
      </c>
      <c r="G499" t="s">
        <v>47</v>
      </c>
      <c r="H499" t="s">
        <v>74</v>
      </c>
      <c r="I499" t="s">
        <v>40</v>
      </c>
      <c r="J499" t="s">
        <v>1834</v>
      </c>
      <c r="K499" t="s">
        <v>47</v>
      </c>
      <c r="L499" t="s">
        <v>63</v>
      </c>
      <c r="M499" t="s">
        <v>126</v>
      </c>
      <c r="N499" t="s">
        <v>45</v>
      </c>
      <c r="O499" t="s">
        <v>57</v>
      </c>
      <c r="P499" t="s">
        <v>169</v>
      </c>
      <c r="Q499" t="s">
        <v>47</v>
      </c>
      <c r="R499" t="s">
        <v>66</v>
      </c>
      <c r="S499" t="s">
        <v>1835</v>
      </c>
      <c r="T499" t="s">
        <v>1836</v>
      </c>
      <c r="U499" t="s">
        <v>47</v>
      </c>
      <c r="V499" t="s">
        <v>52</v>
      </c>
      <c r="W499" t="s">
        <v>36</v>
      </c>
      <c r="X499" t="s">
        <v>92</v>
      </c>
      <c r="Y499" t="s">
        <v>45</v>
      </c>
      <c r="Z499" t="s">
        <v>40</v>
      </c>
      <c r="AA499" t="s">
        <v>54</v>
      </c>
      <c r="AB499" t="s">
        <v>40</v>
      </c>
      <c r="AC499" t="s">
        <v>139</v>
      </c>
      <c r="AD499" t="s">
        <v>41</v>
      </c>
      <c r="AE499" t="s">
        <v>47</v>
      </c>
      <c r="AF499" t="s">
        <v>41</v>
      </c>
      <c r="AG499" t="s">
        <v>41</v>
      </c>
      <c r="AH499" t="s">
        <v>55</v>
      </c>
      <c r="AI499" t="s">
        <v>40</v>
      </c>
    </row>
    <row r="500" spans="1:35" x14ac:dyDescent="0.25">
      <c r="A500" t="s">
        <v>112</v>
      </c>
      <c r="B500" t="s">
        <v>59</v>
      </c>
      <c r="C500" t="s">
        <v>37</v>
      </c>
      <c r="D500" t="s">
        <v>1696</v>
      </c>
      <c r="E500" t="s">
        <v>62</v>
      </c>
      <c r="F500" t="s">
        <v>56</v>
      </c>
      <c r="G500" t="s">
        <v>40</v>
      </c>
      <c r="H500" t="s">
        <v>87</v>
      </c>
      <c r="I500" t="s">
        <v>40</v>
      </c>
      <c r="J500" t="s">
        <v>1089</v>
      </c>
      <c r="K500" t="s">
        <v>40</v>
      </c>
      <c r="L500" t="s">
        <v>63</v>
      </c>
      <c r="M500" t="s">
        <v>1214</v>
      </c>
      <c r="N500" t="s">
        <v>45</v>
      </c>
      <c r="O500" t="s">
        <v>40</v>
      </c>
      <c r="P500" t="s">
        <v>65</v>
      </c>
      <c r="Q500" t="s">
        <v>45</v>
      </c>
      <c r="R500" t="s">
        <v>66</v>
      </c>
      <c r="S500" t="s">
        <v>1837</v>
      </c>
      <c r="T500" t="s">
        <v>1838</v>
      </c>
      <c r="U500" t="s">
        <v>55</v>
      </c>
      <c r="V500" t="s">
        <v>52</v>
      </c>
      <c r="W500" t="s">
        <v>59</v>
      </c>
      <c r="X500" t="s">
        <v>104</v>
      </c>
      <c r="Y500" t="s">
        <v>47</v>
      </c>
      <c r="Z500" t="s">
        <v>47</v>
      </c>
      <c r="AA500" t="s">
        <v>54</v>
      </c>
      <c r="AB500" t="s">
        <v>55</v>
      </c>
      <c r="AC500" t="s">
        <v>45</v>
      </c>
      <c r="AD500" t="s">
        <v>45</v>
      </c>
      <c r="AE500" t="s">
        <v>45</v>
      </c>
      <c r="AF500" t="s">
        <v>41</v>
      </c>
      <c r="AG500" t="s">
        <v>41</v>
      </c>
      <c r="AH500" t="s">
        <v>41</v>
      </c>
      <c r="AI500" t="s">
        <v>41</v>
      </c>
    </row>
    <row r="501" spans="1:35" x14ac:dyDescent="0.25">
      <c r="A501" t="s">
        <v>80</v>
      </c>
      <c r="B501" t="s">
        <v>59</v>
      </c>
      <c r="C501" t="s">
        <v>37</v>
      </c>
      <c r="D501" t="s">
        <v>1839</v>
      </c>
      <c r="E501" t="s">
        <v>39</v>
      </c>
      <c r="F501" t="s">
        <v>51</v>
      </c>
      <c r="G501" t="s">
        <v>47</v>
      </c>
      <c r="H501" t="s">
        <v>206</v>
      </c>
      <c r="I501" t="s">
        <v>40</v>
      </c>
      <c r="J501" t="s">
        <v>1840</v>
      </c>
      <c r="K501" t="s">
        <v>45</v>
      </c>
      <c r="L501" t="s">
        <v>63</v>
      </c>
      <c r="M501" t="s">
        <v>218</v>
      </c>
      <c r="N501" t="s">
        <v>45</v>
      </c>
      <c r="O501" t="s">
        <v>41</v>
      </c>
      <c r="P501" t="s">
        <v>46</v>
      </c>
      <c r="Q501" t="s">
        <v>45</v>
      </c>
      <c r="R501" t="s">
        <v>109</v>
      </c>
      <c r="S501" t="s">
        <v>1841</v>
      </c>
      <c r="T501" t="s">
        <v>1842</v>
      </c>
      <c r="U501" t="s">
        <v>55</v>
      </c>
      <c r="V501" t="s">
        <v>52</v>
      </c>
      <c r="W501" t="s">
        <v>59</v>
      </c>
      <c r="X501" t="s">
        <v>92</v>
      </c>
      <c r="Y501" t="s">
        <v>45</v>
      </c>
      <c r="Z501" t="s">
        <v>47</v>
      </c>
      <c r="AA501" t="s">
        <v>54</v>
      </c>
      <c r="AB501" t="s">
        <v>55</v>
      </c>
      <c r="AC501" t="s">
        <v>56</v>
      </c>
      <c r="AD501" t="s">
        <v>45</v>
      </c>
      <c r="AE501" t="s">
        <v>45</v>
      </c>
      <c r="AF501" t="s">
        <v>57</v>
      </c>
      <c r="AG501" t="s">
        <v>55</v>
      </c>
      <c r="AH501" t="s">
        <v>40</v>
      </c>
      <c r="AI501" t="s">
        <v>41</v>
      </c>
    </row>
    <row r="502" spans="1:35" x14ac:dyDescent="0.25">
      <c r="A502" t="s">
        <v>93</v>
      </c>
      <c r="B502" t="s">
        <v>59</v>
      </c>
      <c r="C502" t="s">
        <v>37</v>
      </c>
      <c r="D502" t="s">
        <v>1843</v>
      </c>
      <c r="E502" t="s">
        <v>62</v>
      </c>
      <c r="F502" t="s">
        <v>91</v>
      </c>
      <c r="G502" t="s">
        <v>47</v>
      </c>
      <c r="H502" t="s">
        <v>42</v>
      </c>
      <c r="I502" t="s">
        <v>40</v>
      </c>
      <c r="J502" t="s">
        <v>1844</v>
      </c>
      <c r="K502" t="s">
        <v>40</v>
      </c>
      <c r="L502" t="s">
        <v>43</v>
      </c>
      <c r="M502" t="s">
        <v>75</v>
      </c>
      <c r="N502" t="s">
        <v>45</v>
      </c>
      <c r="O502" t="s">
        <v>41</v>
      </c>
      <c r="P502" t="s">
        <v>65</v>
      </c>
      <c r="Q502" t="s">
        <v>47</v>
      </c>
      <c r="R502" t="s">
        <v>66</v>
      </c>
      <c r="S502" t="s">
        <v>1845</v>
      </c>
      <c r="T502" t="s">
        <v>1846</v>
      </c>
      <c r="U502" t="s">
        <v>40</v>
      </c>
      <c r="V502" t="s">
        <v>52</v>
      </c>
      <c r="W502" t="s">
        <v>36</v>
      </c>
      <c r="X502" t="s">
        <v>92</v>
      </c>
      <c r="Y502" t="s">
        <v>45</v>
      </c>
      <c r="Z502" t="s">
        <v>47</v>
      </c>
      <c r="AA502" t="s">
        <v>54</v>
      </c>
      <c r="AB502" t="s">
        <v>40</v>
      </c>
      <c r="AC502" t="s">
        <v>56</v>
      </c>
      <c r="AD502" t="s">
        <v>41</v>
      </c>
      <c r="AE502" t="s">
        <v>41</v>
      </c>
      <c r="AF502" t="s">
        <v>56</v>
      </c>
      <c r="AG502" t="s">
        <v>47</v>
      </c>
      <c r="AH502" t="s">
        <v>55</v>
      </c>
      <c r="AI502" t="s">
        <v>57</v>
      </c>
    </row>
    <row r="503" spans="1:35" x14ac:dyDescent="0.25">
      <c r="A503" t="s">
        <v>105</v>
      </c>
      <c r="B503" t="s">
        <v>59</v>
      </c>
      <c r="C503" t="s">
        <v>60</v>
      </c>
      <c r="D503" t="s">
        <v>558</v>
      </c>
      <c r="E503" t="s">
        <v>62</v>
      </c>
      <c r="F503" t="s">
        <v>45</v>
      </c>
      <c r="G503" t="s">
        <v>45</v>
      </c>
      <c r="H503" t="s">
        <v>87</v>
      </c>
      <c r="I503" t="s">
        <v>40</v>
      </c>
      <c r="J503" t="s">
        <v>1847</v>
      </c>
      <c r="K503" t="s">
        <v>45</v>
      </c>
      <c r="L503" t="s">
        <v>43</v>
      </c>
      <c r="M503" t="s">
        <v>315</v>
      </c>
      <c r="N503" t="s">
        <v>45</v>
      </c>
      <c r="O503" t="s">
        <v>40</v>
      </c>
      <c r="P503" t="s">
        <v>65</v>
      </c>
      <c r="Q503" t="s">
        <v>45</v>
      </c>
      <c r="R503" t="s">
        <v>109</v>
      </c>
      <c r="S503" t="s">
        <v>1848</v>
      </c>
      <c r="T503" t="s">
        <v>1849</v>
      </c>
      <c r="U503" t="s">
        <v>40</v>
      </c>
      <c r="V503" t="s">
        <v>52</v>
      </c>
      <c r="W503" t="s">
        <v>59</v>
      </c>
      <c r="X503" t="s">
        <v>104</v>
      </c>
      <c r="Y503" t="s">
        <v>47</v>
      </c>
      <c r="Z503" t="s">
        <v>45</v>
      </c>
      <c r="AA503" t="s">
        <v>54</v>
      </c>
      <c r="AB503" t="s">
        <v>40</v>
      </c>
      <c r="AC503" t="s">
        <v>40</v>
      </c>
      <c r="AD503" t="s">
        <v>41</v>
      </c>
      <c r="AE503" t="s">
        <v>45</v>
      </c>
      <c r="AF503" t="s">
        <v>40</v>
      </c>
      <c r="AG503" t="s">
        <v>55</v>
      </c>
      <c r="AH503" t="s">
        <v>55</v>
      </c>
      <c r="AI503" t="s">
        <v>55</v>
      </c>
    </row>
    <row r="504" spans="1:35" x14ac:dyDescent="0.25">
      <c r="A504" t="s">
        <v>166</v>
      </c>
      <c r="B504" t="s">
        <v>59</v>
      </c>
      <c r="C504" t="s">
        <v>37</v>
      </c>
      <c r="D504" t="s">
        <v>749</v>
      </c>
      <c r="E504" t="s">
        <v>39</v>
      </c>
      <c r="F504" t="s">
        <v>40</v>
      </c>
      <c r="G504" t="s">
        <v>40</v>
      </c>
      <c r="H504" t="s">
        <v>87</v>
      </c>
      <c r="I504" t="s">
        <v>40</v>
      </c>
      <c r="J504" t="s">
        <v>469</v>
      </c>
      <c r="K504" t="s">
        <v>47</v>
      </c>
      <c r="L504" t="s">
        <v>43</v>
      </c>
      <c r="M504" t="s">
        <v>142</v>
      </c>
      <c r="N504" t="s">
        <v>45</v>
      </c>
      <c r="O504" t="s">
        <v>41</v>
      </c>
      <c r="P504" t="s">
        <v>46</v>
      </c>
      <c r="Q504" t="s">
        <v>40</v>
      </c>
      <c r="R504" t="s">
        <v>48</v>
      </c>
      <c r="S504" t="s">
        <v>1850</v>
      </c>
      <c r="T504" t="s">
        <v>1851</v>
      </c>
      <c r="U504" t="s">
        <v>71</v>
      </c>
      <c r="V504" t="s">
        <v>52</v>
      </c>
      <c r="W504" t="s">
        <v>59</v>
      </c>
      <c r="X504" t="s">
        <v>104</v>
      </c>
      <c r="Y504" t="s">
        <v>47</v>
      </c>
      <c r="Z504" t="s">
        <v>47</v>
      </c>
      <c r="AA504" t="s">
        <v>54</v>
      </c>
      <c r="AB504" t="s">
        <v>55</v>
      </c>
      <c r="AC504" t="s">
        <v>145</v>
      </c>
      <c r="AD504" t="s">
        <v>41</v>
      </c>
      <c r="AE504" t="s">
        <v>47</v>
      </c>
      <c r="AF504" t="s">
        <v>129</v>
      </c>
      <c r="AG504" t="s">
        <v>71</v>
      </c>
      <c r="AH504" t="s">
        <v>51</v>
      </c>
      <c r="AI504" t="s">
        <v>70</v>
      </c>
    </row>
    <row r="505" spans="1:35" x14ac:dyDescent="0.25">
      <c r="A505" t="s">
        <v>142</v>
      </c>
      <c r="B505" t="s">
        <v>59</v>
      </c>
      <c r="C505" t="s">
        <v>37</v>
      </c>
      <c r="D505" t="s">
        <v>1852</v>
      </c>
      <c r="E505" t="s">
        <v>62</v>
      </c>
      <c r="F505" t="s">
        <v>40</v>
      </c>
      <c r="G505" t="s">
        <v>57</v>
      </c>
      <c r="H505" t="s">
        <v>42</v>
      </c>
      <c r="I505" t="s">
        <v>40</v>
      </c>
      <c r="J505" t="s">
        <v>1853</v>
      </c>
      <c r="K505" t="s">
        <v>41</v>
      </c>
      <c r="L505" t="s">
        <v>63</v>
      </c>
      <c r="M505" t="s">
        <v>204</v>
      </c>
      <c r="N505" t="s">
        <v>45</v>
      </c>
      <c r="O505" t="s">
        <v>40</v>
      </c>
      <c r="P505" t="s">
        <v>65</v>
      </c>
      <c r="Q505" t="s">
        <v>47</v>
      </c>
      <c r="R505" t="s">
        <v>66</v>
      </c>
      <c r="S505" t="s">
        <v>1854</v>
      </c>
      <c r="T505" t="s">
        <v>1855</v>
      </c>
      <c r="U505" t="s">
        <v>40</v>
      </c>
      <c r="V505" t="s">
        <v>52</v>
      </c>
      <c r="W505" t="s">
        <v>59</v>
      </c>
      <c r="X505" t="s">
        <v>92</v>
      </c>
      <c r="Y505" t="s">
        <v>45</v>
      </c>
      <c r="Z505" t="s">
        <v>47</v>
      </c>
      <c r="AA505" t="s">
        <v>54</v>
      </c>
      <c r="AB505" t="s">
        <v>40</v>
      </c>
      <c r="AC505" t="s">
        <v>70</v>
      </c>
      <c r="AD505" t="s">
        <v>47</v>
      </c>
      <c r="AE505" t="s">
        <v>41</v>
      </c>
      <c r="AF505" t="s">
        <v>70</v>
      </c>
      <c r="AG505" t="s">
        <v>91</v>
      </c>
      <c r="AH505" t="s">
        <v>51</v>
      </c>
      <c r="AI505" t="s">
        <v>51</v>
      </c>
    </row>
    <row r="506" spans="1:35" x14ac:dyDescent="0.25">
      <c r="A506" t="s">
        <v>174</v>
      </c>
      <c r="B506" t="s">
        <v>36</v>
      </c>
      <c r="C506" t="s">
        <v>60</v>
      </c>
      <c r="D506" t="s">
        <v>929</v>
      </c>
      <c r="E506" t="s">
        <v>39</v>
      </c>
      <c r="F506" t="s">
        <v>139</v>
      </c>
      <c r="G506" t="s">
        <v>47</v>
      </c>
      <c r="H506" t="s">
        <v>42</v>
      </c>
      <c r="I506" t="s">
        <v>40</v>
      </c>
      <c r="J506" t="s">
        <v>565</v>
      </c>
      <c r="K506" t="s">
        <v>40</v>
      </c>
      <c r="L506" t="s">
        <v>43</v>
      </c>
      <c r="M506" t="s">
        <v>385</v>
      </c>
      <c r="N506" t="s">
        <v>45</v>
      </c>
      <c r="O506" t="s">
        <v>41</v>
      </c>
      <c r="P506" t="s">
        <v>46</v>
      </c>
      <c r="Q506" t="s">
        <v>40</v>
      </c>
      <c r="R506" t="s">
        <v>66</v>
      </c>
      <c r="S506" t="s">
        <v>1856</v>
      </c>
      <c r="T506" t="s">
        <v>1857</v>
      </c>
      <c r="U506" t="s">
        <v>41</v>
      </c>
      <c r="V506" t="s">
        <v>52</v>
      </c>
      <c r="W506" t="s">
        <v>59</v>
      </c>
      <c r="X506" t="s">
        <v>129</v>
      </c>
      <c r="Y506" t="s">
        <v>45</v>
      </c>
      <c r="Z506" t="s">
        <v>47</v>
      </c>
      <c r="AA506" t="s">
        <v>54</v>
      </c>
      <c r="AB506" t="s">
        <v>41</v>
      </c>
      <c r="AC506" t="s">
        <v>57</v>
      </c>
      <c r="AD506" t="s">
        <v>47</v>
      </c>
      <c r="AE506" t="s">
        <v>45</v>
      </c>
      <c r="AF506" t="s">
        <v>40</v>
      </c>
      <c r="AG506" t="s">
        <v>40</v>
      </c>
      <c r="AH506" t="s">
        <v>55</v>
      </c>
      <c r="AI506" t="s">
        <v>55</v>
      </c>
    </row>
    <row r="507" spans="1:35" x14ac:dyDescent="0.25">
      <c r="A507" t="s">
        <v>139</v>
      </c>
      <c r="B507" t="s">
        <v>59</v>
      </c>
      <c r="C507" t="s">
        <v>37</v>
      </c>
      <c r="D507" t="s">
        <v>1858</v>
      </c>
      <c r="E507" t="s">
        <v>62</v>
      </c>
      <c r="F507" t="s">
        <v>56</v>
      </c>
      <c r="G507" t="s">
        <v>45</v>
      </c>
      <c r="H507" t="s">
        <v>42</v>
      </c>
      <c r="I507" t="s">
        <v>40</v>
      </c>
      <c r="J507" t="s">
        <v>1859</v>
      </c>
      <c r="K507" t="s">
        <v>45</v>
      </c>
      <c r="L507" t="s">
        <v>43</v>
      </c>
      <c r="M507" t="s">
        <v>315</v>
      </c>
      <c r="N507" t="s">
        <v>45</v>
      </c>
      <c r="O507" t="s">
        <v>40</v>
      </c>
      <c r="P507" t="s">
        <v>76</v>
      </c>
      <c r="Q507" t="s">
        <v>47</v>
      </c>
      <c r="R507" t="s">
        <v>66</v>
      </c>
      <c r="S507" t="s">
        <v>1860</v>
      </c>
      <c r="T507" t="s">
        <v>1861</v>
      </c>
      <c r="U507" t="s">
        <v>40</v>
      </c>
      <c r="V507" t="s">
        <v>52</v>
      </c>
      <c r="W507" t="s">
        <v>36</v>
      </c>
      <c r="X507" t="s">
        <v>98</v>
      </c>
      <c r="Y507" t="s">
        <v>45</v>
      </c>
      <c r="Z507" t="s">
        <v>45</v>
      </c>
      <c r="AA507" t="s">
        <v>54</v>
      </c>
      <c r="AB507" t="s">
        <v>40</v>
      </c>
      <c r="AC507" t="s">
        <v>45</v>
      </c>
      <c r="AD507" t="s">
        <v>41</v>
      </c>
      <c r="AE507" t="s">
        <v>45</v>
      </c>
      <c r="AF507" t="s">
        <v>45</v>
      </c>
      <c r="AG507" t="s">
        <v>41</v>
      </c>
      <c r="AH507" t="s">
        <v>55</v>
      </c>
      <c r="AI507" t="s">
        <v>41</v>
      </c>
    </row>
    <row r="508" spans="1:35" x14ac:dyDescent="0.25">
      <c r="A508" t="s">
        <v>72</v>
      </c>
      <c r="B508" t="s">
        <v>59</v>
      </c>
      <c r="C508" t="s">
        <v>37</v>
      </c>
      <c r="D508" t="s">
        <v>1416</v>
      </c>
      <c r="E508" t="s">
        <v>62</v>
      </c>
      <c r="F508" t="s">
        <v>45</v>
      </c>
      <c r="G508" t="s">
        <v>45</v>
      </c>
      <c r="H508" t="s">
        <v>74</v>
      </c>
      <c r="I508" t="s">
        <v>40</v>
      </c>
      <c r="J508" t="s">
        <v>644</v>
      </c>
      <c r="K508" t="s">
        <v>45</v>
      </c>
      <c r="L508" t="s">
        <v>63</v>
      </c>
      <c r="M508" t="s">
        <v>120</v>
      </c>
      <c r="N508" t="s">
        <v>45</v>
      </c>
      <c r="O508" t="s">
        <v>45</v>
      </c>
      <c r="P508" t="s">
        <v>116</v>
      </c>
      <c r="Q508" t="s">
        <v>45</v>
      </c>
      <c r="R508" t="s">
        <v>66</v>
      </c>
      <c r="S508" t="s">
        <v>1862</v>
      </c>
      <c r="T508" t="s">
        <v>1863</v>
      </c>
      <c r="U508" t="s">
        <v>40</v>
      </c>
      <c r="V508" t="s">
        <v>52</v>
      </c>
      <c r="W508" t="s">
        <v>59</v>
      </c>
      <c r="X508" t="s">
        <v>79</v>
      </c>
      <c r="Y508" t="s">
        <v>45</v>
      </c>
      <c r="Z508" t="s">
        <v>45</v>
      </c>
      <c r="AA508" t="s">
        <v>54</v>
      </c>
      <c r="AB508" t="s">
        <v>40</v>
      </c>
      <c r="AC508" t="s">
        <v>70</v>
      </c>
      <c r="AD508" t="s">
        <v>41</v>
      </c>
      <c r="AE508" t="s">
        <v>45</v>
      </c>
      <c r="AF508" t="s">
        <v>70</v>
      </c>
      <c r="AG508" t="s">
        <v>71</v>
      </c>
      <c r="AH508" t="s">
        <v>71</v>
      </c>
      <c r="AI508" t="s">
        <v>51</v>
      </c>
    </row>
    <row r="509" spans="1:35" x14ac:dyDescent="0.25">
      <c r="A509" t="s">
        <v>133</v>
      </c>
      <c r="B509" t="s">
        <v>59</v>
      </c>
      <c r="C509" t="s">
        <v>37</v>
      </c>
      <c r="D509" t="s">
        <v>1864</v>
      </c>
      <c r="E509" t="s">
        <v>39</v>
      </c>
      <c r="F509" t="s">
        <v>45</v>
      </c>
      <c r="G509" t="s">
        <v>41</v>
      </c>
      <c r="H509" t="s">
        <v>87</v>
      </c>
      <c r="I509" t="s">
        <v>40</v>
      </c>
      <c r="J509" t="s">
        <v>1865</v>
      </c>
      <c r="K509" t="s">
        <v>41</v>
      </c>
      <c r="L509" t="s">
        <v>43</v>
      </c>
      <c r="M509" t="s">
        <v>283</v>
      </c>
      <c r="N509" t="s">
        <v>45</v>
      </c>
      <c r="O509" t="s">
        <v>41</v>
      </c>
      <c r="P509" t="s">
        <v>46</v>
      </c>
      <c r="Q509" t="s">
        <v>45</v>
      </c>
      <c r="R509" t="s">
        <v>66</v>
      </c>
      <c r="S509" t="s">
        <v>1866</v>
      </c>
      <c r="T509" t="s">
        <v>1867</v>
      </c>
      <c r="U509" t="s">
        <v>40</v>
      </c>
      <c r="V509" t="s">
        <v>52</v>
      </c>
      <c r="W509" t="s">
        <v>59</v>
      </c>
      <c r="X509" t="s">
        <v>129</v>
      </c>
      <c r="Y509" t="s">
        <v>45</v>
      </c>
      <c r="Z509" t="s">
        <v>40</v>
      </c>
      <c r="AA509" t="s">
        <v>54</v>
      </c>
      <c r="AB509" t="s">
        <v>40</v>
      </c>
      <c r="AC509" t="s">
        <v>56</v>
      </c>
      <c r="AD509" t="s">
        <v>57</v>
      </c>
      <c r="AE509" t="s">
        <v>41</v>
      </c>
      <c r="AF509" t="s">
        <v>56</v>
      </c>
      <c r="AG509" t="s">
        <v>55</v>
      </c>
      <c r="AH509" t="s">
        <v>40</v>
      </c>
      <c r="AI509" t="s">
        <v>41</v>
      </c>
    </row>
    <row r="510" spans="1:35" x14ac:dyDescent="0.25">
      <c r="A510" t="s">
        <v>126</v>
      </c>
      <c r="B510" t="s">
        <v>59</v>
      </c>
      <c r="C510" t="s">
        <v>37</v>
      </c>
      <c r="D510" t="s">
        <v>1020</v>
      </c>
      <c r="E510" t="s">
        <v>62</v>
      </c>
      <c r="F510" t="s">
        <v>56</v>
      </c>
      <c r="G510" t="s">
        <v>47</v>
      </c>
      <c r="H510" t="s">
        <v>42</v>
      </c>
      <c r="I510" t="s">
        <v>40</v>
      </c>
      <c r="J510" t="s">
        <v>205</v>
      </c>
      <c r="K510" t="s">
        <v>41</v>
      </c>
      <c r="L510" t="s">
        <v>63</v>
      </c>
      <c r="M510" t="s">
        <v>181</v>
      </c>
      <c r="N510" t="s">
        <v>40</v>
      </c>
      <c r="O510" t="s">
        <v>41</v>
      </c>
      <c r="P510" t="s">
        <v>65</v>
      </c>
      <c r="Q510" t="s">
        <v>47</v>
      </c>
      <c r="R510" t="s">
        <v>48</v>
      </c>
      <c r="S510" t="s">
        <v>1868</v>
      </c>
      <c r="T510" t="s">
        <v>1869</v>
      </c>
      <c r="U510" t="s">
        <v>40</v>
      </c>
      <c r="V510" t="s">
        <v>52</v>
      </c>
      <c r="W510" t="s">
        <v>59</v>
      </c>
      <c r="X510" t="s">
        <v>98</v>
      </c>
      <c r="Y510" t="s">
        <v>45</v>
      </c>
      <c r="Z510" t="s">
        <v>41</v>
      </c>
      <c r="AA510" t="s">
        <v>54</v>
      </c>
      <c r="AB510" t="s">
        <v>55</v>
      </c>
      <c r="AC510" t="s">
        <v>125</v>
      </c>
      <c r="AD510" t="s">
        <v>45</v>
      </c>
      <c r="AE510" t="s">
        <v>45</v>
      </c>
      <c r="AF510" t="s">
        <v>125</v>
      </c>
      <c r="AG510" t="s">
        <v>53</v>
      </c>
      <c r="AH510" t="s">
        <v>53</v>
      </c>
      <c r="AI510" t="s">
        <v>51</v>
      </c>
    </row>
    <row r="511" spans="1:35" x14ac:dyDescent="0.25">
      <c r="A511" t="s">
        <v>80</v>
      </c>
      <c r="B511" t="s">
        <v>59</v>
      </c>
      <c r="C511" t="s">
        <v>60</v>
      </c>
      <c r="D511" t="s">
        <v>1360</v>
      </c>
      <c r="E511" t="s">
        <v>62</v>
      </c>
      <c r="F511" t="s">
        <v>56</v>
      </c>
      <c r="G511" t="s">
        <v>45</v>
      </c>
      <c r="H511" t="s">
        <v>42</v>
      </c>
      <c r="I511" t="s">
        <v>40</v>
      </c>
      <c r="J511" t="s">
        <v>798</v>
      </c>
      <c r="K511" t="s">
        <v>45</v>
      </c>
      <c r="L511" t="s">
        <v>63</v>
      </c>
      <c r="M511" t="s">
        <v>105</v>
      </c>
      <c r="N511" t="s">
        <v>45</v>
      </c>
      <c r="O511" t="s">
        <v>41</v>
      </c>
      <c r="P511" t="s">
        <v>122</v>
      </c>
      <c r="Q511" t="s">
        <v>47</v>
      </c>
      <c r="R511" t="s">
        <v>109</v>
      </c>
      <c r="S511" t="s">
        <v>1870</v>
      </c>
      <c r="T511" t="s">
        <v>1871</v>
      </c>
      <c r="U511" t="s">
        <v>45</v>
      </c>
      <c r="V511" t="s">
        <v>52</v>
      </c>
      <c r="W511" t="s">
        <v>59</v>
      </c>
      <c r="X511" t="s">
        <v>69</v>
      </c>
      <c r="Y511" t="s">
        <v>47</v>
      </c>
      <c r="Z511" t="s">
        <v>45</v>
      </c>
      <c r="AA511" t="s">
        <v>54</v>
      </c>
      <c r="AB511" t="s">
        <v>40</v>
      </c>
      <c r="AC511" t="s">
        <v>79</v>
      </c>
      <c r="AD511" t="s">
        <v>41</v>
      </c>
      <c r="AE511" t="s">
        <v>40</v>
      </c>
      <c r="AF511" t="s">
        <v>98</v>
      </c>
      <c r="AG511" t="s">
        <v>53</v>
      </c>
      <c r="AH511" t="s">
        <v>47</v>
      </c>
      <c r="AI511" t="s">
        <v>71</v>
      </c>
    </row>
    <row r="512" spans="1:35" x14ac:dyDescent="0.25">
      <c r="A512" t="s">
        <v>259</v>
      </c>
      <c r="B512" t="s">
        <v>59</v>
      </c>
      <c r="C512" t="s">
        <v>37</v>
      </c>
      <c r="D512" t="s">
        <v>392</v>
      </c>
      <c r="E512" t="s">
        <v>397</v>
      </c>
      <c r="F512" t="s">
        <v>144</v>
      </c>
      <c r="G512" t="s">
        <v>47</v>
      </c>
      <c r="H512" t="s">
        <v>87</v>
      </c>
      <c r="I512" t="s">
        <v>40</v>
      </c>
      <c r="J512" t="s">
        <v>1872</v>
      </c>
      <c r="K512" t="s">
        <v>45</v>
      </c>
      <c r="L512" t="s">
        <v>63</v>
      </c>
      <c r="M512" t="s">
        <v>356</v>
      </c>
      <c r="N512" t="s">
        <v>45</v>
      </c>
      <c r="O512" t="s">
        <v>45</v>
      </c>
      <c r="P512" t="s">
        <v>397</v>
      </c>
      <c r="Q512" t="s">
        <v>41</v>
      </c>
      <c r="R512" t="s">
        <v>66</v>
      </c>
      <c r="S512" t="s">
        <v>1873</v>
      </c>
      <c r="T512" t="s">
        <v>1874</v>
      </c>
      <c r="U512" t="s">
        <v>41</v>
      </c>
      <c r="V512" t="s">
        <v>52</v>
      </c>
      <c r="W512" t="s">
        <v>59</v>
      </c>
      <c r="X512" t="s">
        <v>79</v>
      </c>
      <c r="Y512" t="s">
        <v>45</v>
      </c>
      <c r="Z512" t="s">
        <v>45</v>
      </c>
      <c r="AA512" t="s">
        <v>54</v>
      </c>
      <c r="AB512" t="s">
        <v>40</v>
      </c>
      <c r="AC512" t="s">
        <v>128</v>
      </c>
      <c r="AD512" t="s">
        <v>40</v>
      </c>
      <c r="AE512" t="s">
        <v>47</v>
      </c>
      <c r="AF512" t="s">
        <v>91</v>
      </c>
      <c r="AG512" t="s">
        <v>71</v>
      </c>
      <c r="AH512" t="s">
        <v>71</v>
      </c>
      <c r="AI512" t="s">
        <v>40</v>
      </c>
    </row>
    <row r="513" spans="1:35" x14ac:dyDescent="0.25">
      <c r="A513" t="s">
        <v>120</v>
      </c>
      <c r="B513" t="s">
        <v>59</v>
      </c>
      <c r="C513" t="s">
        <v>37</v>
      </c>
      <c r="D513" t="s">
        <v>1875</v>
      </c>
      <c r="E513" t="s">
        <v>62</v>
      </c>
      <c r="F513" t="s">
        <v>91</v>
      </c>
      <c r="G513" t="s">
        <v>41</v>
      </c>
      <c r="H513" t="s">
        <v>87</v>
      </c>
      <c r="I513" t="s">
        <v>40</v>
      </c>
      <c r="J513" t="s">
        <v>192</v>
      </c>
      <c r="K513" t="s">
        <v>41</v>
      </c>
      <c r="L513" t="s">
        <v>63</v>
      </c>
      <c r="M513" t="s">
        <v>207</v>
      </c>
      <c r="N513" t="s">
        <v>41</v>
      </c>
      <c r="O513" t="s">
        <v>41</v>
      </c>
      <c r="P513" t="s">
        <v>116</v>
      </c>
      <c r="Q513" t="s">
        <v>41</v>
      </c>
      <c r="R513" t="s">
        <v>109</v>
      </c>
      <c r="S513" t="s">
        <v>1876</v>
      </c>
      <c r="T513" t="s">
        <v>1877</v>
      </c>
      <c r="U513" t="s">
        <v>41</v>
      </c>
      <c r="V513" t="s">
        <v>52</v>
      </c>
      <c r="W513" t="s">
        <v>36</v>
      </c>
      <c r="X513" t="s">
        <v>53</v>
      </c>
      <c r="Y513" t="s">
        <v>45</v>
      </c>
      <c r="Z513" t="s">
        <v>45</v>
      </c>
      <c r="AA513" t="s">
        <v>54</v>
      </c>
      <c r="AB513" t="s">
        <v>40</v>
      </c>
      <c r="AC513" t="s">
        <v>98</v>
      </c>
      <c r="AD513" t="s">
        <v>41</v>
      </c>
      <c r="AE513" t="s">
        <v>45</v>
      </c>
      <c r="AF513" t="s">
        <v>45</v>
      </c>
      <c r="AG513" t="s">
        <v>41</v>
      </c>
      <c r="AH513" t="s">
        <v>55</v>
      </c>
      <c r="AI513" t="s">
        <v>41</v>
      </c>
    </row>
    <row r="514" spans="1:35" x14ac:dyDescent="0.25">
      <c r="A514" t="s">
        <v>85</v>
      </c>
      <c r="B514" t="s">
        <v>59</v>
      </c>
      <c r="C514" t="s">
        <v>37</v>
      </c>
      <c r="D514" t="s">
        <v>325</v>
      </c>
      <c r="E514" t="s">
        <v>62</v>
      </c>
      <c r="F514" t="s">
        <v>45</v>
      </c>
      <c r="G514" t="s">
        <v>47</v>
      </c>
      <c r="H514" t="s">
        <v>87</v>
      </c>
      <c r="I514" t="s">
        <v>40</v>
      </c>
      <c r="J514" t="s">
        <v>1878</v>
      </c>
      <c r="K514" t="s">
        <v>40</v>
      </c>
      <c r="L514" t="s">
        <v>63</v>
      </c>
      <c r="M514" t="s">
        <v>259</v>
      </c>
      <c r="N514" t="s">
        <v>41</v>
      </c>
      <c r="O514" t="s">
        <v>40</v>
      </c>
      <c r="P514" t="s">
        <v>65</v>
      </c>
      <c r="Q514" t="s">
        <v>47</v>
      </c>
      <c r="R514" t="s">
        <v>48</v>
      </c>
      <c r="S514" t="s">
        <v>1879</v>
      </c>
      <c r="T514" t="s">
        <v>1880</v>
      </c>
      <c r="U514" t="s">
        <v>55</v>
      </c>
      <c r="V514" t="s">
        <v>52</v>
      </c>
      <c r="W514" t="s">
        <v>59</v>
      </c>
      <c r="X514" t="s">
        <v>98</v>
      </c>
      <c r="Y514" t="s">
        <v>45</v>
      </c>
      <c r="Z514" t="s">
        <v>47</v>
      </c>
      <c r="AA514" t="s">
        <v>54</v>
      </c>
      <c r="AB514" t="s">
        <v>55</v>
      </c>
      <c r="AC514" t="s">
        <v>57</v>
      </c>
      <c r="AD514" t="s">
        <v>55</v>
      </c>
      <c r="AE514" t="s">
        <v>45</v>
      </c>
      <c r="AF514" t="s">
        <v>47</v>
      </c>
      <c r="AG514" t="s">
        <v>41</v>
      </c>
      <c r="AH514" t="s">
        <v>40</v>
      </c>
      <c r="AI514" t="s">
        <v>40</v>
      </c>
    </row>
    <row r="515" spans="1:35" x14ac:dyDescent="0.25">
      <c r="A515" t="s">
        <v>104</v>
      </c>
      <c r="B515" t="s">
        <v>36</v>
      </c>
      <c r="C515" t="s">
        <v>37</v>
      </c>
      <c r="D515" t="s">
        <v>1472</v>
      </c>
      <c r="E515" t="s">
        <v>62</v>
      </c>
      <c r="F515" t="s">
        <v>70</v>
      </c>
      <c r="G515" t="s">
        <v>40</v>
      </c>
      <c r="H515" t="s">
        <v>87</v>
      </c>
      <c r="I515" t="s">
        <v>40</v>
      </c>
      <c r="J515" t="s">
        <v>1881</v>
      </c>
      <c r="K515" t="s">
        <v>47</v>
      </c>
      <c r="L515" t="s">
        <v>63</v>
      </c>
      <c r="M515" t="s">
        <v>93</v>
      </c>
      <c r="N515" t="s">
        <v>45</v>
      </c>
      <c r="O515" t="s">
        <v>40</v>
      </c>
      <c r="P515" t="s">
        <v>65</v>
      </c>
      <c r="Q515" t="s">
        <v>45</v>
      </c>
      <c r="R515" t="s">
        <v>48</v>
      </c>
      <c r="S515" t="s">
        <v>1628</v>
      </c>
      <c r="T515" t="s">
        <v>1882</v>
      </c>
      <c r="U515" t="s">
        <v>40</v>
      </c>
      <c r="V515" t="s">
        <v>52</v>
      </c>
      <c r="W515" t="s">
        <v>36</v>
      </c>
      <c r="X515" t="s">
        <v>53</v>
      </c>
      <c r="Y515" t="s">
        <v>45</v>
      </c>
      <c r="Z515" t="s">
        <v>47</v>
      </c>
      <c r="AA515" t="s">
        <v>54</v>
      </c>
      <c r="AB515" t="s">
        <v>55</v>
      </c>
      <c r="AC515" t="s">
        <v>40</v>
      </c>
      <c r="AD515" t="s">
        <v>57</v>
      </c>
      <c r="AE515" t="s">
        <v>45</v>
      </c>
      <c r="AF515" t="s">
        <v>40</v>
      </c>
      <c r="AG515" t="s">
        <v>55</v>
      </c>
      <c r="AH515" t="s">
        <v>40</v>
      </c>
      <c r="AI515" t="s">
        <v>40</v>
      </c>
    </row>
    <row r="516" spans="1:35" x14ac:dyDescent="0.25">
      <c r="A516" t="s">
        <v>80</v>
      </c>
      <c r="B516" t="s">
        <v>36</v>
      </c>
      <c r="C516" t="s">
        <v>60</v>
      </c>
      <c r="D516" t="s">
        <v>1883</v>
      </c>
      <c r="E516" t="s">
        <v>62</v>
      </c>
      <c r="F516" t="s">
        <v>45</v>
      </c>
      <c r="G516" t="s">
        <v>45</v>
      </c>
      <c r="H516" t="s">
        <v>42</v>
      </c>
      <c r="I516" t="s">
        <v>40</v>
      </c>
      <c r="J516" t="s">
        <v>734</v>
      </c>
      <c r="K516" t="s">
        <v>40</v>
      </c>
      <c r="L516" t="s">
        <v>63</v>
      </c>
      <c r="M516" t="s">
        <v>304</v>
      </c>
      <c r="N516" t="s">
        <v>45</v>
      </c>
      <c r="O516" t="s">
        <v>40</v>
      </c>
      <c r="P516" t="s">
        <v>65</v>
      </c>
      <c r="Q516" t="s">
        <v>40</v>
      </c>
      <c r="R516" t="s">
        <v>48</v>
      </c>
      <c r="S516" t="s">
        <v>1884</v>
      </c>
      <c r="T516" t="s">
        <v>1885</v>
      </c>
      <c r="U516" t="s">
        <v>40</v>
      </c>
      <c r="V516" t="s">
        <v>52</v>
      </c>
      <c r="W516" t="s">
        <v>36</v>
      </c>
      <c r="X516" t="s">
        <v>53</v>
      </c>
      <c r="Y516" t="s">
        <v>45</v>
      </c>
      <c r="Z516" t="s">
        <v>40</v>
      </c>
      <c r="AA516" t="s">
        <v>54</v>
      </c>
      <c r="AB516" t="s">
        <v>55</v>
      </c>
      <c r="AC516" t="s">
        <v>70</v>
      </c>
      <c r="AD516" t="s">
        <v>45</v>
      </c>
      <c r="AE516" t="s">
        <v>45</v>
      </c>
      <c r="AF516" t="s">
        <v>70</v>
      </c>
      <c r="AG516" t="s">
        <v>51</v>
      </c>
      <c r="AH516" t="s">
        <v>91</v>
      </c>
      <c r="AI516" t="s">
        <v>71</v>
      </c>
    </row>
    <row r="517" spans="1:35" x14ac:dyDescent="0.25">
      <c r="A517" t="s">
        <v>126</v>
      </c>
      <c r="B517" t="s">
        <v>59</v>
      </c>
      <c r="C517" t="s">
        <v>161</v>
      </c>
      <c r="D517" t="s">
        <v>1886</v>
      </c>
      <c r="E517" t="s">
        <v>62</v>
      </c>
      <c r="F517" t="s">
        <v>45</v>
      </c>
      <c r="G517" t="s">
        <v>45</v>
      </c>
      <c r="H517" t="s">
        <v>42</v>
      </c>
      <c r="I517" t="s">
        <v>40</v>
      </c>
      <c r="J517" t="s">
        <v>1887</v>
      </c>
      <c r="K517" t="s">
        <v>45</v>
      </c>
      <c r="L517" t="s">
        <v>63</v>
      </c>
      <c r="M517" t="s">
        <v>35</v>
      </c>
      <c r="N517" t="s">
        <v>41</v>
      </c>
      <c r="O517" t="s">
        <v>40</v>
      </c>
      <c r="P517" t="s">
        <v>76</v>
      </c>
      <c r="Q517" t="s">
        <v>45</v>
      </c>
      <c r="R517" t="s">
        <v>66</v>
      </c>
      <c r="S517" t="s">
        <v>1888</v>
      </c>
      <c r="T517" t="s">
        <v>1889</v>
      </c>
      <c r="U517" t="s">
        <v>40</v>
      </c>
      <c r="V517" t="s">
        <v>52</v>
      </c>
      <c r="W517" t="s">
        <v>59</v>
      </c>
      <c r="X517" t="s">
        <v>145</v>
      </c>
      <c r="Y517" t="s">
        <v>45</v>
      </c>
      <c r="Z517" t="s">
        <v>45</v>
      </c>
      <c r="AA517" t="s">
        <v>54</v>
      </c>
      <c r="AB517" t="s">
        <v>41</v>
      </c>
      <c r="AC517" t="s">
        <v>40</v>
      </c>
      <c r="AD517" t="s">
        <v>45</v>
      </c>
      <c r="AE517" t="s">
        <v>45</v>
      </c>
      <c r="AF517" t="s">
        <v>40</v>
      </c>
      <c r="AG517" t="s">
        <v>55</v>
      </c>
      <c r="AH517" t="s">
        <v>55</v>
      </c>
      <c r="AI517" t="s">
        <v>55</v>
      </c>
    </row>
    <row r="518" spans="1:35" x14ac:dyDescent="0.25">
      <c r="A518" t="s">
        <v>69</v>
      </c>
      <c r="B518" t="s">
        <v>59</v>
      </c>
      <c r="C518" t="s">
        <v>37</v>
      </c>
      <c r="D518" t="s">
        <v>1890</v>
      </c>
      <c r="E518" t="s">
        <v>62</v>
      </c>
      <c r="F518" t="s">
        <v>47</v>
      </c>
      <c r="G518" t="s">
        <v>45</v>
      </c>
      <c r="H518" t="s">
        <v>87</v>
      </c>
      <c r="I518" t="s">
        <v>40</v>
      </c>
      <c r="J518" t="s">
        <v>214</v>
      </c>
      <c r="K518" t="s">
        <v>40</v>
      </c>
      <c r="L518" t="s">
        <v>63</v>
      </c>
      <c r="M518" t="s">
        <v>197</v>
      </c>
      <c r="N518" t="s">
        <v>47</v>
      </c>
      <c r="O518" t="s">
        <v>40</v>
      </c>
      <c r="P518" t="s">
        <v>65</v>
      </c>
      <c r="Q518" t="s">
        <v>40</v>
      </c>
      <c r="R518" t="s">
        <v>66</v>
      </c>
      <c r="S518" t="s">
        <v>613</v>
      </c>
      <c r="T518" t="s">
        <v>1891</v>
      </c>
      <c r="U518" t="s">
        <v>41</v>
      </c>
      <c r="V518" t="s">
        <v>52</v>
      </c>
      <c r="W518" t="s">
        <v>59</v>
      </c>
      <c r="X518" t="s">
        <v>128</v>
      </c>
      <c r="Y518" t="s">
        <v>45</v>
      </c>
      <c r="Z518" t="s">
        <v>40</v>
      </c>
      <c r="AA518" t="s">
        <v>54</v>
      </c>
      <c r="AB518" t="s">
        <v>40</v>
      </c>
      <c r="AC518" t="s">
        <v>57</v>
      </c>
      <c r="AD518" t="s">
        <v>45</v>
      </c>
      <c r="AE518" t="s">
        <v>47</v>
      </c>
      <c r="AF518" t="s">
        <v>45</v>
      </c>
      <c r="AG518" t="s">
        <v>41</v>
      </c>
      <c r="AH518" t="s">
        <v>55</v>
      </c>
      <c r="AI518" t="s">
        <v>41</v>
      </c>
    </row>
    <row r="519" spans="1:35" x14ac:dyDescent="0.25">
      <c r="A519" t="s">
        <v>172</v>
      </c>
      <c r="B519" t="s">
        <v>59</v>
      </c>
      <c r="C519" t="s">
        <v>37</v>
      </c>
      <c r="D519" t="s">
        <v>1373</v>
      </c>
      <c r="E519" t="s">
        <v>39</v>
      </c>
      <c r="F519" t="s">
        <v>51</v>
      </c>
      <c r="G519" t="s">
        <v>45</v>
      </c>
      <c r="H519" t="s">
        <v>42</v>
      </c>
      <c r="I519" t="s">
        <v>40</v>
      </c>
      <c r="J519" t="s">
        <v>1892</v>
      </c>
      <c r="K519" t="s">
        <v>47</v>
      </c>
      <c r="L519" t="s">
        <v>63</v>
      </c>
      <c r="M519" t="s">
        <v>269</v>
      </c>
      <c r="N519" t="s">
        <v>47</v>
      </c>
      <c r="O519" t="s">
        <v>41</v>
      </c>
      <c r="P519" t="s">
        <v>46</v>
      </c>
      <c r="Q519" t="s">
        <v>41</v>
      </c>
      <c r="R519" t="s">
        <v>66</v>
      </c>
      <c r="S519" t="s">
        <v>1893</v>
      </c>
      <c r="T519" t="s">
        <v>1894</v>
      </c>
      <c r="U519" t="s">
        <v>55</v>
      </c>
      <c r="V519" t="s">
        <v>52</v>
      </c>
      <c r="W519" t="s">
        <v>59</v>
      </c>
      <c r="X519" t="s">
        <v>112</v>
      </c>
      <c r="Y519" t="s">
        <v>47</v>
      </c>
      <c r="Z519" t="s">
        <v>45</v>
      </c>
      <c r="AA519" t="s">
        <v>54</v>
      </c>
      <c r="AB519" t="s">
        <v>40</v>
      </c>
      <c r="AC519" t="s">
        <v>47</v>
      </c>
      <c r="AD519" t="s">
        <v>47</v>
      </c>
      <c r="AE519" t="s">
        <v>45</v>
      </c>
      <c r="AF519" t="s">
        <v>45</v>
      </c>
      <c r="AG519" t="s">
        <v>41</v>
      </c>
      <c r="AH519" t="s">
        <v>40</v>
      </c>
      <c r="AI519" t="s">
        <v>41</v>
      </c>
    </row>
    <row r="520" spans="1:35" x14ac:dyDescent="0.25">
      <c r="A520" t="s">
        <v>113</v>
      </c>
      <c r="B520" t="s">
        <v>59</v>
      </c>
      <c r="C520" t="s">
        <v>37</v>
      </c>
      <c r="D520" t="s">
        <v>765</v>
      </c>
      <c r="E520" t="s">
        <v>39</v>
      </c>
      <c r="F520" t="s">
        <v>71</v>
      </c>
      <c r="G520" t="s">
        <v>47</v>
      </c>
      <c r="H520" t="s">
        <v>206</v>
      </c>
      <c r="I520" t="s">
        <v>40</v>
      </c>
      <c r="J520" t="s">
        <v>1895</v>
      </c>
      <c r="K520" t="s">
        <v>47</v>
      </c>
      <c r="L520" t="s">
        <v>43</v>
      </c>
      <c r="M520" t="s">
        <v>213</v>
      </c>
      <c r="N520" t="s">
        <v>41</v>
      </c>
      <c r="O520" t="s">
        <v>41</v>
      </c>
      <c r="P520" t="s">
        <v>46</v>
      </c>
      <c r="Q520" t="s">
        <v>47</v>
      </c>
      <c r="R520" t="s">
        <v>48</v>
      </c>
      <c r="S520" t="s">
        <v>1896</v>
      </c>
      <c r="T520" t="s">
        <v>1897</v>
      </c>
      <c r="U520" t="s">
        <v>55</v>
      </c>
      <c r="V520" t="s">
        <v>52</v>
      </c>
      <c r="W520" t="s">
        <v>59</v>
      </c>
      <c r="X520" t="s">
        <v>104</v>
      </c>
      <c r="Y520" t="s">
        <v>47</v>
      </c>
      <c r="Z520" t="s">
        <v>40</v>
      </c>
      <c r="AA520" t="s">
        <v>54</v>
      </c>
      <c r="AB520" t="s">
        <v>55</v>
      </c>
      <c r="AC520" t="s">
        <v>51</v>
      </c>
      <c r="AD520" t="s">
        <v>41</v>
      </c>
      <c r="AE520" t="s">
        <v>45</v>
      </c>
      <c r="AF520" t="s">
        <v>71</v>
      </c>
      <c r="AG520" t="s">
        <v>71</v>
      </c>
      <c r="AH520" t="s">
        <v>55</v>
      </c>
      <c r="AI520" t="s">
        <v>57</v>
      </c>
    </row>
    <row r="521" spans="1:35" x14ac:dyDescent="0.25">
      <c r="A521" t="s">
        <v>133</v>
      </c>
      <c r="B521" t="s">
        <v>59</v>
      </c>
      <c r="C521" t="s">
        <v>60</v>
      </c>
      <c r="D521" t="s">
        <v>1898</v>
      </c>
      <c r="E521" t="s">
        <v>62</v>
      </c>
      <c r="F521" t="s">
        <v>40</v>
      </c>
      <c r="G521" t="s">
        <v>47</v>
      </c>
      <c r="H521" t="s">
        <v>42</v>
      </c>
      <c r="I521" t="s">
        <v>40</v>
      </c>
      <c r="J521" t="s">
        <v>1899</v>
      </c>
      <c r="K521" t="s">
        <v>41</v>
      </c>
      <c r="L521" t="s">
        <v>63</v>
      </c>
      <c r="M521" t="s">
        <v>322</v>
      </c>
      <c r="N521" t="s">
        <v>40</v>
      </c>
      <c r="O521" t="s">
        <v>40</v>
      </c>
      <c r="P521" t="s">
        <v>65</v>
      </c>
      <c r="Q521" t="s">
        <v>47</v>
      </c>
      <c r="R521" t="s">
        <v>109</v>
      </c>
      <c r="S521" t="s">
        <v>654</v>
      </c>
      <c r="T521" t="s">
        <v>1900</v>
      </c>
      <c r="U521" t="s">
        <v>40</v>
      </c>
      <c r="V521" t="s">
        <v>52</v>
      </c>
      <c r="W521" t="s">
        <v>59</v>
      </c>
      <c r="X521" t="s">
        <v>145</v>
      </c>
      <c r="Y521" t="s">
        <v>45</v>
      </c>
      <c r="Z521" t="s">
        <v>47</v>
      </c>
      <c r="AA521" t="s">
        <v>54</v>
      </c>
      <c r="AB521" t="s">
        <v>40</v>
      </c>
      <c r="AC521" t="s">
        <v>70</v>
      </c>
      <c r="AD521" t="s">
        <v>57</v>
      </c>
      <c r="AE521" t="s">
        <v>45</v>
      </c>
      <c r="AF521" t="s">
        <v>70</v>
      </c>
      <c r="AG521" t="s">
        <v>71</v>
      </c>
      <c r="AH521" t="s">
        <v>41</v>
      </c>
      <c r="AI521" t="s">
        <v>51</v>
      </c>
    </row>
    <row r="522" spans="1:35" x14ac:dyDescent="0.25">
      <c r="A522" t="s">
        <v>207</v>
      </c>
      <c r="B522" t="s">
        <v>59</v>
      </c>
      <c r="C522" t="s">
        <v>37</v>
      </c>
      <c r="D522" t="s">
        <v>1901</v>
      </c>
      <c r="E522" t="s">
        <v>39</v>
      </c>
      <c r="F522" t="s">
        <v>41</v>
      </c>
      <c r="G522" t="s">
        <v>40</v>
      </c>
      <c r="H522" t="s">
        <v>206</v>
      </c>
      <c r="I522" t="s">
        <v>40</v>
      </c>
      <c r="J522" t="s">
        <v>1902</v>
      </c>
      <c r="K522" t="s">
        <v>41</v>
      </c>
      <c r="L522" t="s">
        <v>63</v>
      </c>
      <c r="M522" t="s">
        <v>82</v>
      </c>
      <c r="N522" t="s">
        <v>47</v>
      </c>
      <c r="O522" t="s">
        <v>41</v>
      </c>
      <c r="P522" t="s">
        <v>46</v>
      </c>
      <c r="Q522" t="s">
        <v>41</v>
      </c>
      <c r="R522" t="s">
        <v>66</v>
      </c>
      <c r="S522" t="s">
        <v>1903</v>
      </c>
      <c r="T522" t="s">
        <v>1904</v>
      </c>
      <c r="U522" t="s">
        <v>45</v>
      </c>
      <c r="V522" t="s">
        <v>52</v>
      </c>
      <c r="W522" t="s">
        <v>59</v>
      </c>
      <c r="X522" t="s">
        <v>92</v>
      </c>
      <c r="Y522" t="s">
        <v>45</v>
      </c>
      <c r="Z522" t="s">
        <v>47</v>
      </c>
      <c r="AA522" t="s">
        <v>54</v>
      </c>
      <c r="AB522" t="s">
        <v>55</v>
      </c>
      <c r="AC522" t="s">
        <v>92</v>
      </c>
      <c r="AD522" t="s">
        <v>45</v>
      </c>
      <c r="AE522" t="s">
        <v>45</v>
      </c>
      <c r="AF522" t="s">
        <v>41</v>
      </c>
      <c r="AG522" t="s">
        <v>41</v>
      </c>
      <c r="AH522" t="s">
        <v>41</v>
      </c>
      <c r="AI522" t="s">
        <v>41</v>
      </c>
    </row>
    <row r="523" spans="1:35" x14ac:dyDescent="0.25">
      <c r="A523" t="s">
        <v>85</v>
      </c>
      <c r="B523" t="s">
        <v>59</v>
      </c>
      <c r="C523" t="s">
        <v>60</v>
      </c>
      <c r="D523" t="s">
        <v>1905</v>
      </c>
      <c r="E523" t="s">
        <v>39</v>
      </c>
      <c r="F523" t="s">
        <v>45</v>
      </c>
      <c r="G523" t="s">
        <v>40</v>
      </c>
      <c r="H523" t="s">
        <v>87</v>
      </c>
      <c r="I523" t="s">
        <v>40</v>
      </c>
      <c r="J523" t="s">
        <v>1906</v>
      </c>
      <c r="K523" t="s">
        <v>47</v>
      </c>
      <c r="L523" t="s">
        <v>43</v>
      </c>
      <c r="M523" t="s">
        <v>315</v>
      </c>
      <c r="N523" t="s">
        <v>47</v>
      </c>
      <c r="O523" t="s">
        <v>41</v>
      </c>
      <c r="P523" t="s">
        <v>46</v>
      </c>
      <c r="Q523" t="s">
        <v>47</v>
      </c>
      <c r="R523" t="s">
        <v>109</v>
      </c>
      <c r="S523" t="s">
        <v>1907</v>
      </c>
      <c r="T523" t="s">
        <v>1908</v>
      </c>
      <c r="U523" t="s">
        <v>40</v>
      </c>
      <c r="V523" t="s">
        <v>52</v>
      </c>
      <c r="W523" t="s">
        <v>36</v>
      </c>
      <c r="X523" t="s">
        <v>104</v>
      </c>
      <c r="Y523" t="s">
        <v>47</v>
      </c>
      <c r="Z523" t="s">
        <v>41</v>
      </c>
      <c r="AA523" t="s">
        <v>54</v>
      </c>
      <c r="AB523" t="s">
        <v>41</v>
      </c>
      <c r="AC523" t="s">
        <v>56</v>
      </c>
      <c r="AD523" t="s">
        <v>45</v>
      </c>
      <c r="AE523" t="s">
        <v>45</v>
      </c>
      <c r="AF523" t="s">
        <v>56</v>
      </c>
      <c r="AG523" t="s">
        <v>57</v>
      </c>
      <c r="AH523" t="s">
        <v>55</v>
      </c>
      <c r="AI523" t="s">
        <v>47</v>
      </c>
    </row>
    <row r="524" spans="1:35" x14ac:dyDescent="0.25">
      <c r="A524" t="s">
        <v>72</v>
      </c>
      <c r="B524" t="s">
        <v>59</v>
      </c>
      <c r="C524" t="s">
        <v>37</v>
      </c>
      <c r="D524" t="s">
        <v>363</v>
      </c>
      <c r="E524" t="s">
        <v>62</v>
      </c>
      <c r="F524" t="s">
        <v>70</v>
      </c>
      <c r="G524" t="s">
        <v>41</v>
      </c>
      <c r="H524" t="s">
        <v>42</v>
      </c>
      <c r="I524" t="s">
        <v>40</v>
      </c>
      <c r="J524" t="s">
        <v>1909</v>
      </c>
      <c r="K524" t="s">
        <v>47</v>
      </c>
      <c r="L524" t="s">
        <v>63</v>
      </c>
      <c r="M524" t="s">
        <v>54</v>
      </c>
      <c r="N524" t="s">
        <v>47</v>
      </c>
      <c r="O524" t="s">
        <v>40</v>
      </c>
      <c r="P524" t="s">
        <v>65</v>
      </c>
      <c r="Q524" t="s">
        <v>47</v>
      </c>
      <c r="R524" t="s">
        <v>48</v>
      </c>
      <c r="S524" t="s">
        <v>1910</v>
      </c>
      <c r="T524" t="s">
        <v>1911</v>
      </c>
      <c r="U524" t="s">
        <v>45</v>
      </c>
      <c r="V524" t="s">
        <v>52</v>
      </c>
      <c r="W524" t="s">
        <v>59</v>
      </c>
      <c r="X524" t="s">
        <v>125</v>
      </c>
      <c r="Y524" t="s">
        <v>45</v>
      </c>
      <c r="Z524" t="s">
        <v>40</v>
      </c>
      <c r="AA524" t="s">
        <v>54</v>
      </c>
      <c r="AB524" t="s">
        <v>55</v>
      </c>
      <c r="AC524" t="s">
        <v>47</v>
      </c>
      <c r="AD524" t="s">
        <v>41</v>
      </c>
      <c r="AE524" t="s">
        <v>45</v>
      </c>
      <c r="AF524" t="s">
        <v>40</v>
      </c>
      <c r="AG524" t="s">
        <v>55</v>
      </c>
      <c r="AH524" t="s">
        <v>55</v>
      </c>
      <c r="AI524" t="s">
        <v>55</v>
      </c>
    </row>
    <row r="525" spans="1:35" x14ac:dyDescent="0.25">
      <c r="A525" t="s">
        <v>151</v>
      </c>
      <c r="B525" t="s">
        <v>59</v>
      </c>
      <c r="C525" t="s">
        <v>37</v>
      </c>
      <c r="D525" t="s">
        <v>1912</v>
      </c>
      <c r="E525" t="s">
        <v>62</v>
      </c>
      <c r="F525" t="s">
        <v>149</v>
      </c>
      <c r="G525" t="s">
        <v>40</v>
      </c>
      <c r="H525" t="s">
        <v>87</v>
      </c>
      <c r="I525" t="s">
        <v>40</v>
      </c>
      <c r="J525" t="s">
        <v>1913</v>
      </c>
      <c r="K525" t="s">
        <v>47</v>
      </c>
      <c r="L525" t="s">
        <v>63</v>
      </c>
      <c r="M525" t="s">
        <v>314</v>
      </c>
      <c r="N525" t="s">
        <v>47</v>
      </c>
      <c r="O525" t="s">
        <v>40</v>
      </c>
      <c r="P525" t="s">
        <v>76</v>
      </c>
      <c r="Q525" t="s">
        <v>45</v>
      </c>
      <c r="R525" t="s">
        <v>66</v>
      </c>
      <c r="S525" t="s">
        <v>1914</v>
      </c>
      <c r="T525" t="s">
        <v>1915</v>
      </c>
      <c r="U525" t="s">
        <v>40</v>
      </c>
      <c r="V525" t="s">
        <v>52</v>
      </c>
      <c r="W525" t="s">
        <v>36</v>
      </c>
      <c r="X525" t="s">
        <v>53</v>
      </c>
      <c r="Y525" t="s">
        <v>45</v>
      </c>
      <c r="Z525" t="s">
        <v>45</v>
      </c>
      <c r="AA525" t="s">
        <v>54</v>
      </c>
      <c r="AB525" t="s">
        <v>45</v>
      </c>
      <c r="AC525" t="s">
        <v>104</v>
      </c>
      <c r="AD525" t="s">
        <v>45</v>
      </c>
      <c r="AE525" t="s">
        <v>45</v>
      </c>
      <c r="AF525" t="s">
        <v>104</v>
      </c>
      <c r="AG525" t="s">
        <v>51</v>
      </c>
      <c r="AH525" t="s">
        <v>45</v>
      </c>
      <c r="AI525" t="s">
        <v>51</v>
      </c>
    </row>
    <row r="526" spans="1:35" x14ac:dyDescent="0.25">
      <c r="A526" t="s">
        <v>142</v>
      </c>
      <c r="B526" t="s">
        <v>59</v>
      </c>
      <c r="C526" t="s">
        <v>37</v>
      </c>
      <c r="D526" t="s">
        <v>1916</v>
      </c>
      <c r="E526" t="s">
        <v>62</v>
      </c>
      <c r="F526" t="s">
        <v>91</v>
      </c>
      <c r="G526" t="s">
        <v>45</v>
      </c>
      <c r="H526" t="s">
        <v>87</v>
      </c>
      <c r="I526" t="s">
        <v>40</v>
      </c>
      <c r="J526" t="s">
        <v>1917</v>
      </c>
      <c r="K526" t="s">
        <v>47</v>
      </c>
      <c r="L526" t="s">
        <v>43</v>
      </c>
      <c r="M526" t="s">
        <v>213</v>
      </c>
      <c r="N526" t="s">
        <v>41</v>
      </c>
      <c r="O526" t="s">
        <v>45</v>
      </c>
      <c r="P526" t="s">
        <v>122</v>
      </c>
      <c r="Q526" t="s">
        <v>41</v>
      </c>
      <c r="R526" t="s">
        <v>48</v>
      </c>
      <c r="S526" t="s">
        <v>1918</v>
      </c>
      <c r="T526" t="s">
        <v>1919</v>
      </c>
      <c r="U526" t="s">
        <v>40</v>
      </c>
      <c r="V526" t="s">
        <v>52</v>
      </c>
      <c r="W526" t="s">
        <v>59</v>
      </c>
      <c r="X526" t="s">
        <v>129</v>
      </c>
      <c r="Y526" t="s">
        <v>45</v>
      </c>
      <c r="Z526" t="s">
        <v>41</v>
      </c>
      <c r="AA526" t="s">
        <v>54</v>
      </c>
      <c r="AB526" t="s">
        <v>55</v>
      </c>
      <c r="AC526" t="s">
        <v>91</v>
      </c>
      <c r="AD526" t="s">
        <v>45</v>
      </c>
      <c r="AE526" t="s">
        <v>47</v>
      </c>
      <c r="AF526" t="s">
        <v>51</v>
      </c>
      <c r="AG526" t="s">
        <v>71</v>
      </c>
      <c r="AH526" t="s">
        <v>71</v>
      </c>
      <c r="AI526" t="s">
        <v>71</v>
      </c>
    </row>
    <row r="527" spans="1:35" x14ac:dyDescent="0.25">
      <c r="A527" t="s">
        <v>107</v>
      </c>
      <c r="B527" t="s">
        <v>36</v>
      </c>
      <c r="C527" t="s">
        <v>37</v>
      </c>
      <c r="D527" t="s">
        <v>1920</v>
      </c>
      <c r="E527" t="s">
        <v>39</v>
      </c>
      <c r="F527" t="s">
        <v>45</v>
      </c>
      <c r="G527" t="s">
        <v>41</v>
      </c>
      <c r="H527" t="s">
        <v>42</v>
      </c>
      <c r="I527" t="s">
        <v>40</v>
      </c>
      <c r="J527" t="s">
        <v>1921</v>
      </c>
      <c r="K527" t="s">
        <v>40</v>
      </c>
      <c r="L527" t="s">
        <v>43</v>
      </c>
      <c r="M527" t="s">
        <v>296</v>
      </c>
      <c r="N527" t="s">
        <v>45</v>
      </c>
      <c r="O527" t="s">
        <v>41</v>
      </c>
      <c r="P527" t="s">
        <v>46</v>
      </c>
      <c r="Q527" t="s">
        <v>45</v>
      </c>
      <c r="R527" t="s">
        <v>48</v>
      </c>
      <c r="S527" t="s">
        <v>1922</v>
      </c>
      <c r="T527" t="s">
        <v>1923</v>
      </c>
      <c r="U527" t="s">
        <v>91</v>
      </c>
      <c r="V527" t="s">
        <v>52</v>
      </c>
      <c r="W527" t="s">
        <v>59</v>
      </c>
      <c r="X527" t="s">
        <v>129</v>
      </c>
      <c r="Y527" t="s">
        <v>45</v>
      </c>
      <c r="Z527" t="s">
        <v>40</v>
      </c>
      <c r="AA527" t="s">
        <v>54</v>
      </c>
      <c r="AB527" t="s">
        <v>55</v>
      </c>
      <c r="AC527" t="s">
        <v>47</v>
      </c>
      <c r="AD527" t="s">
        <v>45</v>
      </c>
      <c r="AE527" t="s">
        <v>45</v>
      </c>
      <c r="AF527" t="s">
        <v>41</v>
      </c>
      <c r="AG527" t="s">
        <v>41</v>
      </c>
      <c r="AH527" t="s">
        <v>41</v>
      </c>
      <c r="AI527" t="s">
        <v>55</v>
      </c>
    </row>
    <row r="528" spans="1:35" x14ac:dyDescent="0.25">
      <c r="A528" t="s">
        <v>218</v>
      </c>
      <c r="B528" t="s">
        <v>59</v>
      </c>
      <c r="C528" t="s">
        <v>37</v>
      </c>
      <c r="D528" t="s">
        <v>278</v>
      </c>
      <c r="E528" t="s">
        <v>62</v>
      </c>
      <c r="F528" t="s">
        <v>41</v>
      </c>
      <c r="G528" t="s">
        <v>47</v>
      </c>
      <c r="H528" t="s">
        <v>228</v>
      </c>
      <c r="I528" t="s">
        <v>40</v>
      </c>
      <c r="J528" t="s">
        <v>268</v>
      </c>
      <c r="K528" t="s">
        <v>47</v>
      </c>
      <c r="L528" t="s">
        <v>43</v>
      </c>
      <c r="M528" t="s">
        <v>54</v>
      </c>
      <c r="N528" t="s">
        <v>41</v>
      </c>
      <c r="O528" t="s">
        <v>41</v>
      </c>
      <c r="P528" t="s">
        <v>122</v>
      </c>
      <c r="Q528" t="s">
        <v>45</v>
      </c>
      <c r="R528" t="s">
        <v>48</v>
      </c>
      <c r="S528" t="s">
        <v>1924</v>
      </c>
      <c r="T528" t="s">
        <v>1925</v>
      </c>
      <c r="U528" t="s">
        <v>40</v>
      </c>
      <c r="V528" t="s">
        <v>52</v>
      </c>
      <c r="W528" t="s">
        <v>59</v>
      </c>
      <c r="X528" t="s">
        <v>53</v>
      </c>
      <c r="Y528" t="s">
        <v>45</v>
      </c>
      <c r="Z528" t="s">
        <v>40</v>
      </c>
      <c r="AA528" t="s">
        <v>54</v>
      </c>
      <c r="AB528" t="s">
        <v>55</v>
      </c>
      <c r="AC528" t="s">
        <v>104</v>
      </c>
      <c r="AD528" t="s">
        <v>47</v>
      </c>
      <c r="AE528" t="s">
        <v>45</v>
      </c>
      <c r="AF528" t="s">
        <v>104</v>
      </c>
      <c r="AG528" t="s">
        <v>71</v>
      </c>
      <c r="AH528" t="s">
        <v>53</v>
      </c>
      <c r="AI528" t="s">
        <v>70</v>
      </c>
    </row>
    <row r="529" spans="1:35" x14ac:dyDescent="0.25">
      <c r="A529" t="s">
        <v>93</v>
      </c>
      <c r="B529" t="s">
        <v>59</v>
      </c>
      <c r="C529" t="s">
        <v>37</v>
      </c>
      <c r="D529" t="s">
        <v>1926</v>
      </c>
      <c r="E529" t="s">
        <v>39</v>
      </c>
      <c r="F529" t="s">
        <v>70</v>
      </c>
      <c r="G529" t="s">
        <v>45</v>
      </c>
      <c r="H529" t="s">
        <v>206</v>
      </c>
      <c r="I529" t="s">
        <v>40</v>
      </c>
      <c r="J529" t="s">
        <v>1927</v>
      </c>
      <c r="K529" t="s">
        <v>47</v>
      </c>
      <c r="L529" t="s">
        <v>63</v>
      </c>
      <c r="M529" t="s">
        <v>263</v>
      </c>
      <c r="N529" t="s">
        <v>45</v>
      </c>
      <c r="O529" t="s">
        <v>41</v>
      </c>
      <c r="P529" t="s">
        <v>46</v>
      </c>
      <c r="Q529" t="s">
        <v>47</v>
      </c>
      <c r="R529" t="s">
        <v>48</v>
      </c>
      <c r="S529" t="s">
        <v>1928</v>
      </c>
      <c r="T529" t="s">
        <v>1929</v>
      </c>
      <c r="U529" t="s">
        <v>40</v>
      </c>
      <c r="V529" t="s">
        <v>52</v>
      </c>
      <c r="W529" t="s">
        <v>59</v>
      </c>
      <c r="X529" t="s">
        <v>92</v>
      </c>
      <c r="Y529" t="s">
        <v>45</v>
      </c>
      <c r="Z529" t="s">
        <v>47</v>
      </c>
      <c r="AA529" t="s">
        <v>54</v>
      </c>
      <c r="AB529" t="s">
        <v>55</v>
      </c>
      <c r="AC529" t="s">
        <v>70</v>
      </c>
      <c r="AD529" t="s">
        <v>41</v>
      </c>
      <c r="AE529" t="s">
        <v>41</v>
      </c>
      <c r="AF529" t="s">
        <v>70</v>
      </c>
      <c r="AG529" t="s">
        <v>71</v>
      </c>
      <c r="AH529" t="s">
        <v>55</v>
      </c>
      <c r="AI529" t="s">
        <v>51</v>
      </c>
    </row>
    <row r="530" spans="1:35" x14ac:dyDescent="0.25">
      <c r="A530" t="s">
        <v>151</v>
      </c>
      <c r="B530" t="s">
        <v>36</v>
      </c>
      <c r="C530" t="s">
        <v>60</v>
      </c>
      <c r="D530" t="s">
        <v>1597</v>
      </c>
      <c r="E530" t="s">
        <v>39</v>
      </c>
      <c r="F530" t="s">
        <v>51</v>
      </c>
      <c r="G530" t="s">
        <v>41</v>
      </c>
      <c r="H530" t="s">
        <v>228</v>
      </c>
      <c r="I530" t="s">
        <v>40</v>
      </c>
      <c r="J530" t="s">
        <v>1269</v>
      </c>
      <c r="K530" t="s">
        <v>41</v>
      </c>
      <c r="L530" t="s">
        <v>63</v>
      </c>
      <c r="M530" t="s">
        <v>151</v>
      </c>
      <c r="N530" t="s">
        <v>45</v>
      </c>
      <c r="O530" t="s">
        <v>41</v>
      </c>
      <c r="P530" t="s">
        <v>46</v>
      </c>
      <c r="Q530" t="s">
        <v>45</v>
      </c>
      <c r="R530" t="s">
        <v>66</v>
      </c>
      <c r="S530" t="s">
        <v>1930</v>
      </c>
      <c r="T530" t="s">
        <v>1931</v>
      </c>
      <c r="U530" t="s">
        <v>45</v>
      </c>
      <c r="V530" t="s">
        <v>52</v>
      </c>
      <c r="W530" t="s">
        <v>36</v>
      </c>
      <c r="X530" t="s">
        <v>129</v>
      </c>
      <c r="Y530" t="s">
        <v>45</v>
      </c>
      <c r="Z530" t="s">
        <v>40</v>
      </c>
      <c r="AA530" t="s">
        <v>54</v>
      </c>
      <c r="AB530" t="s">
        <v>40</v>
      </c>
      <c r="AC530" t="s">
        <v>145</v>
      </c>
      <c r="AD530" t="s">
        <v>47</v>
      </c>
      <c r="AE530" t="s">
        <v>45</v>
      </c>
      <c r="AF530" t="s">
        <v>47</v>
      </c>
      <c r="AG530" t="s">
        <v>45</v>
      </c>
      <c r="AH530" t="s">
        <v>40</v>
      </c>
      <c r="AI530" t="s">
        <v>45</v>
      </c>
    </row>
    <row r="531" spans="1:35" x14ac:dyDescent="0.25">
      <c r="A531" t="s">
        <v>113</v>
      </c>
      <c r="B531" t="s">
        <v>59</v>
      </c>
      <c r="C531" t="s">
        <v>37</v>
      </c>
      <c r="D531" t="s">
        <v>480</v>
      </c>
      <c r="E531" t="s">
        <v>62</v>
      </c>
      <c r="F531" t="s">
        <v>40</v>
      </c>
      <c r="G531" t="s">
        <v>47</v>
      </c>
      <c r="H531" t="s">
        <v>42</v>
      </c>
      <c r="I531" t="s">
        <v>40</v>
      </c>
      <c r="J531" t="s">
        <v>1932</v>
      </c>
      <c r="K531" t="s">
        <v>41</v>
      </c>
      <c r="L531" t="s">
        <v>43</v>
      </c>
      <c r="M531" t="s">
        <v>80</v>
      </c>
      <c r="N531" t="s">
        <v>47</v>
      </c>
      <c r="O531" t="s">
        <v>41</v>
      </c>
      <c r="P531" t="s">
        <v>122</v>
      </c>
      <c r="Q531" t="s">
        <v>47</v>
      </c>
      <c r="R531" t="s">
        <v>48</v>
      </c>
      <c r="S531" t="s">
        <v>1933</v>
      </c>
      <c r="T531" t="s">
        <v>1934</v>
      </c>
      <c r="U531" t="s">
        <v>55</v>
      </c>
      <c r="V531" t="s">
        <v>52</v>
      </c>
      <c r="W531" t="s">
        <v>59</v>
      </c>
      <c r="X531" t="s">
        <v>98</v>
      </c>
      <c r="Y531" t="s">
        <v>45</v>
      </c>
      <c r="Z531" t="s">
        <v>45</v>
      </c>
      <c r="AA531" t="s">
        <v>54</v>
      </c>
      <c r="AB531" t="s">
        <v>55</v>
      </c>
      <c r="AC531" t="s">
        <v>70</v>
      </c>
      <c r="AD531" t="s">
        <v>47</v>
      </c>
      <c r="AE531" t="s">
        <v>41</v>
      </c>
      <c r="AF531" t="s">
        <v>91</v>
      </c>
      <c r="AG531" t="s">
        <v>71</v>
      </c>
      <c r="AH531" t="s">
        <v>40</v>
      </c>
      <c r="AI531" t="s">
        <v>51</v>
      </c>
    </row>
    <row r="532" spans="1:35" x14ac:dyDescent="0.25">
      <c r="A532" t="s">
        <v>85</v>
      </c>
      <c r="B532" t="s">
        <v>59</v>
      </c>
      <c r="C532" t="s">
        <v>37</v>
      </c>
      <c r="D532" t="s">
        <v>1705</v>
      </c>
      <c r="E532" t="s">
        <v>62</v>
      </c>
      <c r="F532" t="s">
        <v>40</v>
      </c>
      <c r="G532" t="s">
        <v>41</v>
      </c>
      <c r="H532" t="s">
        <v>42</v>
      </c>
      <c r="I532" t="s">
        <v>40</v>
      </c>
      <c r="J532" t="s">
        <v>1935</v>
      </c>
      <c r="K532" t="s">
        <v>45</v>
      </c>
      <c r="L532" t="s">
        <v>43</v>
      </c>
      <c r="M532" t="s">
        <v>300</v>
      </c>
      <c r="N532" t="s">
        <v>45</v>
      </c>
      <c r="O532" t="s">
        <v>45</v>
      </c>
      <c r="P532" t="s">
        <v>116</v>
      </c>
      <c r="Q532" t="s">
        <v>40</v>
      </c>
      <c r="R532" t="s">
        <v>66</v>
      </c>
      <c r="S532" t="s">
        <v>1936</v>
      </c>
      <c r="T532" t="s">
        <v>1937</v>
      </c>
      <c r="U532" t="s">
        <v>40</v>
      </c>
      <c r="V532" t="s">
        <v>52</v>
      </c>
      <c r="W532" t="s">
        <v>59</v>
      </c>
      <c r="X532" t="s">
        <v>53</v>
      </c>
      <c r="Y532" t="s">
        <v>45</v>
      </c>
      <c r="Z532" t="s">
        <v>47</v>
      </c>
      <c r="AA532" t="s">
        <v>54</v>
      </c>
      <c r="AB532" t="s">
        <v>55</v>
      </c>
      <c r="AC532" t="s">
        <v>91</v>
      </c>
      <c r="AD532" t="s">
        <v>45</v>
      </c>
      <c r="AE532" t="s">
        <v>45</v>
      </c>
      <c r="AF532" t="s">
        <v>91</v>
      </c>
      <c r="AG532" t="s">
        <v>71</v>
      </c>
      <c r="AH532" t="s">
        <v>55</v>
      </c>
      <c r="AI532" t="s">
        <v>71</v>
      </c>
    </row>
    <row r="533" spans="1:35" x14ac:dyDescent="0.25">
      <c r="A533" t="s">
        <v>93</v>
      </c>
      <c r="B533" t="s">
        <v>59</v>
      </c>
      <c r="C533" t="s">
        <v>37</v>
      </c>
      <c r="D533" t="s">
        <v>1285</v>
      </c>
      <c r="E533" t="s">
        <v>62</v>
      </c>
      <c r="F533" t="s">
        <v>45</v>
      </c>
      <c r="G533" t="s">
        <v>41</v>
      </c>
      <c r="H533" t="s">
        <v>42</v>
      </c>
      <c r="I533" t="s">
        <v>40</v>
      </c>
      <c r="J533" t="s">
        <v>1886</v>
      </c>
      <c r="K533" t="s">
        <v>45</v>
      </c>
      <c r="L533" t="s">
        <v>43</v>
      </c>
      <c r="M533" t="s">
        <v>218</v>
      </c>
      <c r="N533" t="s">
        <v>45</v>
      </c>
      <c r="O533" t="s">
        <v>45</v>
      </c>
      <c r="P533" t="s">
        <v>186</v>
      </c>
      <c r="Q533" t="s">
        <v>47</v>
      </c>
      <c r="R533" t="s">
        <v>48</v>
      </c>
      <c r="S533" t="s">
        <v>1938</v>
      </c>
      <c r="T533" t="s">
        <v>1939</v>
      </c>
      <c r="U533" t="s">
        <v>45</v>
      </c>
      <c r="V533" t="s">
        <v>52</v>
      </c>
      <c r="W533" t="s">
        <v>59</v>
      </c>
      <c r="X533" t="s">
        <v>79</v>
      </c>
      <c r="Y533" t="s">
        <v>45</v>
      </c>
      <c r="Z533" t="s">
        <v>47</v>
      </c>
      <c r="AA533" t="s">
        <v>54</v>
      </c>
      <c r="AB533" t="s">
        <v>55</v>
      </c>
      <c r="AC533" t="s">
        <v>70</v>
      </c>
      <c r="AD533" t="s">
        <v>56</v>
      </c>
      <c r="AE533" t="s">
        <v>45</v>
      </c>
      <c r="AF533" t="s">
        <v>71</v>
      </c>
      <c r="AG533" t="s">
        <v>71</v>
      </c>
      <c r="AH533" t="s">
        <v>71</v>
      </c>
      <c r="AI533" t="s">
        <v>71</v>
      </c>
    </row>
    <row r="534" spans="1:35" x14ac:dyDescent="0.25">
      <c r="A534" t="s">
        <v>239</v>
      </c>
      <c r="B534" t="s">
        <v>59</v>
      </c>
      <c r="C534" t="s">
        <v>37</v>
      </c>
      <c r="D534" t="s">
        <v>1772</v>
      </c>
      <c r="E534" t="s">
        <v>39</v>
      </c>
      <c r="F534" t="s">
        <v>129</v>
      </c>
      <c r="G534" t="s">
        <v>47</v>
      </c>
      <c r="H534" t="s">
        <v>206</v>
      </c>
      <c r="I534" t="s">
        <v>40</v>
      </c>
      <c r="J534" t="s">
        <v>1119</v>
      </c>
      <c r="K534" t="s">
        <v>47</v>
      </c>
      <c r="L534" t="s">
        <v>63</v>
      </c>
      <c r="M534" t="s">
        <v>204</v>
      </c>
      <c r="N534" t="s">
        <v>45</v>
      </c>
      <c r="O534" t="s">
        <v>41</v>
      </c>
      <c r="P534" t="s">
        <v>46</v>
      </c>
      <c r="Q534" t="s">
        <v>40</v>
      </c>
      <c r="R534" t="s">
        <v>48</v>
      </c>
      <c r="S534" t="s">
        <v>1940</v>
      </c>
      <c r="T534" t="s">
        <v>1941</v>
      </c>
      <c r="U534" t="s">
        <v>41</v>
      </c>
      <c r="V534" t="s">
        <v>52</v>
      </c>
      <c r="W534" t="s">
        <v>59</v>
      </c>
      <c r="X534" t="s">
        <v>92</v>
      </c>
      <c r="Y534" t="s">
        <v>45</v>
      </c>
      <c r="Z534" t="s">
        <v>47</v>
      </c>
      <c r="AA534" t="s">
        <v>54</v>
      </c>
      <c r="AB534" t="s">
        <v>55</v>
      </c>
      <c r="AC534" t="s">
        <v>104</v>
      </c>
      <c r="AD534" t="s">
        <v>41</v>
      </c>
      <c r="AE534" t="s">
        <v>45</v>
      </c>
      <c r="AF534" t="s">
        <v>71</v>
      </c>
      <c r="AG534" t="s">
        <v>71</v>
      </c>
      <c r="AH534" t="s">
        <v>40</v>
      </c>
      <c r="AI534" t="s">
        <v>71</v>
      </c>
    </row>
    <row r="535" spans="1:35" x14ac:dyDescent="0.25">
      <c r="A535" t="s">
        <v>88</v>
      </c>
      <c r="B535" t="s">
        <v>59</v>
      </c>
      <c r="C535" t="s">
        <v>60</v>
      </c>
      <c r="D535" t="s">
        <v>1640</v>
      </c>
      <c r="E535" t="s">
        <v>39</v>
      </c>
      <c r="F535" t="s">
        <v>57</v>
      </c>
      <c r="G535" t="s">
        <v>47</v>
      </c>
      <c r="H535" t="s">
        <v>42</v>
      </c>
      <c r="I535" t="s">
        <v>40</v>
      </c>
      <c r="J535" t="s">
        <v>1942</v>
      </c>
      <c r="K535" t="s">
        <v>47</v>
      </c>
      <c r="L535" t="s">
        <v>63</v>
      </c>
      <c r="M535" t="s">
        <v>207</v>
      </c>
      <c r="N535" t="s">
        <v>41</v>
      </c>
      <c r="O535" t="s">
        <v>45</v>
      </c>
      <c r="P535" t="s">
        <v>46</v>
      </c>
      <c r="Q535" t="s">
        <v>40</v>
      </c>
      <c r="R535" t="s">
        <v>66</v>
      </c>
      <c r="S535" t="s">
        <v>1943</v>
      </c>
      <c r="T535" t="s">
        <v>1944</v>
      </c>
      <c r="U535" t="s">
        <v>57</v>
      </c>
      <c r="V535" t="s">
        <v>52</v>
      </c>
      <c r="W535" t="s">
        <v>36</v>
      </c>
      <c r="X535" t="s">
        <v>119</v>
      </c>
      <c r="Y535" t="s">
        <v>47</v>
      </c>
      <c r="Z535" t="s">
        <v>45</v>
      </c>
      <c r="AA535" t="s">
        <v>54</v>
      </c>
      <c r="AB535" t="s">
        <v>40</v>
      </c>
      <c r="AC535" t="s">
        <v>104</v>
      </c>
      <c r="AD535" t="s">
        <v>41</v>
      </c>
      <c r="AE535" t="s">
        <v>45</v>
      </c>
      <c r="AF535" t="s">
        <v>145</v>
      </c>
      <c r="AG535" t="s">
        <v>98</v>
      </c>
      <c r="AH535" t="s">
        <v>40</v>
      </c>
      <c r="AI535" t="s">
        <v>92</v>
      </c>
    </row>
    <row r="536" spans="1:35" x14ac:dyDescent="0.25">
      <c r="A536" t="s">
        <v>166</v>
      </c>
      <c r="B536" t="s">
        <v>59</v>
      </c>
      <c r="C536" t="s">
        <v>37</v>
      </c>
      <c r="D536" t="s">
        <v>1945</v>
      </c>
      <c r="E536" t="s">
        <v>62</v>
      </c>
      <c r="F536" t="s">
        <v>71</v>
      </c>
      <c r="G536" t="s">
        <v>45</v>
      </c>
      <c r="H536" t="s">
        <v>42</v>
      </c>
      <c r="I536" t="s">
        <v>40</v>
      </c>
      <c r="J536" t="s">
        <v>1946</v>
      </c>
      <c r="K536" t="s">
        <v>45</v>
      </c>
      <c r="L536" t="s">
        <v>63</v>
      </c>
      <c r="M536" t="s">
        <v>99</v>
      </c>
      <c r="N536" t="s">
        <v>47</v>
      </c>
      <c r="O536" t="s">
        <v>47</v>
      </c>
      <c r="P536" t="s">
        <v>186</v>
      </c>
      <c r="Q536" t="s">
        <v>45</v>
      </c>
      <c r="R536" t="s">
        <v>66</v>
      </c>
      <c r="S536" t="s">
        <v>1947</v>
      </c>
      <c r="T536" t="s">
        <v>1948</v>
      </c>
      <c r="U536" t="s">
        <v>45</v>
      </c>
      <c r="V536" t="s">
        <v>52</v>
      </c>
      <c r="W536" t="s">
        <v>59</v>
      </c>
      <c r="X536" t="s">
        <v>144</v>
      </c>
      <c r="Y536" t="s">
        <v>45</v>
      </c>
      <c r="Z536" t="s">
        <v>45</v>
      </c>
      <c r="AA536" t="s">
        <v>54</v>
      </c>
      <c r="AB536" t="s">
        <v>55</v>
      </c>
      <c r="AC536" t="s">
        <v>93</v>
      </c>
      <c r="AD536" t="s">
        <v>45</v>
      </c>
      <c r="AE536" t="s">
        <v>45</v>
      </c>
      <c r="AF536" t="s">
        <v>57</v>
      </c>
      <c r="AG536" t="s">
        <v>40</v>
      </c>
      <c r="AH536" t="s">
        <v>40</v>
      </c>
      <c r="AI536" t="s">
        <v>45</v>
      </c>
    </row>
    <row r="537" spans="1:35" x14ac:dyDescent="0.25">
      <c r="A537" t="s">
        <v>35</v>
      </c>
      <c r="B537" t="s">
        <v>59</v>
      </c>
      <c r="C537" t="s">
        <v>37</v>
      </c>
      <c r="D537" t="s">
        <v>328</v>
      </c>
      <c r="E537" t="s">
        <v>397</v>
      </c>
      <c r="F537" t="s">
        <v>70</v>
      </c>
      <c r="G537" t="s">
        <v>47</v>
      </c>
      <c r="H537" t="s">
        <v>397</v>
      </c>
      <c r="I537" t="s">
        <v>40</v>
      </c>
      <c r="J537" t="s">
        <v>1949</v>
      </c>
      <c r="K537" t="s">
        <v>41</v>
      </c>
      <c r="L537" t="s">
        <v>63</v>
      </c>
      <c r="M537" t="s">
        <v>279</v>
      </c>
      <c r="N537" t="s">
        <v>41</v>
      </c>
      <c r="O537" t="s">
        <v>57</v>
      </c>
      <c r="P537" t="s">
        <v>169</v>
      </c>
      <c r="Q537" t="s">
        <v>47</v>
      </c>
      <c r="R537" t="s">
        <v>109</v>
      </c>
      <c r="S537" t="s">
        <v>1950</v>
      </c>
      <c r="T537" t="s">
        <v>1951</v>
      </c>
      <c r="U537" t="s">
        <v>45</v>
      </c>
      <c r="V537" t="s">
        <v>52</v>
      </c>
      <c r="W537" t="s">
        <v>59</v>
      </c>
      <c r="X537" t="s">
        <v>79</v>
      </c>
      <c r="Y537" t="s">
        <v>45</v>
      </c>
      <c r="Z537" t="s">
        <v>41</v>
      </c>
      <c r="AA537" t="s">
        <v>54</v>
      </c>
      <c r="AB537" t="s">
        <v>45</v>
      </c>
      <c r="AC537" t="s">
        <v>69</v>
      </c>
      <c r="AD537" t="s">
        <v>41</v>
      </c>
      <c r="AE537" t="s">
        <v>41</v>
      </c>
      <c r="AF537" t="s">
        <v>119</v>
      </c>
      <c r="AG537" t="s">
        <v>56</v>
      </c>
      <c r="AH537" t="s">
        <v>92</v>
      </c>
      <c r="AI537" t="s">
        <v>56</v>
      </c>
    </row>
    <row r="538" spans="1:35" x14ac:dyDescent="0.25">
      <c r="A538" t="s">
        <v>275</v>
      </c>
      <c r="B538" t="s">
        <v>59</v>
      </c>
      <c r="C538" t="s">
        <v>37</v>
      </c>
      <c r="D538" t="s">
        <v>1952</v>
      </c>
      <c r="E538" t="s">
        <v>39</v>
      </c>
      <c r="F538" t="s">
        <v>128</v>
      </c>
      <c r="G538" t="s">
        <v>47</v>
      </c>
      <c r="H538" t="s">
        <v>206</v>
      </c>
      <c r="I538" t="s">
        <v>40</v>
      </c>
      <c r="J538" t="s">
        <v>1953</v>
      </c>
      <c r="K538" t="s">
        <v>40</v>
      </c>
      <c r="L538" t="s">
        <v>63</v>
      </c>
      <c r="M538" t="s">
        <v>130</v>
      </c>
      <c r="N538" t="s">
        <v>45</v>
      </c>
      <c r="O538" t="s">
        <v>41</v>
      </c>
      <c r="P538" t="s">
        <v>46</v>
      </c>
      <c r="Q538" t="s">
        <v>40</v>
      </c>
      <c r="R538" t="s">
        <v>48</v>
      </c>
      <c r="S538" t="s">
        <v>1954</v>
      </c>
      <c r="T538" t="s">
        <v>1955</v>
      </c>
      <c r="U538" t="s">
        <v>51</v>
      </c>
      <c r="V538" t="s">
        <v>52</v>
      </c>
      <c r="W538" t="s">
        <v>59</v>
      </c>
      <c r="X538" t="s">
        <v>129</v>
      </c>
      <c r="Y538" t="s">
        <v>45</v>
      </c>
      <c r="Z538" t="s">
        <v>47</v>
      </c>
      <c r="AA538" t="s">
        <v>54</v>
      </c>
      <c r="AB538" t="s">
        <v>55</v>
      </c>
      <c r="AC538" t="s">
        <v>70</v>
      </c>
      <c r="AD538" t="s">
        <v>40</v>
      </c>
      <c r="AE538" t="s">
        <v>45</v>
      </c>
      <c r="AF538" t="s">
        <v>41</v>
      </c>
      <c r="AG538" t="s">
        <v>41</v>
      </c>
      <c r="AH538" t="s">
        <v>41</v>
      </c>
      <c r="AI538" t="s">
        <v>41</v>
      </c>
    </row>
    <row r="539" spans="1:35" x14ac:dyDescent="0.25">
      <c r="A539" t="s">
        <v>85</v>
      </c>
      <c r="B539" t="s">
        <v>59</v>
      </c>
      <c r="C539" t="s">
        <v>60</v>
      </c>
      <c r="D539" t="s">
        <v>1956</v>
      </c>
      <c r="E539" t="s">
        <v>62</v>
      </c>
      <c r="F539" t="s">
        <v>70</v>
      </c>
      <c r="G539" t="s">
        <v>41</v>
      </c>
      <c r="H539" t="s">
        <v>42</v>
      </c>
      <c r="I539" t="s">
        <v>40</v>
      </c>
      <c r="J539" t="s">
        <v>1957</v>
      </c>
      <c r="K539" t="s">
        <v>47</v>
      </c>
      <c r="L539" t="s">
        <v>63</v>
      </c>
      <c r="M539" t="s">
        <v>93</v>
      </c>
      <c r="N539" t="s">
        <v>45</v>
      </c>
      <c r="O539" t="s">
        <v>45</v>
      </c>
      <c r="P539" t="s">
        <v>116</v>
      </c>
      <c r="Q539" t="s">
        <v>40</v>
      </c>
      <c r="R539" t="s">
        <v>109</v>
      </c>
      <c r="S539" t="s">
        <v>1958</v>
      </c>
      <c r="T539" t="s">
        <v>490</v>
      </c>
      <c r="U539" t="s">
        <v>40</v>
      </c>
      <c r="V539" t="s">
        <v>52</v>
      </c>
      <c r="W539" t="s">
        <v>59</v>
      </c>
      <c r="X539" t="s">
        <v>119</v>
      </c>
      <c r="Y539" t="s">
        <v>47</v>
      </c>
      <c r="Z539" t="s">
        <v>45</v>
      </c>
      <c r="AA539" t="s">
        <v>54</v>
      </c>
      <c r="AB539" t="s">
        <v>41</v>
      </c>
      <c r="AC539" t="s">
        <v>91</v>
      </c>
      <c r="AD539" t="s">
        <v>47</v>
      </c>
      <c r="AE539" t="s">
        <v>41</v>
      </c>
      <c r="AF539" t="s">
        <v>91</v>
      </c>
      <c r="AG539" t="s">
        <v>71</v>
      </c>
      <c r="AH539" t="s">
        <v>40</v>
      </c>
      <c r="AI539" t="s">
        <v>71</v>
      </c>
    </row>
    <row r="540" spans="1:35" x14ac:dyDescent="0.25">
      <c r="A540" t="s">
        <v>35</v>
      </c>
      <c r="B540" t="s">
        <v>59</v>
      </c>
      <c r="C540" t="s">
        <v>37</v>
      </c>
      <c r="D540" t="s">
        <v>951</v>
      </c>
      <c r="E540" t="s">
        <v>397</v>
      </c>
      <c r="F540" t="s">
        <v>40</v>
      </c>
      <c r="G540" t="s">
        <v>45</v>
      </c>
      <c r="H540" t="s">
        <v>397</v>
      </c>
      <c r="I540" t="s">
        <v>40</v>
      </c>
      <c r="J540" t="s">
        <v>1959</v>
      </c>
      <c r="K540" t="s">
        <v>47</v>
      </c>
      <c r="L540" t="s">
        <v>63</v>
      </c>
      <c r="M540" t="s">
        <v>99</v>
      </c>
      <c r="N540" t="s">
        <v>41</v>
      </c>
      <c r="O540" t="s">
        <v>57</v>
      </c>
      <c r="P540" t="s">
        <v>169</v>
      </c>
      <c r="Q540" t="s">
        <v>45</v>
      </c>
      <c r="R540" t="s">
        <v>66</v>
      </c>
      <c r="S540" t="s">
        <v>1960</v>
      </c>
      <c r="T540" t="s">
        <v>1961</v>
      </c>
      <c r="U540" t="s">
        <v>40</v>
      </c>
      <c r="V540" t="s">
        <v>52</v>
      </c>
      <c r="W540" t="s">
        <v>59</v>
      </c>
      <c r="X540" t="s">
        <v>92</v>
      </c>
      <c r="Y540" t="s">
        <v>45</v>
      </c>
      <c r="Z540" t="s">
        <v>41</v>
      </c>
      <c r="AA540" t="s">
        <v>54</v>
      </c>
      <c r="AB540" t="s">
        <v>40</v>
      </c>
      <c r="AC540" t="s">
        <v>112</v>
      </c>
      <c r="AD540" t="s">
        <v>45</v>
      </c>
      <c r="AE540" t="s">
        <v>45</v>
      </c>
      <c r="AF540" t="s">
        <v>112</v>
      </c>
      <c r="AG540" t="s">
        <v>71</v>
      </c>
      <c r="AH540" t="s">
        <v>41</v>
      </c>
      <c r="AI540" t="s">
        <v>70</v>
      </c>
    </row>
    <row r="541" spans="1:35" x14ac:dyDescent="0.25">
      <c r="A541" t="s">
        <v>151</v>
      </c>
      <c r="B541" t="s">
        <v>59</v>
      </c>
      <c r="C541" t="s">
        <v>37</v>
      </c>
      <c r="D541" t="s">
        <v>958</v>
      </c>
      <c r="E541" t="s">
        <v>39</v>
      </c>
      <c r="F541" t="s">
        <v>51</v>
      </c>
      <c r="G541" t="s">
        <v>47</v>
      </c>
      <c r="H541" t="s">
        <v>206</v>
      </c>
      <c r="I541" t="s">
        <v>40</v>
      </c>
      <c r="J541" t="s">
        <v>1337</v>
      </c>
      <c r="K541" t="s">
        <v>47</v>
      </c>
      <c r="L541" t="s">
        <v>63</v>
      </c>
      <c r="M541" t="s">
        <v>259</v>
      </c>
      <c r="N541" t="s">
        <v>45</v>
      </c>
      <c r="O541" t="s">
        <v>40</v>
      </c>
      <c r="P541" t="s">
        <v>182</v>
      </c>
      <c r="Q541" t="s">
        <v>41</v>
      </c>
      <c r="R541" t="s">
        <v>66</v>
      </c>
      <c r="S541" t="s">
        <v>1962</v>
      </c>
      <c r="T541" t="s">
        <v>1963</v>
      </c>
      <c r="U541" t="s">
        <v>71</v>
      </c>
      <c r="V541" t="s">
        <v>52</v>
      </c>
      <c r="W541" t="s">
        <v>59</v>
      </c>
      <c r="X541" t="s">
        <v>79</v>
      </c>
      <c r="Y541" t="s">
        <v>45</v>
      </c>
      <c r="Z541" t="s">
        <v>47</v>
      </c>
      <c r="AA541" t="s">
        <v>54</v>
      </c>
      <c r="AB541" t="s">
        <v>40</v>
      </c>
      <c r="AC541" t="s">
        <v>47</v>
      </c>
      <c r="AD541" t="s">
        <v>41</v>
      </c>
      <c r="AE541" t="s">
        <v>45</v>
      </c>
      <c r="AF541" t="s">
        <v>41</v>
      </c>
      <c r="AG541" t="s">
        <v>41</v>
      </c>
      <c r="AH541" t="s">
        <v>41</v>
      </c>
      <c r="AI541" t="s">
        <v>41</v>
      </c>
    </row>
    <row r="542" spans="1:35" x14ac:dyDescent="0.25">
      <c r="A542" t="s">
        <v>149</v>
      </c>
      <c r="B542" t="s">
        <v>36</v>
      </c>
      <c r="C542" t="s">
        <v>37</v>
      </c>
      <c r="D542" t="s">
        <v>1964</v>
      </c>
      <c r="E542" t="s">
        <v>62</v>
      </c>
      <c r="F542" t="s">
        <v>40</v>
      </c>
      <c r="G542" t="s">
        <v>41</v>
      </c>
      <c r="H542" t="s">
        <v>42</v>
      </c>
      <c r="I542" t="s">
        <v>40</v>
      </c>
      <c r="J542" t="s">
        <v>1965</v>
      </c>
      <c r="K542" t="s">
        <v>40</v>
      </c>
      <c r="L542" t="s">
        <v>43</v>
      </c>
      <c r="M542" t="s">
        <v>108</v>
      </c>
      <c r="N542" t="s">
        <v>40</v>
      </c>
      <c r="O542" t="s">
        <v>40</v>
      </c>
      <c r="P542" t="s">
        <v>65</v>
      </c>
      <c r="Q542" t="s">
        <v>41</v>
      </c>
      <c r="R542" t="s">
        <v>48</v>
      </c>
      <c r="S542" t="s">
        <v>1966</v>
      </c>
      <c r="T542" t="s">
        <v>1967</v>
      </c>
      <c r="U542" t="s">
        <v>71</v>
      </c>
      <c r="V542" t="s">
        <v>52</v>
      </c>
      <c r="W542" t="s">
        <v>36</v>
      </c>
      <c r="X542" t="s">
        <v>98</v>
      </c>
      <c r="Y542" t="s">
        <v>45</v>
      </c>
      <c r="Z542" t="s">
        <v>47</v>
      </c>
      <c r="AA542" t="s">
        <v>54</v>
      </c>
      <c r="AB542" t="s">
        <v>55</v>
      </c>
      <c r="AC542" t="s">
        <v>70</v>
      </c>
      <c r="AD542" t="s">
        <v>47</v>
      </c>
      <c r="AE542" t="s">
        <v>45</v>
      </c>
      <c r="AF542" t="s">
        <v>71</v>
      </c>
      <c r="AG542" t="s">
        <v>71</v>
      </c>
      <c r="AH542" t="s">
        <v>45</v>
      </c>
      <c r="AI542" t="s">
        <v>71</v>
      </c>
    </row>
    <row r="543" spans="1:35" x14ac:dyDescent="0.25">
      <c r="A543" t="s">
        <v>120</v>
      </c>
      <c r="B543" t="s">
        <v>59</v>
      </c>
      <c r="C543" t="s">
        <v>161</v>
      </c>
      <c r="D543" t="s">
        <v>328</v>
      </c>
      <c r="E543" t="s">
        <v>62</v>
      </c>
      <c r="F543" t="s">
        <v>51</v>
      </c>
      <c r="G543" t="s">
        <v>45</v>
      </c>
      <c r="H543" t="s">
        <v>42</v>
      </c>
      <c r="I543" t="s">
        <v>40</v>
      </c>
      <c r="J543" t="s">
        <v>1968</v>
      </c>
      <c r="K543" t="s">
        <v>40</v>
      </c>
      <c r="L543" t="s">
        <v>43</v>
      </c>
      <c r="M543" t="s">
        <v>288</v>
      </c>
      <c r="N543" t="s">
        <v>47</v>
      </c>
      <c r="O543" t="s">
        <v>45</v>
      </c>
      <c r="P543" t="s">
        <v>186</v>
      </c>
      <c r="Q543" t="s">
        <v>40</v>
      </c>
      <c r="R543" t="s">
        <v>66</v>
      </c>
      <c r="S543" t="s">
        <v>1969</v>
      </c>
      <c r="T543" t="s">
        <v>1970</v>
      </c>
      <c r="U543" t="s">
        <v>91</v>
      </c>
      <c r="V543" t="s">
        <v>52</v>
      </c>
      <c r="W543" t="s">
        <v>59</v>
      </c>
      <c r="X543" t="s">
        <v>129</v>
      </c>
      <c r="Y543" t="s">
        <v>45</v>
      </c>
      <c r="Z543" t="s">
        <v>40</v>
      </c>
      <c r="AA543" t="s">
        <v>54</v>
      </c>
      <c r="AB543" t="s">
        <v>40</v>
      </c>
      <c r="AC543" t="s">
        <v>70</v>
      </c>
      <c r="AD543" t="s">
        <v>41</v>
      </c>
      <c r="AE543" t="s">
        <v>45</v>
      </c>
      <c r="AF543" t="s">
        <v>51</v>
      </c>
      <c r="AG543" t="s">
        <v>71</v>
      </c>
      <c r="AH543" t="s">
        <v>55</v>
      </c>
      <c r="AI543" t="s">
        <v>57</v>
      </c>
    </row>
    <row r="544" spans="1:35" x14ac:dyDescent="0.25">
      <c r="A544" t="s">
        <v>113</v>
      </c>
      <c r="B544" t="s">
        <v>59</v>
      </c>
      <c r="C544" t="s">
        <v>37</v>
      </c>
      <c r="D544" t="s">
        <v>1971</v>
      </c>
      <c r="E544" t="s">
        <v>62</v>
      </c>
      <c r="F544" t="s">
        <v>40</v>
      </c>
      <c r="G544" t="s">
        <v>45</v>
      </c>
      <c r="H544" t="s">
        <v>42</v>
      </c>
      <c r="I544" t="s">
        <v>40</v>
      </c>
      <c r="J544" t="s">
        <v>1972</v>
      </c>
      <c r="K544" t="s">
        <v>45</v>
      </c>
      <c r="L544" t="s">
        <v>43</v>
      </c>
      <c r="M544" t="s">
        <v>101</v>
      </c>
      <c r="N544" t="s">
        <v>45</v>
      </c>
      <c r="O544" t="s">
        <v>45</v>
      </c>
      <c r="P544" t="s">
        <v>116</v>
      </c>
      <c r="Q544" t="s">
        <v>45</v>
      </c>
      <c r="R544" t="s">
        <v>48</v>
      </c>
      <c r="S544" t="s">
        <v>1973</v>
      </c>
      <c r="T544" t="s">
        <v>1974</v>
      </c>
      <c r="U544" t="s">
        <v>47</v>
      </c>
      <c r="V544" t="s">
        <v>52</v>
      </c>
      <c r="W544" t="s">
        <v>36</v>
      </c>
      <c r="X544" t="s">
        <v>129</v>
      </c>
      <c r="Y544" t="s">
        <v>45</v>
      </c>
      <c r="Z544" t="s">
        <v>47</v>
      </c>
      <c r="AA544" t="s">
        <v>54</v>
      </c>
      <c r="AB544" t="s">
        <v>55</v>
      </c>
      <c r="AC544" t="s">
        <v>70</v>
      </c>
      <c r="AD544" t="s">
        <v>47</v>
      </c>
      <c r="AE544" t="s">
        <v>47</v>
      </c>
      <c r="AF544" t="s">
        <v>40</v>
      </c>
      <c r="AG544" t="s">
        <v>55</v>
      </c>
      <c r="AH544" t="s">
        <v>55</v>
      </c>
      <c r="AI544" t="s">
        <v>55</v>
      </c>
    </row>
    <row r="545" spans="1:35" x14ac:dyDescent="0.25">
      <c r="A545" t="s">
        <v>115</v>
      </c>
      <c r="B545" t="s">
        <v>59</v>
      </c>
      <c r="C545" t="s">
        <v>161</v>
      </c>
      <c r="D545" t="s">
        <v>1124</v>
      </c>
      <c r="E545" t="s">
        <v>62</v>
      </c>
      <c r="F545" t="s">
        <v>107</v>
      </c>
      <c r="G545" t="s">
        <v>45</v>
      </c>
      <c r="H545" t="s">
        <v>87</v>
      </c>
      <c r="I545" t="s">
        <v>40</v>
      </c>
      <c r="J545" t="s">
        <v>1975</v>
      </c>
      <c r="K545" t="s">
        <v>40</v>
      </c>
      <c r="L545" t="s">
        <v>63</v>
      </c>
      <c r="M545" t="s">
        <v>58</v>
      </c>
      <c r="N545" t="s">
        <v>40</v>
      </c>
      <c r="O545" t="s">
        <v>40</v>
      </c>
      <c r="P545" t="s">
        <v>76</v>
      </c>
      <c r="Q545" t="s">
        <v>45</v>
      </c>
      <c r="R545" t="s">
        <v>48</v>
      </c>
      <c r="S545" t="s">
        <v>1976</v>
      </c>
      <c r="T545" t="s">
        <v>1977</v>
      </c>
      <c r="U545" t="s">
        <v>41</v>
      </c>
      <c r="V545" t="s">
        <v>52</v>
      </c>
      <c r="W545" t="s">
        <v>59</v>
      </c>
      <c r="X545" t="s">
        <v>129</v>
      </c>
      <c r="Y545" t="s">
        <v>45</v>
      </c>
      <c r="Z545" t="s">
        <v>45</v>
      </c>
      <c r="AA545" t="s">
        <v>54</v>
      </c>
      <c r="AB545" t="s">
        <v>55</v>
      </c>
      <c r="AC545" t="s">
        <v>91</v>
      </c>
      <c r="AD545" t="s">
        <v>57</v>
      </c>
      <c r="AE545" t="s">
        <v>45</v>
      </c>
      <c r="AF545" t="s">
        <v>57</v>
      </c>
      <c r="AG545" t="s">
        <v>41</v>
      </c>
      <c r="AH545" t="s">
        <v>40</v>
      </c>
      <c r="AI545" t="s">
        <v>47</v>
      </c>
    </row>
    <row r="546" spans="1:35" x14ac:dyDescent="0.25">
      <c r="A546" t="s">
        <v>239</v>
      </c>
      <c r="B546" t="s">
        <v>59</v>
      </c>
      <c r="C546" t="s">
        <v>60</v>
      </c>
      <c r="D546" t="s">
        <v>706</v>
      </c>
      <c r="E546" t="s">
        <v>39</v>
      </c>
      <c r="F546" t="s">
        <v>45</v>
      </c>
      <c r="G546" t="s">
        <v>45</v>
      </c>
      <c r="H546" t="s">
        <v>87</v>
      </c>
      <c r="I546" t="s">
        <v>40</v>
      </c>
      <c r="J546" t="s">
        <v>381</v>
      </c>
      <c r="K546" t="s">
        <v>47</v>
      </c>
      <c r="L546" t="s">
        <v>43</v>
      </c>
      <c r="M546" t="s">
        <v>58</v>
      </c>
      <c r="N546" t="s">
        <v>45</v>
      </c>
      <c r="O546" t="s">
        <v>47</v>
      </c>
      <c r="P546" t="s">
        <v>46</v>
      </c>
      <c r="Q546" t="s">
        <v>45</v>
      </c>
      <c r="R546" t="s">
        <v>109</v>
      </c>
      <c r="S546" t="s">
        <v>1978</v>
      </c>
      <c r="T546" t="s">
        <v>1979</v>
      </c>
      <c r="U546" t="s">
        <v>91</v>
      </c>
      <c r="V546" t="s">
        <v>52</v>
      </c>
      <c r="W546" t="s">
        <v>36</v>
      </c>
      <c r="X546" t="s">
        <v>92</v>
      </c>
      <c r="Y546" t="s">
        <v>45</v>
      </c>
      <c r="Z546" t="s">
        <v>47</v>
      </c>
      <c r="AA546" t="s">
        <v>54</v>
      </c>
      <c r="AB546" t="s">
        <v>41</v>
      </c>
      <c r="AC546" t="s">
        <v>149</v>
      </c>
      <c r="AD546" t="s">
        <v>41</v>
      </c>
      <c r="AE546" t="s">
        <v>41</v>
      </c>
      <c r="AF546" t="s">
        <v>112</v>
      </c>
      <c r="AG546" t="s">
        <v>41</v>
      </c>
      <c r="AH546" t="s">
        <v>53</v>
      </c>
      <c r="AI546" t="s">
        <v>98</v>
      </c>
    </row>
    <row r="547" spans="1:35" x14ac:dyDescent="0.25">
      <c r="A547" t="s">
        <v>105</v>
      </c>
      <c r="B547" t="s">
        <v>59</v>
      </c>
      <c r="C547" t="s">
        <v>37</v>
      </c>
      <c r="D547" t="s">
        <v>1469</v>
      </c>
      <c r="E547" t="s">
        <v>39</v>
      </c>
      <c r="F547" t="s">
        <v>85</v>
      </c>
      <c r="G547" t="s">
        <v>57</v>
      </c>
      <c r="H547" t="s">
        <v>206</v>
      </c>
      <c r="I547" t="s">
        <v>40</v>
      </c>
      <c r="J547" t="s">
        <v>1980</v>
      </c>
      <c r="K547" t="s">
        <v>45</v>
      </c>
      <c r="L547" t="s">
        <v>63</v>
      </c>
      <c r="M547" t="s">
        <v>338</v>
      </c>
      <c r="N547" t="s">
        <v>45</v>
      </c>
      <c r="O547" t="s">
        <v>41</v>
      </c>
      <c r="P547" t="s">
        <v>46</v>
      </c>
      <c r="Q547" t="s">
        <v>47</v>
      </c>
      <c r="R547" t="s">
        <v>109</v>
      </c>
      <c r="S547" t="s">
        <v>1474</v>
      </c>
      <c r="T547" t="s">
        <v>1981</v>
      </c>
      <c r="U547" t="s">
        <v>71</v>
      </c>
      <c r="V547" t="s">
        <v>52</v>
      </c>
      <c r="W547" t="s">
        <v>59</v>
      </c>
      <c r="X547" t="s">
        <v>69</v>
      </c>
      <c r="Y547" t="s">
        <v>47</v>
      </c>
      <c r="Z547" t="s">
        <v>47</v>
      </c>
      <c r="AA547" t="s">
        <v>54</v>
      </c>
      <c r="AB547" t="s">
        <v>40</v>
      </c>
      <c r="AC547" t="s">
        <v>70</v>
      </c>
      <c r="AD547" t="s">
        <v>41</v>
      </c>
      <c r="AE547" t="s">
        <v>41</v>
      </c>
      <c r="AF547" t="s">
        <v>51</v>
      </c>
      <c r="AG547" t="s">
        <v>71</v>
      </c>
      <c r="AH547" t="s">
        <v>71</v>
      </c>
      <c r="AI547" t="s">
        <v>71</v>
      </c>
    </row>
    <row r="548" spans="1:35" x14ac:dyDescent="0.25">
      <c r="A548" t="s">
        <v>133</v>
      </c>
      <c r="B548" t="s">
        <v>59</v>
      </c>
      <c r="C548" t="s">
        <v>37</v>
      </c>
      <c r="D548" t="s">
        <v>921</v>
      </c>
      <c r="E548" t="s">
        <v>39</v>
      </c>
      <c r="F548" t="s">
        <v>70</v>
      </c>
      <c r="G548" t="s">
        <v>45</v>
      </c>
      <c r="H548" t="s">
        <v>42</v>
      </c>
      <c r="I548" t="s">
        <v>40</v>
      </c>
      <c r="J548" t="s">
        <v>1982</v>
      </c>
      <c r="K548" t="s">
        <v>45</v>
      </c>
      <c r="L548" t="s">
        <v>63</v>
      </c>
      <c r="M548" t="s">
        <v>338</v>
      </c>
      <c r="N548" t="s">
        <v>45</v>
      </c>
      <c r="O548" t="s">
        <v>40</v>
      </c>
      <c r="P548" t="s">
        <v>182</v>
      </c>
      <c r="Q548" t="s">
        <v>45</v>
      </c>
      <c r="R548" t="s">
        <v>48</v>
      </c>
      <c r="S548" t="s">
        <v>1983</v>
      </c>
      <c r="T548" t="s">
        <v>1438</v>
      </c>
      <c r="U548" t="s">
        <v>40</v>
      </c>
      <c r="V548" t="s">
        <v>52</v>
      </c>
      <c r="W548" t="s">
        <v>59</v>
      </c>
      <c r="X548" t="s">
        <v>53</v>
      </c>
      <c r="Y548" t="s">
        <v>45</v>
      </c>
      <c r="Z548" t="s">
        <v>45</v>
      </c>
      <c r="AA548" t="s">
        <v>54</v>
      </c>
      <c r="AB548" t="s">
        <v>55</v>
      </c>
      <c r="AC548" t="s">
        <v>40</v>
      </c>
      <c r="AD548" t="s">
        <v>56</v>
      </c>
      <c r="AE548" t="s">
        <v>45</v>
      </c>
      <c r="AF548" t="s">
        <v>40</v>
      </c>
      <c r="AG548" t="s">
        <v>55</v>
      </c>
      <c r="AH548" t="s">
        <v>55</v>
      </c>
      <c r="AI548" t="s">
        <v>55</v>
      </c>
    </row>
    <row r="549" spans="1:35" x14ac:dyDescent="0.25">
      <c r="A549" t="s">
        <v>204</v>
      </c>
      <c r="B549" t="s">
        <v>36</v>
      </c>
      <c r="C549" t="s">
        <v>60</v>
      </c>
      <c r="D549" t="s">
        <v>660</v>
      </c>
      <c r="E549" t="s">
        <v>62</v>
      </c>
      <c r="F549" t="s">
        <v>144</v>
      </c>
      <c r="G549" t="s">
        <v>45</v>
      </c>
      <c r="H549" t="s">
        <v>87</v>
      </c>
      <c r="I549" t="s">
        <v>40</v>
      </c>
      <c r="J549" t="s">
        <v>1984</v>
      </c>
      <c r="K549" t="s">
        <v>45</v>
      </c>
      <c r="L549" t="s">
        <v>63</v>
      </c>
      <c r="M549" t="s">
        <v>269</v>
      </c>
      <c r="N549" t="s">
        <v>47</v>
      </c>
      <c r="O549" t="s">
        <v>40</v>
      </c>
      <c r="P549" t="s">
        <v>65</v>
      </c>
      <c r="Q549" t="s">
        <v>45</v>
      </c>
      <c r="R549" t="s">
        <v>109</v>
      </c>
      <c r="S549" t="s">
        <v>1985</v>
      </c>
      <c r="T549" t="s">
        <v>1986</v>
      </c>
      <c r="U549" t="s">
        <v>56</v>
      </c>
      <c r="V549" t="s">
        <v>52</v>
      </c>
      <c r="W549" t="s">
        <v>36</v>
      </c>
      <c r="X549" t="s">
        <v>92</v>
      </c>
      <c r="Y549" t="s">
        <v>45</v>
      </c>
      <c r="Z549" t="s">
        <v>47</v>
      </c>
      <c r="AA549" t="s">
        <v>54</v>
      </c>
      <c r="AB549" t="s">
        <v>55</v>
      </c>
      <c r="AC549" t="s">
        <v>71</v>
      </c>
      <c r="AD549" t="s">
        <v>41</v>
      </c>
      <c r="AE549" t="s">
        <v>45</v>
      </c>
      <c r="AF549" t="s">
        <v>41</v>
      </c>
      <c r="AG549" t="s">
        <v>41</v>
      </c>
      <c r="AH549" t="s">
        <v>41</v>
      </c>
      <c r="AI549" t="s">
        <v>41</v>
      </c>
    </row>
    <row r="550" spans="1:35" x14ac:dyDescent="0.25">
      <c r="A550" t="s">
        <v>234</v>
      </c>
      <c r="B550" t="s">
        <v>59</v>
      </c>
      <c r="C550" t="s">
        <v>60</v>
      </c>
      <c r="D550" t="s">
        <v>1729</v>
      </c>
      <c r="E550" t="s">
        <v>39</v>
      </c>
      <c r="F550" t="s">
        <v>79</v>
      </c>
      <c r="G550" t="s">
        <v>45</v>
      </c>
      <c r="H550" t="s">
        <v>42</v>
      </c>
      <c r="I550" t="s">
        <v>40</v>
      </c>
      <c r="J550" t="s">
        <v>1987</v>
      </c>
      <c r="K550" t="s">
        <v>47</v>
      </c>
      <c r="L550" t="s">
        <v>63</v>
      </c>
      <c r="M550" t="s">
        <v>239</v>
      </c>
      <c r="N550" t="s">
        <v>41</v>
      </c>
      <c r="O550" t="s">
        <v>41</v>
      </c>
      <c r="P550" t="s">
        <v>46</v>
      </c>
      <c r="Q550" t="s">
        <v>47</v>
      </c>
      <c r="R550" t="s">
        <v>66</v>
      </c>
      <c r="S550" t="s">
        <v>852</v>
      </c>
      <c r="T550" t="s">
        <v>1988</v>
      </c>
      <c r="U550" t="s">
        <v>45</v>
      </c>
      <c r="V550" t="s">
        <v>52</v>
      </c>
      <c r="W550" t="s">
        <v>59</v>
      </c>
      <c r="X550" t="s">
        <v>145</v>
      </c>
      <c r="Y550" t="s">
        <v>45</v>
      </c>
      <c r="Z550" t="s">
        <v>45</v>
      </c>
      <c r="AA550" t="s">
        <v>54</v>
      </c>
      <c r="AB550" t="s">
        <v>40</v>
      </c>
      <c r="AC550" t="s">
        <v>71</v>
      </c>
      <c r="AD550" t="s">
        <v>57</v>
      </c>
      <c r="AE550" t="s">
        <v>45</v>
      </c>
      <c r="AF550" t="s">
        <v>41</v>
      </c>
      <c r="AG550" t="s">
        <v>41</v>
      </c>
      <c r="AH550" t="s">
        <v>41</v>
      </c>
      <c r="AI550" t="s">
        <v>41</v>
      </c>
    </row>
    <row r="551" spans="1:35" x14ac:dyDescent="0.25">
      <c r="A551" t="s">
        <v>142</v>
      </c>
      <c r="B551" t="s">
        <v>59</v>
      </c>
      <c r="C551" t="s">
        <v>37</v>
      </c>
      <c r="D551" t="s">
        <v>1945</v>
      </c>
      <c r="E551" t="s">
        <v>62</v>
      </c>
      <c r="F551" t="s">
        <v>51</v>
      </c>
      <c r="G551" t="s">
        <v>41</v>
      </c>
      <c r="H551" t="s">
        <v>87</v>
      </c>
      <c r="I551" t="s">
        <v>40</v>
      </c>
      <c r="J551" t="s">
        <v>1989</v>
      </c>
      <c r="K551" t="s">
        <v>41</v>
      </c>
      <c r="L551" t="s">
        <v>43</v>
      </c>
      <c r="M551" t="s">
        <v>163</v>
      </c>
      <c r="N551" t="s">
        <v>45</v>
      </c>
      <c r="O551" t="s">
        <v>41</v>
      </c>
      <c r="P551" t="s">
        <v>122</v>
      </c>
      <c r="Q551" t="s">
        <v>45</v>
      </c>
      <c r="R551" t="s">
        <v>48</v>
      </c>
      <c r="S551" t="s">
        <v>1990</v>
      </c>
      <c r="T551" t="s">
        <v>1991</v>
      </c>
      <c r="U551" t="s">
        <v>45</v>
      </c>
      <c r="V551" t="s">
        <v>52</v>
      </c>
      <c r="W551" t="s">
        <v>59</v>
      </c>
      <c r="X551" t="s">
        <v>53</v>
      </c>
      <c r="Y551" t="s">
        <v>45</v>
      </c>
      <c r="Z551" t="s">
        <v>47</v>
      </c>
      <c r="AA551" t="s">
        <v>54</v>
      </c>
      <c r="AB551" t="s">
        <v>55</v>
      </c>
      <c r="AC551" t="s">
        <v>70</v>
      </c>
      <c r="AD551" t="s">
        <v>41</v>
      </c>
      <c r="AE551" t="s">
        <v>45</v>
      </c>
      <c r="AF551" t="s">
        <v>57</v>
      </c>
      <c r="AG551" t="s">
        <v>40</v>
      </c>
      <c r="AH551" t="s">
        <v>47</v>
      </c>
      <c r="AI551" t="s">
        <v>45</v>
      </c>
    </row>
    <row r="552" spans="1:35" x14ac:dyDescent="0.25">
      <c r="A552" t="s">
        <v>69</v>
      </c>
      <c r="B552" t="s">
        <v>59</v>
      </c>
      <c r="C552" t="s">
        <v>37</v>
      </c>
      <c r="D552" t="s">
        <v>1793</v>
      </c>
      <c r="E552" t="s">
        <v>62</v>
      </c>
      <c r="F552" t="s">
        <v>91</v>
      </c>
      <c r="G552" t="s">
        <v>40</v>
      </c>
      <c r="H552" t="s">
        <v>87</v>
      </c>
      <c r="I552" t="s">
        <v>40</v>
      </c>
      <c r="J552" t="s">
        <v>1992</v>
      </c>
      <c r="K552" t="s">
        <v>41</v>
      </c>
      <c r="L552" t="s">
        <v>63</v>
      </c>
      <c r="M552" t="s">
        <v>72</v>
      </c>
      <c r="N552" t="s">
        <v>45</v>
      </c>
      <c r="O552" t="s">
        <v>40</v>
      </c>
      <c r="P552" t="s">
        <v>76</v>
      </c>
      <c r="Q552" t="s">
        <v>40</v>
      </c>
      <c r="R552" t="s">
        <v>66</v>
      </c>
      <c r="S552" t="s">
        <v>763</v>
      </c>
      <c r="T552" t="s">
        <v>1993</v>
      </c>
      <c r="U552" t="s">
        <v>40</v>
      </c>
      <c r="V552" t="s">
        <v>52</v>
      </c>
      <c r="W552" t="s">
        <v>59</v>
      </c>
      <c r="X552" t="s">
        <v>129</v>
      </c>
      <c r="Y552" t="s">
        <v>45</v>
      </c>
      <c r="Z552" t="s">
        <v>47</v>
      </c>
      <c r="AA552" t="s">
        <v>54</v>
      </c>
      <c r="AB552" t="s">
        <v>40</v>
      </c>
      <c r="AC552" t="s">
        <v>57</v>
      </c>
      <c r="AD552" t="s">
        <v>41</v>
      </c>
      <c r="AE552" t="s">
        <v>47</v>
      </c>
      <c r="AF552" t="s">
        <v>47</v>
      </c>
      <c r="AG552" t="s">
        <v>45</v>
      </c>
      <c r="AH552" t="s">
        <v>55</v>
      </c>
      <c r="AI552" t="s">
        <v>41</v>
      </c>
    </row>
    <row r="553" spans="1:35" x14ac:dyDescent="0.25">
      <c r="A553" t="s">
        <v>218</v>
      </c>
      <c r="B553" t="s">
        <v>59</v>
      </c>
      <c r="C553" t="s">
        <v>37</v>
      </c>
      <c r="D553" t="s">
        <v>500</v>
      </c>
      <c r="E553" t="s">
        <v>397</v>
      </c>
      <c r="F553" t="s">
        <v>45</v>
      </c>
      <c r="G553" t="s">
        <v>45</v>
      </c>
      <c r="H553" t="s">
        <v>397</v>
      </c>
      <c r="I553" t="s">
        <v>40</v>
      </c>
      <c r="J553" t="s">
        <v>1994</v>
      </c>
      <c r="K553" t="s">
        <v>45</v>
      </c>
      <c r="L553" t="s">
        <v>43</v>
      </c>
      <c r="M553" t="s">
        <v>115</v>
      </c>
      <c r="N553" t="s">
        <v>47</v>
      </c>
      <c r="O553" t="s">
        <v>41</v>
      </c>
      <c r="P553" t="s">
        <v>397</v>
      </c>
      <c r="Q553" t="s">
        <v>41</v>
      </c>
      <c r="R553" t="s">
        <v>66</v>
      </c>
      <c r="S553" t="s">
        <v>1995</v>
      </c>
      <c r="T553" t="s">
        <v>1996</v>
      </c>
      <c r="U553" t="s">
        <v>91</v>
      </c>
      <c r="V553" t="s">
        <v>52</v>
      </c>
      <c r="W553" t="s">
        <v>59</v>
      </c>
      <c r="X553" t="s">
        <v>79</v>
      </c>
      <c r="Y553" t="s">
        <v>45</v>
      </c>
      <c r="Z553" t="s">
        <v>45</v>
      </c>
      <c r="AA553" t="s">
        <v>54</v>
      </c>
      <c r="AB553" t="s">
        <v>40</v>
      </c>
      <c r="AC553" t="s">
        <v>92</v>
      </c>
      <c r="AD553" t="s">
        <v>45</v>
      </c>
      <c r="AE553" t="s">
        <v>40</v>
      </c>
      <c r="AF553" t="s">
        <v>51</v>
      </c>
      <c r="AG553" t="s">
        <v>45</v>
      </c>
      <c r="AH553" t="s">
        <v>45</v>
      </c>
      <c r="AI553" t="s">
        <v>56</v>
      </c>
    </row>
    <row r="554" spans="1:35" x14ac:dyDescent="0.25">
      <c r="A554" t="s">
        <v>82</v>
      </c>
      <c r="B554" t="s">
        <v>59</v>
      </c>
      <c r="C554" t="s">
        <v>37</v>
      </c>
      <c r="D554" t="s">
        <v>1014</v>
      </c>
      <c r="E554" t="s">
        <v>62</v>
      </c>
      <c r="F554" t="s">
        <v>91</v>
      </c>
      <c r="G554" t="s">
        <v>45</v>
      </c>
      <c r="H554" t="s">
        <v>87</v>
      </c>
      <c r="I554" t="s">
        <v>40</v>
      </c>
      <c r="J554" t="s">
        <v>1997</v>
      </c>
      <c r="K554" t="s">
        <v>45</v>
      </c>
      <c r="L554" t="s">
        <v>63</v>
      </c>
      <c r="M554" t="s">
        <v>101</v>
      </c>
      <c r="N554" t="s">
        <v>45</v>
      </c>
      <c r="O554" t="s">
        <v>47</v>
      </c>
      <c r="P554" t="s">
        <v>122</v>
      </c>
      <c r="Q554" t="s">
        <v>47</v>
      </c>
      <c r="R554" t="s">
        <v>66</v>
      </c>
      <c r="S554" t="s">
        <v>1998</v>
      </c>
      <c r="T554" t="s">
        <v>1999</v>
      </c>
      <c r="U554" t="s">
        <v>71</v>
      </c>
      <c r="V554" t="s">
        <v>52</v>
      </c>
      <c r="W554" t="s">
        <v>59</v>
      </c>
      <c r="X554" t="s">
        <v>53</v>
      </c>
      <c r="Y554" t="s">
        <v>45</v>
      </c>
      <c r="Z554" t="s">
        <v>45</v>
      </c>
      <c r="AA554" t="s">
        <v>54</v>
      </c>
      <c r="AB554" t="s">
        <v>55</v>
      </c>
      <c r="AC554" t="s">
        <v>105</v>
      </c>
      <c r="AD554" t="s">
        <v>40</v>
      </c>
      <c r="AE554" t="s">
        <v>41</v>
      </c>
      <c r="AF554" t="s">
        <v>70</v>
      </c>
      <c r="AG554" t="s">
        <v>71</v>
      </c>
      <c r="AH554" t="s">
        <v>40</v>
      </c>
      <c r="AI554" t="s">
        <v>40</v>
      </c>
    </row>
    <row r="555" spans="1:35" x14ac:dyDescent="0.25">
      <c r="A555" t="s">
        <v>88</v>
      </c>
      <c r="B555" t="s">
        <v>59</v>
      </c>
      <c r="C555" t="s">
        <v>37</v>
      </c>
      <c r="D555" t="s">
        <v>2000</v>
      </c>
      <c r="E555" t="s">
        <v>62</v>
      </c>
      <c r="F555" t="s">
        <v>41</v>
      </c>
      <c r="G555" t="s">
        <v>40</v>
      </c>
      <c r="H555" t="s">
        <v>87</v>
      </c>
      <c r="I555" t="s">
        <v>40</v>
      </c>
      <c r="J555" t="s">
        <v>2001</v>
      </c>
      <c r="K555" t="s">
        <v>47</v>
      </c>
      <c r="L555" t="s">
        <v>43</v>
      </c>
      <c r="M555" t="s">
        <v>240</v>
      </c>
      <c r="N555" t="s">
        <v>41</v>
      </c>
      <c r="O555" t="s">
        <v>40</v>
      </c>
      <c r="P555" t="s">
        <v>65</v>
      </c>
      <c r="Q555" t="s">
        <v>47</v>
      </c>
      <c r="R555" t="s">
        <v>48</v>
      </c>
      <c r="S555" t="s">
        <v>2002</v>
      </c>
      <c r="T555" t="s">
        <v>2003</v>
      </c>
      <c r="U555" t="s">
        <v>55</v>
      </c>
      <c r="V555" t="s">
        <v>52</v>
      </c>
      <c r="W555" t="s">
        <v>36</v>
      </c>
      <c r="X555" t="s">
        <v>104</v>
      </c>
      <c r="Y555" t="s">
        <v>47</v>
      </c>
      <c r="Z555" t="s">
        <v>47</v>
      </c>
      <c r="AA555" t="s">
        <v>54</v>
      </c>
      <c r="AB555" t="s">
        <v>55</v>
      </c>
      <c r="AC555" t="s">
        <v>57</v>
      </c>
      <c r="AD555" t="s">
        <v>41</v>
      </c>
      <c r="AE555" t="s">
        <v>41</v>
      </c>
      <c r="AF555" t="s">
        <v>47</v>
      </c>
      <c r="AG555" t="s">
        <v>41</v>
      </c>
      <c r="AH555" t="s">
        <v>41</v>
      </c>
      <c r="AI555" t="s">
        <v>45</v>
      </c>
    </row>
    <row r="556" spans="1:35" x14ac:dyDescent="0.25">
      <c r="A556" t="s">
        <v>85</v>
      </c>
      <c r="B556" t="s">
        <v>59</v>
      </c>
      <c r="C556" t="s">
        <v>37</v>
      </c>
      <c r="D556" t="s">
        <v>2004</v>
      </c>
      <c r="E556" t="s">
        <v>62</v>
      </c>
      <c r="F556" t="s">
        <v>71</v>
      </c>
      <c r="G556" t="s">
        <v>45</v>
      </c>
      <c r="H556" t="s">
        <v>87</v>
      </c>
      <c r="I556" t="s">
        <v>40</v>
      </c>
      <c r="J556" t="s">
        <v>2005</v>
      </c>
      <c r="K556" t="s">
        <v>47</v>
      </c>
      <c r="L556" t="s">
        <v>43</v>
      </c>
      <c r="M556" t="s">
        <v>263</v>
      </c>
      <c r="N556" t="s">
        <v>41</v>
      </c>
      <c r="O556" t="s">
        <v>41</v>
      </c>
      <c r="P556" t="s">
        <v>122</v>
      </c>
      <c r="Q556" t="s">
        <v>40</v>
      </c>
      <c r="R556" t="s">
        <v>48</v>
      </c>
      <c r="S556" t="s">
        <v>1727</v>
      </c>
      <c r="T556" t="s">
        <v>2006</v>
      </c>
      <c r="U556" t="s">
        <v>51</v>
      </c>
      <c r="V556" t="s">
        <v>52</v>
      </c>
      <c r="W556" t="s">
        <v>59</v>
      </c>
      <c r="X556" t="s">
        <v>144</v>
      </c>
      <c r="Y556" t="s">
        <v>45</v>
      </c>
      <c r="Z556" t="s">
        <v>40</v>
      </c>
      <c r="AA556" t="s">
        <v>54</v>
      </c>
      <c r="AB556" t="s">
        <v>55</v>
      </c>
      <c r="AC556" t="s">
        <v>91</v>
      </c>
      <c r="AD556" t="s">
        <v>41</v>
      </c>
      <c r="AE556" t="s">
        <v>40</v>
      </c>
      <c r="AF556" t="s">
        <v>71</v>
      </c>
      <c r="AG556" t="s">
        <v>56</v>
      </c>
      <c r="AH556" t="s">
        <v>55</v>
      </c>
      <c r="AI556" t="s">
        <v>71</v>
      </c>
    </row>
    <row r="557" spans="1:35" x14ac:dyDescent="0.25">
      <c r="A557" t="s">
        <v>133</v>
      </c>
      <c r="B557" t="s">
        <v>59</v>
      </c>
      <c r="C557" t="s">
        <v>37</v>
      </c>
      <c r="D557" t="s">
        <v>2007</v>
      </c>
      <c r="E557" t="s">
        <v>39</v>
      </c>
      <c r="F557" t="s">
        <v>70</v>
      </c>
      <c r="G557" t="s">
        <v>45</v>
      </c>
      <c r="H557" t="s">
        <v>206</v>
      </c>
      <c r="I557" t="s">
        <v>40</v>
      </c>
      <c r="J557" t="s">
        <v>2008</v>
      </c>
      <c r="K557" t="s">
        <v>47</v>
      </c>
      <c r="L557" t="s">
        <v>63</v>
      </c>
      <c r="M557" t="s">
        <v>193</v>
      </c>
      <c r="N557" t="s">
        <v>45</v>
      </c>
      <c r="O557" t="s">
        <v>40</v>
      </c>
      <c r="P557" t="s">
        <v>182</v>
      </c>
      <c r="Q557" t="s">
        <v>41</v>
      </c>
      <c r="R557" t="s">
        <v>109</v>
      </c>
      <c r="S557" t="s">
        <v>2009</v>
      </c>
      <c r="T557" t="s">
        <v>2010</v>
      </c>
      <c r="U557" t="s">
        <v>40</v>
      </c>
      <c r="V557" t="s">
        <v>52</v>
      </c>
      <c r="W557" t="s">
        <v>59</v>
      </c>
      <c r="X557" t="s">
        <v>129</v>
      </c>
      <c r="Y557" t="s">
        <v>45</v>
      </c>
      <c r="Z557" t="s">
        <v>47</v>
      </c>
      <c r="AA557" t="s">
        <v>54</v>
      </c>
      <c r="AB557" t="s">
        <v>41</v>
      </c>
      <c r="AC557" t="s">
        <v>41</v>
      </c>
      <c r="AD557" t="s">
        <v>41</v>
      </c>
      <c r="AE557" t="s">
        <v>45</v>
      </c>
      <c r="AF557" t="s">
        <v>41</v>
      </c>
      <c r="AG557" t="s">
        <v>41</v>
      </c>
      <c r="AH557" t="s">
        <v>41</v>
      </c>
      <c r="AI557" t="s">
        <v>41</v>
      </c>
    </row>
    <row r="558" spans="1:35" x14ac:dyDescent="0.25">
      <c r="A558" t="s">
        <v>166</v>
      </c>
      <c r="B558" t="s">
        <v>59</v>
      </c>
      <c r="C558" t="s">
        <v>37</v>
      </c>
      <c r="D558" t="s">
        <v>1036</v>
      </c>
      <c r="E558" t="s">
        <v>62</v>
      </c>
      <c r="F558" t="s">
        <v>56</v>
      </c>
      <c r="G558" t="s">
        <v>45</v>
      </c>
      <c r="H558" t="s">
        <v>42</v>
      </c>
      <c r="I558" t="s">
        <v>40</v>
      </c>
      <c r="J558" t="s">
        <v>2011</v>
      </c>
      <c r="K558" t="s">
        <v>47</v>
      </c>
      <c r="L558" t="s">
        <v>63</v>
      </c>
      <c r="M558" t="s">
        <v>240</v>
      </c>
      <c r="N558" t="s">
        <v>45</v>
      </c>
      <c r="O558" t="s">
        <v>41</v>
      </c>
      <c r="P558" t="s">
        <v>76</v>
      </c>
      <c r="Q558" t="s">
        <v>47</v>
      </c>
      <c r="R558" t="s">
        <v>48</v>
      </c>
      <c r="S558" t="s">
        <v>2012</v>
      </c>
      <c r="T558" t="s">
        <v>2013</v>
      </c>
      <c r="U558" t="s">
        <v>41</v>
      </c>
      <c r="V558" t="s">
        <v>52</v>
      </c>
      <c r="W558" t="s">
        <v>59</v>
      </c>
      <c r="X558" t="s">
        <v>125</v>
      </c>
      <c r="Y558" t="s">
        <v>45</v>
      </c>
      <c r="Z558" t="s">
        <v>47</v>
      </c>
      <c r="AA558" t="s">
        <v>54</v>
      </c>
      <c r="AB558" t="s">
        <v>55</v>
      </c>
      <c r="AC558" t="s">
        <v>144</v>
      </c>
      <c r="AD558" t="s">
        <v>47</v>
      </c>
      <c r="AE558" t="s">
        <v>45</v>
      </c>
      <c r="AF558" t="s">
        <v>41</v>
      </c>
      <c r="AG558" t="s">
        <v>41</v>
      </c>
      <c r="AH558" t="s">
        <v>41</v>
      </c>
      <c r="AI558" t="s">
        <v>41</v>
      </c>
    </row>
    <row r="559" spans="1:35" x14ac:dyDescent="0.25">
      <c r="A559" t="s">
        <v>126</v>
      </c>
      <c r="B559" t="s">
        <v>59</v>
      </c>
      <c r="C559" t="s">
        <v>161</v>
      </c>
      <c r="D559" t="s">
        <v>363</v>
      </c>
      <c r="E559" t="s">
        <v>62</v>
      </c>
      <c r="F559" t="s">
        <v>41</v>
      </c>
      <c r="G559" t="s">
        <v>47</v>
      </c>
      <c r="H559" t="s">
        <v>42</v>
      </c>
      <c r="I559" t="s">
        <v>40</v>
      </c>
      <c r="J559" t="s">
        <v>982</v>
      </c>
      <c r="K559" t="s">
        <v>47</v>
      </c>
      <c r="L559" t="s">
        <v>43</v>
      </c>
      <c r="M559" t="s">
        <v>64</v>
      </c>
      <c r="N559" t="s">
        <v>45</v>
      </c>
      <c r="O559" t="s">
        <v>41</v>
      </c>
      <c r="P559" t="s">
        <v>122</v>
      </c>
      <c r="Q559" t="s">
        <v>40</v>
      </c>
      <c r="R559" t="s">
        <v>109</v>
      </c>
      <c r="S559" t="s">
        <v>2014</v>
      </c>
      <c r="T559" t="s">
        <v>2015</v>
      </c>
      <c r="U559" t="s">
        <v>41</v>
      </c>
      <c r="V559" t="s">
        <v>52</v>
      </c>
      <c r="W559" t="s">
        <v>59</v>
      </c>
      <c r="X559" t="s">
        <v>53</v>
      </c>
      <c r="Y559" t="s">
        <v>45</v>
      </c>
      <c r="Z559" t="s">
        <v>40</v>
      </c>
      <c r="AA559" t="s">
        <v>54</v>
      </c>
      <c r="AB559" t="s">
        <v>40</v>
      </c>
      <c r="AC559" t="s">
        <v>128</v>
      </c>
      <c r="AD559" t="s">
        <v>41</v>
      </c>
      <c r="AE559" t="s">
        <v>47</v>
      </c>
      <c r="AF559" t="s">
        <v>40</v>
      </c>
      <c r="AG559" t="s">
        <v>55</v>
      </c>
      <c r="AH559" t="s">
        <v>55</v>
      </c>
      <c r="AI559" t="s">
        <v>55</v>
      </c>
    </row>
    <row r="560" spans="1:35" x14ac:dyDescent="0.25">
      <c r="A560" t="s">
        <v>93</v>
      </c>
      <c r="B560" t="s">
        <v>59</v>
      </c>
      <c r="C560" t="s">
        <v>60</v>
      </c>
      <c r="D560" t="s">
        <v>1262</v>
      </c>
      <c r="E560" t="s">
        <v>62</v>
      </c>
      <c r="F560" t="s">
        <v>107</v>
      </c>
      <c r="G560" t="s">
        <v>47</v>
      </c>
      <c r="H560" t="s">
        <v>42</v>
      </c>
      <c r="I560" t="s">
        <v>40</v>
      </c>
      <c r="J560" t="s">
        <v>2016</v>
      </c>
      <c r="K560" t="s">
        <v>40</v>
      </c>
      <c r="L560" t="s">
        <v>63</v>
      </c>
      <c r="M560" t="s">
        <v>54</v>
      </c>
      <c r="N560" t="s">
        <v>45</v>
      </c>
      <c r="O560" t="s">
        <v>41</v>
      </c>
      <c r="P560" t="s">
        <v>76</v>
      </c>
      <c r="Q560" t="s">
        <v>47</v>
      </c>
      <c r="R560" t="s">
        <v>66</v>
      </c>
      <c r="S560" t="s">
        <v>2017</v>
      </c>
      <c r="T560" t="s">
        <v>2018</v>
      </c>
      <c r="U560" t="s">
        <v>40</v>
      </c>
      <c r="V560" t="s">
        <v>52</v>
      </c>
      <c r="W560" t="s">
        <v>59</v>
      </c>
      <c r="X560" t="s">
        <v>79</v>
      </c>
      <c r="Y560" t="s">
        <v>45</v>
      </c>
      <c r="Z560" t="s">
        <v>47</v>
      </c>
      <c r="AA560" t="s">
        <v>54</v>
      </c>
      <c r="AB560" t="s">
        <v>41</v>
      </c>
      <c r="AC560" t="s">
        <v>70</v>
      </c>
      <c r="AD560" t="s">
        <v>41</v>
      </c>
      <c r="AE560" t="s">
        <v>45</v>
      </c>
      <c r="AF560" t="s">
        <v>70</v>
      </c>
      <c r="AG560" t="s">
        <v>51</v>
      </c>
      <c r="AH560" t="s">
        <v>47</v>
      </c>
      <c r="AI560" t="s">
        <v>71</v>
      </c>
    </row>
    <row r="561" spans="1:35" x14ac:dyDescent="0.25">
      <c r="A561" t="s">
        <v>113</v>
      </c>
      <c r="B561" t="s">
        <v>59</v>
      </c>
      <c r="C561" t="s">
        <v>37</v>
      </c>
      <c r="D561" t="s">
        <v>2019</v>
      </c>
      <c r="E561" t="s">
        <v>62</v>
      </c>
      <c r="F561" t="s">
        <v>41</v>
      </c>
      <c r="G561" t="s">
        <v>57</v>
      </c>
      <c r="H561" t="s">
        <v>87</v>
      </c>
      <c r="I561" t="s">
        <v>40</v>
      </c>
      <c r="J561" t="s">
        <v>2020</v>
      </c>
      <c r="K561" t="s">
        <v>47</v>
      </c>
      <c r="L561" t="s">
        <v>63</v>
      </c>
      <c r="M561" t="s">
        <v>75</v>
      </c>
      <c r="N561" t="s">
        <v>45</v>
      </c>
      <c r="O561" t="s">
        <v>40</v>
      </c>
      <c r="P561" t="s">
        <v>65</v>
      </c>
      <c r="Q561" t="s">
        <v>45</v>
      </c>
      <c r="R561" t="s">
        <v>66</v>
      </c>
      <c r="S561" t="s">
        <v>2021</v>
      </c>
      <c r="T561" t="s">
        <v>2022</v>
      </c>
      <c r="U561" t="s">
        <v>56</v>
      </c>
      <c r="V561" t="s">
        <v>52</v>
      </c>
      <c r="W561" t="s">
        <v>36</v>
      </c>
      <c r="X561" t="s">
        <v>98</v>
      </c>
      <c r="Y561" t="s">
        <v>45</v>
      </c>
      <c r="Z561" t="s">
        <v>41</v>
      </c>
      <c r="AA561" t="s">
        <v>54</v>
      </c>
      <c r="AB561" t="s">
        <v>40</v>
      </c>
      <c r="AC561" t="s">
        <v>56</v>
      </c>
      <c r="AD561" t="s">
        <v>55</v>
      </c>
      <c r="AE561" t="s">
        <v>40</v>
      </c>
      <c r="AF561" t="s">
        <v>40</v>
      </c>
      <c r="AG561" t="s">
        <v>55</v>
      </c>
      <c r="AH561" t="s">
        <v>55</v>
      </c>
      <c r="AI561" t="s">
        <v>40</v>
      </c>
    </row>
    <row r="562" spans="1:35" x14ac:dyDescent="0.25">
      <c r="A562" t="s">
        <v>142</v>
      </c>
      <c r="B562" t="s">
        <v>59</v>
      </c>
      <c r="C562" t="s">
        <v>37</v>
      </c>
      <c r="D562" t="s">
        <v>581</v>
      </c>
      <c r="E562" t="s">
        <v>62</v>
      </c>
      <c r="F562" t="s">
        <v>51</v>
      </c>
      <c r="G562" t="s">
        <v>57</v>
      </c>
      <c r="H562" t="s">
        <v>42</v>
      </c>
      <c r="I562" t="s">
        <v>40</v>
      </c>
      <c r="J562" t="s">
        <v>1729</v>
      </c>
      <c r="K562" t="s">
        <v>41</v>
      </c>
      <c r="L562" t="s">
        <v>43</v>
      </c>
      <c r="M562" t="s">
        <v>93</v>
      </c>
      <c r="N562" t="s">
        <v>45</v>
      </c>
      <c r="O562" t="s">
        <v>41</v>
      </c>
      <c r="P562" t="s">
        <v>116</v>
      </c>
      <c r="Q562" t="s">
        <v>40</v>
      </c>
      <c r="R562" t="s">
        <v>109</v>
      </c>
      <c r="S562" t="s">
        <v>2023</v>
      </c>
      <c r="T562" t="s">
        <v>2024</v>
      </c>
      <c r="U562" t="s">
        <v>45</v>
      </c>
      <c r="V562" t="s">
        <v>52</v>
      </c>
      <c r="W562" t="s">
        <v>59</v>
      </c>
      <c r="X562" t="s">
        <v>129</v>
      </c>
      <c r="Y562" t="s">
        <v>45</v>
      </c>
      <c r="Z562" t="s">
        <v>45</v>
      </c>
      <c r="AA562" t="s">
        <v>54</v>
      </c>
      <c r="AB562" t="s">
        <v>40</v>
      </c>
      <c r="AC562" t="s">
        <v>71</v>
      </c>
      <c r="AD562" t="s">
        <v>45</v>
      </c>
      <c r="AE562" t="s">
        <v>45</v>
      </c>
      <c r="AF562" t="s">
        <v>55</v>
      </c>
      <c r="AG562" t="s">
        <v>55</v>
      </c>
      <c r="AH562" t="s">
        <v>55</v>
      </c>
      <c r="AI562" t="s">
        <v>55</v>
      </c>
    </row>
    <row r="563" spans="1:35" x14ac:dyDescent="0.25">
      <c r="A563" t="s">
        <v>251</v>
      </c>
      <c r="B563" t="s">
        <v>59</v>
      </c>
      <c r="C563" t="s">
        <v>37</v>
      </c>
      <c r="D563" t="s">
        <v>1735</v>
      </c>
      <c r="E563" t="s">
        <v>39</v>
      </c>
      <c r="F563" t="s">
        <v>45</v>
      </c>
      <c r="G563" t="s">
        <v>47</v>
      </c>
      <c r="H563" t="s">
        <v>206</v>
      </c>
      <c r="I563" t="s">
        <v>40</v>
      </c>
      <c r="J563" t="s">
        <v>384</v>
      </c>
      <c r="K563" t="s">
        <v>45</v>
      </c>
      <c r="L563" t="s">
        <v>63</v>
      </c>
      <c r="M563" t="s">
        <v>137</v>
      </c>
      <c r="N563" t="s">
        <v>41</v>
      </c>
      <c r="O563" t="s">
        <v>47</v>
      </c>
      <c r="P563" t="s">
        <v>169</v>
      </c>
      <c r="Q563" t="s">
        <v>40</v>
      </c>
      <c r="R563" t="s">
        <v>66</v>
      </c>
      <c r="S563" t="s">
        <v>2025</v>
      </c>
      <c r="T563" t="s">
        <v>2026</v>
      </c>
      <c r="U563" t="s">
        <v>40</v>
      </c>
      <c r="V563" t="s">
        <v>52</v>
      </c>
      <c r="W563" t="s">
        <v>59</v>
      </c>
      <c r="X563" t="s">
        <v>53</v>
      </c>
      <c r="Y563" t="s">
        <v>45</v>
      </c>
      <c r="Z563" t="s">
        <v>40</v>
      </c>
      <c r="AA563" t="s">
        <v>54</v>
      </c>
      <c r="AB563" t="s">
        <v>55</v>
      </c>
      <c r="AC563" t="s">
        <v>142</v>
      </c>
      <c r="AD563" t="s">
        <v>45</v>
      </c>
      <c r="AE563" t="s">
        <v>47</v>
      </c>
      <c r="AF563" t="s">
        <v>142</v>
      </c>
      <c r="AG563" t="s">
        <v>56</v>
      </c>
      <c r="AH563" t="s">
        <v>40</v>
      </c>
      <c r="AI563" t="s">
        <v>128</v>
      </c>
    </row>
    <row r="564" spans="1:35" x14ac:dyDescent="0.25">
      <c r="A564" t="s">
        <v>80</v>
      </c>
      <c r="B564" t="s">
        <v>36</v>
      </c>
      <c r="C564" t="s">
        <v>37</v>
      </c>
      <c r="D564" t="s">
        <v>1533</v>
      </c>
      <c r="E564" t="s">
        <v>62</v>
      </c>
      <c r="F564" t="s">
        <v>40</v>
      </c>
      <c r="G564" t="s">
        <v>47</v>
      </c>
      <c r="H564" t="s">
        <v>74</v>
      </c>
      <c r="I564" t="s">
        <v>40</v>
      </c>
      <c r="J564" t="s">
        <v>2027</v>
      </c>
      <c r="K564" t="s">
        <v>47</v>
      </c>
      <c r="L564" t="s">
        <v>63</v>
      </c>
      <c r="M564" t="s">
        <v>288</v>
      </c>
      <c r="N564" t="s">
        <v>45</v>
      </c>
      <c r="O564" t="s">
        <v>40</v>
      </c>
      <c r="P564" t="s">
        <v>65</v>
      </c>
      <c r="Q564" t="s">
        <v>47</v>
      </c>
      <c r="R564" t="s">
        <v>48</v>
      </c>
      <c r="S564" t="s">
        <v>2028</v>
      </c>
      <c r="T564" t="s">
        <v>2029</v>
      </c>
      <c r="U564" t="s">
        <v>40</v>
      </c>
      <c r="V564" t="s">
        <v>52</v>
      </c>
      <c r="W564" t="s">
        <v>36</v>
      </c>
      <c r="X564" t="s">
        <v>98</v>
      </c>
      <c r="Y564" t="s">
        <v>45</v>
      </c>
      <c r="Z564" t="s">
        <v>45</v>
      </c>
      <c r="AA564" t="s">
        <v>54</v>
      </c>
      <c r="AB564" t="s">
        <v>55</v>
      </c>
      <c r="AC564" t="s">
        <v>70</v>
      </c>
      <c r="AD564" t="s">
        <v>41</v>
      </c>
      <c r="AE564" t="s">
        <v>41</v>
      </c>
      <c r="AF564" t="s">
        <v>70</v>
      </c>
      <c r="AG564" t="s">
        <v>91</v>
      </c>
      <c r="AH564" t="s">
        <v>71</v>
      </c>
      <c r="AI564" t="s">
        <v>51</v>
      </c>
    </row>
    <row r="565" spans="1:35" x14ac:dyDescent="0.25">
      <c r="A565" t="s">
        <v>172</v>
      </c>
      <c r="B565" t="s">
        <v>59</v>
      </c>
      <c r="C565" t="s">
        <v>37</v>
      </c>
      <c r="D565" t="s">
        <v>2030</v>
      </c>
      <c r="E565" t="s">
        <v>39</v>
      </c>
      <c r="F565" t="s">
        <v>139</v>
      </c>
      <c r="G565" t="s">
        <v>40</v>
      </c>
      <c r="H565" t="s">
        <v>87</v>
      </c>
      <c r="I565" t="s">
        <v>40</v>
      </c>
      <c r="J565" t="s">
        <v>2031</v>
      </c>
      <c r="K565" t="s">
        <v>45</v>
      </c>
      <c r="L565" t="s">
        <v>43</v>
      </c>
      <c r="M565" t="s">
        <v>93</v>
      </c>
      <c r="N565" t="s">
        <v>45</v>
      </c>
      <c r="O565" t="s">
        <v>41</v>
      </c>
      <c r="P565" t="s">
        <v>46</v>
      </c>
      <c r="Q565" t="s">
        <v>47</v>
      </c>
      <c r="R565" t="s">
        <v>48</v>
      </c>
      <c r="S565" t="s">
        <v>2032</v>
      </c>
      <c r="T565" t="s">
        <v>2033</v>
      </c>
      <c r="U565" t="s">
        <v>40</v>
      </c>
      <c r="V565" t="s">
        <v>52</v>
      </c>
      <c r="W565" t="s">
        <v>59</v>
      </c>
      <c r="X565" t="s">
        <v>69</v>
      </c>
      <c r="Y565" t="s">
        <v>47</v>
      </c>
      <c r="Z565" t="s">
        <v>41</v>
      </c>
      <c r="AA565" t="s">
        <v>54</v>
      </c>
      <c r="AB565" t="s">
        <v>55</v>
      </c>
      <c r="AC565" t="s">
        <v>56</v>
      </c>
      <c r="AD565" t="s">
        <v>57</v>
      </c>
      <c r="AE565" t="s">
        <v>41</v>
      </c>
      <c r="AF565" t="s">
        <v>56</v>
      </c>
      <c r="AG565" t="s">
        <v>57</v>
      </c>
      <c r="AH565" t="s">
        <v>40</v>
      </c>
      <c r="AI565" t="s">
        <v>47</v>
      </c>
    </row>
    <row r="566" spans="1:35" x14ac:dyDescent="0.25">
      <c r="A566" t="s">
        <v>174</v>
      </c>
      <c r="B566" t="s">
        <v>59</v>
      </c>
      <c r="C566" t="s">
        <v>37</v>
      </c>
      <c r="D566" t="s">
        <v>2034</v>
      </c>
      <c r="E566" t="s">
        <v>39</v>
      </c>
      <c r="F566" t="s">
        <v>41</v>
      </c>
      <c r="G566" t="s">
        <v>41</v>
      </c>
      <c r="H566" t="s">
        <v>228</v>
      </c>
      <c r="I566" t="s">
        <v>40</v>
      </c>
      <c r="J566" t="s">
        <v>2035</v>
      </c>
      <c r="K566" t="s">
        <v>41</v>
      </c>
      <c r="L566" t="s">
        <v>63</v>
      </c>
      <c r="M566" t="s">
        <v>213</v>
      </c>
      <c r="N566" t="s">
        <v>40</v>
      </c>
      <c r="O566" t="s">
        <v>41</v>
      </c>
      <c r="P566" t="s">
        <v>182</v>
      </c>
      <c r="Q566" t="s">
        <v>45</v>
      </c>
      <c r="R566" t="s">
        <v>48</v>
      </c>
      <c r="S566" t="s">
        <v>2036</v>
      </c>
      <c r="T566" t="s">
        <v>2037</v>
      </c>
      <c r="U566" t="s">
        <v>55</v>
      </c>
      <c r="V566" t="s">
        <v>52</v>
      </c>
      <c r="W566" t="s">
        <v>59</v>
      </c>
      <c r="X566" t="s">
        <v>98</v>
      </c>
      <c r="Y566" t="s">
        <v>45</v>
      </c>
      <c r="Z566" t="s">
        <v>40</v>
      </c>
      <c r="AA566" t="s">
        <v>54</v>
      </c>
      <c r="AB566" t="s">
        <v>55</v>
      </c>
      <c r="AC566" t="s">
        <v>91</v>
      </c>
      <c r="AD566" t="s">
        <v>45</v>
      </c>
      <c r="AE566" t="s">
        <v>45</v>
      </c>
      <c r="AF566" t="s">
        <v>51</v>
      </c>
      <c r="AG566" t="s">
        <v>71</v>
      </c>
      <c r="AH566" t="s">
        <v>45</v>
      </c>
      <c r="AI566" t="s">
        <v>40</v>
      </c>
    </row>
    <row r="567" spans="1:35" x14ac:dyDescent="0.25">
      <c r="A567" t="s">
        <v>69</v>
      </c>
      <c r="B567" t="s">
        <v>59</v>
      </c>
      <c r="C567" t="s">
        <v>37</v>
      </c>
      <c r="D567" t="s">
        <v>2038</v>
      </c>
      <c r="E567" t="s">
        <v>62</v>
      </c>
      <c r="F567" t="s">
        <v>70</v>
      </c>
      <c r="G567" t="s">
        <v>40</v>
      </c>
      <c r="H567" t="s">
        <v>87</v>
      </c>
      <c r="I567" t="s">
        <v>40</v>
      </c>
      <c r="J567" t="s">
        <v>2039</v>
      </c>
      <c r="K567" t="s">
        <v>40</v>
      </c>
      <c r="L567" t="s">
        <v>63</v>
      </c>
      <c r="M567" t="s">
        <v>95</v>
      </c>
      <c r="N567" t="s">
        <v>47</v>
      </c>
      <c r="O567" t="s">
        <v>40</v>
      </c>
      <c r="P567" t="s">
        <v>65</v>
      </c>
      <c r="Q567" t="s">
        <v>45</v>
      </c>
      <c r="R567" t="s">
        <v>48</v>
      </c>
      <c r="S567" t="s">
        <v>2040</v>
      </c>
      <c r="T567" t="s">
        <v>2041</v>
      </c>
      <c r="U567" t="s">
        <v>40</v>
      </c>
      <c r="V567" t="s">
        <v>52</v>
      </c>
      <c r="W567" t="s">
        <v>59</v>
      </c>
      <c r="X567" t="s">
        <v>145</v>
      </c>
      <c r="Y567" t="s">
        <v>45</v>
      </c>
      <c r="Z567" t="s">
        <v>47</v>
      </c>
      <c r="AA567" t="s">
        <v>54</v>
      </c>
      <c r="AB567" t="s">
        <v>55</v>
      </c>
      <c r="AC567" t="s">
        <v>41</v>
      </c>
      <c r="AD567" t="s">
        <v>45</v>
      </c>
      <c r="AE567" t="s">
        <v>45</v>
      </c>
      <c r="AF567" t="s">
        <v>41</v>
      </c>
      <c r="AG567" t="s">
        <v>41</v>
      </c>
      <c r="AH567" t="s">
        <v>55</v>
      </c>
      <c r="AI567" t="s">
        <v>41</v>
      </c>
    </row>
    <row r="568" spans="1:35" x14ac:dyDescent="0.25">
      <c r="A568" t="s">
        <v>239</v>
      </c>
      <c r="B568" t="s">
        <v>36</v>
      </c>
      <c r="C568" t="s">
        <v>60</v>
      </c>
      <c r="D568" t="s">
        <v>2042</v>
      </c>
      <c r="E568" t="s">
        <v>39</v>
      </c>
      <c r="F568" t="s">
        <v>85</v>
      </c>
      <c r="G568" t="s">
        <v>41</v>
      </c>
      <c r="H568" t="s">
        <v>42</v>
      </c>
      <c r="I568" t="s">
        <v>40</v>
      </c>
      <c r="J568" t="s">
        <v>2043</v>
      </c>
      <c r="K568" t="s">
        <v>41</v>
      </c>
      <c r="L568" t="s">
        <v>43</v>
      </c>
      <c r="M568" t="s">
        <v>326</v>
      </c>
      <c r="N568" t="s">
        <v>47</v>
      </c>
      <c r="O568" t="s">
        <v>41</v>
      </c>
      <c r="P568" t="s">
        <v>46</v>
      </c>
      <c r="Q568" t="s">
        <v>45</v>
      </c>
      <c r="R568" t="s">
        <v>48</v>
      </c>
      <c r="S568" t="s">
        <v>1132</v>
      </c>
      <c r="T568" t="s">
        <v>2044</v>
      </c>
      <c r="U568" t="s">
        <v>47</v>
      </c>
      <c r="V568" t="s">
        <v>52</v>
      </c>
      <c r="W568" t="s">
        <v>36</v>
      </c>
      <c r="X568" t="s">
        <v>92</v>
      </c>
      <c r="Y568" t="s">
        <v>45</v>
      </c>
      <c r="Z568" t="s">
        <v>47</v>
      </c>
      <c r="AA568" t="s">
        <v>54</v>
      </c>
      <c r="AB568" t="s">
        <v>55</v>
      </c>
      <c r="AC568" t="s">
        <v>51</v>
      </c>
      <c r="AD568" t="s">
        <v>41</v>
      </c>
      <c r="AE568" t="s">
        <v>45</v>
      </c>
      <c r="AF568" t="s">
        <v>57</v>
      </c>
      <c r="AG568" t="s">
        <v>47</v>
      </c>
      <c r="AH568" t="s">
        <v>40</v>
      </c>
      <c r="AI568" t="s">
        <v>45</v>
      </c>
    </row>
    <row r="569" spans="1:35" x14ac:dyDescent="0.25">
      <c r="A569" t="s">
        <v>142</v>
      </c>
      <c r="B569" t="s">
        <v>59</v>
      </c>
      <c r="C569" t="s">
        <v>37</v>
      </c>
      <c r="D569" t="s">
        <v>922</v>
      </c>
      <c r="E569" t="s">
        <v>39</v>
      </c>
      <c r="F569" t="s">
        <v>41</v>
      </c>
      <c r="G569" t="s">
        <v>45</v>
      </c>
      <c r="H569" t="s">
        <v>74</v>
      </c>
      <c r="I569" t="s">
        <v>40</v>
      </c>
      <c r="J569" t="s">
        <v>2045</v>
      </c>
      <c r="K569" t="s">
        <v>47</v>
      </c>
      <c r="L569" t="s">
        <v>63</v>
      </c>
      <c r="M569" t="s">
        <v>275</v>
      </c>
      <c r="N569" t="s">
        <v>45</v>
      </c>
      <c r="O569" t="s">
        <v>41</v>
      </c>
      <c r="P569" t="s">
        <v>46</v>
      </c>
      <c r="Q569" t="s">
        <v>47</v>
      </c>
      <c r="R569" t="s">
        <v>48</v>
      </c>
      <c r="S569" t="s">
        <v>2046</v>
      </c>
      <c r="T569" t="s">
        <v>2047</v>
      </c>
      <c r="U569" t="s">
        <v>40</v>
      </c>
      <c r="V569" t="s">
        <v>52</v>
      </c>
      <c r="W569" t="s">
        <v>59</v>
      </c>
      <c r="X569" t="s">
        <v>112</v>
      </c>
      <c r="Y569" t="s">
        <v>47</v>
      </c>
      <c r="Z569" t="s">
        <v>45</v>
      </c>
      <c r="AA569" t="s">
        <v>54</v>
      </c>
      <c r="AB569" t="s">
        <v>55</v>
      </c>
      <c r="AC569" t="s">
        <v>56</v>
      </c>
      <c r="AD569" t="s">
        <v>57</v>
      </c>
      <c r="AE569" t="s">
        <v>45</v>
      </c>
      <c r="AF569" t="s">
        <v>56</v>
      </c>
      <c r="AG569" t="s">
        <v>57</v>
      </c>
      <c r="AH569" t="s">
        <v>40</v>
      </c>
      <c r="AI569" t="s">
        <v>47</v>
      </c>
    </row>
    <row r="570" spans="1:35" x14ac:dyDescent="0.25">
      <c r="A570" t="s">
        <v>263</v>
      </c>
      <c r="B570" t="s">
        <v>36</v>
      </c>
      <c r="C570" t="s">
        <v>37</v>
      </c>
      <c r="D570" t="s">
        <v>1935</v>
      </c>
      <c r="E570" t="s">
        <v>62</v>
      </c>
      <c r="F570" t="s">
        <v>41</v>
      </c>
      <c r="G570" t="s">
        <v>45</v>
      </c>
      <c r="H570" t="s">
        <v>87</v>
      </c>
      <c r="I570" t="s">
        <v>40</v>
      </c>
      <c r="J570" t="s">
        <v>2048</v>
      </c>
      <c r="K570" t="s">
        <v>47</v>
      </c>
      <c r="L570" t="s">
        <v>63</v>
      </c>
      <c r="M570" t="s">
        <v>168</v>
      </c>
      <c r="N570" t="s">
        <v>45</v>
      </c>
      <c r="O570" t="s">
        <v>57</v>
      </c>
      <c r="P570" t="s">
        <v>169</v>
      </c>
      <c r="Q570" t="s">
        <v>40</v>
      </c>
      <c r="R570" t="s">
        <v>66</v>
      </c>
      <c r="S570" t="s">
        <v>2049</v>
      </c>
      <c r="T570" t="s">
        <v>2050</v>
      </c>
      <c r="U570" t="s">
        <v>57</v>
      </c>
      <c r="V570" t="s">
        <v>52</v>
      </c>
      <c r="W570" t="s">
        <v>36</v>
      </c>
      <c r="X570" t="s">
        <v>98</v>
      </c>
      <c r="Y570" t="s">
        <v>45</v>
      </c>
      <c r="Z570" t="s">
        <v>47</v>
      </c>
      <c r="AA570" t="s">
        <v>54</v>
      </c>
      <c r="AB570" t="s">
        <v>40</v>
      </c>
      <c r="AC570" t="s">
        <v>107</v>
      </c>
      <c r="AD570" t="s">
        <v>41</v>
      </c>
      <c r="AE570" t="s">
        <v>45</v>
      </c>
      <c r="AF570" t="s">
        <v>57</v>
      </c>
      <c r="AG570" t="s">
        <v>41</v>
      </c>
      <c r="AH570" t="s">
        <v>40</v>
      </c>
      <c r="AI570" t="s">
        <v>47</v>
      </c>
    </row>
    <row r="571" spans="1:35" x14ac:dyDescent="0.25">
      <c r="A571" t="s">
        <v>120</v>
      </c>
      <c r="B571" t="s">
        <v>59</v>
      </c>
      <c r="C571" t="s">
        <v>161</v>
      </c>
      <c r="D571" t="s">
        <v>295</v>
      </c>
      <c r="E571" t="s">
        <v>39</v>
      </c>
      <c r="F571" t="s">
        <v>51</v>
      </c>
      <c r="G571" t="s">
        <v>47</v>
      </c>
      <c r="H571" t="s">
        <v>42</v>
      </c>
      <c r="I571" t="s">
        <v>40</v>
      </c>
      <c r="J571" t="s">
        <v>2051</v>
      </c>
      <c r="K571" t="s">
        <v>40</v>
      </c>
      <c r="L571" t="s">
        <v>63</v>
      </c>
      <c r="M571" t="s">
        <v>322</v>
      </c>
      <c r="N571" t="s">
        <v>41</v>
      </c>
      <c r="O571" t="s">
        <v>45</v>
      </c>
      <c r="P571" t="s">
        <v>46</v>
      </c>
      <c r="Q571" t="s">
        <v>40</v>
      </c>
      <c r="R571" t="s">
        <v>48</v>
      </c>
      <c r="S571" t="s">
        <v>2052</v>
      </c>
      <c r="T571" t="s">
        <v>2053</v>
      </c>
      <c r="U571" t="s">
        <v>40</v>
      </c>
      <c r="V571" t="s">
        <v>52</v>
      </c>
      <c r="W571" t="s">
        <v>59</v>
      </c>
      <c r="X571" t="s">
        <v>79</v>
      </c>
      <c r="Y571" t="s">
        <v>45</v>
      </c>
      <c r="Z571" t="s">
        <v>41</v>
      </c>
      <c r="AA571" t="s">
        <v>54</v>
      </c>
      <c r="AB571" t="s">
        <v>55</v>
      </c>
      <c r="AC571" t="s">
        <v>70</v>
      </c>
      <c r="AD571" t="s">
        <v>40</v>
      </c>
      <c r="AE571" t="s">
        <v>45</v>
      </c>
      <c r="AF571" t="s">
        <v>70</v>
      </c>
      <c r="AG571" t="s">
        <v>71</v>
      </c>
      <c r="AH571" t="s">
        <v>55</v>
      </c>
      <c r="AI571" t="s">
        <v>91</v>
      </c>
    </row>
    <row r="572" spans="1:35" x14ac:dyDescent="0.25">
      <c r="A572" t="s">
        <v>251</v>
      </c>
      <c r="B572" t="s">
        <v>59</v>
      </c>
      <c r="C572" t="s">
        <v>161</v>
      </c>
      <c r="D572" t="s">
        <v>1909</v>
      </c>
      <c r="E572" t="s">
        <v>62</v>
      </c>
      <c r="F572" t="s">
        <v>144</v>
      </c>
      <c r="G572" t="s">
        <v>47</v>
      </c>
      <c r="H572" t="s">
        <v>87</v>
      </c>
      <c r="I572" t="s">
        <v>40</v>
      </c>
      <c r="J572" t="s">
        <v>2054</v>
      </c>
      <c r="K572" t="s">
        <v>47</v>
      </c>
      <c r="L572" t="s">
        <v>63</v>
      </c>
      <c r="M572" t="s">
        <v>35</v>
      </c>
      <c r="N572" t="s">
        <v>45</v>
      </c>
      <c r="O572" t="s">
        <v>40</v>
      </c>
      <c r="P572" t="s">
        <v>65</v>
      </c>
      <c r="Q572" t="s">
        <v>47</v>
      </c>
      <c r="R572" t="s">
        <v>66</v>
      </c>
      <c r="S572" t="s">
        <v>2055</v>
      </c>
      <c r="T572" t="s">
        <v>2056</v>
      </c>
      <c r="U572" t="s">
        <v>55</v>
      </c>
      <c r="V572" t="s">
        <v>52</v>
      </c>
      <c r="W572" t="s">
        <v>59</v>
      </c>
      <c r="X572" t="s">
        <v>145</v>
      </c>
      <c r="Y572" t="s">
        <v>45</v>
      </c>
      <c r="Z572" t="s">
        <v>40</v>
      </c>
      <c r="AA572" t="s">
        <v>54</v>
      </c>
      <c r="AB572" t="s">
        <v>40</v>
      </c>
      <c r="AC572" t="s">
        <v>57</v>
      </c>
      <c r="AD572" t="s">
        <v>45</v>
      </c>
      <c r="AE572" t="s">
        <v>45</v>
      </c>
      <c r="AF572" t="s">
        <v>47</v>
      </c>
      <c r="AG572" t="s">
        <v>45</v>
      </c>
      <c r="AH572" t="s">
        <v>40</v>
      </c>
      <c r="AI572" t="s">
        <v>41</v>
      </c>
    </row>
    <row r="573" spans="1:35" x14ac:dyDescent="0.25">
      <c r="A573" t="s">
        <v>139</v>
      </c>
      <c r="B573" t="s">
        <v>59</v>
      </c>
      <c r="C573" t="s">
        <v>60</v>
      </c>
      <c r="D573" t="s">
        <v>1439</v>
      </c>
      <c r="E573" t="s">
        <v>62</v>
      </c>
      <c r="F573" t="s">
        <v>40</v>
      </c>
      <c r="G573" t="s">
        <v>41</v>
      </c>
      <c r="H573" t="s">
        <v>42</v>
      </c>
      <c r="I573" t="s">
        <v>40</v>
      </c>
      <c r="J573" t="s">
        <v>2057</v>
      </c>
      <c r="K573" t="s">
        <v>40</v>
      </c>
      <c r="L573" t="s">
        <v>43</v>
      </c>
      <c r="M573" t="s">
        <v>315</v>
      </c>
      <c r="N573" t="s">
        <v>40</v>
      </c>
      <c r="O573" t="s">
        <v>40</v>
      </c>
      <c r="P573" t="s">
        <v>76</v>
      </c>
      <c r="Q573" t="s">
        <v>47</v>
      </c>
      <c r="R573" t="s">
        <v>109</v>
      </c>
      <c r="S573" t="s">
        <v>2058</v>
      </c>
      <c r="T573" t="s">
        <v>2059</v>
      </c>
      <c r="U573" t="s">
        <v>45</v>
      </c>
      <c r="V573" t="s">
        <v>52</v>
      </c>
      <c r="W573" t="s">
        <v>59</v>
      </c>
      <c r="X573" t="s">
        <v>129</v>
      </c>
      <c r="Y573" t="s">
        <v>45</v>
      </c>
      <c r="Z573" t="s">
        <v>40</v>
      </c>
      <c r="AA573" t="s">
        <v>54</v>
      </c>
      <c r="AB573" t="s">
        <v>40</v>
      </c>
      <c r="AC573" t="s">
        <v>57</v>
      </c>
      <c r="AD573" t="s">
        <v>41</v>
      </c>
      <c r="AE573" t="s">
        <v>45</v>
      </c>
      <c r="AF573" t="s">
        <v>41</v>
      </c>
      <c r="AG573" t="s">
        <v>41</v>
      </c>
      <c r="AH573" t="s">
        <v>41</v>
      </c>
      <c r="AI573" t="s">
        <v>55</v>
      </c>
    </row>
    <row r="574" spans="1:35" x14ac:dyDescent="0.25">
      <c r="A574" t="s">
        <v>133</v>
      </c>
      <c r="B574" t="s">
        <v>59</v>
      </c>
      <c r="C574" t="s">
        <v>37</v>
      </c>
      <c r="D574" t="s">
        <v>1806</v>
      </c>
      <c r="E574" t="s">
        <v>62</v>
      </c>
      <c r="F574" t="s">
        <v>85</v>
      </c>
      <c r="G574" t="s">
        <v>45</v>
      </c>
      <c r="H574" t="s">
        <v>87</v>
      </c>
      <c r="I574" t="s">
        <v>40</v>
      </c>
      <c r="J574" t="s">
        <v>2060</v>
      </c>
      <c r="K574" t="s">
        <v>41</v>
      </c>
      <c r="L574" t="s">
        <v>43</v>
      </c>
      <c r="M574" t="s">
        <v>375</v>
      </c>
      <c r="N574" t="s">
        <v>45</v>
      </c>
      <c r="O574" t="s">
        <v>41</v>
      </c>
      <c r="P574" t="s">
        <v>122</v>
      </c>
      <c r="Q574" t="s">
        <v>45</v>
      </c>
      <c r="R574" t="s">
        <v>66</v>
      </c>
      <c r="S574" t="s">
        <v>2061</v>
      </c>
      <c r="T574" t="s">
        <v>2062</v>
      </c>
      <c r="U574" t="s">
        <v>47</v>
      </c>
      <c r="V574" t="s">
        <v>52</v>
      </c>
      <c r="W574" t="s">
        <v>59</v>
      </c>
      <c r="X574" t="s">
        <v>92</v>
      </c>
      <c r="Y574" t="s">
        <v>45</v>
      </c>
      <c r="Z574" t="s">
        <v>40</v>
      </c>
      <c r="AA574" t="s">
        <v>54</v>
      </c>
      <c r="AB574" t="s">
        <v>40</v>
      </c>
      <c r="AC574" t="s">
        <v>53</v>
      </c>
      <c r="AD574" t="s">
        <v>45</v>
      </c>
      <c r="AE574" t="s">
        <v>41</v>
      </c>
      <c r="AF574" t="s">
        <v>51</v>
      </c>
      <c r="AG574" t="s">
        <v>71</v>
      </c>
      <c r="AH574" t="s">
        <v>40</v>
      </c>
      <c r="AI574" t="s">
        <v>40</v>
      </c>
    </row>
    <row r="575" spans="1:35" x14ac:dyDescent="0.25">
      <c r="A575" t="s">
        <v>139</v>
      </c>
      <c r="B575" t="s">
        <v>36</v>
      </c>
      <c r="C575" t="s">
        <v>37</v>
      </c>
      <c r="D575" t="s">
        <v>2063</v>
      </c>
      <c r="E575" t="s">
        <v>39</v>
      </c>
      <c r="F575" t="s">
        <v>51</v>
      </c>
      <c r="G575" t="s">
        <v>45</v>
      </c>
      <c r="H575" t="s">
        <v>228</v>
      </c>
      <c r="I575" t="s">
        <v>40</v>
      </c>
      <c r="J575" t="s">
        <v>2064</v>
      </c>
      <c r="K575" t="s">
        <v>47</v>
      </c>
      <c r="L575" t="s">
        <v>63</v>
      </c>
      <c r="M575" t="s">
        <v>113</v>
      </c>
      <c r="N575" t="s">
        <v>41</v>
      </c>
      <c r="O575" t="s">
        <v>41</v>
      </c>
      <c r="P575" t="s">
        <v>46</v>
      </c>
      <c r="Q575" t="s">
        <v>40</v>
      </c>
      <c r="R575" t="s">
        <v>48</v>
      </c>
      <c r="S575" t="s">
        <v>2065</v>
      </c>
      <c r="T575" t="s">
        <v>2066</v>
      </c>
      <c r="U575" t="s">
        <v>56</v>
      </c>
      <c r="V575" t="s">
        <v>52</v>
      </c>
      <c r="W575" t="s">
        <v>59</v>
      </c>
      <c r="X575" t="s">
        <v>125</v>
      </c>
      <c r="Y575" t="s">
        <v>45</v>
      </c>
      <c r="Z575" t="s">
        <v>45</v>
      </c>
      <c r="AA575" t="s">
        <v>54</v>
      </c>
      <c r="AB575" t="s">
        <v>55</v>
      </c>
      <c r="AC575" t="s">
        <v>56</v>
      </c>
      <c r="AD575" t="s">
        <v>41</v>
      </c>
      <c r="AE575" t="s">
        <v>41</v>
      </c>
      <c r="AF575" t="s">
        <v>47</v>
      </c>
      <c r="AG575" t="s">
        <v>45</v>
      </c>
      <c r="AH575" t="s">
        <v>40</v>
      </c>
      <c r="AI575" t="s">
        <v>41</v>
      </c>
    </row>
    <row r="576" spans="1:35" x14ac:dyDescent="0.25">
      <c r="A576" t="s">
        <v>142</v>
      </c>
      <c r="B576" t="s">
        <v>59</v>
      </c>
      <c r="C576" t="s">
        <v>37</v>
      </c>
      <c r="D576" t="s">
        <v>619</v>
      </c>
      <c r="E576" t="s">
        <v>62</v>
      </c>
      <c r="F576" t="s">
        <v>40</v>
      </c>
      <c r="G576" t="s">
        <v>47</v>
      </c>
      <c r="H576" t="s">
        <v>42</v>
      </c>
      <c r="I576" t="s">
        <v>40</v>
      </c>
      <c r="J576" t="s">
        <v>1134</v>
      </c>
      <c r="K576" t="s">
        <v>41</v>
      </c>
      <c r="L576" t="s">
        <v>43</v>
      </c>
      <c r="M576" t="s">
        <v>201</v>
      </c>
      <c r="N576" t="s">
        <v>47</v>
      </c>
      <c r="O576" t="s">
        <v>40</v>
      </c>
      <c r="P576" t="s">
        <v>65</v>
      </c>
      <c r="Q576" t="s">
        <v>47</v>
      </c>
      <c r="R576" t="s">
        <v>48</v>
      </c>
      <c r="S576" t="s">
        <v>2067</v>
      </c>
      <c r="T576" t="s">
        <v>2068</v>
      </c>
      <c r="U576" t="s">
        <v>41</v>
      </c>
      <c r="V576" t="s">
        <v>52</v>
      </c>
      <c r="W576" t="s">
        <v>59</v>
      </c>
      <c r="X576" t="s">
        <v>128</v>
      </c>
      <c r="Y576" t="s">
        <v>45</v>
      </c>
      <c r="Z576" t="s">
        <v>45</v>
      </c>
      <c r="AA576" t="s">
        <v>54</v>
      </c>
      <c r="AB576" t="s">
        <v>55</v>
      </c>
      <c r="AC576" t="s">
        <v>70</v>
      </c>
      <c r="AD576" t="s">
        <v>41</v>
      </c>
      <c r="AE576" t="s">
        <v>45</v>
      </c>
      <c r="AF576" t="s">
        <v>47</v>
      </c>
      <c r="AG576" t="s">
        <v>41</v>
      </c>
      <c r="AH576" t="s">
        <v>40</v>
      </c>
      <c r="AI576" t="s">
        <v>45</v>
      </c>
    </row>
    <row r="577" spans="1:35" x14ac:dyDescent="0.25">
      <c r="A577" t="s">
        <v>259</v>
      </c>
      <c r="B577" t="s">
        <v>59</v>
      </c>
      <c r="C577" t="s">
        <v>37</v>
      </c>
      <c r="D577" t="s">
        <v>1106</v>
      </c>
      <c r="E577" t="s">
        <v>62</v>
      </c>
      <c r="F577" t="s">
        <v>144</v>
      </c>
      <c r="G577" t="s">
        <v>47</v>
      </c>
      <c r="H577" t="s">
        <v>87</v>
      </c>
      <c r="I577" t="s">
        <v>40</v>
      </c>
      <c r="J577" t="s">
        <v>1740</v>
      </c>
      <c r="K577" t="s">
        <v>47</v>
      </c>
      <c r="L577" t="s">
        <v>43</v>
      </c>
      <c r="M577" t="s">
        <v>349</v>
      </c>
      <c r="N577" t="s">
        <v>45</v>
      </c>
      <c r="O577" t="s">
        <v>41</v>
      </c>
      <c r="P577" t="s">
        <v>116</v>
      </c>
      <c r="Q577" t="s">
        <v>40</v>
      </c>
      <c r="R577" t="s">
        <v>109</v>
      </c>
      <c r="S577" t="s">
        <v>2069</v>
      </c>
      <c r="T577" t="s">
        <v>2070</v>
      </c>
      <c r="U577" t="s">
        <v>91</v>
      </c>
      <c r="V577" t="s">
        <v>52</v>
      </c>
      <c r="W577" t="s">
        <v>36</v>
      </c>
      <c r="X577" t="s">
        <v>53</v>
      </c>
      <c r="Y577" t="s">
        <v>45</v>
      </c>
      <c r="Z577" t="s">
        <v>41</v>
      </c>
      <c r="AA577" t="s">
        <v>54</v>
      </c>
      <c r="AB577" t="s">
        <v>41</v>
      </c>
      <c r="AC577" t="s">
        <v>91</v>
      </c>
      <c r="AD577" t="s">
        <v>47</v>
      </c>
      <c r="AE577" t="s">
        <v>45</v>
      </c>
      <c r="AF577" t="s">
        <v>57</v>
      </c>
      <c r="AG577" t="s">
        <v>45</v>
      </c>
      <c r="AH577" t="s">
        <v>40</v>
      </c>
      <c r="AI577" t="s">
        <v>47</v>
      </c>
    </row>
    <row r="578" spans="1:35" x14ac:dyDescent="0.25">
      <c r="A578" t="s">
        <v>85</v>
      </c>
      <c r="B578" t="s">
        <v>59</v>
      </c>
      <c r="C578" t="s">
        <v>60</v>
      </c>
      <c r="D578" t="s">
        <v>888</v>
      </c>
      <c r="E578" t="s">
        <v>39</v>
      </c>
      <c r="F578" t="s">
        <v>51</v>
      </c>
      <c r="G578" t="s">
        <v>40</v>
      </c>
      <c r="H578" t="s">
        <v>206</v>
      </c>
      <c r="I578" t="s">
        <v>40</v>
      </c>
      <c r="J578" t="s">
        <v>2071</v>
      </c>
      <c r="K578" t="s">
        <v>45</v>
      </c>
      <c r="L578" t="s">
        <v>63</v>
      </c>
      <c r="M578" t="s">
        <v>130</v>
      </c>
      <c r="N578" t="s">
        <v>45</v>
      </c>
      <c r="O578" t="s">
        <v>41</v>
      </c>
      <c r="P578" t="s">
        <v>46</v>
      </c>
      <c r="Q578" t="s">
        <v>47</v>
      </c>
      <c r="R578" t="s">
        <v>66</v>
      </c>
      <c r="S578" t="s">
        <v>2072</v>
      </c>
      <c r="T578" t="s">
        <v>2073</v>
      </c>
      <c r="U578" t="s">
        <v>55</v>
      </c>
      <c r="V578" t="s">
        <v>52</v>
      </c>
      <c r="W578" t="s">
        <v>59</v>
      </c>
      <c r="X578" t="s">
        <v>144</v>
      </c>
      <c r="Y578" t="s">
        <v>45</v>
      </c>
      <c r="Z578" t="s">
        <v>41</v>
      </c>
      <c r="AA578" t="s">
        <v>54</v>
      </c>
      <c r="AB578" t="s">
        <v>40</v>
      </c>
      <c r="AC578" t="s">
        <v>57</v>
      </c>
      <c r="AD578" t="s">
        <v>45</v>
      </c>
      <c r="AE578" t="s">
        <v>45</v>
      </c>
      <c r="AF578" t="s">
        <v>47</v>
      </c>
      <c r="AG578" t="s">
        <v>41</v>
      </c>
      <c r="AH578" t="s">
        <v>40</v>
      </c>
      <c r="AI578" t="s">
        <v>40</v>
      </c>
    </row>
    <row r="579" spans="1:35" x14ac:dyDescent="0.25">
      <c r="A579" t="s">
        <v>72</v>
      </c>
      <c r="B579" t="s">
        <v>59</v>
      </c>
      <c r="C579" t="s">
        <v>37</v>
      </c>
      <c r="D579" t="s">
        <v>1619</v>
      </c>
      <c r="E579" t="s">
        <v>62</v>
      </c>
      <c r="F579" t="s">
        <v>70</v>
      </c>
      <c r="G579" t="s">
        <v>40</v>
      </c>
      <c r="H579" t="s">
        <v>42</v>
      </c>
      <c r="I579" t="s">
        <v>40</v>
      </c>
      <c r="J579" t="s">
        <v>603</v>
      </c>
      <c r="K579" t="s">
        <v>47</v>
      </c>
      <c r="L579" t="s">
        <v>43</v>
      </c>
      <c r="M579" t="s">
        <v>181</v>
      </c>
      <c r="N579" t="s">
        <v>45</v>
      </c>
      <c r="O579" t="s">
        <v>40</v>
      </c>
      <c r="P579" t="s">
        <v>65</v>
      </c>
      <c r="Q579" t="s">
        <v>40</v>
      </c>
      <c r="R579" t="s">
        <v>109</v>
      </c>
      <c r="S579" t="s">
        <v>2074</v>
      </c>
      <c r="T579" t="s">
        <v>2075</v>
      </c>
      <c r="U579" t="s">
        <v>55</v>
      </c>
      <c r="V579" t="s">
        <v>52</v>
      </c>
      <c r="W579" t="s">
        <v>36</v>
      </c>
      <c r="X579" t="s">
        <v>98</v>
      </c>
      <c r="Y579" t="s">
        <v>45</v>
      </c>
      <c r="Z579" t="s">
        <v>41</v>
      </c>
      <c r="AA579" t="s">
        <v>54</v>
      </c>
      <c r="AB579" t="s">
        <v>41</v>
      </c>
      <c r="AC579" t="s">
        <v>56</v>
      </c>
      <c r="AD579" t="s">
        <v>45</v>
      </c>
      <c r="AE579" t="s">
        <v>41</v>
      </c>
      <c r="AF579" t="s">
        <v>57</v>
      </c>
      <c r="AG579" t="s">
        <v>45</v>
      </c>
      <c r="AH579" t="s">
        <v>47</v>
      </c>
      <c r="AI579" t="s">
        <v>45</v>
      </c>
    </row>
    <row r="580" spans="1:35" x14ac:dyDescent="0.25">
      <c r="A580" t="s">
        <v>113</v>
      </c>
      <c r="B580" t="s">
        <v>59</v>
      </c>
      <c r="C580" t="s">
        <v>60</v>
      </c>
      <c r="D580" t="s">
        <v>503</v>
      </c>
      <c r="E580" t="s">
        <v>62</v>
      </c>
      <c r="F580" t="s">
        <v>41</v>
      </c>
      <c r="G580" t="s">
        <v>47</v>
      </c>
      <c r="H580" t="s">
        <v>42</v>
      </c>
      <c r="I580" t="s">
        <v>40</v>
      </c>
      <c r="J580" t="s">
        <v>2076</v>
      </c>
      <c r="K580" t="s">
        <v>40</v>
      </c>
      <c r="L580" t="s">
        <v>43</v>
      </c>
      <c r="M580" t="s">
        <v>255</v>
      </c>
      <c r="N580" t="s">
        <v>47</v>
      </c>
      <c r="O580" t="s">
        <v>41</v>
      </c>
      <c r="P580" t="s">
        <v>116</v>
      </c>
      <c r="Q580" t="s">
        <v>40</v>
      </c>
      <c r="R580" t="s">
        <v>48</v>
      </c>
      <c r="S580" t="s">
        <v>2077</v>
      </c>
      <c r="T580" t="s">
        <v>2078</v>
      </c>
      <c r="U580" t="s">
        <v>56</v>
      </c>
      <c r="V580" t="s">
        <v>52</v>
      </c>
      <c r="W580" t="s">
        <v>36</v>
      </c>
      <c r="X580" t="s">
        <v>92</v>
      </c>
      <c r="Y580" t="s">
        <v>45</v>
      </c>
      <c r="Z580" t="s">
        <v>47</v>
      </c>
      <c r="AA580" t="s">
        <v>54</v>
      </c>
      <c r="AB580" t="s">
        <v>55</v>
      </c>
      <c r="AC580" t="s">
        <v>125</v>
      </c>
      <c r="AD580" t="s">
        <v>41</v>
      </c>
      <c r="AE580" t="s">
        <v>45</v>
      </c>
      <c r="AF580" t="s">
        <v>79</v>
      </c>
      <c r="AG580" t="s">
        <v>71</v>
      </c>
      <c r="AH580" t="s">
        <v>47</v>
      </c>
      <c r="AI580" t="s">
        <v>92</v>
      </c>
    </row>
    <row r="581" spans="1:35" x14ac:dyDescent="0.25">
      <c r="A581" t="s">
        <v>142</v>
      </c>
      <c r="B581" t="s">
        <v>59</v>
      </c>
      <c r="C581" t="s">
        <v>37</v>
      </c>
      <c r="D581" t="s">
        <v>448</v>
      </c>
      <c r="E581" t="s">
        <v>62</v>
      </c>
      <c r="F581" t="s">
        <v>41</v>
      </c>
      <c r="G581" t="s">
        <v>47</v>
      </c>
      <c r="H581" t="s">
        <v>87</v>
      </c>
      <c r="I581" t="s">
        <v>40</v>
      </c>
      <c r="J581" t="s">
        <v>2000</v>
      </c>
      <c r="K581" t="s">
        <v>45</v>
      </c>
      <c r="L581" t="s">
        <v>43</v>
      </c>
      <c r="M581" t="s">
        <v>240</v>
      </c>
      <c r="N581" t="s">
        <v>41</v>
      </c>
      <c r="O581" t="s">
        <v>40</v>
      </c>
      <c r="P581" t="s">
        <v>65</v>
      </c>
      <c r="Q581" t="s">
        <v>40</v>
      </c>
      <c r="R581" t="s">
        <v>48</v>
      </c>
      <c r="S581" t="s">
        <v>938</v>
      </c>
      <c r="T581" t="s">
        <v>2079</v>
      </c>
      <c r="U581" t="s">
        <v>40</v>
      </c>
      <c r="V581" t="s">
        <v>52</v>
      </c>
      <c r="W581" t="s">
        <v>59</v>
      </c>
      <c r="X581" t="s">
        <v>53</v>
      </c>
      <c r="Y581" t="s">
        <v>45</v>
      </c>
      <c r="Z581" t="s">
        <v>45</v>
      </c>
      <c r="AA581" t="s">
        <v>54</v>
      </c>
      <c r="AB581" t="s">
        <v>55</v>
      </c>
      <c r="AC581" t="s">
        <v>56</v>
      </c>
      <c r="AD581" t="s">
        <v>45</v>
      </c>
      <c r="AE581" t="s">
        <v>45</v>
      </c>
      <c r="AF581" t="s">
        <v>56</v>
      </c>
      <c r="AG581" t="s">
        <v>57</v>
      </c>
      <c r="AH581" t="s">
        <v>40</v>
      </c>
      <c r="AI581" t="s">
        <v>45</v>
      </c>
    </row>
    <row r="582" spans="1:35" x14ac:dyDescent="0.25">
      <c r="A582" t="s">
        <v>126</v>
      </c>
      <c r="B582" t="s">
        <v>59</v>
      </c>
      <c r="C582" t="s">
        <v>37</v>
      </c>
      <c r="D582" t="s">
        <v>1131</v>
      </c>
      <c r="E582" t="s">
        <v>39</v>
      </c>
      <c r="F582" t="s">
        <v>51</v>
      </c>
      <c r="G582" t="s">
        <v>47</v>
      </c>
      <c r="H582" t="s">
        <v>42</v>
      </c>
      <c r="I582" t="s">
        <v>40</v>
      </c>
      <c r="J582" t="s">
        <v>2080</v>
      </c>
      <c r="K582" t="s">
        <v>40</v>
      </c>
      <c r="L582" t="s">
        <v>43</v>
      </c>
      <c r="M582" t="s">
        <v>201</v>
      </c>
      <c r="N582" t="s">
        <v>45</v>
      </c>
      <c r="O582" t="s">
        <v>40</v>
      </c>
      <c r="P582" t="s">
        <v>182</v>
      </c>
      <c r="Q582" t="s">
        <v>47</v>
      </c>
      <c r="R582" t="s">
        <v>66</v>
      </c>
      <c r="S582" t="s">
        <v>2081</v>
      </c>
      <c r="T582" t="s">
        <v>2082</v>
      </c>
      <c r="U582" t="s">
        <v>40</v>
      </c>
      <c r="V582" t="s">
        <v>52</v>
      </c>
      <c r="W582" t="s">
        <v>59</v>
      </c>
      <c r="X582" t="s">
        <v>128</v>
      </c>
      <c r="Y582" t="s">
        <v>45</v>
      </c>
      <c r="Z582" t="s">
        <v>41</v>
      </c>
      <c r="AA582" t="s">
        <v>54</v>
      </c>
      <c r="AB582" t="s">
        <v>40</v>
      </c>
      <c r="AC582" t="s">
        <v>45</v>
      </c>
      <c r="AD582" t="s">
        <v>40</v>
      </c>
      <c r="AE582" t="s">
        <v>41</v>
      </c>
      <c r="AF582" t="s">
        <v>45</v>
      </c>
      <c r="AG582" t="s">
        <v>41</v>
      </c>
      <c r="AH582" t="s">
        <v>55</v>
      </c>
      <c r="AI582" t="s">
        <v>41</v>
      </c>
    </row>
    <row r="583" spans="1:35" x14ac:dyDescent="0.25">
      <c r="A583" t="s">
        <v>105</v>
      </c>
      <c r="B583" t="s">
        <v>59</v>
      </c>
      <c r="C583" t="s">
        <v>37</v>
      </c>
      <c r="D583" t="s">
        <v>1426</v>
      </c>
      <c r="E583" t="s">
        <v>62</v>
      </c>
      <c r="F583" t="s">
        <v>40</v>
      </c>
      <c r="G583" t="s">
        <v>45</v>
      </c>
      <c r="H583" t="s">
        <v>42</v>
      </c>
      <c r="I583" t="s">
        <v>40</v>
      </c>
      <c r="J583" t="s">
        <v>1898</v>
      </c>
      <c r="K583" t="s">
        <v>47</v>
      </c>
      <c r="L583" t="s">
        <v>63</v>
      </c>
      <c r="M583" t="s">
        <v>113</v>
      </c>
      <c r="N583" t="s">
        <v>40</v>
      </c>
      <c r="O583" t="s">
        <v>40</v>
      </c>
      <c r="P583" t="s">
        <v>76</v>
      </c>
      <c r="Q583" t="s">
        <v>45</v>
      </c>
      <c r="R583" t="s">
        <v>66</v>
      </c>
      <c r="S583" t="s">
        <v>2083</v>
      </c>
      <c r="T583" t="s">
        <v>2084</v>
      </c>
      <c r="U583" t="s">
        <v>45</v>
      </c>
      <c r="V583" t="s">
        <v>52</v>
      </c>
      <c r="W583" t="s">
        <v>59</v>
      </c>
      <c r="X583" t="s">
        <v>119</v>
      </c>
      <c r="Y583" t="s">
        <v>47</v>
      </c>
      <c r="Z583" t="s">
        <v>45</v>
      </c>
      <c r="AA583" t="s">
        <v>54</v>
      </c>
      <c r="AB583" t="s">
        <v>41</v>
      </c>
      <c r="AC583" t="s">
        <v>71</v>
      </c>
      <c r="AD583" t="s">
        <v>41</v>
      </c>
      <c r="AE583" t="s">
        <v>45</v>
      </c>
      <c r="AF583" t="s">
        <v>41</v>
      </c>
      <c r="AG583" t="s">
        <v>41</v>
      </c>
      <c r="AH583" t="s">
        <v>55</v>
      </c>
      <c r="AI583" t="s">
        <v>41</v>
      </c>
    </row>
    <row r="584" spans="1:35" x14ac:dyDescent="0.25">
      <c r="A584" t="s">
        <v>88</v>
      </c>
      <c r="B584" t="s">
        <v>59</v>
      </c>
      <c r="C584" t="s">
        <v>60</v>
      </c>
      <c r="D584" t="s">
        <v>2054</v>
      </c>
      <c r="E584" t="s">
        <v>62</v>
      </c>
      <c r="F584" t="s">
        <v>41</v>
      </c>
      <c r="G584" t="s">
        <v>41</v>
      </c>
      <c r="H584" t="s">
        <v>87</v>
      </c>
      <c r="I584" t="s">
        <v>40</v>
      </c>
      <c r="J584" t="s">
        <v>476</v>
      </c>
      <c r="K584" t="s">
        <v>45</v>
      </c>
      <c r="L584" t="s">
        <v>43</v>
      </c>
      <c r="M584" t="s">
        <v>113</v>
      </c>
      <c r="N584" t="s">
        <v>47</v>
      </c>
      <c r="O584" t="s">
        <v>41</v>
      </c>
      <c r="P584" t="s">
        <v>122</v>
      </c>
      <c r="Q584" t="s">
        <v>41</v>
      </c>
      <c r="R584" t="s">
        <v>66</v>
      </c>
      <c r="S584" t="s">
        <v>2085</v>
      </c>
      <c r="T584" t="s">
        <v>2086</v>
      </c>
      <c r="U584" t="s">
        <v>40</v>
      </c>
      <c r="V584" t="s">
        <v>52</v>
      </c>
      <c r="W584" t="s">
        <v>59</v>
      </c>
      <c r="X584" t="s">
        <v>107</v>
      </c>
      <c r="Y584" t="s">
        <v>47</v>
      </c>
      <c r="Z584" t="s">
        <v>47</v>
      </c>
      <c r="AA584" t="s">
        <v>54</v>
      </c>
      <c r="AB584" t="s">
        <v>40</v>
      </c>
      <c r="AC584" t="s">
        <v>51</v>
      </c>
      <c r="AD584" t="s">
        <v>41</v>
      </c>
      <c r="AE584" t="s">
        <v>45</v>
      </c>
      <c r="AF584" t="s">
        <v>51</v>
      </c>
      <c r="AG584" t="s">
        <v>71</v>
      </c>
      <c r="AH584" t="s">
        <v>45</v>
      </c>
      <c r="AI584" t="s">
        <v>71</v>
      </c>
    </row>
    <row r="585" spans="1:35" x14ac:dyDescent="0.25">
      <c r="A585" t="s">
        <v>142</v>
      </c>
      <c r="B585" t="s">
        <v>59</v>
      </c>
      <c r="C585" t="s">
        <v>37</v>
      </c>
      <c r="D585" t="s">
        <v>2087</v>
      </c>
      <c r="E585" t="s">
        <v>39</v>
      </c>
      <c r="F585" t="s">
        <v>51</v>
      </c>
      <c r="G585" t="s">
        <v>41</v>
      </c>
      <c r="H585" t="s">
        <v>42</v>
      </c>
      <c r="I585" t="s">
        <v>40</v>
      </c>
      <c r="J585" t="s">
        <v>2088</v>
      </c>
      <c r="K585" t="s">
        <v>45</v>
      </c>
      <c r="L585" t="s">
        <v>43</v>
      </c>
      <c r="M585" t="s">
        <v>146</v>
      </c>
      <c r="N585" t="s">
        <v>45</v>
      </c>
      <c r="O585" t="s">
        <v>41</v>
      </c>
      <c r="P585" t="s">
        <v>46</v>
      </c>
      <c r="Q585" t="s">
        <v>40</v>
      </c>
      <c r="R585" t="s">
        <v>66</v>
      </c>
      <c r="S585" t="s">
        <v>2089</v>
      </c>
      <c r="T585" t="s">
        <v>2090</v>
      </c>
      <c r="U585" t="s">
        <v>57</v>
      </c>
      <c r="V585" t="s">
        <v>52</v>
      </c>
      <c r="W585" t="s">
        <v>59</v>
      </c>
      <c r="X585" t="s">
        <v>125</v>
      </c>
      <c r="Y585" t="s">
        <v>45</v>
      </c>
      <c r="Z585" t="s">
        <v>41</v>
      </c>
      <c r="AA585" t="s">
        <v>54</v>
      </c>
      <c r="AB585" t="s">
        <v>40</v>
      </c>
      <c r="AC585" t="s">
        <v>56</v>
      </c>
      <c r="AD585" t="s">
        <v>40</v>
      </c>
      <c r="AE585" t="s">
        <v>45</v>
      </c>
      <c r="AF585" t="s">
        <v>45</v>
      </c>
      <c r="AG585" t="s">
        <v>41</v>
      </c>
      <c r="AH585" t="s">
        <v>40</v>
      </c>
      <c r="AI585" t="s">
        <v>41</v>
      </c>
    </row>
    <row r="586" spans="1:35" x14ac:dyDescent="0.25">
      <c r="A586" t="s">
        <v>204</v>
      </c>
      <c r="B586" t="s">
        <v>59</v>
      </c>
      <c r="C586" t="s">
        <v>60</v>
      </c>
      <c r="D586" t="s">
        <v>1341</v>
      </c>
      <c r="E586" t="s">
        <v>62</v>
      </c>
      <c r="F586" t="s">
        <v>51</v>
      </c>
      <c r="G586" t="s">
        <v>45</v>
      </c>
      <c r="H586" t="s">
        <v>42</v>
      </c>
      <c r="I586" t="s">
        <v>40</v>
      </c>
      <c r="J586" t="s">
        <v>127</v>
      </c>
      <c r="K586" t="s">
        <v>41</v>
      </c>
      <c r="L586" t="s">
        <v>63</v>
      </c>
      <c r="M586" t="s">
        <v>375</v>
      </c>
      <c r="N586" t="s">
        <v>45</v>
      </c>
      <c r="O586" t="s">
        <v>57</v>
      </c>
      <c r="P586" t="s">
        <v>169</v>
      </c>
      <c r="Q586" t="s">
        <v>47</v>
      </c>
      <c r="R586" t="s">
        <v>109</v>
      </c>
      <c r="S586" t="s">
        <v>2091</v>
      </c>
      <c r="T586" t="s">
        <v>2092</v>
      </c>
      <c r="U586" t="s">
        <v>40</v>
      </c>
      <c r="V586" t="s">
        <v>52</v>
      </c>
      <c r="W586" t="s">
        <v>59</v>
      </c>
      <c r="X586" t="s">
        <v>98</v>
      </c>
      <c r="Y586" t="s">
        <v>45</v>
      </c>
      <c r="Z586" t="s">
        <v>41</v>
      </c>
      <c r="AA586" t="s">
        <v>54</v>
      </c>
      <c r="AB586" t="s">
        <v>40</v>
      </c>
      <c r="AC586" t="s">
        <v>107</v>
      </c>
      <c r="AD586" t="s">
        <v>47</v>
      </c>
      <c r="AE586" t="s">
        <v>41</v>
      </c>
      <c r="AF586" t="s">
        <v>107</v>
      </c>
      <c r="AG586" t="s">
        <v>71</v>
      </c>
      <c r="AH586" t="s">
        <v>129</v>
      </c>
      <c r="AI586" t="s">
        <v>91</v>
      </c>
    </row>
    <row r="587" spans="1:35" x14ac:dyDescent="0.25">
      <c r="A587" t="s">
        <v>69</v>
      </c>
      <c r="B587" t="s">
        <v>36</v>
      </c>
      <c r="C587" t="s">
        <v>37</v>
      </c>
      <c r="D587" t="s">
        <v>2093</v>
      </c>
      <c r="E587" t="s">
        <v>62</v>
      </c>
      <c r="F587" t="s">
        <v>56</v>
      </c>
      <c r="G587" t="s">
        <v>45</v>
      </c>
      <c r="H587" t="s">
        <v>42</v>
      </c>
      <c r="I587" t="s">
        <v>40</v>
      </c>
      <c r="J587" t="s">
        <v>2094</v>
      </c>
      <c r="K587" t="s">
        <v>45</v>
      </c>
      <c r="L587" t="s">
        <v>63</v>
      </c>
      <c r="M587" t="s">
        <v>288</v>
      </c>
      <c r="N587" t="s">
        <v>47</v>
      </c>
      <c r="O587" t="s">
        <v>40</v>
      </c>
      <c r="P587" t="s">
        <v>76</v>
      </c>
      <c r="Q587" t="s">
        <v>40</v>
      </c>
      <c r="R587" t="s">
        <v>66</v>
      </c>
      <c r="S587" t="s">
        <v>2095</v>
      </c>
      <c r="T587" t="s">
        <v>2096</v>
      </c>
      <c r="U587" t="s">
        <v>40</v>
      </c>
      <c r="V587" t="s">
        <v>52</v>
      </c>
      <c r="W587" t="s">
        <v>36</v>
      </c>
      <c r="X587" t="s">
        <v>119</v>
      </c>
      <c r="Y587" t="s">
        <v>47</v>
      </c>
      <c r="Z587" t="s">
        <v>45</v>
      </c>
      <c r="AA587" t="s">
        <v>54</v>
      </c>
      <c r="AB587" t="s">
        <v>41</v>
      </c>
      <c r="AC587" t="s">
        <v>40</v>
      </c>
      <c r="AD587" t="s">
        <v>41</v>
      </c>
      <c r="AE587" t="s">
        <v>45</v>
      </c>
      <c r="AF587" t="s">
        <v>55</v>
      </c>
      <c r="AG587" t="s">
        <v>55</v>
      </c>
      <c r="AH587" t="s">
        <v>55</v>
      </c>
      <c r="AI587" t="s">
        <v>55</v>
      </c>
    </row>
    <row r="588" spans="1:35" x14ac:dyDescent="0.25">
      <c r="A588" t="s">
        <v>107</v>
      </c>
      <c r="B588" t="s">
        <v>59</v>
      </c>
      <c r="C588" t="s">
        <v>161</v>
      </c>
      <c r="D588" t="s">
        <v>2097</v>
      </c>
      <c r="E588" t="s">
        <v>62</v>
      </c>
      <c r="F588" t="s">
        <v>91</v>
      </c>
      <c r="G588" t="s">
        <v>45</v>
      </c>
      <c r="H588" t="s">
        <v>42</v>
      </c>
      <c r="I588" t="s">
        <v>40</v>
      </c>
      <c r="J588" t="s">
        <v>1212</v>
      </c>
      <c r="K588" t="s">
        <v>45</v>
      </c>
      <c r="L588" t="s">
        <v>63</v>
      </c>
      <c r="M588" t="s">
        <v>275</v>
      </c>
      <c r="N588" t="s">
        <v>41</v>
      </c>
      <c r="O588" t="s">
        <v>40</v>
      </c>
      <c r="P588" t="s">
        <v>76</v>
      </c>
      <c r="Q588" t="s">
        <v>41</v>
      </c>
      <c r="R588" t="s">
        <v>109</v>
      </c>
      <c r="S588" t="s">
        <v>2098</v>
      </c>
      <c r="T588" t="s">
        <v>2099</v>
      </c>
      <c r="U588" t="s">
        <v>40</v>
      </c>
      <c r="V588" t="s">
        <v>52</v>
      </c>
      <c r="W588" t="s">
        <v>59</v>
      </c>
      <c r="X588" t="s">
        <v>53</v>
      </c>
      <c r="Y588" t="s">
        <v>45</v>
      </c>
      <c r="Z588" t="s">
        <v>45</v>
      </c>
      <c r="AA588" t="s">
        <v>54</v>
      </c>
      <c r="AB588" t="s">
        <v>45</v>
      </c>
      <c r="AC588" t="s">
        <v>40</v>
      </c>
      <c r="AD588" t="s">
        <v>47</v>
      </c>
      <c r="AE588" t="s">
        <v>45</v>
      </c>
      <c r="AF588" t="s">
        <v>40</v>
      </c>
      <c r="AG588" t="s">
        <v>55</v>
      </c>
      <c r="AH588" t="s">
        <v>55</v>
      </c>
      <c r="AI588" t="s">
        <v>55</v>
      </c>
    </row>
    <row r="589" spans="1:35" x14ac:dyDescent="0.25">
      <c r="A589" t="s">
        <v>251</v>
      </c>
      <c r="B589" t="s">
        <v>59</v>
      </c>
      <c r="C589" t="s">
        <v>37</v>
      </c>
      <c r="D589" t="s">
        <v>2100</v>
      </c>
      <c r="E589" t="s">
        <v>62</v>
      </c>
      <c r="F589" t="s">
        <v>53</v>
      </c>
      <c r="G589" t="s">
        <v>47</v>
      </c>
      <c r="H589" t="s">
        <v>42</v>
      </c>
      <c r="I589" t="s">
        <v>40</v>
      </c>
      <c r="J589" t="s">
        <v>231</v>
      </c>
      <c r="K589" t="s">
        <v>47</v>
      </c>
      <c r="L589" t="s">
        <v>43</v>
      </c>
      <c r="M589" t="s">
        <v>181</v>
      </c>
      <c r="N589" t="s">
        <v>45</v>
      </c>
      <c r="O589" t="s">
        <v>41</v>
      </c>
      <c r="P589" t="s">
        <v>76</v>
      </c>
      <c r="Q589" t="s">
        <v>45</v>
      </c>
      <c r="R589" t="s">
        <v>66</v>
      </c>
      <c r="S589" t="s">
        <v>2101</v>
      </c>
      <c r="T589" t="s">
        <v>2102</v>
      </c>
      <c r="U589" t="s">
        <v>51</v>
      </c>
      <c r="V589" t="s">
        <v>52</v>
      </c>
      <c r="W589" t="s">
        <v>59</v>
      </c>
      <c r="X589" t="s">
        <v>104</v>
      </c>
      <c r="Y589" t="s">
        <v>47</v>
      </c>
      <c r="Z589" t="s">
        <v>41</v>
      </c>
      <c r="AA589" t="s">
        <v>54</v>
      </c>
      <c r="AB589" t="s">
        <v>40</v>
      </c>
      <c r="AC589" t="s">
        <v>91</v>
      </c>
      <c r="AD589" t="s">
        <v>45</v>
      </c>
      <c r="AE589" t="s">
        <v>45</v>
      </c>
      <c r="AF589" t="s">
        <v>57</v>
      </c>
      <c r="AG589" t="s">
        <v>41</v>
      </c>
      <c r="AH589" t="s">
        <v>40</v>
      </c>
      <c r="AI589" t="s">
        <v>47</v>
      </c>
    </row>
    <row r="590" spans="1:35" x14ac:dyDescent="0.25">
      <c r="A590" t="s">
        <v>151</v>
      </c>
      <c r="B590" t="s">
        <v>59</v>
      </c>
      <c r="C590" t="s">
        <v>37</v>
      </c>
      <c r="D590" t="s">
        <v>205</v>
      </c>
      <c r="E590" t="s">
        <v>62</v>
      </c>
      <c r="F590" t="s">
        <v>41</v>
      </c>
      <c r="G590" t="s">
        <v>45</v>
      </c>
      <c r="H590" t="s">
        <v>87</v>
      </c>
      <c r="I590" t="s">
        <v>40</v>
      </c>
      <c r="J590" t="s">
        <v>2103</v>
      </c>
      <c r="K590" t="s">
        <v>45</v>
      </c>
      <c r="L590" t="s">
        <v>63</v>
      </c>
      <c r="M590" t="s">
        <v>292</v>
      </c>
      <c r="N590" t="s">
        <v>45</v>
      </c>
      <c r="O590" t="s">
        <v>47</v>
      </c>
      <c r="P590" t="s">
        <v>186</v>
      </c>
      <c r="Q590" t="s">
        <v>45</v>
      </c>
      <c r="R590" t="s">
        <v>66</v>
      </c>
      <c r="S590" t="s">
        <v>2104</v>
      </c>
      <c r="T590" t="s">
        <v>2105</v>
      </c>
      <c r="U590" t="s">
        <v>57</v>
      </c>
      <c r="V590" t="s">
        <v>52</v>
      </c>
      <c r="W590" t="s">
        <v>59</v>
      </c>
      <c r="X590" t="s">
        <v>128</v>
      </c>
      <c r="Y590" t="s">
        <v>45</v>
      </c>
      <c r="Z590" t="s">
        <v>47</v>
      </c>
      <c r="AA590" t="s">
        <v>54</v>
      </c>
      <c r="AB590" t="s">
        <v>55</v>
      </c>
      <c r="AC590" t="s">
        <v>105</v>
      </c>
      <c r="AD590" t="s">
        <v>45</v>
      </c>
      <c r="AE590" t="s">
        <v>45</v>
      </c>
      <c r="AF590" t="s">
        <v>47</v>
      </c>
      <c r="AG590" t="s">
        <v>45</v>
      </c>
      <c r="AH590" t="s">
        <v>55</v>
      </c>
      <c r="AI590" t="s">
        <v>45</v>
      </c>
    </row>
    <row r="591" spans="1:35" x14ac:dyDescent="0.25">
      <c r="A591" t="s">
        <v>133</v>
      </c>
      <c r="B591" t="s">
        <v>36</v>
      </c>
      <c r="C591" t="s">
        <v>37</v>
      </c>
      <c r="D591" t="s">
        <v>2080</v>
      </c>
      <c r="E591" t="s">
        <v>62</v>
      </c>
      <c r="F591" t="s">
        <v>40</v>
      </c>
      <c r="G591" t="s">
        <v>41</v>
      </c>
      <c r="H591" t="s">
        <v>42</v>
      </c>
      <c r="I591" t="s">
        <v>40</v>
      </c>
      <c r="J591" t="s">
        <v>2106</v>
      </c>
      <c r="K591" t="s">
        <v>41</v>
      </c>
      <c r="L591" t="s">
        <v>43</v>
      </c>
      <c r="M591" t="s">
        <v>120</v>
      </c>
      <c r="N591" t="s">
        <v>41</v>
      </c>
      <c r="O591" t="s">
        <v>40</v>
      </c>
      <c r="P591" t="s">
        <v>76</v>
      </c>
      <c r="Q591" t="s">
        <v>40</v>
      </c>
      <c r="R591" t="s">
        <v>66</v>
      </c>
      <c r="S591" t="s">
        <v>2107</v>
      </c>
      <c r="T591" t="s">
        <v>2108</v>
      </c>
      <c r="U591" t="s">
        <v>40</v>
      </c>
      <c r="V591" t="s">
        <v>52</v>
      </c>
      <c r="W591" t="s">
        <v>36</v>
      </c>
      <c r="X591" t="s">
        <v>53</v>
      </c>
      <c r="Y591" t="s">
        <v>45</v>
      </c>
      <c r="Z591" t="s">
        <v>47</v>
      </c>
      <c r="AA591" t="s">
        <v>54</v>
      </c>
      <c r="AB591" t="s">
        <v>40</v>
      </c>
      <c r="AC591" t="s">
        <v>40</v>
      </c>
      <c r="AD591" t="s">
        <v>40</v>
      </c>
      <c r="AE591" t="s">
        <v>45</v>
      </c>
      <c r="AF591" t="s">
        <v>40</v>
      </c>
      <c r="AG591" t="s">
        <v>55</v>
      </c>
      <c r="AH591" t="s">
        <v>55</v>
      </c>
      <c r="AI591" t="s">
        <v>55</v>
      </c>
    </row>
    <row r="592" spans="1:35" x14ac:dyDescent="0.25">
      <c r="A592" t="s">
        <v>80</v>
      </c>
      <c r="B592" t="s">
        <v>59</v>
      </c>
      <c r="C592" t="s">
        <v>37</v>
      </c>
      <c r="D592" t="s">
        <v>2109</v>
      </c>
      <c r="E592" t="s">
        <v>62</v>
      </c>
      <c r="F592" t="s">
        <v>71</v>
      </c>
      <c r="G592" t="s">
        <v>45</v>
      </c>
      <c r="H592" t="s">
        <v>87</v>
      </c>
      <c r="I592" t="s">
        <v>40</v>
      </c>
      <c r="J592" t="s">
        <v>1901</v>
      </c>
      <c r="K592" t="s">
        <v>45</v>
      </c>
      <c r="L592" t="s">
        <v>63</v>
      </c>
      <c r="M592" t="s">
        <v>58</v>
      </c>
      <c r="N592" t="s">
        <v>45</v>
      </c>
      <c r="O592" t="s">
        <v>45</v>
      </c>
      <c r="P592" t="s">
        <v>186</v>
      </c>
      <c r="Q592" t="s">
        <v>45</v>
      </c>
      <c r="R592" t="s">
        <v>66</v>
      </c>
      <c r="S592" t="s">
        <v>2110</v>
      </c>
      <c r="T592" t="s">
        <v>2111</v>
      </c>
      <c r="U592" t="s">
        <v>55</v>
      </c>
      <c r="V592" t="s">
        <v>52</v>
      </c>
      <c r="W592" t="s">
        <v>59</v>
      </c>
      <c r="X592" t="s">
        <v>53</v>
      </c>
      <c r="Y592" t="s">
        <v>45</v>
      </c>
      <c r="Z592" t="s">
        <v>47</v>
      </c>
      <c r="AA592" t="s">
        <v>54</v>
      </c>
      <c r="AB592" t="s">
        <v>55</v>
      </c>
      <c r="AC592" t="s">
        <v>129</v>
      </c>
      <c r="AD592" t="s">
        <v>45</v>
      </c>
      <c r="AE592" t="s">
        <v>47</v>
      </c>
      <c r="AF592" t="s">
        <v>98</v>
      </c>
      <c r="AG592" t="s">
        <v>91</v>
      </c>
      <c r="AH592" t="s">
        <v>45</v>
      </c>
      <c r="AI592" t="s">
        <v>71</v>
      </c>
    </row>
    <row r="593" spans="1:35" x14ac:dyDescent="0.25">
      <c r="A593" t="s">
        <v>80</v>
      </c>
      <c r="B593" t="s">
        <v>36</v>
      </c>
      <c r="C593" t="s">
        <v>37</v>
      </c>
      <c r="D593" t="s">
        <v>436</v>
      </c>
      <c r="E593" t="s">
        <v>39</v>
      </c>
      <c r="F593" t="s">
        <v>128</v>
      </c>
      <c r="G593" t="s">
        <v>45</v>
      </c>
      <c r="H593" t="s">
        <v>206</v>
      </c>
      <c r="I593" t="s">
        <v>40</v>
      </c>
      <c r="J593" t="s">
        <v>2112</v>
      </c>
      <c r="K593" t="s">
        <v>40</v>
      </c>
      <c r="L593" t="s">
        <v>43</v>
      </c>
      <c r="M593" t="s">
        <v>1214</v>
      </c>
      <c r="N593" t="s">
        <v>45</v>
      </c>
      <c r="O593" t="s">
        <v>41</v>
      </c>
      <c r="P593" t="s">
        <v>46</v>
      </c>
      <c r="Q593" t="s">
        <v>40</v>
      </c>
      <c r="R593" t="s">
        <v>48</v>
      </c>
      <c r="S593" t="s">
        <v>2113</v>
      </c>
      <c r="T593" t="s">
        <v>2114</v>
      </c>
      <c r="U593" t="s">
        <v>57</v>
      </c>
      <c r="V593" t="s">
        <v>52</v>
      </c>
      <c r="W593" t="s">
        <v>59</v>
      </c>
      <c r="X593" t="s">
        <v>79</v>
      </c>
      <c r="Y593" t="s">
        <v>45</v>
      </c>
      <c r="Z593" t="s">
        <v>45</v>
      </c>
      <c r="AA593" t="s">
        <v>54</v>
      </c>
      <c r="AB593" t="s">
        <v>55</v>
      </c>
      <c r="AC593" t="s">
        <v>56</v>
      </c>
      <c r="AD593" t="s">
        <v>45</v>
      </c>
      <c r="AE593" t="s">
        <v>45</v>
      </c>
      <c r="AF593" t="s">
        <v>45</v>
      </c>
      <c r="AG593" t="s">
        <v>41</v>
      </c>
      <c r="AH593" t="s">
        <v>55</v>
      </c>
      <c r="AI593" t="s">
        <v>41</v>
      </c>
    </row>
    <row r="594" spans="1:35" x14ac:dyDescent="0.25">
      <c r="A594" t="s">
        <v>239</v>
      </c>
      <c r="B594" t="s">
        <v>59</v>
      </c>
      <c r="C594" t="s">
        <v>37</v>
      </c>
      <c r="D594" t="s">
        <v>668</v>
      </c>
      <c r="E594" t="s">
        <v>62</v>
      </c>
      <c r="F594" t="s">
        <v>41</v>
      </c>
      <c r="G594" t="s">
        <v>41</v>
      </c>
      <c r="H594" t="s">
        <v>74</v>
      </c>
      <c r="I594" t="s">
        <v>40</v>
      </c>
      <c r="J594" t="s">
        <v>2115</v>
      </c>
      <c r="K594" t="s">
        <v>45</v>
      </c>
      <c r="L594" t="s">
        <v>43</v>
      </c>
      <c r="M594" t="s">
        <v>80</v>
      </c>
      <c r="N594" t="s">
        <v>45</v>
      </c>
      <c r="O594" t="s">
        <v>47</v>
      </c>
      <c r="P594" t="s">
        <v>169</v>
      </c>
      <c r="Q594" t="s">
        <v>47</v>
      </c>
      <c r="R594" t="s">
        <v>66</v>
      </c>
      <c r="S594" t="s">
        <v>2116</v>
      </c>
      <c r="T594" t="s">
        <v>2117</v>
      </c>
      <c r="U594" t="s">
        <v>40</v>
      </c>
      <c r="V594" t="s">
        <v>52</v>
      </c>
      <c r="W594" t="s">
        <v>36</v>
      </c>
      <c r="X594" t="s">
        <v>53</v>
      </c>
      <c r="Y594" t="s">
        <v>45</v>
      </c>
      <c r="Z594" t="s">
        <v>45</v>
      </c>
      <c r="AA594" t="s">
        <v>54</v>
      </c>
      <c r="AB594" t="s">
        <v>40</v>
      </c>
      <c r="AC594" t="s">
        <v>139</v>
      </c>
      <c r="AD594" t="s">
        <v>45</v>
      </c>
      <c r="AE594" t="s">
        <v>41</v>
      </c>
      <c r="AF594" t="s">
        <v>139</v>
      </c>
      <c r="AG594" t="s">
        <v>129</v>
      </c>
      <c r="AH594" t="s">
        <v>45</v>
      </c>
      <c r="AI594" t="s">
        <v>55</v>
      </c>
    </row>
    <row r="595" spans="1:35" x14ac:dyDescent="0.25">
      <c r="A595" t="s">
        <v>120</v>
      </c>
      <c r="B595" t="s">
        <v>59</v>
      </c>
      <c r="C595" t="s">
        <v>37</v>
      </c>
      <c r="D595" t="s">
        <v>2118</v>
      </c>
      <c r="E595" t="s">
        <v>62</v>
      </c>
      <c r="F595" t="s">
        <v>40</v>
      </c>
      <c r="G595" t="s">
        <v>45</v>
      </c>
      <c r="H595" t="s">
        <v>74</v>
      </c>
      <c r="I595" t="s">
        <v>40</v>
      </c>
      <c r="J595" t="s">
        <v>1774</v>
      </c>
      <c r="K595" t="s">
        <v>45</v>
      </c>
      <c r="L595" t="s">
        <v>43</v>
      </c>
      <c r="M595" t="s">
        <v>126</v>
      </c>
      <c r="N595" t="s">
        <v>45</v>
      </c>
      <c r="O595" t="s">
        <v>41</v>
      </c>
      <c r="P595" t="s">
        <v>116</v>
      </c>
      <c r="Q595" t="s">
        <v>41</v>
      </c>
      <c r="R595" t="s">
        <v>66</v>
      </c>
      <c r="S595" t="s">
        <v>824</v>
      </c>
      <c r="T595" t="s">
        <v>2119</v>
      </c>
      <c r="U595" t="s">
        <v>55</v>
      </c>
      <c r="V595" t="s">
        <v>52</v>
      </c>
      <c r="W595" t="s">
        <v>59</v>
      </c>
      <c r="X595" t="s">
        <v>79</v>
      </c>
      <c r="Y595" t="s">
        <v>45</v>
      </c>
      <c r="Z595" t="s">
        <v>40</v>
      </c>
      <c r="AA595" t="s">
        <v>54</v>
      </c>
      <c r="AB595" t="s">
        <v>40</v>
      </c>
      <c r="AC595" t="s">
        <v>70</v>
      </c>
      <c r="AD595" t="s">
        <v>41</v>
      </c>
      <c r="AE595" t="s">
        <v>45</v>
      </c>
      <c r="AF595" t="s">
        <v>91</v>
      </c>
      <c r="AG595" t="s">
        <v>71</v>
      </c>
      <c r="AH595" t="s">
        <v>55</v>
      </c>
      <c r="AI595" t="s">
        <v>57</v>
      </c>
    </row>
    <row r="596" spans="1:35" x14ac:dyDescent="0.25">
      <c r="A596" t="s">
        <v>133</v>
      </c>
      <c r="B596" t="s">
        <v>59</v>
      </c>
      <c r="C596" t="s">
        <v>37</v>
      </c>
      <c r="D596" t="s">
        <v>2120</v>
      </c>
      <c r="E596" t="s">
        <v>62</v>
      </c>
      <c r="F596" t="s">
        <v>69</v>
      </c>
      <c r="G596" t="s">
        <v>41</v>
      </c>
      <c r="H596" t="s">
        <v>42</v>
      </c>
      <c r="I596" t="s">
        <v>40</v>
      </c>
      <c r="J596" t="s">
        <v>2121</v>
      </c>
      <c r="K596" t="s">
        <v>45</v>
      </c>
      <c r="L596" t="s">
        <v>63</v>
      </c>
      <c r="M596" t="s">
        <v>101</v>
      </c>
      <c r="N596" t="s">
        <v>47</v>
      </c>
      <c r="O596" t="s">
        <v>40</v>
      </c>
      <c r="P596" t="s">
        <v>65</v>
      </c>
      <c r="Q596" t="s">
        <v>45</v>
      </c>
      <c r="R596" t="s">
        <v>66</v>
      </c>
      <c r="S596" t="s">
        <v>2122</v>
      </c>
      <c r="T596" t="s">
        <v>2123</v>
      </c>
      <c r="U596" t="s">
        <v>40</v>
      </c>
      <c r="V596" t="s">
        <v>52</v>
      </c>
      <c r="W596" t="s">
        <v>59</v>
      </c>
      <c r="X596" t="s">
        <v>107</v>
      </c>
      <c r="Y596" t="s">
        <v>47</v>
      </c>
      <c r="Z596" t="s">
        <v>45</v>
      </c>
      <c r="AA596" t="s">
        <v>54</v>
      </c>
      <c r="AB596" t="s">
        <v>40</v>
      </c>
      <c r="AC596" t="s">
        <v>70</v>
      </c>
      <c r="AD596" t="s">
        <v>45</v>
      </c>
      <c r="AE596" t="s">
        <v>45</v>
      </c>
      <c r="AF596" t="s">
        <v>70</v>
      </c>
      <c r="AG596" t="s">
        <v>71</v>
      </c>
      <c r="AH596" t="s">
        <v>55</v>
      </c>
      <c r="AI596" t="s">
        <v>71</v>
      </c>
    </row>
    <row r="597" spans="1:35" x14ac:dyDescent="0.25">
      <c r="A597" t="s">
        <v>197</v>
      </c>
      <c r="B597" t="s">
        <v>36</v>
      </c>
      <c r="C597" t="s">
        <v>37</v>
      </c>
      <c r="D597" t="s">
        <v>874</v>
      </c>
      <c r="E597" t="s">
        <v>62</v>
      </c>
      <c r="F597" t="s">
        <v>41</v>
      </c>
      <c r="G597" t="s">
        <v>47</v>
      </c>
      <c r="H597" t="s">
        <v>42</v>
      </c>
      <c r="I597" t="s">
        <v>40</v>
      </c>
      <c r="J597" t="s">
        <v>2124</v>
      </c>
      <c r="K597" t="s">
        <v>47</v>
      </c>
      <c r="L597" t="s">
        <v>63</v>
      </c>
      <c r="M597" t="s">
        <v>137</v>
      </c>
      <c r="N597" t="s">
        <v>45</v>
      </c>
      <c r="O597" t="s">
        <v>57</v>
      </c>
      <c r="P597" t="s">
        <v>186</v>
      </c>
      <c r="Q597" t="s">
        <v>41</v>
      </c>
      <c r="R597" t="s">
        <v>48</v>
      </c>
      <c r="S597" t="s">
        <v>2125</v>
      </c>
      <c r="T597" t="s">
        <v>2126</v>
      </c>
      <c r="U597" t="s">
        <v>71</v>
      </c>
      <c r="V597" t="s">
        <v>52</v>
      </c>
      <c r="W597" t="s">
        <v>36</v>
      </c>
      <c r="X597" t="s">
        <v>92</v>
      </c>
      <c r="Y597" t="s">
        <v>45</v>
      </c>
      <c r="Z597" t="s">
        <v>47</v>
      </c>
      <c r="AA597" t="s">
        <v>54</v>
      </c>
      <c r="AB597" t="s">
        <v>55</v>
      </c>
      <c r="AC597" t="s">
        <v>88</v>
      </c>
      <c r="AD597" t="s">
        <v>41</v>
      </c>
      <c r="AE597" t="s">
        <v>45</v>
      </c>
      <c r="AF597" t="s">
        <v>137</v>
      </c>
      <c r="AG597" t="s">
        <v>79</v>
      </c>
      <c r="AH597" t="s">
        <v>98</v>
      </c>
      <c r="AI597" t="s">
        <v>51</v>
      </c>
    </row>
    <row r="598" spans="1:35" x14ac:dyDescent="0.25">
      <c r="A598" t="s">
        <v>126</v>
      </c>
      <c r="B598" t="s">
        <v>59</v>
      </c>
      <c r="C598" t="s">
        <v>37</v>
      </c>
      <c r="D598" t="s">
        <v>2127</v>
      </c>
      <c r="E598" t="s">
        <v>62</v>
      </c>
      <c r="F598" t="s">
        <v>40</v>
      </c>
      <c r="G598" t="s">
        <v>47</v>
      </c>
      <c r="H598" t="s">
        <v>42</v>
      </c>
      <c r="I598" t="s">
        <v>40</v>
      </c>
      <c r="J598" t="s">
        <v>2128</v>
      </c>
      <c r="K598" t="s">
        <v>47</v>
      </c>
      <c r="L598" t="s">
        <v>43</v>
      </c>
      <c r="M598" t="s">
        <v>88</v>
      </c>
      <c r="N598" t="s">
        <v>47</v>
      </c>
      <c r="O598" t="s">
        <v>40</v>
      </c>
      <c r="P598" t="s">
        <v>65</v>
      </c>
      <c r="Q598" t="s">
        <v>45</v>
      </c>
      <c r="R598" t="s">
        <v>48</v>
      </c>
      <c r="S598" t="s">
        <v>2129</v>
      </c>
      <c r="T598" t="s">
        <v>2130</v>
      </c>
      <c r="U598" t="s">
        <v>45</v>
      </c>
      <c r="V598" t="s">
        <v>52</v>
      </c>
      <c r="W598" t="s">
        <v>59</v>
      </c>
      <c r="X598" t="s">
        <v>98</v>
      </c>
      <c r="Y598" t="s">
        <v>45</v>
      </c>
      <c r="Z598" t="s">
        <v>45</v>
      </c>
      <c r="AA598" t="s">
        <v>54</v>
      </c>
      <c r="AB598" t="s">
        <v>55</v>
      </c>
      <c r="AC598" t="s">
        <v>71</v>
      </c>
      <c r="AD598" t="s">
        <v>55</v>
      </c>
      <c r="AE598" t="s">
        <v>45</v>
      </c>
      <c r="AF598" t="s">
        <v>41</v>
      </c>
      <c r="AG598" t="s">
        <v>41</v>
      </c>
      <c r="AH598" t="s">
        <v>41</v>
      </c>
      <c r="AI598" t="s">
        <v>41</v>
      </c>
    </row>
    <row r="599" spans="1:35" x14ac:dyDescent="0.25">
      <c r="A599" t="s">
        <v>204</v>
      </c>
      <c r="B599" t="s">
        <v>59</v>
      </c>
      <c r="C599" t="s">
        <v>37</v>
      </c>
      <c r="D599" t="s">
        <v>2131</v>
      </c>
      <c r="E599" t="s">
        <v>62</v>
      </c>
      <c r="F599" t="s">
        <v>40</v>
      </c>
      <c r="G599" t="s">
        <v>41</v>
      </c>
      <c r="H599" t="s">
        <v>42</v>
      </c>
      <c r="I599" t="s">
        <v>40</v>
      </c>
      <c r="J599" t="s">
        <v>480</v>
      </c>
      <c r="K599" t="s">
        <v>47</v>
      </c>
      <c r="L599" t="s">
        <v>43</v>
      </c>
      <c r="M599" t="s">
        <v>234</v>
      </c>
      <c r="N599" t="s">
        <v>41</v>
      </c>
      <c r="O599" t="s">
        <v>41</v>
      </c>
      <c r="P599" t="s">
        <v>116</v>
      </c>
      <c r="Q599" t="s">
        <v>47</v>
      </c>
      <c r="R599" t="s">
        <v>66</v>
      </c>
      <c r="S599" t="s">
        <v>2132</v>
      </c>
      <c r="T599" t="s">
        <v>1677</v>
      </c>
      <c r="U599" t="s">
        <v>91</v>
      </c>
      <c r="V599" t="s">
        <v>52</v>
      </c>
      <c r="W599" t="s">
        <v>36</v>
      </c>
      <c r="X599" t="s">
        <v>98</v>
      </c>
      <c r="Y599" t="s">
        <v>45</v>
      </c>
      <c r="Z599" t="s">
        <v>47</v>
      </c>
      <c r="AA599" t="s">
        <v>54</v>
      </c>
      <c r="AB599" t="s">
        <v>40</v>
      </c>
      <c r="AC599" t="s">
        <v>51</v>
      </c>
      <c r="AD599" t="s">
        <v>47</v>
      </c>
      <c r="AE599" t="s">
        <v>45</v>
      </c>
      <c r="AF599" t="s">
        <v>47</v>
      </c>
      <c r="AG599" t="s">
        <v>45</v>
      </c>
      <c r="AH599" t="s">
        <v>55</v>
      </c>
      <c r="AI599" t="s">
        <v>41</v>
      </c>
    </row>
    <row r="600" spans="1:35" x14ac:dyDescent="0.25">
      <c r="A600" t="s">
        <v>149</v>
      </c>
      <c r="B600" t="s">
        <v>36</v>
      </c>
      <c r="C600" t="s">
        <v>37</v>
      </c>
      <c r="D600" t="s">
        <v>243</v>
      </c>
      <c r="E600" t="s">
        <v>62</v>
      </c>
      <c r="F600" t="s">
        <v>41</v>
      </c>
      <c r="G600" t="s">
        <v>47</v>
      </c>
      <c r="H600" t="s">
        <v>87</v>
      </c>
      <c r="I600" t="s">
        <v>40</v>
      </c>
      <c r="J600" t="s">
        <v>1695</v>
      </c>
      <c r="K600" t="s">
        <v>45</v>
      </c>
      <c r="L600" t="s">
        <v>63</v>
      </c>
      <c r="M600" t="s">
        <v>213</v>
      </c>
      <c r="N600" t="s">
        <v>45</v>
      </c>
      <c r="O600" t="s">
        <v>40</v>
      </c>
      <c r="P600" t="s">
        <v>65</v>
      </c>
      <c r="Q600" t="s">
        <v>45</v>
      </c>
      <c r="R600" t="s">
        <v>48</v>
      </c>
      <c r="S600" t="s">
        <v>2133</v>
      </c>
      <c r="T600" t="s">
        <v>2134</v>
      </c>
      <c r="U600" t="s">
        <v>56</v>
      </c>
      <c r="V600" t="s">
        <v>52</v>
      </c>
      <c r="W600" t="s">
        <v>59</v>
      </c>
      <c r="X600" t="s">
        <v>125</v>
      </c>
      <c r="Y600" t="s">
        <v>45</v>
      </c>
      <c r="Z600" t="s">
        <v>47</v>
      </c>
      <c r="AA600" t="s">
        <v>54</v>
      </c>
      <c r="AB600" t="s">
        <v>55</v>
      </c>
      <c r="AC600" t="s">
        <v>57</v>
      </c>
      <c r="AD600" t="s">
        <v>45</v>
      </c>
      <c r="AE600" t="s">
        <v>41</v>
      </c>
      <c r="AF600" t="s">
        <v>41</v>
      </c>
      <c r="AG600" t="s">
        <v>41</v>
      </c>
      <c r="AH600" t="s">
        <v>41</v>
      </c>
      <c r="AI600" t="s">
        <v>40</v>
      </c>
    </row>
    <row r="601" spans="1:35" x14ac:dyDescent="0.25">
      <c r="A601" t="s">
        <v>120</v>
      </c>
      <c r="B601" t="s">
        <v>59</v>
      </c>
      <c r="C601" t="s">
        <v>37</v>
      </c>
      <c r="D601" t="s">
        <v>2135</v>
      </c>
      <c r="E601" t="s">
        <v>397</v>
      </c>
      <c r="F601" t="s">
        <v>98</v>
      </c>
      <c r="G601" t="s">
        <v>45</v>
      </c>
      <c r="H601" t="s">
        <v>397</v>
      </c>
      <c r="I601" t="s">
        <v>40</v>
      </c>
      <c r="J601" t="s">
        <v>888</v>
      </c>
      <c r="K601" t="s">
        <v>45</v>
      </c>
      <c r="L601" t="s">
        <v>63</v>
      </c>
      <c r="M601" t="s">
        <v>120</v>
      </c>
      <c r="N601" t="s">
        <v>45</v>
      </c>
      <c r="O601" t="s">
        <v>40</v>
      </c>
      <c r="P601" t="s">
        <v>397</v>
      </c>
      <c r="Q601" t="s">
        <v>41</v>
      </c>
      <c r="R601" t="s">
        <v>66</v>
      </c>
      <c r="S601" t="s">
        <v>2136</v>
      </c>
      <c r="T601" t="s">
        <v>2137</v>
      </c>
      <c r="U601" t="s">
        <v>47</v>
      </c>
      <c r="V601" t="s">
        <v>52</v>
      </c>
      <c r="W601" t="s">
        <v>59</v>
      </c>
      <c r="X601" t="s">
        <v>98</v>
      </c>
      <c r="Y601" t="s">
        <v>45</v>
      </c>
      <c r="Z601" t="s">
        <v>41</v>
      </c>
      <c r="AA601" t="s">
        <v>54</v>
      </c>
      <c r="AB601" t="s">
        <v>40</v>
      </c>
      <c r="AC601" t="s">
        <v>51</v>
      </c>
      <c r="AD601" t="s">
        <v>41</v>
      </c>
      <c r="AE601" t="s">
        <v>45</v>
      </c>
      <c r="AF601" t="s">
        <v>57</v>
      </c>
      <c r="AG601" t="s">
        <v>41</v>
      </c>
      <c r="AH601" t="s">
        <v>55</v>
      </c>
      <c r="AI601" t="s">
        <v>47</v>
      </c>
    </row>
    <row r="602" spans="1:35" x14ac:dyDescent="0.25">
      <c r="A602" t="s">
        <v>93</v>
      </c>
      <c r="B602" t="s">
        <v>59</v>
      </c>
      <c r="C602" t="s">
        <v>37</v>
      </c>
      <c r="D602" t="s">
        <v>2138</v>
      </c>
      <c r="E602" t="s">
        <v>62</v>
      </c>
      <c r="F602" t="s">
        <v>47</v>
      </c>
      <c r="G602" t="s">
        <v>45</v>
      </c>
      <c r="H602" t="s">
        <v>42</v>
      </c>
      <c r="I602" t="s">
        <v>40</v>
      </c>
      <c r="J602" t="s">
        <v>2139</v>
      </c>
      <c r="K602" t="s">
        <v>45</v>
      </c>
      <c r="L602" t="s">
        <v>43</v>
      </c>
      <c r="M602" t="s">
        <v>284</v>
      </c>
      <c r="N602" t="s">
        <v>41</v>
      </c>
      <c r="O602" t="s">
        <v>41</v>
      </c>
      <c r="P602" t="s">
        <v>116</v>
      </c>
      <c r="Q602" t="s">
        <v>45</v>
      </c>
      <c r="R602" t="s">
        <v>66</v>
      </c>
      <c r="S602" t="s">
        <v>329</v>
      </c>
      <c r="T602" t="s">
        <v>2140</v>
      </c>
      <c r="U602" t="s">
        <v>40</v>
      </c>
      <c r="V602" t="s">
        <v>52</v>
      </c>
      <c r="W602" t="s">
        <v>59</v>
      </c>
      <c r="X602" t="s">
        <v>92</v>
      </c>
      <c r="Y602" t="s">
        <v>45</v>
      </c>
      <c r="Z602" t="s">
        <v>45</v>
      </c>
      <c r="AA602" t="s">
        <v>54</v>
      </c>
      <c r="AB602" t="s">
        <v>40</v>
      </c>
      <c r="AC602" t="s">
        <v>129</v>
      </c>
      <c r="AD602" t="s">
        <v>45</v>
      </c>
      <c r="AE602" t="s">
        <v>45</v>
      </c>
      <c r="AF602" t="s">
        <v>129</v>
      </c>
      <c r="AG602" t="s">
        <v>98</v>
      </c>
      <c r="AH602" t="s">
        <v>56</v>
      </c>
      <c r="AI602" t="s">
        <v>51</v>
      </c>
    </row>
    <row r="603" spans="1:35" x14ac:dyDescent="0.25">
      <c r="A603" t="s">
        <v>88</v>
      </c>
      <c r="B603" t="s">
        <v>59</v>
      </c>
      <c r="C603" t="s">
        <v>60</v>
      </c>
      <c r="D603" t="s">
        <v>1921</v>
      </c>
      <c r="E603" t="s">
        <v>62</v>
      </c>
      <c r="F603" t="s">
        <v>128</v>
      </c>
      <c r="G603" t="s">
        <v>47</v>
      </c>
      <c r="H603" t="s">
        <v>87</v>
      </c>
      <c r="I603" t="s">
        <v>40</v>
      </c>
      <c r="J603" t="s">
        <v>1014</v>
      </c>
      <c r="K603" t="s">
        <v>40</v>
      </c>
      <c r="L603" t="s">
        <v>63</v>
      </c>
      <c r="M603" t="s">
        <v>155</v>
      </c>
      <c r="N603" t="s">
        <v>41</v>
      </c>
      <c r="O603" t="s">
        <v>41</v>
      </c>
      <c r="P603" t="s">
        <v>76</v>
      </c>
      <c r="Q603" t="s">
        <v>45</v>
      </c>
      <c r="R603" t="s">
        <v>48</v>
      </c>
      <c r="S603" t="s">
        <v>2141</v>
      </c>
      <c r="T603" t="s">
        <v>2142</v>
      </c>
      <c r="U603" t="s">
        <v>56</v>
      </c>
      <c r="V603" t="s">
        <v>52</v>
      </c>
      <c r="W603" t="s">
        <v>59</v>
      </c>
      <c r="X603" t="s">
        <v>129</v>
      </c>
      <c r="Y603" t="s">
        <v>45</v>
      </c>
      <c r="Z603" t="s">
        <v>47</v>
      </c>
      <c r="AA603" t="s">
        <v>54</v>
      </c>
      <c r="AB603" t="s">
        <v>55</v>
      </c>
      <c r="AC603" t="s">
        <v>70</v>
      </c>
      <c r="AD603" t="s">
        <v>56</v>
      </c>
      <c r="AE603" t="s">
        <v>45</v>
      </c>
      <c r="AF603" t="s">
        <v>40</v>
      </c>
      <c r="AG603" t="s">
        <v>55</v>
      </c>
      <c r="AH603" t="s">
        <v>55</v>
      </c>
      <c r="AI603" t="s">
        <v>55</v>
      </c>
    </row>
    <row r="604" spans="1:35" x14ac:dyDescent="0.25">
      <c r="A604" t="s">
        <v>105</v>
      </c>
      <c r="B604" t="s">
        <v>59</v>
      </c>
      <c r="C604" t="s">
        <v>37</v>
      </c>
      <c r="D604" t="s">
        <v>2143</v>
      </c>
      <c r="E604" t="s">
        <v>62</v>
      </c>
      <c r="F604" t="s">
        <v>41</v>
      </c>
      <c r="G604" t="s">
        <v>45</v>
      </c>
      <c r="H604" t="s">
        <v>87</v>
      </c>
      <c r="I604" t="s">
        <v>40</v>
      </c>
      <c r="J604" t="s">
        <v>1057</v>
      </c>
      <c r="K604" t="s">
        <v>45</v>
      </c>
      <c r="L604" t="s">
        <v>43</v>
      </c>
      <c r="M604" t="s">
        <v>251</v>
      </c>
      <c r="N604" t="s">
        <v>41</v>
      </c>
      <c r="O604" t="s">
        <v>41</v>
      </c>
      <c r="P604" t="s">
        <v>116</v>
      </c>
      <c r="Q604" t="s">
        <v>47</v>
      </c>
      <c r="R604" t="s">
        <v>48</v>
      </c>
      <c r="S604" t="s">
        <v>2144</v>
      </c>
      <c r="T604" t="s">
        <v>2145</v>
      </c>
      <c r="U604" t="s">
        <v>57</v>
      </c>
      <c r="V604" t="s">
        <v>52</v>
      </c>
      <c r="W604" t="s">
        <v>36</v>
      </c>
      <c r="X604" t="s">
        <v>107</v>
      </c>
      <c r="Y604" t="s">
        <v>47</v>
      </c>
      <c r="Z604" t="s">
        <v>41</v>
      </c>
      <c r="AA604" t="s">
        <v>54</v>
      </c>
      <c r="AB604" t="s">
        <v>55</v>
      </c>
      <c r="AC604" t="s">
        <v>92</v>
      </c>
      <c r="AD604" t="s">
        <v>47</v>
      </c>
      <c r="AE604" t="s">
        <v>41</v>
      </c>
      <c r="AF604" t="s">
        <v>55</v>
      </c>
      <c r="AG604" t="s">
        <v>55</v>
      </c>
      <c r="AH604" t="s">
        <v>55</v>
      </c>
      <c r="AI604" t="s">
        <v>55</v>
      </c>
    </row>
    <row r="605" spans="1:35" x14ac:dyDescent="0.25">
      <c r="A605" t="s">
        <v>174</v>
      </c>
      <c r="B605" t="s">
        <v>59</v>
      </c>
      <c r="C605" t="s">
        <v>37</v>
      </c>
      <c r="D605" t="s">
        <v>793</v>
      </c>
      <c r="E605" t="s">
        <v>62</v>
      </c>
      <c r="F605" t="s">
        <v>41</v>
      </c>
      <c r="G605" t="s">
        <v>45</v>
      </c>
      <c r="H605" t="s">
        <v>42</v>
      </c>
      <c r="I605" t="s">
        <v>40</v>
      </c>
      <c r="J605" t="s">
        <v>2146</v>
      </c>
      <c r="K605" t="s">
        <v>41</v>
      </c>
      <c r="L605" t="s">
        <v>43</v>
      </c>
      <c r="M605" t="s">
        <v>349</v>
      </c>
      <c r="N605" t="s">
        <v>41</v>
      </c>
      <c r="O605" t="s">
        <v>40</v>
      </c>
      <c r="P605" t="s">
        <v>65</v>
      </c>
      <c r="Q605" t="s">
        <v>45</v>
      </c>
      <c r="R605" t="s">
        <v>48</v>
      </c>
      <c r="S605" t="s">
        <v>2147</v>
      </c>
      <c r="T605" t="s">
        <v>2148</v>
      </c>
      <c r="U605" t="s">
        <v>40</v>
      </c>
      <c r="V605" t="s">
        <v>52</v>
      </c>
      <c r="W605" t="s">
        <v>59</v>
      </c>
      <c r="X605" t="s">
        <v>129</v>
      </c>
      <c r="Y605" t="s">
        <v>45</v>
      </c>
      <c r="Z605" t="s">
        <v>47</v>
      </c>
      <c r="AA605" t="s">
        <v>54</v>
      </c>
      <c r="AB605" t="s">
        <v>55</v>
      </c>
      <c r="AC605" t="s">
        <v>40</v>
      </c>
      <c r="AD605" t="s">
        <v>45</v>
      </c>
      <c r="AE605" t="s">
        <v>45</v>
      </c>
      <c r="AF605" t="s">
        <v>40</v>
      </c>
      <c r="AG605" t="s">
        <v>55</v>
      </c>
      <c r="AH605" t="s">
        <v>55</v>
      </c>
      <c r="AI605" t="s">
        <v>55</v>
      </c>
    </row>
    <row r="606" spans="1:35" x14ac:dyDescent="0.25">
      <c r="A606" t="s">
        <v>204</v>
      </c>
      <c r="B606" t="s">
        <v>59</v>
      </c>
      <c r="C606" t="s">
        <v>37</v>
      </c>
      <c r="D606" t="s">
        <v>660</v>
      </c>
      <c r="E606" t="s">
        <v>62</v>
      </c>
      <c r="F606" t="s">
        <v>133</v>
      </c>
      <c r="G606" t="s">
        <v>45</v>
      </c>
      <c r="H606" t="s">
        <v>42</v>
      </c>
      <c r="I606" t="s">
        <v>40</v>
      </c>
      <c r="J606" t="s">
        <v>344</v>
      </c>
      <c r="K606" t="s">
        <v>41</v>
      </c>
      <c r="L606" t="s">
        <v>63</v>
      </c>
      <c r="M606" t="s">
        <v>284</v>
      </c>
      <c r="N606" t="s">
        <v>45</v>
      </c>
      <c r="O606" t="s">
        <v>41</v>
      </c>
      <c r="P606" t="s">
        <v>116</v>
      </c>
      <c r="Q606" t="s">
        <v>41</v>
      </c>
      <c r="R606" t="s">
        <v>66</v>
      </c>
      <c r="S606" t="s">
        <v>2149</v>
      </c>
      <c r="T606" t="s">
        <v>2150</v>
      </c>
      <c r="U606" t="s">
        <v>40</v>
      </c>
      <c r="V606" t="s">
        <v>52</v>
      </c>
      <c r="W606" t="s">
        <v>59</v>
      </c>
      <c r="X606" t="s">
        <v>98</v>
      </c>
      <c r="Y606" t="s">
        <v>45</v>
      </c>
      <c r="Z606" t="s">
        <v>47</v>
      </c>
      <c r="AA606" t="s">
        <v>54</v>
      </c>
      <c r="AB606" t="s">
        <v>40</v>
      </c>
      <c r="AC606" t="s">
        <v>70</v>
      </c>
      <c r="AD606" t="s">
        <v>45</v>
      </c>
      <c r="AE606" t="s">
        <v>41</v>
      </c>
      <c r="AF606" t="s">
        <v>91</v>
      </c>
      <c r="AG606" t="s">
        <v>51</v>
      </c>
      <c r="AH606" t="s">
        <v>71</v>
      </c>
      <c r="AI606" t="s">
        <v>51</v>
      </c>
    </row>
    <row r="607" spans="1:35" x14ac:dyDescent="0.25">
      <c r="A607" t="s">
        <v>113</v>
      </c>
      <c r="B607" t="s">
        <v>59</v>
      </c>
      <c r="C607" t="s">
        <v>60</v>
      </c>
      <c r="D607" t="s">
        <v>1384</v>
      </c>
      <c r="E607" t="s">
        <v>62</v>
      </c>
      <c r="F607" t="s">
        <v>92</v>
      </c>
      <c r="G607" t="s">
        <v>45</v>
      </c>
      <c r="H607" t="s">
        <v>42</v>
      </c>
      <c r="I607" t="s">
        <v>40</v>
      </c>
      <c r="J607" t="s">
        <v>2151</v>
      </c>
      <c r="K607" t="s">
        <v>40</v>
      </c>
      <c r="L607" t="s">
        <v>63</v>
      </c>
      <c r="M607" t="s">
        <v>174</v>
      </c>
      <c r="N607" t="s">
        <v>41</v>
      </c>
      <c r="O607" t="s">
        <v>41</v>
      </c>
      <c r="P607" t="s">
        <v>122</v>
      </c>
      <c r="Q607" t="s">
        <v>40</v>
      </c>
      <c r="R607" t="s">
        <v>109</v>
      </c>
      <c r="S607" t="s">
        <v>2152</v>
      </c>
      <c r="T607" t="s">
        <v>2153</v>
      </c>
      <c r="U607" t="s">
        <v>41</v>
      </c>
      <c r="V607" t="s">
        <v>52</v>
      </c>
      <c r="W607" t="s">
        <v>59</v>
      </c>
      <c r="X607" t="s">
        <v>79</v>
      </c>
      <c r="Y607" t="s">
        <v>45</v>
      </c>
      <c r="Z607" t="s">
        <v>45</v>
      </c>
      <c r="AA607" t="s">
        <v>54</v>
      </c>
      <c r="AB607" t="s">
        <v>40</v>
      </c>
      <c r="AC607" t="s">
        <v>98</v>
      </c>
      <c r="AD607" t="s">
        <v>45</v>
      </c>
      <c r="AE607" t="s">
        <v>41</v>
      </c>
      <c r="AF607" t="s">
        <v>47</v>
      </c>
      <c r="AG607" t="s">
        <v>45</v>
      </c>
      <c r="AH607" t="s">
        <v>40</v>
      </c>
      <c r="AI607" t="s">
        <v>41</v>
      </c>
    </row>
    <row r="608" spans="1:35" x14ac:dyDescent="0.25">
      <c r="A608" t="s">
        <v>142</v>
      </c>
      <c r="B608" t="s">
        <v>59</v>
      </c>
      <c r="C608" t="s">
        <v>60</v>
      </c>
      <c r="D608" t="s">
        <v>734</v>
      </c>
      <c r="E608" t="s">
        <v>62</v>
      </c>
      <c r="F608" t="s">
        <v>128</v>
      </c>
      <c r="G608" t="s">
        <v>47</v>
      </c>
      <c r="H608" t="s">
        <v>42</v>
      </c>
      <c r="I608" t="s">
        <v>40</v>
      </c>
      <c r="J608" t="s">
        <v>2154</v>
      </c>
      <c r="K608" t="s">
        <v>45</v>
      </c>
      <c r="L608" t="s">
        <v>43</v>
      </c>
      <c r="M608" t="s">
        <v>385</v>
      </c>
      <c r="N608" t="s">
        <v>41</v>
      </c>
      <c r="O608" t="s">
        <v>40</v>
      </c>
      <c r="P608" t="s">
        <v>65</v>
      </c>
      <c r="Q608" t="s">
        <v>47</v>
      </c>
      <c r="R608" t="s">
        <v>48</v>
      </c>
      <c r="S608" t="s">
        <v>2155</v>
      </c>
      <c r="T608" t="s">
        <v>2156</v>
      </c>
      <c r="U608" t="s">
        <v>40</v>
      </c>
      <c r="V608" t="s">
        <v>52</v>
      </c>
      <c r="W608" t="s">
        <v>59</v>
      </c>
      <c r="X608" t="s">
        <v>128</v>
      </c>
      <c r="Y608" t="s">
        <v>45</v>
      </c>
      <c r="Z608" t="s">
        <v>45</v>
      </c>
      <c r="AA608" t="s">
        <v>54</v>
      </c>
      <c r="AB608" t="s">
        <v>55</v>
      </c>
      <c r="AC608" t="s">
        <v>56</v>
      </c>
      <c r="AD608" t="s">
        <v>45</v>
      </c>
      <c r="AE608" t="s">
        <v>45</v>
      </c>
      <c r="AF608" t="s">
        <v>57</v>
      </c>
      <c r="AG608" t="s">
        <v>41</v>
      </c>
      <c r="AH608" t="s">
        <v>40</v>
      </c>
      <c r="AI608" t="s">
        <v>45</v>
      </c>
    </row>
    <row r="609" spans="1:35" x14ac:dyDescent="0.25">
      <c r="A609" t="s">
        <v>58</v>
      </c>
      <c r="B609" t="s">
        <v>36</v>
      </c>
      <c r="C609" t="s">
        <v>37</v>
      </c>
      <c r="D609" t="s">
        <v>2157</v>
      </c>
      <c r="E609" t="s">
        <v>39</v>
      </c>
      <c r="F609" t="s">
        <v>53</v>
      </c>
      <c r="G609" t="s">
        <v>45</v>
      </c>
      <c r="H609" t="s">
        <v>206</v>
      </c>
      <c r="I609" t="s">
        <v>40</v>
      </c>
      <c r="J609" t="s">
        <v>2158</v>
      </c>
      <c r="K609" t="s">
        <v>45</v>
      </c>
      <c r="L609" t="s">
        <v>43</v>
      </c>
      <c r="M609" t="s">
        <v>234</v>
      </c>
      <c r="N609" t="s">
        <v>45</v>
      </c>
      <c r="O609" t="s">
        <v>45</v>
      </c>
      <c r="P609" t="s">
        <v>46</v>
      </c>
      <c r="Q609" t="s">
        <v>47</v>
      </c>
      <c r="R609" t="s">
        <v>66</v>
      </c>
      <c r="S609" t="s">
        <v>2159</v>
      </c>
      <c r="T609" t="s">
        <v>2160</v>
      </c>
      <c r="U609" t="s">
        <v>40</v>
      </c>
      <c r="V609" t="s">
        <v>52</v>
      </c>
      <c r="W609" t="s">
        <v>59</v>
      </c>
      <c r="X609" t="s">
        <v>145</v>
      </c>
      <c r="Y609" t="s">
        <v>45</v>
      </c>
      <c r="Z609" t="s">
        <v>40</v>
      </c>
      <c r="AA609" t="s">
        <v>54</v>
      </c>
      <c r="AB609" t="s">
        <v>41</v>
      </c>
      <c r="AC609" t="s">
        <v>91</v>
      </c>
      <c r="AD609" t="s">
        <v>45</v>
      </c>
      <c r="AE609" t="s">
        <v>47</v>
      </c>
      <c r="AF609" t="s">
        <v>91</v>
      </c>
      <c r="AG609" t="s">
        <v>51</v>
      </c>
      <c r="AH609" t="s">
        <v>71</v>
      </c>
      <c r="AI609" t="s">
        <v>71</v>
      </c>
    </row>
    <row r="610" spans="1:35" x14ac:dyDescent="0.25">
      <c r="A610" t="s">
        <v>263</v>
      </c>
      <c r="B610" t="s">
        <v>36</v>
      </c>
      <c r="C610" t="s">
        <v>37</v>
      </c>
      <c r="D610" t="s">
        <v>1277</v>
      </c>
      <c r="E610" t="s">
        <v>39</v>
      </c>
      <c r="F610" t="s">
        <v>41</v>
      </c>
      <c r="G610" t="s">
        <v>40</v>
      </c>
      <c r="H610" t="s">
        <v>87</v>
      </c>
      <c r="I610" t="s">
        <v>40</v>
      </c>
      <c r="J610" t="s">
        <v>2161</v>
      </c>
      <c r="K610" t="s">
        <v>45</v>
      </c>
      <c r="L610" t="s">
        <v>63</v>
      </c>
      <c r="M610" t="s">
        <v>72</v>
      </c>
      <c r="N610" t="s">
        <v>45</v>
      </c>
      <c r="O610" t="s">
        <v>41</v>
      </c>
      <c r="P610" t="s">
        <v>46</v>
      </c>
      <c r="Q610" t="s">
        <v>47</v>
      </c>
      <c r="R610" t="s">
        <v>48</v>
      </c>
      <c r="S610" t="s">
        <v>2162</v>
      </c>
      <c r="T610" t="s">
        <v>2163</v>
      </c>
      <c r="U610" t="s">
        <v>47</v>
      </c>
      <c r="V610" t="s">
        <v>52</v>
      </c>
      <c r="W610" t="s">
        <v>59</v>
      </c>
      <c r="X610" t="s">
        <v>128</v>
      </c>
      <c r="Y610" t="s">
        <v>45</v>
      </c>
      <c r="Z610" t="s">
        <v>45</v>
      </c>
      <c r="AA610" t="s">
        <v>54</v>
      </c>
      <c r="AB610" t="s">
        <v>55</v>
      </c>
      <c r="AC610" t="s">
        <v>92</v>
      </c>
      <c r="AD610" t="s">
        <v>45</v>
      </c>
      <c r="AE610" t="s">
        <v>41</v>
      </c>
      <c r="AF610" t="s">
        <v>91</v>
      </c>
      <c r="AG610" t="s">
        <v>71</v>
      </c>
      <c r="AH610" t="s">
        <v>71</v>
      </c>
      <c r="AI610" t="s">
        <v>45</v>
      </c>
    </row>
    <row r="611" spans="1:35" x14ac:dyDescent="0.25">
      <c r="A611" t="s">
        <v>234</v>
      </c>
      <c r="B611" t="s">
        <v>59</v>
      </c>
      <c r="C611" t="s">
        <v>37</v>
      </c>
      <c r="D611" t="s">
        <v>2164</v>
      </c>
      <c r="E611" t="s">
        <v>62</v>
      </c>
      <c r="F611" t="s">
        <v>129</v>
      </c>
      <c r="G611" t="s">
        <v>41</v>
      </c>
      <c r="H611" t="s">
        <v>42</v>
      </c>
      <c r="I611" t="s">
        <v>40</v>
      </c>
      <c r="J611" t="s">
        <v>2165</v>
      </c>
      <c r="K611" t="s">
        <v>41</v>
      </c>
      <c r="L611" t="s">
        <v>63</v>
      </c>
      <c r="M611" t="s">
        <v>44</v>
      </c>
      <c r="N611" t="s">
        <v>45</v>
      </c>
      <c r="O611" t="s">
        <v>47</v>
      </c>
      <c r="P611" t="s">
        <v>186</v>
      </c>
      <c r="Q611" t="s">
        <v>40</v>
      </c>
      <c r="R611" t="s">
        <v>66</v>
      </c>
      <c r="S611" t="s">
        <v>2166</v>
      </c>
      <c r="T611" t="s">
        <v>2167</v>
      </c>
      <c r="U611" t="s">
        <v>56</v>
      </c>
      <c r="V611" t="s">
        <v>52</v>
      </c>
      <c r="W611" t="s">
        <v>59</v>
      </c>
      <c r="X611" t="s">
        <v>107</v>
      </c>
      <c r="Y611" t="s">
        <v>47</v>
      </c>
      <c r="Z611" t="s">
        <v>45</v>
      </c>
      <c r="AA611" t="s">
        <v>54</v>
      </c>
      <c r="AB611" t="s">
        <v>40</v>
      </c>
      <c r="AC611" t="s">
        <v>112</v>
      </c>
      <c r="AD611" t="s">
        <v>45</v>
      </c>
      <c r="AE611" t="s">
        <v>45</v>
      </c>
      <c r="AF611" t="s">
        <v>47</v>
      </c>
      <c r="AG611" t="s">
        <v>40</v>
      </c>
      <c r="AH611" t="s">
        <v>40</v>
      </c>
      <c r="AI611" t="s">
        <v>55</v>
      </c>
    </row>
    <row r="612" spans="1:35" x14ac:dyDescent="0.25">
      <c r="A612" t="s">
        <v>85</v>
      </c>
      <c r="B612" t="s">
        <v>59</v>
      </c>
      <c r="C612" t="s">
        <v>37</v>
      </c>
      <c r="D612" t="s">
        <v>832</v>
      </c>
      <c r="E612" t="s">
        <v>62</v>
      </c>
      <c r="F612" t="s">
        <v>57</v>
      </c>
      <c r="G612" t="s">
        <v>40</v>
      </c>
      <c r="H612" t="s">
        <v>228</v>
      </c>
      <c r="I612" t="s">
        <v>40</v>
      </c>
      <c r="J612" t="s">
        <v>2168</v>
      </c>
      <c r="K612" t="s">
        <v>45</v>
      </c>
      <c r="L612" t="s">
        <v>63</v>
      </c>
      <c r="M612" t="s">
        <v>204</v>
      </c>
      <c r="N612" t="s">
        <v>41</v>
      </c>
      <c r="O612" t="s">
        <v>45</v>
      </c>
      <c r="P612" t="s">
        <v>186</v>
      </c>
      <c r="Q612" t="s">
        <v>47</v>
      </c>
      <c r="R612" t="s">
        <v>109</v>
      </c>
      <c r="S612" t="s">
        <v>2169</v>
      </c>
      <c r="T612" t="s">
        <v>2170</v>
      </c>
      <c r="U612" t="s">
        <v>40</v>
      </c>
      <c r="V612" t="s">
        <v>52</v>
      </c>
      <c r="W612" t="s">
        <v>36</v>
      </c>
      <c r="X612" t="s">
        <v>128</v>
      </c>
      <c r="Y612" t="s">
        <v>45</v>
      </c>
      <c r="Z612" t="s">
        <v>41</v>
      </c>
      <c r="AA612" t="s">
        <v>54</v>
      </c>
      <c r="AB612" t="s">
        <v>40</v>
      </c>
      <c r="AC612" t="s">
        <v>91</v>
      </c>
      <c r="AD612" t="s">
        <v>45</v>
      </c>
      <c r="AE612" t="s">
        <v>45</v>
      </c>
      <c r="AF612" t="s">
        <v>91</v>
      </c>
      <c r="AG612" t="s">
        <v>51</v>
      </c>
      <c r="AH612" t="s">
        <v>55</v>
      </c>
      <c r="AI612" t="s">
        <v>51</v>
      </c>
    </row>
    <row r="613" spans="1:35" x14ac:dyDescent="0.25">
      <c r="A613" t="s">
        <v>126</v>
      </c>
      <c r="B613" t="s">
        <v>59</v>
      </c>
      <c r="C613" t="s">
        <v>37</v>
      </c>
      <c r="D613" t="s">
        <v>1185</v>
      </c>
      <c r="E613" t="s">
        <v>62</v>
      </c>
      <c r="F613" t="s">
        <v>71</v>
      </c>
      <c r="G613" t="s">
        <v>45</v>
      </c>
      <c r="H613" t="s">
        <v>74</v>
      </c>
      <c r="I613" t="s">
        <v>40</v>
      </c>
      <c r="J613" t="s">
        <v>1408</v>
      </c>
      <c r="K613" t="s">
        <v>45</v>
      </c>
      <c r="L613" t="s">
        <v>63</v>
      </c>
      <c r="M613" t="s">
        <v>99</v>
      </c>
      <c r="N613" t="s">
        <v>45</v>
      </c>
      <c r="O613" t="s">
        <v>45</v>
      </c>
      <c r="P613" t="s">
        <v>116</v>
      </c>
      <c r="Q613" t="s">
        <v>45</v>
      </c>
      <c r="R613" t="s">
        <v>48</v>
      </c>
      <c r="S613" t="s">
        <v>2171</v>
      </c>
      <c r="T613" t="s">
        <v>2172</v>
      </c>
      <c r="U613" t="s">
        <v>45</v>
      </c>
      <c r="V613" t="s">
        <v>52</v>
      </c>
      <c r="W613" t="s">
        <v>59</v>
      </c>
      <c r="X613" t="s">
        <v>119</v>
      </c>
      <c r="Y613" t="s">
        <v>47</v>
      </c>
      <c r="Z613" t="s">
        <v>41</v>
      </c>
      <c r="AA613" t="s">
        <v>54</v>
      </c>
      <c r="AB613" t="s">
        <v>55</v>
      </c>
      <c r="AC613" t="s">
        <v>125</v>
      </c>
      <c r="AD613" t="s">
        <v>45</v>
      </c>
      <c r="AE613" t="s">
        <v>47</v>
      </c>
      <c r="AF613" t="s">
        <v>51</v>
      </c>
      <c r="AG613" t="s">
        <v>57</v>
      </c>
      <c r="AH613" t="s">
        <v>40</v>
      </c>
      <c r="AI613" t="s">
        <v>56</v>
      </c>
    </row>
    <row r="614" spans="1:35" x14ac:dyDescent="0.25">
      <c r="A614" t="s">
        <v>149</v>
      </c>
      <c r="B614" t="s">
        <v>59</v>
      </c>
      <c r="C614" t="s">
        <v>37</v>
      </c>
      <c r="D614" t="s">
        <v>1994</v>
      </c>
      <c r="E614" t="s">
        <v>39</v>
      </c>
      <c r="F614" t="s">
        <v>41</v>
      </c>
      <c r="G614" t="s">
        <v>47</v>
      </c>
      <c r="H614" t="s">
        <v>206</v>
      </c>
      <c r="I614" t="s">
        <v>40</v>
      </c>
      <c r="J614" t="s">
        <v>2173</v>
      </c>
      <c r="K614" t="s">
        <v>41</v>
      </c>
      <c r="L614" t="s">
        <v>43</v>
      </c>
      <c r="M614" t="s">
        <v>101</v>
      </c>
      <c r="N614" t="s">
        <v>45</v>
      </c>
      <c r="O614" t="s">
        <v>41</v>
      </c>
      <c r="P614" t="s">
        <v>46</v>
      </c>
      <c r="Q614" t="s">
        <v>41</v>
      </c>
      <c r="R614" t="s">
        <v>66</v>
      </c>
      <c r="S614" t="s">
        <v>2174</v>
      </c>
      <c r="T614" t="s">
        <v>2175</v>
      </c>
      <c r="U614" t="s">
        <v>40</v>
      </c>
      <c r="V614" t="s">
        <v>52</v>
      </c>
      <c r="W614" t="s">
        <v>36</v>
      </c>
      <c r="X614" t="s">
        <v>104</v>
      </c>
      <c r="Y614" t="s">
        <v>47</v>
      </c>
      <c r="Z614" t="s">
        <v>40</v>
      </c>
      <c r="AA614" t="s">
        <v>54</v>
      </c>
      <c r="AB614" t="s">
        <v>55</v>
      </c>
      <c r="AC614" t="s">
        <v>51</v>
      </c>
      <c r="AD614" t="s">
        <v>41</v>
      </c>
      <c r="AE614" t="s">
        <v>45</v>
      </c>
      <c r="AF614" t="s">
        <v>51</v>
      </c>
      <c r="AG614" t="s">
        <v>71</v>
      </c>
      <c r="AH614" t="s">
        <v>71</v>
      </c>
      <c r="AI614" t="s">
        <v>57</v>
      </c>
    </row>
    <row r="615" spans="1:35" x14ac:dyDescent="0.25">
      <c r="A615" t="s">
        <v>142</v>
      </c>
      <c r="B615" t="s">
        <v>59</v>
      </c>
      <c r="C615" t="s">
        <v>37</v>
      </c>
      <c r="D615" t="s">
        <v>888</v>
      </c>
      <c r="E615" t="s">
        <v>397</v>
      </c>
      <c r="F615" t="s">
        <v>45</v>
      </c>
      <c r="G615" t="s">
        <v>41</v>
      </c>
      <c r="H615" t="s">
        <v>397</v>
      </c>
      <c r="I615" t="s">
        <v>40</v>
      </c>
      <c r="J615" t="s">
        <v>2176</v>
      </c>
      <c r="K615" t="s">
        <v>45</v>
      </c>
      <c r="L615" t="s">
        <v>63</v>
      </c>
      <c r="M615" t="s">
        <v>356</v>
      </c>
      <c r="N615" t="s">
        <v>45</v>
      </c>
      <c r="O615" t="s">
        <v>40</v>
      </c>
      <c r="P615" t="s">
        <v>397</v>
      </c>
      <c r="Q615" t="s">
        <v>47</v>
      </c>
      <c r="R615" t="s">
        <v>66</v>
      </c>
      <c r="S615" t="s">
        <v>2177</v>
      </c>
      <c r="T615" t="s">
        <v>2178</v>
      </c>
      <c r="U615" t="s">
        <v>55</v>
      </c>
      <c r="V615" t="s">
        <v>52</v>
      </c>
      <c r="W615" t="s">
        <v>59</v>
      </c>
      <c r="X615" t="s">
        <v>144</v>
      </c>
      <c r="Y615" t="s">
        <v>45</v>
      </c>
      <c r="Z615" t="s">
        <v>45</v>
      </c>
      <c r="AA615" t="s">
        <v>54</v>
      </c>
      <c r="AB615" t="s">
        <v>40</v>
      </c>
      <c r="AC615" t="s">
        <v>47</v>
      </c>
      <c r="AD615" t="s">
        <v>40</v>
      </c>
      <c r="AE615" t="s">
        <v>40</v>
      </c>
      <c r="AF615" t="s">
        <v>45</v>
      </c>
      <c r="AG615" t="s">
        <v>41</v>
      </c>
      <c r="AH615" t="s">
        <v>55</v>
      </c>
      <c r="AI615" t="s">
        <v>41</v>
      </c>
    </row>
    <row r="616" spans="1:35" x14ac:dyDescent="0.25">
      <c r="A616" t="s">
        <v>139</v>
      </c>
      <c r="B616" t="s">
        <v>36</v>
      </c>
      <c r="C616" t="s">
        <v>60</v>
      </c>
      <c r="D616" t="s">
        <v>2179</v>
      </c>
      <c r="E616" t="s">
        <v>62</v>
      </c>
      <c r="F616" t="s">
        <v>57</v>
      </c>
      <c r="G616" t="s">
        <v>41</v>
      </c>
      <c r="H616" t="s">
        <v>87</v>
      </c>
      <c r="I616" t="s">
        <v>40</v>
      </c>
      <c r="J616" t="s">
        <v>2180</v>
      </c>
      <c r="K616" t="s">
        <v>45</v>
      </c>
      <c r="L616" t="s">
        <v>43</v>
      </c>
      <c r="M616" t="s">
        <v>356</v>
      </c>
      <c r="N616" t="s">
        <v>41</v>
      </c>
      <c r="O616" t="s">
        <v>40</v>
      </c>
      <c r="P616" t="s">
        <v>65</v>
      </c>
      <c r="Q616" t="s">
        <v>45</v>
      </c>
      <c r="R616" t="s">
        <v>66</v>
      </c>
      <c r="S616" t="s">
        <v>2181</v>
      </c>
      <c r="T616" t="s">
        <v>2182</v>
      </c>
      <c r="U616" t="s">
        <v>40</v>
      </c>
      <c r="V616" t="s">
        <v>52</v>
      </c>
      <c r="W616" t="s">
        <v>36</v>
      </c>
      <c r="X616" t="s">
        <v>129</v>
      </c>
      <c r="Y616" t="s">
        <v>45</v>
      </c>
      <c r="Z616" t="s">
        <v>40</v>
      </c>
      <c r="AA616" t="s">
        <v>54</v>
      </c>
      <c r="AB616" t="s">
        <v>40</v>
      </c>
      <c r="AC616" t="s">
        <v>51</v>
      </c>
      <c r="AD616" t="s">
        <v>41</v>
      </c>
      <c r="AE616" t="s">
        <v>45</v>
      </c>
      <c r="AF616" t="s">
        <v>51</v>
      </c>
      <c r="AG616" t="s">
        <v>71</v>
      </c>
      <c r="AH616" t="s">
        <v>40</v>
      </c>
      <c r="AI616" t="s">
        <v>71</v>
      </c>
    </row>
    <row r="617" spans="1:35" x14ac:dyDescent="0.25">
      <c r="A617" t="s">
        <v>85</v>
      </c>
      <c r="B617" t="s">
        <v>59</v>
      </c>
      <c r="C617" t="s">
        <v>161</v>
      </c>
      <c r="D617" t="s">
        <v>1692</v>
      </c>
      <c r="E617" t="s">
        <v>62</v>
      </c>
      <c r="F617" t="s">
        <v>45</v>
      </c>
      <c r="G617" t="s">
        <v>45</v>
      </c>
      <c r="H617" t="s">
        <v>87</v>
      </c>
      <c r="I617" t="s">
        <v>40</v>
      </c>
      <c r="J617" t="s">
        <v>2183</v>
      </c>
      <c r="K617" t="s">
        <v>47</v>
      </c>
      <c r="L617" t="s">
        <v>63</v>
      </c>
      <c r="M617" t="s">
        <v>151</v>
      </c>
      <c r="N617" t="s">
        <v>45</v>
      </c>
      <c r="O617" t="s">
        <v>40</v>
      </c>
      <c r="P617" t="s">
        <v>65</v>
      </c>
      <c r="Q617" t="s">
        <v>47</v>
      </c>
      <c r="R617" t="s">
        <v>66</v>
      </c>
      <c r="S617" t="s">
        <v>2184</v>
      </c>
      <c r="T617" t="s">
        <v>2185</v>
      </c>
      <c r="U617" t="s">
        <v>40</v>
      </c>
      <c r="V617" t="s">
        <v>52</v>
      </c>
      <c r="W617" t="s">
        <v>59</v>
      </c>
      <c r="X617" t="s">
        <v>53</v>
      </c>
      <c r="Y617" t="s">
        <v>45</v>
      </c>
      <c r="Z617" t="s">
        <v>45</v>
      </c>
      <c r="AA617" t="s">
        <v>54</v>
      </c>
      <c r="AB617" t="s">
        <v>45</v>
      </c>
      <c r="AC617" t="s">
        <v>55</v>
      </c>
      <c r="AD617" t="s">
        <v>56</v>
      </c>
      <c r="AE617" t="s">
        <v>41</v>
      </c>
      <c r="AF617" t="s">
        <v>55</v>
      </c>
      <c r="AG617" t="s">
        <v>55</v>
      </c>
      <c r="AH617" t="s">
        <v>55</v>
      </c>
      <c r="AI617" t="s">
        <v>55</v>
      </c>
    </row>
    <row r="618" spans="1:35" x14ac:dyDescent="0.25">
      <c r="A618" t="s">
        <v>155</v>
      </c>
      <c r="B618" t="s">
        <v>59</v>
      </c>
      <c r="C618" t="s">
        <v>37</v>
      </c>
      <c r="D618" t="s">
        <v>2186</v>
      </c>
      <c r="E618" t="s">
        <v>39</v>
      </c>
      <c r="F618" t="s">
        <v>139</v>
      </c>
      <c r="G618" t="s">
        <v>47</v>
      </c>
      <c r="H618" t="s">
        <v>206</v>
      </c>
      <c r="I618" t="s">
        <v>40</v>
      </c>
      <c r="J618" t="s">
        <v>2187</v>
      </c>
      <c r="K618" t="s">
        <v>40</v>
      </c>
      <c r="L618" t="s">
        <v>43</v>
      </c>
      <c r="M618" t="s">
        <v>375</v>
      </c>
      <c r="N618" t="s">
        <v>45</v>
      </c>
      <c r="O618" t="s">
        <v>47</v>
      </c>
      <c r="P618" t="s">
        <v>169</v>
      </c>
      <c r="Q618" t="s">
        <v>45</v>
      </c>
      <c r="R618" t="s">
        <v>66</v>
      </c>
      <c r="S618" t="s">
        <v>2188</v>
      </c>
      <c r="T618" t="s">
        <v>2189</v>
      </c>
      <c r="U618" t="s">
        <v>41</v>
      </c>
      <c r="V618" t="s">
        <v>52</v>
      </c>
      <c r="W618" t="s">
        <v>59</v>
      </c>
      <c r="X618" t="s">
        <v>129</v>
      </c>
      <c r="Y618" t="s">
        <v>45</v>
      </c>
      <c r="Z618" t="s">
        <v>45</v>
      </c>
      <c r="AA618" t="s">
        <v>54</v>
      </c>
      <c r="AB618" t="s">
        <v>40</v>
      </c>
      <c r="AC618" t="s">
        <v>133</v>
      </c>
      <c r="AD618" t="s">
        <v>41</v>
      </c>
      <c r="AE618" t="s">
        <v>41</v>
      </c>
      <c r="AF618" t="s">
        <v>104</v>
      </c>
      <c r="AG618" t="s">
        <v>56</v>
      </c>
      <c r="AH618" t="s">
        <v>47</v>
      </c>
      <c r="AI618" t="s">
        <v>125</v>
      </c>
    </row>
    <row r="619" spans="1:35" x14ac:dyDescent="0.25">
      <c r="A619" t="s">
        <v>115</v>
      </c>
      <c r="B619" t="s">
        <v>59</v>
      </c>
      <c r="C619" t="s">
        <v>37</v>
      </c>
      <c r="D619" t="s">
        <v>1747</v>
      </c>
      <c r="E619" t="s">
        <v>62</v>
      </c>
      <c r="F619" t="s">
        <v>47</v>
      </c>
      <c r="G619" t="s">
        <v>45</v>
      </c>
      <c r="H619" t="s">
        <v>87</v>
      </c>
      <c r="I619" t="s">
        <v>40</v>
      </c>
      <c r="J619" t="s">
        <v>247</v>
      </c>
      <c r="K619" t="s">
        <v>47</v>
      </c>
      <c r="L619" t="s">
        <v>63</v>
      </c>
      <c r="M619" t="s">
        <v>151</v>
      </c>
      <c r="N619" t="s">
        <v>45</v>
      </c>
      <c r="O619" t="s">
        <v>41</v>
      </c>
      <c r="P619" t="s">
        <v>122</v>
      </c>
      <c r="Q619" t="s">
        <v>41</v>
      </c>
      <c r="R619" t="s">
        <v>48</v>
      </c>
      <c r="S619" t="s">
        <v>2190</v>
      </c>
      <c r="T619" t="s">
        <v>2191</v>
      </c>
      <c r="U619" t="s">
        <v>91</v>
      </c>
      <c r="V619" t="s">
        <v>52</v>
      </c>
      <c r="W619" t="s">
        <v>59</v>
      </c>
      <c r="X619" t="s">
        <v>92</v>
      </c>
      <c r="Y619" t="s">
        <v>45</v>
      </c>
      <c r="Z619" t="s">
        <v>47</v>
      </c>
      <c r="AA619" t="s">
        <v>54</v>
      </c>
      <c r="AB619" t="s">
        <v>55</v>
      </c>
      <c r="AC619" t="s">
        <v>70</v>
      </c>
      <c r="AD619" t="s">
        <v>41</v>
      </c>
      <c r="AE619" t="s">
        <v>41</v>
      </c>
      <c r="AF619" t="s">
        <v>57</v>
      </c>
      <c r="AG619" t="s">
        <v>41</v>
      </c>
      <c r="AH619" t="s">
        <v>41</v>
      </c>
      <c r="AI619" t="s">
        <v>45</v>
      </c>
    </row>
    <row r="620" spans="1:35" x14ac:dyDescent="0.25">
      <c r="A620" t="s">
        <v>172</v>
      </c>
      <c r="B620" t="s">
        <v>59</v>
      </c>
      <c r="C620" t="s">
        <v>37</v>
      </c>
      <c r="D620" t="s">
        <v>2192</v>
      </c>
      <c r="E620" t="s">
        <v>62</v>
      </c>
      <c r="F620" t="s">
        <v>41</v>
      </c>
      <c r="G620" t="s">
        <v>40</v>
      </c>
      <c r="H620" t="s">
        <v>87</v>
      </c>
      <c r="I620" t="s">
        <v>40</v>
      </c>
      <c r="J620" t="s">
        <v>969</v>
      </c>
      <c r="K620" t="s">
        <v>40</v>
      </c>
      <c r="L620" t="s">
        <v>63</v>
      </c>
      <c r="M620" t="s">
        <v>296</v>
      </c>
      <c r="N620" t="s">
        <v>47</v>
      </c>
      <c r="O620" t="s">
        <v>40</v>
      </c>
      <c r="P620" t="s">
        <v>65</v>
      </c>
      <c r="Q620" t="s">
        <v>40</v>
      </c>
      <c r="R620" t="s">
        <v>48</v>
      </c>
      <c r="S620" t="s">
        <v>2193</v>
      </c>
      <c r="T620" t="s">
        <v>2194</v>
      </c>
      <c r="U620" t="s">
        <v>71</v>
      </c>
      <c r="V620" t="s">
        <v>52</v>
      </c>
      <c r="W620" t="s">
        <v>59</v>
      </c>
      <c r="X620" t="s">
        <v>98</v>
      </c>
      <c r="Y620" t="s">
        <v>45</v>
      </c>
      <c r="Z620" t="s">
        <v>45</v>
      </c>
      <c r="AA620" t="s">
        <v>54</v>
      </c>
      <c r="AB620" t="s">
        <v>55</v>
      </c>
      <c r="AC620" t="s">
        <v>56</v>
      </c>
      <c r="AD620" t="s">
        <v>45</v>
      </c>
      <c r="AE620" t="s">
        <v>41</v>
      </c>
      <c r="AF620" t="s">
        <v>47</v>
      </c>
      <c r="AG620" t="s">
        <v>45</v>
      </c>
      <c r="AH620" t="s">
        <v>55</v>
      </c>
      <c r="AI620" t="s">
        <v>40</v>
      </c>
    </row>
    <row r="621" spans="1:35" x14ac:dyDescent="0.25">
      <c r="A621" t="s">
        <v>80</v>
      </c>
      <c r="B621" t="s">
        <v>59</v>
      </c>
      <c r="C621" t="s">
        <v>37</v>
      </c>
      <c r="D621" t="s">
        <v>1660</v>
      </c>
      <c r="E621" t="s">
        <v>39</v>
      </c>
      <c r="F621" t="s">
        <v>40</v>
      </c>
      <c r="G621" t="s">
        <v>45</v>
      </c>
      <c r="H621" t="s">
        <v>87</v>
      </c>
      <c r="I621" t="s">
        <v>40</v>
      </c>
      <c r="J621" t="s">
        <v>2195</v>
      </c>
      <c r="K621" t="s">
        <v>40</v>
      </c>
      <c r="L621" t="s">
        <v>63</v>
      </c>
      <c r="M621" t="s">
        <v>207</v>
      </c>
      <c r="N621" t="s">
        <v>47</v>
      </c>
      <c r="O621" t="s">
        <v>41</v>
      </c>
      <c r="P621" t="s">
        <v>46</v>
      </c>
      <c r="Q621" t="s">
        <v>40</v>
      </c>
      <c r="R621" t="s">
        <v>109</v>
      </c>
      <c r="S621" t="s">
        <v>2196</v>
      </c>
      <c r="T621" t="s">
        <v>2197</v>
      </c>
      <c r="U621" t="s">
        <v>40</v>
      </c>
      <c r="V621" t="s">
        <v>52</v>
      </c>
      <c r="W621" t="s">
        <v>59</v>
      </c>
      <c r="X621" t="s">
        <v>112</v>
      </c>
      <c r="Y621" t="s">
        <v>47</v>
      </c>
      <c r="Z621" t="s">
        <v>40</v>
      </c>
      <c r="AA621" t="s">
        <v>54</v>
      </c>
      <c r="AB621" t="s">
        <v>40</v>
      </c>
      <c r="AC621" t="s">
        <v>91</v>
      </c>
      <c r="AD621" t="s">
        <v>57</v>
      </c>
      <c r="AE621" t="s">
        <v>45</v>
      </c>
      <c r="AF621" t="s">
        <v>91</v>
      </c>
      <c r="AG621" t="s">
        <v>51</v>
      </c>
      <c r="AH621" t="s">
        <v>55</v>
      </c>
      <c r="AI621" t="s">
        <v>51</v>
      </c>
    </row>
    <row r="622" spans="1:35" x14ac:dyDescent="0.25">
      <c r="A622" t="s">
        <v>126</v>
      </c>
      <c r="B622" t="s">
        <v>59</v>
      </c>
      <c r="C622" t="s">
        <v>37</v>
      </c>
      <c r="D622" t="s">
        <v>1831</v>
      </c>
      <c r="E622" t="s">
        <v>62</v>
      </c>
      <c r="F622" t="s">
        <v>85</v>
      </c>
      <c r="G622" t="s">
        <v>40</v>
      </c>
      <c r="H622" t="s">
        <v>87</v>
      </c>
      <c r="I622" t="s">
        <v>40</v>
      </c>
      <c r="J622" t="s">
        <v>2198</v>
      </c>
      <c r="K622" t="s">
        <v>45</v>
      </c>
      <c r="L622" t="s">
        <v>43</v>
      </c>
      <c r="M622" t="s">
        <v>166</v>
      </c>
      <c r="N622" t="s">
        <v>41</v>
      </c>
      <c r="O622" t="s">
        <v>40</v>
      </c>
      <c r="P622" t="s">
        <v>65</v>
      </c>
      <c r="Q622" t="s">
        <v>40</v>
      </c>
      <c r="R622" t="s">
        <v>48</v>
      </c>
      <c r="S622" t="s">
        <v>2199</v>
      </c>
      <c r="T622" t="s">
        <v>2200</v>
      </c>
      <c r="U622" t="s">
        <v>40</v>
      </c>
      <c r="V622" t="s">
        <v>52</v>
      </c>
      <c r="W622" t="s">
        <v>59</v>
      </c>
      <c r="X622" t="s">
        <v>53</v>
      </c>
      <c r="Y622" t="s">
        <v>45</v>
      </c>
      <c r="Z622" t="s">
        <v>47</v>
      </c>
      <c r="AA622" t="s">
        <v>54</v>
      </c>
      <c r="AB622" t="s">
        <v>55</v>
      </c>
      <c r="AC622" t="s">
        <v>56</v>
      </c>
      <c r="AD622" t="s">
        <v>45</v>
      </c>
      <c r="AE622" t="s">
        <v>41</v>
      </c>
      <c r="AF622" t="s">
        <v>56</v>
      </c>
      <c r="AG622" t="s">
        <v>57</v>
      </c>
      <c r="AH622" t="s">
        <v>40</v>
      </c>
      <c r="AI622" t="s">
        <v>40</v>
      </c>
    </row>
    <row r="623" spans="1:35" x14ac:dyDescent="0.25">
      <c r="A623" t="s">
        <v>120</v>
      </c>
      <c r="B623" t="s">
        <v>59</v>
      </c>
      <c r="C623" t="s">
        <v>37</v>
      </c>
      <c r="D623" t="s">
        <v>1319</v>
      </c>
      <c r="E623" t="s">
        <v>39</v>
      </c>
      <c r="F623" t="s">
        <v>40</v>
      </c>
      <c r="G623" t="s">
        <v>41</v>
      </c>
      <c r="H623" t="s">
        <v>42</v>
      </c>
      <c r="I623" t="s">
        <v>40</v>
      </c>
      <c r="J623" t="s">
        <v>656</v>
      </c>
      <c r="K623" t="s">
        <v>41</v>
      </c>
      <c r="L623" t="s">
        <v>63</v>
      </c>
      <c r="M623" t="s">
        <v>82</v>
      </c>
      <c r="N623" t="s">
        <v>45</v>
      </c>
      <c r="O623" t="s">
        <v>41</v>
      </c>
      <c r="P623" t="s">
        <v>46</v>
      </c>
      <c r="Q623" t="s">
        <v>47</v>
      </c>
      <c r="R623" t="s">
        <v>66</v>
      </c>
      <c r="S623" t="s">
        <v>2201</v>
      </c>
      <c r="T623" t="s">
        <v>2202</v>
      </c>
      <c r="U623" t="s">
        <v>40</v>
      </c>
      <c r="V623" t="s">
        <v>52</v>
      </c>
      <c r="W623" t="s">
        <v>36</v>
      </c>
      <c r="X623" t="s">
        <v>129</v>
      </c>
      <c r="Y623" t="s">
        <v>45</v>
      </c>
      <c r="Z623" t="s">
        <v>47</v>
      </c>
      <c r="AA623" t="s">
        <v>54</v>
      </c>
      <c r="AB623" t="s">
        <v>40</v>
      </c>
      <c r="AC623" t="s">
        <v>145</v>
      </c>
      <c r="AD623" t="s">
        <v>40</v>
      </c>
      <c r="AE623" t="s">
        <v>41</v>
      </c>
      <c r="AF623" t="s">
        <v>145</v>
      </c>
      <c r="AG623" t="s">
        <v>129</v>
      </c>
      <c r="AH623" t="s">
        <v>47</v>
      </c>
      <c r="AI623" t="s">
        <v>53</v>
      </c>
    </row>
    <row r="624" spans="1:35" x14ac:dyDescent="0.25">
      <c r="A624" t="s">
        <v>93</v>
      </c>
      <c r="B624" t="s">
        <v>59</v>
      </c>
      <c r="C624" t="s">
        <v>37</v>
      </c>
      <c r="D624" t="s">
        <v>432</v>
      </c>
      <c r="E624" t="s">
        <v>39</v>
      </c>
      <c r="F624" t="s">
        <v>98</v>
      </c>
      <c r="G624" t="s">
        <v>47</v>
      </c>
      <c r="H624" t="s">
        <v>42</v>
      </c>
      <c r="I624" t="s">
        <v>40</v>
      </c>
      <c r="J624" t="s">
        <v>2138</v>
      </c>
      <c r="K624" t="s">
        <v>41</v>
      </c>
      <c r="L624" t="s">
        <v>63</v>
      </c>
      <c r="M624" t="s">
        <v>279</v>
      </c>
      <c r="N624" t="s">
        <v>45</v>
      </c>
      <c r="O624" t="s">
        <v>41</v>
      </c>
      <c r="P624" t="s">
        <v>46</v>
      </c>
      <c r="Q624" t="s">
        <v>47</v>
      </c>
      <c r="R624" t="s">
        <v>109</v>
      </c>
      <c r="S624" t="s">
        <v>2203</v>
      </c>
      <c r="T624" t="s">
        <v>2204</v>
      </c>
      <c r="U624" t="s">
        <v>41</v>
      </c>
      <c r="V624" t="s">
        <v>52</v>
      </c>
      <c r="W624" t="s">
        <v>59</v>
      </c>
      <c r="X624" t="s">
        <v>53</v>
      </c>
      <c r="Y624" t="s">
        <v>45</v>
      </c>
      <c r="Z624" t="s">
        <v>45</v>
      </c>
      <c r="AA624" t="s">
        <v>54</v>
      </c>
      <c r="AB624" t="s">
        <v>40</v>
      </c>
      <c r="AC624" t="s">
        <v>51</v>
      </c>
      <c r="AD624" t="s">
        <v>45</v>
      </c>
      <c r="AE624" t="s">
        <v>41</v>
      </c>
      <c r="AF624" t="s">
        <v>57</v>
      </c>
      <c r="AG624" t="s">
        <v>41</v>
      </c>
      <c r="AH624" t="s">
        <v>55</v>
      </c>
      <c r="AI624" t="s">
        <v>45</v>
      </c>
    </row>
    <row r="625" spans="1:35" x14ac:dyDescent="0.25">
      <c r="A625" t="s">
        <v>105</v>
      </c>
      <c r="B625" t="s">
        <v>59</v>
      </c>
      <c r="C625" t="s">
        <v>60</v>
      </c>
      <c r="D625" t="s">
        <v>2205</v>
      </c>
      <c r="E625" t="s">
        <v>62</v>
      </c>
      <c r="F625" t="s">
        <v>57</v>
      </c>
      <c r="G625" t="s">
        <v>47</v>
      </c>
      <c r="H625" t="s">
        <v>42</v>
      </c>
      <c r="I625" t="s">
        <v>40</v>
      </c>
      <c r="J625" t="s">
        <v>2206</v>
      </c>
      <c r="K625" t="s">
        <v>41</v>
      </c>
      <c r="L625" t="s">
        <v>63</v>
      </c>
      <c r="M625" t="s">
        <v>255</v>
      </c>
      <c r="N625" t="s">
        <v>41</v>
      </c>
      <c r="O625" t="s">
        <v>40</v>
      </c>
      <c r="P625" t="s">
        <v>65</v>
      </c>
      <c r="Q625" t="s">
        <v>47</v>
      </c>
      <c r="R625" t="s">
        <v>109</v>
      </c>
      <c r="S625" t="s">
        <v>2207</v>
      </c>
      <c r="T625" t="s">
        <v>1168</v>
      </c>
      <c r="U625" t="s">
        <v>91</v>
      </c>
      <c r="V625" t="s">
        <v>52</v>
      </c>
      <c r="W625" t="s">
        <v>59</v>
      </c>
      <c r="X625" t="s">
        <v>92</v>
      </c>
      <c r="Y625" t="s">
        <v>45</v>
      </c>
      <c r="Z625" t="s">
        <v>41</v>
      </c>
      <c r="AA625" t="s">
        <v>54</v>
      </c>
      <c r="AB625" t="s">
        <v>40</v>
      </c>
      <c r="AC625" t="s">
        <v>70</v>
      </c>
      <c r="AD625" t="s">
        <v>45</v>
      </c>
      <c r="AE625" t="s">
        <v>41</v>
      </c>
      <c r="AF625" t="s">
        <v>57</v>
      </c>
      <c r="AG625" t="s">
        <v>47</v>
      </c>
      <c r="AH625" t="s">
        <v>55</v>
      </c>
      <c r="AI625" t="s">
        <v>45</v>
      </c>
    </row>
    <row r="626" spans="1:35" x14ac:dyDescent="0.25">
      <c r="A626" t="s">
        <v>166</v>
      </c>
      <c r="B626" t="s">
        <v>59</v>
      </c>
      <c r="C626" t="s">
        <v>37</v>
      </c>
      <c r="D626" t="s">
        <v>1813</v>
      </c>
      <c r="E626" t="s">
        <v>39</v>
      </c>
      <c r="F626" t="s">
        <v>71</v>
      </c>
      <c r="G626" t="s">
        <v>41</v>
      </c>
      <c r="H626" t="s">
        <v>206</v>
      </c>
      <c r="I626" t="s">
        <v>40</v>
      </c>
      <c r="J626" t="s">
        <v>2208</v>
      </c>
      <c r="K626" t="s">
        <v>40</v>
      </c>
      <c r="L626" t="s">
        <v>43</v>
      </c>
      <c r="M626" t="s">
        <v>168</v>
      </c>
      <c r="N626" t="s">
        <v>41</v>
      </c>
      <c r="O626" t="s">
        <v>45</v>
      </c>
      <c r="P626" t="s">
        <v>46</v>
      </c>
      <c r="Q626" t="s">
        <v>47</v>
      </c>
      <c r="R626" t="s">
        <v>66</v>
      </c>
      <c r="S626" t="s">
        <v>2209</v>
      </c>
      <c r="T626" t="s">
        <v>2210</v>
      </c>
      <c r="U626" t="s">
        <v>71</v>
      </c>
      <c r="V626" t="s">
        <v>52</v>
      </c>
      <c r="W626" t="s">
        <v>36</v>
      </c>
      <c r="X626" t="s">
        <v>145</v>
      </c>
      <c r="Y626" t="s">
        <v>45</v>
      </c>
      <c r="Z626" t="s">
        <v>47</v>
      </c>
      <c r="AA626" t="s">
        <v>54</v>
      </c>
      <c r="AB626" t="s">
        <v>40</v>
      </c>
      <c r="AC626" t="s">
        <v>126</v>
      </c>
      <c r="AD626" t="s">
        <v>45</v>
      </c>
      <c r="AE626" t="s">
        <v>45</v>
      </c>
      <c r="AF626" t="s">
        <v>57</v>
      </c>
      <c r="AG626" t="s">
        <v>41</v>
      </c>
      <c r="AH626" t="s">
        <v>55</v>
      </c>
      <c r="AI626" t="s">
        <v>47</v>
      </c>
    </row>
    <row r="627" spans="1:35" x14ac:dyDescent="0.25">
      <c r="A627" t="s">
        <v>174</v>
      </c>
      <c r="B627" t="s">
        <v>59</v>
      </c>
      <c r="C627" t="s">
        <v>37</v>
      </c>
      <c r="D627" t="s">
        <v>2211</v>
      </c>
      <c r="E627" t="s">
        <v>39</v>
      </c>
      <c r="F627" t="s">
        <v>91</v>
      </c>
      <c r="G627" t="s">
        <v>45</v>
      </c>
      <c r="H627" t="s">
        <v>206</v>
      </c>
      <c r="I627" t="s">
        <v>40</v>
      </c>
      <c r="J627" t="s">
        <v>2212</v>
      </c>
      <c r="K627" t="s">
        <v>47</v>
      </c>
      <c r="L627" t="s">
        <v>63</v>
      </c>
      <c r="M627" t="s">
        <v>314</v>
      </c>
      <c r="N627" t="s">
        <v>45</v>
      </c>
      <c r="O627" t="s">
        <v>45</v>
      </c>
      <c r="P627" t="s">
        <v>46</v>
      </c>
      <c r="Q627" t="s">
        <v>40</v>
      </c>
      <c r="R627" t="s">
        <v>109</v>
      </c>
      <c r="S627" t="s">
        <v>2213</v>
      </c>
      <c r="T627" t="s">
        <v>2214</v>
      </c>
      <c r="U627" t="s">
        <v>47</v>
      </c>
      <c r="V627" t="s">
        <v>52</v>
      </c>
      <c r="W627" t="s">
        <v>36</v>
      </c>
      <c r="X627" t="s">
        <v>92</v>
      </c>
      <c r="Y627" t="s">
        <v>45</v>
      </c>
      <c r="Z627" t="s">
        <v>45</v>
      </c>
      <c r="AA627" t="s">
        <v>54</v>
      </c>
      <c r="AB627" t="s">
        <v>40</v>
      </c>
      <c r="AC627" t="s">
        <v>145</v>
      </c>
      <c r="AD627" t="s">
        <v>41</v>
      </c>
      <c r="AE627" t="s">
        <v>45</v>
      </c>
      <c r="AF627" t="s">
        <v>57</v>
      </c>
      <c r="AG627" t="s">
        <v>47</v>
      </c>
      <c r="AH627" t="s">
        <v>55</v>
      </c>
      <c r="AI627" t="s">
        <v>41</v>
      </c>
    </row>
    <row r="628" spans="1:35" x14ac:dyDescent="0.25">
      <c r="A628" t="s">
        <v>93</v>
      </c>
      <c r="B628" t="s">
        <v>59</v>
      </c>
      <c r="C628" t="s">
        <v>37</v>
      </c>
      <c r="D628" t="s">
        <v>451</v>
      </c>
      <c r="E628" t="s">
        <v>62</v>
      </c>
      <c r="F628" t="s">
        <v>51</v>
      </c>
      <c r="G628" t="s">
        <v>41</v>
      </c>
      <c r="H628" t="s">
        <v>87</v>
      </c>
      <c r="I628" t="s">
        <v>40</v>
      </c>
      <c r="J628" t="s">
        <v>2215</v>
      </c>
      <c r="K628" t="s">
        <v>45</v>
      </c>
      <c r="L628" t="s">
        <v>43</v>
      </c>
      <c r="M628" t="s">
        <v>364</v>
      </c>
      <c r="N628" t="s">
        <v>47</v>
      </c>
      <c r="O628" t="s">
        <v>41</v>
      </c>
      <c r="P628" t="s">
        <v>65</v>
      </c>
      <c r="Q628" t="s">
        <v>45</v>
      </c>
      <c r="R628" t="s">
        <v>66</v>
      </c>
      <c r="S628" t="s">
        <v>2216</v>
      </c>
      <c r="T628" t="s">
        <v>2217</v>
      </c>
      <c r="U628" t="s">
        <v>57</v>
      </c>
      <c r="V628" t="s">
        <v>52</v>
      </c>
      <c r="W628" t="s">
        <v>59</v>
      </c>
      <c r="X628" t="s">
        <v>92</v>
      </c>
      <c r="Y628" t="s">
        <v>45</v>
      </c>
      <c r="Z628" t="s">
        <v>45</v>
      </c>
      <c r="AA628" t="s">
        <v>54</v>
      </c>
      <c r="AB628" t="s">
        <v>40</v>
      </c>
      <c r="AC628" t="s">
        <v>91</v>
      </c>
      <c r="AD628" t="s">
        <v>45</v>
      </c>
      <c r="AE628" t="s">
        <v>41</v>
      </c>
      <c r="AF628" t="s">
        <v>57</v>
      </c>
      <c r="AG628" t="s">
        <v>45</v>
      </c>
      <c r="AH628" t="s">
        <v>40</v>
      </c>
      <c r="AI628" t="s">
        <v>45</v>
      </c>
    </row>
    <row r="629" spans="1:35" x14ac:dyDescent="0.25">
      <c r="A629" t="s">
        <v>251</v>
      </c>
      <c r="B629" t="s">
        <v>59</v>
      </c>
      <c r="C629" t="s">
        <v>60</v>
      </c>
      <c r="D629" t="s">
        <v>243</v>
      </c>
      <c r="E629" t="s">
        <v>62</v>
      </c>
      <c r="F629" t="s">
        <v>172</v>
      </c>
      <c r="G629" t="s">
        <v>47</v>
      </c>
      <c r="H629" t="s">
        <v>87</v>
      </c>
      <c r="I629" t="s">
        <v>40</v>
      </c>
      <c r="J629" t="s">
        <v>2218</v>
      </c>
      <c r="K629" t="s">
        <v>45</v>
      </c>
      <c r="L629" t="s">
        <v>43</v>
      </c>
      <c r="M629" t="s">
        <v>101</v>
      </c>
      <c r="N629" t="s">
        <v>41</v>
      </c>
      <c r="O629" t="s">
        <v>47</v>
      </c>
      <c r="P629" t="s">
        <v>116</v>
      </c>
      <c r="Q629" t="s">
        <v>47</v>
      </c>
      <c r="R629" t="s">
        <v>66</v>
      </c>
      <c r="S629" t="s">
        <v>2219</v>
      </c>
      <c r="T629" t="s">
        <v>2220</v>
      </c>
      <c r="U629" t="s">
        <v>45</v>
      </c>
      <c r="V629" t="s">
        <v>52</v>
      </c>
      <c r="W629" t="s">
        <v>59</v>
      </c>
      <c r="X629" t="s">
        <v>112</v>
      </c>
      <c r="Y629" t="s">
        <v>47</v>
      </c>
      <c r="Z629" t="s">
        <v>45</v>
      </c>
      <c r="AA629" t="s">
        <v>54</v>
      </c>
      <c r="AB629" t="s">
        <v>55</v>
      </c>
      <c r="AC629" t="s">
        <v>137</v>
      </c>
      <c r="AD629" t="s">
        <v>45</v>
      </c>
      <c r="AE629" t="s">
        <v>45</v>
      </c>
      <c r="AF629" t="s">
        <v>91</v>
      </c>
      <c r="AG629" t="s">
        <v>51</v>
      </c>
      <c r="AH629" t="s">
        <v>55</v>
      </c>
      <c r="AI629" t="s">
        <v>55</v>
      </c>
    </row>
    <row r="630" spans="1:35" x14ac:dyDescent="0.25">
      <c r="A630" t="s">
        <v>72</v>
      </c>
      <c r="B630" t="s">
        <v>59</v>
      </c>
      <c r="C630" t="s">
        <v>37</v>
      </c>
      <c r="D630" t="s">
        <v>1029</v>
      </c>
      <c r="E630" t="s">
        <v>39</v>
      </c>
      <c r="F630" t="s">
        <v>128</v>
      </c>
      <c r="G630" t="s">
        <v>47</v>
      </c>
      <c r="H630" t="s">
        <v>206</v>
      </c>
      <c r="I630" t="s">
        <v>40</v>
      </c>
      <c r="J630" t="s">
        <v>2221</v>
      </c>
      <c r="K630" t="s">
        <v>47</v>
      </c>
      <c r="L630" t="s">
        <v>63</v>
      </c>
      <c r="M630" t="s">
        <v>375</v>
      </c>
      <c r="N630" t="s">
        <v>41</v>
      </c>
      <c r="O630" t="s">
        <v>41</v>
      </c>
      <c r="P630" t="s">
        <v>46</v>
      </c>
      <c r="Q630" t="s">
        <v>45</v>
      </c>
      <c r="R630" t="s">
        <v>109</v>
      </c>
      <c r="S630" t="s">
        <v>2222</v>
      </c>
      <c r="T630" t="s">
        <v>2223</v>
      </c>
      <c r="U630" t="s">
        <v>47</v>
      </c>
      <c r="V630" t="s">
        <v>52</v>
      </c>
      <c r="W630" t="s">
        <v>59</v>
      </c>
      <c r="X630" t="s">
        <v>144</v>
      </c>
      <c r="Y630" t="s">
        <v>45</v>
      </c>
      <c r="Z630" t="s">
        <v>47</v>
      </c>
      <c r="AA630" t="s">
        <v>54</v>
      </c>
      <c r="AB630" t="s">
        <v>41</v>
      </c>
      <c r="AC630" t="s">
        <v>91</v>
      </c>
      <c r="AD630" t="s">
        <v>41</v>
      </c>
      <c r="AE630" t="s">
        <v>45</v>
      </c>
      <c r="AF630" t="s">
        <v>40</v>
      </c>
      <c r="AG630" t="s">
        <v>55</v>
      </c>
      <c r="AH630" t="s">
        <v>55</v>
      </c>
      <c r="AI630" t="s">
        <v>55</v>
      </c>
    </row>
    <row r="631" spans="1:35" x14ac:dyDescent="0.25">
      <c r="A631" t="s">
        <v>149</v>
      </c>
      <c r="B631" t="s">
        <v>59</v>
      </c>
      <c r="C631" t="s">
        <v>37</v>
      </c>
      <c r="D631" t="s">
        <v>690</v>
      </c>
      <c r="E631" t="s">
        <v>397</v>
      </c>
      <c r="F631" t="s">
        <v>51</v>
      </c>
      <c r="G631" t="s">
        <v>41</v>
      </c>
      <c r="H631" t="s">
        <v>87</v>
      </c>
      <c r="I631" t="s">
        <v>40</v>
      </c>
      <c r="J631" t="s">
        <v>238</v>
      </c>
      <c r="K631" t="s">
        <v>41</v>
      </c>
      <c r="L631" t="s">
        <v>63</v>
      </c>
      <c r="M631" t="s">
        <v>288</v>
      </c>
      <c r="N631" t="s">
        <v>41</v>
      </c>
      <c r="O631" t="s">
        <v>40</v>
      </c>
      <c r="P631" t="s">
        <v>397</v>
      </c>
      <c r="Q631" t="s">
        <v>47</v>
      </c>
      <c r="R631" t="s">
        <v>109</v>
      </c>
      <c r="S631" t="s">
        <v>1467</v>
      </c>
      <c r="T631" t="s">
        <v>2224</v>
      </c>
      <c r="U631" t="s">
        <v>40</v>
      </c>
      <c r="V631" t="s">
        <v>52</v>
      </c>
      <c r="W631" t="s">
        <v>59</v>
      </c>
      <c r="X631" t="s">
        <v>98</v>
      </c>
      <c r="Y631" t="s">
        <v>45</v>
      </c>
      <c r="Z631" t="s">
        <v>47</v>
      </c>
      <c r="AA631" t="s">
        <v>54</v>
      </c>
      <c r="AB631" t="s">
        <v>40</v>
      </c>
      <c r="AC631" t="s">
        <v>56</v>
      </c>
      <c r="AD631" t="s">
        <v>56</v>
      </c>
      <c r="AE631" t="s">
        <v>45</v>
      </c>
      <c r="AF631" t="s">
        <v>57</v>
      </c>
      <c r="AG631" t="s">
        <v>40</v>
      </c>
      <c r="AH631" t="s">
        <v>55</v>
      </c>
      <c r="AI631" t="s">
        <v>47</v>
      </c>
    </row>
    <row r="632" spans="1:35" x14ac:dyDescent="0.25">
      <c r="A632" t="s">
        <v>112</v>
      </c>
      <c r="B632" t="s">
        <v>59</v>
      </c>
      <c r="C632" t="s">
        <v>37</v>
      </c>
      <c r="D632" t="s">
        <v>2225</v>
      </c>
      <c r="E632" t="s">
        <v>62</v>
      </c>
      <c r="F632" t="s">
        <v>40</v>
      </c>
      <c r="G632" t="s">
        <v>41</v>
      </c>
      <c r="H632" t="s">
        <v>42</v>
      </c>
      <c r="I632" t="s">
        <v>40</v>
      </c>
      <c r="J632" t="s">
        <v>2226</v>
      </c>
      <c r="K632" t="s">
        <v>47</v>
      </c>
      <c r="L632" t="s">
        <v>63</v>
      </c>
      <c r="M632" t="s">
        <v>80</v>
      </c>
      <c r="N632" t="s">
        <v>41</v>
      </c>
      <c r="O632" t="s">
        <v>41</v>
      </c>
      <c r="P632" t="s">
        <v>116</v>
      </c>
      <c r="Q632" t="s">
        <v>47</v>
      </c>
      <c r="R632" t="s">
        <v>66</v>
      </c>
      <c r="S632" t="s">
        <v>2227</v>
      </c>
      <c r="T632" t="s">
        <v>2228</v>
      </c>
      <c r="U632" t="s">
        <v>56</v>
      </c>
      <c r="V632" t="s">
        <v>52</v>
      </c>
      <c r="W632" t="s">
        <v>59</v>
      </c>
      <c r="X632" t="s">
        <v>112</v>
      </c>
      <c r="Y632" t="s">
        <v>47</v>
      </c>
      <c r="Z632" t="s">
        <v>40</v>
      </c>
      <c r="AA632" t="s">
        <v>54</v>
      </c>
      <c r="AB632" t="s">
        <v>41</v>
      </c>
      <c r="AC632" t="s">
        <v>47</v>
      </c>
      <c r="AD632" t="s">
        <v>41</v>
      </c>
      <c r="AE632" t="s">
        <v>40</v>
      </c>
      <c r="AF632" t="s">
        <v>41</v>
      </c>
      <c r="AG632" t="s">
        <v>41</v>
      </c>
      <c r="AH632" t="s">
        <v>41</v>
      </c>
      <c r="AI632" t="s">
        <v>41</v>
      </c>
    </row>
    <row r="633" spans="1:35" x14ac:dyDescent="0.25">
      <c r="A633" t="s">
        <v>115</v>
      </c>
      <c r="B633" t="s">
        <v>59</v>
      </c>
      <c r="C633" t="s">
        <v>37</v>
      </c>
      <c r="D633" t="s">
        <v>1600</v>
      </c>
      <c r="E633" t="s">
        <v>62</v>
      </c>
      <c r="F633" t="s">
        <v>51</v>
      </c>
      <c r="G633" t="s">
        <v>47</v>
      </c>
      <c r="H633" t="s">
        <v>42</v>
      </c>
      <c r="I633" t="s">
        <v>40</v>
      </c>
      <c r="J633" t="s">
        <v>2229</v>
      </c>
      <c r="K633" t="s">
        <v>40</v>
      </c>
      <c r="L633" t="s">
        <v>63</v>
      </c>
      <c r="M633" t="s">
        <v>283</v>
      </c>
      <c r="N633" t="s">
        <v>47</v>
      </c>
      <c r="O633" t="s">
        <v>40</v>
      </c>
      <c r="P633" t="s">
        <v>76</v>
      </c>
      <c r="Q633" t="s">
        <v>47</v>
      </c>
      <c r="R633" t="s">
        <v>66</v>
      </c>
      <c r="S633" t="s">
        <v>2230</v>
      </c>
      <c r="T633" t="s">
        <v>2231</v>
      </c>
      <c r="U633" t="s">
        <v>41</v>
      </c>
      <c r="V633" t="s">
        <v>52</v>
      </c>
      <c r="W633" t="s">
        <v>36</v>
      </c>
      <c r="X633" t="s">
        <v>107</v>
      </c>
      <c r="Y633" t="s">
        <v>47</v>
      </c>
      <c r="Z633" t="s">
        <v>45</v>
      </c>
      <c r="AA633" t="s">
        <v>54</v>
      </c>
      <c r="AB633" t="s">
        <v>40</v>
      </c>
      <c r="AC633" t="s">
        <v>70</v>
      </c>
      <c r="AD633" t="s">
        <v>41</v>
      </c>
      <c r="AE633" t="s">
        <v>41</v>
      </c>
      <c r="AF633" t="s">
        <v>45</v>
      </c>
      <c r="AG633" t="s">
        <v>41</v>
      </c>
      <c r="AH633" t="s">
        <v>55</v>
      </c>
      <c r="AI633" t="s">
        <v>41</v>
      </c>
    </row>
    <row r="634" spans="1:35" x14ac:dyDescent="0.25">
      <c r="A634" t="s">
        <v>204</v>
      </c>
      <c r="B634" t="s">
        <v>59</v>
      </c>
      <c r="C634" t="s">
        <v>60</v>
      </c>
      <c r="D634" t="s">
        <v>2232</v>
      </c>
      <c r="E634" t="s">
        <v>62</v>
      </c>
      <c r="F634" t="s">
        <v>41</v>
      </c>
      <c r="G634" t="s">
        <v>40</v>
      </c>
      <c r="H634" t="s">
        <v>87</v>
      </c>
      <c r="I634" t="s">
        <v>40</v>
      </c>
      <c r="J634" t="s">
        <v>2233</v>
      </c>
      <c r="K634" t="s">
        <v>41</v>
      </c>
      <c r="L634" t="s">
        <v>63</v>
      </c>
      <c r="M634" t="s">
        <v>126</v>
      </c>
      <c r="N634" t="s">
        <v>45</v>
      </c>
      <c r="O634" t="s">
        <v>40</v>
      </c>
      <c r="P634" t="s">
        <v>65</v>
      </c>
      <c r="Q634" t="s">
        <v>47</v>
      </c>
      <c r="R634" t="s">
        <v>48</v>
      </c>
      <c r="S634" t="s">
        <v>2234</v>
      </c>
      <c r="T634" t="s">
        <v>2235</v>
      </c>
      <c r="U634" t="s">
        <v>57</v>
      </c>
      <c r="V634" t="s">
        <v>52</v>
      </c>
      <c r="W634" t="s">
        <v>36</v>
      </c>
      <c r="X634" t="s">
        <v>129</v>
      </c>
      <c r="Y634" t="s">
        <v>45</v>
      </c>
      <c r="Z634" t="s">
        <v>47</v>
      </c>
      <c r="AA634" t="s">
        <v>54</v>
      </c>
      <c r="AB634" t="s">
        <v>55</v>
      </c>
      <c r="AC634" t="s">
        <v>51</v>
      </c>
      <c r="AD634" t="s">
        <v>41</v>
      </c>
      <c r="AE634" t="s">
        <v>45</v>
      </c>
      <c r="AF634" t="s">
        <v>41</v>
      </c>
      <c r="AG634" t="s">
        <v>40</v>
      </c>
      <c r="AH634" t="s">
        <v>41</v>
      </c>
      <c r="AI634" t="s">
        <v>41</v>
      </c>
    </row>
    <row r="635" spans="1:35" x14ac:dyDescent="0.25">
      <c r="A635" t="s">
        <v>120</v>
      </c>
      <c r="B635" t="s">
        <v>59</v>
      </c>
      <c r="C635" t="s">
        <v>37</v>
      </c>
      <c r="D635" t="s">
        <v>2236</v>
      </c>
      <c r="E635" t="s">
        <v>397</v>
      </c>
      <c r="F635" t="s">
        <v>51</v>
      </c>
      <c r="G635" t="s">
        <v>45</v>
      </c>
      <c r="H635" t="s">
        <v>42</v>
      </c>
      <c r="I635" t="s">
        <v>40</v>
      </c>
      <c r="J635" t="s">
        <v>854</v>
      </c>
      <c r="K635" t="s">
        <v>40</v>
      </c>
      <c r="L635" t="s">
        <v>63</v>
      </c>
      <c r="M635" t="s">
        <v>326</v>
      </c>
      <c r="N635" t="s">
        <v>41</v>
      </c>
      <c r="O635" t="s">
        <v>40</v>
      </c>
      <c r="P635" t="s">
        <v>397</v>
      </c>
      <c r="Q635" t="s">
        <v>40</v>
      </c>
      <c r="R635" t="s">
        <v>66</v>
      </c>
      <c r="S635" t="s">
        <v>2002</v>
      </c>
      <c r="T635" t="s">
        <v>2237</v>
      </c>
      <c r="U635" t="s">
        <v>55</v>
      </c>
      <c r="V635" t="s">
        <v>52</v>
      </c>
      <c r="W635" t="s">
        <v>59</v>
      </c>
      <c r="X635" t="s">
        <v>119</v>
      </c>
      <c r="Y635" t="s">
        <v>47</v>
      </c>
      <c r="Z635" t="s">
        <v>45</v>
      </c>
      <c r="AA635" t="s">
        <v>54</v>
      </c>
      <c r="AB635" t="s">
        <v>55</v>
      </c>
      <c r="AC635" t="s">
        <v>56</v>
      </c>
      <c r="AD635" t="s">
        <v>45</v>
      </c>
      <c r="AE635" t="s">
        <v>45</v>
      </c>
      <c r="AF635" t="s">
        <v>57</v>
      </c>
      <c r="AG635" t="s">
        <v>47</v>
      </c>
      <c r="AH635" t="s">
        <v>55</v>
      </c>
      <c r="AI635" t="s">
        <v>45</v>
      </c>
    </row>
    <row r="636" spans="1:35" x14ac:dyDescent="0.25">
      <c r="A636" t="s">
        <v>172</v>
      </c>
      <c r="B636" t="s">
        <v>59</v>
      </c>
      <c r="C636" t="s">
        <v>37</v>
      </c>
      <c r="D636" t="s">
        <v>500</v>
      </c>
      <c r="E636" t="s">
        <v>39</v>
      </c>
      <c r="F636" t="s">
        <v>45</v>
      </c>
      <c r="G636" t="s">
        <v>40</v>
      </c>
      <c r="H636" t="s">
        <v>74</v>
      </c>
      <c r="I636" t="s">
        <v>40</v>
      </c>
      <c r="J636" t="s">
        <v>2238</v>
      </c>
      <c r="K636" t="s">
        <v>45</v>
      </c>
      <c r="L636" t="s">
        <v>63</v>
      </c>
      <c r="M636" t="s">
        <v>284</v>
      </c>
      <c r="N636" t="s">
        <v>45</v>
      </c>
      <c r="O636" t="s">
        <v>41</v>
      </c>
      <c r="P636" t="s">
        <v>46</v>
      </c>
      <c r="Q636" t="s">
        <v>40</v>
      </c>
      <c r="R636" t="s">
        <v>66</v>
      </c>
      <c r="S636" t="s">
        <v>2239</v>
      </c>
      <c r="T636" t="s">
        <v>2240</v>
      </c>
      <c r="U636" t="s">
        <v>40</v>
      </c>
      <c r="V636" t="s">
        <v>52</v>
      </c>
      <c r="W636" t="s">
        <v>36</v>
      </c>
      <c r="X636" t="s">
        <v>145</v>
      </c>
      <c r="Y636" t="s">
        <v>45</v>
      </c>
      <c r="Z636" t="s">
        <v>47</v>
      </c>
      <c r="AA636" t="s">
        <v>54</v>
      </c>
      <c r="AB636" t="s">
        <v>55</v>
      </c>
      <c r="AC636" t="s">
        <v>57</v>
      </c>
      <c r="AD636" t="s">
        <v>45</v>
      </c>
      <c r="AE636" t="s">
        <v>45</v>
      </c>
      <c r="AF636" t="s">
        <v>57</v>
      </c>
      <c r="AG636" t="s">
        <v>45</v>
      </c>
      <c r="AH636" t="s">
        <v>55</v>
      </c>
      <c r="AI636" t="s">
        <v>45</v>
      </c>
    </row>
    <row r="637" spans="1:35" x14ac:dyDescent="0.25">
      <c r="A637" t="s">
        <v>126</v>
      </c>
      <c r="B637" t="s">
        <v>59</v>
      </c>
      <c r="C637" t="s">
        <v>37</v>
      </c>
      <c r="D637" t="s">
        <v>2241</v>
      </c>
      <c r="E637" t="s">
        <v>62</v>
      </c>
      <c r="F637" t="s">
        <v>91</v>
      </c>
      <c r="G637" t="s">
        <v>45</v>
      </c>
      <c r="H637" t="s">
        <v>42</v>
      </c>
      <c r="I637" t="s">
        <v>40</v>
      </c>
      <c r="J637" t="s">
        <v>2242</v>
      </c>
      <c r="K637" t="s">
        <v>47</v>
      </c>
      <c r="L637" t="s">
        <v>43</v>
      </c>
      <c r="M637" t="s">
        <v>375</v>
      </c>
      <c r="N637" t="s">
        <v>41</v>
      </c>
      <c r="O637" t="s">
        <v>45</v>
      </c>
      <c r="P637" t="s">
        <v>116</v>
      </c>
      <c r="Q637" t="s">
        <v>45</v>
      </c>
      <c r="R637" t="s">
        <v>66</v>
      </c>
      <c r="S637" t="s">
        <v>2243</v>
      </c>
      <c r="T637" t="s">
        <v>2244</v>
      </c>
      <c r="U637" t="s">
        <v>40</v>
      </c>
      <c r="V637" t="s">
        <v>52</v>
      </c>
      <c r="W637" t="s">
        <v>36</v>
      </c>
      <c r="X637" t="s">
        <v>104</v>
      </c>
      <c r="Y637" t="s">
        <v>47</v>
      </c>
      <c r="Z637" t="s">
        <v>41</v>
      </c>
      <c r="AA637" t="s">
        <v>54</v>
      </c>
      <c r="AB637" t="s">
        <v>40</v>
      </c>
      <c r="AC637" t="s">
        <v>125</v>
      </c>
      <c r="AD637" t="s">
        <v>41</v>
      </c>
      <c r="AE637" t="s">
        <v>45</v>
      </c>
      <c r="AF637" t="s">
        <v>125</v>
      </c>
      <c r="AG637" t="s">
        <v>129</v>
      </c>
      <c r="AH637" t="s">
        <v>57</v>
      </c>
      <c r="AI637" t="s">
        <v>79</v>
      </c>
    </row>
    <row r="638" spans="1:35" x14ac:dyDescent="0.25">
      <c r="A638" t="s">
        <v>126</v>
      </c>
      <c r="B638" t="s">
        <v>36</v>
      </c>
      <c r="C638" t="s">
        <v>60</v>
      </c>
      <c r="D638" t="s">
        <v>2245</v>
      </c>
      <c r="E638" t="s">
        <v>62</v>
      </c>
      <c r="F638" t="s">
        <v>172</v>
      </c>
      <c r="G638" t="s">
        <v>47</v>
      </c>
      <c r="H638" t="s">
        <v>42</v>
      </c>
      <c r="I638" t="s">
        <v>40</v>
      </c>
      <c r="J638" t="s">
        <v>2246</v>
      </c>
      <c r="K638" t="s">
        <v>47</v>
      </c>
      <c r="L638" t="s">
        <v>43</v>
      </c>
      <c r="M638" t="s">
        <v>163</v>
      </c>
      <c r="N638" t="s">
        <v>45</v>
      </c>
      <c r="O638" t="s">
        <v>40</v>
      </c>
      <c r="P638" t="s">
        <v>65</v>
      </c>
      <c r="Q638" t="s">
        <v>41</v>
      </c>
      <c r="R638" t="s">
        <v>109</v>
      </c>
      <c r="S638" t="s">
        <v>2247</v>
      </c>
      <c r="T638" t="s">
        <v>2248</v>
      </c>
      <c r="U638" t="s">
        <v>40</v>
      </c>
      <c r="V638" t="s">
        <v>52</v>
      </c>
      <c r="W638" t="s">
        <v>36</v>
      </c>
      <c r="X638" t="s">
        <v>144</v>
      </c>
      <c r="Y638" t="s">
        <v>45</v>
      </c>
      <c r="Z638" t="s">
        <v>40</v>
      </c>
      <c r="AA638" t="s">
        <v>54</v>
      </c>
      <c r="AB638" t="s">
        <v>40</v>
      </c>
      <c r="AC638" t="s">
        <v>70</v>
      </c>
      <c r="AD638" t="s">
        <v>45</v>
      </c>
      <c r="AE638" t="s">
        <v>41</v>
      </c>
      <c r="AF638" t="s">
        <v>70</v>
      </c>
      <c r="AG638" t="s">
        <v>41</v>
      </c>
      <c r="AH638" t="s">
        <v>71</v>
      </c>
      <c r="AI638" t="s">
        <v>51</v>
      </c>
    </row>
    <row r="639" spans="1:35" x14ac:dyDescent="0.25">
      <c r="A639" t="s">
        <v>93</v>
      </c>
      <c r="B639" t="s">
        <v>59</v>
      </c>
      <c r="C639" t="s">
        <v>161</v>
      </c>
      <c r="D639" t="s">
        <v>911</v>
      </c>
      <c r="E639" t="s">
        <v>62</v>
      </c>
      <c r="F639" t="s">
        <v>40</v>
      </c>
      <c r="G639" t="s">
        <v>45</v>
      </c>
      <c r="H639" t="s">
        <v>42</v>
      </c>
      <c r="I639" t="s">
        <v>40</v>
      </c>
      <c r="J639" t="s">
        <v>2249</v>
      </c>
      <c r="K639" t="s">
        <v>47</v>
      </c>
      <c r="L639" t="s">
        <v>63</v>
      </c>
      <c r="M639" t="s">
        <v>64</v>
      </c>
      <c r="N639" t="s">
        <v>45</v>
      </c>
      <c r="O639" t="s">
        <v>40</v>
      </c>
      <c r="P639" t="s">
        <v>76</v>
      </c>
      <c r="Q639" t="s">
        <v>47</v>
      </c>
      <c r="R639" t="s">
        <v>109</v>
      </c>
      <c r="S639" t="s">
        <v>2250</v>
      </c>
      <c r="T639" t="s">
        <v>2251</v>
      </c>
      <c r="U639" t="s">
        <v>55</v>
      </c>
      <c r="V639" t="s">
        <v>52</v>
      </c>
      <c r="W639" t="s">
        <v>59</v>
      </c>
      <c r="X639" t="s">
        <v>92</v>
      </c>
      <c r="Y639" t="s">
        <v>45</v>
      </c>
      <c r="Z639" t="s">
        <v>41</v>
      </c>
      <c r="AA639" t="s">
        <v>54</v>
      </c>
      <c r="AB639" t="s">
        <v>40</v>
      </c>
      <c r="AC639" t="s">
        <v>47</v>
      </c>
      <c r="AD639" t="s">
        <v>41</v>
      </c>
      <c r="AE639" t="s">
        <v>45</v>
      </c>
      <c r="AF639" t="s">
        <v>45</v>
      </c>
      <c r="AG639" t="s">
        <v>55</v>
      </c>
      <c r="AH639" t="s">
        <v>55</v>
      </c>
      <c r="AI639" t="s">
        <v>41</v>
      </c>
    </row>
    <row r="640" spans="1:35" x14ac:dyDescent="0.25">
      <c r="A640" t="s">
        <v>172</v>
      </c>
      <c r="B640" t="s">
        <v>59</v>
      </c>
      <c r="C640" t="s">
        <v>37</v>
      </c>
      <c r="D640" t="s">
        <v>2252</v>
      </c>
      <c r="E640" t="s">
        <v>39</v>
      </c>
      <c r="F640" t="s">
        <v>47</v>
      </c>
      <c r="G640" t="s">
        <v>40</v>
      </c>
      <c r="H640" t="s">
        <v>206</v>
      </c>
      <c r="I640" t="s">
        <v>40</v>
      </c>
      <c r="J640" t="s">
        <v>1890</v>
      </c>
      <c r="K640" t="s">
        <v>45</v>
      </c>
      <c r="L640" t="s">
        <v>63</v>
      </c>
      <c r="M640" t="s">
        <v>371</v>
      </c>
      <c r="N640" t="s">
        <v>41</v>
      </c>
      <c r="O640" t="s">
        <v>41</v>
      </c>
      <c r="P640" t="s">
        <v>46</v>
      </c>
      <c r="Q640" t="s">
        <v>40</v>
      </c>
      <c r="R640" t="s">
        <v>66</v>
      </c>
      <c r="S640" t="s">
        <v>2253</v>
      </c>
      <c r="T640" t="s">
        <v>2254</v>
      </c>
      <c r="U640" t="s">
        <v>40</v>
      </c>
      <c r="V640" t="s">
        <v>52</v>
      </c>
      <c r="W640" t="s">
        <v>59</v>
      </c>
      <c r="X640" t="s">
        <v>92</v>
      </c>
      <c r="Y640" t="s">
        <v>45</v>
      </c>
      <c r="Z640" t="s">
        <v>40</v>
      </c>
      <c r="AA640" t="s">
        <v>54</v>
      </c>
      <c r="AB640" t="s">
        <v>55</v>
      </c>
      <c r="AC640" t="s">
        <v>57</v>
      </c>
      <c r="AD640" t="s">
        <v>40</v>
      </c>
      <c r="AE640" t="s">
        <v>47</v>
      </c>
      <c r="AF640" t="s">
        <v>57</v>
      </c>
      <c r="AG640" t="s">
        <v>41</v>
      </c>
      <c r="AH640" t="s">
        <v>55</v>
      </c>
      <c r="AI640" t="s">
        <v>45</v>
      </c>
    </row>
    <row r="641" spans="1:35" x14ac:dyDescent="0.25">
      <c r="A641" t="s">
        <v>58</v>
      </c>
      <c r="B641" t="s">
        <v>59</v>
      </c>
      <c r="C641" t="s">
        <v>37</v>
      </c>
      <c r="D641" t="s">
        <v>2255</v>
      </c>
      <c r="E641" t="s">
        <v>62</v>
      </c>
      <c r="F641" t="s">
        <v>40</v>
      </c>
      <c r="G641" t="s">
        <v>45</v>
      </c>
      <c r="H641" t="s">
        <v>228</v>
      </c>
      <c r="I641" t="s">
        <v>40</v>
      </c>
      <c r="J641" t="s">
        <v>2179</v>
      </c>
      <c r="K641" t="s">
        <v>45</v>
      </c>
      <c r="L641" t="s">
        <v>43</v>
      </c>
      <c r="M641" t="s">
        <v>120</v>
      </c>
      <c r="N641" t="s">
        <v>45</v>
      </c>
      <c r="O641" t="s">
        <v>40</v>
      </c>
      <c r="P641" t="s">
        <v>65</v>
      </c>
      <c r="Q641" t="s">
        <v>40</v>
      </c>
      <c r="R641" t="s">
        <v>66</v>
      </c>
      <c r="S641" t="s">
        <v>2256</v>
      </c>
      <c r="T641" t="s">
        <v>2257</v>
      </c>
      <c r="U641" t="s">
        <v>41</v>
      </c>
      <c r="V641" t="s">
        <v>52</v>
      </c>
      <c r="W641" t="s">
        <v>59</v>
      </c>
      <c r="X641" t="s">
        <v>128</v>
      </c>
      <c r="Y641" t="s">
        <v>45</v>
      </c>
      <c r="Z641" t="s">
        <v>41</v>
      </c>
      <c r="AA641" t="s">
        <v>54</v>
      </c>
      <c r="AB641" t="s">
        <v>40</v>
      </c>
      <c r="AC641" t="s">
        <v>71</v>
      </c>
      <c r="AD641" t="s">
        <v>41</v>
      </c>
      <c r="AE641" t="s">
        <v>45</v>
      </c>
      <c r="AF641" t="s">
        <v>47</v>
      </c>
      <c r="AG641" t="s">
        <v>41</v>
      </c>
      <c r="AH641" t="s">
        <v>55</v>
      </c>
      <c r="AI641" t="s">
        <v>41</v>
      </c>
    </row>
    <row r="642" spans="1:35" x14ac:dyDescent="0.25">
      <c r="A642" t="s">
        <v>107</v>
      </c>
      <c r="B642" t="s">
        <v>59</v>
      </c>
      <c r="C642" t="s">
        <v>161</v>
      </c>
      <c r="D642" t="s">
        <v>2258</v>
      </c>
      <c r="E642" t="s">
        <v>62</v>
      </c>
      <c r="F642" t="s">
        <v>47</v>
      </c>
      <c r="G642" t="s">
        <v>40</v>
      </c>
      <c r="H642" t="s">
        <v>42</v>
      </c>
      <c r="I642" t="s">
        <v>40</v>
      </c>
      <c r="J642" t="s">
        <v>2259</v>
      </c>
      <c r="K642" t="s">
        <v>40</v>
      </c>
      <c r="L642" t="s">
        <v>63</v>
      </c>
      <c r="M642" t="s">
        <v>213</v>
      </c>
      <c r="N642" t="s">
        <v>41</v>
      </c>
      <c r="O642" t="s">
        <v>40</v>
      </c>
      <c r="P642" t="s">
        <v>76</v>
      </c>
      <c r="Q642" t="s">
        <v>47</v>
      </c>
      <c r="R642" t="s">
        <v>66</v>
      </c>
      <c r="S642" t="s">
        <v>2260</v>
      </c>
      <c r="T642" t="s">
        <v>2261</v>
      </c>
      <c r="U642" t="s">
        <v>55</v>
      </c>
      <c r="V642" t="s">
        <v>52</v>
      </c>
      <c r="W642" t="s">
        <v>59</v>
      </c>
      <c r="X642" t="s">
        <v>125</v>
      </c>
      <c r="Y642" t="s">
        <v>45</v>
      </c>
      <c r="Z642" t="s">
        <v>47</v>
      </c>
      <c r="AA642" t="s">
        <v>54</v>
      </c>
      <c r="AB642" t="s">
        <v>55</v>
      </c>
      <c r="AC642" t="s">
        <v>56</v>
      </c>
      <c r="AD642" t="s">
        <v>41</v>
      </c>
      <c r="AE642" t="s">
        <v>41</v>
      </c>
      <c r="AF642" t="s">
        <v>57</v>
      </c>
      <c r="AG642" t="s">
        <v>41</v>
      </c>
      <c r="AH642" t="s">
        <v>45</v>
      </c>
      <c r="AI642" t="s">
        <v>47</v>
      </c>
    </row>
    <row r="643" spans="1:35" x14ac:dyDescent="0.25">
      <c r="A643" t="s">
        <v>93</v>
      </c>
      <c r="B643" t="s">
        <v>59</v>
      </c>
      <c r="C643" t="s">
        <v>60</v>
      </c>
      <c r="D643" t="s">
        <v>1116</v>
      </c>
      <c r="E643" t="s">
        <v>39</v>
      </c>
      <c r="F643" t="s">
        <v>57</v>
      </c>
      <c r="G643" t="s">
        <v>41</v>
      </c>
      <c r="H643" t="s">
        <v>42</v>
      </c>
      <c r="I643" t="s">
        <v>40</v>
      </c>
      <c r="J643" t="s">
        <v>1189</v>
      </c>
      <c r="K643" t="s">
        <v>41</v>
      </c>
      <c r="L643" t="s">
        <v>63</v>
      </c>
      <c r="M643" t="s">
        <v>207</v>
      </c>
      <c r="N643" t="s">
        <v>45</v>
      </c>
      <c r="O643" t="s">
        <v>41</v>
      </c>
      <c r="P643" t="s">
        <v>46</v>
      </c>
      <c r="Q643" t="s">
        <v>41</v>
      </c>
      <c r="R643" t="s">
        <v>66</v>
      </c>
      <c r="S643" t="s">
        <v>2262</v>
      </c>
      <c r="T643" t="s">
        <v>2263</v>
      </c>
      <c r="U643" t="s">
        <v>40</v>
      </c>
      <c r="V643" t="s">
        <v>52</v>
      </c>
      <c r="W643" t="s">
        <v>59</v>
      </c>
      <c r="X643" t="s">
        <v>129</v>
      </c>
      <c r="Y643" t="s">
        <v>45</v>
      </c>
      <c r="Z643" t="s">
        <v>47</v>
      </c>
      <c r="AA643" t="s">
        <v>54</v>
      </c>
      <c r="AB643" t="s">
        <v>40</v>
      </c>
      <c r="AC643" t="s">
        <v>70</v>
      </c>
      <c r="AD643" t="s">
        <v>45</v>
      </c>
      <c r="AE643" t="s">
        <v>45</v>
      </c>
      <c r="AF643" t="s">
        <v>70</v>
      </c>
      <c r="AG643" t="s">
        <v>51</v>
      </c>
      <c r="AH643" t="s">
        <v>57</v>
      </c>
      <c r="AI643" t="s">
        <v>45</v>
      </c>
    </row>
    <row r="644" spans="1:35" x14ac:dyDescent="0.25">
      <c r="A644" t="s">
        <v>113</v>
      </c>
      <c r="B644" t="s">
        <v>59</v>
      </c>
      <c r="C644" t="s">
        <v>37</v>
      </c>
      <c r="D644" t="s">
        <v>1171</v>
      </c>
      <c r="E644" t="s">
        <v>39</v>
      </c>
      <c r="F644" t="s">
        <v>91</v>
      </c>
      <c r="G644" t="s">
        <v>45</v>
      </c>
      <c r="H644" t="s">
        <v>206</v>
      </c>
      <c r="I644" t="s">
        <v>40</v>
      </c>
      <c r="J644" t="s">
        <v>2264</v>
      </c>
      <c r="K644" t="s">
        <v>41</v>
      </c>
      <c r="L644" t="s">
        <v>63</v>
      </c>
      <c r="M644" t="s">
        <v>284</v>
      </c>
      <c r="N644" t="s">
        <v>41</v>
      </c>
      <c r="O644" t="s">
        <v>40</v>
      </c>
      <c r="P644" t="s">
        <v>182</v>
      </c>
      <c r="Q644" t="s">
        <v>41</v>
      </c>
      <c r="R644" t="s">
        <v>66</v>
      </c>
      <c r="S644" t="s">
        <v>2265</v>
      </c>
      <c r="T644" t="s">
        <v>2266</v>
      </c>
      <c r="U644" t="s">
        <v>55</v>
      </c>
      <c r="V644" t="s">
        <v>52</v>
      </c>
      <c r="W644" t="s">
        <v>59</v>
      </c>
      <c r="X644" t="s">
        <v>144</v>
      </c>
      <c r="Y644" t="s">
        <v>45</v>
      </c>
      <c r="Z644" t="s">
        <v>47</v>
      </c>
      <c r="AA644" t="s">
        <v>54</v>
      </c>
      <c r="AB644" t="s">
        <v>40</v>
      </c>
      <c r="AC644" t="s">
        <v>45</v>
      </c>
      <c r="AD644" t="s">
        <v>45</v>
      </c>
      <c r="AE644" t="s">
        <v>45</v>
      </c>
      <c r="AF644" t="s">
        <v>41</v>
      </c>
      <c r="AG644" t="s">
        <v>41</v>
      </c>
      <c r="AH644" t="s">
        <v>40</v>
      </c>
      <c r="AI644" t="s">
        <v>41</v>
      </c>
    </row>
    <row r="645" spans="1:35" x14ac:dyDescent="0.25">
      <c r="A645" t="s">
        <v>204</v>
      </c>
      <c r="B645" t="s">
        <v>59</v>
      </c>
      <c r="C645" t="s">
        <v>37</v>
      </c>
      <c r="D645" t="s">
        <v>2267</v>
      </c>
      <c r="E645" t="s">
        <v>62</v>
      </c>
      <c r="F645" t="s">
        <v>45</v>
      </c>
      <c r="G645" t="s">
        <v>45</v>
      </c>
      <c r="H645" t="s">
        <v>42</v>
      </c>
      <c r="I645" t="s">
        <v>40</v>
      </c>
      <c r="J645" t="s">
        <v>813</v>
      </c>
      <c r="K645" t="s">
        <v>45</v>
      </c>
      <c r="L645" t="s">
        <v>43</v>
      </c>
      <c r="M645" t="s">
        <v>349</v>
      </c>
      <c r="N645" t="s">
        <v>47</v>
      </c>
      <c r="O645" t="s">
        <v>41</v>
      </c>
      <c r="P645" t="s">
        <v>76</v>
      </c>
      <c r="Q645" t="s">
        <v>47</v>
      </c>
      <c r="R645" t="s">
        <v>66</v>
      </c>
      <c r="S645" t="s">
        <v>2268</v>
      </c>
      <c r="T645" t="s">
        <v>2269</v>
      </c>
      <c r="U645" t="s">
        <v>41</v>
      </c>
      <c r="V645" t="s">
        <v>52</v>
      </c>
      <c r="W645" t="s">
        <v>36</v>
      </c>
      <c r="X645" t="s">
        <v>98</v>
      </c>
      <c r="Y645" t="s">
        <v>45</v>
      </c>
      <c r="Z645" t="s">
        <v>41</v>
      </c>
      <c r="AA645" t="s">
        <v>54</v>
      </c>
      <c r="AB645" t="s">
        <v>40</v>
      </c>
      <c r="AC645" t="s">
        <v>125</v>
      </c>
      <c r="AD645" t="s">
        <v>40</v>
      </c>
      <c r="AE645" t="s">
        <v>41</v>
      </c>
      <c r="AF645" t="s">
        <v>57</v>
      </c>
      <c r="AG645" t="s">
        <v>45</v>
      </c>
      <c r="AH645" t="s">
        <v>40</v>
      </c>
      <c r="AI645" t="s">
        <v>45</v>
      </c>
    </row>
    <row r="646" spans="1:35" x14ac:dyDescent="0.25">
      <c r="A646" t="s">
        <v>137</v>
      </c>
      <c r="B646" t="s">
        <v>59</v>
      </c>
      <c r="C646" t="s">
        <v>37</v>
      </c>
      <c r="D646" t="s">
        <v>2270</v>
      </c>
      <c r="E646" t="s">
        <v>62</v>
      </c>
      <c r="F646" t="s">
        <v>53</v>
      </c>
      <c r="G646" t="s">
        <v>47</v>
      </c>
      <c r="H646" t="s">
        <v>42</v>
      </c>
      <c r="I646" t="s">
        <v>40</v>
      </c>
      <c r="J646" t="s">
        <v>227</v>
      </c>
      <c r="K646" t="s">
        <v>47</v>
      </c>
      <c r="L646" t="s">
        <v>63</v>
      </c>
      <c r="M646" t="s">
        <v>207</v>
      </c>
      <c r="N646" t="s">
        <v>45</v>
      </c>
      <c r="O646" t="s">
        <v>40</v>
      </c>
      <c r="P646" t="s">
        <v>65</v>
      </c>
      <c r="Q646" t="s">
        <v>47</v>
      </c>
      <c r="R646" t="s">
        <v>66</v>
      </c>
      <c r="S646" t="s">
        <v>2271</v>
      </c>
      <c r="T646" t="s">
        <v>2272</v>
      </c>
      <c r="U646" t="s">
        <v>45</v>
      </c>
      <c r="V646" t="s">
        <v>52</v>
      </c>
      <c r="W646" t="s">
        <v>36</v>
      </c>
      <c r="X646" t="s">
        <v>144</v>
      </c>
      <c r="Y646" t="s">
        <v>45</v>
      </c>
      <c r="Z646" t="s">
        <v>41</v>
      </c>
      <c r="AA646" t="s">
        <v>54</v>
      </c>
      <c r="AB646" t="s">
        <v>40</v>
      </c>
      <c r="AC646" t="s">
        <v>51</v>
      </c>
      <c r="AD646" t="s">
        <v>41</v>
      </c>
      <c r="AE646" t="s">
        <v>45</v>
      </c>
      <c r="AF646" t="s">
        <v>56</v>
      </c>
      <c r="AG646" t="s">
        <v>47</v>
      </c>
      <c r="AH646" t="s">
        <v>55</v>
      </c>
      <c r="AI646" t="s">
        <v>41</v>
      </c>
    </row>
    <row r="647" spans="1:35" x14ac:dyDescent="0.25">
      <c r="A647" t="s">
        <v>133</v>
      </c>
      <c r="B647" t="s">
        <v>36</v>
      </c>
      <c r="C647" t="s">
        <v>37</v>
      </c>
      <c r="D647" t="s">
        <v>1025</v>
      </c>
      <c r="E647" t="s">
        <v>39</v>
      </c>
      <c r="F647" t="s">
        <v>40</v>
      </c>
      <c r="G647" t="s">
        <v>45</v>
      </c>
      <c r="H647" t="s">
        <v>87</v>
      </c>
      <c r="I647" t="s">
        <v>40</v>
      </c>
      <c r="J647" t="s">
        <v>903</v>
      </c>
      <c r="K647" t="s">
        <v>41</v>
      </c>
      <c r="L647" t="s">
        <v>43</v>
      </c>
      <c r="M647" t="s">
        <v>207</v>
      </c>
      <c r="N647" t="s">
        <v>41</v>
      </c>
      <c r="O647" t="s">
        <v>40</v>
      </c>
      <c r="P647" t="s">
        <v>182</v>
      </c>
      <c r="Q647" t="s">
        <v>45</v>
      </c>
      <c r="R647" t="s">
        <v>109</v>
      </c>
      <c r="S647" t="s">
        <v>2273</v>
      </c>
      <c r="T647" t="s">
        <v>2274</v>
      </c>
      <c r="U647" t="s">
        <v>56</v>
      </c>
      <c r="V647" t="s">
        <v>52</v>
      </c>
      <c r="W647" t="s">
        <v>36</v>
      </c>
      <c r="X647" t="s">
        <v>144</v>
      </c>
      <c r="Y647" t="s">
        <v>45</v>
      </c>
      <c r="Z647" t="s">
        <v>45</v>
      </c>
      <c r="AA647" t="s">
        <v>54</v>
      </c>
      <c r="AB647" t="s">
        <v>45</v>
      </c>
      <c r="AC647" t="s">
        <v>57</v>
      </c>
      <c r="AD647" t="s">
        <v>45</v>
      </c>
      <c r="AE647" t="s">
        <v>45</v>
      </c>
      <c r="AF647" t="s">
        <v>45</v>
      </c>
      <c r="AG647" t="s">
        <v>41</v>
      </c>
      <c r="AH647" t="s">
        <v>55</v>
      </c>
      <c r="AI647" t="s">
        <v>41</v>
      </c>
    </row>
    <row r="648" spans="1:35" x14ac:dyDescent="0.25">
      <c r="A648" t="s">
        <v>166</v>
      </c>
      <c r="B648" t="s">
        <v>59</v>
      </c>
      <c r="C648" t="s">
        <v>37</v>
      </c>
      <c r="D648" t="s">
        <v>2221</v>
      </c>
      <c r="E648" t="s">
        <v>39</v>
      </c>
      <c r="F648" t="s">
        <v>51</v>
      </c>
      <c r="G648" t="s">
        <v>45</v>
      </c>
      <c r="H648" t="s">
        <v>206</v>
      </c>
      <c r="I648" t="s">
        <v>40</v>
      </c>
      <c r="J648" t="s">
        <v>2275</v>
      </c>
      <c r="K648" t="s">
        <v>40</v>
      </c>
      <c r="L648" t="s">
        <v>63</v>
      </c>
      <c r="M648" t="s">
        <v>279</v>
      </c>
      <c r="N648" t="s">
        <v>45</v>
      </c>
      <c r="O648" t="s">
        <v>47</v>
      </c>
      <c r="P648" t="s">
        <v>46</v>
      </c>
      <c r="Q648" t="s">
        <v>47</v>
      </c>
      <c r="R648" t="s">
        <v>66</v>
      </c>
      <c r="S648" t="s">
        <v>2276</v>
      </c>
      <c r="T648" t="s">
        <v>2277</v>
      </c>
      <c r="U648" t="s">
        <v>57</v>
      </c>
      <c r="V648" t="s">
        <v>52</v>
      </c>
      <c r="W648" t="s">
        <v>59</v>
      </c>
      <c r="X648" t="s">
        <v>129</v>
      </c>
      <c r="Y648" t="s">
        <v>45</v>
      </c>
      <c r="Z648" t="s">
        <v>45</v>
      </c>
      <c r="AA648" t="s">
        <v>54</v>
      </c>
      <c r="AB648" t="s">
        <v>40</v>
      </c>
      <c r="AC648" t="s">
        <v>149</v>
      </c>
      <c r="AD648" t="s">
        <v>45</v>
      </c>
      <c r="AE648" t="s">
        <v>45</v>
      </c>
      <c r="AF648" t="s">
        <v>41</v>
      </c>
      <c r="AG648" t="s">
        <v>55</v>
      </c>
      <c r="AH648" t="s">
        <v>41</v>
      </c>
      <c r="AI648" t="s">
        <v>41</v>
      </c>
    </row>
    <row r="649" spans="1:35" x14ac:dyDescent="0.25">
      <c r="A649" t="s">
        <v>126</v>
      </c>
      <c r="B649" t="s">
        <v>59</v>
      </c>
      <c r="C649" t="s">
        <v>37</v>
      </c>
      <c r="D649" t="s">
        <v>1297</v>
      </c>
      <c r="E649" t="s">
        <v>62</v>
      </c>
      <c r="F649" t="s">
        <v>172</v>
      </c>
      <c r="G649" t="s">
        <v>45</v>
      </c>
      <c r="H649" t="s">
        <v>228</v>
      </c>
      <c r="I649" t="s">
        <v>40</v>
      </c>
      <c r="J649" t="s">
        <v>2278</v>
      </c>
      <c r="K649" t="s">
        <v>47</v>
      </c>
      <c r="L649" t="s">
        <v>63</v>
      </c>
      <c r="M649" t="s">
        <v>168</v>
      </c>
      <c r="N649" t="s">
        <v>41</v>
      </c>
      <c r="O649" t="s">
        <v>45</v>
      </c>
      <c r="P649" t="s">
        <v>116</v>
      </c>
      <c r="Q649" t="s">
        <v>41</v>
      </c>
      <c r="R649" t="s">
        <v>66</v>
      </c>
      <c r="S649" t="s">
        <v>2279</v>
      </c>
      <c r="T649" t="s">
        <v>1675</v>
      </c>
      <c r="U649" t="s">
        <v>45</v>
      </c>
      <c r="V649" t="s">
        <v>52</v>
      </c>
      <c r="W649" t="s">
        <v>59</v>
      </c>
      <c r="X649" t="s">
        <v>128</v>
      </c>
      <c r="Y649" t="s">
        <v>45</v>
      </c>
      <c r="Z649" t="s">
        <v>40</v>
      </c>
      <c r="AA649" t="s">
        <v>54</v>
      </c>
      <c r="AB649" t="s">
        <v>55</v>
      </c>
      <c r="AC649" t="s">
        <v>128</v>
      </c>
      <c r="AD649" t="s">
        <v>41</v>
      </c>
      <c r="AE649" t="s">
        <v>45</v>
      </c>
      <c r="AF649" t="s">
        <v>98</v>
      </c>
      <c r="AG649" t="s">
        <v>70</v>
      </c>
      <c r="AH649" t="s">
        <v>47</v>
      </c>
      <c r="AI649" t="s">
        <v>51</v>
      </c>
    </row>
    <row r="650" spans="1:35" x14ac:dyDescent="0.25">
      <c r="A650" t="s">
        <v>72</v>
      </c>
      <c r="B650" t="s">
        <v>59</v>
      </c>
      <c r="C650" t="s">
        <v>60</v>
      </c>
      <c r="D650" t="s">
        <v>2280</v>
      </c>
      <c r="E650" t="s">
        <v>39</v>
      </c>
      <c r="F650" t="s">
        <v>119</v>
      </c>
      <c r="G650" t="s">
        <v>41</v>
      </c>
      <c r="H650" t="s">
        <v>87</v>
      </c>
      <c r="I650" t="s">
        <v>40</v>
      </c>
      <c r="J650" t="s">
        <v>2281</v>
      </c>
      <c r="K650" t="s">
        <v>45</v>
      </c>
      <c r="L650" t="s">
        <v>43</v>
      </c>
      <c r="M650" t="s">
        <v>259</v>
      </c>
      <c r="N650" t="s">
        <v>45</v>
      </c>
      <c r="O650" t="s">
        <v>40</v>
      </c>
      <c r="P650" t="s">
        <v>182</v>
      </c>
      <c r="Q650" t="s">
        <v>47</v>
      </c>
      <c r="R650" t="s">
        <v>66</v>
      </c>
      <c r="S650" t="s">
        <v>2282</v>
      </c>
      <c r="T650" t="s">
        <v>2283</v>
      </c>
      <c r="U650" t="s">
        <v>57</v>
      </c>
      <c r="V650" t="s">
        <v>52</v>
      </c>
      <c r="W650" t="s">
        <v>59</v>
      </c>
      <c r="X650" t="s">
        <v>79</v>
      </c>
      <c r="Y650" t="s">
        <v>45</v>
      </c>
      <c r="Z650" t="s">
        <v>41</v>
      </c>
      <c r="AA650" t="s">
        <v>54</v>
      </c>
      <c r="AB650" t="s">
        <v>40</v>
      </c>
      <c r="AC650" t="s">
        <v>70</v>
      </c>
      <c r="AD650" t="s">
        <v>45</v>
      </c>
      <c r="AE650" t="s">
        <v>45</v>
      </c>
      <c r="AF650" t="s">
        <v>57</v>
      </c>
      <c r="AG650" t="s">
        <v>47</v>
      </c>
      <c r="AH650" t="s">
        <v>55</v>
      </c>
      <c r="AI650" t="s">
        <v>55</v>
      </c>
    </row>
    <row r="651" spans="1:35" x14ac:dyDescent="0.25">
      <c r="A651" t="s">
        <v>166</v>
      </c>
      <c r="B651" t="s">
        <v>59</v>
      </c>
      <c r="C651" t="s">
        <v>37</v>
      </c>
      <c r="D651" t="s">
        <v>393</v>
      </c>
      <c r="E651" t="s">
        <v>62</v>
      </c>
      <c r="F651" t="s">
        <v>69</v>
      </c>
      <c r="G651" t="s">
        <v>47</v>
      </c>
      <c r="H651" t="s">
        <v>42</v>
      </c>
      <c r="I651" t="s">
        <v>40</v>
      </c>
      <c r="J651" t="s">
        <v>2284</v>
      </c>
      <c r="K651" t="s">
        <v>47</v>
      </c>
      <c r="L651" t="s">
        <v>43</v>
      </c>
      <c r="M651" t="s">
        <v>201</v>
      </c>
      <c r="N651" t="s">
        <v>45</v>
      </c>
      <c r="O651" t="s">
        <v>47</v>
      </c>
      <c r="P651" t="s">
        <v>186</v>
      </c>
      <c r="Q651" t="s">
        <v>47</v>
      </c>
      <c r="R651" t="s">
        <v>48</v>
      </c>
      <c r="S651" t="s">
        <v>2285</v>
      </c>
      <c r="T651" t="s">
        <v>2286</v>
      </c>
      <c r="U651" t="s">
        <v>56</v>
      </c>
      <c r="V651" t="s">
        <v>52</v>
      </c>
      <c r="W651" t="s">
        <v>59</v>
      </c>
      <c r="X651" t="s">
        <v>145</v>
      </c>
      <c r="Y651" t="s">
        <v>45</v>
      </c>
      <c r="Z651" t="s">
        <v>45</v>
      </c>
      <c r="AA651" t="s">
        <v>54</v>
      </c>
      <c r="AB651" t="s">
        <v>55</v>
      </c>
      <c r="AC651" t="s">
        <v>80</v>
      </c>
      <c r="AD651" t="s">
        <v>55</v>
      </c>
      <c r="AE651" t="s">
        <v>45</v>
      </c>
      <c r="AF651" t="s">
        <v>92</v>
      </c>
      <c r="AG651" t="s">
        <v>91</v>
      </c>
      <c r="AH651" t="s">
        <v>45</v>
      </c>
      <c r="AI651" t="s">
        <v>51</v>
      </c>
    </row>
    <row r="652" spans="1:35" x14ac:dyDescent="0.25">
      <c r="A652" t="s">
        <v>234</v>
      </c>
      <c r="B652" t="s">
        <v>59</v>
      </c>
      <c r="C652" t="s">
        <v>60</v>
      </c>
      <c r="D652" t="s">
        <v>1238</v>
      </c>
      <c r="E652" t="s">
        <v>62</v>
      </c>
      <c r="F652" t="s">
        <v>40</v>
      </c>
      <c r="G652" t="s">
        <v>45</v>
      </c>
      <c r="H652" t="s">
        <v>42</v>
      </c>
      <c r="I652" t="s">
        <v>40</v>
      </c>
      <c r="J652" t="s">
        <v>2287</v>
      </c>
      <c r="K652" t="s">
        <v>47</v>
      </c>
      <c r="L652" t="s">
        <v>43</v>
      </c>
      <c r="M652" t="s">
        <v>80</v>
      </c>
      <c r="N652" t="s">
        <v>45</v>
      </c>
      <c r="O652" t="s">
        <v>41</v>
      </c>
      <c r="P652" t="s">
        <v>122</v>
      </c>
      <c r="Q652" t="s">
        <v>47</v>
      </c>
      <c r="R652" t="s">
        <v>66</v>
      </c>
      <c r="S652" t="s">
        <v>2288</v>
      </c>
      <c r="T652" t="s">
        <v>2289</v>
      </c>
      <c r="U652" t="s">
        <v>47</v>
      </c>
      <c r="V652" t="s">
        <v>52</v>
      </c>
      <c r="W652" t="s">
        <v>59</v>
      </c>
      <c r="X652" t="s">
        <v>98</v>
      </c>
      <c r="Y652" t="s">
        <v>45</v>
      </c>
      <c r="Z652" t="s">
        <v>41</v>
      </c>
      <c r="AA652" t="s">
        <v>54</v>
      </c>
      <c r="AB652" t="s">
        <v>40</v>
      </c>
      <c r="AC652" t="s">
        <v>92</v>
      </c>
      <c r="AD652" t="s">
        <v>41</v>
      </c>
      <c r="AE652" t="s">
        <v>41</v>
      </c>
      <c r="AF652" t="s">
        <v>57</v>
      </c>
      <c r="AG652" t="s">
        <v>41</v>
      </c>
      <c r="AH652" t="s">
        <v>41</v>
      </c>
      <c r="AI652" t="s">
        <v>41</v>
      </c>
    </row>
    <row r="653" spans="1:35" x14ac:dyDescent="0.25">
      <c r="A653" t="s">
        <v>239</v>
      </c>
      <c r="B653" t="s">
        <v>59</v>
      </c>
      <c r="C653" t="s">
        <v>37</v>
      </c>
      <c r="D653" t="s">
        <v>569</v>
      </c>
      <c r="E653" t="s">
        <v>39</v>
      </c>
      <c r="F653" t="s">
        <v>41</v>
      </c>
      <c r="G653" t="s">
        <v>41</v>
      </c>
      <c r="H653" t="s">
        <v>206</v>
      </c>
      <c r="I653" t="s">
        <v>40</v>
      </c>
      <c r="J653" t="s">
        <v>2290</v>
      </c>
      <c r="K653" t="s">
        <v>45</v>
      </c>
      <c r="L653" t="s">
        <v>43</v>
      </c>
      <c r="M653" t="s">
        <v>126</v>
      </c>
      <c r="N653" t="s">
        <v>45</v>
      </c>
      <c r="O653" t="s">
        <v>41</v>
      </c>
      <c r="P653" t="s">
        <v>46</v>
      </c>
      <c r="Q653" t="s">
        <v>47</v>
      </c>
      <c r="R653" t="s">
        <v>66</v>
      </c>
      <c r="S653" t="s">
        <v>2291</v>
      </c>
      <c r="T653" t="s">
        <v>2292</v>
      </c>
      <c r="U653" t="s">
        <v>55</v>
      </c>
      <c r="V653" t="s">
        <v>52</v>
      </c>
      <c r="W653" t="s">
        <v>36</v>
      </c>
      <c r="X653" t="s">
        <v>112</v>
      </c>
      <c r="Y653" t="s">
        <v>47</v>
      </c>
      <c r="Z653" t="s">
        <v>40</v>
      </c>
      <c r="AA653" t="s">
        <v>54</v>
      </c>
      <c r="AB653" t="s">
        <v>40</v>
      </c>
      <c r="AC653" t="s">
        <v>51</v>
      </c>
      <c r="AD653" t="s">
        <v>41</v>
      </c>
      <c r="AE653" t="s">
        <v>45</v>
      </c>
      <c r="AF653" t="s">
        <v>71</v>
      </c>
      <c r="AG653" t="s">
        <v>56</v>
      </c>
      <c r="AH653" t="s">
        <v>71</v>
      </c>
      <c r="AI653" t="s">
        <v>71</v>
      </c>
    </row>
    <row r="654" spans="1:35" x14ac:dyDescent="0.25">
      <c r="A654" t="s">
        <v>72</v>
      </c>
      <c r="B654" t="s">
        <v>59</v>
      </c>
      <c r="C654" t="s">
        <v>161</v>
      </c>
      <c r="D654" t="s">
        <v>2120</v>
      </c>
      <c r="E654" t="s">
        <v>39</v>
      </c>
      <c r="F654" t="s">
        <v>144</v>
      </c>
      <c r="G654" t="s">
        <v>41</v>
      </c>
      <c r="H654" t="s">
        <v>87</v>
      </c>
      <c r="I654" t="s">
        <v>40</v>
      </c>
      <c r="J654" t="s">
        <v>2293</v>
      </c>
      <c r="K654" t="s">
        <v>40</v>
      </c>
      <c r="L654" t="s">
        <v>63</v>
      </c>
      <c r="M654" t="s">
        <v>93</v>
      </c>
      <c r="N654" t="s">
        <v>45</v>
      </c>
      <c r="O654" t="s">
        <v>45</v>
      </c>
      <c r="P654" t="s">
        <v>46</v>
      </c>
      <c r="Q654" t="s">
        <v>41</v>
      </c>
      <c r="R654" t="s">
        <v>48</v>
      </c>
      <c r="S654" t="s">
        <v>2294</v>
      </c>
      <c r="T654" t="s">
        <v>2295</v>
      </c>
      <c r="U654" t="s">
        <v>40</v>
      </c>
      <c r="V654" t="s">
        <v>52</v>
      </c>
      <c r="W654" t="s">
        <v>36</v>
      </c>
      <c r="X654" t="s">
        <v>98</v>
      </c>
      <c r="Y654" t="s">
        <v>45</v>
      </c>
      <c r="Z654" t="s">
        <v>47</v>
      </c>
      <c r="AA654" t="s">
        <v>54</v>
      </c>
      <c r="AB654" t="s">
        <v>55</v>
      </c>
      <c r="AC654" t="s">
        <v>70</v>
      </c>
      <c r="AD654" t="s">
        <v>41</v>
      </c>
      <c r="AE654" t="s">
        <v>45</v>
      </c>
      <c r="AF654" t="s">
        <v>70</v>
      </c>
      <c r="AG654" t="s">
        <v>55</v>
      </c>
      <c r="AH654" t="s">
        <v>55</v>
      </c>
      <c r="AI654" t="s">
        <v>91</v>
      </c>
    </row>
    <row r="655" spans="1:35" x14ac:dyDescent="0.25">
      <c r="A655" t="s">
        <v>151</v>
      </c>
      <c r="B655" t="s">
        <v>59</v>
      </c>
      <c r="C655" t="s">
        <v>161</v>
      </c>
      <c r="D655" t="s">
        <v>2246</v>
      </c>
      <c r="E655" t="s">
        <v>62</v>
      </c>
      <c r="F655" t="s">
        <v>41</v>
      </c>
      <c r="G655" t="s">
        <v>47</v>
      </c>
      <c r="H655" t="s">
        <v>42</v>
      </c>
      <c r="I655" t="s">
        <v>40</v>
      </c>
      <c r="J655" t="s">
        <v>858</v>
      </c>
      <c r="K655" t="s">
        <v>40</v>
      </c>
      <c r="L655" t="s">
        <v>63</v>
      </c>
      <c r="M655" t="s">
        <v>284</v>
      </c>
      <c r="N655" t="s">
        <v>45</v>
      </c>
      <c r="O655" t="s">
        <v>47</v>
      </c>
      <c r="P655" t="s">
        <v>169</v>
      </c>
      <c r="Q655" t="s">
        <v>40</v>
      </c>
      <c r="R655" t="s">
        <v>109</v>
      </c>
      <c r="S655" t="s">
        <v>2296</v>
      </c>
      <c r="T655" t="s">
        <v>2297</v>
      </c>
      <c r="U655" t="s">
        <v>40</v>
      </c>
      <c r="V655" t="s">
        <v>52</v>
      </c>
      <c r="W655" t="s">
        <v>59</v>
      </c>
      <c r="X655" t="s">
        <v>53</v>
      </c>
      <c r="Y655" t="s">
        <v>45</v>
      </c>
      <c r="Z655" t="s">
        <v>47</v>
      </c>
      <c r="AA655" t="s">
        <v>54</v>
      </c>
      <c r="AB655" t="s">
        <v>40</v>
      </c>
      <c r="AC655" t="s">
        <v>137</v>
      </c>
      <c r="AD655" t="s">
        <v>45</v>
      </c>
      <c r="AE655" t="s">
        <v>45</v>
      </c>
      <c r="AF655" t="s">
        <v>137</v>
      </c>
      <c r="AG655" t="s">
        <v>56</v>
      </c>
      <c r="AH655" t="s">
        <v>129</v>
      </c>
      <c r="AI655" t="s">
        <v>71</v>
      </c>
    </row>
    <row r="656" spans="1:35" x14ac:dyDescent="0.25">
      <c r="A656" t="s">
        <v>218</v>
      </c>
      <c r="B656" t="s">
        <v>59</v>
      </c>
      <c r="C656" t="s">
        <v>37</v>
      </c>
      <c r="D656" t="s">
        <v>2298</v>
      </c>
      <c r="E656" t="s">
        <v>397</v>
      </c>
      <c r="F656" t="s">
        <v>41</v>
      </c>
      <c r="G656" t="s">
        <v>45</v>
      </c>
      <c r="H656" t="s">
        <v>42</v>
      </c>
      <c r="I656" t="s">
        <v>40</v>
      </c>
      <c r="J656" t="s">
        <v>2299</v>
      </c>
      <c r="K656" t="s">
        <v>47</v>
      </c>
      <c r="L656" t="s">
        <v>43</v>
      </c>
      <c r="M656" t="s">
        <v>204</v>
      </c>
      <c r="N656" t="s">
        <v>41</v>
      </c>
      <c r="O656" t="s">
        <v>41</v>
      </c>
      <c r="P656" t="s">
        <v>397</v>
      </c>
      <c r="Q656" t="s">
        <v>47</v>
      </c>
      <c r="R656" t="s">
        <v>66</v>
      </c>
      <c r="S656" t="s">
        <v>2300</v>
      </c>
      <c r="T656" t="s">
        <v>2301</v>
      </c>
      <c r="U656" t="s">
        <v>51</v>
      </c>
      <c r="V656" t="s">
        <v>52</v>
      </c>
      <c r="W656" t="s">
        <v>59</v>
      </c>
      <c r="X656" t="s">
        <v>53</v>
      </c>
      <c r="Y656" t="s">
        <v>45</v>
      </c>
      <c r="Z656" t="s">
        <v>45</v>
      </c>
      <c r="AA656" t="s">
        <v>54</v>
      </c>
      <c r="AB656" t="s">
        <v>41</v>
      </c>
      <c r="AC656" t="s">
        <v>98</v>
      </c>
      <c r="AD656" t="s">
        <v>41</v>
      </c>
      <c r="AE656" t="s">
        <v>45</v>
      </c>
      <c r="AF656" t="s">
        <v>57</v>
      </c>
      <c r="AG656" t="s">
        <v>47</v>
      </c>
      <c r="AH656" t="s">
        <v>55</v>
      </c>
      <c r="AI656" t="s">
        <v>47</v>
      </c>
    </row>
    <row r="657" spans="1:35" x14ac:dyDescent="0.25">
      <c r="A657" t="s">
        <v>80</v>
      </c>
      <c r="B657" t="s">
        <v>59</v>
      </c>
      <c r="C657" t="s">
        <v>37</v>
      </c>
      <c r="D657" t="s">
        <v>2302</v>
      </c>
      <c r="E657" t="s">
        <v>397</v>
      </c>
      <c r="F657" t="s">
        <v>45</v>
      </c>
      <c r="G657" t="s">
        <v>41</v>
      </c>
      <c r="H657" t="s">
        <v>397</v>
      </c>
      <c r="I657" t="s">
        <v>40</v>
      </c>
      <c r="J657" t="s">
        <v>2303</v>
      </c>
      <c r="K657" t="s">
        <v>47</v>
      </c>
      <c r="L657" t="s">
        <v>63</v>
      </c>
      <c r="M657" t="s">
        <v>269</v>
      </c>
      <c r="N657" t="s">
        <v>45</v>
      </c>
      <c r="O657" t="s">
        <v>40</v>
      </c>
      <c r="P657" t="s">
        <v>397</v>
      </c>
      <c r="Q657" t="s">
        <v>41</v>
      </c>
      <c r="R657" t="s">
        <v>109</v>
      </c>
      <c r="S657" t="s">
        <v>2304</v>
      </c>
      <c r="T657" t="s">
        <v>2305</v>
      </c>
      <c r="U657" t="s">
        <v>45</v>
      </c>
      <c r="V657" t="s">
        <v>52</v>
      </c>
      <c r="W657" t="s">
        <v>36</v>
      </c>
      <c r="X657" t="s">
        <v>53</v>
      </c>
      <c r="Y657" t="s">
        <v>45</v>
      </c>
      <c r="Z657" t="s">
        <v>45</v>
      </c>
      <c r="AA657" t="s">
        <v>54</v>
      </c>
      <c r="AB657" t="s">
        <v>40</v>
      </c>
      <c r="AC657" t="s">
        <v>71</v>
      </c>
      <c r="AD657" t="s">
        <v>47</v>
      </c>
      <c r="AE657" t="s">
        <v>47</v>
      </c>
      <c r="AF657" t="s">
        <v>47</v>
      </c>
      <c r="AG657" t="s">
        <v>45</v>
      </c>
      <c r="AH657" t="s">
        <v>55</v>
      </c>
      <c r="AI657" t="s">
        <v>45</v>
      </c>
    </row>
    <row r="658" spans="1:35" x14ac:dyDescent="0.25">
      <c r="A658" t="s">
        <v>93</v>
      </c>
      <c r="B658" t="s">
        <v>36</v>
      </c>
      <c r="C658" t="s">
        <v>37</v>
      </c>
      <c r="D658" t="s">
        <v>1102</v>
      </c>
      <c r="E658" t="s">
        <v>62</v>
      </c>
      <c r="F658" t="s">
        <v>172</v>
      </c>
      <c r="G658" t="s">
        <v>47</v>
      </c>
      <c r="H658" t="s">
        <v>42</v>
      </c>
      <c r="I658" t="s">
        <v>40</v>
      </c>
      <c r="J658" t="s">
        <v>2306</v>
      </c>
      <c r="K658" t="s">
        <v>40</v>
      </c>
      <c r="L658" t="s">
        <v>63</v>
      </c>
      <c r="M658" t="s">
        <v>371</v>
      </c>
      <c r="N658" t="s">
        <v>45</v>
      </c>
      <c r="O658" t="s">
        <v>40</v>
      </c>
      <c r="P658" t="s">
        <v>76</v>
      </c>
      <c r="Q658" t="s">
        <v>47</v>
      </c>
      <c r="R658" t="s">
        <v>48</v>
      </c>
      <c r="S658" t="s">
        <v>2307</v>
      </c>
      <c r="T658" t="s">
        <v>2308</v>
      </c>
      <c r="U658" t="s">
        <v>40</v>
      </c>
      <c r="V658" t="s">
        <v>52</v>
      </c>
      <c r="W658" t="s">
        <v>36</v>
      </c>
      <c r="X658" t="s">
        <v>107</v>
      </c>
      <c r="Y658" t="s">
        <v>47</v>
      </c>
      <c r="Z658" t="s">
        <v>45</v>
      </c>
      <c r="AA658" t="s">
        <v>54</v>
      </c>
      <c r="AB658" t="s">
        <v>55</v>
      </c>
      <c r="AC658" t="s">
        <v>40</v>
      </c>
      <c r="AD658" t="s">
        <v>41</v>
      </c>
      <c r="AE658" t="s">
        <v>40</v>
      </c>
      <c r="AF658" t="s">
        <v>40</v>
      </c>
      <c r="AG658" t="s">
        <v>55</v>
      </c>
      <c r="AH658" t="s">
        <v>55</v>
      </c>
      <c r="AI658" t="s">
        <v>40</v>
      </c>
    </row>
    <row r="659" spans="1:35" x14ac:dyDescent="0.25">
      <c r="A659" t="s">
        <v>133</v>
      </c>
      <c r="B659" t="s">
        <v>59</v>
      </c>
      <c r="C659" t="s">
        <v>37</v>
      </c>
      <c r="D659" t="s">
        <v>2309</v>
      </c>
      <c r="E659" t="s">
        <v>62</v>
      </c>
      <c r="F659" t="s">
        <v>71</v>
      </c>
      <c r="G659" t="s">
        <v>40</v>
      </c>
      <c r="H659" t="s">
        <v>87</v>
      </c>
      <c r="I659" t="s">
        <v>40</v>
      </c>
      <c r="J659" t="s">
        <v>2310</v>
      </c>
      <c r="K659" t="s">
        <v>40</v>
      </c>
      <c r="L659" t="s">
        <v>43</v>
      </c>
      <c r="M659" t="s">
        <v>283</v>
      </c>
      <c r="N659" t="s">
        <v>41</v>
      </c>
      <c r="O659" t="s">
        <v>40</v>
      </c>
      <c r="P659" t="s">
        <v>76</v>
      </c>
      <c r="Q659" t="s">
        <v>47</v>
      </c>
      <c r="R659" t="s">
        <v>109</v>
      </c>
      <c r="S659" t="s">
        <v>2311</v>
      </c>
      <c r="T659" t="s">
        <v>2312</v>
      </c>
      <c r="U659" t="s">
        <v>56</v>
      </c>
      <c r="V659" t="s">
        <v>52</v>
      </c>
      <c r="W659" t="s">
        <v>59</v>
      </c>
      <c r="X659" t="s">
        <v>129</v>
      </c>
      <c r="Y659" t="s">
        <v>45</v>
      </c>
      <c r="Z659" t="s">
        <v>45</v>
      </c>
      <c r="AA659" t="s">
        <v>54</v>
      </c>
      <c r="AB659" t="s">
        <v>45</v>
      </c>
      <c r="AC659" t="s">
        <v>51</v>
      </c>
      <c r="AD659" t="s">
        <v>57</v>
      </c>
      <c r="AE659" t="s">
        <v>45</v>
      </c>
      <c r="AF659" t="s">
        <v>47</v>
      </c>
      <c r="AG659" t="s">
        <v>45</v>
      </c>
      <c r="AH659" t="s">
        <v>55</v>
      </c>
      <c r="AI659" t="s">
        <v>45</v>
      </c>
    </row>
    <row r="660" spans="1:35" x14ac:dyDescent="0.25">
      <c r="A660" t="s">
        <v>115</v>
      </c>
      <c r="B660" t="s">
        <v>59</v>
      </c>
      <c r="C660" t="s">
        <v>37</v>
      </c>
      <c r="D660" t="s">
        <v>1813</v>
      </c>
      <c r="E660" t="s">
        <v>62</v>
      </c>
      <c r="F660" t="s">
        <v>91</v>
      </c>
      <c r="G660" t="s">
        <v>41</v>
      </c>
      <c r="H660" t="s">
        <v>42</v>
      </c>
      <c r="I660" t="s">
        <v>40</v>
      </c>
      <c r="J660" t="s">
        <v>1875</v>
      </c>
      <c r="K660" t="s">
        <v>41</v>
      </c>
      <c r="L660" t="s">
        <v>63</v>
      </c>
      <c r="M660" t="s">
        <v>64</v>
      </c>
      <c r="N660" t="s">
        <v>45</v>
      </c>
      <c r="O660" t="s">
        <v>40</v>
      </c>
      <c r="P660" t="s">
        <v>65</v>
      </c>
      <c r="Q660" t="s">
        <v>40</v>
      </c>
      <c r="R660" t="s">
        <v>66</v>
      </c>
      <c r="S660" t="s">
        <v>2199</v>
      </c>
      <c r="T660" t="s">
        <v>2313</v>
      </c>
      <c r="U660" t="s">
        <v>40</v>
      </c>
      <c r="V660" t="s">
        <v>52</v>
      </c>
      <c r="W660" t="s">
        <v>36</v>
      </c>
      <c r="X660" t="s">
        <v>98</v>
      </c>
      <c r="Y660" t="s">
        <v>45</v>
      </c>
      <c r="Z660" t="s">
        <v>47</v>
      </c>
      <c r="AA660" t="s">
        <v>54</v>
      </c>
      <c r="AB660" t="s">
        <v>55</v>
      </c>
      <c r="AC660" t="s">
        <v>51</v>
      </c>
      <c r="AD660" t="s">
        <v>55</v>
      </c>
      <c r="AE660" t="s">
        <v>45</v>
      </c>
      <c r="AF660" t="s">
        <v>51</v>
      </c>
      <c r="AG660" t="s">
        <v>71</v>
      </c>
      <c r="AH660" t="s">
        <v>71</v>
      </c>
      <c r="AI660" t="s">
        <v>40</v>
      </c>
    </row>
    <row r="661" spans="1:35" x14ac:dyDescent="0.25">
      <c r="A661" t="s">
        <v>149</v>
      </c>
      <c r="B661" t="s">
        <v>59</v>
      </c>
      <c r="C661" t="s">
        <v>37</v>
      </c>
      <c r="D661" t="s">
        <v>1515</v>
      </c>
      <c r="E661" t="s">
        <v>39</v>
      </c>
      <c r="F661" t="s">
        <v>57</v>
      </c>
      <c r="G661" t="s">
        <v>47</v>
      </c>
      <c r="H661" t="s">
        <v>87</v>
      </c>
      <c r="I661" t="s">
        <v>40</v>
      </c>
      <c r="J661" t="s">
        <v>1039</v>
      </c>
      <c r="K661" t="s">
        <v>40</v>
      </c>
      <c r="L661" t="s">
        <v>63</v>
      </c>
      <c r="M661" t="s">
        <v>284</v>
      </c>
      <c r="N661" t="s">
        <v>45</v>
      </c>
      <c r="O661" t="s">
        <v>41</v>
      </c>
      <c r="P661" t="s">
        <v>46</v>
      </c>
      <c r="Q661" t="s">
        <v>47</v>
      </c>
      <c r="R661" t="s">
        <v>48</v>
      </c>
      <c r="S661" t="s">
        <v>2314</v>
      </c>
      <c r="T661" t="s">
        <v>2315</v>
      </c>
      <c r="U661" t="s">
        <v>40</v>
      </c>
      <c r="V661" t="s">
        <v>52</v>
      </c>
      <c r="W661" t="s">
        <v>59</v>
      </c>
      <c r="X661" t="s">
        <v>129</v>
      </c>
      <c r="Y661" t="s">
        <v>45</v>
      </c>
      <c r="Z661" t="s">
        <v>41</v>
      </c>
      <c r="AA661" t="s">
        <v>54</v>
      </c>
      <c r="AB661" t="s">
        <v>55</v>
      </c>
      <c r="AC661" t="s">
        <v>47</v>
      </c>
      <c r="AD661" t="s">
        <v>45</v>
      </c>
      <c r="AE661" t="s">
        <v>45</v>
      </c>
      <c r="AF661" t="s">
        <v>47</v>
      </c>
      <c r="AG661" t="s">
        <v>41</v>
      </c>
      <c r="AH661" t="s">
        <v>55</v>
      </c>
      <c r="AI661" t="s">
        <v>41</v>
      </c>
    </row>
    <row r="662" spans="1:35" x14ac:dyDescent="0.25">
      <c r="A662" t="s">
        <v>197</v>
      </c>
      <c r="B662" t="s">
        <v>36</v>
      </c>
      <c r="C662" t="s">
        <v>60</v>
      </c>
      <c r="D662" t="s">
        <v>2031</v>
      </c>
      <c r="E662" t="s">
        <v>62</v>
      </c>
      <c r="F662" t="s">
        <v>41</v>
      </c>
      <c r="G662" t="s">
        <v>40</v>
      </c>
      <c r="H662" t="s">
        <v>42</v>
      </c>
      <c r="I662" t="s">
        <v>40</v>
      </c>
      <c r="J662" t="s">
        <v>2316</v>
      </c>
      <c r="K662" t="s">
        <v>47</v>
      </c>
      <c r="L662" t="s">
        <v>63</v>
      </c>
      <c r="M662" t="s">
        <v>269</v>
      </c>
      <c r="N662" t="s">
        <v>41</v>
      </c>
      <c r="O662" t="s">
        <v>40</v>
      </c>
      <c r="P662" t="s">
        <v>76</v>
      </c>
      <c r="Q662" t="s">
        <v>47</v>
      </c>
      <c r="R662" t="s">
        <v>109</v>
      </c>
      <c r="S662" t="s">
        <v>2317</v>
      </c>
      <c r="T662" t="s">
        <v>2318</v>
      </c>
      <c r="U662" t="s">
        <v>91</v>
      </c>
      <c r="V662" t="s">
        <v>52</v>
      </c>
      <c r="W662" t="s">
        <v>36</v>
      </c>
      <c r="X662" t="s">
        <v>129</v>
      </c>
      <c r="Y662" t="s">
        <v>45</v>
      </c>
      <c r="Z662" t="s">
        <v>47</v>
      </c>
      <c r="AA662" t="s">
        <v>54</v>
      </c>
      <c r="AB662" t="s">
        <v>40</v>
      </c>
      <c r="AC662" t="s">
        <v>45</v>
      </c>
      <c r="AD662" t="s">
        <v>45</v>
      </c>
      <c r="AE662" t="s">
        <v>41</v>
      </c>
      <c r="AF662" t="s">
        <v>40</v>
      </c>
      <c r="AG662" t="s">
        <v>55</v>
      </c>
      <c r="AH662" t="s">
        <v>55</v>
      </c>
      <c r="AI662" t="s">
        <v>55</v>
      </c>
    </row>
    <row r="663" spans="1:35" x14ac:dyDescent="0.25">
      <c r="A663" t="s">
        <v>234</v>
      </c>
      <c r="B663" t="s">
        <v>59</v>
      </c>
      <c r="C663" t="s">
        <v>37</v>
      </c>
      <c r="D663" t="s">
        <v>608</v>
      </c>
      <c r="E663" t="s">
        <v>62</v>
      </c>
      <c r="F663" t="s">
        <v>51</v>
      </c>
      <c r="G663" t="s">
        <v>45</v>
      </c>
      <c r="H663" t="s">
        <v>42</v>
      </c>
      <c r="I663" t="s">
        <v>40</v>
      </c>
      <c r="J663" t="s">
        <v>1159</v>
      </c>
      <c r="K663" t="s">
        <v>40</v>
      </c>
      <c r="L663" t="s">
        <v>43</v>
      </c>
      <c r="M663" t="s">
        <v>263</v>
      </c>
      <c r="N663" t="s">
        <v>45</v>
      </c>
      <c r="O663" t="s">
        <v>41</v>
      </c>
      <c r="P663" t="s">
        <v>116</v>
      </c>
      <c r="Q663" t="s">
        <v>41</v>
      </c>
      <c r="R663" t="s">
        <v>109</v>
      </c>
      <c r="S663" t="s">
        <v>2319</v>
      </c>
      <c r="T663" t="s">
        <v>2320</v>
      </c>
      <c r="U663" t="s">
        <v>47</v>
      </c>
      <c r="V663" t="s">
        <v>52</v>
      </c>
      <c r="W663" t="s">
        <v>59</v>
      </c>
      <c r="X663" t="s">
        <v>119</v>
      </c>
      <c r="Y663" t="s">
        <v>47</v>
      </c>
      <c r="Z663" t="s">
        <v>45</v>
      </c>
      <c r="AA663" t="s">
        <v>54</v>
      </c>
      <c r="AB663" t="s">
        <v>40</v>
      </c>
      <c r="AC663" t="s">
        <v>47</v>
      </c>
      <c r="AD663" t="s">
        <v>41</v>
      </c>
      <c r="AE663" t="s">
        <v>47</v>
      </c>
      <c r="AF663" t="s">
        <v>40</v>
      </c>
      <c r="AG663" t="s">
        <v>55</v>
      </c>
      <c r="AH663" t="s">
        <v>55</v>
      </c>
      <c r="AI663" t="s">
        <v>55</v>
      </c>
    </row>
    <row r="664" spans="1:35" x14ac:dyDescent="0.25">
      <c r="A664" t="s">
        <v>104</v>
      </c>
      <c r="B664" t="s">
        <v>36</v>
      </c>
      <c r="C664" t="s">
        <v>37</v>
      </c>
      <c r="D664" t="s">
        <v>1466</v>
      </c>
      <c r="E664" t="s">
        <v>39</v>
      </c>
      <c r="F664" t="s">
        <v>41</v>
      </c>
      <c r="G664" t="s">
        <v>45</v>
      </c>
      <c r="H664" t="s">
        <v>87</v>
      </c>
      <c r="I664" t="s">
        <v>40</v>
      </c>
      <c r="J664" t="s">
        <v>545</v>
      </c>
      <c r="K664" t="s">
        <v>45</v>
      </c>
      <c r="L664" t="s">
        <v>43</v>
      </c>
      <c r="M664" t="s">
        <v>58</v>
      </c>
      <c r="N664" t="s">
        <v>41</v>
      </c>
      <c r="O664" t="s">
        <v>40</v>
      </c>
      <c r="P664" t="s">
        <v>182</v>
      </c>
      <c r="Q664" t="s">
        <v>45</v>
      </c>
      <c r="R664" t="s">
        <v>48</v>
      </c>
      <c r="S664" t="s">
        <v>2321</v>
      </c>
      <c r="T664" t="s">
        <v>2322</v>
      </c>
      <c r="U664" t="s">
        <v>40</v>
      </c>
      <c r="V664" t="s">
        <v>52</v>
      </c>
      <c r="W664" t="s">
        <v>59</v>
      </c>
      <c r="X664" t="s">
        <v>98</v>
      </c>
      <c r="Y664" t="s">
        <v>45</v>
      </c>
      <c r="Z664" t="s">
        <v>47</v>
      </c>
      <c r="AA664" t="s">
        <v>54</v>
      </c>
      <c r="AB664" t="s">
        <v>55</v>
      </c>
      <c r="AC664" t="s">
        <v>41</v>
      </c>
      <c r="AD664" t="s">
        <v>45</v>
      </c>
      <c r="AE664" t="s">
        <v>41</v>
      </c>
      <c r="AF664" t="s">
        <v>41</v>
      </c>
      <c r="AG664" t="s">
        <v>41</v>
      </c>
      <c r="AH664" t="s">
        <v>55</v>
      </c>
      <c r="AI664" t="s">
        <v>41</v>
      </c>
    </row>
    <row r="665" spans="1:35" x14ac:dyDescent="0.25">
      <c r="A665" t="s">
        <v>119</v>
      </c>
      <c r="B665" t="s">
        <v>36</v>
      </c>
      <c r="C665" t="s">
        <v>37</v>
      </c>
      <c r="D665" t="s">
        <v>652</v>
      </c>
      <c r="E665" t="s">
        <v>62</v>
      </c>
      <c r="F665" t="s">
        <v>145</v>
      </c>
      <c r="G665" t="s">
        <v>40</v>
      </c>
      <c r="H665" t="s">
        <v>74</v>
      </c>
      <c r="I665" t="s">
        <v>40</v>
      </c>
      <c r="J665" t="s">
        <v>2323</v>
      </c>
      <c r="K665" t="s">
        <v>47</v>
      </c>
      <c r="L665" t="s">
        <v>43</v>
      </c>
      <c r="M665" t="s">
        <v>296</v>
      </c>
      <c r="N665" t="s">
        <v>45</v>
      </c>
      <c r="O665" t="s">
        <v>40</v>
      </c>
      <c r="P665" t="s">
        <v>65</v>
      </c>
      <c r="Q665" t="s">
        <v>47</v>
      </c>
      <c r="R665" t="s">
        <v>48</v>
      </c>
      <c r="S665" t="s">
        <v>110</v>
      </c>
      <c r="T665" t="s">
        <v>2324</v>
      </c>
      <c r="U665" t="s">
        <v>40</v>
      </c>
      <c r="V665" t="s">
        <v>52</v>
      </c>
      <c r="W665" t="s">
        <v>59</v>
      </c>
      <c r="X665" t="s">
        <v>144</v>
      </c>
      <c r="Y665" t="s">
        <v>45</v>
      </c>
      <c r="Z665" t="s">
        <v>40</v>
      </c>
      <c r="AA665" t="s">
        <v>54</v>
      </c>
      <c r="AB665" t="s">
        <v>55</v>
      </c>
      <c r="AC665" t="s">
        <v>40</v>
      </c>
      <c r="AD665" t="s">
        <v>45</v>
      </c>
      <c r="AE665" t="s">
        <v>41</v>
      </c>
      <c r="AF665" t="s">
        <v>40</v>
      </c>
      <c r="AG665" t="s">
        <v>55</v>
      </c>
      <c r="AH665" t="s">
        <v>55</v>
      </c>
      <c r="AI665" t="s">
        <v>55</v>
      </c>
    </row>
    <row r="666" spans="1:35" x14ac:dyDescent="0.25">
      <c r="A666" t="s">
        <v>120</v>
      </c>
      <c r="B666" t="s">
        <v>59</v>
      </c>
      <c r="C666" t="s">
        <v>37</v>
      </c>
      <c r="D666" t="s">
        <v>2325</v>
      </c>
      <c r="E666" t="s">
        <v>62</v>
      </c>
      <c r="F666" t="s">
        <v>129</v>
      </c>
      <c r="G666" t="s">
        <v>40</v>
      </c>
      <c r="H666" t="s">
        <v>42</v>
      </c>
      <c r="I666" t="s">
        <v>40</v>
      </c>
      <c r="J666" t="s">
        <v>217</v>
      </c>
      <c r="K666" t="s">
        <v>45</v>
      </c>
      <c r="L666" t="s">
        <v>63</v>
      </c>
      <c r="M666" t="s">
        <v>300</v>
      </c>
      <c r="N666" t="s">
        <v>45</v>
      </c>
      <c r="O666" t="s">
        <v>41</v>
      </c>
      <c r="P666" t="s">
        <v>122</v>
      </c>
      <c r="Q666" t="s">
        <v>47</v>
      </c>
      <c r="R666" t="s">
        <v>66</v>
      </c>
      <c r="S666" t="s">
        <v>2326</v>
      </c>
      <c r="T666" t="s">
        <v>1242</v>
      </c>
      <c r="U666" t="s">
        <v>55</v>
      </c>
      <c r="V666" t="s">
        <v>52</v>
      </c>
      <c r="W666" t="s">
        <v>36</v>
      </c>
      <c r="X666" t="s">
        <v>125</v>
      </c>
      <c r="Y666" t="s">
        <v>45</v>
      </c>
      <c r="Z666" t="s">
        <v>40</v>
      </c>
      <c r="AA666" t="s">
        <v>54</v>
      </c>
      <c r="AB666" t="s">
        <v>40</v>
      </c>
      <c r="AC666" t="s">
        <v>125</v>
      </c>
      <c r="AD666" t="s">
        <v>41</v>
      </c>
      <c r="AE666" t="s">
        <v>41</v>
      </c>
      <c r="AF666" t="s">
        <v>128</v>
      </c>
      <c r="AG666" t="s">
        <v>51</v>
      </c>
      <c r="AH666" t="s">
        <v>47</v>
      </c>
      <c r="AI666" t="s">
        <v>53</v>
      </c>
    </row>
    <row r="667" spans="1:35" x14ac:dyDescent="0.25">
      <c r="A667" t="s">
        <v>239</v>
      </c>
      <c r="B667" t="s">
        <v>59</v>
      </c>
      <c r="C667" t="s">
        <v>37</v>
      </c>
      <c r="D667" t="s">
        <v>2327</v>
      </c>
      <c r="E667" t="s">
        <v>39</v>
      </c>
      <c r="F667" t="s">
        <v>41</v>
      </c>
      <c r="G667" t="s">
        <v>47</v>
      </c>
      <c r="H667" t="s">
        <v>42</v>
      </c>
      <c r="I667" t="s">
        <v>40</v>
      </c>
      <c r="J667" t="s">
        <v>2328</v>
      </c>
      <c r="K667" t="s">
        <v>47</v>
      </c>
      <c r="L667" t="s">
        <v>43</v>
      </c>
      <c r="M667" t="s">
        <v>296</v>
      </c>
      <c r="N667" t="s">
        <v>41</v>
      </c>
      <c r="O667" t="s">
        <v>40</v>
      </c>
      <c r="P667" t="s">
        <v>182</v>
      </c>
      <c r="Q667" t="s">
        <v>47</v>
      </c>
      <c r="R667" t="s">
        <v>48</v>
      </c>
      <c r="S667" t="s">
        <v>2329</v>
      </c>
      <c r="T667" t="s">
        <v>2330</v>
      </c>
      <c r="U667" t="s">
        <v>40</v>
      </c>
      <c r="V667" t="s">
        <v>52</v>
      </c>
      <c r="W667" t="s">
        <v>36</v>
      </c>
      <c r="X667" t="s">
        <v>145</v>
      </c>
      <c r="Y667" t="s">
        <v>45</v>
      </c>
      <c r="Z667" t="s">
        <v>40</v>
      </c>
      <c r="AA667" t="s">
        <v>54</v>
      </c>
      <c r="AB667" t="s">
        <v>55</v>
      </c>
      <c r="AC667" t="s">
        <v>45</v>
      </c>
      <c r="AD667" t="s">
        <v>45</v>
      </c>
      <c r="AE667" t="s">
        <v>41</v>
      </c>
      <c r="AF667" t="s">
        <v>45</v>
      </c>
      <c r="AG667" t="s">
        <v>41</v>
      </c>
      <c r="AH667" t="s">
        <v>40</v>
      </c>
      <c r="AI667" t="s">
        <v>41</v>
      </c>
    </row>
    <row r="668" spans="1:35" x14ac:dyDescent="0.25">
      <c r="A668" t="s">
        <v>112</v>
      </c>
      <c r="B668" t="s">
        <v>36</v>
      </c>
      <c r="C668" t="s">
        <v>37</v>
      </c>
      <c r="D668" t="s">
        <v>2331</v>
      </c>
      <c r="E668" t="s">
        <v>62</v>
      </c>
      <c r="F668" t="s">
        <v>45</v>
      </c>
      <c r="G668" t="s">
        <v>40</v>
      </c>
      <c r="H668" t="s">
        <v>42</v>
      </c>
      <c r="I668" t="s">
        <v>40</v>
      </c>
      <c r="J668" t="s">
        <v>835</v>
      </c>
      <c r="K668" t="s">
        <v>41</v>
      </c>
      <c r="L668" t="s">
        <v>43</v>
      </c>
      <c r="M668" t="s">
        <v>142</v>
      </c>
      <c r="N668" t="s">
        <v>45</v>
      </c>
      <c r="O668" t="s">
        <v>41</v>
      </c>
      <c r="P668" t="s">
        <v>116</v>
      </c>
      <c r="Q668" t="s">
        <v>45</v>
      </c>
      <c r="R668" t="s">
        <v>66</v>
      </c>
      <c r="S668" t="s">
        <v>2332</v>
      </c>
      <c r="T668" t="s">
        <v>2333</v>
      </c>
      <c r="U668" t="s">
        <v>55</v>
      </c>
      <c r="V668" t="s">
        <v>52</v>
      </c>
      <c r="W668" t="s">
        <v>36</v>
      </c>
      <c r="X668" t="s">
        <v>144</v>
      </c>
      <c r="Y668" t="s">
        <v>45</v>
      </c>
      <c r="Z668" t="s">
        <v>40</v>
      </c>
      <c r="AA668" t="s">
        <v>54</v>
      </c>
      <c r="AB668" t="s">
        <v>40</v>
      </c>
      <c r="AC668" t="s">
        <v>47</v>
      </c>
      <c r="AD668" t="s">
        <v>45</v>
      </c>
      <c r="AE668" t="s">
        <v>47</v>
      </c>
      <c r="AF668" t="s">
        <v>45</v>
      </c>
      <c r="AG668" t="s">
        <v>41</v>
      </c>
      <c r="AH668" t="s">
        <v>55</v>
      </c>
      <c r="AI668" t="s">
        <v>41</v>
      </c>
    </row>
    <row r="669" spans="1:35" x14ac:dyDescent="0.25">
      <c r="A669" t="s">
        <v>35</v>
      </c>
      <c r="B669" t="s">
        <v>36</v>
      </c>
      <c r="C669" t="s">
        <v>37</v>
      </c>
      <c r="D669" t="s">
        <v>2334</v>
      </c>
      <c r="E669" t="s">
        <v>62</v>
      </c>
      <c r="F669" t="s">
        <v>41</v>
      </c>
      <c r="G669" t="s">
        <v>47</v>
      </c>
      <c r="H669" t="s">
        <v>42</v>
      </c>
      <c r="I669" t="s">
        <v>40</v>
      </c>
      <c r="J669" t="s">
        <v>2335</v>
      </c>
      <c r="K669" t="s">
        <v>41</v>
      </c>
      <c r="L669" t="s">
        <v>43</v>
      </c>
      <c r="M669" t="s">
        <v>269</v>
      </c>
      <c r="N669" t="s">
        <v>40</v>
      </c>
      <c r="O669" t="s">
        <v>40</v>
      </c>
      <c r="P669" t="s">
        <v>76</v>
      </c>
      <c r="Q669" t="s">
        <v>47</v>
      </c>
      <c r="R669" t="s">
        <v>109</v>
      </c>
      <c r="S669" t="s">
        <v>2336</v>
      </c>
      <c r="T669" t="s">
        <v>2337</v>
      </c>
      <c r="U669" t="s">
        <v>47</v>
      </c>
      <c r="V669" t="s">
        <v>52</v>
      </c>
      <c r="W669" t="s">
        <v>36</v>
      </c>
      <c r="X669" t="s">
        <v>98</v>
      </c>
      <c r="Y669" t="s">
        <v>45</v>
      </c>
      <c r="Z669" t="s">
        <v>45</v>
      </c>
      <c r="AA669" t="s">
        <v>54</v>
      </c>
      <c r="AB669" t="s">
        <v>40</v>
      </c>
      <c r="AC669" t="s">
        <v>70</v>
      </c>
      <c r="AD669" t="s">
        <v>40</v>
      </c>
      <c r="AE669" t="s">
        <v>41</v>
      </c>
      <c r="AF669" t="s">
        <v>71</v>
      </c>
      <c r="AG669" t="s">
        <v>71</v>
      </c>
      <c r="AH669" t="s">
        <v>40</v>
      </c>
      <c r="AI669" t="s">
        <v>55</v>
      </c>
    </row>
    <row r="670" spans="1:35" x14ac:dyDescent="0.25">
      <c r="A670" t="s">
        <v>149</v>
      </c>
      <c r="B670" t="s">
        <v>59</v>
      </c>
      <c r="C670" t="s">
        <v>37</v>
      </c>
      <c r="D670" t="s">
        <v>2338</v>
      </c>
      <c r="E670" t="s">
        <v>62</v>
      </c>
      <c r="F670" t="s">
        <v>91</v>
      </c>
      <c r="G670" t="s">
        <v>45</v>
      </c>
      <c r="H670" t="s">
        <v>87</v>
      </c>
      <c r="I670" t="s">
        <v>40</v>
      </c>
      <c r="J670" t="s">
        <v>2211</v>
      </c>
      <c r="K670" t="s">
        <v>45</v>
      </c>
      <c r="L670" t="s">
        <v>43</v>
      </c>
      <c r="M670" t="s">
        <v>326</v>
      </c>
      <c r="N670" t="s">
        <v>45</v>
      </c>
      <c r="O670" t="s">
        <v>40</v>
      </c>
      <c r="P670" t="s">
        <v>65</v>
      </c>
      <c r="Q670" t="s">
        <v>45</v>
      </c>
      <c r="R670" t="s">
        <v>109</v>
      </c>
      <c r="S670" t="s">
        <v>2339</v>
      </c>
      <c r="T670" t="s">
        <v>2340</v>
      </c>
      <c r="U670" t="s">
        <v>57</v>
      </c>
      <c r="V670" t="s">
        <v>52</v>
      </c>
      <c r="W670" t="s">
        <v>59</v>
      </c>
      <c r="X670" t="s">
        <v>145</v>
      </c>
      <c r="Y670" t="s">
        <v>45</v>
      </c>
      <c r="Z670" t="s">
        <v>41</v>
      </c>
      <c r="AA670" t="s">
        <v>54</v>
      </c>
      <c r="AB670" t="s">
        <v>40</v>
      </c>
      <c r="AC670" t="s">
        <v>56</v>
      </c>
      <c r="AD670" t="s">
        <v>41</v>
      </c>
      <c r="AE670" t="s">
        <v>45</v>
      </c>
      <c r="AF670" t="s">
        <v>41</v>
      </c>
      <c r="AG670" t="s">
        <v>41</v>
      </c>
      <c r="AH670" t="s">
        <v>41</v>
      </c>
      <c r="AI670" t="s">
        <v>41</v>
      </c>
    </row>
    <row r="671" spans="1:35" x14ac:dyDescent="0.25">
      <c r="A671" t="s">
        <v>218</v>
      </c>
      <c r="B671" t="s">
        <v>36</v>
      </c>
      <c r="C671" t="s">
        <v>37</v>
      </c>
      <c r="D671" t="s">
        <v>2341</v>
      </c>
      <c r="E671" t="s">
        <v>62</v>
      </c>
      <c r="F671" t="s">
        <v>56</v>
      </c>
      <c r="G671" t="s">
        <v>45</v>
      </c>
      <c r="H671" t="s">
        <v>87</v>
      </c>
      <c r="I671" t="s">
        <v>40</v>
      </c>
      <c r="J671" t="s">
        <v>2131</v>
      </c>
      <c r="K671" t="s">
        <v>47</v>
      </c>
      <c r="L671" t="s">
        <v>63</v>
      </c>
      <c r="M671" t="s">
        <v>304</v>
      </c>
      <c r="N671" t="s">
        <v>45</v>
      </c>
      <c r="O671" t="s">
        <v>40</v>
      </c>
      <c r="P671" t="s">
        <v>76</v>
      </c>
      <c r="Q671" t="s">
        <v>40</v>
      </c>
      <c r="R671" t="s">
        <v>66</v>
      </c>
      <c r="S671" t="s">
        <v>2342</v>
      </c>
      <c r="T671" t="s">
        <v>2343</v>
      </c>
      <c r="U671" t="s">
        <v>71</v>
      </c>
      <c r="V671" t="s">
        <v>52</v>
      </c>
      <c r="W671" t="s">
        <v>36</v>
      </c>
      <c r="X671" t="s">
        <v>119</v>
      </c>
      <c r="Y671" t="s">
        <v>47</v>
      </c>
      <c r="Z671" t="s">
        <v>47</v>
      </c>
      <c r="AA671" t="s">
        <v>54</v>
      </c>
      <c r="AB671" t="s">
        <v>55</v>
      </c>
      <c r="AC671" t="s">
        <v>51</v>
      </c>
      <c r="AD671" t="s">
        <v>41</v>
      </c>
      <c r="AE671" t="s">
        <v>40</v>
      </c>
      <c r="AF671" t="s">
        <v>41</v>
      </c>
      <c r="AG671" t="s">
        <v>41</v>
      </c>
      <c r="AH671" t="s">
        <v>41</v>
      </c>
      <c r="AI671" t="s">
        <v>41</v>
      </c>
    </row>
    <row r="672" spans="1:35" x14ac:dyDescent="0.25">
      <c r="A672" t="s">
        <v>85</v>
      </c>
      <c r="B672" t="s">
        <v>59</v>
      </c>
      <c r="C672" t="s">
        <v>37</v>
      </c>
      <c r="D672" t="s">
        <v>1730</v>
      </c>
      <c r="E672" t="s">
        <v>62</v>
      </c>
      <c r="F672" t="s">
        <v>47</v>
      </c>
      <c r="G672" t="s">
        <v>45</v>
      </c>
      <c r="H672" t="s">
        <v>42</v>
      </c>
      <c r="I672" t="s">
        <v>40</v>
      </c>
      <c r="J672" t="s">
        <v>660</v>
      </c>
      <c r="K672" t="s">
        <v>41</v>
      </c>
      <c r="L672" t="s">
        <v>43</v>
      </c>
      <c r="M672" t="s">
        <v>322</v>
      </c>
      <c r="N672" t="s">
        <v>45</v>
      </c>
      <c r="O672" t="s">
        <v>40</v>
      </c>
      <c r="P672" t="s">
        <v>65</v>
      </c>
      <c r="Q672" t="s">
        <v>45</v>
      </c>
      <c r="R672" t="s">
        <v>48</v>
      </c>
      <c r="S672" t="s">
        <v>2344</v>
      </c>
      <c r="T672" t="s">
        <v>2345</v>
      </c>
      <c r="U672" t="s">
        <v>40</v>
      </c>
      <c r="V672" t="s">
        <v>52</v>
      </c>
      <c r="W672" t="s">
        <v>59</v>
      </c>
      <c r="X672" t="s">
        <v>144</v>
      </c>
      <c r="Y672" t="s">
        <v>45</v>
      </c>
      <c r="Z672" t="s">
        <v>45</v>
      </c>
      <c r="AA672" t="s">
        <v>54</v>
      </c>
      <c r="AB672" t="s">
        <v>55</v>
      </c>
      <c r="AC672" t="s">
        <v>40</v>
      </c>
      <c r="AD672" t="s">
        <v>41</v>
      </c>
      <c r="AE672" t="s">
        <v>45</v>
      </c>
      <c r="AF672" t="s">
        <v>40</v>
      </c>
      <c r="AG672" t="s">
        <v>40</v>
      </c>
      <c r="AH672" t="s">
        <v>55</v>
      </c>
      <c r="AI672" t="s">
        <v>55</v>
      </c>
    </row>
    <row r="673" spans="1:35" x14ac:dyDescent="0.25">
      <c r="A673" t="s">
        <v>142</v>
      </c>
      <c r="B673" t="s">
        <v>59</v>
      </c>
      <c r="C673" t="s">
        <v>37</v>
      </c>
      <c r="D673" t="s">
        <v>1563</v>
      </c>
      <c r="E673" t="s">
        <v>62</v>
      </c>
      <c r="F673" t="s">
        <v>70</v>
      </c>
      <c r="G673" t="s">
        <v>45</v>
      </c>
      <c r="H673" t="s">
        <v>42</v>
      </c>
      <c r="I673" t="s">
        <v>40</v>
      </c>
      <c r="J673" t="s">
        <v>2346</v>
      </c>
      <c r="K673" t="s">
        <v>41</v>
      </c>
      <c r="L673" t="s">
        <v>63</v>
      </c>
      <c r="M673" t="s">
        <v>193</v>
      </c>
      <c r="N673" t="s">
        <v>45</v>
      </c>
      <c r="O673" t="s">
        <v>40</v>
      </c>
      <c r="P673" t="s">
        <v>76</v>
      </c>
      <c r="Q673" t="s">
        <v>41</v>
      </c>
      <c r="R673" t="s">
        <v>109</v>
      </c>
      <c r="S673" t="s">
        <v>2347</v>
      </c>
      <c r="T673" t="s">
        <v>2348</v>
      </c>
      <c r="U673" t="s">
        <v>40</v>
      </c>
      <c r="V673" t="s">
        <v>52</v>
      </c>
      <c r="W673" t="s">
        <v>59</v>
      </c>
      <c r="X673" t="s">
        <v>129</v>
      </c>
      <c r="Y673" t="s">
        <v>45</v>
      </c>
      <c r="Z673" t="s">
        <v>41</v>
      </c>
      <c r="AA673" t="s">
        <v>54</v>
      </c>
      <c r="AB673" t="s">
        <v>41</v>
      </c>
      <c r="AC673" t="s">
        <v>40</v>
      </c>
      <c r="AD673" t="s">
        <v>45</v>
      </c>
      <c r="AE673" t="s">
        <v>45</v>
      </c>
      <c r="AF673" t="s">
        <v>40</v>
      </c>
      <c r="AG673" t="s">
        <v>55</v>
      </c>
      <c r="AH673" t="s">
        <v>40</v>
      </c>
      <c r="AI673" t="s">
        <v>55</v>
      </c>
    </row>
    <row r="674" spans="1:35" x14ac:dyDescent="0.25">
      <c r="A674" t="s">
        <v>204</v>
      </c>
      <c r="B674" t="s">
        <v>59</v>
      </c>
      <c r="C674" t="s">
        <v>37</v>
      </c>
      <c r="D674" t="s">
        <v>1355</v>
      </c>
      <c r="E674" t="s">
        <v>39</v>
      </c>
      <c r="F674" t="s">
        <v>129</v>
      </c>
      <c r="G674" t="s">
        <v>41</v>
      </c>
      <c r="H674" t="s">
        <v>87</v>
      </c>
      <c r="I674" t="s">
        <v>40</v>
      </c>
      <c r="J674" t="s">
        <v>2349</v>
      </c>
      <c r="K674" t="s">
        <v>45</v>
      </c>
      <c r="L674" t="s">
        <v>43</v>
      </c>
      <c r="M674" t="s">
        <v>300</v>
      </c>
      <c r="N674" t="s">
        <v>41</v>
      </c>
      <c r="O674" t="s">
        <v>41</v>
      </c>
      <c r="P674" t="s">
        <v>46</v>
      </c>
      <c r="Q674" t="s">
        <v>45</v>
      </c>
      <c r="R674" t="s">
        <v>48</v>
      </c>
      <c r="S674" t="s">
        <v>2350</v>
      </c>
      <c r="T674" t="s">
        <v>2351</v>
      </c>
      <c r="U674" t="s">
        <v>71</v>
      </c>
      <c r="V674" t="s">
        <v>52</v>
      </c>
      <c r="W674" t="s">
        <v>59</v>
      </c>
      <c r="X674" t="s">
        <v>125</v>
      </c>
      <c r="Y674" t="s">
        <v>45</v>
      </c>
      <c r="Z674" t="s">
        <v>40</v>
      </c>
      <c r="AA674" t="s">
        <v>54</v>
      </c>
      <c r="AB674" t="s">
        <v>55</v>
      </c>
      <c r="AC674" t="s">
        <v>70</v>
      </c>
      <c r="AD674" t="s">
        <v>56</v>
      </c>
      <c r="AE674" t="s">
        <v>45</v>
      </c>
      <c r="AF674" t="s">
        <v>57</v>
      </c>
      <c r="AG674" t="s">
        <v>47</v>
      </c>
      <c r="AH674" t="s">
        <v>55</v>
      </c>
      <c r="AI674" t="s">
        <v>45</v>
      </c>
    </row>
    <row r="675" spans="1:35" x14ac:dyDescent="0.25">
      <c r="A675" t="s">
        <v>80</v>
      </c>
      <c r="B675" t="s">
        <v>59</v>
      </c>
      <c r="C675" t="s">
        <v>37</v>
      </c>
      <c r="D675" t="s">
        <v>2352</v>
      </c>
      <c r="E675" t="s">
        <v>62</v>
      </c>
      <c r="F675" t="s">
        <v>40</v>
      </c>
      <c r="G675" t="s">
        <v>47</v>
      </c>
      <c r="H675" t="s">
        <v>74</v>
      </c>
      <c r="I675" t="s">
        <v>40</v>
      </c>
      <c r="J675" t="s">
        <v>2353</v>
      </c>
      <c r="K675" t="s">
        <v>45</v>
      </c>
      <c r="L675" t="s">
        <v>63</v>
      </c>
      <c r="M675" t="s">
        <v>385</v>
      </c>
      <c r="N675" t="s">
        <v>41</v>
      </c>
      <c r="O675" t="s">
        <v>40</v>
      </c>
      <c r="P675" t="s">
        <v>65</v>
      </c>
      <c r="Q675" t="s">
        <v>40</v>
      </c>
      <c r="R675" t="s">
        <v>48</v>
      </c>
      <c r="S675" t="s">
        <v>2354</v>
      </c>
      <c r="T675" t="s">
        <v>2355</v>
      </c>
      <c r="U675" t="s">
        <v>45</v>
      </c>
      <c r="V675" t="s">
        <v>52</v>
      </c>
      <c r="W675" t="s">
        <v>36</v>
      </c>
      <c r="X675" t="s">
        <v>53</v>
      </c>
      <c r="Y675" t="s">
        <v>45</v>
      </c>
      <c r="Z675" t="s">
        <v>41</v>
      </c>
      <c r="AA675" t="s">
        <v>54</v>
      </c>
      <c r="AB675" t="s">
        <v>55</v>
      </c>
      <c r="AC675" t="s">
        <v>56</v>
      </c>
      <c r="AD675" t="s">
        <v>40</v>
      </c>
      <c r="AE675" t="s">
        <v>45</v>
      </c>
      <c r="AF675" t="s">
        <v>45</v>
      </c>
      <c r="AG675" t="s">
        <v>41</v>
      </c>
      <c r="AH675" t="s">
        <v>55</v>
      </c>
      <c r="AI675" t="s">
        <v>41</v>
      </c>
    </row>
    <row r="676" spans="1:35" x14ac:dyDescent="0.25">
      <c r="A676" t="s">
        <v>197</v>
      </c>
      <c r="B676" t="s">
        <v>59</v>
      </c>
      <c r="C676" t="s">
        <v>37</v>
      </c>
      <c r="D676" t="s">
        <v>2356</v>
      </c>
      <c r="E676" t="s">
        <v>62</v>
      </c>
      <c r="F676" t="s">
        <v>57</v>
      </c>
      <c r="G676" t="s">
        <v>45</v>
      </c>
      <c r="H676" t="s">
        <v>228</v>
      </c>
      <c r="I676" t="s">
        <v>40</v>
      </c>
      <c r="J676" t="s">
        <v>2357</v>
      </c>
      <c r="K676" t="s">
        <v>45</v>
      </c>
      <c r="L676" t="s">
        <v>43</v>
      </c>
      <c r="M676" t="s">
        <v>72</v>
      </c>
      <c r="N676" t="s">
        <v>41</v>
      </c>
      <c r="O676" t="s">
        <v>45</v>
      </c>
      <c r="P676" t="s">
        <v>122</v>
      </c>
      <c r="Q676" t="s">
        <v>41</v>
      </c>
      <c r="R676" t="s">
        <v>109</v>
      </c>
      <c r="S676" t="s">
        <v>2358</v>
      </c>
      <c r="T676" t="s">
        <v>2359</v>
      </c>
      <c r="U676" t="s">
        <v>41</v>
      </c>
      <c r="V676" t="s">
        <v>52</v>
      </c>
      <c r="W676" t="s">
        <v>36</v>
      </c>
      <c r="X676" t="s">
        <v>98</v>
      </c>
      <c r="Y676" t="s">
        <v>45</v>
      </c>
      <c r="Z676" t="s">
        <v>47</v>
      </c>
      <c r="AA676" t="s">
        <v>54</v>
      </c>
      <c r="AB676" t="s">
        <v>40</v>
      </c>
      <c r="AC676" t="s">
        <v>107</v>
      </c>
      <c r="AD676" t="s">
        <v>45</v>
      </c>
      <c r="AE676" t="s">
        <v>45</v>
      </c>
      <c r="AF676" t="s">
        <v>56</v>
      </c>
      <c r="AG676" t="s">
        <v>55</v>
      </c>
      <c r="AH676" t="s">
        <v>55</v>
      </c>
      <c r="AI676" t="s">
        <v>47</v>
      </c>
    </row>
    <row r="677" spans="1:35" x14ac:dyDescent="0.25">
      <c r="A677" t="s">
        <v>137</v>
      </c>
      <c r="B677" t="s">
        <v>59</v>
      </c>
      <c r="C677" t="s">
        <v>37</v>
      </c>
      <c r="D677" t="s">
        <v>542</v>
      </c>
      <c r="E677" t="s">
        <v>39</v>
      </c>
      <c r="F677" t="s">
        <v>71</v>
      </c>
      <c r="G677" t="s">
        <v>47</v>
      </c>
      <c r="H677" t="s">
        <v>42</v>
      </c>
      <c r="I677" t="s">
        <v>40</v>
      </c>
      <c r="J677" t="s">
        <v>2360</v>
      </c>
      <c r="K677" t="s">
        <v>41</v>
      </c>
      <c r="L677" t="s">
        <v>63</v>
      </c>
      <c r="M677" t="s">
        <v>35</v>
      </c>
      <c r="N677" t="s">
        <v>41</v>
      </c>
      <c r="O677" t="s">
        <v>40</v>
      </c>
      <c r="P677" t="s">
        <v>182</v>
      </c>
      <c r="Q677" t="s">
        <v>45</v>
      </c>
      <c r="R677" t="s">
        <v>66</v>
      </c>
      <c r="S677" t="s">
        <v>2361</v>
      </c>
      <c r="T677" t="s">
        <v>2362</v>
      </c>
      <c r="U677" t="s">
        <v>45</v>
      </c>
      <c r="V677" t="s">
        <v>52</v>
      </c>
      <c r="W677" t="s">
        <v>59</v>
      </c>
      <c r="X677" t="s">
        <v>79</v>
      </c>
      <c r="Y677" t="s">
        <v>45</v>
      </c>
      <c r="Z677" t="s">
        <v>41</v>
      </c>
      <c r="AA677" t="s">
        <v>54</v>
      </c>
      <c r="AB677" t="s">
        <v>55</v>
      </c>
      <c r="AC677" t="s">
        <v>98</v>
      </c>
      <c r="AD677" t="s">
        <v>41</v>
      </c>
      <c r="AE677" t="s">
        <v>47</v>
      </c>
      <c r="AF677" t="s">
        <v>71</v>
      </c>
      <c r="AG677" t="s">
        <v>71</v>
      </c>
      <c r="AH677" t="s">
        <v>57</v>
      </c>
      <c r="AI677" t="s">
        <v>41</v>
      </c>
    </row>
    <row r="678" spans="1:35" x14ac:dyDescent="0.25">
      <c r="A678" t="s">
        <v>126</v>
      </c>
      <c r="B678" t="s">
        <v>59</v>
      </c>
      <c r="C678" t="s">
        <v>37</v>
      </c>
      <c r="D678" t="s">
        <v>2363</v>
      </c>
      <c r="E678" t="s">
        <v>62</v>
      </c>
      <c r="F678" t="s">
        <v>119</v>
      </c>
      <c r="G678" t="s">
        <v>40</v>
      </c>
      <c r="H678" t="s">
        <v>42</v>
      </c>
      <c r="I678" t="s">
        <v>40</v>
      </c>
      <c r="J678" t="s">
        <v>2364</v>
      </c>
      <c r="K678" t="s">
        <v>47</v>
      </c>
      <c r="L678" t="s">
        <v>43</v>
      </c>
      <c r="M678" t="s">
        <v>155</v>
      </c>
      <c r="N678" t="s">
        <v>45</v>
      </c>
      <c r="O678" t="s">
        <v>41</v>
      </c>
      <c r="P678" t="s">
        <v>122</v>
      </c>
      <c r="Q678" t="s">
        <v>47</v>
      </c>
      <c r="R678" t="s">
        <v>66</v>
      </c>
      <c r="S678" t="s">
        <v>319</v>
      </c>
      <c r="T678" t="s">
        <v>2365</v>
      </c>
      <c r="U678" t="s">
        <v>40</v>
      </c>
      <c r="V678" t="s">
        <v>52</v>
      </c>
      <c r="W678" t="s">
        <v>36</v>
      </c>
      <c r="X678" t="s">
        <v>172</v>
      </c>
      <c r="Y678" t="s">
        <v>47</v>
      </c>
      <c r="Z678" t="s">
        <v>47</v>
      </c>
      <c r="AA678" t="s">
        <v>54</v>
      </c>
      <c r="AB678" t="s">
        <v>40</v>
      </c>
      <c r="AC678" t="s">
        <v>70</v>
      </c>
      <c r="AD678" t="s">
        <v>41</v>
      </c>
      <c r="AE678" t="s">
        <v>40</v>
      </c>
      <c r="AF678" t="s">
        <v>70</v>
      </c>
      <c r="AG678" t="s">
        <v>56</v>
      </c>
      <c r="AH678" t="s">
        <v>55</v>
      </c>
      <c r="AI678" t="s">
        <v>71</v>
      </c>
    </row>
    <row r="679" spans="1:35" x14ac:dyDescent="0.25">
      <c r="A679" t="s">
        <v>58</v>
      </c>
      <c r="B679" t="s">
        <v>59</v>
      </c>
      <c r="C679" t="s">
        <v>37</v>
      </c>
      <c r="D679" t="s">
        <v>1533</v>
      </c>
      <c r="E679" t="s">
        <v>62</v>
      </c>
      <c r="F679" t="s">
        <v>51</v>
      </c>
      <c r="G679" t="s">
        <v>41</v>
      </c>
      <c r="H679" t="s">
        <v>74</v>
      </c>
      <c r="I679" t="s">
        <v>40</v>
      </c>
      <c r="J679" t="s">
        <v>950</v>
      </c>
      <c r="K679" t="s">
        <v>40</v>
      </c>
      <c r="L679" t="s">
        <v>43</v>
      </c>
      <c r="M679" t="s">
        <v>155</v>
      </c>
      <c r="N679" t="s">
        <v>45</v>
      </c>
      <c r="O679" t="s">
        <v>45</v>
      </c>
      <c r="P679" t="s">
        <v>76</v>
      </c>
      <c r="Q679" t="s">
        <v>41</v>
      </c>
      <c r="R679" t="s">
        <v>66</v>
      </c>
      <c r="S679" t="s">
        <v>2366</v>
      </c>
      <c r="T679" t="s">
        <v>2367</v>
      </c>
      <c r="U679" t="s">
        <v>47</v>
      </c>
      <c r="V679" t="s">
        <v>52</v>
      </c>
      <c r="W679" t="s">
        <v>59</v>
      </c>
      <c r="X679" t="s">
        <v>53</v>
      </c>
      <c r="Y679" t="s">
        <v>45</v>
      </c>
      <c r="Z679" t="s">
        <v>45</v>
      </c>
      <c r="AA679" t="s">
        <v>54</v>
      </c>
      <c r="AB679" t="s">
        <v>40</v>
      </c>
      <c r="AC679" t="s">
        <v>133</v>
      </c>
      <c r="AD679" t="s">
        <v>45</v>
      </c>
      <c r="AE679" t="s">
        <v>41</v>
      </c>
      <c r="AF679" t="s">
        <v>139</v>
      </c>
      <c r="AG679" t="s">
        <v>91</v>
      </c>
      <c r="AH679" t="s">
        <v>40</v>
      </c>
      <c r="AI679" t="s">
        <v>71</v>
      </c>
    </row>
    <row r="680" spans="1:35" x14ac:dyDescent="0.25">
      <c r="A680" t="s">
        <v>207</v>
      </c>
      <c r="B680" t="s">
        <v>59</v>
      </c>
      <c r="C680" t="s">
        <v>37</v>
      </c>
      <c r="D680" t="s">
        <v>896</v>
      </c>
      <c r="E680" t="s">
        <v>62</v>
      </c>
      <c r="F680" t="s">
        <v>104</v>
      </c>
      <c r="G680" t="s">
        <v>47</v>
      </c>
      <c r="H680" t="s">
        <v>87</v>
      </c>
      <c r="I680" t="s">
        <v>40</v>
      </c>
      <c r="J680" t="s">
        <v>396</v>
      </c>
      <c r="K680" t="s">
        <v>47</v>
      </c>
      <c r="L680" t="s">
        <v>63</v>
      </c>
      <c r="M680" t="s">
        <v>155</v>
      </c>
      <c r="N680" t="s">
        <v>45</v>
      </c>
      <c r="O680" t="s">
        <v>40</v>
      </c>
      <c r="P680" t="s">
        <v>65</v>
      </c>
      <c r="Q680" t="s">
        <v>45</v>
      </c>
      <c r="R680" t="s">
        <v>66</v>
      </c>
      <c r="S680" t="s">
        <v>2368</v>
      </c>
      <c r="T680" t="s">
        <v>2369</v>
      </c>
      <c r="U680" t="s">
        <v>47</v>
      </c>
      <c r="V680" t="s">
        <v>52</v>
      </c>
      <c r="W680" t="s">
        <v>59</v>
      </c>
      <c r="X680" t="s">
        <v>125</v>
      </c>
      <c r="Y680" t="s">
        <v>45</v>
      </c>
      <c r="Z680" t="s">
        <v>40</v>
      </c>
      <c r="AA680" t="s">
        <v>54</v>
      </c>
      <c r="AB680" t="s">
        <v>41</v>
      </c>
      <c r="AC680" t="s">
        <v>98</v>
      </c>
      <c r="AD680" t="s">
        <v>41</v>
      </c>
      <c r="AE680" t="s">
        <v>41</v>
      </c>
      <c r="AF680" t="s">
        <v>55</v>
      </c>
      <c r="AG680" t="s">
        <v>55</v>
      </c>
      <c r="AH680" t="s">
        <v>55</v>
      </c>
      <c r="AI680" t="s">
        <v>55</v>
      </c>
    </row>
    <row r="681" spans="1:35" x14ac:dyDescent="0.25">
      <c r="A681" t="s">
        <v>137</v>
      </c>
      <c r="B681" t="s">
        <v>59</v>
      </c>
      <c r="C681" t="s">
        <v>161</v>
      </c>
      <c r="D681" t="s">
        <v>2370</v>
      </c>
      <c r="E681" t="s">
        <v>39</v>
      </c>
      <c r="F681" t="s">
        <v>104</v>
      </c>
      <c r="G681" t="s">
        <v>41</v>
      </c>
      <c r="H681" t="s">
        <v>206</v>
      </c>
      <c r="I681" t="s">
        <v>40</v>
      </c>
      <c r="J681" t="s">
        <v>2371</v>
      </c>
      <c r="K681" t="s">
        <v>47</v>
      </c>
      <c r="L681" t="s">
        <v>43</v>
      </c>
      <c r="M681" t="s">
        <v>174</v>
      </c>
      <c r="N681" t="s">
        <v>45</v>
      </c>
      <c r="O681" t="s">
        <v>41</v>
      </c>
      <c r="P681" t="s">
        <v>46</v>
      </c>
      <c r="Q681" t="s">
        <v>45</v>
      </c>
      <c r="R681" t="s">
        <v>66</v>
      </c>
      <c r="S681" t="s">
        <v>2372</v>
      </c>
      <c r="T681" t="s">
        <v>2373</v>
      </c>
      <c r="U681" t="s">
        <v>40</v>
      </c>
      <c r="V681" t="s">
        <v>52</v>
      </c>
      <c r="W681" t="s">
        <v>59</v>
      </c>
      <c r="X681" t="s">
        <v>98</v>
      </c>
      <c r="Y681" t="s">
        <v>45</v>
      </c>
      <c r="Z681" t="s">
        <v>47</v>
      </c>
      <c r="AA681" t="s">
        <v>54</v>
      </c>
      <c r="AB681" t="s">
        <v>40</v>
      </c>
      <c r="AC681" t="s">
        <v>91</v>
      </c>
      <c r="AD681" t="s">
        <v>41</v>
      </c>
      <c r="AE681" t="s">
        <v>41</v>
      </c>
      <c r="AF681" t="s">
        <v>91</v>
      </c>
      <c r="AG681" t="s">
        <v>51</v>
      </c>
      <c r="AH681" t="s">
        <v>55</v>
      </c>
      <c r="AI681" t="s">
        <v>55</v>
      </c>
    </row>
    <row r="682" spans="1:35" x14ac:dyDescent="0.25">
      <c r="A682" t="s">
        <v>120</v>
      </c>
      <c r="B682" t="s">
        <v>59</v>
      </c>
      <c r="C682" t="s">
        <v>37</v>
      </c>
      <c r="D682" t="s">
        <v>2374</v>
      </c>
      <c r="E682" t="s">
        <v>62</v>
      </c>
      <c r="F682" t="s">
        <v>71</v>
      </c>
      <c r="G682" t="s">
        <v>47</v>
      </c>
      <c r="H682" t="s">
        <v>74</v>
      </c>
      <c r="I682" t="s">
        <v>40</v>
      </c>
      <c r="J682" t="s">
        <v>2375</v>
      </c>
      <c r="K682" t="s">
        <v>41</v>
      </c>
      <c r="L682" t="s">
        <v>63</v>
      </c>
      <c r="M682" t="s">
        <v>296</v>
      </c>
      <c r="N682" t="s">
        <v>45</v>
      </c>
      <c r="O682" t="s">
        <v>40</v>
      </c>
      <c r="P682" t="s">
        <v>65</v>
      </c>
      <c r="Q682" t="s">
        <v>47</v>
      </c>
      <c r="R682" t="s">
        <v>48</v>
      </c>
      <c r="S682" t="s">
        <v>2376</v>
      </c>
      <c r="T682" t="s">
        <v>2377</v>
      </c>
      <c r="U682" t="s">
        <v>41</v>
      </c>
      <c r="V682" t="s">
        <v>52</v>
      </c>
      <c r="W682" t="s">
        <v>59</v>
      </c>
      <c r="X682" t="s">
        <v>145</v>
      </c>
      <c r="Y682" t="s">
        <v>45</v>
      </c>
      <c r="Z682" t="s">
        <v>45</v>
      </c>
      <c r="AA682" t="s">
        <v>54</v>
      </c>
      <c r="AB682" t="s">
        <v>55</v>
      </c>
      <c r="AC682" t="s">
        <v>51</v>
      </c>
      <c r="AD682" t="s">
        <v>56</v>
      </c>
      <c r="AE682" t="s">
        <v>45</v>
      </c>
      <c r="AF682" t="s">
        <v>56</v>
      </c>
      <c r="AG682" t="s">
        <v>41</v>
      </c>
      <c r="AH682" t="s">
        <v>55</v>
      </c>
      <c r="AI682" t="s">
        <v>40</v>
      </c>
    </row>
    <row r="683" spans="1:35" x14ac:dyDescent="0.25">
      <c r="A683" t="s">
        <v>113</v>
      </c>
      <c r="B683" t="s">
        <v>59</v>
      </c>
      <c r="C683" t="s">
        <v>37</v>
      </c>
      <c r="D683" t="s">
        <v>2378</v>
      </c>
      <c r="E683" t="s">
        <v>62</v>
      </c>
      <c r="F683" t="s">
        <v>40</v>
      </c>
      <c r="G683" t="s">
        <v>45</v>
      </c>
      <c r="H683" t="s">
        <v>228</v>
      </c>
      <c r="I683" t="s">
        <v>40</v>
      </c>
      <c r="J683" t="s">
        <v>1185</v>
      </c>
      <c r="K683" t="s">
        <v>47</v>
      </c>
      <c r="L683" t="s">
        <v>43</v>
      </c>
      <c r="M683" t="s">
        <v>54</v>
      </c>
      <c r="N683" t="s">
        <v>45</v>
      </c>
      <c r="O683" t="s">
        <v>45</v>
      </c>
      <c r="P683" t="s">
        <v>186</v>
      </c>
      <c r="Q683" t="s">
        <v>40</v>
      </c>
      <c r="R683" t="s">
        <v>66</v>
      </c>
      <c r="S683" t="s">
        <v>2379</v>
      </c>
      <c r="T683" t="s">
        <v>2380</v>
      </c>
      <c r="U683" t="s">
        <v>40</v>
      </c>
      <c r="V683" t="s">
        <v>52</v>
      </c>
      <c r="W683" t="s">
        <v>59</v>
      </c>
      <c r="X683" t="s">
        <v>98</v>
      </c>
      <c r="Y683" t="s">
        <v>45</v>
      </c>
      <c r="Z683" t="s">
        <v>41</v>
      </c>
      <c r="AA683" t="s">
        <v>54</v>
      </c>
      <c r="AB683" t="s">
        <v>40</v>
      </c>
      <c r="AC683" t="s">
        <v>79</v>
      </c>
      <c r="AD683" t="s">
        <v>45</v>
      </c>
      <c r="AE683" t="s">
        <v>45</v>
      </c>
      <c r="AF683" t="s">
        <v>79</v>
      </c>
      <c r="AG683" t="s">
        <v>92</v>
      </c>
      <c r="AH683" t="s">
        <v>57</v>
      </c>
      <c r="AI683" t="s">
        <v>53</v>
      </c>
    </row>
    <row r="684" spans="1:35" x14ac:dyDescent="0.25">
      <c r="A684" t="s">
        <v>93</v>
      </c>
      <c r="B684" t="s">
        <v>59</v>
      </c>
      <c r="C684" t="s">
        <v>161</v>
      </c>
      <c r="D684" t="s">
        <v>2157</v>
      </c>
      <c r="E684" t="s">
        <v>62</v>
      </c>
      <c r="F684" t="s">
        <v>40</v>
      </c>
      <c r="G684" t="s">
        <v>45</v>
      </c>
      <c r="H684" t="s">
        <v>42</v>
      </c>
      <c r="I684" t="s">
        <v>40</v>
      </c>
      <c r="J684" t="s">
        <v>2381</v>
      </c>
      <c r="K684" t="s">
        <v>45</v>
      </c>
      <c r="L684" t="s">
        <v>43</v>
      </c>
      <c r="M684" t="s">
        <v>304</v>
      </c>
      <c r="N684" t="s">
        <v>41</v>
      </c>
      <c r="O684" t="s">
        <v>40</v>
      </c>
      <c r="P684" t="s">
        <v>76</v>
      </c>
      <c r="Q684" t="s">
        <v>41</v>
      </c>
      <c r="R684" t="s">
        <v>66</v>
      </c>
      <c r="S684" t="s">
        <v>2382</v>
      </c>
      <c r="T684" t="s">
        <v>2383</v>
      </c>
      <c r="U684" t="s">
        <v>56</v>
      </c>
      <c r="V684" t="s">
        <v>52</v>
      </c>
      <c r="W684" t="s">
        <v>59</v>
      </c>
      <c r="X684" t="s">
        <v>104</v>
      </c>
      <c r="Y684" t="s">
        <v>47</v>
      </c>
      <c r="Z684" t="s">
        <v>45</v>
      </c>
      <c r="AA684" t="s">
        <v>54</v>
      </c>
      <c r="AB684" t="s">
        <v>55</v>
      </c>
      <c r="AC684" t="s">
        <v>57</v>
      </c>
      <c r="AD684" t="s">
        <v>45</v>
      </c>
      <c r="AE684" t="s">
        <v>45</v>
      </c>
      <c r="AF684" t="s">
        <v>45</v>
      </c>
      <c r="AG684" t="s">
        <v>55</v>
      </c>
      <c r="AH684" t="s">
        <v>55</v>
      </c>
      <c r="AI684" t="s">
        <v>41</v>
      </c>
    </row>
    <row r="685" spans="1:35" x14ac:dyDescent="0.25">
      <c r="A685" t="s">
        <v>172</v>
      </c>
      <c r="B685" t="s">
        <v>36</v>
      </c>
      <c r="C685" t="s">
        <v>37</v>
      </c>
      <c r="D685" t="s">
        <v>2218</v>
      </c>
      <c r="E685" t="s">
        <v>39</v>
      </c>
      <c r="F685" t="s">
        <v>144</v>
      </c>
      <c r="G685" t="s">
        <v>41</v>
      </c>
      <c r="H685" t="s">
        <v>206</v>
      </c>
      <c r="I685" t="s">
        <v>40</v>
      </c>
      <c r="J685" t="s">
        <v>2384</v>
      </c>
      <c r="K685" t="s">
        <v>45</v>
      </c>
      <c r="L685" t="s">
        <v>63</v>
      </c>
      <c r="M685" t="s">
        <v>120</v>
      </c>
      <c r="N685" t="s">
        <v>41</v>
      </c>
      <c r="O685" t="s">
        <v>40</v>
      </c>
      <c r="P685" t="s">
        <v>182</v>
      </c>
      <c r="Q685" t="s">
        <v>41</v>
      </c>
      <c r="R685" t="s">
        <v>66</v>
      </c>
      <c r="S685" t="s">
        <v>2385</v>
      </c>
      <c r="T685" t="s">
        <v>2386</v>
      </c>
      <c r="U685" t="s">
        <v>40</v>
      </c>
      <c r="V685" t="s">
        <v>52</v>
      </c>
      <c r="W685" t="s">
        <v>36</v>
      </c>
      <c r="X685" t="s">
        <v>145</v>
      </c>
      <c r="Y685" t="s">
        <v>45</v>
      </c>
      <c r="Z685" t="s">
        <v>45</v>
      </c>
      <c r="AA685" t="s">
        <v>54</v>
      </c>
      <c r="AB685" t="s">
        <v>45</v>
      </c>
      <c r="AC685" t="s">
        <v>40</v>
      </c>
      <c r="AD685" t="s">
        <v>41</v>
      </c>
      <c r="AE685" t="s">
        <v>45</v>
      </c>
      <c r="AF685" t="s">
        <v>40</v>
      </c>
      <c r="AG685" t="s">
        <v>55</v>
      </c>
      <c r="AH685" t="s">
        <v>55</v>
      </c>
      <c r="AI685" t="s">
        <v>55</v>
      </c>
    </row>
    <row r="686" spans="1:35" x14ac:dyDescent="0.25">
      <c r="A686" t="s">
        <v>88</v>
      </c>
      <c r="B686" t="s">
        <v>59</v>
      </c>
      <c r="C686" t="s">
        <v>37</v>
      </c>
      <c r="D686" t="s">
        <v>519</v>
      </c>
      <c r="E686" t="s">
        <v>39</v>
      </c>
      <c r="F686" t="s">
        <v>70</v>
      </c>
      <c r="G686" t="s">
        <v>47</v>
      </c>
      <c r="H686" t="s">
        <v>206</v>
      </c>
      <c r="I686" t="s">
        <v>40</v>
      </c>
      <c r="J686" t="s">
        <v>2034</v>
      </c>
      <c r="K686" t="s">
        <v>40</v>
      </c>
      <c r="L686" t="s">
        <v>63</v>
      </c>
      <c r="M686" t="s">
        <v>108</v>
      </c>
      <c r="N686" t="s">
        <v>41</v>
      </c>
      <c r="O686" t="s">
        <v>45</v>
      </c>
      <c r="P686" t="s">
        <v>46</v>
      </c>
      <c r="Q686" t="s">
        <v>41</v>
      </c>
      <c r="R686" t="s">
        <v>109</v>
      </c>
      <c r="S686" t="s">
        <v>2387</v>
      </c>
      <c r="T686" t="s">
        <v>2388</v>
      </c>
      <c r="U686" t="s">
        <v>41</v>
      </c>
      <c r="V686" t="s">
        <v>52</v>
      </c>
      <c r="W686" t="s">
        <v>59</v>
      </c>
      <c r="X686" t="s">
        <v>92</v>
      </c>
      <c r="Y686" t="s">
        <v>45</v>
      </c>
      <c r="Z686" t="s">
        <v>41</v>
      </c>
      <c r="AA686" t="s">
        <v>54</v>
      </c>
      <c r="AB686" t="s">
        <v>40</v>
      </c>
      <c r="AC686" t="s">
        <v>53</v>
      </c>
      <c r="AD686" t="s">
        <v>41</v>
      </c>
      <c r="AE686" t="s">
        <v>41</v>
      </c>
      <c r="AF686" t="s">
        <v>40</v>
      </c>
      <c r="AG686" t="s">
        <v>55</v>
      </c>
      <c r="AH686" t="s">
        <v>55</v>
      </c>
      <c r="AI686" t="s">
        <v>55</v>
      </c>
    </row>
    <row r="687" spans="1:35" x14ac:dyDescent="0.25">
      <c r="A687" t="s">
        <v>139</v>
      </c>
      <c r="B687" t="s">
        <v>59</v>
      </c>
      <c r="C687" t="s">
        <v>60</v>
      </c>
      <c r="D687" t="s">
        <v>1449</v>
      </c>
      <c r="E687" t="s">
        <v>39</v>
      </c>
      <c r="F687" t="s">
        <v>40</v>
      </c>
      <c r="G687" t="s">
        <v>45</v>
      </c>
      <c r="H687" t="s">
        <v>87</v>
      </c>
      <c r="I687" t="s">
        <v>40</v>
      </c>
      <c r="J687" t="s">
        <v>1752</v>
      </c>
      <c r="K687" t="s">
        <v>45</v>
      </c>
      <c r="L687" t="s">
        <v>63</v>
      </c>
      <c r="M687" t="s">
        <v>251</v>
      </c>
      <c r="N687" t="s">
        <v>41</v>
      </c>
      <c r="O687" t="s">
        <v>41</v>
      </c>
      <c r="P687" t="s">
        <v>46</v>
      </c>
      <c r="Q687" t="s">
        <v>40</v>
      </c>
      <c r="R687" t="s">
        <v>48</v>
      </c>
      <c r="S687" t="s">
        <v>2389</v>
      </c>
      <c r="T687" t="s">
        <v>2390</v>
      </c>
      <c r="U687" t="s">
        <v>40</v>
      </c>
      <c r="V687" t="s">
        <v>52</v>
      </c>
      <c r="W687" t="s">
        <v>59</v>
      </c>
      <c r="X687" t="s">
        <v>92</v>
      </c>
      <c r="Y687" t="s">
        <v>45</v>
      </c>
      <c r="Z687" t="s">
        <v>41</v>
      </c>
      <c r="AA687" t="s">
        <v>54</v>
      </c>
      <c r="AB687" t="s">
        <v>55</v>
      </c>
      <c r="AC687" t="s">
        <v>71</v>
      </c>
      <c r="AD687" t="s">
        <v>41</v>
      </c>
      <c r="AE687" t="s">
        <v>45</v>
      </c>
      <c r="AF687" t="s">
        <v>71</v>
      </c>
      <c r="AG687" t="s">
        <v>71</v>
      </c>
      <c r="AH687" t="s">
        <v>55</v>
      </c>
      <c r="AI687" t="s">
        <v>71</v>
      </c>
    </row>
    <row r="688" spans="1:35" x14ac:dyDescent="0.25">
      <c r="A688" t="s">
        <v>35</v>
      </c>
      <c r="B688" t="s">
        <v>59</v>
      </c>
      <c r="C688" t="s">
        <v>37</v>
      </c>
      <c r="D688" t="s">
        <v>2391</v>
      </c>
      <c r="E688" t="s">
        <v>62</v>
      </c>
      <c r="F688" t="s">
        <v>56</v>
      </c>
      <c r="G688" t="s">
        <v>45</v>
      </c>
      <c r="H688" t="s">
        <v>87</v>
      </c>
      <c r="I688" t="s">
        <v>40</v>
      </c>
      <c r="J688" t="s">
        <v>592</v>
      </c>
      <c r="K688" t="s">
        <v>47</v>
      </c>
      <c r="L688" t="s">
        <v>63</v>
      </c>
      <c r="M688" t="s">
        <v>99</v>
      </c>
      <c r="N688" t="s">
        <v>45</v>
      </c>
      <c r="O688" t="s">
        <v>40</v>
      </c>
      <c r="P688" t="s">
        <v>76</v>
      </c>
      <c r="Q688" t="s">
        <v>40</v>
      </c>
      <c r="R688" t="s">
        <v>48</v>
      </c>
      <c r="S688" t="s">
        <v>2392</v>
      </c>
      <c r="T688" t="s">
        <v>2393</v>
      </c>
      <c r="U688" t="s">
        <v>41</v>
      </c>
      <c r="V688" t="s">
        <v>52</v>
      </c>
      <c r="W688" t="s">
        <v>36</v>
      </c>
      <c r="X688" t="s">
        <v>98</v>
      </c>
      <c r="Y688" t="s">
        <v>45</v>
      </c>
      <c r="Z688" t="s">
        <v>45</v>
      </c>
      <c r="AA688" t="s">
        <v>54</v>
      </c>
      <c r="AB688" t="s">
        <v>55</v>
      </c>
      <c r="AC688" t="s">
        <v>104</v>
      </c>
      <c r="AD688" t="s">
        <v>45</v>
      </c>
      <c r="AE688" t="s">
        <v>45</v>
      </c>
      <c r="AF688" t="s">
        <v>145</v>
      </c>
      <c r="AG688" t="s">
        <v>98</v>
      </c>
      <c r="AH688" t="s">
        <v>41</v>
      </c>
      <c r="AI688" t="s">
        <v>125</v>
      </c>
    </row>
    <row r="689" spans="1:35" x14ac:dyDescent="0.25">
      <c r="A689" t="s">
        <v>120</v>
      </c>
      <c r="B689" t="s">
        <v>59</v>
      </c>
      <c r="C689" t="s">
        <v>37</v>
      </c>
      <c r="D689" t="s">
        <v>2394</v>
      </c>
      <c r="E689" t="s">
        <v>62</v>
      </c>
      <c r="F689" t="s">
        <v>41</v>
      </c>
      <c r="G689" t="s">
        <v>47</v>
      </c>
      <c r="H689" t="s">
        <v>87</v>
      </c>
      <c r="I689" t="s">
        <v>40</v>
      </c>
      <c r="J689" t="s">
        <v>2395</v>
      </c>
      <c r="K689" t="s">
        <v>45</v>
      </c>
      <c r="L689" t="s">
        <v>63</v>
      </c>
      <c r="M689" t="s">
        <v>95</v>
      </c>
      <c r="N689" t="s">
        <v>45</v>
      </c>
      <c r="O689" t="s">
        <v>40</v>
      </c>
      <c r="P689" t="s">
        <v>76</v>
      </c>
      <c r="Q689" t="s">
        <v>45</v>
      </c>
      <c r="R689" t="s">
        <v>48</v>
      </c>
      <c r="S689" t="s">
        <v>2396</v>
      </c>
      <c r="T689" t="s">
        <v>2397</v>
      </c>
      <c r="U689" t="s">
        <v>47</v>
      </c>
      <c r="V689" t="s">
        <v>52</v>
      </c>
      <c r="W689" t="s">
        <v>59</v>
      </c>
      <c r="X689" t="s">
        <v>119</v>
      </c>
      <c r="Y689" t="s">
        <v>47</v>
      </c>
      <c r="Z689" t="s">
        <v>45</v>
      </c>
      <c r="AA689" t="s">
        <v>54</v>
      </c>
      <c r="AB689" t="s">
        <v>55</v>
      </c>
      <c r="AC689" t="s">
        <v>128</v>
      </c>
      <c r="AD689" t="s">
        <v>56</v>
      </c>
      <c r="AE689" t="s">
        <v>45</v>
      </c>
      <c r="AF689" t="s">
        <v>53</v>
      </c>
      <c r="AG689" t="s">
        <v>51</v>
      </c>
      <c r="AH689" t="s">
        <v>45</v>
      </c>
      <c r="AI689" t="s">
        <v>91</v>
      </c>
    </row>
    <row r="690" spans="1:35" x14ac:dyDescent="0.25">
      <c r="A690" t="s">
        <v>144</v>
      </c>
      <c r="B690" t="s">
        <v>36</v>
      </c>
      <c r="C690" t="s">
        <v>37</v>
      </c>
      <c r="D690" t="s">
        <v>185</v>
      </c>
      <c r="E690" t="s">
        <v>39</v>
      </c>
      <c r="F690" t="s">
        <v>119</v>
      </c>
      <c r="G690" t="s">
        <v>45</v>
      </c>
      <c r="H690" t="s">
        <v>74</v>
      </c>
      <c r="I690" t="s">
        <v>40</v>
      </c>
      <c r="J690" t="s">
        <v>622</v>
      </c>
      <c r="K690" t="s">
        <v>47</v>
      </c>
      <c r="L690" t="s">
        <v>63</v>
      </c>
      <c r="M690" t="s">
        <v>72</v>
      </c>
      <c r="N690" t="s">
        <v>41</v>
      </c>
      <c r="O690" t="s">
        <v>40</v>
      </c>
      <c r="P690" t="s">
        <v>182</v>
      </c>
      <c r="Q690" t="s">
        <v>41</v>
      </c>
      <c r="R690" t="s">
        <v>48</v>
      </c>
      <c r="S690" t="s">
        <v>2398</v>
      </c>
      <c r="T690" t="s">
        <v>2399</v>
      </c>
      <c r="U690" t="s">
        <v>40</v>
      </c>
      <c r="V690" t="s">
        <v>52</v>
      </c>
      <c r="W690" t="s">
        <v>36</v>
      </c>
      <c r="X690" t="s">
        <v>98</v>
      </c>
      <c r="Y690" t="s">
        <v>45</v>
      </c>
      <c r="Z690" t="s">
        <v>41</v>
      </c>
      <c r="AA690" t="s">
        <v>54</v>
      </c>
      <c r="AB690" t="s">
        <v>55</v>
      </c>
      <c r="AC690" t="s">
        <v>40</v>
      </c>
      <c r="AD690" t="s">
        <v>45</v>
      </c>
      <c r="AE690" t="s">
        <v>47</v>
      </c>
      <c r="AF690" t="s">
        <v>40</v>
      </c>
      <c r="AG690" t="s">
        <v>55</v>
      </c>
      <c r="AH690" t="s">
        <v>55</v>
      </c>
      <c r="AI690" t="s">
        <v>55</v>
      </c>
    </row>
    <row r="691" spans="1:35" x14ac:dyDescent="0.25">
      <c r="A691" t="s">
        <v>104</v>
      </c>
      <c r="B691" t="s">
        <v>36</v>
      </c>
      <c r="C691" t="s">
        <v>37</v>
      </c>
      <c r="D691" t="s">
        <v>466</v>
      </c>
      <c r="E691" t="s">
        <v>62</v>
      </c>
      <c r="F691" t="s">
        <v>47</v>
      </c>
      <c r="G691" t="s">
        <v>45</v>
      </c>
      <c r="H691" t="s">
        <v>228</v>
      </c>
      <c r="I691" t="s">
        <v>40</v>
      </c>
      <c r="J691" t="s">
        <v>2400</v>
      </c>
      <c r="K691" t="s">
        <v>40</v>
      </c>
      <c r="L691" t="s">
        <v>63</v>
      </c>
      <c r="M691" t="s">
        <v>130</v>
      </c>
      <c r="N691" t="s">
        <v>45</v>
      </c>
      <c r="O691" t="s">
        <v>40</v>
      </c>
      <c r="P691" t="s">
        <v>76</v>
      </c>
      <c r="Q691" t="s">
        <v>40</v>
      </c>
      <c r="R691" t="s">
        <v>48</v>
      </c>
      <c r="S691" t="s">
        <v>2282</v>
      </c>
      <c r="T691" t="s">
        <v>2401</v>
      </c>
      <c r="U691" t="s">
        <v>40</v>
      </c>
      <c r="V691" t="s">
        <v>52</v>
      </c>
      <c r="W691" t="s">
        <v>59</v>
      </c>
      <c r="X691" t="s">
        <v>144</v>
      </c>
      <c r="Y691" t="s">
        <v>45</v>
      </c>
      <c r="Z691" t="s">
        <v>41</v>
      </c>
      <c r="AA691" t="s">
        <v>54</v>
      </c>
      <c r="AB691" t="s">
        <v>55</v>
      </c>
      <c r="AC691" t="s">
        <v>40</v>
      </c>
      <c r="AD691" t="s">
        <v>41</v>
      </c>
      <c r="AE691" t="s">
        <v>45</v>
      </c>
      <c r="AF691" t="s">
        <v>40</v>
      </c>
      <c r="AG691" t="s">
        <v>55</v>
      </c>
      <c r="AH691" t="s">
        <v>55</v>
      </c>
      <c r="AI691" t="s">
        <v>55</v>
      </c>
    </row>
    <row r="692" spans="1:35" x14ac:dyDescent="0.25">
      <c r="A692" t="s">
        <v>137</v>
      </c>
      <c r="B692" t="s">
        <v>59</v>
      </c>
      <c r="C692" t="s">
        <v>37</v>
      </c>
      <c r="D692" t="s">
        <v>1726</v>
      </c>
      <c r="E692" t="s">
        <v>62</v>
      </c>
      <c r="F692" t="s">
        <v>92</v>
      </c>
      <c r="G692" t="s">
        <v>45</v>
      </c>
      <c r="H692" t="s">
        <v>87</v>
      </c>
      <c r="I692" t="s">
        <v>40</v>
      </c>
      <c r="J692" t="s">
        <v>2402</v>
      </c>
      <c r="K692" t="s">
        <v>47</v>
      </c>
      <c r="L692" t="s">
        <v>43</v>
      </c>
      <c r="M692" t="s">
        <v>35</v>
      </c>
      <c r="N692" t="s">
        <v>45</v>
      </c>
      <c r="O692" t="s">
        <v>41</v>
      </c>
      <c r="P692" t="s">
        <v>122</v>
      </c>
      <c r="Q692" t="s">
        <v>47</v>
      </c>
      <c r="R692" t="s">
        <v>66</v>
      </c>
      <c r="S692" t="s">
        <v>2403</v>
      </c>
      <c r="T692" t="s">
        <v>2404</v>
      </c>
      <c r="U692" t="s">
        <v>55</v>
      </c>
      <c r="V692" t="s">
        <v>52</v>
      </c>
      <c r="W692" t="s">
        <v>36</v>
      </c>
      <c r="X692" t="s">
        <v>53</v>
      </c>
      <c r="Y692" t="s">
        <v>45</v>
      </c>
      <c r="Z692" t="s">
        <v>45</v>
      </c>
      <c r="AA692" t="s">
        <v>54</v>
      </c>
      <c r="AB692" t="s">
        <v>41</v>
      </c>
      <c r="AC692" t="s">
        <v>70</v>
      </c>
      <c r="AD692" t="s">
        <v>41</v>
      </c>
      <c r="AE692" t="s">
        <v>40</v>
      </c>
      <c r="AF692" t="s">
        <v>91</v>
      </c>
      <c r="AG692" t="s">
        <v>71</v>
      </c>
      <c r="AH692" t="s">
        <v>51</v>
      </c>
      <c r="AI692" t="s">
        <v>57</v>
      </c>
    </row>
    <row r="693" spans="1:35" x14ac:dyDescent="0.25">
      <c r="A693" t="s">
        <v>88</v>
      </c>
      <c r="B693" t="s">
        <v>59</v>
      </c>
      <c r="C693" t="s">
        <v>60</v>
      </c>
      <c r="D693" t="s">
        <v>896</v>
      </c>
      <c r="E693" t="s">
        <v>62</v>
      </c>
      <c r="F693" t="s">
        <v>91</v>
      </c>
      <c r="G693" t="s">
        <v>47</v>
      </c>
      <c r="H693" t="s">
        <v>87</v>
      </c>
      <c r="I693" t="s">
        <v>40</v>
      </c>
      <c r="J693" t="s">
        <v>2405</v>
      </c>
      <c r="K693" t="s">
        <v>47</v>
      </c>
      <c r="L693" t="s">
        <v>63</v>
      </c>
      <c r="M693" t="s">
        <v>126</v>
      </c>
      <c r="N693" t="s">
        <v>45</v>
      </c>
      <c r="O693" t="s">
        <v>40</v>
      </c>
      <c r="P693" t="s">
        <v>65</v>
      </c>
      <c r="Q693" t="s">
        <v>41</v>
      </c>
      <c r="R693" t="s">
        <v>109</v>
      </c>
      <c r="S693" t="s">
        <v>2406</v>
      </c>
      <c r="T693" t="s">
        <v>2407</v>
      </c>
      <c r="U693" t="s">
        <v>51</v>
      </c>
      <c r="V693" t="s">
        <v>52</v>
      </c>
      <c r="W693" t="s">
        <v>36</v>
      </c>
      <c r="X693" t="s">
        <v>129</v>
      </c>
      <c r="Y693" t="s">
        <v>45</v>
      </c>
      <c r="Z693" t="s">
        <v>47</v>
      </c>
      <c r="AA693" t="s">
        <v>54</v>
      </c>
      <c r="AB693" t="s">
        <v>40</v>
      </c>
      <c r="AC693" t="s">
        <v>45</v>
      </c>
      <c r="AD693" t="s">
        <v>41</v>
      </c>
      <c r="AE693" t="s">
        <v>45</v>
      </c>
      <c r="AF693" t="s">
        <v>40</v>
      </c>
      <c r="AG693" t="s">
        <v>40</v>
      </c>
      <c r="AH693" t="s">
        <v>55</v>
      </c>
      <c r="AI693" t="s">
        <v>55</v>
      </c>
    </row>
    <row r="694" spans="1:35" x14ac:dyDescent="0.25">
      <c r="A694" t="s">
        <v>93</v>
      </c>
      <c r="B694" t="s">
        <v>59</v>
      </c>
      <c r="C694" t="s">
        <v>37</v>
      </c>
      <c r="D694" t="s">
        <v>1459</v>
      </c>
      <c r="E694" t="s">
        <v>62</v>
      </c>
      <c r="F694" t="s">
        <v>45</v>
      </c>
      <c r="G694" t="s">
        <v>47</v>
      </c>
      <c r="H694" t="s">
        <v>87</v>
      </c>
      <c r="I694" t="s">
        <v>40</v>
      </c>
      <c r="J694" t="s">
        <v>2408</v>
      </c>
      <c r="K694" t="s">
        <v>45</v>
      </c>
      <c r="L694" t="s">
        <v>43</v>
      </c>
      <c r="M694" t="s">
        <v>146</v>
      </c>
      <c r="N694" t="s">
        <v>45</v>
      </c>
      <c r="O694" t="s">
        <v>41</v>
      </c>
      <c r="P694" t="s">
        <v>116</v>
      </c>
      <c r="Q694" t="s">
        <v>40</v>
      </c>
      <c r="R694" t="s">
        <v>66</v>
      </c>
      <c r="S694" t="s">
        <v>2409</v>
      </c>
      <c r="T694" t="s">
        <v>2410</v>
      </c>
      <c r="U694" t="s">
        <v>40</v>
      </c>
      <c r="V694" t="s">
        <v>52</v>
      </c>
      <c r="W694" t="s">
        <v>59</v>
      </c>
      <c r="X694" t="s">
        <v>92</v>
      </c>
      <c r="Y694" t="s">
        <v>45</v>
      </c>
      <c r="Z694" t="s">
        <v>45</v>
      </c>
      <c r="AA694" t="s">
        <v>54</v>
      </c>
      <c r="AB694" t="s">
        <v>40</v>
      </c>
      <c r="AC694" t="s">
        <v>51</v>
      </c>
      <c r="AD694" t="s">
        <v>41</v>
      </c>
      <c r="AE694" t="s">
        <v>47</v>
      </c>
      <c r="AF694" t="s">
        <v>51</v>
      </c>
      <c r="AG694" t="s">
        <v>71</v>
      </c>
      <c r="AH694" t="s">
        <v>56</v>
      </c>
      <c r="AI694" t="s">
        <v>45</v>
      </c>
    </row>
    <row r="695" spans="1:35" x14ac:dyDescent="0.25">
      <c r="A695" t="s">
        <v>120</v>
      </c>
      <c r="B695" t="s">
        <v>36</v>
      </c>
      <c r="C695" t="s">
        <v>37</v>
      </c>
      <c r="D695" t="s">
        <v>439</v>
      </c>
      <c r="E695" t="s">
        <v>39</v>
      </c>
      <c r="F695" t="s">
        <v>45</v>
      </c>
      <c r="G695" t="s">
        <v>40</v>
      </c>
      <c r="H695" t="s">
        <v>42</v>
      </c>
      <c r="I695" t="s">
        <v>40</v>
      </c>
      <c r="J695" t="s">
        <v>682</v>
      </c>
      <c r="K695" t="s">
        <v>45</v>
      </c>
      <c r="L695" t="s">
        <v>63</v>
      </c>
      <c r="M695" t="s">
        <v>155</v>
      </c>
      <c r="N695" t="s">
        <v>41</v>
      </c>
      <c r="O695" t="s">
        <v>45</v>
      </c>
      <c r="P695" t="s">
        <v>46</v>
      </c>
      <c r="Q695" t="s">
        <v>47</v>
      </c>
      <c r="R695" t="s">
        <v>66</v>
      </c>
      <c r="S695" t="s">
        <v>2411</v>
      </c>
      <c r="T695" t="s">
        <v>2412</v>
      </c>
      <c r="U695" t="s">
        <v>40</v>
      </c>
      <c r="V695" t="s">
        <v>52</v>
      </c>
      <c r="W695" t="s">
        <v>36</v>
      </c>
      <c r="X695" t="s">
        <v>53</v>
      </c>
      <c r="Y695" t="s">
        <v>45</v>
      </c>
      <c r="Z695" t="s">
        <v>40</v>
      </c>
      <c r="AA695" t="s">
        <v>54</v>
      </c>
      <c r="AB695" t="s">
        <v>40</v>
      </c>
      <c r="AC695" t="s">
        <v>128</v>
      </c>
      <c r="AD695" t="s">
        <v>56</v>
      </c>
      <c r="AE695" t="s">
        <v>45</v>
      </c>
      <c r="AF695" t="s">
        <v>128</v>
      </c>
      <c r="AG695" t="s">
        <v>71</v>
      </c>
      <c r="AH695" t="s">
        <v>45</v>
      </c>
      <c r="AI695" t="s">
        <v>71</v>
      </c>
    </row>
    <row r="696" spans="1:35" x14ac:dyDescent="0.25">
      <c r="A696" t="s">
        <v>80</v>
      </c>
      <c r="B696" t="s">
        <v>59</v>
      </c>
      <c r="C696" t="s">
        <v>37</v>
      </c>
      <c r="D696" t="s">
        <v>802</v>
      </c>
      <c r="E696" t="s">
        <v>62</v>
      </c>
      <c r="F696" t="s">
        <v>40</v>
      </c>
      <c r="G696" t="s">
        <v>45</v>
      </c>
      <c r="H696" t="s">
        <v>42</v>
      </c>
      <c r="I696" t="s">
        <v>40</v>
      </c>
      <c r="J696" t="s">
        <v>2413</v>
      </c>
      <c r="K696" t="s">
        <v>41</v>
      </c>
      <c r="L696" t="s">
        <v>43</v>
      </c>
      <c r="M696" t="s">
        <v>204</v>
      </c>
      <c r="N696" t="s">
        <v>41</v>
      </c>
      <c r="O696" t="s">
        <v>41</v>
      </c>
      <c r="P696" t="s">
        <v>122</v>
      </c>
      <c r="Q696" t="s">
        <v>47</v>
      </c>
      <c r="R696" t="s">
        <v>48</v>
      </c>
      <c r="S696" t="s">
        <v>2414</v>
      </c>
      <c r="T696" t="s">
        <v>2415</v>
      </c>
      <c r="U696" t="s">
        <v>55</v>
      </c>
      <c r="V696" t="s">
        <v>52</v>
      </c>
      <c r="W696" t="s">
        <v>59</v>
      </c>
      <c r="X696" t="s">
        <v>129</v>
      </c>
      <c r="Y696" t="s">
        <v>45</v>
      </c>
      <c r="Z696" t="s">
        <v>40</v>
      </c>
      <c r="AA696" t="s">
        <v>54</v>
      </c>
      <c r="AB696" t="s">
        <v>55</v>
      </c>
      <c r="AC696" t="s">
        <v>56</v>
      </c>
      <c r="AD696" t="s">
        <v>45</v>
      </c>
      <c r="AE696" t="s">
        <v>45</v>
      </c>
      <c r="AF696" t="s">
        <v>57</v>
      </c>
      <c r="AG696" t="s">
        <v>55</v>
      </c>
      <c r="AH696" t="s">
        <v>40</v>
      </c>
      <c r="AI696" t="s">
        <v>47</v>
      </c>
    </row>
    <row r="697" spans="1:35" x14ac:dyDescent="0.25">
      <c r="A697" t="s">
        <v>72</v>
      </c>
      <c r="B697" t="s">
        <v>36</v>
      </c>
      <c r="C697" t="s">
        <v>37</v>
      </c>
      <c r="D697" t="s">
        <v>1747</v>
      </c>
      <c r="E697" t="s">
        <v>39</v>
      </c>
      <c r="F697" t="s">
        <v>40</v>
      </c>
      <c r="G697" t="s">
        <v>47</v>
      </c>
      <c r="H697" t="s">
        <v>42</v>
      </c>
      <c r="I697" t="s">
        <v>40</v>
      </c>
      <c r="J697" t="s">
        <v>1945</v>
      </c>
      <c r="K697" t="s">
        <v>40</v>
      </c>
      <c r="L697" t="s">
        <v>63</v>
      </c>
      <c r="M697" t="s">
        <v>213</v>
      </c>
      <c r="N697" t="s">
        <v>41</v>
      </c>
      <c r="O697" t="s">
        <v>45</v>
      </c>
      <c r="P697" t="s">
        <v>46</v>
      </c>
      <c r="Q697" t="s">
        <v>45</v>
      </c>
      <c r="R697" t="s">
        <v>66</v>
      </c>
      <c r="S697" t="s">
        <v>933</v>
      </c>
      <c r="T697" t="s">
        <v>2416</v>
      </c>
      <c r="U697" t="s">
        <v>57</v>
      </c>
      <c r="V697" t="s">
        <v>52</v>
      </c>
      <c r="W697" t="s">
        <v>59</v>
      </c>
      <c r="X697" t="s">
        <v>53</v>
      </c>
      <c r="Y697" t="s">
        <v>45</v>
      </c>
      <c r="Z697" t="s">
        <v>45</v>
      </c>
      <c r="AA697" t="s">
        <v>54</v>
      </c>
      <c r="AB697" t="s">
        <v>55</v>
      </c>
      <c r="AC697" t="s">
        <v>125</v>
      </c>
      <c r="AD697" t="s">
        <v>41</v>
      </c>
      <c r="AE697" t="s">
        <v>40</v>
      </c>
      <c r="AF697" t="s">
        <v>129</v>
      </c>
      <c r="AG697" t="s">
        <v>40</v>
      </c>
      <c r="AH697" t="s">
        <v>53</v>
      </c>
      <c r="AI697" t="s">
        <v>71</v>
      </c>
    </row>
    <row r="698" spans="1:35" x14ac:dyDescent="0.25">
      <c r="A698" t="s">
        <v>174</v>
      </c>
      <c r="B698" t="s">
        <v>59</v>
      </c>
      <c r="C698" t="s">
        <v>161</v>
      </c>
      <c r="D698" t="s">
        <v>2080</v>
      </c>
      <c r="E698" t="s">
        <v>62</v>
      </c>
      <c r="F698" t="s">
        <v>47</v>
      </c>
      <c r="G698" t="s">
        <v>41</v>
      </c>
      <c r="H698" t="s">
        <v>42</v>
      </c>
      <c r="I698" t="s">
        <v>40</v>
      </c>
      <c r="J698" t="s">
        <v>2417</v>
      </c>
      <c r="K698" t="s">
        <v>45</v>
      </c>
      <c r="L698" t="s">
        <v>63</v>
      </c>
      <c r="M698" t="s">
        <v>269</v>
      </c>
      <c r="N698" t="s">
        <v>45</v>
      </c>
      <c r="O698" t="s">
        <v>41</v>
      </c>
      <c r="P698" t="s">
        <v>76</v>
      </c>
      <c r="Q698" t="s">
        <v>41</v>
      </c>
      <c r="R698" t="s">
        <v>66</v>
      </c>
      <c r="S698" t="s">
        <v>2418</v>
      </c>
      <c r="T698" t="s">
        <v>2419</v>
      </c>
      <c r="U698" t="s">
        <v>40</v>
      </c>
      <c r="V698" t="s">
        <v>52</v>
      </c>
      <c r="W698" t="s">
        <v>59</v>
      </c>
      <c r="X698" t="s">
        <v>92</v>
      </c>
      <c r="Y698" t="s">
        <v>45</v>
      </c>
      <c r="Z698" t="s">
        <v>41</v>
      </c>
      <c r="AA698" t="s">
        <v>54</v>
      </c>
      <c r="AB698" t="s">
        <v>55</v>
      </c>
      <c r="AC698" t="s">
        <v>91</v>
      </c>
      <c r="AD698" t="s">
        <v>57</v>
      </c>
      <c r="AE698" t="s">
        <v>41</v>
      </c>
      <c r="AF698" t="s">
        <v>91</v>
      </c>
      <c r="AG698" t="s">
        <v>71</v>
      </c>
      <c r="AH698" t="s">
        <v>55</v>
      </c>
      <c r="AI698" t="s">
        <v>51</v>
      </c>
    </row>
    <row r="699" spans="1:35" x14ac:dyDescent="0.25">
      <c r="A699" t="s">
        <v>133</v>
      </c>
      <c r="B699" t="s">
        <v>59</v>
      </c>
      <c r="C699" t="s">
        <v>60</v>
      </c>
      <c r="D699" t="s">
        <v>2420</v>
      </c>
      <c r="E699" t="s">
        <v>39</v>
      </c>
      <c r="F699" t="s">
        <v>104</v>
      </c>
      <c r="G699" t="s">
        <v>45</v>
      </c>
      <c r="H699" t="s">
        <v>228</v>
      </c>
      <c r="I699" t="s">
        <v>40</v>
      </c>
      <c r="J699" t="s">
        <v>2421</v>
      </c>
      <c r="K699" t="s">
        <v>45</v>
      </c>
      <c r="L699" t="s">
        <v>43</v>
      </c>
      <c r="M699" t="s">
        <v>130</v>
      </c>
      <c r="N699" t="s">
        <v>45</v>
      </c>
      <c r="O699" t="s">
        <v>40</v>
      </c>
      <c r="P699" t="s">
        <v>182</v>
      </c>
      <c r="Q699" t="s">
        <v>47</v>
      </c>
      <c r="R699" t="s">
        <v>66</v>
      </c>
      <c r="S699" t="s">
        <v>2422</v>
      </c>
      <c r="T699" t="s">
        <v>2423</v>
      </c>
      <c r="U699" t="s">
        <v>40</v>
      </c>
      <c r="V699" t="s">
        <v>52</v>
      </c>
      <c r="W699" t="s">
        <v>59</v>
      </c>
      <c r="X699" t="s">
        <v>79</v>
      </c>
      <c r="Y699" t="s">
        <v>45</v>
      </c>
      <c r="Z699" t="s">
        <v>41</v>
      </c>
      <c r="AA699" t="s">
        <v>54</v>
      </c>
      <c r="AB699" t="s">
        <v>40</v>
      </c>
      <c r="AC699" t="s">
        <v>45</v>
      </c>
      <c r="AD699" t="s">
        <v>57</v>
      </c>
      <c r="AE699" t="s">
        <v>45</v>
      </c>
      <c r="AF699" t="s">
        <v>45</v>
      </c>
      <c r="AG699" t="s">
        <v>40</v>
      </c>
      <c r="AH699" t="s">
        <v>55</v>
      </c>
      <c r="AI699" t="s">
        <v>41</v>
      </c>
    </row>
    <row r="700" spans="1:35" x14ac:dyDescent="0.25">
      <c r="A700" t="s">
        <v>126</v>
      </c>
      <c r="B700" t="s">
        <v>59</v>
      </c>
      <c r="C700" t="s">
        <v>37</v>
      </c>
      <c r="D700" t="s">
        <v>167</v>
      </c>
      <c r="E700" t="s">
        <v>39</v>
      </c>
      <c r="F700" t="s">
        <v>145</v>
      </c>
      <c r="G700" t="s">
        <v>45</v>
      </c>
      <c r="H700" t="s">
        <v>87</v>
      </c>
      <c r="I700" t="s">
        <v>40</v>
      </c>
      <c r="J700" t="s">
        <v>2004</v>
      </c>
      <c r="K700" t="s">
        <v>45</v>
      </c>
      <c r="L700" t="s">
        <v>43</v>
      </c>
      <c r="M700" t="s">
        <v>240</v>
      </c>
      <c r="N700" t="s">
        <v>45</v>
      </c>
      <c r="O700" t="s">
        <v>41</v>
      </c>
      <c r="P700" t="s">
        <v>46</v>
      </c>
      <c r="Q700" t="s">
        <v>45</v>
      </c>
      <c r="R700" t="s">
        <v>66</v>
      </c>
      <c r="S700" t="s">
        <v>2424</v>
      </c>
      <c r="T700" t="s">
        <v>2425</v>
      </c>
      <c r="U700" t="s">
        <v>40</v>
      </c>
      <c r="V700" t="s">
        <v>52</v>
      </c>
      <c r="W700" t="s">
        <v>59</v>
      </c>
      <c r="X700" t="s">
        <v>128</v>
      </c>
      <c r="Y700" t="s">
        <v>45</v>
      </c>
      <c r="Z700" t="s">
        <v>41</v>
      </c>
      <c r="AA700" t="s">
        <v>54</v>
      </c>
      <c r="AB700" t="s">
        <v>55</v>
      </c>
      <c r="AC700" t="s">
        <v>57</v>
      </c>
      <c r="AD700" t="s">
        <v>45</v>
      </c>
      <c r="AE700" t="s">
        <v>45</v>
      </c>
      <c r="AF700" t="s">
        <v>57</v>
      </c>
      <c r="AG700" t="s">
        <v>41</v>
      </c>
      <c r="AH700" t="s">
        <v>40</v>
      </c>
      <c r="AI700" t="s">
        <v>55</v>
      </c>
    </row>
    <row r="701" spans="1:35" x14ac:dyDescent="0.25">
      <c r="A701" t="s">
        <v>251</v>
      </c>
      <c r="B701" t="s">
        <v>59</v>
      </c>
      <c r="C701" t="s">
        <v>37</v>
      </c>
      <c r="D701" t="s">
        <v>2426</v>
      </c>
      <c r="E701" t="s">
        <v>62</v>
      </c>
      <c r="F701" t="s">
        <v>40</v>
      </c>
      <c r="G701" t="s">
        <v>41</v>
      </c>
      <c r="H701" t="s">
        <v>42</v>
      </c>
      <c r="I701" t="s">
        <v>40</v>
      </c>
      <c r="J701" t="s">
        <v>997</v>
      </c>
      <c r="K701" t="s">
        <v>47</v>
      </c>
      <c r="L701" t="s">
        <v>63</v>
      </c>
      <c r="M701" t="s">
        <v>304</v>
      </c>
      <c r="N701" t="s">
        <v>45</v>
      </c>
      <c r="O701" t="s">
        <v>47</v>
      </c>
      <c r="P701" t="s">
        <v>169</v>
      </c>
      <c r="Q701" t="s">
        <v>47</v>
      </c>
      <c r="R701" t="s">
        <v>66</v>
      </c>
      <c r="S701" t="s">
        <v>2427</v>
      </c>
      <c r="T701" t="s">
        <v>2428</v>
      </c>
      <c r="U701" t="s">
        <v>41</v>
      </c>
      <c r="V701" t="s">
        <v>52</v>
      </c>
      <c r="W701" t="s">
        <v>59</v>
      </c>
      <c r="X701" t="s">
        <v>79</v>
      </c>
      <c r="Y701" t="s">
        <v>45</v>
      </c>
      <c r="Z701" t="s">
        <v>41</v>
      </c>
      <c r="AA701" t="s">
        <v>54</v>
      </c>
      <c r="AB701" t="s">
        <v>40</v>
      </c>
      <c r="AC701" t="s">
        <v>139</v>
      </c>
      <c r="AD701" t="s">
        <v>41</v>
      </c>
      <c r="AE701" t="s">
        <v>41</v>
      </c>
      <c r="AF701" t="s">
        <v>91</v>
      </c>
      <c r="AG701" t="s">
        <v>51</v>
      </c>
      <c r="AH701" t="s">
        <v>71</v>
      </c>
      <c r="AI701" t="s">
        <v>51</v>
      </c>
    </row>
    <row r="702" spans="1:35" x14ac:dyDescent="0.25">
      <c r="A702" t="s">
        <v>197</v>
      </c>
      <c r="B702" t="s">
        <v>36</v>
      </c>
      <c r="C702" t="s">
        <v>37</v>
      </c>
      <c r="D702" t="s">
        <v>2429</v>
      </c>
      <c r="E702" t="s">
        <v>62</v>
      </c>
      <c r="F702" t="s">
        <v>41</v>
      </c>
      <c r="G702" t="s">
        <v>45</v>
      </c>
      <c r="H702" t="s">
        <v>228</v>
      </c>
      <c r="I702" t="s">
        <v>40</v>
      </c>
      <c r="J702" t="s">
        <v>2430</v>
      </c>
      <c r="K702" t="s">
        <v>47</v>
      </c>
      <c r="L702" t="s">
        <v>63</v>
      </c>
      <c r="M702" t="s">
        <v>155</v>
      </c>
      <c r="N702" t="s">
        <v>45</v>
      </c>
      <c r="O702" t="s">
        <v>40</v>
      </c>
      <c r="P702" t="s">
        <v>65</v>
      </c>
      <c r="Q702" t="s">
        <v>45</v>
      </c>
      <c r="R702" t="s">
        <v>48</v>
      </c>
      <c r="S702" t="s">
        <v>2431</v>
      </c>
      <c r="T702" t="s">
        <v>2432</v>
      </c>
      <c r="U702" t="s">
        <v>47</v>
      </c>
      <c r="V702" t="s">
        <v>52</v>
      </c>
      <c r="W702" t="s">
        <v>59</v>
      </c>
      <c r="X702" t="s">
        <v>107</v>
      </c>
      <c r="Y702" t="s">
        <v>47</v>
      </c>
      <c r="Z702" t="s">
        <v>40</v>
      </c>
      <c r="AA702" t="s">
        <v>54</v>
      </c>
      <c r="AB702" t="s">
        <v>55</v>
      </c>
      <c r="AC702" t="s">
        <v>71</v>
      </c>
      <c r="AD702" t="s">
        <v>47</v>
      </c>
      <c r="AE702" t="s">
        <v>45</v>
      </c>
      <c r="AF702" t="s">
        <v>40</v>
      </c>
      <c r="AG702" t="s">
        <v>55</v>
      </c>
      <c r="AH702" t="s">
        <v>55</v>
      </c>
      <c r="AI702" t="s">
        <v>55</v>
      </c>
    </row>
    <row r="703" spans="1:35" x14ac:dyDescent="0.25">
      <c r="A703" t="s">
        <v>166</v>
      </c>
      <c r="B703" t="s">
        <v>59</v>
      </c>
      <c r="C703" t="s">
        <v>37</v>
      </c>
      <c r="D703" t="s">
        <v>2433</v>
      </c>
      <c r="E703" t="s">
        <v>39</v>
      </c>
      <c r="F703" t="s">
        <v>41</v>
      </c>
      <c r="G703" t="s">
        <v>41</v>
      </c>
      <c r="H703" t="s">
        <v>87</v>
      </c>
      <c r="I703" t="s">
        <v>40</v>
      </c>
      <c r="J703" t="s">
        <v>2434</v>
      </c>
      <c r="K703" t="s">
        <v>45</v>
      </c>
      <c r="L703" t="s">
        <v>63</v>
      </c>
      <c r="M703" t="s">
        <v>174</v>
      </c>
      <c r="N703" t="s">
        <v>45</v>
      </c>
      <c r="O703" t="s">
        <v>47</v>
      </c>
      <c r="P703" t="s">
        <v>169</v>
      </c>
      <c r="Q703" t="s">
        <v>45</v>
      </c>
      <c r="R703" t="s">
        <v>109</v>
      </c>
      <c r="S703" t="s">
        <v>2435</v>
      </c>
      <c r="T703" t="s">
        <v>2436</v>
      </c>
      <c r="U703" t="s">
        <v>56</v>
      </c>
      <c r="V703" t="s">
        <v>52</v>
      </c>
      <c r="W703" t="s">
        <v>59</v>
      </c>
      <c r="X703" t="s">
        <v>98</v>
      </c>
      <c r="Y703" t="s">
        <v>45</v>
      </c>
      <c r="Z703" t="s">
        <v>45</v>
      </c>
      <c r="AA703" t="s">
        <v>54</v>
      </c>
      <c r="AB703" t="s">
        <v>40</v>
      </c>
      <c r="AC703" t="s">
        <v>112</v>
      </c>
      <c r="AD703" t="s">
        <v>45</v>
      </c>
      <c r="AE703" t="s">
        <v>47</v>
      </c>
      <c r="AF703" t="s">
        <v>125</v>
      </c>
      <c r="AG703" t="s">
        <v>98</v>
      </c>
      <c r="AH703" t="s">
        <v>79</v>
      </c>
      <c r="AI703" t="s">
        <v>41</v>
      </c>
    </row>
    <row r="704" spans="1:35" x14ac:dyDescent="0.25">
      <c r="A704" t="s">
        <v>105</v>
      </c>
      <c r="B704" t="s">
        <v>59</v>
      </c>
      <c r="C704" t="s">
        <v>37</v>
      </c>
      <c r="D704" t="s">
        <v>738</v>
      </c>
      <c r="E704" t="s">
        <v>39</v>
      </c>
      <c r="F704" t="s">
        <v>51</v>
      </c>
      <c r="G704" t="s">
        <v>41</v>
      </c>
      <c r="H704" t="s">
        <v>74</v>
      </c>
      <c r="I704" t="s">
        <v>40</v>
      </c>
      <c r="J704" t="s">
        <v>1509</v>
      </c>
      <c r="K704" t="s">
        <v>45</v>
      </c>
      <c r="L704" t="s">
        <v>63</v>
      </c>
      <c r="M704" t="s">
        <v>283</v>
      </c>
      <c r="N704" t="s">
        <v>45</v>
      </c>
      <c r="O704" t="s">
        <v>45</v>
      </c>
      <c r="P704" t="s">
        <v>46</v>
      </c>
      <c r="Q704" t="s">
        <v>45</v>
      </c>
      <c r="R704" t="s">
        <v>109</v>
      </c>
      <c r="S704" t="s">
        <v>2437</v>
      </c>
      <c r="T704" t="s">
        <v>2438</v>
      </c>
      <c r="U704" t="s">
        <v>57</v>
      </c>
      <c r="V704" t="s">
        <v>52</v>
      </c>
      <c r="W704" t="s">
        <v>59</v>
      </c>
      <c r="X704" t="s">
        <v>53</v>
      </c>
      <c r="Y704" t="s">
        <v>45</v>
      </c>
      <c r="Z704" t="s">
        <v>40</v>
      </c>
      <c r="AA704" t="s">
        <v>54</v>
      </c>
      <c r="AB704" t="s">
        <v>40</v>
      </c>
      <c r="AC704" t="s">
        <v>70</v>
      </c>
      <c r="AD704" t="s">
        <v>41</v>
      </c>
      <c r="AE704" t="s">
        <v>47</v>
      </c>
      <c r="AF704" t="s">
        <v>51</v>
      </c>
      <c r="AG704" t="s">
        <v>47</v>
      </c>
      <c r="AH704" t="s">
        <v>71</v>
      </c>
      <c r="AI704" t="s">
        <v>71</v>
      </c>
    </row>
    <row r="705" spans="1:35" x14ac:dyDescent="0.25">
      <c r="A705" t="s">
        <v>113</v>
      </c>
      <c r="B705" t="s">
        <v>59</v>
      </c>
      <c r="C705" t="s">
        <v>161</v>
      </c>
      <c r="D705" t="s">
        <v>535</v>
      </c>
      <c r="E705" t="s">
        <v>39</v>
      </c>
      <c r="F705" t="s">
        <v>70</v>
      </c>
      <c r="G705" t="s">
        <v>45</v>
      </c>
      <c r="H705" t="s">
        <v>228</v>
      </c>
      <c r="I705" t="s">
        <v>40</v>
      </c>
      <c r="J705" t="s">
        <v>1624</v>
      </c>
      <c r="K705" t="s">
        <v>45</v>
      </c>
      <c r="L705" t="s">
        <v>43</v>
      </c>
      <c r="M705" t="s">
        <v>348</v>
      </c>
      <c r="N705" t="s">
        <v>45</v>
      </c>
      <c r="O705" t="s">
        <v>41</v>
      </c>
      <c r="P705" t="s">
        <v>46</v>
      </c>
      <c r="Q705" t="s">
        <v>47</v>
      </c>
      <c r="R705" t="s">
        <v>48</v>
      </c>
      <c r="S705" t="s">
        <v>2439</v>
      </c>
      <c r="T705" t="s">
        <v>2440</v>
      </c>
      <c r="U705" t="s">
        <v>40</v>
      </c>
      <c r="V705" t="s">
        <v>52</v>
      </c>
      <c r="W705" t="s">
        <v>36</v>
      </c>
      <c r="X705" t="s">
        <v>98</v>
      </c>
      <c r="Y705" t="s">
        <v>45</v>
      </c>
      <c r="Z705" t="s">
        <v>41</v>
      </c>
      <c r="AA705" t="s">
        <v>54</v>
      </c>
      <c r="AB705" t="s">
        <v>55</v>
      </c>
      <c r="AC705" t="s">
        <v>56</v>
      </c>
      <c r="AD705" t="s">
        <v>40</v>
      </c>
      <c r="AE705" t="s">
        <v>45</v>
      </c>
      <c r="AF705" t="s">
        <v>57</v>
      </c>
      <c r="AG705" t="s">
        <v>45</v>
      </c>
      <c r="AH705" t="s">
        <v>40</v>
      </c>
      <c r="AI705" t="s">
        <v>45</v>
      </c>
    </row>
    <row r="706" spans="1:35" x14ac:dyDescent="0.25">
      <c r="A706" t="s">
        <v>126</v>
      </c>
      <c r="B706" t="s">
        <v>59</v>
      </c>
      <c r="C706" t="s">
        <v>37</v>
      </c>
      <c r="D706" t="s">
        <v>2249</v>
      </c>
      <c r="E706" t="s">
        <v>39</v>
      </c>
      <c r="F706" t="s">
        <v>45</v>
      </c>
      <c r="G706" t="s">
        <v>47</v>
      </c>
      <c r="H706" t="s">
        <v>42</v>
      </c>
      <c r="I706" t="s">
        <v>40</v>
      </c>
      <c r="J706" t="s">
        <v>2441</v>
      </c>
      <c r="K706" t="s">
        <v>47</v>
      </c>
      <c r="L706" t="s">
        <v>63</v>
      </c>
      <c r="M706" t="s">
        <v>75</v>
      </c>
      <c r="N706" t="s">
        <v>45</v>
      </c>
      <c r="O706" t="s">
        <v>45</v>
      </c>
      <c r="P706" t="s">
        <v>46</v>
      </c>
      <c r="Q706" t="s">
        <v>47</v>
      </c>
      <c r="R706" t="s">
        <v>109</v>
      </c>
      <c r="S706" t="s">
        <v>2442</v>
      </c>
      <c r="T706" t="s">
        <v>2443</v>
      </c>
      <c r="U706" t="s">
        <v>56</v>
      </c>
      <c r="V706" t="s">
        <v>52</v>
      </c>
      <c r="W706" t="s">
        <v>59</v>
      </c>
      <c r="X706" t="s">
        <v>98</v>
      </c>
      <c r="Y706" t="s">
        <v>45</v>
      </c>
      <c r="Z706" t="s">
        <v>41</v>
      </c>
      <c r="AA706" t="s">
        <v>54</v>
      </c>
      <c r="AB706" t="s">
        <v>40</v>
      </c>
      <c r="AC706" t="s">
        <v>92</v>
      </c>
      <c r="AD706" t="s">
        <v>41</v>
      </c>
      <c r="AE706" t="s">
        <v>45</v>
      </c>
      <c r="AF706" t="s">
        <v>70</v>
      </c>
      <c r="AG706" t="s">
        <v>91</v>
      </c>
      <c r="AH706" t="s">
        <v>55</v>
      </c>
      <c r="AI706" t="s">
        <v>51</v>
      </c>
    </row>
    <row r="707" spans="1:35" x14ac:dyDescent="0.25">
      <c r="A707" t="s">
        <v>218</v>
      </c>
      <c r="B707" t="s">
        <v>59</v>
      </c>
      <c r="C707" t="s">
        <v>37</v>
      </c>
      <c r="D707" t="s">
        <v>2290</v>
      </c>
      <c r="E707" t="s">
        <v>39</v>
      </c>
      <c r="F707" t="s">
        <v>41</v>
      </c>
      <c r="G707" t="s">
        <v>57</v>
      </c>
      <c r="H707" t="s">
        <v>42</v>
      </c>
      <c r="I707" t="s">
        <v>40</v>
      </c>
      <c r="J707" t="s">
        <v>2444</v>
      </c>
      <c r="K707" t="s">
        <v>40</v>
      </c>
      <c r="L707" t="s">
        <v>63</v>
      </c>
      <c r="M707" t="s">
        <v>35</v>
      </c>
      <c r="N707" t="s">
        <v>47</v>
      </c>
      <c r="O707" t="s">
        <v>45</v>
      </c>
      <c r="P707" t="s">
        <v>46</v>
      </c>
      <c r="Q707" t="s">
        <v>45</v>
      </c>
      <c r="R707" t="s">
        <v>48</v>
      </c>
      <c r="S707" t="s">
        <v>2445</v>
      </c>
      <c r="T707" t="s">
        <v>2446</v>
      </c>
      <c r="U707" t="s">
        <v>55</v>
      </c>
      <c r="V707" t="s">
        <v>52</v>
      </c>
      <c r="W707" t="s">
        <v>59</v>
      </c>
      <c r="X707" t="s">
        <v>145</v>
      </c>
      <c r="Y707" t="s">
        <v>45</v>
      </c>
      <c r="Z707" t="s">
        <v>47</v>
      </c>
      <c r="AA707" t="s">
        <v>54</v>
      </c>
      <c r="AB707" t="s">
        <v>55</v>
      </c>
      <c r="AC707" t="s">
        <v>91</v>
      </c>
      <c r="AD707" t="s">
        <v>45</v>
      </c>
      <c r="AE707" t="s">
        <v>45</v>
      </c>
      <c r="AF707" t="s">
        <v>51</v>
      </c>
      <c r="AG707" t="s">
        <v>71</v>
      </c>
      <c r="AH707" t="s">
        <v>55</v>
      </c>
      <c r="AI707" t="s">
        <v>71</v>
      </c>
    </row>
    <row r="708" spans="1:35" x14ac:dyDescent="0.25">
      <c r="A708" t="s">
        <v>88</v>
      </c>
      <c r="B708" t="s">
        <v>36</v>
      </c>
      <c r="C708" t="s">
        <v>161</v>
      </c>
      <c r="D708" t="s">
        <v>1130</v>
      </c>
      <c r="E708" t="s">
        <v>39</v>
      </c>
      <c r="F708" t="s">
        <v>107</v>
      </c>
      <c r="G708" t="s">
        <v>45</v>
      </c>
      <c r="H708" t="s">
        <v>42</v>
      </c>
      <c r="I708" t="s">
        <v>40</v>
      </c>
      <c r="J708" t="s">
        <v>1600</v>
      </c>
      <c r="K708" t="s">
        <v>41</v>
      </c>
      <c r="L708" t="s">
        <v>43</v>
      </c>
      <c r="M708" t="s">
        <v>385</v>
      </c>
      <c r="N708" t="s">
        <v>47</v>
      </c>
      <c r="O708" t="s">
        <v>47</v>
      </c>
      <c r="P708" t="s">
        <v>46</v>
      </c>
      <c r="Q708" t="s">
        <v>41</v>
      </c>
      <c r="R708" t="s">
        <v>48</v>
      </c>
      <c r="S708" t="s">
        <v>2447</v>
      </c>
      <c r="T708" t="s">
        <v>2448</v>
      </c>
      <c r="U708" t="s">
        <v>47</v>
      </c>
      <c r="V708" t="s">
        <v>52</v>
      </c>
      <c r="W708" t="s">
        <v>36</v>
      </c>
      <c r="X708" t="s">
        <v>128</v>
      </c>
      <c r="Y708" t="s">
        <v>45</v>
      </c>
      <c r="Z708" t="s">
        <v>47</v>
      </c>
      <c r="AA708" t="s">
        <v>54</v>
      </c>
      <c r="AB708" t="s">
        <v>55</v>
      </c>
      <c r="AC708" t="s">
        <v>112</v>
      </c>
      <c r="AD708" t="s">
        <v>41</v>
      </c>
      <c r="AE708" t="s">
        <v>41</v>
      </c>
      <c r="AF708" t="s">
        <v>40</v>
      </c>
      <c r="AG708" t="s">
        <v>55</v>
      </c>
      <c r="AH708" t="s">
        <v>55</v>
      </c>
      <c r="AI708" t="s">
        <v>55</v>
      </c>
    </row>
    <row r="709" spans="1:35" x14ac:dyDescent="0.25">
      <c r="A709" t="s">
        <v>239</v>
      </c>
      <c r="B709" t="s">
        <v>59</v>
      </c>
      <c r="C709" t="s">
        <v>60</v>
      </c>
      <c r="D709" t="s">
        <v>2449</v>
      </c>
      <c r="E709" t="s">
        <v>62</v>
      </c>
      <c r="F709" t="s">
        <v>128</v>
      </c>
      <c r="G709" t="s">
        <v>47</v>
      </c>
      <c r="H709" t="s">
        <v>87</v>
      </c>
      <c r="I709" t="s">
        <v>40</v>
      </c>
      <c r="J709" t="s">
        <v>2450</v>
      </c>
      <c r="K709" t="s">
        <v>45</v>
      </c>
      <c r="L709" t="s">
        <v>63</v>
      </c>
      <c r="M709" t="s">
        <v>292</v>
      </c>
      <c r="N709" t="s">
        <v>47</v>
      </c>
      <c r="O709" t="s">
        <v>41</v>
      </c>
      <c r="P709" t="s">
        <v>116</v>
      </c>
      <c r="Q709" t="s">
        <v>45</v>
      </c>
      <c r="R709" t="s">
        <v>109</v>
      </c>
      <c r="S709" t="s">
        <v>2451</v>
      </c>
      <c r="T709" t="s">
        <v>2452</v>
      </c>
      <c r="U709" t="s">
        <v>40</v>
      </c>
      <c r="V709" t="s">
        <v>52</v>
      </c>
      <c r="W709" t="s">
        <v>36</v>
      </c>
      <c r="X709" t="s">
        <v>144</v>
      </c>
      <c r="Y709" t="s">
        <v>45</v>
      </c>
      <c r="Z709" t="s">
        <v>45</v>
      </c>
      <c r="AA709" t="s">
        <v>54</v>
      </c>
      <c r="AB709" t="s">
        <v>55</v>
      </c>
      <c r="AC709" t="s">
        <v>104</v>
      </c>
      <c r="AD709" t="s">
        <v>45</v>
      </c>
      <c r="AE709" t="s">
        <v>47</v>
      </c>
      <c r="AF709" t="s">
        <v>144</v>
      </c>
      <c r="AG709" t="s">
        <v>70</v>
      </c>
      <c r="AH709" t="s">
        <v>41</v>
      </c>
      <c r="AI709" t="s">
        <v>71</v>
      </c>
    </row>
    <row r="710" spans="1:35" x14ac:dyDescent="0.25">
      <c r="A710" t="s">
        <v>120</v>
      </c>
      <c r="B710" t="s">
        <v>59</v>
      </c>
      <c r="C710" t="s">
        <v>161</v>
      </c>
      <c r="D710" t="s">
        <v>287</v>
      </c>
      <c r="E710" t="s">
        <v>39</v>
      </c>
      <c r="F710" t="s">
        <v>51</v>
      </c>
      <c r="G710" t="s">
        <v>47</v>
      </c>
      <c r="H710" t="s">
        <v>228</v>
      </c>
      <c r="I710" t="s">
        <v>40</v>
      </c>
      <c r="J710" t="s">
        <v>2453</v>
      </c>
      <c r="K710" t="s">
        <v>40</v>
      </c>
      <c r="L710" t="s">
        <v>63</v>
      </c>
      <c r="M710" t="s">
        <v>130</v>
      </c>
      <c r="N710" t="s">
        <v>45</v>
      </c>
      <c r="O710" t="s">
        <v>41</v>
      </c>
      <c r="P710" t="s">
        <v>46</v>
      </c>
      <c r="Q710" t="s">
        <v>47</v>
      </c>
      <c r="R710" t="s">
        <v>109</v>
      </c>
      <c r="S710" t="s">
        <v>2454</v>
      </c>
      <c r="T710" t="s">
        <v>2455</v>
      </c>
      <c r="U710" t="s">
        <v>47</v>
      </c>
      <c r="V710" t="s">
        <v>52</v>
      </c>
      <c r="W710" t="s">
        <v>59</v>
      </c>
      <c r="X710" t="s">
        <v>98</v>
      </c>
      <c r="Y710" t="s">
        <v>45</v>
      </c>
      <c r="Z710" t="s">
        <v>47</v>
      </c>
      <c r="AA710" t="s">
        <v>54</v>
      </c>
      <c r="AB710" t="s">
        <v>41</v>
      </c>
      <c r="AC710" t="s">
        <v>92</v>
      </c>
      <c r="AD710" t="s">
        <v>45</v>
      </c>
      <c r="AE710" t="s">
        <v>45</v>
      </c>
      <c r="AF710" t="s">
        <v>71</v>
      </c>
      <c r="AG710" t="s">
        <v>71</v>
      </c>
      <c r="AH710" t="s">
        <v>55</v>
      </c>
      <c r="AI710" t="s">
        <v>71</v>
      </c>
    </row>
    <row r="711" spans="1:35" x14ac:dyDescent="0.25">
      <c r="A711" t="s">
        <v>137</v>
      </c>
      <c r="B711" t="s">
        <v>36</v>
      </c>
      <c r="C711" t="s">
        <v>161</v>
      </c>
      <c r="D711" t="s">
        <v>1004</v>
      </c>
      <c r="E711" t="s">
        <v>62</v>
      </c>
      <c r="F711" t="s">
        <v>91</v>
      </c>
      <c r="G711" t="s">
        <v>41</v>
      </c>
      <c r="H711" t="s">
        <v>87</v>
      </c>
      <c r="I711" t="s">
        <v>40</v>
      </c>
      <c r="J711" t="s">
        <v>1858</v>
      </c>
      <c r="K711" t="s">
        <v>45</v>
      </c>
      <c r="L711" t="s">
        <v>63</v>
      </c>
      <c r="M711" t="s">
        <v>213</v>
      </c>
      <c r="N711" t="s">
        <v>41</v>
      </c>
      <c r="O711" t="s">
        <v>40</v>
      </c>
      <c r="P711" t="s">
        <v>65</v>
      </c>
      <c r="Q711" t="s">
        <v>40</v>
      </c>
      <c r="R711" t="s">
        <v>48</v>
      </c>
      <c r="S711" t="s">
        <v>2456</v>
      </c>
      <c r="T711" t="s">
        <v>2457</v>
      </c>
      <c r="U711" t="s">
        <v>55</v>
      </c>
      <c r="V711" t="s">
        <v>52</v>
      </c>
      <c r="W711" t="s">
        <v>36</v>
      </c>
      <c r="X711" t="s">
        <v>112</v>
      </c>
      <c r="Y711" t="s">
        <v>47</v>
      </c>
      <c r="Z711" t="s">
        <v>40</v>
      </c>
      <c r="AA711" t="s">
        <v>54</v>
      </c>
      <c r="AB711" t="s">
        <v>55</v>
      </c>
      <c r="AC711" t="s">
        <v>47</v>
      </c>
      <c r="AD711" t="s">
        <v>55</v>
      </c>
      <c r="AE711" t="s">
        <v>45</v>
      </c>
      <c r="AF711" t="s">
        <v>45</v>
      </c>
      <c r="AG711" t="s">
        <v>41</v>
      </c>
      <c r="AH711" t="s">
        <v>40</v>
      </c>
      <c r="AI711" t="s">
        <v>41</v>
      </c>
    </row>
    <row r="712" spans="1:35" x14ac:dyDescent="0.25">
      <c r="A712" t="s">
        <v>80</v>
      </c>
      <c r="B712" t="s">
        <v>59</v>
      </c>
      <c r="C712" t="s">
        <v>161</v>
      </c>
      <c r="D712" t="s">
        <v>1927</v>
      </c>
      <c r="E712" t="s">
        <v>39</v>
      </c>
      <c r="F712" t="s">
        <v>125</v>
      </c>
      <c r="G712" t="s">
        <v>45</v>
      </c>
      <c r="H712" t="s">
        <v>42</v>
      </c>
      <c r="I712" t="s">
        <v>40</v>
      </c>
      <c r="J712" t="s">
        <v>910</v>
      </c>
      <c r="K712" t="s">
        <v>47</v>
      </c>
      <c r="L712" t="s">
        <v>63</v>
      </c>
      <c r="M712" t="s">
        <v>113</v>
      </c>
      <c r="N712" t="s">
        <v>45</v>
      </c>
      <c r="O712" t="s">
        <v>47</v>
      </c>
      <c r="P712" t="s">
        <v>169</v>
      </c>
      <c r="Q712" t="s">
        <v>45</v>
      </c>
      <c r="R712" t="s">
        <v>48</v>
      </c>
      <c r="S712" t="s">
        <v>2458</v>
      </c>
      <c r="T712" t="s">
        <v>2459</v>
      </c>
      <c r="U712" t="s">
        <v>40</v>
      </c>
      <c r="V712" t="s">
        <v>52</v>
      </c>
      <c r="W712" t="s">
        <v>59</v>
      </c>
      <c r="X712" t="s">
        <v>53</v>
      </c>
      <c r="Y712" t="s">
        <v>45</v>
      </c>
      <c r="Z712" t="s">
        <v>47</v>
      </c>
      <c r="AA712" t="s">
        <v>54</v>
      </c>
      <c r="AB712" t="s">
        <v>55</v>
      </c>
      <c r="AC712" t="s">
        <v>70</v>
      </c>
      <c r="AD712" t="s">
        <v>41</v>
      </c>
      <c r="AE712" t="s">
        <v>45</v>
      </c>
      <c r="AF712" t="s">
        <v>70</v>
      </c>
      <c r="AG712" t="s">
        <v>51</v>
      </c>
      <c r="AH712" t="s">
        <v>56</v>
      </c>
      <c r="AI712" t="s">
        <v>55</v>
      </c>
    </row>
    <row r="713" spans="1:35" x14ac:dyDescent="0.25">
      <c r="A713" t="s">
        <v>133</v>
      </c>
      <c r="B713" t="s">
        <v>36</v>
      </c>
      <c r="C713" t="s">
        <v>37</v>
      </c>
      <c r="D713" t="s">
        <v>1230</v>
      </c>
      <c r="E713" t="s">
        <v>62</v>
      </c>
      <c r="F713" t="s">
        <v>70</v>
      </c>
      <c r="G713" t="s">
        <v>45</v>
      </c>
      <c r="H713" t="s">
        <v>42</v>
      </c>
      <c r="I713" t="s">
        <v>40</v>
      </c>
      <c r="J713" t="s">
        <v>265</v>
      </c>
      <c r="K713" t="s">
        <v>47</v>
      </c>
      <c r="L713" t="s">
        <v>43</v>
      </c>
      <c r="M713" t="s">
        <v>75</v>
      </c>
      <c r="N713" t="s">
        <v>41</v>
      </c>
      <c r="O713" t="s">
        <v>40</v>
      </c>
      <c r="P713" t="s">
        <v>65</v>
      </c>
      <c r="Q713" t="s">
        <v>40</v>
      </c>
      <c r="R713" t="s">
        <v>48</v>
      </c>
      <c r="S713" t="s">
        <v>2342</v>
      </c>
      <c r="T713" t="s">
        <v>2460</v>
      </c>
      <c r="U713" t="s">
        <v>56</v>
      </c>
      <c r="V713" t="s">
        <v>52</v>
      </c>
      <c r="W713" t="s">
        <v>36</v>
      </c>
      <c r="X713" t="s">
        <v>104</v>
      </c>
      <c r="Y713" t="s">
        <v>47</v>
      </c>
      <c r="Z713" t="s">
        <v>45</v>
      </c>
      <c r="AA713" t="s">
        <v>54</v>
      </c>
      <c r="AB713" t="s">
        <v>55</v>
      </c>
      <c r="AC713" t="s">
        <v>45</v>
      </c>
      <c r="AD713" t="s">
        <v>57</v>
      </c>
      <c r="AE713" t="s">
        <v>45</v>
      </c>
      <c r="AF713" t="s">
        <v>55</v>
      </c>
      <c r="AG713" t="s">
        <v>55</v>
      </c>
      <c r="AH713" t="s">
        <v>55</v>
      </c>
      <c r="AI713" t="s">
        <v>55</v>
      </c>
    </row>
    <row r="714" spans="1:35" x14ac:dyDescent="0.25">
      <c r="A714" t="s">
        <v>80</v>
      </c>
      <c r="B714" t="s">
        <v>59</v>
      </c>
      <c r="C714" t="s">
        <v>37</v>
      </c>
      <c r="D714" t="s">
        <v>1352</v>
      </c>
      <c r="E714" t="s">
        <v>62</v>
      </c>
      <c r="F714" t="s">
        <v>98</v>
      </c>
      <c r="G714" t="s">
        <v>40</v>
      </c>
      <c r="H714" t="s">
        <v>42</v>
      </c>
      <c r="I714" t="s">
        <v>40</v>
      </c>
      <c r="J714" t="s">
        <v>2338</v>
      </c>
      <c r="K714" t="s">
        <v>41</v>
      </c>
      <c r="L714" t="s">
        <v>43</v>
      </c>
      <c r="M714" t="s">
        <v>166</v>
      </c>
      <c r="N714" t="s">
        <v>45</v>
      </c>
      <c r="O714" t="s">
        <v>40</v>
      </c>
      <c r="P714" t="s">
        <v>65</v>
      </c>
      <c r="Q714" t="s">
        <v>47</v>
      </c>
      <c r="R714" t="s">
        <v>48</v>
      </c>
      <c r="S714" t="s">
        <v>635</v>
      </c>
      <c r="T714" t="s">
        <v>2461</v>
      </c>
      <c r="U714" t="s">
        <v>45</v>
      </c>
      <c r="V714" t="s">
        <v>52</v>
      </c>
      <c r="W714" t="s">
        <v>59</v>
      </c>
      <c r="X714" t="s">
        <v>145</v>
      </c>
      <c r="Y714" t="s">
        <v>45</v>
      </c>
      <c r="Z714" t="s">
        <v>40</v>
      </c>
      <c r="AA714" t="s">
        <v>54</v>
      </c>
      <c r="AB714" t="s">
        <v>55</v>
      </c>
      <c r="AC714" t="s">
        <v>57</v>
      </c>
      <c r="AD714" t="s">
        <v>47</v>
      </c>
      <c r="AE714" t="s">
        <v>45</v>
      </c>
      <c r="AF714" t="s">
        <v>45</v>
      </c>
      <c r="AG714" t="s">
        <v>41</v>
      </c>
      <c r="AH714" t="s">
        <v>55</v>
      </c>
      <c r="AI714" t="s">
        <v>41</v>
      </c>
    </row>
    <row r="715" spans="1:35" x14ac:dyDescent="0.25">
      <c r="A715" t="s">
        <v>174</v>
      </c>
      <c r="B715" t="s">
        <v>59</v>
      </c>
      <c r="C715" t="s">
        <v>37</v>
      </c>
      <c r="D715" t="s">
        <v>2421</v>
      </c>
      <c r="E715" t="s">
        <v>62</v>
      </c>
      <c r="F715" t="s">
        <v>40</v>
      </c>
      <c r="G715" t="s">
        <v>47</v>
      </c>
      <c r="H715" t="s">
        <v>87</v>
      </c>
      <c r="I715" t="s">
        <v>40</v>
      </c>
      <c r="J715" t="s">
        <v>1115</v>
      </c>
      <c r="K715" t="s">
        <v>47</v>
      </c>
      <c r="L715" t="s">
        <v>43</v>
      </c>
      <c r="M715" t="s">
        <v>364</v>
      </c>
      <c r="N715" t="s">
        <v>45</v>
      </c>
      <c r="O715" t="s">
        <v>40</v>
      </c>
      <c r="P715" t="s">
        <v>76</v>
      </c>
      <c r="Q715" t="s">
        <v>47</v>
      </c>
      <c r="R715" t="s">
        <v>109</v>
      </c>
      <c r="S715" t="s">
        <v>2462</v>
      </c>
      <c r="T715" t="s">
        <v>2463</v>
      </c>
      <c r="U715" t="s">
        <v>45</v>
      </c>
      <c r="V715" t="s">
        <v>52</v>
      </c>
      <c r="W715" t="s">
        <v>59</v>
      </c>
      <c r="X715" t="s">
        <v>129</v>
      </c>
      <c r="Y715" t="s">
        <v>45</v>
      </c>
      <c r="Z715" t="s">
        <v>47</v>
      </c>
      <c r="AA715" t="s">
        <v>54</v>
      </c>
      <c r="AB715" t="s">
        <v>41</v>
      </c>
      <c r="AC715" t="s">
        <v>51</v>
      </c>
      <c r="AD715" t="s">
        <v>41</v>
      </c>
      <c r="AE715" t="s">
        <v>45</v>
      </c>
      <c r="AF715" t="s">
        <v>57</v>
      </c>
      <c r="AG715" t="s">
        <v>45</v>
      </c>
      <c r="AH715" t="s">
        <v>55</v>
      </c>
      <c r="AI715" t="s">
        <v>41</v>
      </c>
    </row>
    <row r="716" spans="1:35" x14ac:dyDescent="0.25">
      <c r="A716" t="s">
        <v>151</v>
      </c>
      <c r="B716" t="s">
        <v>59</v>
      </c>
      <c r="C716" t="s">
        <v>37</v>
      </c>
      <c r="D716" t="s">
        <v>2464</v>
      </c>
      <c r="E716" t="s">
        <v>62</v>
      </c>
      <c r="F716" t="s">
        <v>40</v>
      </c>
      <c r="G716" t="s">
        <v>41</v>
      </c>
      <c r="H716" t="s">
        <v>87</v>
      </c>
      <c r="I716" t="s">
        <v>40</v>
      </c>
      <c r="J716" t="s">
        <v>2465</v>
      </c>
      <c r="K716" t="s">
        <v>47</v>
      </c>
      <c r="L716" t="s">
        <v>63</v>
      </c>
      <c r="M716" t="s">
        <v>375</v>
      </c>
      <c r="N716" t="s">
        <v>45</v>
      </c>
      <c r="O716" t="s">
        <v>47</v>
      </c>
      <c r="P716" t="s">
        <v>186</v>
      </c>
      <c r="Q716" t="s">
        <v>47</v>
      </c>
      <c r="R716" t="s">
        <v>109</v>
      </c>
      <c r="S716" t="s">
        <v>2466</v>
      </c>
      <c r="T716" t="s">
        <v>2467</v>
      </c>
      <c r="U716" t="s">
        <v>91</v>
      </c>
      <c r="V716" t="s">
        <v>52</v>
      </c>
      <c r="W716" t="s">
        <v>59</v>
      </c>
      <c r="X716" t="s">
        <v>112</v>
      </c>
      <c r="Y716" t="s">
        <v>47</v>
      </c>
      <c r="Z716" t="s">
        <v>45</v>
      </c>
      <c r="AA716" t="s">
        <v>54</v>
      </c>
      <c r="AB716" t="s">
        <v>40</v>
      </c>
      <c r="AC716" t="s">
        <v>93</v>
      </c>
      <c r="AD716" t="s">
        <v>40</v>
      </c>
      <c r="AE716" t="s">
        <v>41</v>
      </c>
      <c r="AF716" t="s">
        <v>57</v>
      </c>
      <c r="AG716" t="s">
        <v>47</v>
      </c>
      <c r="AH716" t="s">
        <v>40</v>
      </c>
      <c r="AI716" t="s">
        <v>45</v>
      </c>
    </row>
    <row r="717" spans="1:35" x14ac:dyDescent="0.25">
      <c r="A717" t="s">
        <v>80</v>
      </c>
      <c r="B717" t="s">
        <v>59</v>
      </c>
      <c r="C717" t="s">
        <v>60</v>
      </c>
      <c r="D717" t="s">
        <v>480</v>
      </c>
      <c r="E717" t="s">
        <v>62</v>
      </c>
      <c r="F717" t="s">
        <v>40</v>
      </c>
      <c r="G717" t="s">
        <v>47</v>
      </c>
      <c r="H717" t="s">
        <v>74</v>
      </c>
      <c r="I717" t="s">
        <v>40</v>
      </c>
      <c r="J717" t="s">
        <v>2468</v>
      </c>
      <c r="K717" t="s">
        <v>45</v>
      </c>
      <c r="L717" t="s">
        <v>43</v>
      </c>
      <c r="M717" t="s">
        <v>130</v>
      </c>
      <c r="N717" t="s">
        <v>47</v>
      </c>
      <c r="O717" t="s">
        <v>41</v>
      </c>
      <c r="P717" t="s">
        <v>122</v>
      </c>
      <c r="Q717" t="s">
        <v>41</v>
      </c>
      <c r="R717" t="s">
        <v>66</v>
      </c>
      <c r="S717" t="s">
        <v>2469</v>
      </c>
      <c r="T717" t="s">
        <v>2470</v>
      </c>
      <c r="U717" t="s">
        <v>40</v>
      </c>
      <c r="V717" t="s">
        <v>52</v>
      </c>
      <c r="W717" t="s">
        <v>36</v>
      </c>
      <c r="X717" t="s">
        <v>98</v>
      </c>
      <c r="Y717" t="s">
        <v>45</v>
      </c>
      <c r="Z717" t="s">
        <v>40</v>
      </c>
      <c r="AA717" t="s">
        <v>54</v>
      </c>
      <c r="AB717" t="s">
        <v>40</v>
      </c>
      <c r="AC717" t="s">
        <v>56</v>
      </c>
      <c r="AD717" t="s">
        <v>41</v>
      </c>
      <c r="AE717" t="s">
        <v>45</v>
      </c>
      <c r="AF717" t="s">
        <v>56</v>
      </c>
      <c r="AG717" t="s">
        <v>57</v>
      </c>
      <c r="AH717" t="s">
        <v>40</v>
      </c>
      <c r="AI717" t="s">
        <v>41</v>
      </c>
    </row>
    <row r="718" spans="1:35" x14ac:dyDescent="0.25">
      <c r="A718" t="s">
        <v>35</v>
      </c>
      <c r="B718" t="s">
        <v>59</v>
      </c>
      <c r="C718" t="s">
        <v>60</v>
      </c>
      <c r="D718" t="s">
        <v>2158</v>
      </c>
      <c r="E718" t="s">
        <v>62</v>
      </c>
      <c r="F718" t="s">
        <v>91</v>
      </c>
      <c r="G718" t="s">
        <v>45</v>
      </c>
      <c r="H718" t="s">
        <v>87</v>
      </c>
      <c r="I718" t="s">
        <v>40</v>
      </c>
      <c r="J718" t="s">
        <v>2471</v>
      </c>
      <c r="K718" t="s">
        <v>40</v>
      </c>
      <c r="L718" t="s">
        <v>63</v>
      </c>
      <c r="M718" t="s">
        <v>292</v>
      </c>
      <c r="N718" t="s">
        <v>45</v>
      </c>
      <c r="O718" t="s">
        <v>57</v>
      </c>
      <c r="P718" t="s">
        <v>186</v>
      </c>
      <c r="Q718" t="s">
        <v>45</v>
      </c>
      <c r="R718" t="s">
        <v>109</v>
      </c>
      <c r="S718" t="s">
        <v>2472</v>
      </c>
      <c r="T718" t="s">
        <v>2473</v>
      </c>
      <c r="U718" t="s">
        <v>41</v>
      </c>
      <c r="V718" t="s">
        <v>52</v>
      </c>
      <c r="W718" t="s">
        <v>59</v>
      </c>
      <c r="X718" t="s">
        <v>125</v>
      </c>
      <c r="Y718" t="s">
        <v>45</v>
      </c>
      <c r="Z718" t="s">
        <v>41</v>
      </c>
      <c r="AA718" t="s">
        <v>54</v>
      </c>
      <c r="AB718" t="s">
        <v>40</v>
      </c>
      <c r="AC718" t="s">
        <v>119</v>
      </c>
      <c r="AD718" t="s">
        <v>41</v>
      </c>
      <c r="AE718" t="s">
        <v>47</v>
      </c>
      <c r="AF718" t="s">
        <v>145</v>
      </c>
      <c r="AG718" t="s">
        <v>128</v>
      </c>
      <c r="AH718" t="s">
        <v>55</v>
      </c>
      <c r="AI718" t="s">
        <v>53</v>
      </c>
    </row>
    <row r="719" spans="1:35" x14ac:dyDescent="0.25">
      <c r="A719" t="s">
        <v>85</v>
      </c>
      <c r="B719" t="s">
        <v>59</v>
      </c>
      <c r="C719" t="s">
        <v>37</v>
      </c>
      <c r="D719" t="s">
        <v>2474</v>
      </c>
      <c r="E719" t="s">
        <v>62</v>
      </c>
      <c r="F719" t="s">
        <v>128</v>
      </c>
      <c r="G719" t="s">
        <v>47</v>
      </c>
      <c r="H719" t="s">
        <v>228</v>
      </c>
      <c r="I719" t="s">
        <v>40</v>
      </c>
      <c r="J719" t="s">
        <v>1323</v>
      </c>
      <c r="K719" t="s">
        <v>45</v>
      </c>
      <c r="L719" t="s">
        <v>43</v>
      </c>
      <c r="M719" t="s">
        <v>72</v>
      </c>
      <c r="N719" t="s">
        <v>45</v>
      </c>
      <c r="O719" t="s">
        <v>40</v>
      </c>
      <c r="P719" t="s">
        <v>76</v>
      </c>
      <c r="Q719" t="s">
        <v>41</v>
      </c>
      <c r="R719" t="s">
        <v>66</v>
      </c>
      <c r="S719" t="s">
        <v>2475</v>
      </c>
      <c r="T719" t="s">
        <v>2476</v>
      </c>
      <c r="U719" t="s">
        <v>91</v>
      </c>
      <c r="V719" t="s">
        <v>52</v>
      </c>
      <c r="W719" t="s">
        <v>59</v>
      </c>
      <c r="X719" t="s">
        <v>129</v>
      </c>
      <c r="Y719" t="s">
        <v>45</v>
      </c>
      <c r="Z719" t="s">
        <v>41</v>
      </c>
      <c r="AA719" t="s">
        <v>54</v>
      </c>
      <c r="AB719" t="s">
        <v>40</v>
      </c>
      <c r="AC719" t="s">
        <v>47</v>
      </c>
      <c r="AD719" t="s">
        <v>41</v>
      </c>
      <c r="AE719" t="s">
        <v>45</v>
      </c>
      <c r="AF719" t="s">
        <v>41</v>
      </c>
      <c r="AG719" t="s">
        <v>41</v>
      </c>
      <c r="AH719" t="s">
        <v>41</v>
      </c>
      <c r="AI719" t="s">
        <v>41</v>
      </c>
    </row>
    <row r="720" spans="1:35" x14ac:dyDescent="0.25">
      <c r="A720" t="s">
        <v>174</v>
      </c>
      <c r="B720" t="s">
        <v>59</v>
      </c>
      <c r="C720" t="s">
        <v>161</v>
      </c>
      <c r="D720" t="s">
        <v>782</v>
      </c>
      <c r="E720" t="s">
        <v>62</v>
      </c>
      <c r="F720" t="s">
        <v>69</v>
      </c>
      <c r="G720" t="s">
        <v>41</v>
      </c>
      <c r="H720" t="s">
        <v>42</v>
      </c>
      <c r="I720" t="s">
        <v>40</v>
      </c>
      <c r="J720" t="s">
        <v>850</v>
      </c>
      <c r="K720" t="s">
        <v>47</v>
      </c>
      <c r="L720" t="s">
        <v>63</v>
      </c>
      <c r="M720" t="s">
        <v>204</v>
      </c>
      <c r="N720" t="s">
        <v>45</v>
      </c>
      <c r="O720" t="s">
        <v>41</v>
      </c>
      <c r="P720" t="s">
        <v>76</v>
      </c>
      <c r="Q720" t="s">
        <v>40</v>
      </c>
      <c r="R720" t="s">
        <v>66</v>
      </c>
      <c r="S720" t="s">
        <v>2477</v>
      </c>
      <c r="T720" t="s">
        <v>2478</v>
      </c>
      <c r="U720" t="s">
        <v>40</v>
      </c>
      <c r="V720" t="s">
        <v>52</v>
      </c>
      <c r="W720" t="s">
        <v>36</v>
      </c>
      <c r="X720" t="s">
        <v>79</v>
      </c>
      <c r="Y720" t="s">
        <v>45</v>
      </c>
      <c r="Z720" t="s">
        <v>45</v>
      </c>
      <c r="AA720" t="s">
        <v>54</v>
      </c>
      <c r="AB720" t="s">
        <v>40</v>
      </c>
      <c r="AC720" t="s">
        <v>91</v>
      </c>
      <c r="AD720" t="s">
        <v>41</v>
      </c>
      <c r="AE720" t="s">
        <v>45</v>
      </c>
      <c r="AF720" t="s">
        <v>91</v>
      </c>
      <c r="AG720" t="s">
        <v>51</v>
      </c>
      <c r="AH720" t="s">
        <v>55</v>
      </c>
      <c r="AI720" t="s">
        <v>51</v>
      </c>
    </row>
    <row r="721" spans="1:35" x14ac:dyDescent="0.25">
      <c r="A721" t="s">
        <v>239</v>
      </c>
      <c r="B721" t="s">
        <v>59</v>
      </c>
      <c r="C721" t="s">
        <v>37</v>
      </c>
      <c r="D721" t="s">
        <v>2479</v>
      </c>
      <c r="E721" t="s">
        <v>39</v>
      </c>
      <c r="F721" t="s">
        <v>47</v>
      </c>
      <c r="G721" t="s">
        <v>41</v>
      </c>
      <c r="H721" t="s">
        <v>42</v>
      </c>
      <c r="I721" t="s">
        <v>40</v>
      </c>
      <c r="J721" t="s">
        <v>2480</v>
      </c>
      <c r="K721" t="s">
        <v>47</v>
      </c>
      <c r="L721" t="s">
        <v>43</v>
      </c>
      <c r="M721" t="s">
        <v>193</v>
      </c>
      <c r="N721" t="s">
        <v>45</v>
      </c>
      <c r="O721" t="s">
        <v>41</v>
      </c>
      <c r="P721" t="s">
        <v>46</v>
      </c>
      <c r="Q721" t="s">
        <v>47</v>
      </c>
      <c r="R721" t="s">
        <v>48</v>
      </c>
      <c r="S721" t="s">
        <v>2481</v>
      </c>
      <c r="T721" t="s">
        <v>2482</v>
      </c>
      <c r="U721" t="s">
        <v>40</v>
      </c>
      <c r="V721" t="s">
        <v>52</v>
      </c>
      <c r="W721" t="s">
        <v>36</v>
      </c>
      <c r="X721" t="s">
        <v>125</v>
      </c>
      <c r="Y721" t="s">
        <v>45</v>
      </c>
      <c r="Z721" t="s">
        <v>45</v>
      </c>
      <c r="AA721" t="s">
        <v>54</v>
      </c>
      <c r="AB721" t="s">
        <v>55</v>
      </c>
      <c r="AC721" t="s">
        <v>91</v>
      </c>
      <c r="AD721" t="s">
        <v>55</v>
      </c>
      <c r="AE721" t="s">
        <v>45</v>
      </c>
      <c r="AF721" t="s">
        <v>91</v>
      </c>
      <c r="AG721" t="s">
        <v>55</v>
      </c>
      <c r="AH721" t="s">
        <v>55</v>
      </c>
      <c r="AI721" t="s">
        <v>71</v>
      </c>
    </row>
    <row r="722" spans="1:35" x14ac:dyDescent="0.25">
      <c r="A722" t="s">
        <v>105</v>
      </c>
      <c r="B722" t="s">
        <v>36</v>
      </c>
      <c r="C722" t="s">
        <v>37</v>
      </c>
      <c r="D722" t="s">
        <v>489</v>
      </c>
      <c r="E722" t="s">
        <v>62</v>
      </c>
      <c r="F722" t="s">
        <v>112</v>
      </c>
      <c r="G722" t="s">
        <v>45</v>
      </c>
      <c r="H722" t="s">
        <v>42</v>
      </c>
      <c r="I722" t="s">
        <v>40</v>
      </c>
      <c r="J722" t="s">
        <v>2483</v>
      </c>
      <c r="K722" t="s">
        <v>40</v>
      </c>
      <c r="L722" t="s">
        <v>43</v>
      </c>
      <c r="M722" t="s">
        <v>207</v>
      </c>
      <c r="N722" t="s">
        <v>45</v>
      </c>
      <c r="O722" t="s">
        <v>40</v>
      </c>
      <c r="P722" t="s">
        <v>65</v>
      </c>
      <c r="Q722" t="s">
        <v>45</v>
      </c>
      <c r="R722" t="s">
        <v>66</v>
      </c>
      <c r="S722" t="s">
        <v>2484</v>
      </c>
      <c r="T722" t="s">
        <v>2485</v>
      </c>
      <c r="U722" t="s">
        <v>47</v>
      </c>
      <c r="V722" t="s">
        <v>52</v>
      </c>
      <c r="W722" t="s">
        <v>36</v>
      </c>
      <c r="X722" t="s">
        <v>53</v>
      </c>
      <c r="Y722" t="s">
        <v>45</v>
      </c>
      <c r="Z722" t="s">
        <v>41</v>
      </c>
      <c r="AA722" t="s">
        <v>54</v>
      </c>
      <c r="AB722" t="s">
        <v>55</v>
      </c>
      <c r="AC722" t="s">
        <v>71</v>
      </c>
      <c r="AD722" t="s">
        <v>41</v>
      </c>
      <c r="AE722" t="s">
        <v>45</v>
      </c>
      <c r="AF722" t="s">
        <v>57</v>
      </c>
      <c r="AG722" t="s">
        <v>41</v>
      </c>
      <c r="AH722" t="s">
        <v>55</v>
      </c>
      <c r="AI722" t="s">
        <v>40</v>
      </c>
    </row>
    <row r="723" spans="1:35" x14ac:dyDescent="0.25">
      <c r="A723" t="s">
        <v>151</v>
      </c>
      <c r="B723" t="s">
        <v>59</v>
      </c>
      <c r="C723" t="s">
        <v>37</v>
      </c>
      <c r="D723" t="s">
        <v>2353</v>
      </c>
      <c r="E723" t="s">
        <v>62</v>
      </c>
      <c r="F723" t="s">
        <v>107</v>
      </c>
      <c r="G723" t="s">
        <v>45</v>
      </c>
      <c r="H723" t="s">
        <v>42</v>
      </c>
      <c r="I723" t="s">
        <v>40</v>
      </c>
      <c r="J723" t="s">
        <v>94</v>
      </c>
      <c r="K723" t="s">
        <v>47</v>
      </c>
      <c r="L723" t="s">
        <v>63</v>
      </c>
      <c r="M723" t="s">
        <v>349</v>
      </c>
      <c r="N723" t="s">
        <v>45</v>
      </c>
      <c r="O723" t="s">
        <v>47</v>
      </c>
      <c r="P723" t="s">
        <v>116</v>
      </c>
      <c r="Q723" t="s">
        <v>45</v>
      </c>
      <c r="R723" t="s">
        <v>66</v>
      </c>
      <c r="S723" t="s">
        <v>2486</v>
      </c>
      <c r="T723" t="s">
        <v>2487</v>
      </c>
      <c r="U723" t="s">
        <v>45</v>
      </c>
      <c r="V723" t="s">
        <v>52</v>
      </c>
      <c r="W723" t="s">
        <v>36</v>
      </c>
      <c r="X723" t="s">
        <v>145</v>
      </c>
      <c r="Y723" t="s">
        <v>45</v>
      </c>
      <c r="Z723" t="s">
        <v>47</v>
      </c>
      <c r="AA723" t="s">
        <v>54</v>
      </c>
      <c r="AB723" t="s">
        <v>40</v>
      </c>
      <c r="AC723" t="s">
        <v>112</v>
      </c>
      <c r="AD723" t="s">
        <v>41</v>
      </c>
      <c r="AE723" t="s">
        <v>45</v>
      </c>
      <c r="AF723" t="s">
        <v>92</v>
      </c>
      <c r="AG723" t="s">
        <v>53</v>
      </c>
      <c r="AH723" t="s">
        <v>40</v>
      </c>
      <c r="AI723" t="s">
        <v>57</v>
      </c>
    </row>
    <row r="724" spans="1:35" x14ac:dyDescent="0.25">
      <c r="A724" t="s">
        <v>113</v>
      </c>
      <c r="B724" t="s">
        <v>59</v>
      </c>
      <c r="C724" t="s">
        <v>60</v>
      </c>
      <c r="D724" t="s">
        <v>2488</v>
      </c>
      <c r="E724" t="s">
        <v>62</v>
      </c>
      <c r="F724" t="s">
        <v>70</v>
      </c>
      <c r="G724" t="s">
        <v>40</v>
      </c>
      <c r="H724" t="s">
        <v>87</v>
      </c>
      <c r="I724" t="s">
        <v>40</v>
      </c>
      <c r="J724" t="s">
        <v>2489</v>
      </c>
      <c r="K724" t="s">
        <v>45</v>
      </c>
      <c r="L724" t="s">
        <v>63</v>
      </c>
      <c r="M724" t="s">
        <v>375</v>
      </c>
      <c r="N724" t="s">
        <v>45</v>
      </c>
      <c r="O724" t="s">
        <v>40</v>
      </c>
      <c r="P724" t="s">
        <v>65</v>
      </c>
      <c r="Q724" t="s">
        <v>45</v>
      </c>
      <c r="R724" t="s">
        <v>66</v>
      </c>
      <c r="S724" t="s">
        <v>2490</v>
      </c>
      <c r="T724" t="s">
        <v>2491</v>
      </c>
      <c r="U724" t="s">
        <v>55</v>
      </c>
      <c r="V724" t="s">
        <v>52</v>
      </c>
      <c r="W724" t="s">
        <v>59</v>
      </c>
      <c r="X724" t="s">
        <v>125</v>
      </c>
      <c r="Y724" t="s">
        <v>45</v>
      </c>
      <c r="Z724" t="s">
        <v>41</v>
      </c>
      <c r="AA724" t="s">
        <v>54</v>
      </c>
      <c r="AB724" t="s">
        <v>40</v>
      </c>
      <c r="AC724" t="s">
        <v>45</v>
      </c>
      <c r="AD724" t="s">
        <v>55</v>
      </c>
      <c r="AE724" t="s">
        <v>41</v>
      </c>
      <c r="AF724" t="s">
        <v>41</v>
      </c>
      <c r="AG724" t="s">
        <v>40</v>
      </c>
      <c r="AH724" t="s">
        <v>55</v>
      </c>
      <c r="AI724" t="s">
        <v>41</v>
      </c>
    </row>
    <row r="725" spans="1:35" x14ac:dyDescent="0.25">
      <c r="A725" t="s">
        <v>213</v>
      </c>
      <c r="B725" t="s">
        <v>59</v>
      </c>
      <c r="C725" t="s">
        <v>37</v>
      </c>
      <c r="D725" t="s">
        <v>1202</v>
      </c>
      <c r="E725" t="s">
        <v>62</v>
      </c>
      <c r="F725" t="s">
        <v>71</v>
      </c>
      <c r="G725" t="s">
        <v>41</v>
      </c>
      <c r="H725" t="s">
        <v>87</v>
      </c>
      <c r="I725" t="s">
        <v>40</v>
      </c>
      <c r="J725" t="s">
        <v>2492</v>
      </c>
      <c r="K725" t="s">
        <v>47</v>
      </c>
      <c r="L725" t="s">
        <v>63</v>
      </c>
      <c r="M725" t="s">
        <v>255</v>
      </c>
      <c r="N725" t="s">
        <v>45</v>
      </c>
      <c r="O725" t="s">
        <v>45</v>
      </c>
      <c r="P725" t="s">
        <v>116</v>
      </c>
      <c r="Q725" t="s">
        <v>45</v>
      </c>
      <c r="R725" t="s">
        <v>109</v>
      </c>
      <c r="S725" t="s">
        <v>2493</v>
      </c>
      <c r="T725" t="s">
        <v>2494</v>
      </c>
      <c r="U725" t="s">
        <v>56</v>
      </c>
      <c r="V725" t="s">
        <v>52</v>
      </c>
      <c r="W725" t="s">
        <v>59</v>
      </c>
      <c r="X725" t="s">
        <v>98</v>
      </c>
      <c r="Y725" t="s">
        <v>45</v>
      </c>
      <c r="Z725" t="s">
        <v>41</v>
      </c>
      <c r="AA725" t="s">
        <v>54</v>
      </c>
      <c r="AB725" t="s">
        <v>40</v>
      </c>
      <c r="AC725" t="s">
        <v>98</v>
      </c>
      <c r="AD725" t="s">
        <v>45</v>
      </c>
      <c r="AE725" t="s">
        <v>45</v>
      </c>
      <c r="AF725" t="s">
        <v>51</v>
      </c>
      <c r="AG725" t="s">
        <v>71</v>
      </c>
      <c r="AH725" t="s">
        <v>55</v>
      </c>
      <c r="AI725" t="s">
        <v>71</v>
      </c>
    </row>
    <row r="726" spans="1:35" x14ac:dyDescent="0.25">
      <c r="A726" t="s">
        <v>107</v>
      </c>
      <c r="B726" t="s">
        <v>59</v>
      </c>
      <c r="C726" t="s">
        <v>37</v>
      </c>
      <c r="D726" t="s">
        <v>2495</v>
      </c>
      <c r="E726" t="s">
        <v>62</v>
      </c>
      <c r="F726" t="s">
        <v>125</v>
      </c>
      <c r="G726" t="s">
        <v>40</v>
      </c>
      <c r="H726" t="s">
        <v>87</v>
      </c>
      <c r="I726" t="s">
        <v>40</v>
      </c>
      <c r="J726" t="s">
        <v>1628</v>
      </c>
      <c r="K726" t="s">
        <v>47</v>
      </c>
      <c r="L726" t="s">
        <v>43</v>
      </c>
      <c r="M726" t="s">
        <v>35</v>
      </c>
      <c r="N726" t="s">
        <v>41</v>
      </c>
      <c r="O726" t="s">
        <v>41</v>
      </c>
      <c r="P726" t="s">
        <v>116</v>
      </c>
      <c r="Q726" t="s">
        <v>45</v>
      </c>
      <c r="R726" t="s">
        <v>109</v>
      </c>
      <c r="S726" t="s">
        <v>2496</v>
      </c>
      <c r="T726" t="s">
        <v>2497</v>
      </c>
      <c r="U726" t="s">
        <v>40</v>
      </c>
      <c r="V726" t="s">
        <v>52</v>
      </c>
      <c r="W726" t="s">
        <v>59</v>
      </c>
      <c r="X726" t="s">
        <v>79</v>
      </c>
      <c r="Y726" t="s">
        <v>45</v>
      </c>
      <c r="Z726" t="s">
        <v>41</v>
      </c>
      <c r="AA726" t="s">
        <v>54</v>
      </c>
      <c r="AB726" t="s">
        <v>41</v>
      </c>
      <c r="AC726" t="s">
        <v>57</v>
      </c>
      <c r="AD726" t="s">
        <v>56</v>
      </c>
      <c r="AE726" t="s">
        <v>45</v>
      </c>
      <c r="AF726" t="s">
        <v>47</v>
      </c>
      <c r="AG726" t="s">
        <v>41</v>
      </c>
      <c r="AH726" t="s">
        <v>45</v>
      </c>
      <c r="AI726" t="s">
        <v>41</v>
      </c>
    </row>
    <row r="727" spans="1:35" x14ac:dyDescent="0.25">
      <c r="A727" t="s">
        <v>126</v>
      </c>
      <c r="B727" t="s">
        <v>36</v>
      </c>
      <c r="C727" t="s">
        <v>37</v>
      </c>
      <c r="D727" t="s">
        <v>1738</v>
      </c>
      <c r="E727" t="s">
        <v>62</v>
      </c>
      <c r="F727" t="s">
        <v>129</v>
      </c>
      <c r="G727" t="s">
        <v>47</v>
      </c>
      <c r="H727" t="s">
        <v>74</v>
      </c>
      <c r="I727" t="s">
        <v>40</v>
      </c>
      <c r="J727" t="s">
        <v>2498</v>
      </c>
      <c r="K727" t="s">
        <v>45</v>
      </c>
      <c r="L727" t="s">
        <v>63</v>
      </c>
      <c r="M727" t="s">
        <v>218</v>
      </c>
      <c r="N727" t="s">
        <v>41</v>
      </c>
      <c r="O727" t="s">
        <v>40</v>
      </c>
      <c r="P727" t="s">
        <v>76</v>
      </c>
      <c r="Q727" t="s">
        <v>41</v>
      </c>
      <c r="R727" t="s">
        <v>109</v>
      </c>
      <c r="S727" t="s">
        <v>2499</v>
      </c>
      <c r="T727" t="s">
        <v>2500</v>
      </c>
      <c r="U727" t="s">
        <v>40</v>
      </c>
      <c r="V727" t="s">
        <v>52</v>
      </c>
      <c r="W727" t="s">
        <v>36</v>
      </c>
      <c r="X727" t="s">
        <v>107</v>
      </c>
      <c r="Y727" t="s">
        <v>47</v>
      </c>
      <c r="Z727" t="s">
        <v>47</v>
      </c>
      <c r="AA727" t="s">
        <v>54</v>
      </c>
      <c r="AB727" t="s">
        <v>40</v>
      </c>
      <c r="AC727" t="s">
        <v>57</v>
      </c>
      <c r="AD727" t="s">
        <v>41</v>
      </c>
      <c r="AE727" t="s">
        <v>40</v>
      </c>
      <c r="AF727" t="s">
        <v>47</v>
      </c>
      <c r="AG727" t="s">
        <v>41</v>
      </c>
      <c r="AH727" t="s">
        <v>55</v>
      </c>
      <c r="AI727" t="s">
        <v>41</v>
      </c>
    </row>
    <row r="728" spans="1:35" x14ac:dyDescent="0.25">
      <c r="A728" t="s">
        <v>137</v>
      </c>
      <c r="B728" t="s">
        <v>59</v>
      </c>
      <c r="C728" t="s">
        <v>60</v>
      </c>
      <c r="D728" t="s">
        <v>313</v>
      </c>
      <c r="E728" t="s">
        <v>62</v>
      </c>
      <c r="F728" t="s">
        <v>40</v>
      </c>
      <c r="G728" t="s">
        <v>40</v>
      </c>
      <c r="H728" t="s">
        <v>42</v>
      </c>
      <c r="I728" t="s">
        <v>40</v>
      </c>
      <c r="J728" t="s">
        <v>2501</v>
      </c>
      <c r="K728" t="s">
        <v>45</v>
      </c>
      <c r="L728" t="s">
        <v>43</v>
      </c>
      <c r="M728" t="s">
        <v>163</v>
      </c>
      <c r="N728" t="s">
        <v>45</v>
      </c>
      <c r="O728" t="s">
        <v>41</v>
      </c>
      <c r="P728" t="s">
        <v>116</v>
      </c>
      <c r="Q728" t="s">
        <v>40</v>
      </c>
      <c r="R728" t="s">
        <v>66</v>
      </c>
      <c r="S728" t="s">
        <v>2502</v>
      </c>
      <c r="T728" t="s">
        <v>2503</v>
      </c>
      <c r="U728" t="s">
        <v>40</v>
      </c>
      <c r="V728" t="s">
        <v>52</v>
      </c>
      <c r="W728" t="s">
        <v>59</v>
      </c>
      <c r="X728" t="s">
        <v>92</v>
      </c>
      <c r="Y728" t="s">
        <v>45</v>
      </c>
      <c r="Z728" t="s">
        <v>45</v>
      </c>
      <c r="AA728" t="s">
        <v>54</v>
      </c>
      <c r="AB728" t="s">
        <v>40</v>
      </c>
      <c r="AC728" t="s">
        <v>47</v>
      </c>
      <c r="AD728" t="s">
        <v>40</v>
      </c>
      <c r="AE728" t="s">
        <v>45</v>
      </c>
      <c r="AF728" t="s">
        <v>47</v>
      </c>
      <c r="AG728" t="s">
        <v>45</v>
      </c>
      <c r="AH728" t="s">
        <v>55</v>
      </c>
      <c r="AI728" t="s">
        <v>45</v>
      </c>
    </row>
    <row r="729" spans="1:35" x14ac:dyDescent="0.25">
      <c r="A729" t="s">
        <v>145</v>
      </c>
      <c r="B729" t="s">
        <v>59</v>
      </c>
      <c r="C729" t="s">
        <v>161</v>
      </c>
      <c r="D729" t="s">
        <v>878</v>
      </c>
      <c r="E729" t="s">
        <v>62</v>
      </c>
      <c r="F729" t="s">
        <v>57</v>
      </c>
      <c r="G729" t="s">
        <v>41</v>
      </c>
      <c r="H729" t="s">
        <v>42</v>
      </c>
      <c r="I729" t="s">
        <v>40</v>
      </c>
      <c r="J729" t="s">
        <v>2205</v>
      </c>
      <c r="K729" t="s">
        <v>41</v>
      </c>
      <c r="L729" t="s">
        <v>63</v>
      </c>
      <c r="M729" t="s">
        <v>279</v>
      </c>
      <c r="N729" t="s">
        <v>45</v>
      </c>
      <c r="O729" t="s">
        <v>40</v>
      </c>
      <c r="P729" t="s">
        <v>65</v>
      </c>
      <c r="Q729" t="s">
        <v>47</v>
      </c>
      <c r="R729" t="s">
        <v>48</v>
      </c>
      <c r="S729" t="s">
        <v>2504</v>
      </c>
      <c r="T729" t="s">
        <v>2505</v>
      </c>
      <c r="U729" t="s">
        <v>40</v>
      </c>
      <c r="V729" t="s">
        <v>52</v>
      </c>
      <c r="W729" t="s">
        <v>59</v>
      </c>
      <c r="X729" t="s">
        <v>79</v>
      </c>
      <c r="Y729" t="s">
        <v>45</v>
      </c>
      <c r="Z729" t="s">
        <v>47</v>
      </c>
      <c r="AA729" t="s">
        <v>54</v>
      </c>
      <c r="AB729" t="s">
        <v>55</v>
      </c>
      <c r="AC729" t="s">
        <v>55</v>
      </c>
      <c r="AD729" t="s">
        <v>41</v>
      </c>
      <c r="AE729" t="s">
        <v>45</v>
      </c>
      <c r="AF729" t="s">
        <v>55</v>
      </c>
      <c r="AG729" t="s">
        <v>55</v>
      </c>
      <c r="AH729" t="s">
        <v>55</v>
      </c>
      <c r="AI729" t="s">
        <v>55</v>
      </c>
    </row>
    <row r="730" spans="1:35" x14ac:dyDescent="0.25">
      <c r="A730" t="s">
        <v>259</v>
      </c>
      <c r="B730" t="s">
        <v>59</v>
      </c>
      <c r="C730" t="s">
        <v>37</v>
      </c>
      <c r="D730" t="s">
        <v>2506</v>
      </c>
      <c r="E730" t="s">
        <v>62</v>
      </c>
      <c r="F730" t="s">
        <v>125</v>
      </c>
      <c r="G730" t="s">
        <v>45</v>
      </c>
      <c r="H730" t="s">
        <v>228</v>
      </c>
      <c r="I730" t="s">
        <v>40</v>
      </c>
      <c r="J730" t="s">
        <v>2507</v>
      </c>
      <c r="K730" t="s">
        <v>45</v>
      </c>
      <c r="L730" t="s">
        <v>43</v>
      </c>
      <c r="M730" t="s">
        <v>82</v>
      </c>
      <c r="N730" t="s">
        <v>45</v>
      </c>
      <c r="O730" t="s">
        <v>45</v>
      </c>
      <c r="P730" t="s">
        <v>116</v>
      </c>
      <c r="Q730" t="s">
        <v>45</v>
      </c>
      <c r="R730" t="s">
        <v>66</v>
      </c>
      <c r="S730" t="s">
        <v>2508</v>
      </c>
      <c r="T730" t="s">
        <v>2509</v>
      </c>
      <c r="U730" t="s">
        <v>51</v>
      </c>
      <c r="V730" t="s">
        <v>52</v>
      </c>
      <c r="W730" t="s">
        <v>59</v>
      </c>
      <c r="X730" t="s">
        <v>53</v>
      </c>
      <c r="Y730" t="s">
        <v>45</v>
      </c>
      <c r="Z730" t="s">
        <v>45</v>
      </c>
      <c r="AA730" t="s">
        <v>54</v>
      </c>
      <c r="AB730" t="s">
        <v>40</v>
      </c>
      <c r="AC730" t="s">
        <v>112</v>
      </c>
      <c r="AD730" t="s">
        <v>41</v>
      </c>
      <c r="AE730" t="s">
        <v>45</v>
      </c>
      <c r="AF730" t="s">
        <v>70</v>
      </c>
      <c r="AG730" t="s">
        <v>71</v>
      </c>
      <c r="AH730" t="s">
        <v>55</v>
      </c>
      <c r="AI730" t="s">
        <v>51</v>
      </c>
    </row>
    <row r="731" spans="1:35" x14ac:dyDescent="0.25">
      <c r="A731" t="s">
        <v>126</v>
      </c>
      <c r="B731" t="s">
        <v>59</v>
      </c>
      <c r="C731" t="s">
        <v>37</v>
      </c>
      <c r="D731" t="s">
        <v>2252</v>
      </c>
      <c r="E731" t="s">
        <v>62</v>
      </c>
      <c r="F731" t="s">
        <v>172</v>
      </c>
      <c r="G731" t="s">
        <v>47</v>
      </c>
      <c r="H731" t="s">
        <v>87</v>
      </c>
      <c r="I731" t="s">
        <v>40</v>
      </c>
      <c r="J731" t="s">
        <v>2510</v>
      </c>
      <c r="K731" t="s">
        <v>45</v>
      </c>
      <c r="L731" t="s">
        <v>43</v>
      </c>
      <c r="M731" t="s">
        <v>269</v>
      </c>
      <c r="N731" t="s">
        <v>45</v>
      </c>
      <c r="O731" t="s">
        <v>45</v>
      </c>
      <c r="P731" t="s">
        <v>122</v>
      </c>
      <c r="Q731" t="s">
        <v>45</v>
      </c>
      <c r="R731" t="s">
        <v>109</v>
      </c>
      <c r="S731" t="s">
        <v>2511</v>
      </c>
      <c r="T731" t="s">
        <v>2512</v>
      </c>
      <c r="U731" t="s">
        <v>40</v>
      </c>
      <c r="V731" t="s">
        <v>52</v>
      </c>
      <c r="W731" t="s">
        <v>36</v>
      </c>
      <c r="X731" t="s">
        <v>53</v>
      </c>
      <c r="Y731" t="s">
        <v>45</v>
      </c>
      <c r="Z731" t="s">
        <v>45</v>
      </c>
      <c r="AA731" t="s">
        <v>54</v>
      </c>
      <c r="AB731" t="s">
        <v>40</v>
      </c>
      <c r="AC731" t="s">
        <v>128</v>
      </c>
      <c r="AD731" t="s">
        <v>45</v>
      </c>
      <c r="AE731" t="s">
        <v>41</v>
      </c>
      <c r="AF731" t="s">
        <v>128</v>
      </c>
      <c r="AG731" t="s">
        <v>70</v>
      </c>
      <c r="AH731" t="s">
        <v>70</v>
      </c>
      <c r="AI731" t="s">
        <v>40</v>
      </c>
    </row>
    <row r="732" spans="1:35" x14ac:dyDescent="0.25">
      <c r="A732" t="s">
        <v>105</v>
      </c>
      <c r="B732" t="s">
        <v>59</v>
      </c>
      <c r="C732" t="s">
        <v>37</v>
      </c>
      <c r="D732" t="s">
        <v>134</v>
      </c>
      <c r="E732" t="s">
        <v>62</v>
      </c>
      <c r="F732" t="s">
        <v>51</v>
      </c>
      <c r="G732" t="s">
        <v>41</v>
      </c>
      <c r="H732" t="s">
        <v>42</v>
      </c>
      <c r="I732" t="s">
        <v>40</v>
      </c>
      <c r="J732" t="s">
        <v>2513</v>
      </c>
      <c r="K732" t="s">
        <v>41</v>
      </c>
      <c r="L732" t="s">
        <v>43</v>
      </c>
      <c r="M732" t="s">
        <v>279</v>
      </c>
      <c r="N732" t="s">
        <v>47</v>
      </c>
      <c r="O732" t="s">
        <v>45</v>
      </c>
      <c r="P732" t="s">
        <v>186</v>
      </c>
      <c r="Q732" t="s">
        <v>40</v>
      </c>
      <c r="R732" t="s">
        <v>66</v>
      </c>
      <c r="S732" t="s">
        <v>2514</v>
      </c>
      <c r="T732" t="s">
        <v>2515</v>
      </c>
      <c r="U732" t="s">
        <v>55</v>
      </c>
      <c r="V732" t="s">
        <v>52</v>
      </c>
      <c r="W732" t="s">
        <v>36</v>
      </c>
      <c r="X732" t="s">
        <v>92</v>
      </c>
      <c r="Y732" t="s">
        <v>45</v>
      </c>
      <c r="Z732" t="s">
        <v>45</v>
      </c>
      <c r="AA732" t="s">
        <v>54</v>
      </c>
      <c r="AB732" t="s">
        <v>45</v>
      </c>
      <c r="AC732" t="s">
        <v>91</v>
      </c>
      <c r="AD732" t="s">
        <v>47</v>
      </c>
      <c r="AE732" t="s">
        <v>41</v>
      </c>
      <c r="AF732" t="s">
        <v>51</v>
      </c>
      <c r="AG732" t="s">
        <v>71</v>
      </c>
      <c r="AH732" t="s">
        <v>40</v>
      </c>
      <c r="AI732" t="s">
        <v>71</v>
      </c>
    </row>
    <row r="733" spans="1:35" x14ac:dyDescent="0.25">
      <c r="A733" t="s">
        <v>104</v>
      </c>
      <c r="B733" t="s">
        <v>36</v>
      </c>
      <c r="C733" t="s">
        <v>37</v>
      </c>
      <c r="D733" t="s">
        <v>303</v>
      </c>
      <c r="E733" t="s">
        <v>62</v>
      </c>
      <c r="F733" t="s">
        <v>53</v>
      </c>
      <c r="G733" t="s">
        <v>45</v>
      </c>
      <c r="H733" t="s">
        <v>87</v>
      </c>
      <c r="I733" t="s">
        <v>40</v>
      </c>
      <c r="J733" t="s">
        <v>2516</v>
      </c>
      <c r="K733" t="s">
        <v>47</v>
      </c>
      <c r="L733" t="s">
        <v>43</v>
      </c>
      <c r="M733" t="s">
        <v>284</v>
      </c>
      <c r="N733" t="s">
        <v>41</v>
      </c>
      <c r="O733" t="s">
        <v>40</v>
      </c>
      <c r="P733" t="s">
        <v>65</v>
      </c>
      <c r="Q733" t="s">
        <v>40</v>
      </c>
      <c r="R733" t="s">
        <v>48</v>
      </c>
      <c r="S733" t="s">
        <v>2517</v>
      </c>
      <c r="T733" t="s">
        <v>2518</v>
      </c>
      <c r="U733" t="s">
        <v>40</v>
      </c>
      <c r="V733" t="s">
        <v>52</v>
      </c>
      <c r="W733" t="s">
        <v>36</v>
      </c>
      <c r="X733" t="s">
        <v>79</v>
      </c>
      <c r="Y733" t="s">
        <v>45</v>
      </c>
      <c r="Z733" t="s">
        <v>40</v>
      </c>
      <c r="AA733" t="s">
        <v>54</v>
      </c>
      <c r="AB733" t="s">
        <v>55</v>
      </c>
      <c r="AC733" t="s">
        <v>40</v>
      </c>
      <c r="AD733" t="s">
        <v>41</v>
      </c>
      <c r="AE733" t="s">
        <v>45</v>
      </c>
      <c r="AF733" t="s">
        <v>40</v>
      </c>
      <c r="AG733" t="s">
        <v>55</v>
      </c>
      <c r="AH733" t="s">
        <v>55</v>
      </c>
      <c r="AI733" t="s">
        <v>55</v>
      </c>
    </row>
    <row r="734" spans="1:35" x14ac:dyDescent="0.25">
      <c r="A734" t="s">
        <v>105</v>
      </c>
      <c r="B734" t="s">
        <v>36</v>
      </c>
      <c r="C734" t="s">
        <v>60</v>
      </c>
      <c r="D734" t="s">
        <v>2519</v>
      </c>
      <c r="E734" t="s">
        <v>62</v>
      </c>
      <c r="F734" t="s">
        <v>57</v>
      </c>
      <c r="G734" t="s">
        <v>45</v>
      </c>
      <c r="H734" t="s">
        <v>87</v>
      </c>
      <c r="I734" t="s">
        <v>40</v>
      </c>
      <c r="J734" t="s">
        <v>1020</v>
      </c>
      <c r="K734" t="s">
        <v>41</v>
      </c>
      <c r="L734" t="s">
        <v>43</v>
      </c>
      <c r="M734" t="s">
        <v>275</v>
      </c>
      <c r="N734" t="s">
        <v>45</v>
      </c>
      <c r="O734" t="s">
        <v>40</v>
      </c>
      <c r="P734" t="s">
        <v>76</v>
      </c>
      <c r="Q734" t="s">
        <v>41</v>
      </c>
      <c r="R734" t="s">
        <v>48</v>
      </c>
      <c r="S734" t="s">
        <v>2520</v>
      </c>
      <c r="T734" t="s">
        <v>2521</v>
      </c>
      <c r="U734" t="s">
        <v>55</v>
      </c>
      <c r="V734" t="s">
        <v>52</v>
      </c>
      <c r="W734" t="s">
        <v>59</v>
      </c>
      <c r="X734" t="s">
        <v>125</v>
      </c>
      <c r="Y734" t="s">
        <v>45</v>
      </c>
      <c r="Z734" t="s">
        <v>40</v>
      </c>
      <c r="AA734" t="s">
        <v>54</v>
      </c>
      <c r="AB734" t="s">
        <v>55</v>
      </c>
      <c r="AC734" t="s">
        <v>47</v>
      </c>
      <c r="AD734" t="s">
        <v>45</v>
      </c>
      <c r="AE734" t="s">
        <v>45</v>
      </c>
      <c r="AF734" t="s">
        <v>45</v>
      </c>
      <c r="AG734" t="s">
        <v>41</v>
      </c>
      <c r="AH734" t="s">
        <v>40</v>
      </c>
      <c r="AI734" t="s">
        <v>41</v>
      </c>
    </row>
    <row r="735" spans="1:35" x14ac:dyDescent="0.25">
      <c r="A735" t="s">
        <v>139</v>
      </c>
      <c r="B735" t="s">
        <v>59</v>
      </c>
      <c r="C735" t="s">
        <v>37</v>
      </c>
      <c r="D735" t="s">
        <v>2522</v>
      </c>
      <c r="E735" t="s">
        <v>62</v>
      </c>
      <c r="F735" t="s">
        <v>41</v>
      </c>
      <c r="G735" t="s">
        <v>41</v>
      </c>
      <c r="H735" t="s">
        <v>87</v>
      </c>
      <c r="I735" t="s">
        <v>40</v>
      </c>
      <c r="J735" t="s">
        <v>1285</v>
      </c>
      <c r="K735" t="s">
        <v>47</v>
      </c>
      <c r="L735" t="s">
        <v>63</v>
      </c>
      <c r="M735" t="s">
        <v>93</v>
      </c>
      <c r="N735" t="s">
        <v>47</v>
      </c>
      <c r="O735" t="s">
        <v>41</v>
      </c>
      <c r="P735" t="s">
        <v>116</v>
      </c>
      <c r="Q735" t="s">
        <v>47</v>
      </c>
      <c r="R735" t="s">
        <v>66</v>
      </c>
      <c r="S735" t="s">
        <v>2523</v>
      </c>
      <c r="T735" t="s">
        <v>2524</v>
      </c>
      <c r="U735" t="s">
        <v>40</v>
      </c>
      <c r="V735" t="s">
        <v>52</v>
      </c>
      <c r="W735" t="s">
        <v>59</v>
      </c>
      <c r="X735" t="s">
        <v>92</v>
      </c>
      <c r="Y735" t="s">
        <v>45</v>
      </c>
      <c r="Z735" t="s">
        <v>41</v>
      </c>
      <c r="AA735" t="s">
        <v>54</v>
      </c>
      <c r="AB735" t="s">
        <v>55</v>
      </c>
      <c r="AC735" t="s">
        <v>51</v>
      </c>
      <c r="AD735" t="s">
        <v>41</v>
      </c>
      <c r="AE735" t="s">
        <v>45</v>
      </c>
      <c r="AF735" t="s">
        <v>51</v>
      </c>
      <c r="AG735" t="s">
        <v>71</v>
      </c>
      <c r="AH735" t="s">
        <v>40</v>
      </c>
      <c r="AI735" t="s">
        <v>45</v>
      </c>
    </row>
    <row r="736" spans="1:35" x14ac:dyDescent="0.25">
      <c r="A736" t="s">
        <v>112</v>
      </c>
      <c r="B736" t="s">
        <v>59</v>
      </c>
      <c r="C736" t="s">
        <v>37</v>
      </c>
      <c r="D736" t="s">
        <v>706</v>
      </c>
      <c r="E736" t="s">
        <v>62</v>
      </c>
      <c r="F736" t="s">
        <v>51</v>
      </c>
      <c r="G736" t="s">
        <v>40</v>
      </c>
      <c r="H736" t="s">
        <v>42</v>
      </c>
      <c r="I736" t="s">
        <v>40</v>
      </c>
      <c r="J736" t="s">
        <v>2525</v>
      </c>
      <c r="K736" t="s">
        <v>41</v>
      </c>
      <c r="L736" t="s">
        <v>63</v>
      </c>
      <c r="M736" t="s">
        <v>44</v>
      </c>
      <c r="N736" t="s">
        <v>40</v>
      </c>
      <c r="O736" t="s">
        <v>40</v>
      </c>
      <c r="P736" t="s">
        <v>76</v>
      </c>
      <c r="Q736" t="s">
        <v>40</v>
      </c>
      <c r="R736" t="s">
        <v>66</v>
      </c>
      <c r="S736" t="s">
        <v>729</v>
      </c>
      <c r="T736" t="s">
        <v>2105</v>
      </c>
      <c r="U736" t="s">
        <v>40</v>
      </c>
      <c r="V736" t="s">
        <v>52</v>
      </c>
      <c r="W736" t="s">
        <v>59</v>
      </c>
      <c r="X736" t="s">
        <v>79</v>
      </c>
      <c r="Y736" t="s">
        <v>45</v>
      </c>
      <c r="Z736" t="s">
        <v>40</v>
      </c>
      <c r="AA736" t="s">
        <v>54</v>
      </c>
      <c r="AB736" t="s">
        <v>40</v>
      </c>
      <c r="AC736" t="s">
        <v>47</v>
      </c>
      <c r="AD736" t="s">
        <v>45</v>
      </c>
      <c r="AE736" t="s">
        <v>41</v>
      </c>
      <c r="AF736" t="s">
        <v>47</v>
      </c>
      <c r="AG736" t="s">
        <v>45</v>
      </c>
      <c r="AH736" t="s">
        <v>40</v>
      </c>
      <c r="AI736" t="s">
        <v>40</v>
      </c>
    </row>
    <row r="737" spans="1:35" x14ac:dyDescent="0.25">
      <c r="A737" t="s">
        <v>207</v>
      </c>
      <c r="B737" t="s">
        <v>59</v>
      </c>
      <c r="C737" t="s">
        <v>37</v>
      </c>
      <c r="D737" t="s">
        <v>855</v>
      </c>
      <c r="E737" t="s">
        <v>62</v>
      </c>
      <c r="F737" t="s">
        <v>56</v>
      </c>
      <c r="G737" t="s">
        <v>45</v>
      </c>
      <c r="H737" t="s">
        <v>42</v>
      </c>
      <c r="I737" t="s">
        <v>40</v>
      </c>
      <c r="J737" t="s">
        <v>2526</v>
      </c>
      <c r="K737" t="s">
        <v>40</v>
      </c>
      <c r="L737" t="s">
        <v>63</v>
      </c>
      <c r="M737" t="s">
        <v>244</v>
      </c>
      <c r="N737" t="s">
        <v>41</v>
      </c>
      <c r="O737" t="s">
        <v>41</v>
      </c>
      <c r="P737" t="s">
        <v>122</v>
      </c>
      <c r="Q737" t="s">
        <v>45</v>
      </c>
      <c r="R737" t="s">
        <v>48</v>
      </c>
      <c r="S737" t="s">
        <v>2527</v>
      </c>
      <c r="T737" t="s">
        <v>2528</v>
      </c>
      <c r="U737" t="s">
        <v>41</v>
      </c>
      <c r="V737" t="s">
        <v>52</v>
      </c>
      <c r="W737" t="s">
        <v>59</v>
      </c>
      <c r="X737" t="s">
        <v>98</v>
      </c>
      <c r="Y737" t="s">
        <v>45</v>
      </c>
      <c r="Z737" t="s">
        <v>47</v>
      </c>
      <c r="AA737" t="s">
        <v>54</v>
      </c>
      <c r="AB737" t="s">
        <v>55</v>
      </c>
      <c r="AC737" t="s">
        <v>144</v>
      </c>
      <c r="AD737" t="s">
        <v>55</v>
      </c>
      <c r="AE737" t="s">
        <v>45</v>
      </c>
      <c r="AF737" t="s">
        <v>41</v>
      </c>
      <c r="AG737" t="s">
        <v>41</v>
      </c>
      <c r="AH737" t="s">
        <v>41</v>
      </c>
      <c r="AI737" t="s">
        <v>41</v>
      </c>
    </row>
    <row r="738" spans="1:35" x14ac:dyDescent="0.25">
      <c r="A738" t="s">
        <v>207</v>
      </c>
      <c r="B738" t="s">
        <v>59</v>
      </c>
      <c r="C738" t="s">
        <v>37</v>
      </c>
      <c r="D738" t="s">
        <v>607</v>
      </c>
      <c r="E738" t="s">
        <v>62</v>
      </c>
      <c r="F738" t="s">
        <v>47</v>
      </c>
      <c r="G738" t="s">
        <v>47</v>
      </c>
      <c r="H738" t="s">
        <v>42</v>
      </c>
      <c r="I738" t="s">
        <v>40</v>
      </c>
      <c r="J738" t="s">
        <v>2529</v>
      </c>
      <c r="K738" t="s">
        <v>45</v>
      </c>
      <c r="L738" t="s">
        <v>63</v>
      </c>
      <c r="M738" t="s">
        <v>168</v>
      </c>
      <c r="N738" t="s">
        <v>41</v>
      </c>
      <c r="O738" t="s">
        <v>45</v>
      </c>
      <c r="P738" t="s">
        <v>122</v>
      </c>
      <c r="Q738" t="s">
        <v>45</v>
      </c>
      <c r="R738" t="s">
        <v>48</v>
      </c>
      <c r="S738" t="s">
        <v>2530</v>
      </c>
      <c r="T738" t="s">
        <v>2531</v>
      </c>
      <c r="U738" t="s">
        <v>71</v>
      </c>
      <c r="V738" t="s">
        <v>52</v>
      </c>
      <c r="W738" t="s">
        <v>59</v>
      </c>
      <c r="X738" t="s">
        <v>129</v>
      </c>
      <c r="Y738" t="s">
        <v>45</v>
      </c>
      <c r="Z738" t="s">
        <v>41</v>
      </c>
      <c r="AA738" t="s">
        <v>54</v>
      </c>
      <c r="AB738" t="s">
        <v>55</v>
      </c>
      <c r="AC738" t="s">
        <v>85</v>
      </c>
      <c r="AD738" t="s">
        <v>45</v>
      </c>
      <c r="AE738" t="s">
        <v>45</v>
      </c>
      <c r="AF738" t="s">
        <v>79</v>
      </c>
      <c r="AG738" t="s">
        <v>53</v>
      </c>
      <c r="AH738" t="s">
        <v>47</v>
      </c>
      <c r="AI738" t="s">
        <v>51</v>
      </c>
    </row>
    <row r="739" spans="1:35" x14ac:dyDescent="0.25">
      <c r="A739" t="s">
        <v>35</v>
      </c>
      <c r="B739" t="s">
        <v>59</v>
      </c>
      <c r="C739" t="s">
        <v>37</v>
      </c>
      <c r="D739" t="s">
        <v>1327</v>
      </c>
      <c r="E739" t="s">
        <v>62</v>
      </c>
      <c r="F739" t="s">
        <v>71</v>
      </c>
      <c r="G739" t="s">
        <v>41</v>
      </c>
      <c r="H739" t="s">
        <v>87</v>
      </c>
      <c r="I739" t="s">
        <v>40</v>
      </c>
      <c r="J739" t="s">
        <v>2532</v>
      </c>
      <c r="K739" t="s">
        <v>47</v>
      </c>
      <c r="L739" t="s">
        <v>43</v>
      </c>
      <c r="M739" t="s">
        <v>204</v>
      </c>
      <c r="N739" t="s">
        <v>45</v>
      </c>
      <c r="O739" t="s">
        <v>41</v>
      </c>
      <c r="P739" t="s">
        <v>116</v>
      </c>
      <c r="Q739" t="s">
        <v>45</v>
      </c>
      <c r="R739" t="s">
        <v>48</v>
      </c>
      <c r="S739" t="s">
        <v>2533</v>
      </c>
      <c r="T739" t="s">
        <v>2534</v>
      </c>
      <c r="U739" t="s">
        <v>56</v>
      </c>
      <c r="V739" t="s">
        <v>52</v>
      </c>
      <c r="W739" t="s">
        <v>59</v>
      </c>
      <c r="X739" t="s">
        <v>129</v>
      </c>
      <c r="Y739" t="s">
        <v>45</v>
      </c>
      <c r="Z739" t="s">
        <v>41</v>
      </c>
      <c r="AA739" t="s">
        <v>54</v>
      </c>
      <c r="AB739" t="s">
        <v>55</v>
      </c>
      <c r="AC739" t="s">
        <v>51</v>
      </c>
      <c r="AD739" t="s">
        <v>56</v>
      </c>
      <c r="AE739" t="s">
        <v>45</v>
      </c>
      <c r="AF739" t="s">
        <v>41</v>
      </c>
      <c r="AG739" t="s">
        <v>41</v>
      </c>
      <c r="AH739" t="s">
        <v>41</v>
      </c>
      <c r="AI739" t="s">
        <v>40</v>
      </c>
    </row>
    <row r="740" spans="1:35" x14ac:dyDescent="0.25">
      <c r="A740" t="s">
        <v>218</v>
      </c>
      <c r="B740" t="s">
        <v>59</v>
      </c>
      <c r="C740" t="s">
        <v>37</v>
      </c>
      <c r="D740" t="s">
        <v>1367</v>
      </c>
      <c r="E740" t="s">
        <v>62</v>
      </c>
      <c r="F740" t="s">
        <v>40</v>
      </c>
      <c r="G740" t="s">
        <v>40</v>
      </c>
      <c r="H740" t="s">
        <v>42</v>
      </c>
      <c r="I740" t="s">
        <v>40</v>
      </c>
      <c r="J740" t="s">
        <v>2535</v>
      </c>
      <c r="K740" t="s">
        <v>47</v>
      </c>
      <c r="L740" t="s">
        <v>43</v>
      </c>
      <c r="M740" t="s">
        <v>296</v>
      </c>
      <c r="N740" t="s">
        <v>41</v>
      </c>
      <c r="O740" t="s">
        <v>47</v>
      </c>
      <c r="P740" t="s">
        <v>116</v>
      </c>
      <c r="Q740" t="s">
        <v>47</v>
      </c>
      <c r="R740" t="s">
        <v>66</v>
      </c>
      <c r="S740" t="s">
        <v>2536</v>
      </c>
      <c r="T740" t="s">
        <v>2537</v>
      </c>
      <c r="U740" t="s">
        <v>40</v>
      </c>
      <c r="V740" t="s">
        <v>52</v>
      </c>
      <c r="W740" t="s">
        <v>59</v>
      </c>
      <c r="X740" t="s">
        <v>128</v>
      </c>
      <c r="Y740" t="s">
        <v>45</v>
      </c>
      <c r="Z740" t="s">
        <v>45</v>
      </c>
      <c r="AA740" t="s">
        <v>54</v>
      </c>
      <c r="AB740" t="s">
        <v>40</v>
      </c>
      <c r="AC740" t="s">
        <v>119</v>
      </c>
      <c r="AD740" t="s">
        <v>45</v>
      </c>
      <c r="AE740" t="s">
        <v>45</v>
      </c>
      <c r="AF740" t="s">
        <v>119</v>
      </c>
      <c r="AG740" t="s">
        <v>56</v>
      </c>
      <c r="AH740" t="s">
        <v>53</v>
      </c>
      <c r="AI740" t="s">
        <v>51</v>
      </c>
    </row>
    <row r="741" spans="1:35" x14ac:dyDescent="0.25">
      <c r="A741" t="s">
        <v>85</v>
      </c>
      <c r="B741" t="s">
        <v>59</v>
      </c>
      <c r="C741" t="s">
        <v>37</v>
      </c>
      <c r="D741" t="s">
        <v>2538</v>
      </c>
      <c r="E741" t="s">
        <v>62</v>
      </c>
      <c r="F741" t="s">
        <v>41</v>
      </c>
      <c r="G741" t="s">
        <v>47</v>
      </c>
      <c r="H741" t="s">
        <v>42</v>
      </c>
      <c r="I741" t="s">
        <v>40</v>
      </c>
      <c r="J741" t="s">
        <v>2539</v>
      </c>
      <c r="K741" t="s">
        <v>40</v>
      </c>
      <c r="L741" t="s">
        <v>43</v>
      </c>
      <c r="M741" t="s">
        <v>239</v>
      </c>
      <c r="N741" t="s">
        <v>45</v>
      </c>
      <c r="O741" t="s">
        <v>41</v>
      </c>
      <c r="P741" t="s">
        <v>116</v>
      </c>
      <c r="Q741" t="s">
        <v>47</v>
      </c>
      <c r="R741" t="s">
        <v>66</v>
      </c>
      <c r="S741" t="s">
        <v>2540</v>
      </c>
      <c r="T741" t="s">
        <v>2541</v>
      </c>
      <c r="U741" t="s">
        <v>55</v>
      </c>
      <c r="V741" t="s">
        <v>52</v>
      </c>
      <c r="W741" t="s">
        <v>59</v>
      </c>
      <c r="X741" t="s">
        <v>145</v>
      </c>
      <c r="Y741" t="s">
        <v>45</v>
      </c>
      <c r="Z741" t="s">
        <v>41</v>
      </c>
      <c r="AA741" t="s">
        <v>54</v>
      </c>
      <c r="AB741" t="s">
        <v>40</v>
      </c>
      <c r="AC741" t="s">
        <v>47</v>
      </c>
      <c r="AD741" t="s">
        <v>41</v>
      </c>
      <c r="AE741" t="s">
        <v>45</v>
      </c>
      <c r="AF741" t="s">
        <v>45</v>
      </c>
      <c r="AG741" t="s">
        <v>41</v>
      </c>
      <c r="AH741" t="s">
        <v>41</v>
      </c>
      <c r="AI741" t="s">
        <v>41</v>
      </c>
    </row>
    <row r="742" spans="1:35" x14ac:dyDescent="0.25">
      <c r="A742" t="s">
        <v>126</v>
      </c>
      <c r="B742" t="s">
        <v>59</v>
      </c>
      <c r="C742" t="s">
        <v>37</v>
      </c>
      <c r="D742" t="s">
        <v>603</v>
      </c>
      <c r="E742" t="s">
        <v>62</v>
      </c>
      <c r="F742" t="s">
        <v>70</v>
      </c>
      <c r="G742" t="s">
        <v>45</v>
      </c>
      <c r="H742" t="s">
        <v>74</v>
      </c>
      <c r="I742" t="s">
        <v>40</v>
      </c>
      <c r="J742" t="s">
        <v>2542</v>
      </c>
      <c r="K742" t="s">
        <v>41</v>
      </c>
      <c r="L742" t="s">
        <v>63</v>
      </c>
      <c r="M742" t="s">
        <v>174</v>
      </c>
      <c r="N742" t="s">
        <v>45</v>
      </c>
      <c r="O742" t="s">
        <v>40</v>
      </c>
      <c r="P742" t="s">
        <v>76</v>
      </c>
      <c r="Q742" t="s">
        <v>47</v>
      </c>
      <c r="R742" t="s">
        <v>109</v>
      </c>
      <c r="S742" t="s">
        <v>2543</v>
      </c>
      <c r="T742" t="s">
        <v>2544</v>
      </c>
      <c r="U742" t="s">
        <v>40</v>
      </c>
      <c r="V742" t="s">
        <v>52</v>
      </c>
      <c r="W742" t="s">
        <v>59</v>
      </c>
      <c r="X742" t="s">
        <v>104</v>
      </c>
      <c r="Y742" t="s">
        <v>47</v>
      </c>
      <c r="Z742" t="s">
        <v>40</v>
      </c>
      <c r="AA742" t="s">
        <v>54</v>
      </c>
      <c r="AB742" t="s">
        <v>40</v>
      </c>
      <c r="AC742" t="s">
        <v>45</v>
      </c>
      <c r="AD742" t="s">
        <v>47</v>
      </c>
      <c r="AE742" t="s">
        <v>41</v>
      </c>
      <c r="AF742" t="s">
        <v>45</v>
      </c>
      <c r="AG742" t="s">
        <v>41</v>
      </c>
      <c r="AH742" t="s">
        <v>40</v>
      </c>
      <c r="AI742" t="s">
        <v>41</v>
      </c>
    </row>
    <row r="743" spans="1:35" x14ac:dyDescent="0.25">
      <c r="A743" t="s">
        <v>204</v>
      </c>
      <c r="B743" t="s">
        <v>59</v>
      </c>
      <c r="C743" t="s">
        <v>37</v>
      </c>
      <c r="D743" t="s">
        <v>2545</v>
      </c>
      <c r="E743" t="s">
        <v>39</v>
      </c>
      <c r="F743" t="s">
        <v>57</v>
      </c>
      <c r="G743" t="s">
        <v>41</v>
      </c>
      <c r="H743" t="s">
        <v>206</v>
      </c>
      <c r="I743" t="s">
        <v>40</v>
      </c>
      <c r="J743" t="s">
        <v>2546</v>
      </c>
      <c r="K743" t="s">
        <v>47</v>
      </c>
      <c r="L743" t="s">
        <v>63</v>
      </c>
      <c r="M743" t="s">
        <v>360</v>
      </c>
      <c r="N743" t="s">
        <v>45</v>
      </c>
      <c r="O743" t="s">
        <v>57</v>
      </c>
      <c r="P743" t="s">
        <v>169</v>
      </c>
      <c r="Q743" t="s">
        <v>45</v>
      </c>
      <c r="R743" t="s">
        <v>66</v>
      </c>
      <c r="S743" t="s">
        <v>2547</v>
      </c>
      <c r="T743" t="s">
        <v>2548</v>
      </c>
      <c r="U743" t="s">
        <v>56</v>
      </c>
      <c r="V743" t="s">
        <v>52</v>
      </c>
      <c r="W743" t="s">
        <v>59</v>
      </c>
      <c r="X743" t="s">
        <v>98</v>
      </c>
      <c r="Y743" t="s">
        <v>45</v>
      </c>
      <c r="Z743" t="s">
        <v>41</v>
      </c>
      <c r="AA743" t="s">
        <v>54</v>
      </c>
      <c r="AB743" t="s">
        <v>55</v>
      </c>
      <c r="AC743" t="s">
        <v>119</v>
      </c>
      <c r="AD743" t="s">
        <v>45</v>
      </c>
      <c r="AE743" t="s">
        <v>47</v>
      </c>
      <c r="AF743" t="s">
        <v>40</v>
      </c>
      <c r="AG743" t="s">
        <v>55</v>
      </c>
      <c r="AH743" t="s">
        <v>55</v>
      </c>
      <c r="AI743" t="s">
        <v>55</v>
      </c>
    </row>
    <row r="744" spans="1:35" x14ac:dyDescent="0.25">
      <c r="A744" t="s">
        <v>151</v>
      </c>
      <c r="B744" t="s">
        <v>59</v>
      </c>
      <c r="C744" t="s">
        <v>37</v>
      </c>
      <c r="D744" t="s">
        <v>2000</v>
      </c>
      <c r="E744" t="s">
        <v>62</v>
      </c>
      <c r="F744" t="s">
        <v>91</v>
      </c>
      <c r="G744" t="s">
        <v>45</v>
      </c>
      <c r="H744" t="s">
        <v>42</v>
      </c>
      <c r="I744" t="s">
        <v>40</v>
      </c>
      <c r="J744" t="s">
        <v>2549</v>
      </c>
      <c r="K744" t="s">
        <v>40</v>
      </c>
      <c r="L744" t="s">
        <v>63</v>
      </c>
      <c r="M744" t="s">
        <v>292</v>
      </c>
      <c r="N744" t="s">
        <v>45</v>
      </c>
      <c r="O744" t="s">
        <v>40</v>
      </c>
      <c r="P744" t="s">
        <v>76</v>
      </c>
      <c r="Q744" t="s">
        <v>47</v>
      </c>
      <c r="R744" t="s">
        <v>66</v>
      </c>
      <c r="S744" t="s">
        <v>2317</v>
      </c>
      <c r="T744" t="s">
        <v>2550</v>
      </c>
      <c r="U744" t="s">
        <v>47</v>
      </c>
      <c r="V744" t="s">
        <v>52</v>
      </c>
      <c r="W744" t="s">
        <v>59</v>
      </c>
      <c r="X744" t="s">
        <v>145</v>
      </c>
      <c r="Y744" t="s">
        <v>45</v>
      </c>
      <c r="Z744" t="s">
        <v>41</v>
      </c>
      <c r="AA744" t="s">
        <v>54</v>
      </c>
      <c r="AB744" t="s">
        <v>55</v>
      </c>
      <c r="AC744" t="s">
        <v>51</v>
      </c>
      <c r="AD744" t="s">
        <v>57</v>
      </c>
      <c r="AE744" t="s">
        <v>45</v>
      </c>
      <c r="AF744" t="s">
        <v>40</v>
      </c>
      <c r="AG744" t="s">
        <v>55</v>
      </c>
      <c r="AH744" t="s">
        <v>55</v>
      </c>
      <c r="AI744" t="s">
        <v>55</v>
      </c>
    </row>
    <row r="745" spans="1:35" x14ac:dyDescent="0.25">
      <c r="A745" t="s">
        <v>99</v>
      </c>
      <c r="B745" t="s">
        <v>59</v>
      </c>
      <c r="C745" t="s">
        <v>37</v>
      </c>
      <c r="D745" t="s">
        <v>1909</v>
      </c>
      <c r="E745" t="s">
        <v>62</v>
      </c>
      <c r="F745" t="s">
        <v>41</v>
      </c>
      <c r="G745" t="s">
        <v>45</v>
      </c>
      <c r="H745" t="s">
        <v>42</v>
      </c>
      <c r="I745" t="s">
        <v>40</v>
      </c>
      <c r="J745" t="s">
        <v>2551</v>
      </c>
      <c r="K745" t="s">
        <v>45</v>
      </c>
      <c r="L745" t="s">
        <v>43</v>
      </c>
      <c r="M745" t="s">
        <v>1214</v>
      </c>
      <c r="N745" t="s">
        <v>41</v>
      </c>
      <c r="O745" t="s">
        <v>47</v>
      </c>
      <c r="P745" t="s">
        <v>116</v>
      </c>
      <c r="Q745" t="s">
        <v>47</v>
      </c>
      <c r="R745" t="s">
        <v>48</v>
      </c>
      <c r="S745" t="s">
        <v>2552</v>
      </c>
      <c r="T745" t="s">
        <v>2553</v>
      </c>
      <c r="U745" t="s">
        <v>45</v>
      </c>
      <c r="V745" t="s">
        <v>52</v>
      </c>
      <c r="W745" t="s">
        <v>36</v>
      </c>
      <c r="X745" t="s">
        <v>98</v>
      </c>
      <c r="Y745" t="s">
        <v>45</v>
      </c>
      <c r="Z745" t="s">
        <v>40</v>
      </c>
      <c r="AA745" t="s">
        <v>54</v>
      </c>
      <c r="AB745" t="s">
        <v>55</v>
      </c>
      <c r="AC745" t="s">
        <v>105</v>
      </c>
      <c r="AD745" t="s">
        <v>47</v>
      </c>
      <c r="AE745" t="s">
        <v>45</v>
      </c>
      <c r="AF745" t="s">
        <v>57</v>
      </c>
      <c r="AG745" t="s">
        <v>45</v>
      </c>
      <c r="AH745" t="s">
        <v>47</v>
      </c>
      <c r="AI745" t="s">
        <v>45</v>
      </c>
    </row>
    <row r="746" spans="1:35" x14ac:dyDescent="0.25">
      <c r="A746" t="s">
        <v>72</v>
      </c>
      <c r="B746" t="s">
        <v>36</v>
      </c>
      <c r="C746" t="s">
        <v>37</v>
      </c>
      <c r="D746" t="s">
        <v>250</v>
      </c>
      <c r="E746" t="s">
        <v>62</v>
      </c>
      <c r="F746" t="s">
        <v>53</v>
      </c>
      <c r="G746" t="s">
        <v>41</v>
      </c>
      <c r="H746" t="s">
        <v>87</v>
      </c>
      <c r="I746" t="s">
        <v>40</v>
      </c>
      <c r="J746" t="s">
        <v>629</v>
      </c>
      <c r="K746" t="s">
        <v>40</v>
      </c>
      <c r="L746" t="s">
        <v>43</v>
      </c>
      <c r="M746" t="s">
        <v>64</v>
      </c>
      <c r="N746" t="s">
        <v>40</v>
      </c>
      <c r="O746" t="s">
        <v>41</v>
      </c>
      <c r="P746" t="s">
        <v>122</v>
      </c>
      <c r="Q746" t="s">
        <v>41</v>
      </c>
      <c r="R746" t="s">
        <v>66</v>
      </c>
      <c r="S746" t="s">
        <v>2554</v>
      </c>
      <c r="T746" t="s">
        <v>2555</v>
      </c>
      <c r="U746" t="s">
        <v>57</v>
      </c>
      <c r="V746" t="s">
        <v>52</v>
      </c>
      <c r="W746" t="s">
        <v>59</v>
      </c>
      <c r="X746" t="s">
        <v>79</v>
      </c>
      <c r="Y746" t="s">
        <v>45</v>
      </c>
      <c r="Z746" t="s">
        <v>40</v>
      </c>
      <c r="AA746" t="s">
        <v>54</v>
      </c>
      <c r="AB746" t="s">
        <v>55</v>
      </c>
      <c r="AC746" t="s">
        <v>79</v>
      </c>
      <c r="AD746" t="s">
        <v>41</v>
      </c>
      <c r="AE746" t="s">
        <v>40</v>
      </c>
      <c r="AF746" t="s">
        <v>40</v>
      </c>
      <c r="AG746" t="s">
        <v>55</v>
      </c>
      <c r="AH746" t="s">
        <v>55</v>
      </c>
      <c r="AI746" t="s">
        <v>55</v>
      </c>
    </row>
    <row r="747" spans="1:35" x14ac:dyDescent="0.25">
      <c r="A747" t="s">
        <v>263</v>
      </c>
      <c r="B747" t="s">
        <v>59</v>
      </c>
      <c r="C747" t="s">
        <v>60</v>
      </c>
      <c r="D747" t="s">
        <v>2556</v>
      </c>
      <c r="E747" t="s">
        <v>62</v>
      </c>
      <c r="F747" t="s">
        <v>145</v>
      </c>
      <c r="G747" t="s">
        <v>47</v>
      </c>
      <c r="H747" t="s">
        <v>87</v>
      </c>
      <c r="I747" t="s">
        <v>40</v>
      </c>
      <c r="J747" t="s">
        <v>976</v>
      </c>
      <c r="K747" t="s">
        <v>45</v>
      </c>
      <c r="L747" t="s">
        <v>63</v>
      </c>
      <c r="M747" t="s">
        <v>283</v>
      </c>
      <c r="N747" t="s">
        <v>45</v>
      </c>
      <c r="O747" t="s">
        <v>41</v>
      </c>
      <c r="P747" t="s">
        <v>122</v>
      </c>
      <c r="Q747" t="s">
        <v>41</v>
      </c>
      <c r="R747" t="s">
        <v>66</v>
      </c>
      <c r="S747" t="s">
        <v>2557</v>
      </c>
      <c r="T747" t="s">
        <v>2558</v>
      </c>
      <c r="U747" t="s">
        <v>45</v>
      </c>
      <c r="V747" t="s">
        <v>52</v>
      </c>
      <c r="W747" t="s">
        <v>36</v>
      </c>
      <c r="X747" t="s">
        <v>129</v>
      </c>
      <c r="Y747" t="s">
        <v>45</v>
      </c>
      <c r="Z747" t="s">
        <v>47</v>
      </c>
      <c r="AA747" t="s">
        <v>54</v>
      </c>
      <c r="AB747" t="s">
        <v>41</v>
      </c>
      <c r="AC747" t="s">
        <v>125</v>
      </c>
      <c r="AD747" t="s">
        <v>45</v>
      </c>
      <c r="AE747" t="s">
        <v>45</v>
      </c>
      <c r="AF747" t="s">
        <v>51</v>
      </c>
      <c r="AG747" t="s">
        <v>71</v>
      </c>
      <c r="AH747" t="s">
        <v>56</v>
      </c>
      <c r="AI747" t="s">
        <v>71</v>
      </c>
    </row>
    <row r="748" spans="1:35" x14ac:dyDescent="0.25">
      <c r="A748" t="s">
        <v>35</v>
      </c>
      <c r="B748" t="s">
        <v>59</v>
      </c>
      <c r="C748" t="s">
        <v>161</v>
      </c>
      <c r="D748" t="s">
        <v>778</v>
      </c>
      <c r="E748" t="s">
        <v>62</v>
      </c>
      <c r="F748" t="s">
        <v>71</v>
      </c>
      <c r="G748" t="s">
        <v>40</v>
      </c>
      <c r="H748" t="s">
        <v>42</v>
      </c>
      <c r="I748" t="s">
        <v>40</v>
      </c>
      <c r="J748" t="s">
        <v>2559</v>
      </c>
      <c r="K748" t="s">
        <v>41</v>
      </c>
      <c r="L748" t="s">
        <v>43</v>
      </c>
      <c r="M748" t="s">
        <v>263</v>
      </c>
      <c r="N748" t="s">
        <v>40</v>
      </c>
      <c r="O748" t="s">
        <v>57</v>
      </c>
      <c r="P748" t="s">
        <v>186</v>
      </c>
      <c r="Q748" t="s">
        <v>45</v>
      </c>
      <c r="R748" t="s">
        <v>109</v>
      </c>
      <c r="S748" t="s">
        <v>2560</v>
      </c>
      <c r="T748" t="s">
        <v>2561</v>
      </c>
      <c r="U748" t="s">
        <v>40</v>
      </c>
      <c r="V748" t="s">
        <v>52</v>
      </c>
      <c r="W748" t="s">
        <v>59</v>
      </c>
      <c r="X748" t="s">
        <v>112</v>
      </c>
      <c r="Y748" t="s">
        <v>47</v>
      </c>
      <c r="Z748" t="s">
        <v>41</v>
      </c>
      <c r="AA748" t="s">
        <v>54</v>
      </c>
      <c r="AB748" t="s">
        <v>41</v>
      </c>
      <c r="AC748" t="s">
        <v>119</v>
      </c>
      <c r="AD748" t="s">
        <v>45</v>
      </c>
      <c r="AE748" t="s">
        <v>45</v>
      </c>
      <c r="AF748" t="s">
        <v>119</v>
      </c>
      <c r="AG748" t="s">
        <v>128</v>
      </c>
      <c r="AH748" t="s">
        <v>57</v>
      </c>
      <c r="AI748" t="s">
        <v>70</v>
      </c>
    </row>
    <row r="749" spans="1:35" x14ac:dyDescent="0.25">
      <c r="A749" t="s">
        <v>113</v>
      </c>
      <c r="B749" t="s">
        <v>59</v>
      </c>
      <c r="C749" t="s">
        <v>37</v>
      </c>
      <c r="D749" t="s">
        <v>2559</v>
      </c>
      <c r="E749" t="s">
        <v>39</v>
      </c>
      <c r="F749" t="s">
        <v>45</v>
      </c>
      <c r="G749" t="s">
        <v>47</v>
      </c>
      <c r="H749" t="s">
        <v>42</v>
      </c>
      <c r="I749" t="s">
        <v>40</v>
      </c>
      <c r="J749" t="s">
        <v>2562</v>
      </c>
      <c r="K749" t="s">
        <v>41</v>
      </c>
      <c r="L749" t="s">
        <v>63</v>
      </c>
      <c r="M749" t="s">
        <v>204</v>
      </c>
      <c r="N749" t="s">
        <v>45</v>
      </c>
      <c r="O749" t="s">
        <v>41</v>
      </c>
      <c r="P749" t="s">
        <v>46</v>
      </c>
      <c r="Q749" t="s">
        <v>47</v>
      </c>
      <c r="R749" t="s">
        <v>48</v>
      </c>
      <c r="S749" t="s">
        <v>2563</v>
      </c>
      <c r="T749" t="s">
        <v>2564</v>
      </c>
      <c r="U749" t="s">
        <v>51</v>
      </c>
      <c r="V749" t="s">
        <v>52</v>
      </c>
      <c r="W749" t="s">
        <v>36</v>
      </c>
      <c r="X749" t="s">
        <v>92</v>
      </c>
      <c r="Y749" t="s">
        <v>45</v>
      </c>
      <c r="Z749" t="s">
        <v>45</v>
      </c>
      <c r="AA749" t="s">
        <v>54</v>
      </c>
      <c r="AB749" t="s">
        <v>55</v>
      </c>
      <c r="AC749" t="s">
        <v>144</v>
      </c>
      <c r="AD749" t="s">
        <v>40</v>
      </c>
      <c r="AE749" t="s">
        <v>45</v>
      </c>
      <c r="AF749" t="s">
        <v>40</v>
      </c>
      <c r="AG749" t="s">
        <v>55</v>
      </c>
      <c r="AH749" t="s">
        <v>55</v>
      </c>
      <c r="AI749" t="s">
        <v>55</v>
      </c>
    </row>
    <row r="750" spans="1:35" x14ac:dyDescent="0.25">
      <c r="A750" t="s">
        <v>139</v>
      </c>
      <c r="B750" t="s">
        <v>36</v>
      </c>
      <c r="C750" t="s">
        <v>161</v>
      </c>
      <c r="D750" t="s">
        <v>2545</v>
      </c>
      <c r="E750" t="s">
        <v>39</v>
      </c>
      <c r="F750" t="s">
        <v>133</v>
      </c>
      <c r="G750" t="s">
        <v>41</v>
      </c>
      <c r="H750" t="s">
        <v>87</v>
      </c>
      <c r="I750" t="s">
        <v>40</v>
      </c>
      <c r="J750" t="s">
        <v>2565</v>
      </c>
      <c r="K750" t="s">
        <v>41</v>
      </c>
      <c r="L750" t="s">
        <v>63</v>
      </c>
      <c r="M750" t="s">
        <v>95</v>
      </c>
      <c r="N750" t="s">
        <v>40</v>
      </c>
      <c r="O750" t="s">
        <v>41</v>
      </c>
      <c r="P750" t="s">
        <v>46</v>
      </c>
      <c r="Q750" t="s">
        <v>40</v>
      </c>
      <c r="R750" t="s">
        <v>48</v>
      </c>
      <c r="S750" t="s">
        <v>2566</v>
      </c>
      <c r="T750" t="s">
        <v>2567</v>
      </c>
      <c r="U750" t="s">
        <v>51</v>
      </c>
      <c r="V750" t="s">
        <v>52</v>
      </c>
      <c r="W750" t="s">
        <v>59</v>
      </c>
      <c r="X750" t="s">
        <v>145</v>
      </c>
      <c r="Y750" t="s">
        <v>45</v>
      </c>
      <c r="Z750" t="s">
        <v>47</v>
      </c>
      <c r="AA750" t="s">
        <v>54</v>
      </c>
      <c r="AB750" t="s">
        <v>55</v>
      </c>
      <c r="AC750" t="s">
        <v>71</v>
      </c>
      <c r="AD750" t="s">
        <v>56</v>
      </c>
      <c r="AE750" t="s">
        <v>45</v>
      </c>
      <c r="AF750" t="s">
        <v>41</v>
      </c>
      <c r="AG750" t="s">
        <v>41</v>
      </c>
      <c r="AH750" t="s">
        <v>41</v>
      </c>
      <c r="AI750" t="s">
        <v>41</v>
      </c>
    </row>
    <row r="751" spans="1:35" x14ac:dyDescent="0.25">
      <c r="A751" t="s">
        <v>251</v>
      </c>
      <c r="B751" t="s">
        <v>36</v>
      </c>
      <c r="C751" t="s">
        <v>37</v>
      </c>
      <c r="D751" t="s">
        <v>2568</v>
      </c>
      <c r="E751" t="s">
        <v>39</v>
      </c>
      <c r="F751" t="s">
        <v>41</v>
      </c>
      <c r="G751" t="s">
        <v>40</v>
      </c>
      <c r="H751" t="s">
        <v>206</v>
      </c>
      <c r="I751" t="s">
        <v>40</v>
      </c>
      <c r="J751" t="s">
        <v>2569</v>
      </c>
      <c r="K751" t="s">
        <v>40</v>
      </c>
      <c r="L751" t="s">
        <v>43</v>
      </c>
      <c r="M751" t="s">
        <v>269</v>
      </c>
      <c r="N751" t="s">
        <v>40</v>
      </c>
      <c r="O751" t="s">
        <v>57</v>
      </c>
      <c r="P751" t="s">
        <v>169</v>
      </c>
      <c r="Q751" t="s">
        <v>47</v>
      </c>
      <c r="R751" t="s">
        <v>66</v>
      </c>
      <c r="S751" t="s">
        <v>2570</v>
      </c>
      <c r="T751" t="s">
        <v>2571</v>
      </c>
      <c r="U751" t="s">
        <v>40</v>
      </c>
      <c r="V751" t="s">
        <v>52</v>
      </c>
      <c r="W751" t="s">
        <v>59</v>
      </c>
      <c r="X751" t="s">
        <v>79</v>
      </c>
      <c r="Y751" t="s">
        <v>45</v>
      </c>
      <c r="Z751" t="s">
        <v>47</v>
      </c>
      <c r="AA751" t="s">
        <v>54</v>
      </c>
      <c r="AB751" t="s">
        <v>40</v>
      </c>
      <c r="AC751" t="s">
        <v>80</v>
      </c>
      <c r="AD751" t="s">
        <v>45</v>
      </c>
      <c r="AE751" t="s">
        <v>45</v>
      </c>
      <c r="AF751" t="s">
        <v>93</v>
      </c>
      <c r="AG751" t="s">
        <v>129</v>
      </c>
      <c r="AH751" t="s">
        <v>56</v>
      </c>
      <c r="AI751" t="s">
        <v>91</v>
      </c>
    </row>
    <row r="752" spans="1:35" x14ac:dyDescent="0.25">
      <c r="A752" t="s">
        <v>115</v>
      </c>
      <c r="B752" t="s">
        <v>59</v>
      </c>
      <c r="C752" t="s">
        <v>37</v>
      </c>
      <c r="D752" t="s">
        <v>1581</v>
      </c>
      <c r="E752" t="s">
        <v>39</v>
      </c>
      <c r="F752" t="s">
        <v>149</v>
      </c>
      <c r="G752" t="s">
        <v>45</v>
      </c>
      <c r="H752" t="s">
        <v>87</v>
      </c>
      <c r="I752" t="s">
        <v>40</v>
      </c>
      <c r="J752" t="s">
        <v>2572</v>
      </c>
      <c r="K752" t="s">
        <v>47</v>
      </c>
      <c r="L752" t="s">
        <v>43</v>
      </c>
      <c r="M752" t="s">
        <v>166</v>
      </c>
      <c r="N752" t="s">
        <v>47</v>
      </c>
      <c r="O752" t="s">
        <v>47</v>
      </c>
      <c r="P752" t="s">
        <v>46</v>
      </c>
      <c r="Q752" t="s">
        <v>47</v>
      </c>
      <c r="R752" t="s">
        <v>66</v>
      </c>
      <c r="S752" t="s">
        <v>2573</v>
      </c>
      <c r="T752" t="s">
        <v>2362</v>
      </c>
      <c r="U752" t="s">
        <v>45</v>
      </c>
      <c r="V752" t="s">
        <v>52</v>
      </c>
      <c r="W752" t="s">
        <v>36</v>
      </c>
      <c r="X752" t="s">
        <v>145</v>
      </c>
      <c r="Y752" t="s">
        <v>45</v>
      </c>
      <c r="Z752" t="s">
        <v>45</v>
      </c>
      <c r="AA752" t="s">
        <v>54</v>
      </c>
      <c r="AB752" t="s">
        <v>40</v>
      </c>
      <c r="AC752" t="s">
        <v>69</v>
      </c>
      <c r="AD752" t="s">
        <v>41</v>
      </c>
      <c r="AE752" t="s">
        <v>45</v>
      </c>
      <c r="AF752" t="s">
        <v>92</v>
      </c>
      <c r="AG752" t="s">
        <v>53</v>
      </c>
      <c r="AH752" t="s">
        <v>53</v>
      </c>
      <c r="AI752" t="s">
        <v>53</v>
      </c>
    </row>
    <row r="753" spans="1:35" x14ac:dyDescent="0.25">
      <c r="A753" t="s">
        <v>151</v>
      </c>
      <c r="B753" t="s">
        <v>59</v>
      </c>
      <c r="C753" t="s">
        <v>161</v>
      </c>
      <c r="D753" t="s">
        <v>516</v>
      </c>
      <c r="E753" t="s">
        <v>39</v>
      </c>
      <c r="F753" t="s">
        <v>40</v>
      </c>
      <c r="G753" t="s">
        <v>45</v>
      </c>
      <c r="H753" t="s">
        <v>42</v>
      </c>
      <c r="I753" t="s">
        <v>40</v>
      </c>
      <c r="J753" t="s">
        <v>492</v>
      </c>
      <c r="K753" t="s">
        <v>47</v>
      </c>
      <c r="L753" t="s">
        <v>43</v>
      </c>
      <c r="M753" t="s">
        <v>349</v>
      </c>
      <c r="N753" t="s">
        <v>45</v>
      </c>
      <c r="O753" t="s">
        <v>41</v>
      </c>
      <c r="P753" t="s">
        <v>46</v>
      </c>
      <c r="Q753" t="s">
        <v>45</v>
      </c>
      <c r="R753" t="s">
        <v>66</v>
      </c>
      <c r="S753" t="s">
        <v>627</v>
      </c>
      <c r="T753" t="s">
        <v>2574</v>
      </c>
      <c r="U753" t="s">
        <v>55</v>
      </c>
      <c r="V753" t="s">
        <v>52</v>
      </c>
      <c r="W753" t="s">
        <v>59</v>
      </c>
      <c r="X753" t="s">
        <v>92</v>
      </c>
      <c r="Y753" t="s">
        <v>45</v>
      </c>
      <c r="Z753" t="s">
        <v>40</v>
      </c>
      <c r="AA753" t="s">
        <v>54</v>
      </c>
      <c r="AB753" t="s">
        <v>40</v>
      </c>
      <c r="AC753" t="s">
        <v>144</v>
      </c>
      <c r="AD753" t="s">
        <v>45</v>
      </c>
      <c r="AE753" t="s">
        <v>45</v>
      </c>
      <c r="AF753" t="s">
        <v>145</v>
      </c>
      <c r="AG753" t="s">
        <v>71</v>
      </c>
      <c r="AH753" t="s">
        <v>55</v>
      </c>
      <c r="AI753" t="s">
        <v>98</v>
      </c>
    </row>
    <row r="754" spans="1:35" x14ac:dyDescent="0.25">
      <c r="A754" t="s">
        <v>120</v>
      </c>
      <c r="B754" t="s">
        <v>36</v>
      </c>
      <c r="C754" t="s">
        <v>37</v>
      </c>
      <c r="D754" t="s">
        <v>1890</v>
      </c>
      <c r="E754" t="s">
        <v>62</v>
      </c>
      <c r="F754" t="s">
        <v>128</v>
      </c>
      <c r="G754" t="s">
        <v>47</v>
      </c>
      <c r="H754" t="s">
        <v>42</v>
      </c>
      <c r="I754" t="s">
        <v>40</v>
      </c>
      <c r="J754" t="s">
        <v>2575</v>
      </c>
      <c r="K754" t="s">
        <v>45</v>
      </c>
      <c r="L754" t="s">
        <v>43</v>
      </c>
      <c r="M754" t="s">
        <v>234</v>
      </c>
      <c r="N754" t="s">
        <v>47</v>
      </c>
      <c r="O754" t="s">
        <v>40</v>
      </c>
      <c r="P754" t="s">
        <v>76</v>
      </c>
      <c r="Q754" t="s">
        <v>40</v>
      </c>
      <c r="R754" t="s">
        <v>48</v>
      </c>
      <c r="S754" t="s">
        <v>2576</v>
      </c>
      <c r="T754" t="s">
        <v>2577</v>
      </c>
      <c r="U754" t="s">
        <v>40</v>
      </c>
      <c r="V754" t="s">
        <v>52</v>
      </c>
      <c r="W754" t="s">
        <v>59</v>
      </c>
      <c r="X754" t="s">
        <v>128</v>
      </c>
      <c r="Y754" t="s">
        <v>45</v>
      </c>
      <c r="Z754" t="s">
        <v>45</v>
      </c>
      <c r="AA754" t="s">
        <v>54</v>
      </c>
      <c r="AB754" t="s">
        <v>55</v>
      </c>
      <c r="AC754" t="s">
        <v>145</v>
      </c>
      <c r="AD754" t="s">
        <v>40</v>
      </c>
      <c r="AE754" t="s">
        <v>45</v>
      </c>
      <c r="AF754" t="s">
        <v>125</v>
      </c>
      <c r="AG754" t="s">
        <v>98</v>
      </c>
      <c r="AH754" t="s">
        <v>79</v>
      </c>
      <c r="AI754" t="s">
        <v>129</v>
      </c>
    </row>
    <row r="755" spans="1:35" x14ac:dyDescent="0.25">
      <c r="A755" t="s">
        <v>218</v>
      </c>
      <c r="B755" t="s">
        <v>59</v>
      </c>
      <c r="C755" t="s">
        <v>60</v>
      </c>
      <c r="D755" t="s">
        <v>396</v>
      </c>
      <c r="E755" t="s">
        <v>62</v>
      </c>
      <c r="F755" t="s">
        <v>112</v>
      </c>
      <c r="G755" t="s">
        <v>45</v>
      </c>
      <c r="H755" t="s">
        <v>87</v>
      </c>
      <c r="I755" t="s">
        <v>40</v>
      </c>
      <c r="J755" t="s">
        <v>2578</v>
      </c>
      <c r="K755" t="s">
        <v>47</v>
      </c>
      <c r="L755" t="s">
        <v>43</v>
      </c>
      <c r="M755" t="s">
        <v>181</v>
      </c>
      <c r="N755" t="s">
        <v>45</v>
      </c>
      <c r="O755" t="s">
        <v>45</v>
      </c>
      <c r="P755" t="s">
        <v>116</v>
      </c>
      <c r="Q755" t="s">
        <v>40</v>
      </c>
      <c r="R755" t="s">
        <v>48</v>
      </c>
      <c r="S755" t="s">
        <v>2579</v>
      </c>
      <c r="T755" t="s">
        <v>2580</v>
      </c>
      <c r="U755" t="s">
        <v>40</v>
      </c>
      <c r="V755" t="s">
        <v>52</v>
      </c>
      <c r="W755" t="s">
        <v>36</v>
      </c>
      <c r="X755" t="s">
        <v>98</v>
      </c>
      <c r="Y755" t="s">
        <v>45</v>
      </c>
      <c r="Z755" t="s">
        <v>45</v>
      </c>
      <c r="AA755" t="s">
        <v>54</v>
      </c>
      <c r="AB755" t="s">
        <v>55</v>
      </c>
      <c r="AC755" t="s">
        <v>119</v>
      </c>
      <c r="AD755" t="s">
        <v>41</v>
      </c>
      <c r="AE755" t="s">
        <v>45</v>
      </c>
      <c r="AF755" t="s">
        <v>119</v>
      </c>
      <c r="AG755" t="s">
        <v>56</v>
      </c>
      <c r="AH755" t="s">
        <v>41</v>
      </c>
      <c r="AI755" t="s">
        <v>51</v>
      </c>
    </row>
    <row r="756" spans="1:35" x14ac:dyDescent="0.25">
      <c r="A756" t="s">
        <v>80</v>
      </c>
      <c r="B756" t="s">
        <v>59</v>
      </c>
      <c r="C756" t="s">
        <v>161</v>
      </c>
      <c r="D756" t="s">
        <v>2569</v>
      </c>
      <c r="E756" t="s">
        <v>39</v>
      </c>
      <c r="F756" t="s">
        <v>51</v>
      </c>
      <c r="G756" t="s">
        <v>40</v>
      </c>
      <c r="H756" t="s">
        <v>42</v>
      </c>
      <c r="I756" t="s">
        <v>40</v>
      </c>
      <c r="J756" t="s">
        <v>2581</v>
      </c>
      <c r="K756" t="s">
        <v>41</v>
      </c>
      <c r="L756" t="s">
        <v>43</v>
      </c>
      <c r="M756" t="s">
        <v>356</v>
      </c>
      <c r="N756" t="s">
        <v>41</v>
      </c>
      <c r="O756" t="s">
        <v>40</v>
      </c>
      <c r="P756" t="s">
        <v>182</v>
      </c>
      <c r="Q756" t="s">
        <v>47</v>
      </c>
      <c r="R756" t="s">
        <v>48</v>
      </c>
      <c r="S756" t="s">
        <v>2002</v>
      </c>
      <c r="T756" t="s">
        <v>2582</v>
      </c>
      <c r="U756" t="s">
        <v>55</v>
      </c>
      <c r="V756" t="s">
        <v>52</v>
      </c>
      <c r="W756" t="s">
        <v>59</v>
      </c>
      <c r="X756" t="s">
        <v>144</v>
      </c>
      <c r="Y756" t="s">
        <v>45</v>
      </c>
      <c r="Z756" t="s">
        <v>47</v>
      </c>
      <c r="AA756" t="s">
        <v>54</v>
      </c>
      <c r="AB756" t="s">
        <v>55</v>
      </c>
      <c r="AC756" t="s">
        <v>45</v>
      </c>
      <c r="AD756" t="s">
        <v>41</v>
      </c>
      <c r="AE756" t="s">
        <v>41</v>
      </c>
      <c r="AF756" t="s">
        <v>41</v>
      </c>
      <c r="AG756" t="s">
        <v>41</v>
      </c>
      <c r="AH756" t="s">
        <v>41</v>
      </c>
      <c r="AI756" t="s">
        <v>41</v>
      </c>
    </row>
    <row r="757" spans="1:35" x14ac:dyDescent="0.25">
      <c r="A757" t="s">
        <v>174</v>
      </c>
      <c r="B757" t="s">
        <v>59</v>
      </c>
      <c r="C757" t="s">
        <v>37</v>
      </c>
      <c r="D757" t="s">
        <v>2583</v>
      </c>
      <c r="E757" t="s">
        <v>39</v>
      </c>
      <c r="F757" t="s">
        <v>53</v>
      </c>
      <c r="G757" t="s">
        <v>41</v>
      </c>
      <c r="H757" t="s">
        <v>42</v>
      </c>
      <c r="I757" t="s">
        <v>40</v>
      </c>
      <c r="J757" t="s">
        <v>884</v>
      </c>
      <c r="K757" t="s">
        <v>47</v>
      </c>
      <c r="L757" t="s">
        <v>43</v>
      </c>
      <c r="M757" t="s">
        <v>360</v>
      </c>
      <c r="N757" t="s">
        <v>45</v>
      </c>
      <c r="O757" t="s">
        <v>47</v>
      </c>
      <c r="P757" t="s">
        <v>169</v>
      </c>
      <c r="Q757" t="s">
        <v>47</v>
      </c>
      <c r="R757" t="s">
        <v>66</v>
      </c>
      <c r="S757" t="s">
        <v>2584</v>
      </c>
      <c r="T757" t="s">
        <v>2585</v>
      </c>
      <c r="U757" t="s">
        <v>45</v>
      </c>
      <c r="V757" t="s">
        <v>52</v>
      </c>
      <c r="W757" t="s">
        <v>59</v>
      </c>
      <c r="X757" t="s">
        <v>98</v>
      </c>
      <c r="Y757" t="s">
        <v>45</v>
      </c>
      <c r="Z757" t="s">
        <v>41</v>
      </c>
      <c r="AA757" t="s">
        <v>54</v>
      </c>
      <c r="AB757" t="s">
        <v>40</v>
      </c>
      <c r="AC757" t="s">
        <v>139</v>
      </c>
      <c r="AD757" t="s">
        <v>47</v>
      </c>
      <c r="AE757" t="s">
        <v>47</v>
      </c>
      <c r="AF757" t="s">
        <v>91</v>
      </c>
      <c r="AG757" t="s">
        <v>45</v>
      </c>
      <c r="AH757" t="s">
        <v>40</v>
      </c>
      <c r="AI757" t="s">
        <v>40</v>
      </c>
    </row>
    <row r="758" spans="1:35" x14ac:dyDescent="0.25">
      <c r="A758" t="s">
        <v>93</v>
      </c>
      <c r="B758" t="s">
        <v>59</v>
      </c>
      <c r="C758" t="s">
        <v>161</v>
      </c>
      <c r="D758" t="s">
        <v>2586</v>
      </c>
      <c r="E758" t="s">
        <v>62</v>
      </c>
      <c r="F758" t="s">
        <v>133</v>
      </c>
      <c r="G758" t="s">
        <v>47</v>
      </c>
      <c r="H758" t="s">
        <v>87</v>
      </c>
      <c r="I758" t="s">
        <v>40</v>
      </c>
      <c r="J758" t="s">
        <v>1435</v>
      </c>
      <c r="K758" t="s">
        <v>47</v>
      </c>
      <c r="L758" t="s">
        <v>43</v>
      </c>
      <c r="M758" t="s">
        <v>1214</v>
      </c>
      <c r="N758" t="s">
        <v>45</v>
      </c>
      <c r="O758" t="s">
        <v>40</v>
      </c>
      <c r="P758" t="s">
        <v>76</v>
      </c>
      <c r="Q758" t="s">
        <v>45</v>
      </c>
      <c r="R758" t="s">
        <v>48</v>
      </c>
      <c r="S758" t="s">
        <v>2587</v>
      </c>
      <c r="T758" t="s">
        <v>2588</v>
      </c>
      <c r="U758" t="s">
        <v>91</v>
      </c>
      <c r="V758" t="s">
        <v>52</v>
      </c>
      <c r="W758" t="s">
        <v>59</v>
      </c>
      <c r="X758" t="s">
        <v>92</v>
      </c>
      <c r="Y758" t="s">
        <v>45</v>
      </c>
      <c r="Z758" t="s">
        <v>41</v>
      </c>
      <c r="AA758" t="s">
        <v>54</v>
      </c>
      <c r="AB758" t="s">
        <v>55</v>
      </c>
      <c r="AC758" t="s">
        <v>70</v>
      </c>
      <c r="AD758" t="s">
        <v>41</v>
      </c>
      <c r="AE758" t="s">
        <v>45</v>
      </c>
      <c r="AF758" t="s">
        <v>51</v>
      </c>
      <c r="AG758" t="s">
        <v>71</v>
      </c>
      <c r="AH758" t="s">
        <v>71</v>
      </c>
      <c r="AI758" t="s">
        <v>71</v>
      </c>
    </row>
    <row r="759" spans="1:35" x14ac:dyDescent="0.25">
      <c r="A759" t="s">
        <v>142</v>
      </c>
      <c r="B759" t="s">
        <v>59</v>
      </c>
      <c r="C759" t="s">
        <v>37</v>
      </c>
      <c r="D759" t="s">
        <v>114</v>
      </c>
      <c r="E759" t="s">
        <v>39</v>
      </c>
      <c r="F759" t="s">
        <v>40</v>
      </c>
      <c r="G759" t="s">
        <v>47</v>
      </c>
      <c r="H759" t="s">
        <v>206</v>
      </c>
      <c r="I759" t="s">
        <v>40</v>
      </c>
      <c r="J759" t="s">
        <v>2589</v>
      </c>
      <c r="K759" t="s">
        <v>41</v>
      </c>
      <c r="L759" t="s">
        <v>63</v>
      </c>
      <c r="M759" t="s">
        <v>255</v>
      </c>
      <c r="N759" t="s">
        <v>47</v>
      </c>
      <c r="O759" t="s">
        <v>41</v>
      </c>
      <c r="P759" t="s">
        <v>46</v>
      </c>
      <c r="Q759" t="s">
        <v>47</v>
      </c>
      <c r="R759" t="s">
        <v>109</v>
      </c>
      <c r="S759" t="s">
        <v>2590</v>
      </c>
      <c r="T759" t="s">
        <v>2591</v>
      </c>
      <c r="U759" t="s">
        <v>55</v>
      </c>
      <c r="V759" t="s">
        <v>52</v>
      </c>
      <c r="W759" t="s">
        <v>59</v>
      </c>
      <c r="X759" t="s">
        <v>53</v>
      </c>
      <c r="Y759" t="s">
        <v>45</v>
      </c>
      <c r="Z759" t="s">
        <v>47</v>
      </c>
      <c r="AA759" t="s">
        <v>54</v>
      </c>
      <c r="AB759" t="s">
        <v>40</v>
      </c>
      <c r="AC759" t="s">
        <v>128</v>
      </c>
      <c r="AD759" t="s">
        <v>41</v>
      </c>
      <c r="AE759" t="s">
        <v>41</v>
      </c>
      <c r="AF759" t="s">
        <v>79</v>
      </c>
      <c r="AG759" t="s">
        <v>40</v>
      </c>
      <c r="AH759" t="s">
        <v>55</v>
      </c>
      <c r="AI759" t="s">
        <v>91</v>
      </c>
    </row>
    <row r="760" spans="1:35" x14ac:dyDescent="0.25">
      <c r="A760" t="s">
        <v>99</v>
      </c>
      <c r="B760" t="s">
        <v>59</v>
      </c>
      <c r="C760" t="s">
        <v>37</v>
      </c>
      <c r="D760" t="s">
        <v>2592</v>
      </c>
      <c r="E760" t="s">
        <v>39</v>
      </c>
      <c r="F760" t="s">
        <v>40</v>
      </c>
      <c r="G760" t="s">
        <v>41</v>
      </c>
      <c r="H760" t="s">
        <v>228</v>
      </c>
      <c r="I760" t="s">
        <v>40</v>
      </c>
      <c r="J760" t="s">
        <v>2593</v>
      </c>
      <c r="K760" t="s">
        <v>41</v>
      </c>
      <c r="L760" t="s">
        <v>63</v>
      </c>
      <c r="M760" t="s">
        <v>375</v>
      </c>
      <c r="N760" t="s">
        <v>45</v>
      </c>
      <c r="O760" t="s">
        <v>45</v>
      </c>
      <c r="P760" t="s">
        <v>169</v>
      </c>
      <c r="Q760" t="s">
        <v>47</v>
      </c>
      <c r="R760" t="s">
        <v>66</v>
      </c>
      <c r="S760" t="s">
        <v>2594</v>
      </c>
      <c r="T760" t="s">
        <v>2595</v>
      </c>
      <c r="U760" t="s">
        <v>45</v>
      </c>
      <c r="V760" t="s">
        <v>52</v>
      </c>
      <c r="W760" t="s">
        <v>36</v>
      </c>
      <c r="X760" t="s">
        <v>129</v>
      </c>
      <c r="Y760" t="s">
        <v>45</v>
      </c>
      <c r="Z760" t="s">
        <v>45</v>
      </c>
      <c r="AA760" t="s">
        <v>54</v>
      </c>
      <c r="AB760" t="s">
        <v>40</v>
      </c>
      <c r="AC760" t="s">
        <v>129</v>
      </c>
      <c r="AD760" t="s">
        <v>40</v>
      </c>
      <c r="AE760" t="s">
        <v>40</v>
      </c>
      <c r="AF760" t="s">
        <v>56</v>
      </c>
      <c r="AG760" t="s">
        <v>47</v>
      </c>
      <c r="AH760" t="s">
        <v>55</v>
      </c>
      <c r="AI760" t="s">
        <v>47</v>
      </c>
    </row>
    <row r="761" spans="1:35" x14ac:dyDescent="0.25">
      <c r="A761" t="s">
        <v>174</v>
      </c>
      <c r="B761" t="s">
        <v>59</v>
      </c>
      <c r="C761" t="s">
        <v>37</v>
      </c>
      <c r="D761" t="s">
        <v>2596</v>
      </c>
      <c r="E761" t="s">
        <v>397</v>
      </c>
      <c r="F761" t="s">
        <v>107</v>
      </c>
      <c r="G761" t="s">
        <v>47</v>
      </c>
      <c r="H761" t="s">
        <v>87</v>
      </c>
      <c r="I761" t="s">
        <v>40</v>
      </c>
      <c r="J761" t="s">
        <v>2597</v>
      </c>
      <c r="K761" t="s">
        <v>41</v>
      </c>
      <c r="L761" t="s">
        <v>63</v>
      </c>
      <c r="M761" t="s">
        <v>120</v>
      </c>
      <c r="N761" t="s">
        <v>45</v>
      </c>
      <c r="O761" t="s">
        <v>40</v>
      </c>
      <c r="P761" t="s">
        <v>397</v>
      </c>
      <c r="Q761" t="s">
        <v>41</v>
      </c>
      <c r="R761" t="s">
        <v>48</v>
      </c>
      <c r="S761" t="s">
        <v>940</v>
      </c>
      <c r="T761" t="s">
        <v>2598</v>
      </c>
      <c r="U761" t="s">
        <v>40</v>
      </c>
      <c r="V761" t="s">
        <v>52</v>
      </c>
      <c r="W761" t="s">
        <v>59</v>
      </c>
      <c r="X761" t="s">
        <v>128</v>
      </c>
      <c r="Y761" t="s">
        <v>45</v>
      </c>
      <c r="Z761" t="s">
        <v>40</v>
      </c>
      <c r="AA761" t="s">
        <v>54</v>
      </c>
      <c r="AB761" t="s">
        <v>55</v>
      </c>
      <c r="AC761" t="s">
        <v>56</v>
      </c>
      <c r="AD761" t="s">
        <v>45</v>
      </c>
      <c r="AE761" t="s">
        <v>45</v>
      </c>
      <c r="AF761" t="s">
        <v>56</v>
      </c>
      <c r="AG761" t="s">
        <v>45</v>
      </c>
      <c r="AH761" t="s">
        <v>55</v>
      </c>
      <c r="AI761" t="s">
        <v>47</v>
      </c>
    </row>
    <row r="762" spans="1:35" x14ac:dyDescent="0.25">
      <c r="A762" t="s">
        <v>166</v>
      </c>
      <c r="B762" t="s">
        <v>59</v>
      </c>
      <c r="C762" t="s">
        <v>60</v>
      </c>
      <c r="D762" t="s">
        <v>452</v>
      </c>
      <c r="E762" t="s">
        <v>39</v>
      </c>
      <c r="F762" t="s">
        <v>41</v>
      </c>
      <c r="G762" t="s">
        <v>45</v>
      </c>
      <c r="H762" t="s">
        <v>206</v>
      </c>
      <c r="I762" t="s">
        <v>40</v>
      </c>
      <c r="J762" t="s">
        <v>2599</v>
      </c>
      <c r="K762" t="s">
        <v>45</v>
      </c>
      <c r="L762" t="s">
        <v>43</v>
      </c>
      <c r="M762" t="s">
        <v>113</v>
      </c>
      <c r="N762" t="s">
        <v>41</v>
      </c>
      <c r="O762" t="s">
        <v>45</v>
      </c>
      <c r="P762" t="s">
        <v>46</v>
      </c>
      <c r="Q762" t="s">
        <v>41</v>
      </c>
      <c r="R762" t="s">
        <v>66</v>
      </c>
      <c r="S762" t="s">
        <v>2600</v>
      </c>
      <c r="T762" t="s">
        <v>2601</v>
      </c>
      <c r="U762" t="s">
        <v>41</v>
      </c>
      <c r="V762" t="s">
        <v>52</v>
      </c>
      <c r="W762" t="s">
        <v>59</v>
      </c>
      <c r="X762" t="s">
        <v>92</v>
      </c>
      <c r="Y762" t="s">
        <v>45</v>
      </c>
      <c r="Z762" t="s">
        <v>40</v>
      </c>
      <c r="AA762" t="s">
        <v>54</v>
      </c>
      <c r="AB762" t="s">
        <v>40</v>
      </c>
      <c r="AC762" t="s">
        <v>105</v>
      </c>
      <c r="AD762" t="s">
        <v>41</v>
      </c>
      <c r="AE762" t="s">
        <v>45</v>
      </c>
      <c r="AF762" t="s">
        <v>79</v>
      </c>
      <c r="AG762" t="s">
        <v>71</v>
      </c>
      <c r="AH762" t="s">
        <v>56</v>
      </c>
      <c r="AI762" t="s">
        <v>92</v>
      </c>
    </row>
    <row r="763" spans="1:35" x14ac:dyDescent="0.25">
      <c r="A763" t="s">
        <v>120</v>
      </c>
      <c r="B763" t="s">
        <v>36</v>
      </c>
      <c r="C763" t="s">
        <v>37</v>
      </c>
      <c r="D763" t="s">
        <v>2602</v>
      </c>
      <c r="E763" t="s">
        <v>62</v>
      </c>
      <c r="F763" t="s">
        <v>79</v>
      </c>
      <c r="G763" t="s">
        <v>45</v>
      </c>
      <c r="H763" t="s">
        <v>74</v>
      </c>
      <c r="I763" t="s">
        <v>40</v>
      </c>
      <c r="J763" t="s">
        <v>914</v>
      </c>
      <c r="K763" t="s">
        <v>40</v>
      </c>
      <c r="L763" t="s">
        <v>63</v>
      </c>
      <c r="M763" t="s">
        <v>101</v>
      </c>
      <c r="N763" t="s">
        <v>45</v>
      </c>
      <c r="O763" t="s">
        <v>41</v>
      </c>
      <c r="P763" t="s">
        <v>76</v>
      </c>
      <c r="Q763" t="s">
        <v>45</v>
      </c>
      <c r="R763" t="s">
        <v>109</v>
      </c>
      <c r="S763" t="s">
        <v>2603</v>
      </c>
      <c r="T763" t="s">
        <v>2604</v>
      </c>
      <c r="U763" t="s">
        <v>71</v>
      </c>
      <c r="V763" t="s">
        <v>52</v>
      </c>
      <c r="W763" t="s">
        <v>59</v>
      </c>
      <c r="X763" t="s">
        <v>129</v>
      </c>
      <c r="Y763" t="s">
        <v>45</v>
      </c>
      <c r="Z763" t="s">
        <v>41</v>
      </c>
      <c r="AA763" t="s">
        <v>54</v>
      </c>
      <c r="AB763" t="s">
        <v>40</v>
      </c>
      <c r="AC763" t="s">
        <v>91</v>
      </c>
      <c r="AD763" t="s">
        <v>45</v>
      </c>
      <c r="AE763" t="s">
        <v>41</v>
      </c>
      <c r="AF763" t="s">
        <v>40</v>
      </c>
      <c r="AG763" t="s">
        <v>55</v>
      </c>
      <c r="AH763" t="s">
        <v>55</v>
      </c>
      <c r="AI763" t="s">
        <v>55</v>
      </c>
    </row>
    <row r="764" spans="1:35" x14ac:dyDescent="0.25">
      <c r="A764" t="s">
        <v>139</v>
      </c>
      <c r="B764" t="s">
        <v>36</v>
      </c>
      <c r="C764" t="s">
        <v>60</v>
      </c>
      <c r="D764" t="s">
        <v>1029</v>
      </c>
      <c r="E764" t="s">
        <v>62</v>
      </c>
      <c r="F764" t="s">
        <v>41</v>
      </c>
      <c r="G764" t="s">
        <v>45</v>
      </c>
      <c r="H764" t="s">
        <v>42</v>
      </c>
      <c r="I764" t="s">
        <v>40</v>
      </c>
      <c r="J764" t="s">
        <v>2426</v>
      </c>
      <c r="K764" t="s">
        <v>40</v>
      </c>
      <c r="L764" t="s">
        <v>63</v>
      </c>
      <c r="M764" t="s">
        <v>269</v>
      </c>
      <c r="N764" t="s">
        <v>45</v>
      </c>
      <c r="O764" t="s">
        <v>40</v>
      </c>
      <c r="P764" t="s">
        <v>65</v>
      </c>
      <c r="Q764" t="s">
        <v>40</v>
      </c>
      <c r="R764" t="s">
        <v>66</v>
      </c>
      <c r="S764" t="s">
        <v>474</v>
      </c>
      <c r="T764" t="s">
        <v>2605</v>
      </c>
      <c r="U764" t="s">
        <v>56</v>
      </c>
      <c r="V764" t="s">
        <v>52</v>
      </c>
      <c r="W764" t="s">
        <v>36</v>
      </c>
      <c r="X764" t="s">
        <v>129</v>
      </c>
      <c r="Y764" t="s">
        <v>45</v>
      </c>
      <c r="Z764" t="s">
        <v>41</v>
      </c>
      <c r="AA764" t="s">
        <v>54</v>
      </c>
      <c r="AB764" t="s">
        <v>40</v>
      </c>
      <c r="AC764" t="s">
        <v>56</v>
      </c>
      <c r="AD764" t="s">
        <v>41</v>
      </c>
      <c r="AE764" t="s">
        <v>45</v>
      </c>
      <c r="AF764" t="s">
        <v>45</v>
      </c>
      <c r="AG764" t="s">
        <v>41</v>
      </c>
      <c r="AH764" t="s">
        <v>40</v>
      </c>
      <c r="AI764" t="s">
        <v>41</v>
      </c>
    </row>
    <row r="765" spans="1:35" x14ac:dyDescent="0.25">
      <c r="A765" t="s">
        <v>142</v>
      </c>
      <c r="B765" t="s">
        <v>59</v>
      </c>
      <c r="C765" t="s">
        <v>37</v>
      </c>
      <c r="D765" t="s">
        <v>2378</v>
      </c>
      <c r="E765" t="s">
        <v>39</v>
      </c>
      <c r="F765" t="s">
        <v>70</v>
      </c>
      <c r="G765" t="s">
        <v>47</v>
      </c>
      <c r="H765" t="s">
        <v>42</v>
      </c>
      <c r="I765" t="s">
        <v>40</v>
      </c>
      <c r="J765" t="s">
        <v>2538</v>
      </c>
      <c r="K765" t="s">
        <v>45</v>
      </c>
      <c r="L765" t="s">
        <v>43</v>
      </c>
      <c r="M765" t="s">
        <v>371</v>
      </c>
      <c r="N765" t="s">
        <v>45</v>
      </c>
      <c r="O765" t="s">
        <v>40</v>
      </c>
      <c r="P765" t="s">
        <v>182</v>
      </c>
      <c r="Q765" t="s">
        <v>45</v>
      </c>
      <c r="R765" t="s">
        <v>66</v>
      </c>
      <c r="S765" t="s">
        <v>2606</v>
      </c>
      <c r="T765" t="s">
        <v>2607</v>
      </c>
      <c r="U765" t="s">
        <v>40</v>
      </c>
      <c r="V765" t="s">
        <v>52</v>
      </c>
      <c r="W765" t="s">
        <v>36</v>
      </c>
      <c r="X765" t="s">
        <v>144</v>
      </c>
      <c r="Y765" t="s">
        <v>45</v>
      </c>
      <c r="Z765" t="s">
        <v>47</v>
      </c>
      <c r="AA765" t="s">
        <v>54</v>
      </c>
      <c r="AB765" t="s">
        <v>40</v>
      </c>
      <c r="AC765" t="s">
        <v>40</v>
      </c>
      <c r="AD765" t="s">
        <v>41</v>
      </c>
      <c r="AE765" t="s">
        <v>45</v>
      </c>
      <c r="AF765" t="s">
        <v>40</v>
      </c>
      <c r="AG765" t="s">
        <v>40</v>
      </c>
      <c r="AH765" t="s">
        <v>55</v>
      </c>
      <c r="AI765" t="s">
        <v>55</v>
      </c>
    </row>
    <row r="766" spans="1:35" x14ac:dyDescent="0.25">
      <c r="A766" t="s">
        <v>149</v>
      </c>
      <c r="B766" t="s">
        <v>59</v>
      </c>
      <c r="C766" t="s">
        <v>37</v>
      </c>
      <c r="D766" t="s">
        <v>1429</v>
      </c>
      <c r="E766" t="s">
        <v>39</v>
      </c>
      <c r="F766" t="s">
        <v>70</v>
      </c>
      <c r="G766" t="s">
        <v>40</v>
      </c>
      <c r="H766" t="s">
        <v>87</v>
      </c>
      <c r="I766" t="s">
        <v>40</v>
      </c>
      <c r="J766" t="s">
        <v>2608</v>
      </c>
      <c r="K766" t="s">
        <v>47</v>
      </c>
      <c r="L766" t="s">
        <v>63</v>
      </c>
      <c r="M766" t="s">
        <v>314</v>
      </c>
      <c r="N766" t="s">
        <v>45</v>
      </c>
      <c r="O766" t="s">
        <v>40</v>
      </c>
      <c r="P766" t="s">
        <v>182</v>
      </c>
      <c r="Q766" t="s">
        <v>41</v>
      </c>
      <c r="R766" t="s">
        <v>66</v>
      </c>
      <c r="S766" t="s">
        <v>914</v>
      </c>
      <c r="T766" t="s">
        <v>2609</v>
      </c>
      <c r="U766" t="s">
        <v>40</v>
      </c>
      <c r="V766" t="s">
        <v>52</v>
      </c>
      <c r="W766" t="s">
        <v>59</v>
      </c>
      <c r="X766" t="s">
        <v>112</v>
      </c>
      <c r="Y766" t="s">
        <v>47</v>
      </c>
      <c r="Z766" t="s">
        <v>41</v>
      </c>
      <c r="AA766" t="s">
        <v>54</v>
      </c>
      <c r="AB766" t="s">
        <v>55</v>
      </c>
      <c r="AC766" t="s">
        <v>40</v>
      </c>
      <c r="AD766" t="s">
        <v>57</v>
      </c>
      <c r="AE766" t="s">
        <v>45</v>
      </c>
      <c r="AF766" t="s">
        <v>40</v>
      </c>
      <c r="AG766" t="s">
        <v>55</v>
      </c>
      <c r="AH766" t="s">
        <v>55</v>
      </c>
      <c r="AI766" t="s">
        <v>55</v>
      </c>
    </row>
    <row r="767" spans="1:35" x14ac:dyDescent="0.25">
      <c r="A767" t="s">
        <v>113</v>
      </c>
      <c r="B767" t="s">
        <v>59</v>
      </c>
      <c r="C767" t="s">
        <v>60</v>
      </c>
      <c r="D767" t="s">
        <v>2610</v>
      </c>
      <c r="E767" t="s">
        <v>62</v>
      </c>
      <c r="F767" t="s">
        <v>45</v>
      </c>
      <c r="G767" t="s">
        <v>47</v>
      </c>
      <c r="H767" t="s">
        <v>74</v>
      </c>
      <c r="I767" t="s">
        <v>40</v>
      </c>
      <c r="J767" t="s">
        <v>2611</v>
      </c>
      <c r="K767" t="s">
        <v>45</v>
      </c>
      <c r="L767" t="s">
        <v>63</v>
      </c>
      <c r="M767" t="s">
        <v>115</v>
      </c>
      <c r="N767" t="s">
        <v>45</v>
      </c>
      <c r="O767" t="s">
        <v>40</v>
      </c>
      <c r="P767" t="s">
        <v>65</v>
      </c>
      <c r="Q767" t="s">
        <v>45</v>
      </c>
      <c r="R767" t="s">
        <v>66</v>
      </c>
      <c r="S767" t="s">
        <v>2612</v>
      </c>
      <c r="T767" t="s">
        <v>2613</v>
      </c>
      <c r="U767" t="s">
        <v>45</v>
      </c>
      <c r="V767" t="s">
        <v>52</v>
      </c>
      <c r="W767" t="s">
        <v>59</v>
      </c>
      <c r="X767" t="s">
        <v>128</v>
      </c>
      <c r="Y767" t="s">
        <v>45</v>
      </c>
      <c r="Z767" t="s">
        <v>40</v>
      </c>
      <c r="AA767" t="s">
        <v>54</v>
      </c>
      <c r="AB767" t="s">
        <v>40</v>
      </c>
      <c r="AC767" t="s">
        <v>51</v>
      </c>
      <c r="AD767" t="s">
        <v>41</v>
      </c>
      <c r="AE767" t="s">
        <v>45</v>
      </c>
      <c r="AF767" t="s">
        <v>41</v>
      </c>
      <c r="AG767" t="s">
        <v>41</v>
      </c>
      <c r="AH767" t="s">
        <v>41</v>
      </c>
      <c r="AI767" t="s">
        <v>41</v>
      </c>
    </row>
    <row r="768" spans="1:35" x14ac:dyDescent="0.25">
      <c r="A768" t="s">
        <v>151</v>
      </c>
      <c r="B768" t="s">
        <v>59</v>
      </c>
      <c r="C768" t="s">
        <v>37</v>
      </c>
      <c r="D768" t="s">
        <v>2614</v>
      </c>
      <c r="E768" t="s">
        <v>62</v>
      </c>
      <c r="F768" t="s">
        <v>41</v>
      </c>
      <c r="G768" t="s">
        <v>47</v>
      </c>
      <c r="H768" t="s">
        <v>87</v>
      </c>
      <c r="I768" t="s">
        <v>40</v>
      </c>
      <c r="J768" t="s">
        <v>2615</v>
      </c>
      <c r="K768" t="s">
        <v>41</v>
      </c>
      <c r="L768" t="s">
        <v>63</v>
      </c>
      <c r="M768" t="s">
        <v>283</v>
      </c>
      <c r="N768" t="s">
        <v>45</v>
      </c>
      <c r="O768" t="s">
        <v>57</v>
      </c>
      <c r="P768" t="s">
        <v>186</v>
      </c>
      <c r="Q768" t="s">
        <v>45</v>
      </c>
      <c r="R768" t="s">
        <v>66</v>
      </c>
      <c r="S768" t="s">
        <v>2616</v>
      </c>
      <c r="T768" t="s">
        <v>2617</v>
      </c>
      <c r="U768" t="s">
        <v>41</v>
      </c>
      <c r="V768" t="s">
        <v>52</v>
      </c>
      <c r="W768" t="s">
        <v>36</v>
      </c>
      <c r="X768" t="s">
        <v>53</v>
      </c>
      <c r="Y768" t="s">
        <v>45</v>
      </c>
      <c r="Z768" t="s">
        <v>47</v>
      </c>
      <c r="AA768" t="s">
        <v>54</v>
      </c>
      <c r="AB768" t="s">
        <v>40</v>
      </c>
      <c r="AC768" t="s">
        <v>133</v>
      </c>
      <c r="AD768" t="s">
        <v>41</v>
      </c>
      <c r="AE768" t="s">
        <v>41</v>
      </c>
      <c r="AF768" t="s">
        <v>51</v>
      </c>
      <c r="AG768" t="s">
        <v>40</v>
      </c>
      <c r="AH768" t="s">
        <v>71</v>
      </c>
      <c r="AI768" t="s">
        <v>71</v>
      </c>
    </row>
    <row r="769" spans="1:35" x14ac:dyDescent="0.25">
      <c r="A769" t="s">
        <v>72</v>
      </c>
      <c r="B769" t="s">
        <v>59</v>
      </c>
      <c r="C769" t="s">
        <v>37</v>
      </c>
      <c r="D769" t="s">
        <v>452</v>
      </c>
      <c r="E769" t="s">
        <v>62</v>
      </c>
      <c r="F769" t="s">
        <v>45</v>
      </c>
      <c r="G769" t="s">
        <v>45</v>
      </c>
      <c r="H769" t="s">
        <v>74</v>
      </c>
      <c r="I769" t="s">
        <v>40</v>
      </c>
      <c r="J769" t="s">
        <v>1383</v>
      </c>
      <c r="K769" t="s">
        <v>47</v>
      </c>
      <c r="L769" t="s">
        <v>43</v>
      </c>
      <c r="M769" t="s">
        <v>126</v>
      </c>
      <c r="N769" t="s">
        <v>45</v>
      </c>
      <c r="O769" t="s">
        <v>41</v>
      </c>
      <c r="P769" t="s">
        <v>122</v>
      </c>
      <c r="Q769" t="s">
        <v>41</v>
      </c>
      <c r="R769" t="s">
        <v>48</v>
      </c>
      <c r="S769" t="s">
        <v>2618</v>
      </c>
      <c r="T769" t="s">
        <v>2619</v>
      </c>
      <c r="U769" t="s">
        <v>45</v>
      </c>
      <c r="V769" t="s">
        <v>52</v>
      </c>
      <c r="W769" t="s">
        <v>59</v>
      </c>
      <c r="X769" t="s">
        <v>79</v>
      </c>
      <c r="Y769" t="s">
        <v>45</v>
      </c>
      <c r="Z769" t="s">
        <v>40</v>
      </c>
      <c r="AA769" t="s">
        <v>54</v>
      </c>
      <c r="AB769" t="s">
        <v>55</v>
      </c>
      <c r="AC769" t="s">
        <v>51</v>
      </c>
      <c r="AD769" t="s">
        <v>45</v>
      </c>
      <c r="AE769" t="s">
        <v>41</v>
      </c>
      <c r="AF769" t="s">
        <v>47</v>
      </c>
      <c r="AG769" t="s">
        <v>45</v>
      </c>
      <c r="AH769" t="s">
        <v>55</v>
      </c>
      <c r="AI769" t="s">
        <v>40</v>
      </c>
    </row>
    <row r="770" spans="1:35" x14ac:dyDescent="0.25">
      <c r="A770" t="s">
        <v>88</v>
      </c>
      <c r="B770" t="s">
        <v>59</v>
      </c>
      <c r="C770" t="s">
        <v>37</v>
      </c>
      <c r="D770" t="s">
        <v>911</v>
      </c>
      <c r="E770" t="s">
        <v>39</v>
      </c>
      <c r="F770" t="s">
        <v>139</v>
      </c>
      <c r="G770" t="s">
        <v>45</v>
      </c>
      <c r="H770" t="s">
        <v>206</v>
      </c>
      <c r="I770" t="s">
        <v>40</v>
      </c>
      <c r="J770" t="s">
        <v>2522</v>
      </c>
      <c r="K770" t="s">
        <v>45</v>
      </c>
      <c r="L770" t="s">
        <v>63</v>
      </c>
      <c r="M770" t="s">
        <v>314</v>
      </c>
      <c r="N770" t="s">
        <v>45</v>
      </c>
      <c r="O770" t="s">
        <v>41</v>
      </c>
      <c r="P770" t="s">
        <v>46</v>
      </c>
      <c r="Q770" t="s">
        <v>40</v>
      </c>
      <c r="R770" t="s">
        <v>66</v>
      </c>
      <c r="S770" t="s">
        <v>2620</v>
      </c>
      <c r="T770" t="s">
        <v>2621</v>
      </c>
      <c r="U770" t="s">
        <v>40</v>
      </c>
      <c r="V770" t="s">
        <v>52</v>
      </c>
      <c r="W770" t="s">
        <v>59</v>
      </c>
      <c r="X770" t="s">
        <v>129</v>
      </c>
      <c r="Y770" t="s">
        <v>45</v>
      </c>
      <c r="Z770" t="s">
        <v>41</v>
      </c>
      <c r="AA770" t="s">
        <v>54</v>
      </c>
      <c r="AB770" t="s">
        <v>40</v>
      </c>
      <c r="AC770" t="s">
        <v>51</v>
      </c>
      <c r="AD770" t="s">
        <v>45</v>
      </c>
      <c r="AE770" t="s">
        <v>41</v>
      </c>
      <c r="AF770" t="s">
        <v>71</v>
      </c>
      <c r="AG770" t="s">
        <v>71</v>
      </c>
      <c r="AH770" t="s">
        <v>71</v>
      </c>
      <c r="AI770" t="s">
        <v>57</v>
      </c>
    </row>
    <row r="771" spans="1:35" x14ac:dyDescent="0.25">
      <c r="A771" t="s">
        <v>139</v>
      </c>
      <c r="B771" t="s">
        <v>59</v>
      </c>
      <c r="C771" t="s">
        <v>60</v>
      </c>
      <c r="D771" t="s">
        <v>1426</v>
      </c>
      <c r="E771" t="s">
        <v>62</v>
      </c>
      <c r="F771" t="s">
        <v>40</v>
      </c>
      <c r="G771" t="s">
        <v>40</v>
      </c>
      <c r="H771" t="s">
        <v>87</v>
      </c>
      <c r="I771" t="s">
        <v>40</v>
      </c>
      <c r="J771" t="s">
        <v>2622</v>
      </c>
      <c r="K771" t="s">
        <v>40</v>
      </c>
      <c r="L771" t="s">
        <v>43</v>
      </c>
      <c r="M771" t="s">
        <v>375</v>
      </c>
      <c r="N771" t="s">
        <v>41</v>
      </c>
      <c r="O771" t="s">
        <v>40</v>
      </c>
      <c r="P771" t="s">
        <v>65</v>
      </c>
      <c r="Q771" t="s">
        <v>45</v>
      </c>
      <c r="R771" t="s">
        <v>109</v>
      </c>
      <c r="S771" t="s">
        <v>2623</v>
      </c>
      <c r="T771" t="s">
        <v>2624</v>
      </c>
      <c r="U771" t="s">
        <v>40</v>
      </c>
      <c r="V771" t="s">
        <v>52</v>
      </c>
      <c r="W771" t="s">
        <v>59</v>
      </c>
      <c r="X771" t="s">
        <v>98</v>
      </c>
      <c r="Y771" t="s">
        <v>45</v>
      </c>
      <c r="Z771" t="s">
        <v>45</v>
      </c>
      <c r="AA771" t="s">
        <v>54</v>
      </c>
      <c r="AB771" t="s">
        <v>41</v>
      </c>
      <c r="AC771" t="s">
        <v>57</v>
      </c>
      <c r="AD771" t="s">
        <v>57</v>
      </c>
      <c r="AE771" t="s">
        <v>45</v>
      </c>
      <c r="AF771" t="s">
        <v>57</v>
      </c>
      <c r="AG771" t="s">
        <v>45</v>
      </c>
      <c r="AH771" t="s">
        <v>40</v>
      </c>
      <c r="AI771" t="s">
        <v>45</v>
      </c>
    </row>
    <row r="772" spans="1:35" x14ac:dyDescent="0.25">
      <c r="A772" t="s">
        <v>213</v>
      </c>
      <c r="B772" t="s">
        <v>59</v>
      </c>
      <c r="C772" t="s">
        <v>37</v>
      </c>
      <c r="D772" t="s">
        <v>1262</v>
      </c>
      <c r="E772" t="s">
        <v>62</v>
      </c>
      <c r="F772" t="s">
        <v>40</v>
      </c>
      <c r="G772" t="s">
        <v>47</v>
      </c>
      <c r="H772" t="s">
        <v>87</v>
      </c>
      <c r="I772" t="s">
        <v>40</v>
      </c>
      <c r="J772" t="s">
        <v>802</v>
      </c>
      <c r="K772" t="s">
        <v>47</v>
      </c>
      <c r="L772" t="s">
        <v>63</v>
      </c>
      <c r="M772" t="s">
        <v>88</v>
      </c>
      <c r="N772" t="s">
        <v>45</v>
      </c>
      <c r="O772" t="s">
        <v>57</v>
      </c>
      <c r="P772" t="s">
        <v>186</v>
      </c>
      <c r="Q772" t="s">
        <v>47</v>
      </c>
      <c r="R772" t="s">
        <v>109</v>
      </c>
      <c r="S772" t="s">
        <v>1819</v>
      </c>
      <c r="T772" t="s">
        <v>2625</v>
      </c>
      <c r="U772" t="s">
        <v>91</v>
      </c>
      <c r="V772" t="s">
        <v>52</v>
      </c>
      <c r="W772" t="s">
        <v>59</v>
      </c>
      <c r="X772" t="s">
        <v>125</v>
      </c>
      <c r="Y772" t="s">
        <v>45</v>
      </c>
      <c r="Z772" t="s">
        <v>47</v>
      </c>
      <c r="AA772" t="s">
        <v>54</v>
      </c>
      <c r="AB772" t="s">
        <v>41</v>
      </c>
      <c r="AC772" t="s">
        <v>69</v>
      </c>
      <c r="AD772" t="s">
        <v>55</v>
      </c>
      <c r="AE772" t="s">
        <v>45</v>
      </c>
      <c r="AF772" t="s">
        <v>41</v>
      </c>
      <c r="AG772" t="s">
        <v>41</v>
      </c>
      <c r="AH772" t="s">
        <v>41</v>
      </c>
      <c r="AI772" t="s">
        <v>41</v>
      </c>
    </row>
    <row r="773" spans="1:35" x14ac:dyDescent="0.25">
      <c r="A773" t="s">
        <v>259</v>
      </c>
      <c r="B773" t="s">
        <v>59</v>
      </c>
      <c r="C773" t="s">
        <v>37</v>
      </c>
      <c r="D773" t="s">
        <v>370</v>
      </c>
      <c r="E773" t="s">
        <v>39</v>
      </c>
      <c r="F773" t="s">
        <v>41</v>
      </c>
      <c r="G773" t="s">
        <v>47</v>
      </c>
      <c r="H773" t="s">
        <v>42</v>
      </c>
      <c r="I773" t="s">
        <v>40</v>
      </c>
      <c r="J773" t="s">
        <v>1138</v>
      </c>
      <c r="K773" t="s">
        <v>45</v>
      </c>
      <c r="L773" t="s">
        <v>43</v>
      </c>
      <c r="M773" t="s">
        <v>35</v>
      </c>
      <c r="N773" t="s">
        <v>41</v>
      </c>
      <c r="O773" t="s">
        <v>45</v>
      </c>
      <c r="P773" t="s">
        <v>46</v>
      </c>
      <c r="Q773" t="s">
        <v>45</v>
      </c>
      <c r="R773" t="s">
        <v>66</v>
      </c>
      <c r="S773" t="s">
        <v>2626</v>
      </c>
      <c r="T773" t="s">
        <v>1550</v>
      </c>
      <c r="U773" t="s">
        <v>56</v>
      </c>
      <c r="V773" t="s">
        <v>52</v>
      </c>
      <c r="W773" t="s">
        <v>59</v>
      </c>
      <c r="X773" t="s">
        <v>53</v>
      </c>
      <c r="Y773" t="s">
        <v>45</v>
      </c>
      <c r="Z773" t="s">
        <v>41</v>
      </c>
      <c r="AA773" t="s">
        <v>54</v>
      </c>
      <c r="AB773" t="s">
        <v>40</v>
      </c>
      <c r="AC773" t="s">
        <v>98</v>
      </c>
      <c r="AD773" t="s">
        <v>47</v>
      </c>
      <c r="AE773" t="s">
        <v>45</v>
      </c>
      <c r="AF773" t="s">
        <v>91</v>
      </c>
      <c r="AG773" t="s">
        <v>47</v>
      </c>
      <c r="AH773" t="s">
        <v>71</v>
      </c>
      <c r="AI773" t="s">
        <v>55</v>
      </c>
    </row>
    <row r="774" spans="1:35" x14ac:dyDescent="0.25">
      <c r="A774" t="s">
        <v>82</v>
      </c>
      <c r="B774" t="s">
        <v>59</v>
      </c>
      <c r="C774" t="s">
        <v>60</v>
      </c>
      <c r="D774" t="s">
        <v>258</v>
      </c>
      <c r="E774" t="s">
        <v>62</v>
      </c>
      <c r="F774" t="s">
        <v>91</v>
      </c>
      <c r="G774" t="s">
        <v>45</v>
      </c>
      <c r="H774" t="s">
        <v>87</v>
      </c>
      <c r="I774" t="s">
        <v>40</v>
      </c>
      <c r="J774" t="s">
        <v>2627</v>
      </c>
      <c r="K774" t="s">
        <v>40</v>
      </c>
      <c r="L774" t="s">
        <v>43</v>
      </c>
      <c r="M774" t="s">
        <v>288</v>
      </c>
      <c r="N774" t="s">
        <v>45</v>
      </c>
      <c r="O774" t="s">
        <v>40</v>
      </c>
      <c r="P774" t="s">
        <v>65</v>
      </c>
      <c r="Q774" t="s">
        <v>45</v>
      </c>
      <c r="R774" t="s">
        <v>66</v>
      </c>
      <c r="S774" t="s">
        <v>609</v>
      </c>
      <c r="T774" t="s">
        <v>2628</v>
      </c>
      <c r="U774" t="s">
        <v>41</v>
      </c>
      <c r="V774" t="s">
        <v>52</v>
      </c>
      <c r="W774" t="s">
        <v>59</v>
      </c>
      <c r="X774" t="s">
        <v>144</v>
      </c>
      <c r="Y774" t="s">
        <v>45</v>
      </c>
      <c r="Z774" t="s">
        <v>41</v>
      </c>
      <c r="AA774" t="s">
        <v>54</v>
      </c>
      <c r="AB774" t="s">
        <v>40</v>
      </c>
      <c r="AC774" t="s">
        <v>145</v>
      </c>
      <c r="AD774" t="s">
        <v>47</v>
      </c>
      <c r="AE774" t="s">
        <v>45</v>
      </c>
      <c r="AF774" t="s">
        <v>57</v>
      </c>
      <c r="AG774" t="s">
        <v>47</v>
      </c>
      <c r="AH774" t="s">
        <v>55</v>
      </c>
      <c r="AI774" t="s">
        <v>45</v>
      </c>
    </row>
    <row r="775" spans="1:35" x14ac:dyDescent="0.25">
      <c r="A775" t="s">
        <v>120</v>
      </c>
      <c r="B775" t="s">
        <v>59</v>
      </c>
      <c r="C775" t="s">
        <v>37</v>
      </c>
      <c r="D775" t="s">
        <v>2064</v>
      </c>
      <c r="E775" t="s">
        <v>62</v>
      </c>
      <c r="F775" t="s">
        <v>92</v>
      </c>
      <c r="G775" t="s">
        <v>57</v>
      </c>
      <c r="H775" t="s">
        <v>87</v>
      </c>
      <c r="I775" t="s">
        <v>40</v>
      </c>
      <c r="J775" t="s">
        <v>2629</v>
      </c>
      <c r="K775" t="s">
        <v>47</v>
      </c>
      <c r="L775" t="s">
        <v>43</v>
      </c>
      <c r="M775" t="s">
        <v>155</v>
      </c>
      <c r="N775" t="s">
        <v>41</v>
      </c>
      <c r="O775" t="s">
        <v>45</v>
      </c>
      <c r="P775" t="s">
        <v>116</v>
      </c>
      <c r="Q775" t="s">
        <v>47</v>
      </c>
      <c r="R775" t="s">
        <v>48</v>
      </c>
      <c r="S775" t="s">
        <v>2630</v>
      </c>
      <c r="T775" t="s">
        <v>2631</v>
      </c>
      <c r="U775" t="s">
        <v>55</v>
      </c>
      <c r="V775" t="s">
        <v>52</v>
      </c>
      <c r="W775" t="s">
        <v>59</v>
      </c>
      <c r="X775" t="s">
        <v>53</v>
      </c>
      <c r="Y775" t="s">
        <v>45</v>
      </c>
      <c r="Z775" t="s">
        <v>41</v>
      </c>
      <c r="AA775" t="s">
        <v>54</v>
      </c>
      <c r="AB775" t="s">
        <v>55</v>
      </c>
      <c r="AC775" t="s">
        <v>79</v>
      </c>
      <c r="AD775" t="s">
        <v>41</v>
      </c>
      <c r="AE775" t="s">
        <v>41</v>
      </c>
      <c r="AF775" t="s">
        <v>129</v>
      </c>
      <c r="AG775" t="s">
        <v>51</v>
      </c>
      <c r="AH775" t="s">
        <v>71</v>
      </c>
      <c r="AI775" t="s">
        <v>51</v>
      </c>
    </row>
    <row r="776" spans="1:35" x14ac:dyDescent="0.25">
      <c r="A776" t="s">
        <v>263</v>
      </c>
      <c r="B776" t="s">
        <v>59</v>
      </c>
      <c r="C776" t="s">
        <v>161</v>
      </c>
      <c r="D776" t="s">
        <v>1181</v>
      </c>
      <c r="E776" t="s">
        <v>62</v>
      </c>
      <c r="F776" t="s">
        <v>41</v>
      </c>
      <c r="G776" t="s">
        <v>40</v>
      </c>
      <c r="H776" t="s">
        <v>87</v>
      </c>
      <c r="I776" t="s">
        <v>40</v>
      </c>
      <c r="J776" t="s">
        <v>2632</v>
      </c>
      <c r="K776" t="s">
        <v>45</v>
      </c>
      <c r="L776" t="s">
        <v>63</v>
      </c>
      <c r="M776" t="s">
        <v>88</v>
      </c>
      <c r="N776" t="s">
        <v>41</v>
      </c>
      <c r="O776" t="s">
        <v>47</v>
      </c>
      <c r="P776" t="s">
        <v>169</v>
      </c>
      <c r="Q776" t="s">
        <v>40</v>
      </c>
      <c r="R776" t="s">
        <v>48</v>
      </c>
      <c r="S776" t="s">
        <v>2633</v>
      </c>
      <c r="T776" t="s">
        <v>2634</v>
      </c>
      <c r="U776" t="s">
        <v>71</v>
      </c>
      <c r="V776" t="s">
        <v>52</v>
      </c>
      <c r="W776" t="s">
        <v>59</v>
      </c>
      <c r="X776" t="s">
        <v>79</v>
      </c>
      <c r="Y776" t="s">
        <v>45</v>
      </c>
      <c r="Z776" t="s">
        <v>41</v>
      </c>
      <c r="AA776" t="s">
        <v>54</v>
      </c>
      <c r="AB776" t="s">
        <v>55</v>
      </c>
      <c r="AC776" t="s">
        <v>137</v>
      </c>
      <c r="AD776" t="s">
        <v>45</v>
      </c>
      <c r="AE776" t="s">
        <v>47</v>
      </c>
      <c r="AF776" t="s">
        <v>91</v>
      </c>
      <c r="AG776" t="s">
        <v>71</v>
      </c>
      <c r="AH776" t="s">
        <v>56</v>
      </c>
      <c r="AI776" t="s">
        <v>41</v>
      </c>
    </row>
    <row r="777" spans="1:35" x14ac:dyDescent="0.25">
      <c r="A777" t="s">
        <v>234</v>
      </c>
      <c r="B777" t="s">
        <v>59</v>
      </c>
      <c r="C777" t="s">
        <v>37</v>
      </c>
      <c r="D777" t="s">
        <v>2635</v>
      </c>
      <c r="E777" t="s">
        <v>39</v>
      </c>
      <c r="F777" t="s">
        <v>172</v>
      </c>
      <c r="G777" t="s">
        <v>45</v>
      </c>
      <c r="H777" t="s">
        <v>87</v>
      </c>
      <c r="I777" t="s">
        <v>40</v>
      </c>
      <c r="J777" t="s">
        <v>1883</v>
      </c>
      <c r="K777" t="s">
        <v>45</v>
      </c>
      <c r="L777" t="s">
        <v>63</v>
      </c>
      <c r="M777" t="s">
        <v>95</v>
      </c>
      <c r="N777" t="s">
        <v>41</v>
      </c>
      <c r="O777" t="s">
        <v>45</v>
      </c>
      <c r="P777" t="s">
        <v>46</v>
      </c>
      <c r="Q777" t="s">
        <v>47</v>
      </c>
      <c r="R777" t="s">
        <v>109</v>
      </c>
      <c r="S777" t="s">
        <v>2636</v>
      </c>
      <c r="T777" t="s">
        <v>2637</v>
      </c>
      <c r="U777" t="s">
        <v>57</v>
      </c>
      <c r="V777" t="s">
        <v>52</v>
      </c>
      <c r="W777" t="s">
        <v>59</v>
      </c>
      <c r="X777" t="s">
        <v>98</v>
      </c>
      <c r="Y777" t="s">
        <v>45</v>
      </c>
      <c r="Z777" t="s">
        <v>45</v>
      </c>
      <c r="AA777" t="s">
        <v>54</v>
      </c>
      <c r="AB777" t="s">
        <v>40</v>
      </c>
      <c r="AC777" t="s">
        <v>145</v>
      </c>
      <c r="AD777" t="s">
        <v>57</v>
      </c>
      <c r="AE777" t="s">
        <v>45</v>
      </c>
      <c r="AF777" t="s">
        <v>40</v>
      </c>
      <c r="AG777" t="s">
        <v>55</v>
      </c>
      <c r="AH777" t="s">
        <v>55</v>
      </c>
      <c r="AI777" t="s">
        <v>55</v>
      </c>
    </row>
    <row r="778" spans="1:35" x14ac:dyDescent="0.25">
      <c r="A778" t="s">
        <v>104</v>
      </c>
      <c r="B778" t="s">
        <v>36</v>
      </c>
      <c r="C778" t="s">
        <v>60</v>
      </c>
      <c r="D778" t="s">
        <v>2011</v>
      </c>
      <c r="E778" t="s">
        <v>39</v>
      </c>
      <c r="F778" t="s">
        <v>91</v>
      </c>
      <c r="G778" t="s">
        <v>45</v>
      </c>
      <c r="H778" t="s">
        <v>206</v>
      </c>
      <c r="I778" t="s">
        <v>40</v>
      </c>
      <c r="J778" t="s">
        <v>2638</v>
      </c>
      <c r="K778" t="s">
        <v>47</v>
      </c>
      <c r="L778" t="s">
        <v>43</v>
      </c>
      <c r="M778" t="s">
        <v>259</v>
      </c>
      <c r="N778" t="s">
        <v>45</v>
      </c>
      <c r="O778" t="s">
        <v>40</v>
      </c>
      <c r="P778" t="s">
        <v>182</v>
      </c>
      <c r="Q778" t="s">
        <v>47</v>
      </c>
      <c r="R778" t="s">
        <v>48</v>
      </c>
      <c r="S778" t="s">
        <v>707</v>
      </c>
      <c r="T778" t="s">
        <v>2639</v>
      </c>
      <c r="U778" t="s">
        <v>40</v>
      </c>
      <c r="V778" t="s">
        <v>52</v>
      </c>
      <c r="W778" t="s">
        <v>36</v>
      </c>
      <c r="X778" t="s">
        <v>129</v>
      </c>
      <c r="Y778" t="s">
        <v>45</v>
      </c>
      <c r="Z778" t="s">
        <v>41</v>
      </c>
      <c r="AA778" t="s">
        <v>54</v>
      </c>
      <c r="AB778" t="s">
        <v>55</v>
      </c>
      <c r="AC778" t="s">
        <v>41</v>
      </c>
      <c r="AD778" t="s">
        <v>45</v>
      </c>
      <c r="AE778" t="s">
        <v>45</v>
      </c>
      <c r="AF778" t="s">
        <v>41</v>
      </c>
      <c r="AG778" t="s">
        <v>41</v>
      </c>
      <c r="AH778" t="s">
        <v>55</v>
      </c>
      <c r="AI778" t="s">
        <v>41</v>
      </c>
    </row>
    <row r="779" spans="1:35" x14ac:dyDescent="0.25">
      <c r="A779" t="s">
        <v>119</v>
      </c>
      <c r="B779" t="s">
        <v>36</v>
      </c>
      <c r="C779" t="s">
        <v>37</v>
      </c>
      <c r="D779" t="s">
        <v>447</v>
      </c>
      <c r="E779" t="s">
        <v>62</v>
      </c>
      <c r="F779" t="s">
        <v>70</v>
      </c>
      <c r="G779" t="s">
        <v>45</v>
      </c>
      <c r="H779" t="s">
        <v>42</v>
      </c>
      <c r="I779" t="s">
        <v>40</v>
      </c>
      <c r="J779" t="s">
        <v>2640</v>
      </c>
      <c r="K779" t="s">
        <v>45</v>
      </c>
      <c r="L779" t="s">
        <v>43</v>
      </c>
      <c r="M779" t="s">
        <v>120</v>
      </c>
      <c r="N779" t="s">
        <v>41</v>
      </c>
      <c r="O779" t="s">
        <v>40</v>
      </c>
      <c r="P779" t="s">
        <v>76</v>
      </c>
      <c r="Q779" t="s">
        <v>40</v>
      </c>
      <c r="R779" t="s">
        <v>48</v>
      </c>
      <c r="S779" t="s">
        <v>1053</v>
      </c>
      <c r="T779" t="s">
        <v>2641</v>
      </c>
      <c r="U779" t="s">
        <v>40</v>
      </c>
      <c r="V779" t="s">
        <v>52</v>
      </c>
      <c r="W779" t="s">
        <v>59</v>
      </c>
      <c r="X779" t="s">
        <v>98</v>
      </c>
      <c r="Y779" t="s">
        <v>45</v>
      </c>
      <c r="Z779" t="s">
        <v>40</v>
      </c>
      <c r="AA779" t="s">
        <v>54</v>
      </c>
      <c r="AB779" t="s">
        <v>55</v>
      </c>
      <c r="AC779" t="s">
        <v>40</v>
      </c>
      <c r="AD779" t="s">
        <v>56</v>
      </c>
      <c r="AE779" t="s">
        <v>41</v>
      </c>
      <c r="AF779" t="s">
        <v>40</v>
      </c>
      <c r="AG779" t="s">
        <v>55</v>
      </c>
      <c r="AH779" t="s">
        <v>40</v>
      </c>
      <c r="AI779" t="s">
        <v>55</v>
      </c>
    </row>
    <row r="780" spans="1:35" x14ac:dyDescent="0.25">
      <c r="A780" t="s">
        <v>213</v>
      </c>
      <c r="B780" t="s">
        <v>59</v>
      </c>
      <c r="C780" t="s">
        <v>37</v>
      </c>
      <c r="D780" t="s">
        <v>2480</v>
      </c>
      <c r="E780" t="s">
        <v>62</v>
      </c>
      <c r="F780" t="s">
        <v>51</v>
      </c>
      <c r="G780" t="s">
        <v>47</v>
      </c>
      <c r="H780" t="s">
        <v>42</v>
      </c>
      <c r="I780" t="s">
        <v>40</v>
      </c>
      <c r="J780" t="s">
        <v>2642</v>
      </c>
      <c r="K780" t="s">
        <v>47</v>
      </c>
      <c r="L780" t="s">
        <v>43</v>
      </c>
      <c r="M780" t="s">
        <v>314</v>
      </c>
      <c r="N780" t="s">
        <v>41</v>
      </c>
      <c r="O780" t="s">
        <v>41</v>
      </c>
      <c r="P780" t="s">
        <v>65</v>
      </c>
      <c r="Q780" t="s">
        <v>40</v>
      </c>
      <c r="R780" t="s">
        <v>109</v>
      </c>
      <c r="S780" t="s">
        <v>2643</v>
      </c>
      <c r="T780" t="s">
        <v>2644</v>
      </c>
      <c r="U780" t="s">
        <v>51</v>
      </c>
      <c r="V780" t="s">
        <v>52</v>
      </c>
      <c r="W780" t="s">
        <v>36</v>
      </c>
      <c r="X780" t="s">
        <v>69</v>
      </c>
      <c r="Y780" t="s">
        <v>47</v>
      </c>
      <c r="Z780" t="s">
        <v>40</v>
      </c>
      <c r="AA780" t="s">
        <v>54</v>
      </c>
      <c r="AB780" t="s">
        <v>45</v>
      </c>
      <c r="AC780" t="s">
        <v>144</v>
      </c>
      <c r="AD780" t="s">
        <v>41</v>
      </c>
      <c r="AE780" t="s">
        <v>45</v>
      </c>
      <c r="AF780" t="s">
        <v>128</v>
      </c>
      <c r="AG780" t="s">
        <v>98</v>
      </c>
      <c r="AH780" t="s">
        <v>40</v>
      </c>
      <c r="AI780" t="s">
        <v>71</v>
      </c>
    </row>
    <row r="781" spans="1:35" x14ac:dyDescent="0.25">
      <c r="A781" t="s">
        <v>155</v>
      </c>
      <c r="B781" t="s">
        <v>36</v>
      </c>
      <c r="C781" t="s">
        <v>37</v>
      </c>
      <c r="D781" t="s">
        <v>957</v>
      </c>
      <c r="E781" t="s">
        <v>62</v>
      </c>
      <c r="F781" t="s">
        <v>47</v>
      </c>
      <c r="G781" t="s">
        <v>47</v>
      </c>
      <c r="H781" t="s">
        <v>42</v>
      </c>
      <c r="I781" t="s">
        <v>40</v>
      </c>
      <c r="J781" t="s">
        <v>2645</v>
      </c>
      <c r="K781" t="s">
        <v>40</v>
      </c>
      <c r="L781" t="s">
        <v>63</v>
      </c>
      <c r="M781" t="s">
        <v>142</v>
      </c>
      <c r="N781" t="s">
        <v>45</v>
      </c>
      <c r="O781" t="s">
        <v>40</v>
      </c>
      <c r="P781" t="s">
        <v>65</v>
      </c>
      <c r="Q781" t="s">
        <v>45</v>
      </c>
      <c r="R781" t="s">
        <v>66</v>
      </c>
      <c r="S781" t="s">
        <v>2646</v>
      </c>
      <c r="T781" t="s">
        <v>2647</v>
      </c>
      <c r="U781" t="s">
        <v>91</v>
      </c>
      <c r="V781" t="s">
        <v>52</v>
      </c>
      <c r="W781" t="s">
        <v>36</v>
      </c>
      <c r="X781" t="s">
        <v>92</v>
      </c>
      <c r="Y781" t="s">
        <v>45</v>
      </c>
      <c r="Z781" t="s">
        <v>45</v>
      </c>
      <c r="AA781" t="s">
        <v>54</v>
      </c>
      <c r="AB781" t="s">
        <v>45</v>
      </c>
      <c r="AC781" t="s">
        <v>145</v>
      </c>
      <c r="AD781" t="s">
        <v>41</v>
      </c>
      <c r="AE781" t="s">
        <v>47</v>
      </c>
      <c r="AF781" t="s">
        <v>70</v>
      </c>
      <c r="AG781" t="s">
        <v>55</v>
      </c>
      <c r="AH781" t="s">
        <v>41</v>
      </c>
      <c r="AI781" t="s">
        <v>71</v>
      </c>
    </row>
    <row r="782" spans="1:35" x14ac:dyDescent="0.25">
      <c r="A782" t="s">
        <v>149</v>
      </c>
      <c r="B782" t="s">
        <v>36</v>
      </c>
      <c r="C782" t="s">
        <v>161</v>
      </c>
      <c r="D782" t="s">
        <v>2648</v>
      </c>
      <c r="E782" t="s">
        <v>62</v>
      </c>
      <c r="F782" t="s">
        <v>107</v>
      </c>
      <c r="G782" t="s">
        <v>41</v>
      </c>
      <c r="H782" t="s">
        <v>228</v>
      </c>
      <c r="I782" t="s">
        <v>40</v>
      </c>
      <c r="J782" t="s">
        <v>370</v>
      </c>
      <c r="K782" t="s">
        <v>41</v>
      </c>
      <c r="L782" t="s">
        <v>63</v>
      </c>
      <c r="M782" t="s">
        <v>201</v>
      </c>
      <c r="N782" t="s">
        <v>41</v>
      </c>
      <c r="O782" t="s">
        <v>45</v>
      </c>
      <c r="P782" t="s">
        <v>122</v>
      </c>
      <c r="Q782" t="s">
        <v>40</v>
      </c>
      <c r="R782" t="s">
        <v>48</v>
      </c>
      <c r="S782" t="s">
        <v>2649</v>
      </c>
      <c r="T782" t="s">
        <v>2650</v>
      </c>
      <c r="U782" t="s">
        <v>40</v>
      </c>
      <c r="V782" t="s">
        <v>52</v>
      </c>
      <c r="W782" t="s">
        <v>59</v>
      </c>
      <c r="X782" t="s">
        <v>92</v>
      </c>
      <c r="Y782" t="s">
        <v>45</v>
      </c>
      <c r="Z782" t="s">
        <v>40</v>
      </c>
      <c r="AA782" t="s">
        <v>54</v>
      </c>
      <c r="AB782" t="s">
        <v>55</v>
      </c>
      <c r="AC782" t="s">
        <v>70</v>
      </c>
      <c r="AD782" t="s">
        <v>41</v>
      </c>
      <c r="AE782" t="s">
        <v>41</v>
      </c>
      <c r="AF782" t="s">
        <v>70</v>
      </c>
      <c r="AG782" t="s">
        <v>71</v>
      </c>
      <c r="AH782" t="s">
        <v>40</v>
      </c>
      <c r="AI782" t="s">
        <v>91</v>
      </c>
    </row>
    <row r="783" spans="1:35" x14ac:dyDescent="0.25">
      <c r="A783" t="s">
        <v>139</v>
      </c>
      <c r="B783" t="s">
        <v>59</v>
      </c>
      <c r="C783" t="s">
        <v>37</v>
      </c>
      <c r="D783" t="s">
        <v>634</v>
      </c>
      <c r="E783" t="s">
        <v>62</v>
      </c>
      <c r="F783" t="s">
        <v>40</v>
      </c>
      <c r="G783" t="s">
        <v>41</v>
      </c>
      <c r="H783" t="s">
        <v>87</v>
      </c>
      <c r="I783" t="s">
        <v>40</v>
      </c>
      <c r="J783" t="s">
        <v>2651</v>
      </c>
      <c r="K783" t="s">
        <v>40</v>
      </c>
      <c r="L783" t="s">
        <v>63</v>
      </c>
      <c r="M783" t="s">
        <v>99</v>
      </c>
      <c r="N783" t="s">
        <v>41</v>
      </c>
      <c r="O783" t="s">
        <v>40</v>
      </c>
      <c r="P783" t="s">
        <v>76</v>
      </c>
      <c r="Q783" t="s">
        <v>40</v>
      </c>
      <c r="R783" t="s">
        <v>66</v>
      </c>
      <c r="S783" t="s">
        <v>2652</v>
      </c>
      <c r="T783" t="s">
        <v>2653</v>
      </c>
      <c r="U783" t="s">
        <v>40</v>
      </c>
      <c r="V783" t="s">
        <v>52</v>
      </c>
      <c r="W783" t="s">
        <v>59</v>
      </c>
      <c r="X783" t="s">
        <v>128</v>
      </c>
      <c r="Y783" t="s">
        <v>45</v>
      </c>
      <c r="Z783" t="s">
        <v>40</v>
      </c>
      <c r="AA783" t="s">
        <v>54</v>
      </c>
      <c r="AB783" t="s">
        <v>41</v>
      </c>
      <c r="AC783" t="s">
        <v>56</v>
      </c>
      <c r="AD783" t="s">
        <v>41</v>
      </c>
      <c r="AE783" t="s">
        <v>45</v>
      </c>
      <c r="AF783" t="s">
        <v>57</v>
      </c>
      <c r="AG783" t="s">
        <v>45</v>
      </c>
      <c r="AH783" t="s">
        <v>40</v>
      </c>
      <c r="AI783" t="s">
        <v>45</v>
      </c>
    </row>
    <row r="784" spans="1:35" x14ac:dyDescent="0.25">
      <c r="A784" t="s">
        <v>105</v>
      </c>
      <c r="B784" t="s">
        <v>59</v>
      </c>
      <c r="C784" t="s">
        <v>37</v>
      </c>
      <c r="D784" t="s">
        <v>1864</v>
      </c>
      <c r="E784" t="s">
        <v>62</v>
      </c>
      <c r="F784" t="s">
        <v>104</v>
      </c>
      <c r="G784" t="s">
        <v>45</v>
      </c>
      <c r="H784" t="s">
        <v>74</v>
      </c>
      <c r="I784" t="s">
        <v>40</v>
      </c>
      <c r="J784" t="s">
        <v>788</v>
      </c>
      <c r="K784" t="s">
        <v>45</v>
      </c>
      <c r="L784" t="s">
        <v>63</v>
      </c>
      <c r="M784" t="s">
        <v>348</v>
      </c>
      <c r="N784" t="s">
        <v>45</v>
      </c>
      <c r="O784" t="s">
        <v>41</v>
      </c>
      <c r="P784" t="s">
        <v>116</v>
      </c>
      <c r="Q784" t="s">
        <v>40</v>
      </c>
      <c r="R784" t="s">
        <v>66</v>
      </c>
      <c r="S784" t="s">
        <v>2654</v>
      </c>
      <c r="T784" t="s">
        <v>953</v>
      </c>
      <c r="U784" t="s">
        <v>55</v>
      </c>
      <c r="V784" t="s">
        <v>52</v>
      </c>
      <c r="W784" t="s">
        <v>59</v>
      </c>
      <c r="X784" t="s">
        <v>79</v>
      </c>
      <c r="Y784" t="s">
        <v>45</v>
      </c>
      <c r="Z784" t="s">
        <v>45</v>
      </c>
      <c r="AA784" t="s">
        <v>54</v>
      </c>
      <c r="AB784" t="s">
        <v>40</v>
      </c>
      <c r="AC784" t="s">
        <v>71</v>
      </c>
      <c r="AD784" t="s">
        <v>40</v>
      </c>
      <c r="AE784" t="s">
        <v>41</v>
      </c>
      <c r="AF784" t="s">
        <v>56</v>
      </c>
      <c r="AG784" t="s">
        <v>41</v>
      </c>
      <c r="AH784" t="s">
        <v>55</v>
      </c>
      <c r="AI784" t="s">
        <v>41</v>
      </c>
    </row>
    <row r="785" spans="1:35" x14ac:dyDescent="0.25">
      <c r="A785" t="s">
        <v>35</v>
      </c>
      <c r="B785" t="s">
        <v>59</v>
      </c>
      <c r="C785" t="s">
        <v>37</v>
      </c>
      <c r="D785" t="s">
        <v>1725</v>
      </c>
      <c r="E785" t="s">
        <v>62</v>
      </c>
      <c r="F785" t="s">
        <v>71</v>
      </c>
      <c r="G785" t="s">
        <v>41</v>
      </c>
      <c r="H785" t="s">
        <v>228</v>
      </c>
      <c r="I785" t="s">
        <v>40</v>
      </c>
      <c r="J785" t="s">
        <v>2334</v>
      </c>
      <c r="K785" t="s">
        <v>41</v>
      </c>
      <c r="L785" t="s">
        <v>43</v>
      </c>
      <c r="M785" t="s">
        <v>234</v>
      </c>
      <c r="N785" t="s">
        <v>47</v>
      </c>
      <c r="O785" t="s">
        <v>40</v>
      </c>
      <c r="P785" t="s">
        <v>65</v>
      </c>
      <c r="Q785" t="s">
        <v>45</v>
      </c>
      <c r="R785" t="s">
        <v>66</v>
      </c>
      <c r="S785" t="s">
        <v>2655</v>
      </c>
      <c r="T785" t="s">
        <v>2656</v>
      </c>
      <c r="U785" t="s">
        <v>40</v>
      </c>
      <c r="V785" t="s">
        <v>52</v>
      </c>
      <c r="W785" t="s">
        <v>59</v>
      </c>
      <c r="X785" t="s">
        <v>98</v>
      </c>
      <c r="Y785" t="s">
        <v>45</v>
      </c>
      <c r="Z785" t="s">
        <v>45</v>
      </c>
      <c r="AA785" t="s">
        <v>54</v>
      </c>
      <c r="AB785" t="s">
        <v>55</v>
      </c>
      <c r="AC785" t="s">
        <v>70</v>
      </c>
      <c r="AD785" t="s">
        <v>45</v>
      </c>
      <c r="AE785" t="s">
        <v>45</v>
      </c>
      <c r="AF785" t="s">
        <v>70</v>
      </c>
      <c r="AG785" t="s">
        <v>56</v>
      </c>
      <c r="AH785" t="s">
        <v>55</v>
      </c>
      <c r="AI785" t="s">
        <v>51</v>
      </c>
    </row>
    <row r="786" spans="1:35" x14ac:dyDescent="0.25">
      <c r="A786" t="s">
        <v>113</v>
      </c>
      <c r="B786" t="s">
        <v>59</v>
      </c>
      <c r="C786" t="s">
        <v>37</v>
      </c>
      <c r="D786" t="s">
        <v>987</v>
      </c>
      <c r="E786" t="s">
        <v>62</v>
      </c>
      <c r="F786" t="s">
        <v>125</v>
      </c>
      <c r="G786" t="s">
        <v>40</v>
      </c>
      <c r="H786" t="s">
        <v>42</v>
      </c>
      <c r="I786" t="s">
        <v>40</v>
      </c>
      <c r="J786" t="s">
        <v>2657</v>
      </c>
      <c r="K786" t="s">
        <v>45</v>
      </c>
      <c r="L786" t="s">
        <v>43</v>
      </c>
      <c r="M786" t="s">
        <v>296</v>
      </c>
      <c r="N786" t="s">
        <v>41</v>
      </c>
      <c r="O786" t="s">
        <v>45</v>
      </c>
      <c r="P786" t="s">
        <v>122</v>
      </c>
      <c r="Q786" t="s">
        <v>45</v>
      </c>
      <c r="R786" t="s">
        <v>66</v>
      </c>
      <c r="S786" t="s">
        <v>2658</v>
      </c>
      <c r="T786" t="s">
        <v>2659</v>
      </c>
      <c r="U786" t="s">
        <v>55</v>
      </c>
      <c r="V786" t="s">
        <v>52</v>
      </c>
      <c r="W786" t="s">
        <v>59</v>
      </c>
      <c r="X786" t="s">
        <v>145</v>
      </c>
      <c r="Y786" t="s">
        <v>45</v>
      </c>
      <c r="Z786" t="s">
        <v>40</v>
      </c>
      <c r="AA786" t="s">
        <v>54</v>
      </c>
      <c r="AB786" t="s">
        <v>40</v>
      </c>
      <c r="AC786" t="s">
        <v>104</v>
      </c>
      <c r="AD786" t="s">
        <v>47</v>
      </c>
      <c r="AE786" t="s">
        <v>41</v>
      </c>
      <c r="AF786" t="s">
        <v>144</v>
      </c>
      <c r="AG786" t="s">
        <v>91</v>
      </c>
      <c r="AH786" t="s">
        <v>40</v>
      </c>
      <c r="AI786" t="s">
        <v>91</v>
      </c>
    </row>
    <row r="787" spans="1:35" x14ac:dyDescent="0.25">
      <c r="A787" t="s">
        <v>88</v>
      </c>
      <c r="B787" t="s">
        <v>59</v>
      </c>
      <c r="C787" t="s">
        <v>37</v>
      </c>
      <c r="D787" t="s">
        <v>2660</v>
      </c>
      <c r="E787" t="s">
        <v>62</v>
      </c>
      <c r="F787" t="s">
        <v>104</v>
      </c>
      <c r="G787" t="s">
        <v>47</v>
      </c>
      <c r="H787" t="s">
        <v>228</v>
      </c>
      <c r="I787" t="s">
        <v>40</v>
      </c>
      <c r="J787" t="s">
        <v>2097</v>
      </c>
      <c r="K787" t="s">
        <v>40</v>
      </c>
      <c r="L787" t="s">
        <v>63</v>
      </c>
      <c r="M787" t="s">
        <v>64</v>
      </c>
      <c r="N787" t="s">
        <v>45</v>
      </c>
      <c r="O787" t="s">
        <v>45</v>
      </c>
      <c r="P787" t="s">
        <v>122</v>
      </c>
      <c r="Q787" t="s">
        <v>47</v>
      </c>
      <c r="R787" t="s">
        <v>66</v>
      </c>
      <c r="S787" t="s">
        <v>2457</v>
      </c>
      <c r="T787" t="s">
        <v>2661</v>
      </c>
      <c r="U787" t="s">
        <v>47</v>
      </c>
      <c r="V787" t="s">
        <v>52</v>
      </c>
      <c r="W787" t="s">
        <v>59</v>
      </c>
      <c r="X787" t="s">
        <v>104</v>
      </c>
      <c r="Y787" t="s">
        <v>47</v>
      </c>
      <c r="Z787" t="s">
        <v>47</v>
      </c>
      <c r="AA787" t="s">
        <v>54</v>
      </c>
      <c r="AB787" t="s">
        <v>40</v>
      </c>
      <c r="AC787" t="s">
        <v>129</v>
      </c>
      <c r="AD787" t="s">
        <v>56</v>
      </c>
      <c r="AE787" t="s">
        <v>45</v>
      </c>
      <c r="AF787" t="s">
        <v>53</v>
      </c>
      <c r="AG787" t="s">
        <v>70</v>
      </c>
      <c r="AH787" t="s">
        <v>53</v>
      </c>
      <c r="AI787" t="s">
        <v>40</v>
      </c>
    </row>
    <row r="788" spans="1:35" x14ac:dyDescent="0.25">
      <c r="A788" t="s">
        <v>85</v>
      </c>
      <c r="B788" t="s">
        <v>59</v>
      </c>
      <c r="C788" t="s">
        <v>161</v>
      </c>
      <c r="D788" t="s">
        <v>1647</v>
      </c>
      <c r="E788" t="s">
        <v>62</v>
      </c>
      <c r="F788" t="s">
        <v>51</v>
      </c>
      <c r="G788" t="s">
        <v>57</v>
      </c>
      <c r="H788" t="s">
        <v>42</v>
      </c>
      <c r="I788" t="s">
        <v>40</v>
      </c>
      <c r="J788" t="s">
        <v>1721</v>
      </c>
      <c r="K788" t="s">
        <v>40</v>
      </c>
      <c r="L788" t="s">
        <v>63</v>
      </c>
      <c r="M788" t="s">
        <v>371</v>
      </c>
      <c r="N788" t="s">
        <v>40</v>
      </c>
      <c r="O788" t="s">
        <v>40</v>
      </c>
      <c r="P788" t="s">
        <v>76</v>
      </c>
      <c r="Q788" t="s">
        <v>45</v>
      </c>
      <c r="R788" t="s">
        <v>66</v>
      </c>
      <c r="S788" t="s">
        <v>2662</v>
      </c>
      <c r="T788" t="s">
        <v>2663</v>
      </c>
      <c r="U788" t="s">
        <v>40</v>
      </c>
      <c r="V788" t="s">
        <v>52</v>
      </c>
      <c r="W788" t="s">
        <v>59</v>
      </c>
      <c r="X788" t="s">
        <v>144</v>
      </c>
      <c r="Y788" t="s">
        <v>45</v>
      </c>
      <c r="Z788" t="s">
        <v>47</v>
      </c>
      <c r="AA788" t="s">
        <v>54</v>
      </c>
      <c r="AB788" t="s">
        <v>45</v>
      </c>
      <c r="AC788" t="s">
        <v>45</v>
      </c>
      <c r="AD788" t="s">
        <v>47</v>
      </c>
      <c r="AE788" t="s">
        <v>45</v>
      </c>
      <c r="AF788" t="s">
        <v>45</v>
      </c>
      <c r="AG788" t="s">
        <v>41</v>
      </c>
      <c r="AH788" t="s">
        <v>40</v>
      </c>
      <c r="AI788" t="s">
        <v>41</v>
      </c>
    </row>
    <row r="789" spans="1:35" x14ac:dyDescent="0.25">
      <c r="A789" t="s">
        <v>263</v>
      </c>
      <c r="B789" t="s">
        <v>59</v>
      </c>
      <c r="C789" t="s">
        <v>60</v>
      </c>
      <c r="D789" t="s">
        <v>1265</v>
      </c>
      <c r="E789" t="s">
        <v>62</v>
      </c>
      <c r="F789" t="s">
        <v>41</v>
      </c>
      <c r="G789" t="s">
        <v>40</v>
      </c>
      <c r="H789" t="s">
        <v>42</v>
      </c>
      <c r="I789" t="s">
        <v>40</v>
      </c>
      <c r="J789" t="s">
        <v>2664</v>
      </c>
      <c r="K789" t="s">
        <v>47</v>
      </c>
      <c r="L789" t="s">
        <v>63</v>
      </c>
      <c r="M789" t="s">
        <v>296</v>
      </c>
      <c r="N789" t="s">
        <v>45</v>
      </c>
      <c r="O789" t="s">
        <v>45</v>
      </c>
      <c r="P789" t="s">
        <v>116</v>
      </c>
      <c r="Q789" t="s">
        <v>41</v>
      </c>
      <c r="R789" t="s">
        <v>66</v>
      </c>
      <c r="S789" t="s">
        <v>2665</v>
      </c>
      <c r="T789" t="s">
        <v>2666</v>
      </c>
      <c r="U789" t="s">
        <v>45</v>
      </c>
      <c r="V789" t="s">
        <v>52</v>
      </c>
      <c r="W789" t="s">
        <v>59</v>
      </c>
      <c r="X789" t="s">
        <v>145</v>
      </c>
      <c r="Y789" t="s">
        <v>45</v>
      </c>
      <c r="Z789" t="s">
        <v>41</v>
      </c>
      <c r="AA789" t="s">
        <v>54</v>
      </c>
      <c r="AB789" t="s">
        <v>40</v>
      </c>
      <c r="AC789" t="s">
        <v>69</v>
      </c>
      <c r="AD789" t="s">
        <v>47</v>
      </c>
      <c r="AE789" t="s">
        <v>45</v>
      </c>
      <c r="AF789" t="s">
        <v>45</v>
      </c>
      <c r="AG789" t="s">
        <v>41</v>
      </c>
      <c r="AH789" t="s">
        <v>40</v>
      </c>
      <c r="AI789" t="s">
        <v>41</v>
      </c>
    </row>
    <row r="790" spans="1:35" x14ac:dyDescent="0.25">
      <c r="A790" t="s">
        <v>149</v>
      </c>
      <c r="B790" t="s">
        <v>59</v>
      </c>
      <c r="C790" t="s">
        <v>37</v>
      </c>
      <c r="D790" t="s">
        <v>656</v>
      </c>
      <c r="E790" t="s">
        <v>62</v>
      </c>
      <c r="F790" t="s">
        <v>70</v>
      </c>
      <c r="G790" t="s">
        <v>45</v>
      </c>
      <c r="H790" t="s">
        <v>74</v>
      </c>
      <c r="I790" t="s">
        <v>40</v>
      </c>
      <c r="J790" t="s">
        <v>303</v>
      </c>
      <c r="K790" t="s">
        <v>45</v>
      </c>
      <c r="L790" t="s">
        <v>43</v>
      </c>
      <c r="M790" t="s">
        <v>99</v>
      </c>
      <c r="N790" t="s">
        <v>45</v>
      </c>
      <c r="O790" t="s">
        <v>41</v>
      </c>
      <c r="P790" t="s">
        <v>65</v>
      </c>
      <c r="Q790" t="s">
        <v>45</v>
      </c>
      <c r="R790" t="s">
        <v>48</v>
      </c>
      <c r="S790" t="s">
        <v>2667</v>
      </c>
      <c r="T790" t="s">
        <v>2668</v>
      </c>
      <c r="U790" t="s">
        <v>45</v>
      </c>
      <c r="V790" t="s">
        <v>52</v>
      </c>
      <c r="W790" t="s">
        <v>59</v>
      </c>
      <c r="X790" t="s">
        <v>98</v>
      </c>
      <c r="Y790" t="s">
        <v>45</v>
      </c>
      <c r="Z790" t="s">
        <v>47</v>
      </c>
      <c r="AA790" t="s">
        <v>54</v>
      </c>
      <c r="AB790" t="s">
        <v>55</v>
      </c>
      <c r="AC790" t="s">
        <v>70</v>
      </c>
      <c r="AD790" t="s">
        <v>47</v>
      </c>
      <c r="AE790" t="s">
        <v>47</v>
      </c>
      <c r="AF790" t="s">
        <v>51</v>
      </c>
      <c r="AG790" t="s">
        <v>71</v>
      </c>
      <c r="AH790" t="s">
        <v>40</v>
      </c>
      <c r="AI790" t="s">
        <v>71</v>
      </c>
    </row>
    <row r="791" spans="1:35" x14ac:dyDescent="0.25">
      <c r="A791" t="s">
        <v>115</v>
      </c>
      <c r="B791" t="s">
        <v>36</v>
      </c>
      <c r="C791" t="s">
        <v>37</v>
      </c>
      <c r="D791" t="s">
        <v>2433</v>
      </c>
      <c r="E791" t="s">
        <v>397</v>
      </c>
      <c r="F791" t="s">
        <v>40</v>
      </c>
      <c r="G791" t="s">
        <v>41</v>
      </c>
      <c r="H791" t="s">
        <v>87</v>
      </c>
      <c r="I791" t="s">
        <v>40</v>
      </c>
      <c r="J791" t="s">
        <v>2669</v>
      </c>
      <c r="K791" t="s">
        <v>41</v>
      </c>
      <c r="L791" t="s">
        <v>63</v>
      </c>
      <c r="M791" t="s">
        <v>364</v>
      </c>
      <c r="N791" t="s">
        <v>41</v>
      </c>
      <c r="O791" t="s">
        <v>45</v>
      </c>
      <c r="P791" t="s">
        <v>397</v>
      </c>
      <c r="Q791" t="s">
        <v>40</v>
      </c>
      <c r="R791" t="s">
        <v>66</v>
      </c>
      <c r="S791" t="s">
        <v>2670</v>
      </c>
      <c r="T791" t="s">
        <v>1191</v>
      </c>
      <c r="U791" t="s">
        <v>91</v>
      </c>
      <c r="V791" t="s">
        <v>52</v>
      </c>
      <c r="W791" t="s">
        <v>59</v>
      </c>
      <c r="X791" t="s">
        <v>129</v>
      </c>
      <c r="Y791" t="s">
        <v>45</v>
      </c>
      <c r="Z791" t="s">
        <v>47</v>
      </c>
      <c r="AA791" t="s">
        <v>54</v>
      </c>
      <c r="AB791" t="s">
        <v>40</v>
      </c>
      <c r="AC791" t="s">
        <v>107</v>
      </c>
      <c r="AD791" t="s">
        <v>40</v>
      </c>
      <c r="AE791" t="s">
        <v>45</v>
      </c>
      <c r="AF791" t="s">
        <v>104</v>
      </c>
      <c r="AG791" t="s">
        <v>56</v>
      </c>
      <c r="AH791" t="s">
        <v>45</v>
      </c>
      <c r="AI791" t="s">
        <v>56</v>
      </c>
    </row>
    <row r="792" spans="1:35" x14ac:dyDescent="0.25">
      <c r="A792" t="s">
        <v>80</v>
      </c>
      <c r="B792" t="s">
        <v>59</v>
      </c>
      <c r="C792" t="s">
        <v>37</v>
      </c>
      <c r="D792" t="s">
        <v>1964</v>
      </c>
      <c r="E792" t="s">
        <v>62</v>
      </c>
      <c r="F792" t="s">
        <v>57</v>
      </c>
      <c r="G792" t="s">
        <v>45</v>
      </c>
      <c r="H792" t="s">
        <v>42</v>
      </c>
      <c r="I792" t="s">
        <v>40</v>
      </c>
      <c r="J792" t="s">
        <v>1614</v>
      </c>
      <c r="K792" t="s">
        <v>47</v>
      </c>
      <c r="L792" t="s">
        <v>63</v>
      </c>
      <c r="M792" t="s">
        <v>142</v>
      </c>
      <c r="N792" t="s">
        <v>41</v>
      </c>
      <c r="O792" t="s">
        <v>45</v>
      </c>
      <c r="P792" t="s">
        <v>122</v>
      </c>
      <c r="Q792" t="s">
        <v>47</v>
      </c>
      <c r="R792" t="s">
        <v>109</v>
      </c>
      <c r="S792" t="s">
        <v>2671</v>
      </c>
      <c r="T792" t="s">
        <v>2672</v>
      </c>
      <c r="U792" t="s">
        <v>47</v>
      </c>
      <c r="V792" t="s">
        <v>52</v>
      </c>
      <c r="W792" t="s">
        <v>59</v>
      </c>
      <c r="X792" t="s">
        <v>79</v>
      </c>
      <c r="Y792" t="s">
        <v>45</v>
      </c>
      <c r="Z792" t="s">
        <v>45</v>
      </c>
      <c r="AA792" t="s">
        <v>54</v>
      </c>
      <c r="AB792" t="s">
        <v>40</v>
      </c>
      <c r="AC792" t="s">
        <v>91</v>
      </c>
      <c r="AD792" t="s">
        <v>41</v>
      </c>
      <c r="AE792" t="s">
        <v>45</v>
      </c>
      <c r="AF792" t="s">
        <v>45</v>
      </c>
      <c r="AG792" t="s">
        <v>41</v>
      </c>
      <c r="AH792" t="s">
        <v>40</v>
      </c>
      <c r="AI792" t="s">
        <v>41</v>
      </c>
    </row>
    <row r="793" spans="1:35" x14ac:dyDescent="0.25">
      <c r="A793" t="s">
        <v>126</v>
      </c>
      <c r="B793" t="s">
        <v>36</v>
      </c>
      <c r="C793" t="s">
        <v>37</v>
      </c>
      <c r="D793" t="s">
        <v>2673</v>
      </c>
      <c r="E793" t="s">
        <v>39</v>
      </c>
      <c r="F793" t="s">
        <v>47</v>
      </c>
      <c r="G793" t="s">
        <v>45</v>
      </c>
      <c r="H793" t="s">
        <v>228</v>
      </c>
      <c r="I793" t="s">
        <v>40</v>
      </c>
      <c r="J793" t="s">
        <v>2674</v>
      </c>
      <c r="K793" t="s">
        <v>47</v>
      </c>
      <c r="L793" t="s">
        <v>63</v>
      </c>
      <c r="M793" t="s">
        <v>240</v>
      </c>
      <c r="N793" t="s">
        <v>45</v>
      </c>
      <c r="O793" t="s">
        <v>45</v>
      </c>
      <c r="P793" t="s">
        <v>46</v>
      </c>
      <c r="Q793" t="s">
        <v>40</v>
      </c>
      <c r="R793" t="s">
        <v>48</v>
      </c>
      <c r="S793" t="s">
        <v>2675</v>
      </c>
      <c r="T793" t="s">
        <v>2676</v>
      </c>
      <c r="U793" t="s">
        <v>55</v>
      </c>
      <c r="V793" t="s">
        <v>52</v>
      </c>
      <c r="W793" t="s">
        <v>36</v>
      </c>
      <c r="X793" t="s">
        <v>112</v>
      </c>
      <c r="Y793" t="s">
        <v>47</v>
      </c>
      <c r="Z793" t="s">
        <v>40</v>
      </c>
      <c r="AA793" t="s">
        <v>54</v>
      </c>
      <c r="AB793" t="s">
        <v>55</v>
      </c>
      <c r="AC793" t="s">
        <v>91</v>
      </c>
      <c r="AD793" t="s">
        <v>41</v>
      </c>
      <c r="AE793" t="s">
        <v>45</v>
      </c>
      <c r="AF793" t="s">
        <v>51</v>
      </c>
      <c r="AG793" t="s">
        <v>71</v>
      </c>
      <c r="AH793" t="s">
        <v>47</v>
      </c>
      <c r="AI793" t="s">
        <v>71</v>
      </c>
    </row>
    <row r="794" spans="1:35" x14ac:dyDescent="0.25">
      <c r="A794" t="s">
        <v>80</v>
      </c>
      <c r="B794" t="s">
        <v>36</v>
      </c>
      <c r="C794" t="s">
        <v>60</v>
      </c>
      <c r="D794" t="s">
        <v>480</v>
      </c>
      <c r="E794" t="s">
        <v>62</v>
      </c>
      <c r="F794" t="s">
        <v>133</v>
      </c>
      <c r="G794" t="s">
        <v>47</v>
      </c>
      <c r="H794" t="s">
        <v>87</v>
      </c>
      <c r="I794" t="s">
        <v>40</v>
      </c>
      <c r="J794" t="s">
        <v>2677</v>
      </c>
      <c r="K794" t="s">
        <v>40</v>
      </c>
      <c r="L794" t="s">
        <v>43</v>
      </c>
      <c r="M794" t="s">
        <v>259</v>
      </c>
      <c r="N794" t="s">
        <v>41</v>
      </c>
      <c r="O794" t="s">
        <v>41</v>
      </c>
      <c r="P794" t="s">
        <v>65</v>
      </c>
      <c r="Q794" t="s">
        <v>45</v>
      </c>
      <c r="R794" t="s">
        <v>48</v>
      </c>
      <c r="S794" t="s">
        <v>2678</v>
      </c>
      <c r="T794" t="s">
        <v>2679</v>
      </c>
      <c r="U794" t="s">
        <v>40</v>
      </c>
      <c r="V794" t="s">
        <v>52</v>
      </c>
      <c r="W794" t="s">
        <v>59</v>
      </c>
      <c r="X794" t="s">
        <v>112</v>
      </c>
      <c r="Y794" t="s">
        <v>47</v>
      </c>
      <c r="Z794" t="s">
        <v>41</v>
      </c>
      <c r="AA794" t="s">
        <v>54</v>
      </c>
      <c r="AB794" t="s">
        <v>55</v>
      </c>
      <c r="AC794" t="s">
        <v>129</v>
      </c>
      <c r="AD794" t="s">
        <v>47</v>
      </c>
      <c r="AE794" t="s">
        <v>45</v>
      </c>
      <c r="AF794" t="s">
        <v>98</v>
      </c>
      <c r="AG794" t="s">
        <v>71</v>
      </c>
      <c r="AH794" t="s">
        <v>45</v>
      </c>
      <c r="AI794" t="s">
        <v>51</v>
      </c>
    </row>
    <row r="795" spans="1:35" x14ac:dyDescent="0.25">
      <c r="A795" t="s">
        <v>149</v>
      </c>
      <c r="B795" t="s">
        <v>59</v>
      </c>
      <c r="C795" t="s">
        <v>37</v>
      </c>
      <c r="D795" t="s">
        <v>227</v>
      </c>
      <c r="E795" t="s">
        <v>62</v>
      </c>
      <c r="F795" t="s">
        <v>79</v>
      </c>
      <c r="G795" t="s">
        <v>41</v>
      </c>
      <c r="H795" t="s">
        <v>42</v>
      </c>
      <c r="I795" t="s">
        <v>40</v>
      </c>
      <c r="J795" t="s">
        <v>38</v>
      </c>
      <c r="K795" t="s">
        <v>40</v>
      </c>
      <c r="L795" t="s">
        <v>63</v>
      </c>
      <c r="M795" t="s">
        <v>151</v>
      </c>
      <c r="N795" t="s">
        <v>45</v>
      </c>
      <c r="O795" t="s">
        <v>40</v>
      </c>
      <c r="P795" t="s">
        <v>76</v>
      </c>
      <c r="Q795" t="s">
        <v>45</v>
      </c>
      <c r="R795" t="s">
        <v>109</v>
      </c>
      <c r="S795" t="s">
        <v>2680</v>
      </c>
      <c r="T795" t="s">
        <v>2681</v>
      </c>
      <c r="U795" t="s">
        <v>40</v>
      </c>
      <c r="V795" t="s">
        <v>52</v>
      </c>
      <c r="W795" t="s">
        <v>59</v>
      </c>
      <c r="X795" t="s">
        <v>128</v>
      </c>
      <c r="Y795" t="s">
        <v>45</v>
      </c>
      <c r="Z795" t="s">
        <v>47</v>
      </c>
      <c r="AA795" t="s">
        <v>54</v>
      </c>
      <c r="AB795" t="s">
        <v>40</v>
      </c>
      <c r="AC795" t="s">
        <v>47</v>
      </c>
      <c r="AD795" t="s">
        <v>57</v>
      </c>
      <c r="AE795" t="s">
        <v>41</v>
      </c>
      <c r="AF795" t="s">
        <v>47</v>
      </c>
      <c r="AG795" t="s">
        <v>41</v>
      </c>
      <c r="AH795" t="s">
        <v>41</v>
      </c>
      <c r="AI795" t="s">
        <v>41</v>
      </c>
    </row>
    <row r="796" spans="1:35" x14ac:dyDescent="0.25">
      <c r="A796" t="s">
        <v>142</v>
      </c>
      <c r="B796" t="s">
        <v>59</v>
      </c>
      <c r="C796" t="s">
        <v>60</v>
      </c>
      <c r="D796" t="s">
        <v>1730</v>
      </c>
      <c r="E796" t="s">
        <v>62</v>
      </c>
      <c r="F796" t="s">
        <v>45</v>
      </c>
      <c r="G796" t="s">
        <v>40</v>
      </c>
      <c r="H796" t="s">
        <v>42</v>
      </c>
      <c r="I796" t="s">
        <v>40</v>
      </c>
      <c r="J796" t="s">
        <v>2682</v>
      </c>
      <c r="K796" t="s">
        <v>40</v>
      </c>
      <c r="L796" t="s">
        <v>63</v>
      </c>
      <c r="M796" t="s">
        <v>174</v>
      </c>
      <c r="N796" t="s">
        <v>45</v>
      </c>
      <c r="O796" t="s">
        <v>41</v>
      </c>
      <c r="P796" t="s">
        <v>122</v>
      </c>
      <c r="Q796" t="s">
        <v>47</v>
      </c>
      <c r="R796" t="s">
        <v>48</v>
      </c>
      <c r="S796" t="s">
        <v>2683</v>
      </c>
      <c r="T796" t="s">
        <v>2684</v>
      </c>
      <c r="U796" t="s">
        <v>55</v>
      </c>
      <c r="V796" t="s">
        <v>52</v>
      </c>
      <c r="W796" t="s">
        <v>59</v>
      </c>
      <c r="X796" t="s">
        <v>125</v>
      </c>
      <c r="Y796" t="s">
        <v>45</v>
      </c>
      <c r="Z796" t="s">
        <v>45</v>
      </c>
      <c r="AA796" t="s">
        <v>54</v>
      </c>
      <c r="AB796" t="s">
        <v>55</v>
      </c>
      <c r="AC796" t="s">
        <v>71</v>
      </c>
      <c r="AD796" t="s">
        <v>40</v>
      </c>
      <c r="AE796" t="s">
        <v>41</v>
      </c>
      <c r="AF796" t="s">
        <v>56</v>
      </c>
      <c r="AG796" t="s">
        <v>41</v>
      </c>
      <c r="AH796" t="s">
        <v>55</v>
      </c>
      <c r="AI796" t="s">
        <v>47</v>
      </c>
    </row>
    <row r="797" spans="1:35" x14ac:dyDescent="0.25">
      <c r="A797" t="s">
        <v>72</v>
      </c>
      <c r="B797" t="s">
        <v>59</v>
      </c>
      <c r="C797" t="s">
        <v>37</v>
      </c>
      <c r="D797" t="s">
        <v>939</v>
      </c>
      <c r="E797" t="s">
        <v>39</v>
      </c>
      <c r="F797" t="s">
        <v>70</v>
      </c>
      <c r="G797" t="s">
        <v>47</v>
      </c>
      <c r="H797" t="s">
        <v>42</v>
      </c>
      <c r="I797" t="s">
        <v>40</v>
      </c>
      <c r="J797" t="s">
        <v>1227</v>
      </c>
      <c r="K797" t="s">
        <v>47</v>
      </c>
      <c r="L797" t="s">
        <v>43</v>
      </c>
      <c r="M797" t="s">
        <v>356</v>
      </c>
      <c r="N797" t="s">
        <v>41</v>
      </c>
      <c r="O797" t="s">
        <v>41</v>
      </c>
      <c r="P797" t="s">
        <v>46</v>
      </c>
      <c r="Q797" t="s">
        <v>47</v>
      </c>
      <c r="R797" t="s">
        <v>109</v>
      </c>
      <c r="S797" t="s">
        <v>2685</v>
      </c>
      <c r="T797" t="s">
        <v>2686</v>
      </c>
      <c r="U797" t="s">
        <v>41</v>
      </c>
      <c r="V797" t="s">
        <v>52</v>
      </c>
      <c r="W797" t="s">
        <v>36</v>
      </c>
      <c r="X797" t="s">
        <v>129</v>
      </c>
      <c r="Y797" t="s">
        <v>45</v>
      </c>
      <c r="Z797" t="s">
        <v>45</v>
      </c>
      <c r="AA797" t="s">
        <v>54</v>
      </c>
      <c r="AB797" t="s">
        <v>45</v>
      </c>
      <c r="AC797" t="s">
        <v>51</v>
      </c>
      <c r="AD797" t="s">
        <v>57</v>
      </c>
      <c r="AE797" t="s">
        <v>45</v>
      </c>
      <c r="AF797" t="s">
        <v>40</v>
      </c>
      <c r="AG797" t="s">
        <v>55</v>
      </c>
      <c r="AH797" t="s">
        <v>55</v>
      </c>
      <c r="AI797" t="s">
        <v>55</v>
      </c>
    </row>
    <row r="798" spans="1:35" x14ac:dyDescent="0.25">
      <c r="A798" t="s">
        <v>172</v>
      </c>
      <c r="B798" t="s">
        <v>36</v>
      </c>
      <c r="C798" t="s">
        <v>37</v>
      </c>
      <c r="D798" t="s">
        <v>167</v>
      </c>
      <c r="E798" t="s">
        <v>62</v>
      </c>
      <c r="F798" t="s">
        <v>47</v>
      </c>
      <c r="G798" t="s">
        <v>40</v>
      </c>
      <c r="H798" t="s">
        <v>228</v>
      </c>
      <c r="I798" t="s">
        <v>40</v>
      </c>
      <c r="J798" t="s">
        <v>2687</v>
      </c>
      <c r="K798" t="s">
        <v>47</v>
      </c>
      <c r="L798" t="s">
        <v>63</v>
      </c>
      <c r="M798" t="s">
        <v>93</v>
      </c>
      <c r="N798" t="s">
        <v>45</v>
      </c>
      <c r="O798" t="s">
        <v>40</v>
      </c>
      <c r="P798" t="s">
        <v>76</v>
      </c>
      <c r="Q798" t="s">
        <v>47</v>
      </c>
      <c r="R798" t="s">
        <v>66</v>
      </c>
      <c r="S798" t="s">
        <v>2688</v>
      </c>
      <c r="T798" t="s">
        <v>2689</v>
      </c>
      <c r="U798" t="s">
        <v>40</v>
      </c>
      <c r="V798" t="s">
        <v>52</v>
      </c>
      <c r="W798" t="s">
        <v>36</v>
      </c>
      <c r="X798" t="s">
        <v>79</v>
      </c>
      <c r="Y798" t="s">
        <v>45</v>
      </c>
      <c r="Z798" t="s">
        <v>41</v>
      </c>
      <c r="AA798" t="s">
        <v>54</v>
      </c>
      <c r="AB798" t="s">
        <v>40</v>
      </c>
      <c r="AC798" t="s">
        <v>71</v>
      </c>
      <c r="AD798" t="s">
        <v>45</v>
      </c>
      <c r="AE798" t="s">
        <v>47</v>
      </c>
      <c r="AF798" t="s">
        <v>71</v>
      </c>
      <c r="AG798" t="s">
        <v>71</v>
      </c>
      <c r="AH798" t="s">
        <v>57</v>
      </c>
      <c r="AI798" t="s">
        <v>56</v>
      </c>
    </row>
    <row r="799" spans="1:35" x14ac:dyDescent="0.25">
      <c r="A799" t="s">
        <v>139</v>
      </c>
      <c r="B799" t="s">
        <v>36</v>
      </c>
      <c r="C799" t="s">
        <v>37</v>
      </c>
      <c r="D799" t="s">
        <v>2690</v>
      </c>
      <c r="E799" t="s">
        <v>62</v>
      </c>
      <c r="F799" t="s">
        <v>119</v>
      </c>
      <c r="G799" t="s">
        <v>45</v>
      </c>
      <c r="H799" t="s">
        <v>87</v>
      </c>
      <c r="I799" t="s">
        <v>40</v>
      </c>
      <c r="J799" t="s">
        <v>1495</v>
      </c>
      <c r="K799" t="s">
        <v>40</v>
      </c>
      <c r="L799" t="s">
        <v>63</v>
      </c>
      <c r="M799" t="s">
        <v>72</v>
      </c>
      <c r="N799" t="s">
        <v>45</v>
      </c>
      <c r="O799" t="s">
        <v>40</v>
      </c>
      <c r="P799" t="s">
        <v>76</v>
      </c>
      <c r="Q799" t="s">
        <v>45</v>
      </c>
      <c r="R799" t="s">
        <v>109</v>
      </c>
      <c r="S799" t="s">
        <v>2339</v>
      </c>
      <c r="T799" t="s">
        <v>1939</v>
      </c>
      <c r="U799" t="s">
        <v>40</v>
      </c>
      <c r="V799" t="s">
        <v>52</v>
      </c>
      <c r="W799" t="s">
        <v>59</v>
      </c>
      <c r="X799" t="s">
        <v>104</v>
      </c>
      <c r="Y799" t="s">
        <v>47</v>
      </c>
      <c r="Z799" t="s">
        <v>45</v>
      </c>
      <c r="AA799" t="s">
        <v>54</v>
      </c>
      <c r="AB799" t="s">
        <v>40</v>
      </c>
      <c r="AC799" t="s">
        <v>40</v>
      </c>
      <c r="AD799" t="s">
        <v>55</v>
      </c>
      <c r="AE799" t="s">
        <v>41</v>
      </c>
      <c r="AF799" t="s">
        <v>40</v>
      </c>
      <c r="AG799" t="s">
        <v>40</v>
      </c>
      <c r="AH799" t="s">
        <v>55</v>
      </c>
      <c r="AI799" t="s">
        <v>55</v>
      </c>
    </row>
    <row r="800" spans="1:35" x14ac:dyDescent="0.25">
      <c r="A800" t="s">
        <v>80</v>
      </c>
      <c r="B800" t="s">
        <v>36</v>
      </c>
      <c r="C800" t="s">
        <v>37</v>
      </c>
      <c r="D800" t="s">
        <v>1020</v>
      </c>
      <c r="E800" t="s">
        <v>62</v>
      </c>
      <c r="F800" t="s">
        <v>172</v>
      </c>
      <c r="G800" t="s">
        <v>45</v>
      </c>
      <c r="H800" t="s">
        <v>87</v>
      </c>
      <c r="I800" t="s">
        <v>40</v>
      </c>
      <c r="J800" t="s">
        <v>2691</v>
      </c>
      <c r="K800" t="s">
        <v>40</v>
      </c>
      <c r="L800" t="s">
        <v>63</v>
      </c>
      <c r="M800" t="s">
        <v>263</v>
      </c>
      <c r="N800" t="s">
        <v>41</v>
      </c>
      <c r="O800" t="s">
        <v>40</v>
      </c>
      <c r="P800" t="s">
        <v>65</v>
      </c>
      <c r="Q800" t="s">
        <v>41</v>
      </c>
      <c r="R800" t="s">
        <v>48</v>
      </c>
      <c r="S800" t="s">
        <v>2692</v>
      </c>
      <c r="T800" t="s">
        <v>2693</v>
      </c>
      <c r="U800" t="s">
        <v>47</v>
      </c>
      <c r="V800" t="s">
        <v>52</v>
      </c>
      <c r="W800" t="s">
        <v>36</v>
      </c>
      <c r="X800" t="s">
        <v>104</v>
      </c>
      <c r="Y800" t="s">
        <v>47</v>
      </c>
      <c r="Z800" t="s">
        <v>41</v>
      </c>
      <c r="AA800" t="s">
        <v>54</v>
      </c>
      <c r="AB800" t="s">
        <v>55</v>
      </c>
      <c r="AC800" t="s">
        <v>57</v>
      </c>
      <c r="AD800" t="s">
        <v>55</v>
      </c>
      <c r="AE800" t="s">
        <v>45</v>
      </c>
      <c r="AF800" t="s">
        <v>41</v>
      </c>
      <c r="AG800" t="s">
        <v>41</v>
      </c>
      <c r="AH800" t="s">
        <v>41</v>
      </c>
      <c r="AI800" t="s">
        <v>41</v>
      </c>
    </row>
    <row r="801" spans="1:35" x14ac:dyDescent="0.25">
      <c r="A801" t="s">
        <v>204</v>
      </c>
      <c r="B801" t="s">
        <v>59</v>
      </c>
      <c r="C801" t="s">
        <v>37</v>
      </c>
      <c r="D801" t="s">
        <v>1377</v>
      </c>
      <c r="E801" t="s">
        <v>62</v>
      </c>
      <c r="F801" t="s">
        <v>41</v>
      </c>
      <c r="G801" t="s">
        <v>41</v>
      </c>
      <c r="H801" t="s">
        <v>87</v>
      </c>
      <c r="I801" t="s">
        <v>40</v>
      </c>
      <c r="J801" t="s">
        <v>2586</v>
      </c>
      <c r="K801" t="s">
        <v>47</v>
      </c>
      <c r="L801" t="s">
        <v>63</v>
      </c>
      <c r="M801" t="s">
        <v>126</v>
      </c>
      <c r="N801" t="s">
        <v>45</v>
      </c>
      <c r="O801" t="s">
        <v>47</v>
      </c>
      <c r="P801" t="s">
        <v>169</v>
      </c>
      <c r="Q801" t="s">
        <v>40</v>
      </c>
      <c r="R801" t="s">
        <v>66</v>
      </c>
      <c r="S801" t="s">
        <v>2694</v>
      </c>
      <c r="T801" t="s">
        <v>2695</v>
      </c>
      <c r="U801" t="s">
        <v>55</v>
      </c>
      <c r="V801" t="s">
        <v>52</v>
      </c>
      <c r="W801" t="s">
        <v>59</v>
      </c>
      <c r="X801" t="s">
        <v>125</v>
      </c>
      <c r="Y801" t="s">
        <v>45</v>
      </c>
      <c r="Z801" t="s">
        <v>47</v>
      </c>
      <c r="AA801" t="s">
        <v>54</v>
      </c>
      <c r="AB801" t="s">
        <v>40</v>
      </c>
      <c r="AC801" t="s">
        <v>69</v>
      </c>
      <c r="AD801" t="s">
        <v>45</v>
      </c>
      <c r="AE801" t="s">
        <v>45</v>
      </c>
      <c r="AF801" t="s">
        <v>112</v>
      </c>
      <c r="AG801" t="s">
        <v>56</v>
      </c>
      <c r="AH801" t="s">
        <v>98</v>
      </c>
      <c r="AI801" t="s">
        <v>71</v>
      </c>
    </row>
    <row r="802" spans="1:35" x14ac:dyDescent="0.25">
      <c r="A802" t="s">
        <v>149</v>
      </c>
      <c r="B802" t="s">
        <v>36</v>
      </c>
      <c r="C802" t="s">
        <v>60</v>
      </c>
      <c r="D802" t="s">
        <v>1628</v>
      </c>
      <c r="E802" t="s">
        <v>62</v>
      </c>
      <c r="F802" t="s">
        <v>40</v>
      </c>
      <c r="G802" t="s">
        <v>45</v>
      </c>
      <c r="H802" t="s">
        <v>87</v>
      </c>
      <c r="I802" t="s">
        <v>40</v>
      </c>
      <c r="J802" t="s">
        <v>2087</v>
      </c>
      <c r="K802" t="s">
        <v>40</v>
      </c>
      <c r="L802" t="s">
        <v>63</v>
      </c>
      <c r="M802" t="s">
        <v>174</v>
      </c>
      <c r="N802" t="s">
        <v>41</v>
      </c>
      <c r="O802" t="s">
        <v>40</v>
      </c>
      <c r="P802" t="s">
        <v>76</v>
      </c>
      <c r="Q802" t="s">
        <v>41</v>
      </c>
      <c r="R802" t="s">
        <v>109</v>
      </c>
      <c r="S802" t="s">
        <v>2696</v>
      </c>
      <c r="T802" t="s">
        <v>2697</v>
      </c>
      <c r="U802" t="s">
        <v>40</v>
      </c>
      <c r="V802" t="s">
        <v>52</v>
      </c>
      <c r="W802" t="s">
        <v>59</v>
      </c>
      <c r="X802" t="s">
        <v>79</v>
      </c>
      <c r="Y802" t="s">
        <v>45</v>
      </c>
      <c r="Z802" t="s">
        <v>40</v>
      </c>
      <c r="AA802" t="s">
        <v>54</v>
      </c>
      <c r="AB802" t="s">
        <v>41</v>
      </c>
      <c r="AC802" t="s">
        <v>40</v>
      </c>
      <c r="AD802" t="s">
        <v>41</v>
      </c>
      <c r="AE802" t="s">
        <v>45</v>
      </c>
      <c r="AF802" t="s">
        <v>40</v>
      </c>
      <c r="AG802" t="s">
        <v>55</v>
      </c>
      <c r="AH802" t="s">
        <v>55</v>
      </c>
      <c r="AI802" t="s">
        <v>55</v>
      </c>
    </row>
    <row r="803" spans="1:35" x14ac:dyDescent="0.25">
      <c r="A803" t="s">
        <v>151</v>
      </c>
      <c r="B803" t="s">
        <v>36</v>
      </c>
      <c r="C803" t="s">
        <v>60</v>
      </c>
      <c r="D803" t="s">
        <v>622</v>
      </c>
      <c r="E803" t="s">
        <v>39</v>
      </c>
      <c r="F803" t="s">
        <v>40</v>
      </c>
      <c r="G803" t="s">
        <v>47</v>
      </c>
      <c r="H803" t="s">
        <v>74</v>
      </c>
      <c r="I803" t="s">
        <v>40</v>
      </c>
      <c r="J803" t="s">
        <v>2698</v>
      </c>
      <c r="K803" t="s">
        <v>47</v>
      </c>
      <c r="L803" t="s">
        <v>63</v>
      </c>
      <c r="M803" t="s">
        <v>101</v>
      </c>
      <c r="N803" t="s">
        <v>45</v>
      </c>
      <c r="O803" t="s">
        <v>41</v>
      </c>
      <c r="P803" t="s">
        <v>46</v>
      </c>
      <c r="Q803" t="s">
        <v>45</v>
      </c>
      <c r="R803" t="s">
        <v>48</v>
      </c>
      <c r="S803" t="s">
        <v>2699</v>
      </c>
      <c r="T803" t="s">
        <v>2700</v>
      </c>
      <c r="U803" t="s">
        <v>45</v>
      </c>
      <c r="V803" t="s">
        <v>52</v>
      </c>
      <c r="W803" t="s">
        <v>36</v>
      </c>
      <c r="X803" t="s">
        <v>129</v>
      </c>
      <c r="Y803" t="s">
        <v>45</v>
      </c>
      <c r="Z803" t="s">
        <v>47</v>
      </c>
      <c r="AA803" t="s">
        <v>54</v>
      </c>
      <c r="AB803" t="s">
        <v>55</v>
      </c>
      <c r="AC803" t="s">
        <v>57</v>
      </c>
      <c r="AD803" t="s">
        <v>47</v>
      </c>
      <c r="AE803" t="s">
        <v>45</v>
      </c>
      <c r="AF803" t="s">
        <v>55</v>
      </c>
      <c r="AG803" t="s">
        <v>55</v>
      </c>
      <c r="AH803" t="s">
        <v>55</v>
      </c>
      <c r="AI803" t="s">
        <v>55</v>
      </c>
    </row>
    <row r="804" spans="1:35" x14ac:dyDescent="0.25">
      <c r="A804" t="s">
        <v>80</v>
      </c>
      <c r="B804" t="s">
        <v>59</v>
      </c>
      <c r="C804" t="s">
        <v>60</v>
      </c>
      <c r="D804" t="s">
        <v>1945</v>
      </c>
      <c r="E804" t="s">
        <v>39</v>
      </c>
      <c r="F804" t="s">
        <v>71</v>
      </c>
      <c r="G804" t="s">
        <v>45</v>
      </c>
      <c r="H804" t="s">
        <v>42</v>
      </c>
      <c r="I804" t="s">
        <v>40</v>
      </c>
      <c r="J804" t="s">
        <v>2701</v>
      </c>
      <c r="K804" t="s">
        <v>47</v>
      </c>
      <c r="L804" t="s">
        <v>43</v>
      </c>
      <c r="M804" t="s">
        <v>105</v>
      </c>
      <c r="N804" t="s">
        <v>45</v>
      </c>
      <c r="O804" t="s">
        <v>41</v>
      </c>
      <c r="P804" t="s">
        <v>46</v>
      </c>
      <c r="Q804" t="s">
        <v>41</v>
      </c>
      <c r="R804" t="s">
        <v>66</v>
      </c>
      <c r="S804" t="s">
        <v>2702</v>
      </c>
      <c r="T804" t="s">
        <v>2703</v>
      </c>
      <c r="U804" t="s">
        <v>55</v>
      </c>
      <c r="V804" t="s">
        <v>52</v>
      </c>
      <c r="W804" t="s">
        <v>59</v>
      </c>
      <c r="X804" t="s">
        <v>125</v>
      </c>
      <c r="Y804" t="s">
        <v>45</v>
      </c>
      <c r="Z804" t="s">
        <v>45</v>
      </c>
      <c r="AA804" t="s">
        <v>54</v>
      </c>
      <c r="AB804" t="s">
        <v>40</v>
      </c>
      <c r="AC804" t="s">
        <v>47</v>
      </c>
      <c r="AD804" t="s">
        <v>45</v>
      </c>
      <c r="AE804" t="s">
        <v>45</v>
      </c>
      <c r="AF804" t="s">
        <v>45</v>
      </c>
      <c r="AG804" t="s">
        <v>41</v>
      </c>
      <c r="AH804" t="s">
        <v>55</v>
      </c>
      <c r="AI804" t="s">
        <v>41</v>
      </c>
    </row>
    <row r="805" spans="1:35" x14ac:dyDescent="0.25">
      <c r="A805" t="s">
        <v>142</v>
      </c>
      <c r="B805" t="s">
        <v>59</v>
      </c>
      <c r="C805" t="s">
        <v>161</v>
      </c>
      <c r="D805" t="s">
        <v>2704</v>
      </c>
      <c r="E805" t="s">
        <v>62</v>
      </c>
      <c r="F805" t="s">
        <v>45</v>
      </c>
      <c r="G805" t="s">
        <v>47</v>
      </c>
      <c r="H805" t="s">
        <v>42</v>
      </c>
      <c r="I805" t="s">
        <v>40</v>
      </c>
      <c r="J805" t="s">
        <v>325</v>
      </c>
      <c r="K805" t="s">
        <v>45</v>
      </c>
      <c r="L805" t="s">
        <v>63</v>
      </c>
      <c r="M805" t="s">
        <v>88</v>
      </c>
      <c r="N805" t="s">
        <v>41</v>
      </c>
      <c r="O805" t="s">
        <v>40</v>
      </c>
      <c r="P805" t="s">
        <v>65</v>
      </c>
      <c r="Q805" t="s">
        <v>47</v>
      </c>
      <c r="R805" t="s">
        <v>66</v>
      </c>
      <c r="S805" t="s">
        <v>2705</v>
      </c>
      <c r="T805" t="s">
        <v>2706</v>
      </c>
      <c r="U805" t="s">
        <v>45</v>
      </c>
      <c r="V805" t="s">
        <v>52</v>
      </c>
      <c r="W805" t="s">
        <v>59</v>
      </c>
      <c r="X805" t="s">
        <v>125</v>
      </c>
      <c r="Y805" t="s">
        <v>45</v>
      </c>
      <c r="Z805" t="s">
        <v>47</v>
      </c>
      <c r="AA805" t="s">
        <v>54</v>
      </c>
      <c r="AB805" t="s">
        <v>45</v>
      </c>
      <c r="AC805" t="s">
        <v>56</v>
      </c>
      <c r="AD805" t="s">
        <v>41</v>
      </c>
      <c r="AE805" t="s">
        <v>45</v>
      </c>
      <c r="AF805" t="s">
        <v>55</v>
      </c>
      <c r="AG805" t="s">
        <v>55</v>
      </c>
      <c r="AH805" t="s">
        <v>55</v>
      </c>
      <c r="AI805" t="s">
        <v>55</v>
      </c>
    </row>
    <row r="806" spans="1:35" x14ac:dyDescent="0.25">
      <c r="A806" t="s">
        <v>207</v>
      </c>
      <c r="B806" t="s">
        <v>59</v>
      </c>
      <c r="C806" t="s">
        <v>161</v>
      </c>
      <c r="D806" t="s">
        <v>2707</v>
      </c>
      <c r="E806" t="s">
        <v>62</v>
      </c>
      <c r="F806" t="s">
        <v>40</v>
      </c>
      <c r="G806" t="s">
        <v>47</v>
      </c>
      <c r="H806" t="s">
        <v>87</v>
      </c>
      <c r="I806" t="s">
        <v>40</v>
      </c>
      <c r="J806" t="s">
        <v>1618</v>
      </c>
      <c r="K806" t="s">
        <v>40</v>
      </c>
      <c r="L806" t="s">
        <v>63</v>
      </c>
      <c r="M806" t="s">
        <v>126</v>
      </c>
      <c r="N806" t="s">
        <v>47</v>
      </c>
      <c r="O806" t="s">
        <v>47</v>
      </c>
      <c r="P806" t="s">
        <v>169</v>
      </c>
      <c r="Q806" t="s">
        <v>47</v>
      </c>
      <c r="R806" t="s">
        <v>48</v>
      </c>
      <c r="S806" t="s">
        <v>1322</v>
      </c>
      <c r="T806" t="s">
        <v>2708</v>
      </c>
      <c r="U806" t="s">
        <v>41</v>
      </c>
      <c r="V806" t="s">
        <v>52</v>
      </c>
      <c r="W806" t="s">
        <v>59</v>
      </c>
      <c r="X806" t="s">
        <v>112</v>
      </c>
      <c r="Y806" t="s">
        <v>47</v>
      </c>
      <c r="Z806" t="s">
        <v>45</v>
      </c>
      <c r="AA806" t="s">
        <v>54</v>
      </c>
      <c r="AB806" t="s">
        <v>55</v>
      </c>
      <c r="AC806" t="s">
        <v>85</v>
      </c>
      <c r="AD806" t="s">
        <v>45</v>
      </c>
      <c r="AE806" t="s">
        <v>41</v>
      </c>
      <c r="AF806" t="s">
        <v>57</v>
      </c>
      <c r="AG806" t="s">
        <v>47</v>
      </c>
      <c r="AH806" t="s">
        <v>41</v>
      </c>
      <c r="AI806" t="s">
        <v>40</v>
      </c>
    </row>
    <row r="807" spans="1:35" x14ac:dyDescent="0.25">
      <c r="A807" t="s">
        <v>174</v>
      </c>
      <c r="B807" t="s">
        <v>59</v>
      </c>
      <c r="C807" t="s">
        <v>161</v>
      </c>
      <c r="D807" t="s">
        <v>2599</v>
      </c>
      <c r="E807" t="s">
        <v>39</v>
      </c>
      <c r="F807" t="s">
        <v>91</v>
      </c>
      <c r="G807" t="s">
        <v>47</v>
      </c>
      <c r="H807" t="s">
        <v>42</v>
      </c>
      <c r="I807" t="s">
        <v>40</v>
      </c>
      <c r="J807" t="s">
        <v>1170</v>
      </c>
      <c r="K807" t="s">
        <v>41</v>
      </c>
      <c r="L807" t="s">
        <v>43</v>
      </c>
      <c r="M807" t="s">
        <v>296</v>
      </c>
      <c r="N807" t="s">
        <v>41</v>
      </c>
      <c r="O807" t="s">
        <v>41</v>
      </c>
      <c r="P807" t="s">
        <v>46</v>
      </c>
      <c r="Q807" t="s">
        <v>45</v>
      </c>
      <c r="R807" t="s">
        <v>66</v>
      </c>
      <c r="S807" t="s">
        <v>2709</v>
      </c>
      <c r="T807" t="s">
        <v>2710</v>
      </c>
      <c r="U807" t="s">
        <v>40</v>
      </c>
      <c r="V807" t="s">
        <v>52</v>
      </c>
      <c r="W807" t="s">
        <v>59</v>
      </c>
      <c r="X807" t="s">
        <v>98</v>
      </c>
      <c r="Y807" t="s">
        <v>45</v>
      </c>
      <c r="Z807" t="s">
        <v>47</v>
      </c>
      <c r="AA807" t="s">
        <v>54</v>
      </c>
      <c r="AB807" t="s">
        <v>40</v>
      </c>
      <c r="AC807" t="s">
        <v>79</v>
      </c>
      <c r="AD807" t="s">
        <v>41</v>
      </c>
      <c r="AE807" t="s">
        <v>45</v>
      </c>
      <c r="AF807" t="s">
        <v>79</v>
      </c>
      <c r="AG807" t="s">
        <v>70</v>
      </c>
      <c r="AH807" t="s">
        <v>47</v>
      </c>
      <c r="AI807" t="s">
        <v>92</v>
      </c>
    </row>
    <row r="808" spans="1:35" x14ac:dyDescent="0.25">
      <c r="A808" t="s">
        <v>251</v>
      </c>
      <c r="B808" t="s">
        <v>59</v>
      </c>
      <c r="C808" t="s">
        <v>37</v>
      </c>
      <c r="D808" t="s">
        <v>265</v>
      </c>
      <c r="E808" t="s">
        <v>62</v>
      </c>
      <c r="F808" t="s">
        <v>71</v>
      </c>
      <c r="G808" t="s">
        <v>47</v>
      </c>
      <c r="H808" t="s">
        <v>42</v>
      </c>
      <c r="I808" t="s">
        <v>40</v>
      </c>
      <c r="J808" t="s">
        <v>2711</v>
      </c>
      <c r="K808" t="s">
        <v>41</v>
      </c>
      <c r="L808" t="s">
        <v>63</v>
      </c>
      <c r="M808" t="s">
        <v>371</v>
      </c>
      <c r="N808" t="s">
        <v>45</v>
      </c>
      <c r="O808" t="s">
        <v>45</v>
      </c>
      <c r="P808" t="s">
        <v>122</v>
      </c>
      <c r="Q808" t="s">
        <v>41</v>
      </c>
      <c r="R808" t="s">
        <v>48</v>
      </c>
      <c r="S808" t="s">
        <v>2712</v>
      </c>
      <c r="T808" t="s">
        <v>2713</v>
      </c>
      <c r="U808" t="s">
        <v>71</v>
      </c>
      <c r="V808" t="s">
        <v>52</v>
      </c>
      <c r="W808" t="s">
        <v>59</v>
      </c>
      <c r="X808" t="s">
        <v>144</v>
      </c>
      <c r="Y808" t="s">
        <v>45</v>
      </c>
      <c r="Z808" t="s">
        <v>47</v>
      </c>
      <c r="AA808" t="s">
        <v>54</v>
      </c>
      <c r="AB808" t="s">
        <v>55</v>
      </c>
      <c r="AC808" t="s">
        <v>145</v>
      </c>
      <c r="AD808" t="s">
        <v>47</v>
      </c>
      <c r="AE808" t="s">
        <v>45</v>
      </c>
      <c r="AF808" t="s">
        <v>51</v>
      </c>
      <c r="AG808" t="s">
        <v>56</v>
      </c>
      <c r="AH808" t="s">
        <v>47</v>
      </c>
      <c r="AI808" t="s">
        <v>55</v>
      </c>
    </row>
    <row r="809" spans="1:35" x14ac:dyDescent="0.25">
      <c r="A809" t="s">
        <v>113</v>
      </c>
      <c r="B809" t="s">
        <v>59</v>
      </c>
      <c r="C809" t="s">
        <v>37</v>
      </c>
      <c r="D809" t="s">
        <v>2714</v>
      </c>
      <c r="E809" t="s">
        <v>39</v>
      </c>
      <c r="F809" t="s">
        <v>70</v>
      </c>
      <c r="G809" t="s">
        <v>47</v>
      </c>
      <c r="H809" t="s">
        <v>206</v>
      </c>
      <c r="I809" t="s">
        <v>40</v>
      </c>
      <c r="J809" t="s">
        <v>2715</v>
      </c>
      <c r="K809" t="s">
        <v>45</v>
      </c>
      <c r="L809" t="s">
        <v>63</v>
      </c>
      <c r="M809" t="s">
        <v>279</v>
      </c>
      <c r="N809" t="s">
        <v>41</v>
      </c>
      <c r="O809" t="s">
        <v>45</v>
      </c>
      <c r="P809" t="s">
        <v>46</v>
      </c>
      <c r="Q809" t="s">
        <v>45</v>
      </c>
      <c r="R809" t="s">
        <v>109</v>
      </c>
      <c r="S809" t="s">
        <v>2716</v>
      </c>
      <c r="T809" t="s">
        <v>2717</v>
      </c>
      <c r="U809" t="s">
        <v>55</v>
      </c>
      <c r="V809" t="s">
        <v>52</v>
      </c>
      <c r="W809" t="s">
        <v>36</v>
      </c>
      <c r="X809" t="s">
        <v>129</v>
      </c>
      <c r="Y809" t="s">
        <v>45</v>
      </c>
      <c r="Z809" t="s">
        <v>41</v>
      </c>
      <c r="AA809" t="s">
        <v>54</v>
      </c>
      <c r="AB809" t="s">
        <v>41</v>
      </c>
      <c r="AC809" t="s">
        <v>91</v>
      </c>
      <c r="AD809" t="s">
        <v>41</v>
      </c>
      <c r="AE809" t="s">
        <v>45</v>
      </c>
      <c r="AF809" t="s">
        <v>51</v>
      </c>
      <c r="AG809" t="s">
        <v>71</v>
      </c>
      <c r="AH809" t="s">
        <v>41</v>
      </c>
      <c r="AI809" t="s">
        <v>71</v>
      </c>
    </row>
    <row r="810" spans="1:35" x14ac:dyDescent="0.25">
      <c r="A810" t="s">
        <v>133</v>
      </c>
      <c r="B810" t="s">
        <v>59</v>
      </c>
      <c r="C810" t="s">
        <v>37</v>
      </c>
      <c r="D810" t="s">
        <v>1495</v>
      </c>
      <c r="E810" t="s">
        <v>62</v>
      </c>
      <c r="F810" t="s">
        <v>149</v>
      </c>
      <c r="G810" t="s">
        <v>47</v>
      </c>
      <c r="H810" t="s">
        <v>42</v>
      </c>
      <c r="I810" t="s">
        <v>40</v>
      </c>
      <c r="J810" t="s">
        <v>2718</v>
      </c>
      <c r="K810" t="s">
        <v>45</v>
      </c>
      <c r="L810" t="s">
        <v>43</v>
      </c>
      <c r="M810" t="s">
        <v>146</v>
      </c>
      <c r="N810" t="s">
        <v>45</v>
      </c>
      <c r="O810" t="s">
        <v>40</v>
      </c>
      <c r="P810" t="s">
        <v>65</v>
      </c>
      <c r="Q810" t="s">
        <v>47</v>
      </c>
      <c r="R810" t="s">
        <v>109</v>
      </c>
      <c r="S810" t="s">
        <v>2719</v>
      </c>
      <c r="T810" t="s">
        <v>2720</v>
      </c>
      <c r="U810" t="s">
        <v>47</v>
      </c>
      <c r="V810" t="s">
        <v>52</v>
      </c>
      <c r="W810" t="s">
        <v>59</v>
      </c>
      <c r="X810" t="s">
        <v>112</v>
      </c>
      <c r="Y810" t="s">
        <v>47</v>
      </c>
      <c r="Z810" t="s">
        <v>40</v>
      </c>
      <c r="AA810" t="s">
        <v>54</v>
      </c>
      <c r="AB810" t="s">
        <v>40</v>
      </c>
      <c r="AC810" t="s">
        <v>53</v>
      </c>
      <c r="AD810" t="s">
        <v>40</v>
      </c>
      <c r="AE810" t="s">
        <v>45</v>
      </c>
      <c r="AF810" t="s">
        <v>71</v>
      </c>
      <c r="AG810" t="s">
        <v>57</v>
      </c>
      <c r="AH810" t="s">
        <v>40</v>
      </c>
      <c r="AI810" t="s">
        <v>71</v>
      </c>
    </row>
    <row r="811" spans="1:35" x14ac:dyDescent="0.25">
      <c r="A811" t="s">
        <v>149</v>
      </c>
      <c r="B811" t="s">
        <v>59</v>
      </c>
      <c r="C811" t="s">
        <v>37</v>
      </c>
      <c r="D811" t="s">
        <v>1185</v>
      </c>
      <c r="E811" t="s">
        <v>62</v>
      </c>
      <c r="F811" t="s">
        <v>45</v>
      </c>
      <c r="G811" t="s">
        <v>45</v>
      </c>
      <c r="H811" t="s">
        <v>87</v>
      </c>
      <c r="I811" t="s">
        <v>40</v>
      </c>
      <c r="J811" t="s">
        <v>2721</v>
      </c>
      <c r="K811" t="s">
        <v>47</v>
      </c>
      <c r="L811" t="s">
        <v>43</v>
      </c>
      <c r="M811" t="s">
        <v>146</v>
      </c>
      <c r="N811" t="s">
        <v>45</v>
      </c>
      <c r="O811" t="s">
        <v>45</v>
      </c>
      <c r="P811" t="s">
        <v>116</v>
      </c>
      <c r="Q811" t="s">
        <v>41</v>
      </c>
      <c r="R811" t="s">
        <v>109</v>
      </c>
      <c r="S811" t="s">
        <v>2722</v>
      </c>
      <c r="T811" t="s">
        <v>2723</v>
      </c>
      <c r="U811" t="s">
        <v>55</v>
      </c>
      <c r="V811" t="s">
        <v>52</v>
      </c>
      <c r="W811" t="s">
        <v>59</v>
      </c>
      <c r="X811" t="s">
        <v>125</v>
      </c>
      <c r="Y811" t="s">
        <v>45</v>
      </c>
      <c r="Z811" t="s">
        <v>41</v>
      </c>
      <c r="AA811" t="s">
        <v>54</v>
      </c>
      <c r="AB811" t="s">
        <v>45</v>
      </c>
      <c r="AC811" t="s">
        <v>70</v>
      </c>
      <c r="AD811" t="s">
        <v>45</v>
      </c>
      <c r="AE811" t="s">
        <v>41</v>
      </c>
      <c r="AF811" t="s">
        <v>91</v>
      </c>
      <c r="AG811" t="s">
        <v>71</v>
      </c>
      <c r="AH811" t="s">
        <v>40</v>
      </c>
      <c r="AI811" t="s">
        <v>71</v>
      </c>
    </row>
    <row r="812" spans="1:35" x14ac:dyDescent="0.25">
      <c r="A812" t="s">
        <v>213</v>
      </c>
      <c r="B812" t="s">
        <v>59</v>
      </c>
      <c r="C812" t="s">
        <v>37</v>
      </c>
      <c r="D812" t="s">
        <v>1199</v>
      </c>
      <c r="E812" t="s">
        <v>39</v>
      </c>
      <c r="F812" t="s">
        <v>45</v>
      </c>
      <c r="G812" t="s">
        <v>40</v>
      </c>
      <c r="H812" t="s">
        <v>206</v>
      </c>
      <c r="I812" t="s">
        <v>40</v>
      </c>
      <c r="J812" t="s">
        <v>1330</v>
      </c>
      <c r="K812" t="s">
        <v>40</v>
      </c>
      <c r="L812" t="s">
        <v>63</v>
      </c>
      <c r="M812" t="s">
        <v>251</v>
      </c>
      <c r="N812" t="s">
        <v>45</v>
      </c>
      <c r="O812" t="s">
        <v>47</v>
      </c>
      <c r="P812" t="s">
        <v>169</v>
      </c>
      <c r="Q812" t="s">
        <v>45</v>
      </c>
      <c r="R812" t="s">
        <v>66</v>
      </c>
      <c r="S812" t="s">
        <v>2724</v>
      </c>
      <c r="T812" t="s">
        <v>2725</v>
      </c>
      <c r="U812" t="s">
        <v>45</v>
      </c>
      <c r="V812" t="s">
        <v>52</v>
      </c>
      <c r="W812" t="s">
        <v>59</v>
      </c>
      <c r="X812" t="s">
        <v>92</v>
      </c>
      <c r="Y812" t="s">
        <v>45</v>
      </c>
      <c r="Z812" t="s">
        <v>47</v>
      </c>
      <c r="AA812" t="s">
        <v>54</v>
      </c>
      <c r="AB812" t="s">
        <v>40</v>
      </c>
      <c r="AC812" t="s">
        <v>69</v>
      </c>
      <c r="AD812" t="s">
        <v>45</v>
      </c>
      <c r="AE812" t="s">
        <v>45</v>
      </c>
      <c r="AF812" t="s">
        <v>92</v>
      </c>
      <c r="AG812" t="s">
        <v>91</v>
      </c>
      <c r="AH812" t="s">
        <v>47</v>
      </c>
      <c r="AI812" t="s">
        <v>91</v>
      </c>
    </row>
    <row r="813" spans="1:35" x14ac:dyDescent="0.25">
      <c r="A813" t="s">
        <v>113</v>
      </c>
      <c r="B813" t="s">
        <v>59</v>
      </c>
      <c r="C813" t="s">
        <v>37</v>
      </c>
      <c r="D813" t="s">
        <v>2245</v>
      </c>
      <c r="E813" t="s">
        <v>39</v>
      </c>
      <c r="F813" t="s">
        <v>41</v>
      </c>
      <c r="G813" t="s">
        <v>41</v>
      </c>
      <c r="H813" t="s">
        <v>206</v>
      </c>
      <c r="I813" t="s">
        <v>40</v>
      </c>
      <c r="J813" t="s">
        <v>200</v>
      </c>
      <c r="K813" t="s">
        <v>47</v>
      </c>
      <c r="L813" t="s">
        <v>63</v>
      </c>
      <c r="M813" t="s">
        <v>93</v>
      </c>
      <c r="N813" t="s">
        <v>45</v>
      </c>
      <c r="O813" t="s">
        <v>45</v>
      </c>
      <c r="P813" t="s">
        <v>46</v>
      </c>
      <c r="Q813" t="s">
        <v>41</v>
      </c>
      <c r="R813" t="s">
        <v>48</v>
      </c>
      <c r="S813" t="s">
        <v>2726</v>
      </c>
      <c r="T813" t="s">
        <v>2727</v>
      </c>
      <c r="U813" t="s">
        <v>71</v>
      </c>
      <c r="V813" t="s">
        <v>52</v>
      </c>
      <c r="W813" t="s">
        <v>59</v>
      </c>
      <c r="X813" t="s">
        <v>128</v>
      </c>
      <c r="Y813" t="s">
        <v>45</v>
      </c>
      <c r="Z813" t="s">
        <v>45</v>
      </c>
      <c r="AA813" t="s">
        <v>54</v>
      </c>
      <c r="AB813" t="s">
        <v>55</v>
      </c>
      <c r="AC813" t="s">
        <v>70</v>
      </c>
      <c r="AD813" t="s">
        <v>41</v>
      </c>
      <c r="AE813" t="s">
        <v>45</v>
      </c>
      <c r="AF813" t="s">
        <v>40</v>
      </c>
      <c r="AG813" t="s">
        <v>55</v>
      </c>
      <c r="AH813" t="s">
        <v>55</v>
      </c>
      <c r="AI813" t="s">
        <v>55</v>
      </c>
    </row>
    <row r="814" spans="1:35" x14ac:dyDescent="0.25">
      <c r="A814" t="s">
        <v>234</v>
      </c>
      <c r="B814" t="s">
        <v>59</v>
      </c>
      <c r="C814" t="s">
        <v>60</v>
      </c>
      <c r="D814" t="s">
        <v>370</v>
      </c>
      <c r="E814" t="s">
        <v>62</v>
      </c>
      <c r="F814" t="s">
        <v>85</v>
      </c>
      <c r="G814" t="s">
        <v>45</v>
      </c>
      <c r="H814" t="s">
        <v>42</v>
      </c>
      <c r="I814" t="s">
        <v>40</v>
      </c>
      <c r="J814" t="s">
        <v>2464</v>
      </c>
      <c r="K814" t="s">
        <v>45</v>
      </c>
      <c r="L814" t="s">
        <v>43</v>
      </c>
      <c r="M814" t="s">
        <v>193</v>
      </c>
      <c r="N814" t="s">
        <v>45</v>
      </c>
      <c r="O814" t="s">
        <v>45</v>
      </c>
      <c r="P814" t="s">
        <v>116</v>
      </c>
      <c r="Q814" t="s">
        <v>40</v>
      </c>
      <c r="R814" t="s">
        <v>66</v>
      </c>
      <c r="S814" t="s">
        <v>2728</v>
      </c>
      <c r="T814" t="s">
        <v>2729</v>
      </c>
      <c r="U814" t="s">
        <v>51</v>
      </c>
      <c r="V814" t="s">
        <v>52</v>
      </c>
      <c r="W814" t="s">
        <v>59</v>
      </c>
      <c r="X814" t="s">
        <v>53</v>
      </c>
      <c r="Y814" t="s">
        <v>45</v>
      </c>
      <c r="Z814" t="s">
        <v>45</v>
      </c>
      <c r="AA814" t="s">
        <v>54</v>
      </c>
      <c r="AB814" t="s">
        <v>40</v>
      </c>
      <c r="AC814" t="s">
        <v>145</v>
      </c>
      <c r="AD814" t="s">
        <v>40</v>
      </c>
      <c r="AE814" t="s">
        <v>45</v>
      </c>
      <c r="AF814" t="s">
        <v>51</v>
      </c>
      <c r="AG814" t="s">
        <v>71</v>
      </c>
      <c r="AH814" t="s">
        <v>55</v>
      </c>
      <c r="AI814" t="s">
        <v>40</v>
      </c>
    </row>
    <row r="815" spans="1:35" x14ac:dyDescent="0.25">
      <c r="A815" t="s">
        <v>218</v>
      </c>
      <c r="B815" t="s">
        <v>36</v>
      </c>
      <c r="C815" t="s">
        <v>60</v>
      </c>
      <c r="D815" t="s">
        <v>2730</v>
      </c>
      <c r="E815" t="s">
        <v>62</v>
      </c>
      <c r="F815" t="s">
        <v>41</v>
      </c>
      <c r="G815" t="s">
        <v>45</v>
      </c>
      <c r="H815" t="s">
        <v>42</v>
      </c>
      <c r="I815" t="s">
        <v>40</v>
      </c>
      <c r="J815" t="s">
        <v>526</v>
      </c>
      <c r="K815" t="s">
        <v>40</v>
      </c>
      <c r="L815" t="s">
        <v>63</v>
      </c>
      <c r="M815" t="s">
        <v>130</v>
      </c>
      <c r="N815" t="s">
        <v>45</v>
      </c>
      <c r="O815" t="s">
        <v>47</v>
      </c>
      <c r="P815" t="s">
        <v>122</v>
      </c>
      <c r="Q815" t="s">
        <v>47</v>
      </c>
      <c r="R815" t="s">
        <v>109</v>
      </c>
      <c r="S815" t="s">
        <v>2731</v>
      </c>
      <c r="T815" t="s">
        <v>2732</v>
      </c>
      <c r="U815" t="s">
        <v>71</v>
      </c>
      <c r="V815" t="s">
        <v>52</v>
      </c>
      <c r="W815" t="s">
        <v>59</v>
      </c>
      <c r="X815" t="s">
        <v>53</v>
      </c>
      <c r="Y815" t="s">
        <v>45</v>
      </c>
      <c r="Z815" t="s">
        <v>47</v>
      </c>
      <c r="AA815" t="s">
        <v>54</v>
      </c>
      <c r="AB815" t="s">
        <v>45</v>
      </c>
      <c r="AC815" t="s">
        <v>119</v>
      </c>
      <c r="AD815" t="s">
        <v>47</v>
      </c>
      <c r="AE815" t="s">
        <v>45</v>
      </c>
      <c r="AF815" t="s">
        <v>145</v>
      </c>
      <c r="AG815" t="s">
        <v>71</v>
      </c>
      <c r="AH815" t="s">
        <v>53</v>
      </c>
      <c r="AI815" t="s">
        <v>57</v>
      </c>
    </row>
    <row r="816" spans="1:35" x14ac:dyDescent="0.25">
      <c r="A816" t="s">
        <v>88</v>
      </c>
      <c r="B816" t="s">
        <v>59</v>
      </c>
      <c r="C816" t="s">
        <v>37</v>
      </c>
      <c r="D816" t="s">
        <v>2733</v>
      </c>
      <c r="E816" t="s">
        <v>62</v>
      </c>
      <c r="F816" t="s">
        <v>129</v>
      </c>
      <c r="G816" t="s">
        <v>45</v>
      </c>
      <c r="H816" t="s">
        <v>87</v>
      </c>
      <c r="I816" t="s">
        <v>40</v>
      </c>
      <c r="J816" t="s">
        <v>2734</v>
      </c>
      <c r="K816" t="s">
        <v>45</v>
      </c>
      <c r="L816" t="s">
        <v>63</v>
      </c>
      <c r="M816" t="s">
        <v>115</v>
      </c>
      <c r="N816" t="s">
        <v>41</v>
      </c>
      <c r="O816" t="s">
        <v>57</v>
      </c>
      <c r="P816" t="s">
        <v>186</v>
      </c>
      <c r="Q816" t="s">
        <v>45</v>
      </c>
      <c r="R816" t="s">
        <v>48</v>
      </c>
      <c r="S816" t="s">
        <v>2735</v>
      </c>
      <c r="T816" t="s">
        <v>2736</v>
      </c>
      <c r="U816" t="s">
        <v>40</v>
      </c>
      <c r="V816" t="s">
        <v>52</v>
      </c>
      <c r="W816" t="s">
        <v>59</v>
      </c>
      <c r="X816" t="s">
        <v>129</v>
      </c>
      <c r="Y816" t="s">
        <v>45</v>
      </c>
      <c r="Z816" t="s">
        <v>40</v>
      </c>
      <c r="AA816" t="s">
        <v>54</v>
      </c>
      <c r="AB816" t="s">
        <v>55</v>
      </c>
      <c r="AC816" t="s">
        <v>119</v>
      </c>
      <c r="AD816" t="s">
        <v>41</v>
      </c>
      <c r="AE816" t="s">
        <v>47</v>
      </c>
      <c r="AF816" t="s">
        <v>104</v>
      </c>
      <c r="AG816" t="s">
        <v>71</v>
      </c>
      <c r="AH816" t="s">
        <v>47</v>
      </c>
      <c r="AI816" t="s">
        <v>91</v>
      </c>
    </row>
    <row r="817" spans="1:35" x14ac:dyDescent="0.25">
      <c r="A817" t="s">
        <v>119</v>
      </c>
      <c r="B817" t="s">
        <v>59</v>
      </c>
      <c r="C817" t="s">
        <v>37</v>
      </c>
      <c r="D817" t="s">
        <v>2441</v>
      </c>
      <c r="E817" t="s">
        <v>62</v>
      </c>
      <c r="F817" t="s">
        <v>40</v>
      </c>
      <c r="G817" t="s">
        <v>40</v>
      </c>
      <c r="H817" t="s">
        <v>228</v>
      </c>
      <c r="I817" t="s">
        <v>40</v>
      </c>
      <c r="J817" t="s">
        <v>2737</v>
      </c>
      <c r="K817" t="s">
        <v>47</v>
      </c>
      <c r="L817" t="s">
        <v>43</v>
      </c>
      <c r="M817" t="s">
        <v>304</v>
      </c>
      <c r="N817" t="s">
        <v>41</v>
      </c>
      <c r="O817" t="s">
        <v>40</v>
      </c>
      <c r="P817" t="s">
        <v>65</v>
      </c>
      <c r="Q817" t="s">
        <v>41</v>
      </c>
      <c r="R817" t="s">
        <v>48</v>
      </c>
      <c r="S817" t="s">
        <v>1111</v>
      </c>
      <c r="T817" t="s">
        <v>722</v>
      </c>
      <c r="U817" t="s">
        <v>40</v>
      </c>
      <c r="V817" t="s">
        <v>52</v>
      </c>
      <c r="W817" t="s">
        <v>36</v>
      </c>
      <c r="X817" t="s">
        <v>53</v>
      </c>
      <c r="Y817" t="s">
        <v>45</v>
      </c>
      <c r="Z817" t="s">
        <v>45</v>
      </c>
      <c r="AA817" t="s">
        <v>54</v>
      </c>
      <c r="AB817" t="s">
        <v>55</v>
      </c>
      <c r="AC817" t="s">
        <v>41</v>
      </c>
      <c r="AD817" t="s">
        <v>56</v>
      </c>
      <c r="AE817" t="s">
        <v>47</v>
      </c>
      <c r="AF817" t="s">
        <v>41</v>
      </c>
      <c r="AG817" t="s">
        <v>41</v>
      </c>
      <c r="AH817" t="s">
        <v>41</v>
      </c>
      <c r="AI817" t="s">
        <v>41</v>
      </c>
    </row>
    <row r="818" spans="1:35" x14ac:dyDescent="0.25">
      <c r="A818" t="s">
        <v>218</v>
      </c>
      <c r="B818" t="s">
        <v>59</v>
      </c>
      <c r="C818" t="s">
        <v>161</v>
      </c>
      <c r="D818" t="s">
        <v>1286</v>
      </c>
      <c r="E818" t="s">
        <v>62</v>
      </c>
      <c r="F818" t="s">
        <v>91</v>
      </c>
      <c r="G818" t="s">
        <v>45</v>
      </c>
      <c r="H818" t="s">
        <v>42</v>
      </c>
      <c r="I818" t="s">
        <v>40</v>
      </c>
      <c r="J818" t="s">
        <v>1223</v>
      </c>
      <c r="K818" t="s">
        <v>45</v>
      </c>
      <c r="L818" t="s">
        <v>63</v>
      </c>
      <c r="M818" t="s">
        <v>304</v>
      </c>
      <c r="N818" t="s">
        <v>45</v>
      </c>
      <c r="O818" t="s">
        <v>41</v>
      </c>
      <c r="P818" t="s">
        <v>76</v>
      </c>
      <c r="Q818" t="s">
        <v>41</v>
      </c>
      <c r="R818" t="s">
        <v>48</v>
      </c>
      <c r="S818" t="s">
        <v>2738</v>
      </c>
      <c r="T818" t="s">
        <v>2739</v>
      </c>
      <c r="U818" t="s">
        <v>91</v>
      </c>
      <c r="V818" t="s">
        <v>52</v>
      </c>
      <c r="W818" t="s">
        <v>59</v>
      </c>
      <c r="X818" t="s">
        <v>79</v>
      </c>
      <c r="Y818" t="s">
        <v>45</v>
      </c>
      <c r="Z818" t="s">
        <v>45</v>
      </c>
      <c r="AA818" t="s">
        <v>54</v>
      </c>
      <c r="AB818" t="s">
        <v>55</v>
      </c>
      <c r="AC818" t="s">
        <v>91</v>
      </c>
      <c r="AD818" t="s">
        <v>41</v>
      </c>
      <c r="AE818" t="s">
        <v>41</v>
      </c>
      <c r="AF818" t="s">
        <v>57</v>
      </c>
      <c r="AG818" t="s">
        <v>47</v>
      </c>
      <c r="AH818" t="s">
        <v>55</v>
      </c>
      <c r="AI818" t="s">
        <v>45</v>
      </c>
    </row>
    <row r="819" spans="1:35" x14ac:dyDescent="0.25">
      <c r="A819" t="s">
        <v>120</v>
      </c>
      <c r="B819" t="s">
        <v>59</v>
      </c>
      <c r="C819" t="s">
        <v>161</v>
      </c>
      <c r="D819" t="s">
        <v>706</v>
      </c>
      <c r="E819" t="s">
        <v>62</v>
      </c>
      <c r="F819" t="s">
        <v>145</v>
      </c>
      <c r="G819" t="s">
        <v>47</v>
      </c>
      <c r="H819" t="s">
        <v>42</v>
      </c>
      <c r="I819" t="s">
        <v>40</v>
      </c>
      <c r="J819" t="s">
        <v>2740</v>
      </c>
      <c r="K819" t="s">
        <v>40</v>
      </c>
      <c r="L819" t="s">
        <v>63</v>
      </c>
      <c r="M819" t="s">
        <v>168</v>
      </c>
      <c r="N819" t="s">
        <v>45</v>
      </c>
      <c r="O819" t="s">
        <v>41</v>
      </c>
      <c r="P819" t="s">
        <v>116</v>
      </c>
      <c r="Q819" t="s">
        <v>47</v>
      </c>
      <c r="R819" t="s">
        <v>48</v>
      </c>
      <c r="S819" t="s">
        <v>2741</v>
      </c>
      <c r="T819" t="s">
        <v>2742</v>
      </c>
      <c r="U819" t="s">
        <v>41</v>
      </c>
      <c r="V819" t="s">
        <v>52</v>
      </c>
      <c r="W819" t="s">
        <v>59</v>
      </c>
      <c r="X819" t="s">
        <v>104</v>
      </c>
      <c r="Y819" t="s">
        <v>47</v>
      </c>
      <c r="Z819" t="s">
        <v>40</v>
      </c>
      <c r="AA819" t="s">
        <v>54</v>
      </c>
      <c r="AB819" t="s">
        <v>55</v>
      </c>
      <c r="AC819" t="s">
        <v>145</v>
      </c>
      <c r="AD819" t="s">
        <v>55</v>
      </c>
      <c r="AE819" t="s">
        <v>45</v>
      </c>
      <c r="AF819" t="s">
        <v>53</v>
      </c>
      <c r="AG819" t="s">
        <v>91</v>
      </c>
      <c r="AH819" t="s">
        <v>55</v>
      </c>
      <c r="AI819" t="s">
        <v>91</v>
      </c>
    </row>
    <row r="820" spans="1:35" x14ac:dyDescent="0.25">
      <c r="A820" t="s">
        <v>137</v>
      </c>
      <c r="B820" t="s">
        <v>59</v>
      </c>
      <c r="C820" t="s">
        <v>60</v>
      </c>
      <c r="D820" t="s">
        <v>2060</v>
      </c>
      <c r="E820" t="s">
        <v>39</v>
      </c>
      <c r="F820" t="s">
        <v>104</v>
      </c>
      <c r="G820" t="s">
        <v>45</v>
      </c>
      <c r="H820" t="s">
        <v>42</v>
      </c>
      <c r="I820" t="s">
        <v>40</v>
      </c>
      <c r="J820" t="s">
        <v>2743</v>
      </c>
      <c r="K820" t="s">
        <v>45</v>
      </c>
      <c r="L820" t="s">
        <v>63</v>
      </c>
      <c r="M820" t="s">
        <v>108</v>
      </c>
      <c r="N820" t="s">
        <v>47</v>
      </c>
      <c r="O820" t="s">
        <v>40</v>
      </c>
      <c r="P820" t="s">
        <v>182</v>
      </c>
      <c r="Q820" t="s">
        <v>47</v>
      </c>
      <c r="R820" t="s">
        <v>66</v>
      </c>
      <c r="S820" t="s">
        <v>2744</v>
      </c>
      <c r="T820" t="s">
        <v>2745</v>
      </c>
      <c r="U820" t="s">
        <v>55</v>
      </c>
      <c r="V820" t="s">
        <v>52</v>
      </c>
      <c r="W820" t="s">
        <v>59</v>
      </c>
      <c r="X820" t="s">
        <v>92</v>
      </c>
      <c r="Y820" t="s">
        <v>45</v>
      </c>
      <c r="Z820" t="s">
        <v>40</v>
      </c>
      <c r="AA820" t="s">
        <v>54</v>
      </c>
      <c r="AB820" t="s">
        <v>40</v>
      </c>
      <c r="AC820" t="s">
        <v>45</v>
      </c>
      <c r="AD820" t="s">
        <v>47</v>
      </c>
      <c r="AE820" t="s">
        <v>45</v>
      </c>
      <c r="AF820" t="s">
        <v>41</v>
      </c>
      <c r="AG820" t="s">
        <v>41</v>
      </c>
      <c r="AH820" t="s">
        <v>41</v>
      </c>
      <c r="AI820" t="s">
        <v>41</v>
      </c>
    </row>
    <row r="821" spans="1:35" x14ac:dyDescent="0.25">
      <c r="A821" t="s">
        <v>149</v>
      </c>
      <c r="B821" t="s">
        <v>59</v>
      </c>
      <c r="C821" t="s">
        <v>37</v>
      </c>
      <c r="D821" t="s">
        <v>2746</v>
      </c>
      <c r="E821" t="s">
        <v>62</v>
      </c>
      <c r="F821" t="s">
        <v>41</v>
      </c>
      <c r="G821" t="s">
        <v>40</v>
      </c>
      <c r="H821" t="s">
        <v>42</v>
      </c>
      <c r="I821" t="s">
        <v>40</v>
      </c>
      <c r="J821" t="s">
        <v>869</v>
      </c>
      <c r="K821" t="s">
        <v>40</v>
      </c>
      <c r="L821" t="s">
        <v>63</v>
      </c>
      <c r="M821" t="s">
        <v>108</v>
      </c>
      <c r="N821" t="s">
        <v>41</v>
      </c>
      <c r="O821" t="s">
        <v>40</v>
      </c>
      <c r="P821" t="s">
        <v>65</v>
      </c>
      <c r="Q821" t="s">
        <v>41</v>
      </c>
      <c r="R821" t="s">
        <v>66</v>
      </c>
      <c r="S821" t="s">
        <v>2747</v>
      </c>
      <c r="T821" t="s">
        <v>2748</v>
      </c>
      <c r="U821" t="s">
        <v>55</v>
      </c>
      <c r="V821" t="s">
        <v>52</v>
      </c>
      <c r="W821" t="s">
        <v>59</v>
      </c>
      <c r="X821" t="s">
        <v>125</v>
      </c>
      <c r="Y821" t="s">
        <v>45</v>
      </c>
      <c r="Z821" t="s">
        <v>40</v>
      </c>
      <c r="AA821" t="s">
        <v>54</v>
      </c>
      <c r="AB821" t="s">
        <v>55</v>
      </c>
      <c r="AC821" t="s">
        <v>56</v>
      </c>
      <c r="AD821" t="s">
        <v>41</v>
      </c>
      <c r="AE821" t="s">
        <v>40</v>
      </c>
      <c r="AF821" t="s">
        <v>57</v>
      </c>
      <c r="AG821" t="s">
        <v>45</v>
      </c>
      <c r="AH821" t="s">
        <v>55</v>
      </c>
      <c r="AI821" t="s">
        <v>47</v>
      </c>
    </row>
    <row r="822" spans="1:35" x14ac:dyDescent="0.25">
      <c r="A822" t="s">
        <v>126</v>
      </c>
      <c r="B822" t="s">
        <v>59</v>
      </c>
      <c r="C822" t="s">
        <v>60</v>
      </c>
      <c r="D822" t="s">
        <v>2749</v>
      </c>
      <c r="E822" t="s">
        <v>39</v>
      </c>
      <c r="F822" t="s">
        <v>53</v>
      </c>
      <c r="G822" t="s">
        <v>41</v>
      </c>
      <c r="H822" t="s">
        <v>206</v>
      </c>
      <c r="I822" t="s">
        <v>40</v>
      </c>
      <c r="J822" t="s">
        <v>2363</v>
      </c>
      <c r="K822" t="s">
        <v>47</v>
      </c>
      <c r="L822" t="s">
        <v>63</v>
      </c>
      <c r="M822" t="s">
        <v>259</v>
      </c>
      <c r="N822" t="s">
        <v>45</v>
      </c>
      <c r="O822" t="s">
        <v>41</v>
      </c>
      <c r="P822" t="s">
        <v>46</v>
      </c>
      <c r="Q822" t="s">
        <v>47</v>
      </c>
      <c r="R822" t="s">
        <v>109</v>
      </c>
      <c r="S822" t="s">
        <v>2750</v>
      </c>
      <c r="T822" t="s">
        <v>2751</v>
      </c>
      <c r="U822" t="s">
        <v>40</v>
      </c>
      <c r="V822" t="s">
        <v>52</v>
      </c>
      <c r="W822" t="s">
        <v>59</v>
      </c>
      <c r="X822" t="s">
        <v>53</v>
      </c>
      <c r="Y822" t="s">
        <v>45</v>
      </c>
      <c r="Z822" t="s">
        <v>47</v>
      </c>
      <c r="AA822" t="s">
        <v>54</v>
      </c>
      <c r="AB822" t="s">
        <v>40</v>
      </c>
      <c r="AC822" t="s">
        <v>57</v>
      </c>
      <c r="AD822" t="s">
        <v>45</v>
      </c>
      <c r="AE822" t="s">
        <v>45</v>
      </c>
      <c r="AF822" t="s">
        <v>57</v>
      </c>
      <c r="AG822" t="s">
        <v>41</v>
      </c>
      <c r="AH822" t="s">
        <v>55</v>
      </c>
      <c r="AI822" t="s">
        <v>41</v>
      </c>
    </row>
    <row r="823" spans="1:35" x14ac:dyDescent="0.25">
      <c r="A823" t="s">
        <v>58</v>
      </c>
      <c r="B823" t="s">
        <v>59</v>
      </c>
      <c r="C823" t="s">
        <v>37</v>
      </c>
      <c r="D823" t="s">
        <v>596</v>
      </c>
      <c r="E823" t="s">
        <v>39</v>
      </c>
      <c r="F823" t="s">
        <v>51</v>
      </c>
      <c r="G823" t="s">
        <v>47</v>
      </c>
      <c r="H823" t="s">
        <v>228</v>
      </c>
      <c r="I823" t="s">
        <v>40</v>
      </c>
      <c r="J823" t="s">
        <v>2752</v>
      </c>
      <c r="K823" t="s">
        <v>47</v>
      </c>
      <c r="L823" t="s">
        <v>63</v>
      </c>
      <c r="M823" t="s">
        <v>82</v>
      </c>
      <c r="N823" t="s">
        <v>41</v>
      </c>
      <c r="O823" t="s">
        <v>47</v>
      </c>
      <c r="P823" t="s">
        <v>46</v>
      </c>
      <c r="Q823" t="s">
        <v>41</v>
      </c>
      <c r="R823" t="s">
        <v>66</v>
      </c>
      <c r="S823" t="s">
        <v>2753</v>
      </c>
      <c r="T823" t="s">
        <v>2754</v>
      </c>
      <c r="U823" t="s">
        <v>56</v>
      </c>
      <c r="V823" t="s">
        <v>52</v>
      </c>
      <c r="W823" t="s">
        <v>59</v>
      </c>
      <c r="X823" t="s">
        <v>125</v>
      </c>
      <c r="Y823" t="s">
        <v>45</v>
      </c>
      <c r="Z823" t="s">
        <v>41</v>
      </c>
      <c r="AA823" t="s">
        <v>54</v>
      </c>
      <c r="AB823" t="s">
        <v>40</v>
      </c>
      <c r="AC823" t="s">
        <v>112</v>
      </c>
      <c r="AD823" t="s">
        <v>45</v>
      </c>
      <c r="AE823" t="s">
        <v>45</v>
      </c>
      <c r="AF823" t="s">
        <v>91</v>
      </c>
      <c r="AG823" t="s">
        <v>51</v>
      </c>
      <c r="AH823" t="s">
        <v>41</v>
      </c>
      <c r="AI823" t="s">
        <v>45</v>
      </c>
    </row>
    <row r="824" spans="1:35" x14ac:dyDescent="0.25">
      <c r="A824" t="s">
        <v>142</v>
      </c>
      <c r="B824" t="s">
        <v>59</v>
      </c>
      <c r="C824" t="s">
        <v>60</v>
      </c>
      <c r="D824" t="s">
        <v>2480</v>
      </c>
      <c r="E824" t="s">
        <v>62</v>
      </c>
      <c r="F824" t="s">
        <v>41</v>
      </c>
      <c r="G824" t="s">
        <v>41</v>
      </c>
      <c r="H824" t="s">
        <v>42</v>
      </c>
      <c r="I824" t="s">
        <v>40</v>
      </c>
      <c r="J824" t="s">
        <v>2755</v>
      </c>
      <c r="K824" t="s">
        <v>47</v>
      </c>
      <c r="L824" t="s">
        <v>63</v>
      </c>
      <c r="M824" t="s">
        <v>349</v>
      </c>
      <c r="N824" t="s">
        <v>45</v>
      </c>
      <c r="O824" t="s">
        <v>41</v>
      </c>
      <c r="P824" t="s">
        <v>116</v>
      </c>
      <c r="Q824" t="s">
        <v>45</v>
      </c>
      <c r="R824" t="s">
        <v>48</v>
      </c>
      <c r="S824" t="s">
        <v>2756</v>
      </c>
      <c r="T824" t="s">
        <v>2757</v>
      </c>
      <c r="U824" t="s">
        <v>41</v>
      </c>
      <c r="V824" t="s">
        <v>52</v>
      </c>
      <c r="W824" t="s">
        <v>59</v>
      </c>
      <c r="X824" t="s">
        <v>53</v>
      </c>
      <c r="Y824" t="s">
        <v>45</v>
      </c>
      <c r="Z824" t="s">
        <v>47</v>
      </c>
      <c r="AA824" t="s">
        <v>54</v>
      </c>
      <c r="AB824" t="s">
        <v>55</v>
      </c>
      <c r="AC824" t="s">
        <v>57</v>
      </c>
      <c r="AD824" t="s">
        <v>45</v>
      </c>
      <c r="AE824" t="s">
        <v>41</v>
      </c>
      <c r="AF824" t="s">
        <v>45</v>
      </c>
      <c r="AG824" t="s">
        <v>41</v>
      </c>
      <c r="AH824" t="s">
        <v>55</v>
      </c>
      <c r="AI824" t="s">
        <v>41</v>
      </c>
    </row>
    <row r="825" spans="1:35" x14ac:dyDescent="0.25">
      <c r="A825" t="s">
        <v>133</v>
      </c>
      <c r="B825" t="s">
        <v>59</v>
      </c>
      <c r="C825" t="s">
        <v>60</v>
      </c>
      <c r="D825" t="s">
        <v>2758</v>
      </c>
      <c r="E825" t="s">
        <v>62</v>
      </c>
      <c r="F825" t="s">
        <v>70</v>
      </c>
      <c r="G825" t="s">
        <v>45</v>
      </c>
      <c r="H825" t="s">
        <v>42</v>
      </c>
      <c r="I825" t="s">
        <v>40</v>
      </c>
      <c r="J825" t="s">
        <v>2759</v>
      </c>
      <c r="K825" t="s">
        <v>47</v>
      </c>
      <c r="L825" t="s">
        <v>43</v>
      </c>
      <c r="M825" t="s">
        <v>64</v>
      </c>
      <c r="N825" t="s">
        <v>45</v>
      </c>
      <c r="O825" t="s">
        <v>40</v>
      </c>
      <c r="P825" t="s">
        <v>65</v>
      </c>
      <c r="Q825" t="s">
        <v>41</v>
      </c>
      <c r="R825" t="s">
        <v>109</v>
      </c>
      <c r="S825" t="s">
        <v>2760</v>
      </c>
      <c r="T825" t="s">
        <v>2761</v>
      </c>
      <c r="U825" t="s">
        <v>55</v>
      </c>
      <c r="V825" t="s">
        <v>52</v>
      </c>
      <c r="W825" t="s">
        <v>59</v>
      </c>
      <c r="X825" t="s">
        <v>129</v>
      </c>
      <c r="Y825" t="s">
        <v>45</v>
      </c>
      <c r="Z825" t="s">
        <v>47</v>
      </c>
      <c r="AA825" t="s">
        <v>54</v>
      </c>
      <c r="AB825" t="s">
        <v>41</v>
      </c>
      <c r="AC825" t="s">
        <v>51</v>
      </c>
      <c r="AD825" t="s">
        <v>41</v>
      </c>
      <c r="AE825" t="s">
        <v>41</v>
      </c>
      <c r="AF825" t="s">
        <v>71</v>
      </c>
      <c r="AG825" t="s">
        <v>57</v>
      </c>
      <c r="AH825" t="s">
        <v>40</v>
      </c>
      <c r="AI825" t="s">
        <v>40</v>
      </c>
    </row>
    <row r="826" spans="1:35" x14ac:dyDescent="0.25">
      <c r="A826" t="s">
        <v>204</v>
      </c>
      <c r="B826" t="s">
        <v>59</v>
      </c>
      <c r="C826" t="s">
        <v>37</v>
      </c>
      <c r="D826" t="s">
        <v>2374</v>
      </c>
      <c r="E826" t="s">
        <v>62</v>
      </c>
      <c r="F826" t="s">
        <v>133</v>
      </c>
      <c r="G826" t="s">
        <v>45</v>
      </c>
      <c r="H826" t="s">
        <v>87</v>
      </c>
      <c r="I826" t="s">
        <v>40</v>
      </c>
      <c r="J826" t="s">
        <v>2762</v>
      </c>
      <c r="K826" t="s">
        <v>41</v>
      </c>
      <c r="L826" t="s">
        <v>63</v>
      </c>
      <c r="M826" t="s">
        <v>82</v>
      </c>
      <c r="N826" t="s">
        <v>40</v>
      </c>
      <c r="O826" t="s">
        <v>41</v>
      </c>
      <c r="P826" t="s">
        <v>76</v>
      </c>
      <c r="Q826" t="s">
        <v>47</v>
      </c>
      <c r="R826" t="s">
        <v>48</v>
      </c>
      <c r="S826" t="s">
        <v>2763</v>
      </c>
      <c r="T826" t="s">
        <v>1434</v>
      </c>
      <c r="U826" t="s">
        <v>47</v>
      </c>
      <c r="V826" t="s">
        <v>52</v>
      </c>
      <c r="W826" t="s">
        <v>59</v>
      </c>
      <c r="X826" t="s">
        <v>144</v>
      </c>
      <c r="Y826" t="s">
        <v>45</v>
      </c>
      <c r="Z826" t="s">
        <v>40</v>
      </c>
      <c r="AA826" t="s">
        <v>54</v>
      </c>
      <c r="AB826" t="s">
        <v>55</v>
      </c>
      <c r="AC826" t="s">
        <v>128</v>
      </c>
      <c r="AD826" t="s">
        <v>45</v>
      </c>
      <c r="AE826" t="s">
        <v>45</v>
      </c>
      <c r="AF826" t="s">
        <v>40</v>
      </c>
      <c r="AG826" t="s">
        <v>55</v>
      </c>
      <c r="AH826" t="s">
        <v>55</v>
      </c>
      <c r="AI826" t="s">
        <v>55</v>
      </c>
    </row>
    <row r="827" spans="1:35" x14ac:dyDescent="0.25">
      <c r="A827" t="s">
        <v>133</v>
      </c>
      <c r="B827" t="s">
        <v>59</v>
      </c>
      <c r="C827" t="s">
        <v>37</v>
      </c>
      <c r="D827" t="s">
        <v>2764</v>
      </c>
      <c r="E827" t="s">
        <v>62</v>
      </c>
      <c r="F827" t="s">
        <v>51</v>
      </c>
      <c r="G827" t="s">
        <v>40</v>
      </c>
      <c r="H827" t="s">
        <v>87</v>
      </c>
      <c r="I827" t="s">
        <v>40</v>
      </c>
      <c r="J827" t="s">
        <v>614</v>
      </c>
      <c r="K827" t="s">
        <v>41</v>
      </c>
      <c r="L827" t="s">
        <v>63</v>
      </c>
      <c r="M827" t="s">
        <v>95</v>
      </c>
      <c r="N827" t="s">
        <v>41</v>
      </c>
      <c r="O827" t="s">
        <v>41</v>
      </c>
      <c r="P827" t="s">
        <v>116</v>
      </c>
      <c r="Q827" t="s">
        <v>47</v>
      </c>
      <c r="R827" t="s">
        <v>66</v>
      </c>
      <c r="S827" t="s">
        <v>2765</v>
      </c>
      <c r="T827" t="s">
        <v>2766</v>
      </c>
      <c r="U827" t="s">
        <v>40</v>
      </c>
      <c r="V827" t="s">
        <v>52</v>
      </c>
      <c r="W827" t="s">
        <v>36</v>
      </c>
      <c r="X827" t="s">
        <v>79</v>
      </c>
      <c r="Y827" t="s">
        <v>45</v>
      </c>
      <c r="Z827" t="s">
        <v>45</v>
      </c>
      <c r="AA827" t="s">
        <v>54</v>
      </c>
      <c r="AB827" t="s">
        <v>40</v>
      </c>
      <c r="AC827" t="s">
        <v>70</v>
      </c>
      <c r="AD827" t="s">
        <v>41</v>
      </c>
      <c r="AE827" t="s">
        <v>41</v>
      </c>
      <c r="AF827" t="s">
        <v>70</v>
      </c>
      <c r="AG827" t="s">
        <v>71</v>
      </c>
      <c r="AH827" t="s">
        <v>40</v>
      </c>
      <c r="AI827" t="s">
        <v>41</v>
      </c>
    </row>
    <row r="828" spans="1:35" x14ac:dyDescent="0.25">
      <c r="A828" t="s">
        <v>113</v>
      </c>
      <c r="B828" t="s">
        <v>59</v>
      </c>
      <c r="C828" t="s">
        <v>37</v>
      </c>
      <c r="D828" t="s">
        <v>1270</v>
      </c>
      <c r="E828" t="s">
        <v>397</v>
      </c>
      <c r="F828" t="s">
        <v>40</v>
      </c>
      <c r="G828" t="s">
        <v>45</v>
      </c>
      <c r="H828" t="s">
        <v>397</v>
      </c>
      <c r="I828" t="s">
        <v>40</v>
      </c>
      <c r="J828" t="s">
        <v>2767</v>
      </c>
      <c r="K828" t="s">
        <v>45</v>
      </c>
      <c r="L828" t="s">
        <v>63</v>
      </c>
      <c r="M828" t="s">
        <v>72</v>
      </c>
      <c r="N828" t="s">
        <v>47</v>
      </c>
      <c r="O828" t="s">
        <v>40</v>
      </c>
      <c r="P828" t="s">
        <v>397</v>
      </c>
      <c r="Q828" t="s">
        <v>45</v>
      </c>
      <c r="R828" t="s">
        <v>66</v>
      </c>
      <c r="S828" t="s">
        <v>2768</v>
      </c>
      <c r="T828" t="s">
        <v>2769</v>
      </c>
      <c r="U828" t="s">
        <v>40</v>
      </c>
      <c r="V828" t="s">
        <v>52</v>
      </c>
      <c r="W828" t="s">
        <v>59</v>
      </c>
      <c r="X828" t="s">
        <v>98</v>
      </c>
      <c r="Y828" t="s">
        <v>45</v>
      </c>
      <c r="Z828" t="s">
        <v>47</v>
      </c>
      <c r="AA828" t="s">
        <v>54</v>
      </c>
      <c r="AB828" t="s">
        <v>40</v>
      </c>
      <c r="AC828" t="s">
        <v>71</v>
      </c>
      <c r="AD828" t="s">
        <v>41</v>
      </c>
      <c r="AE828" t="s">
        <v>47</v>
      </c>
      <c r="AF828" t="s">
        <v>71</v>
      </c>
      <c r="AG828" t="s">
        <v>56</v>
      </c>
      <c r="AH828" t="s">
        <v>57</v>
      </c>
      <c r="AI828" t="s">
        <v>55</v>
      </c>
    </row>
    <row r="829" spans="1:35" x14ac:dyDescent="0.25">
      <c r="A829" t="s">
        <v>149</v>
      </c>
      <c r="B829" t="s">
        <v>59</v>
      </c>
      <c r="C829" t="s">
        <v>60</v>
      </c>
      <c r="D829" t="s">
        <v>2020</v>
      </c>
      <c r="E829" t="s">
        <v>62</v>
      </c>
      <c r="F829" t="s">
        <v>56</v>
      </c>
      <c r="G829" t="s">
        <v>45</v>
      </c>
      <c r="H829" t="s">
        <v>42</v>
      </c>
      <c r="I829" t="s">
        <v>40</v>
      </c>
      <c r="J829" t="s">
        <v>2770</v>
      </c>
      <c r="K829" t="s">
        <v>45</v>
      </c>
      <c r="L829" t="s">
        <v>63</v>
      </c>
      <c r="M829" t="s">
        <v>218</v>
      </c>
      <c r="N829" t="s">
        <v>41</v>
      </c>
      <c r="O829" t="s">
        <v>40</v>
      </c>
      <c r="P829" t="s">
        <v>65</v>
      </c>
      <c r="Q829" t="s">
        <v>45</v>
      </c>
      <c r="R829" t="s">
        <v>109</v>
      </c>
      <c r="S829" t="s">
        <v>368</v>
      </c>
      <c r="T829" t="s">
        <v>2771</v>
      </c>
      <c r="U829" t="s">
        <v>40</v>
      </c>
      <c r="V829" t="s">
        <v>52</v>
      </c>
      <c r="W829" t="s">
        <v>36</v>
      </c>
      <c r="X829" t="s">
        <v>129</v>
      </c>
      <c r="Y829" t="s">
        <v>45</v>
      </c>
      <c r="Z829" t="s">
        <v>47</v>
      </c>
      <c r="AA829" t="s">
        <v>54</v>
      </c>
      <c r="AB829" t="s">
        <v>40</v>
      </c>
      <c r="AC829" t="s">
        <v>45</v>
      </c>
      <c r="AD829" t="s">
        <v>41</v>
      </c>
      <c r="AE829" t="s">
        <v>45</v>
      </c>
      <c r="AF829" t="s">
        <v>45</v>
      </c>
      <c r="AG829" t="s">
        <v>40</v>
      </c>
      <c r="AH829" t="s">
        <v>55</v>
      </c>
      <c r="AI829" t="s">
        <v>41</v>
      </c>
    </row>
    <row r="830" spans="1:35" x14ac:dyDescent="0.25">
      <c r="A830" t="s">
        <v>145</v>
      </c>
      <c r="B830" t="s">
        <v>36</v>
      </c>
      <c r="C830" t="s">
        <v>161</v>
      </c>
      <c r="D830" t="s">
        <v>778</v>
      </c>
      <c r="E830" t="s">
        <v>62</v>
      </c>
      <c r="F830" t="s">
        <v>51</v>
      </c>
      <c r="G830" t="s">
        <v>40</v>
      </c>
      <c r="H830" t="s">
        <v>87</v>
      </c>
      <c r="I830" t="s">
        <v>40</v>
      </c>
      <c r="J830" t="s">
        <v>2772</v>
      </c>
      <c r="K830" t="s">
        <v>45</v>
      </c>
      <c r="L830" t="s">
        <v>63</v>
      </c>
      <c r="M830" t="s">
        <v>54</v>
      </c>
      <c r="N830" t="s">
        <v>45</v>
      </c>
      <c r="O830" t="s">
        <v>40</v>
      </c>
      <c r="P830" t="s">
        <v>76</v>
      </c>
      <c r="Q830" t="s">
        <v>45</v>
      </c>
      <c r="R830" t="s">
        <v>48</v>
      </c>
      <c r="S830" t="s">
        <v>2773</v>
      </c>
      <c r="T830" t="s">
        <v>2774</v>
      </c>
      <c r="U830" t="s">
        <v>40</v>
      </c>
      <c r="V830" t="s">
        <v>52</v>
      </c>
      <c r="W830" t="s">
        <v>59</v>
      </c>
      <c r="X830" t="s">
        <v>92</v>
      </c>
      <c r="Y830" t="s">
        <v>45</v>
      </c>
      <c r="Z830" t="s">
        <v>47</v>
      </c>
      <c r="AA830" t="s">
        <v>54</v>
      </c>
      <c r="AB830" t="s">
        <v>55</v>
      </c>
      <c r="AC830" t="s">
        <v>55</v>
      </c>
      <c r="AD830" t="s">
        <v>55</v>
      </c>
      <c r="AE830" t="s">
        <v>45</v>
      </c>
      <c r="AF830" t="s">
        <v>55</v>
      </c>
      <c r="AG830" t="s">
        <v>55</v>
      </c>
      <c r="AH830" t="s">
        <v>55</v>
      </c>
      <c r="AI830" t="s">
        <v>55</v>
      </c>
    </row>
    <row r="831" spans="1:35" x14ac:dyDescent="0.25">
      <c r="A831" t="s">
        <v>80</v>
      </c>
      <c r="B831" t="s">
        <v>36</v>
      </c>
      <c r="C831" t="s">
        <v>37</v>
      </c>
      <c r="D831" t="s">
        <v>2775</v>
      </c>
      <c r="E831" t="s">
        <v>39</v>
      </c>
      <c r="F831" t="s">
        <v>91</v>
      </c>
      <c r="G831" t="s">
        <v>47</v>
      </c>
      <c r="H831" t="s">
        <v>206</v>
      </c>
      <c r="I831" t="s">
        <v>40</v>
      </c>
      <c r="J831" t="s">
        <v>740</v>
      </c>
      <c r="K831" t="s">
        <v>40</v>
      </c>
      <c r="L831" t="s">
        <v>43</v>
      </c>
      <c r="M831" t="s">
        <v>326</v>
      </c>
      <c r="N831" t="s">
        <v>45</v>
      </c>
      <c r="O831" t="s">
        <v>41</v>
      </c>
      <c r="P831" t="s">
        <v>46</v>
      </c>
      <c r="Q831" t="s">
        <v>40</v>
      </c>
      <c r="R831" t="s">
        <v>48</v>
      </c>
      <c r="S831" t="s">
        <v>2776</v>
      </c>
      <c r="T831" t="s">
        <v>2777</v>
      </c>
      <c r="U831" t="s">
        <v>55</v>
      </c>
      <c r="V831" t="s">
        <v>52</v>
      </c>
      <c r="W831" t="s">
        <v>36</v>
      </c>
      <c r="X831" t="s">
        <v>125</v>
      </c>
      <c r="Y831" t="s">
        <v>45</v>
      </c>
      <c r="Z831" t="s">
        <v>40</v>
      </c>
      <c r="AA831" t="s">
        <v>54</v>
      </c>
      <c r="AB831" t="s">
        <v>55</v>
      </c>
      <c r="AC831" t="s">
        <v>56</v>
      </c>
      <c r="AD831" t="s">
        <v>45</v>
      </c>
      <c r="AE831" t="s">
        <v>45</v>
      </c>
      <c r="AF831" t="s">
        <v>57</v>
      </c>
      <c r="AG831" t="s">
        <v>41</v>
      </c>
      <c r="AH831" t="s">
        <v>55</v>
      </c>
      <c r="AI831" t="s">
        <v>45</v>
      </c>
    </row>
    <row r="832" spans="1:35" x14ac:dyDescent="0.25">
      <c r="A832" t="s">
        <v>35</v>
      </c>
      <c r="B832" t="s">
        <v>59</v>
      </c>
      <c r="C832" t="s">
        <v>37</v>
      </c>
      <c r="D832" t="s">
        <v>581</v>
      </c>
      <c r="E832" t="s">
        <v>62</v>
      </c>
      <c r="F832" t="s">
        <v>92</v>
      </c>
      <c r="G832" t="s">
        <v>47</v>
      </c>
      <c r="H832" t="s">
        <v>42</v>
      </c>
      <c r="I832" t="s">
        <v>40</v>
      </c>
      <c r="J832" t="s">
        <v>1109</v>
      </c>
      <c r="K832" t="s">
        <v>41</v>
      </c>
      <c r="L832" t="s">
        <v>63</v>
      </c>
      <c r="M832" t="s">
        <v>213</v>
      </c>
      <c r="N832" t="s">
        <v>45</v>
      </c>
      <c r="O832" t="s">
        <v>40</v>
      </c>
      <c r="P832" t="s">
        <v>76</v>
      </c>
      <c r="Q832" t="s">
        <v>47</v>
      </c>
      <c r="R832" t="s">
        <v>66</v>
      </c>
      <c r="S832" t="s">
        <v>2778</v>
      </c>
      <c r="T832" t="s">
        <v>2779</v>
      </c>
      <c r="U832" t="s">
        <v>45</v>
      </c>
      <c r="V832" t="s">
        <v>52</v>
      </c>
      <c r="W832" t="s">
        <v>36</v>
      </c>
      <c r="X832" t="s">
        <v>53</v>
      </c>
      <c r="Y832" t="s">
        <v>45</v>
      </c>
      <c r="Z832" t="s">
        <v>40</v>
      </c>
      <c r="AA832" t="s">
        <v>54</v>
      </c>
      <c r="AB832" t="s">
        <v>40</v>
      </c>
      <c r="AC832" t="s">
        <v>56</v>
      </c>
      <c r="AD832" t="s">
        <v>47</v>
      </c>
      <c r="AE832" t="s">
        <v>45</v>
      </c>
      <c r="AF832" t="s">
        <v>40</v>
      </c>
      <c r="AG832" t="s">
        <v>55</v>
      </c>
      <c r="AH832" t="s">
        <v>55</v>
      </c>
      <c r="AI832" t="s">
        <v>55</v>
      </c>
    </row>
    <row r="833" spans="1:35" x14ac:dyDescent="0.25">
      <c r="A833" t="s">
        <v>137</v>
      </c>
      <c r="B833" t="s">
        <v>36</v>
      </c>
      <c r="C833" t="s">
        <v>60</v>
      </c>
      <c r="D833" t="s">
        <v>2229</v>
      </c>
      <c r="E833" t="s">
        <v>62</v>
      </c>
      <c r="F833" t="s">
        <v>79</v>
      </c>
      <c r="G833" t="s">
        <v>45</v>
      </c>
      <c r="H833" t="s">
        <v>87</v>
      </c>
      <c r="I833" t="s">
        <v>40</v>
      </c>
      <c r="J833" t="s">
        <v>2780</v>
      </c>
      <c r="K833" t="s">
        <v>45</v>
      </c>
      <c r="L833" t="s">
        <v>63</v>
      </c>
      <c r="M833" t="s">
        <v>201</v>
      </c>
      <c r="N833" t="s">
        <v>45</v>
      </c>
      <c r="O833" t="s">
        <v>40</v>
      </c>
      <c r="P833" t="s">
        <v>76</v>
      </c>
      <c r="Q833" t="s">
        <v>45</v>
      </c>
      <c r="R833" t="s">
        <v>66</v>
      </c>
      <c r="S833" t="s">
        <v>1423</v>
      </c>
      <c r="T833" t="s">
        <v>2781</v>
      </c>
      <c r="U833" t="s">
        <v>40</v>
      </c>
      <c r="V833" t="s">
        <v>52</v>
      </c>
      <c r="W833" t="s">
        <v>59</v>
      </c>
      <c r="X833" t="s">
        <v>92</v>
      </c>
      <c r="Y833" t="s">
        <v>45</v>
      </c>
      <c r="Z833" t="s">
        <v>45</v>
      </c>
      <c r="AA833" t="s">
        <v>54</v>
      </c>
      <c r="AB833" t="s">
        <v>40</v>
      </c>
      <c r="AC833" t="s">
        <v>41</v>
      </c>
      <c r="AD833" t="s">
        <v>57</v>
      </c>
      <c r="AE833" t="s">
        <v>41</v>
      </c>
      <c r="AF833" t="s">
        <v>41</v>
      </c>
      <c r="AG833" t="s">
        <v>41</v>
      </c>
      <c r="AH833" t="s">
        <v>41</v>
      </c>
      <c r="AI833" t="s">
        <v>41</v>
      </c>
    </row>
    <row r="834" spans="1:35" x14ac:dyDescent="0.25">
      <c r="A834" t="s">
        <v>72</v>
      </c>
      <c r="B834" t="s">
        <v>59</v>
      </c>
      <c r="C834" t="s">
        <v>37</v>
      </c>
      <c r="D834" t="s">
        <v>1086</v>
      </c>
      <c r="E834" t="s">
        <v>62</v>
      </c>
      <c r="F834" t="s">
        <v>172</v>
      </c>
      <c r="G834" t="s">
        <v>41</v>
      </c>
      <c r="H834" t="s">
        <v>87</v>
      </c>
      <c r="I834" t="s">
        <v>40</v>
      </c>
      <c r="J834" t="s">
        <v>2782</v>
      </c>
      <c r="K834" t="s">
        <v>45</v>
      </c>
      <c r="L834" t="s">
        <v>43</v>
      </c>
      <c r="M834" t="s">
        <v>251</v>
      </c>
      <c r="N834" t="s">
        <v>41</v>
      </c>
      <c r="O834" t="s">
        <v>41</v>
      </c>
      <c r="P834" t="s">
        <v>122</v>
      </c>
      <c r="Q834" t="s">
        <v>47</v>
      </c>
      <c r="R834" t="s">
        <v>109</v>
      </c>
      <c r="S834" t="s">
        <v>2783</v>
      </c>
      <c r="T834" t="s">
        <v>2784</v>
      </c>
      <c r="U834" t="s">
        <v>71</v>
      </c>
      <c r="V834" t="s">
        <v>52</v>
      </c>
      <c r="W834" t="s">
        <v>59</v>
      </c>
      <c r="X834" t="s">
        <v>98</v>
      </c>
      <c r="Y834" t="s">
        <v>45</v>
      </c>
      <c r="Z834" t="s">
        <v>45</v>
      </c>
      <c r="AA834" t="s">
        <v>54</v>
      </c>
      <c r="AB834" t="s">
        <v>41</v>
      </c>
      <c r="AC834" t="s">
        <v>91</v>
      </c>
      <c r="AD834" t="s">
        <v>41</v>
      </c>
      <c r="AE834" t="s">
        <v>45</v>
      </c>
      <c r="AF834" t="s">
        <v>56</v>
      </c>
      <c r="AG834" t="s">
        <v>41</v>
      </c>
      <c r="AH834" t="s">
        <v>40</v>
      </c>
      <c r="AI834" t="s">
        <v>45</v>
      </c>
    </row>
    <row r="835" spans="1:35" x14ac:dyDescent="0.25">
      <c r="A835" t="s">
        <v>85</v>
      </c>
      <c r="B835" t="s">
        <v>59</v>
      </c>
      <c r="C835" t="s">
        <v>37</v>
      </c>
      <c r="D835" t="s">
        <v>657</v>
      </c>
      <c r="E835" t="s">
        <v>62</v>
      </c>
      <c r="F835" t="s">
        <v>56</v>
      </c>
      <c r="G835" t="s">
        <v>45</v>
      </c>
      <c r="H835" t="s">
        <v>42</v>
      </c>
      <c r="I835" t="s">
        <v>40</v>
      </c>
      <c r="J835" t="s">
        <v>1300</v>
      </c>
      <c r="K835" t="s">
        <v>47</v>
      </c>
      <c r="L835" t="s">
        <v>63</v>
      </c>
      <c r="M835" t="s">
        <v>263</v>
      </c>
      <c r="N835" t="s">
        <v>41</v>
      </c>
      <c r="O835" t="s">
        <v>40</v>
      </c>
      <c r="P835" t="s">
        <v>65</v>
      </c>
      <c r="Q835" t="s">
        <v>45</v>
      </c>
      <c r="R835" t="s">
        <v>66</v>
      </c>
      <c r="S835" t="s">
        <v>945</v>
      </c>
      <c r="T835" t="s">
        <v>2785</v>
      </c>
      <c r="U835" t="s">
        <v>40</v>
      </c>
      <c r="V835" t="s">
        <v>52</v>
      </c>
      <c r="W835" t="s">
        <v>59</v>
      </c>
      <c r="X835" t="s">
        <v>98</v>
      </c>
      <c r="Y835" t="s">
        <v>45</v>
      </c>
      <c r="Z835" t="s">
        <v>45</v>
      </c>
      <c r="AA835" t="s">
        <v>54</v>
      </c>
      <c r="AB835" t="s">
        <v>40</v>
      </c>
      <c r="AC835" t="s">
        <v>47</v>
      </c>
      <c r="AD835" t="s">
        <v>55</v>
      </c>
      <c r="AE835" t="s">
        <v>45</v>
      </c>
      <c r="AF835" t="s">
        <v>47</v>
      </c>
      <c r="AG835" t="s">
        <v>41</v>
      </c>
      <c r="AH835" t="s">
        <v>41</v>
      </c>
      <c r="AI835" t="s">
        <v>41</v>
      </c>
    </row>
    <row r="836" spans="1:35" x14ac:dyDescent="0.25">
      <c r="A836" t="s">
        <v>142</v>
      </c>
      <c r="B836" t="s">
        <v>59</v>
      </c>
      <c r="C836" t="s">
        <v>37</v>
      </c>
      <c r="D836" t="s">
        <v>419</v>
      </c>
      <c r="E836" t="s">
        <v>39</v>
      </c>
      <c r="F836" t="s">
        <v>91</v>
      </c>
      <c r="G836" t="s">
        <v>40</v>
      </c>
      <c r="H836" t="s">
        <v>42</v>
      </c>
      <c r="I836" t="s">
        <v>40</v>
      </c>
      <c r="J836" t="s">
        <v>2786</v>
      </c>
      <c r="K836" t="s">
        <v>41</v>
      </c>
      <c r="L836" t="s">
        <v>43</v>
      </c>
      <c r="M836" t="s">
        <v>304</v>
      </c>
      <c r="N836" t="s">
        <v>45</v>
      </c>
      <c r="O836" t="s">
        <v>41</v>
      </c>
      <c r="P836" t="s">
        <v>46</v>
      </c>
      <c r="Q836" t="s">
        <v>45</v>
      </c>
      <c r="R836" t="s">
        <v>66</v>
      </c>
      <c r="S836" t="s">
        <v>2787</v>
      </c>
      <c r="T836" t="s">
        <v>2788</v>
      </c>
      <c r="U836" t="s">
        <v>40</v>
      </c>
      <c r="V836" t="s">
        <v>52</v>
      </c>
      <c r="W836" t="s">
        <v>59</v>
      </c>
      <c r="X836" t="s">
        <v>104</v>
      </c>
      <c r="Y836" t="s">
        <v>47</v>
      </c>
      <c r="Z836" t="s">
        <v>40</v>
      </c>
      <c r="AA836" t="s">
        <v>54</v>
      </c>
      <c r="AB836" t="s">
        <v>55</v>
      </c>
      <c r="AC836" t="s">
        <v>56</v>
      </c>
      <c r="AD836" t="s">
        <v>45</v>
      </c>
      <c r="AE836" t="s">
        <v>41</v>
      </c>
      <c r="AF836" t="s">
        <v>56</v>
      </c>
      <c r="AG836" t="s">
        <v>57</v>
      </c>
      <c r="AH836" t="s">
        <v>40</v>
      </c>
      <c r="AI836" t="s">
        <v>45</v>
      </c>
    </row>
    <row r="837" spans="1:35" x14ac:dyDescent="0.25">
      <c r="A837" t="s">
        <v>126</v>
      </c>
      <c r="B837" t="s">
        <v>59</v>
      </c>
      <c r="C837" t="s">
        <v>37</v>
      </c>
      <c r="D837" t="s">
        <v>580</v>
      </c>
      <c r="E837" t="s">
        <v>397</v>
      </c>
      <c r="F837" t="s">
        <v>51</v>
      </c>
      <c r="G837" t="s">
        <v>47</v>
      </c>
      <c r="H837" t="s">
        <v>228</v>
      </c>
      <c r="I837" t="s">
        <v>40</v>
      </c>
      <c r="J837" t="s">
        <v>2789</v>
      </c>
      <c r="K837" t="s">
        <v>45</v>
      </c>
      <c r="L837" t="s">
        <v>63</v>
      </c>
      <c r="M837" t="s">
        <v>385</v>
      </c>
      <c r="N837" t="s">
        <v>45</v>
      </c>
      <c r="O837" t="s">
        <v>40</v>
      </c>
      <c r="P837" t="s">
        <v>397</v>
      </c>
      <c r="Q837" t="s">
        <v>45</v>
      </c>
      <c r="R837" t="s">
        <v>48</v>
      </c>
      <c r="S837" t="s">
        <v>2790</v>
      </c>
      <c r="T837" t="s">
        <v>2791</v>
      </c>
      <c r="U837" t="s">
        <v>40</v>
      </c>
      <c r="V837" t="s">
        <v>52</v>
      </c>
      <c r="W837" t="s">
        <v>59</v>
      </c>
      <c r="X837" t="s">
        <v>125</v>
      </c>
      <c r="Y837" t="s">
        <v>45</v>
      </c>
      <c r="Z837" t="s">
        <v>41</v>
      </c>
      <c r="AA837" t="s">
        <v>54</v>
      </c>
      <c r="AB837" t="s">
        <v>55</v>
      </c>
      <c r="AC837" t="s">
        <v>56</v>
      </c>
      <c r="AD837" t="s">
        <v>41</v>
      </c>
      <c r="AE837" t="s">
        <v>40</v>
      </c>
      <c r="AF837" t="s">
        <v>57</v>
      </c>
      <c r="AG837" t="s">
        <v>47</v>
      </c>
      <c r="AH837" t="s">
        <v>40</v>
      </c>
      <c r="AI837" t="s">
        <v>47</v>
      </c>
    </row>
    <row r="838" spans="1:35" x14ac:dyDescent="0.25">
      <c r="A838" t="s">
        <v>133</v>
      </c>
      <c r="B838" t="s">
        <v>36</v>
      </c>
      <c r="C838" t="s">
        <v>37</v>
      </c>
      <c r="D838" t="s">
        <v>278</v>
      </c>
      <c r="E838" t="s">
        <v>39</v>
      </c>
      <c r="F838" t="s">
        <v>69</v>
      </c>
      <c r="G838" t="s">
        <v>40</v>
      </c>
      <c r="H838" t="s">
        <v>42</v>
      </c>
      <c r="I838" t="s">
        <v>40</v>
      </c>
      <c r="J838" t="s">
        <v>2792</v>
      </c>
      <c r="K838" t="s">
        <v>47</v>
      </c>
      <c r="L838" t="s">
        <v>43</v>
      </c>
      <c r="M838" t="s">
        <v>174</v>
      </c>
      <c r="N838" t="s">
        <v>41</v>
      </c>
      <c r="O838" t="s">
        <v>45</v>
      </c>
      <c r="P838" t="s">
        <v>46</v>
      </c>
      <c r="Q838" t="s">
        <v>40</v>
      </c>
      <c r="R838" t="s">
        <v>66</v>
      </c>
      <c r="S838" t="s">
        <v>2793</v>
      </c>
      <c r="T838" t="s">
        <v>655</v>
      </c>
      <c r="U838" t="s">
        <v>40</v>
      </c>
      <c r="V838" t="s">
        <v>52</v>
      </c>
      <c r="W838" t="s">
        <v>59</v>
      </c>
      <c r="X838" t="s">
        <v>98</v>
      </c>
      <c r="Y838" t="s">
        <v>45</v>
      </c>
      <c r="Z838" t="s">
        <v>40</v>
      </c>
      <c r="AA838" t="s">
        <v>54</v>
      </c>
      <c r="AB838" t="s">
        <v>40</v>
      </c>
      <c r="AC838" t="s">
        <v>53</v>
      </c>
      <c r="AD838" t="s">
        <v>45</v>
      </c>
      <c r="AE838" t="s">
        <v>40</v>
      </c>
      <c r="AF838" t="s">
        <v>53</v>
      </c>
      <c r="AG838" t="s">
        <v>51</v>
      </c>
      <c r="AH838" t="s">
        <v>45</v>
      </c>
      <c r="AI838" t="s">
        <v>70</v>
      </c>
    </row>
    <row r="839" spans="1:35" x14ac:dyDescent="0.25">
      <c r="A839" t="s">
        <v>88</v>
      </c>
      <c r="B839" t="s">
        <v>59</v>
      </c>
      <c r="C839" t="s">
        <v>60</v>
      </c>
      <c r="D839" t="s">
        <v>1415</v>
      </c>
      <c r="E839" t="s">
        <v>62</v>
      </c>
      <c r="F839" t="s">
        <v>91</v>
      </c>
      <c r="G839" t="s">
        <v>47</v>
      </c>
      <c r="H839" t="s">
        <v>87</v>
      </c>
      <c r="I839" t="s">
        <v>40</v>
      </c>
      <c r="J839" t="s">
        <v>2794</v>
      </c>
      <c r="K839" t="s">
        <v>41</v>
      </c>
      <c r="L839" t="s">
        <v>43</v>
      </c>
      <c r="M839" t="s">
        <v>356</v>
      </c>
      <c r="N839" t="s">
        <v>45</v>
      </c>
      <c r="O839" t="s">
        <v>45</v>
      </c>
      <c r="P839" t="s">
        <v>186</v>
      </c>
      <c r="Q839" t="s">
        <v>45</v>
      </c>
      <c r="R839" t="s">
        <v>48</v>
      </c>
      <c r="S839" t="s">
        <v>2795</v>
      </c>
      <c r="T839" t="s">
        <v>2796</v>
      </c>
      <c r="U839" t="s">
        <v>91</v>
      </c>
      <c r="V839" t="s">
        <v>52</v>
      </c>
      <c r="W839" t="s">
        <v>59</v>
      </c>
      <c r="X839" t="s">
        <v>125</v>
      </c>
      <c r="Y839" t="s">
        <v>45</v>
      </c>
      <c r="Z839" t="s">
        <v>45</v>
      </c>
      <c r="AA839" t="s">
        <v>54</v>
      </c>
      <c r="AB839" t="s">
        <v>55</v>
      </c>
      <c r="AC839" t="s">
        <v>104</v>
      </c>
      <c r="AD839" t="s">
        <v>45</v>
      </c>
      <c r="AE839" t="s">
        <v>41</v>
      </c>
      <c r="AF839" t="s">
        <v>145</v>
      </c>
      <c r="AG839" t="s">
        <v>71</v>
      </c>
      <c r="AH839" t="s">
        <v>41</v>
      </c>
      <c r="AI839" t="s">
        <v>98</v>
      </c>
    </row>
    <row r="840" spans="1:35" x14ac:dyDescent="0.25">
      <c r="A840" t="s">
        <v>204</v>
      </c>
      <c r="B840" t="s">
        <v>36</v>
      </c>
      <c r="C840" t="s">
        <v>60</v>
      </c>
      <c r="D840" t="s">
        <v>1412</v>
      </c>
      <c r="E840" t="s">
        <v>39</v>
      </c>
      <c r="F840" t="s">
        <v>92</v>
      </c>
      <c r="G840" t="s">
        <v>45</v>
      </c>
      <c r="H840" t="s">
        <v>42</v>
      </c>
      <c r="I840" t="s">
        <v>40</v>
      </c>
      <c r="J840" t="s">
        <v>2797</v>
      </c>
      <c r="K840" t="s">
        <v>45</v>
      </c>
      <c r="L840" t="s">
        <v>63</v>
      </c>
      <c r="M840" t="s">
        <v>115</v>
      </c>
      <c r="N840" t="s">
        <v>45</v>
      </c>
      <c r="O840" t="s">
        <v>47</v>
      </c>
      <c r="P840" t="s">
        <v>46</v>
      </c>
      <c r="Q840" t="s">
        <v>40</v>
      </c>
      <c r="R840" t="s">
        <v>48</v>
      </c>
      <c r="S840" t="s">
        <v>2798</v>
      </c>
      <c r="T840" t="s">
        <v>2799</v>
      </c>
      <c r="U840" t="s">
        <v>55</v>
      </c>
      <c r="V840" t="s">
        <v>52</v>
      </c>
      <c r="W840" t="s">
        <v>36</v>
      </c>
      <c r="X840" t="s">
        <v>92</v>
      </c>
      <c r="Y840" t="s">
        <v>45</v>
      </c>
      <c r="Z840" t="s">
        <v>41</v>
      </c>
      <c r="AA840" t="s">
        <v>54</v>
      </c>
      <c r="AB840" t="s">
        <v>55</v>
      </c>
      <c r="AC840" t="s">
        <v>112</v>
      </c>
      <c r="AD840" t="s">
        <v>41</v>
      </c>
      <c r="AE840" t="s">
        <v>41</v>
      </c>
      <c r="AF840" t="s">
        <v>119</v>
      </c>
      <c r="AG840" t="s">
        <v>91</v>
      </c>
      <c r="AH840" t="s">
        <v>98</v>
      </c>
      <c r="AI840" t="s">
        <v>129</v>
      </c>
    </row>
    <row r="841" spans="1:35" x14ac:dyDescent="0.25">
      <c r="A841" t="s">
        <v>204</v>
      </c>
      <c r="B841" t="s">
        <v>59</v>
      </c>
      <c r="C841" t="s">
        <v>37</v>
      </c>
      <c r="D841" t="s">
        <v>1784</v>
      </c>
      <c r="E841" t="s">
        <v>39</v>
      </c>
      <c r="F841" t="s">
        <v>47</v>
      </c>
      <c r="G841" t="s">
        <v>47</v>
      </c>
      <c r="H841" t="s">
        <v>206</v>
      </c>
      <c r="I841" t="s">
        <v>40</v>
      </c>
      <c r="J841" t="s">
        <v>1419</v>
      </c>
      <c r="K841" t="s">
        <v>41</v>
      </c>
      <c r="L841" t="s">
        <v>63</v>
      </c>
      <c r="M841" t="s">
        <v>174</v>
      </c>
      <c r="N841" t="s">
        <v>45</v>
      </c>
      <c r="O841" t="s">
        <v>41</v>
      </c>
      <c r="P841" t="s">
        <v>46</v>
      </c>
      <c r="Q841" t="s">
        <v>40</v>
      </c>
      <c r="R841" t="s">
        <v>48</v>
      </c>
      <c r="S841" t="s">
        <v>2800</v>
      </c>
      <c r="T841" t="s">
        <v>2801</v>
      </c>
      <c r="U841" t="s">
        <v>71</v>
      </c>
      <c r="V841" t="s">
        <v>52</v>
      </c>
      <c r="W841" t="s">
        <v>59</v>
      </c>
      <c r="X841" t="s">
        <v>98</v>
      </c>
      <c r="Y841" t="s">
        <v>45</v>
      </c>
      <c r="Z841" t="s">
        <v>47</v>
      </c>
      <c r="AA841" t="s">
        <v>54</v>
      </c>
      <c r="AB841" t="s">
        <v>55</v>
      </c>
      <c r="AC841" t="s">
        <v>91</v>
      </c>
      <c r="AD841" t="s">
        <v>45</v>
      </c>
      <c r="AE841" t="s">
        <v>47</v>
      </c>
      <c r="AF841" t="s">
        <v>56</v>
      </c>
      <c r="AG841" t="s">
        <v>47</v>
      </c>
      <c r="AH841" t="s">
        <v>40</v>
      </c>
      <c r="AI841" t="s">
        <v>57</v>
      </c>
    </row>
    <row r="842" spans="1:35" x14ac:dyDescent="0.25">
      <c r="A842" t="s">
        <v>126</v>
      </c>
      <c r="B842" t="s">
        <v>59</v>
      </c>
      <c r="C842" t="s">
        <v>37</v>
      </c>
      <c r="D842" t="s">
        <v>1509</v>
      </c>
      <c r="E842" t="s">
        <v>62</v>
      </c>
      <c r="F842" t="s">
        <v>40</v>
      </c>
      <c r="G842" t="s">
        <v>47</v>
      </c>
      <c r="H842" t="s">
        <v>87</v>
      </c>
      <c r="I842" t="s">
        <v>40</v>
      </c>
      <c r="J842" t="s">
        <v>2802</v>
      </c>
      <c r="K842" t="s">
        <v>47</v>
      </c>
      <c r="L842" t="s">
        <v>63</v>
      </c>
      <c r="M842" t="s">
        <v>197</v>
      </c>
      <c r="N842" t="s">
        <v>41</v>
      </c>
      <c r="O842" t="s">
        <v>40</v>
      </c>
      <c r="P842" t="s">
        <v>76</v>
      </c>
      <c r="Q842" t="s">
        <v>45</v>
      </c>
      <c r="R842" t="s">
        <v>66</v>
      </c>
      <c r="S842" t="s">
        <v>1527</v>
      </c>
      <c r="T842" t="s">
        <v>2803</v>
      </c>
      <c r="U842" t="s">
        <v>56</v>
      </c>
      <c r="V842" t="s">
        <v>52</v>
      </c>
      <c r="W842" t="s">
        <v>59</v>
      </c>
      <c r="X842" t="s">
        <v>92</v>
      </c>
      <c r="Y842" t="s">
        <v>45</v>
      </c>
      <c r="Z842" t="s">
        <v>41</v>
      </c>
      <c r="AA842" t="s">
        <v>54</v>
      </c>
      <c r="AB842" t="s">
        <v>40</v>
      </c>
      <c r="AC842" t="s">
        <v>70</v>
      </c>
      <c r="AD842" t="s">
        <v>41</v>
      </c>
      <c r="AE842" t="s">
        <v>45</v>
      </c>
      <c r="AF842" t="s">
        <v>51</v>
      </c>
      <c r="AG842" t="s">
        <v>55</v>
      </c>
      <c r="AH842" t="s">
        <v>40</v>
      </c>
      <c r="AI842" t="s">
        <v>71</v>
      </c>
    </row>
    <row r="843" spans="1:35" x14ac:dyDescent="0.25">
      <c r="A843" t="s">
        <v>107</v>
      </c>
      <c r="B843" t="s">
        <v>59</v>
      </c>
      <c r="C843" t="s">
        <v>37</v>
      </c>
      <c r="D843" t="s">
        <v>210</v>
      </c>
      <c r="E843" t="s">
        <v>62</v>
      </c>
      <c r="F843" t="s">
        <v>107</v>
      </c>
      <c r="G843" t="s">
        <v>45</v>
      </c>
      <c r="H843" t="s">
        <v>87</v>
      </c>
      <c r="I843" t="s">
        <v>40</v>
      </c>
      <c r="J843" t="s">
        <v>2804</v>
      </c>
      <c r="K843" t="s">
        <v>47</v>
      </c>
      <c r="L843" t="s">
        <v>63</v>
      </c>
      <c r="M843" t="s">
        <v>58</v>
      </c>
      <c r="N843" t="s">
        <v>45</v>
      </c>
      <c r="O843" t="s">
        <v>40</v>
      </c>
      <c r="P843" t="s">
        <v>76</v>
      </c>
      <c r="Q843" t="s">
        <v>41</v>
      </c>
      <c r="R843" t="s">
        <v>48</v>
      </c>
      <c r="S843" t="s">
        <v>2805</v>
      </c>
      <c r="T843" t="s">
        <v>2806</v>
      </c>
      <c r="U843" t="s">
        <v>51</v>
      </c>
      <c r="V843" t="s">
        <v>52</v>
      </c>
      <c r="W843" t="s">
        <v>59</v>
      </c>
      <c r="X843" t="s">
        <v>112</v>
      </c>
      <c r="Y843" t="s">
        <v>47</v>
      </c>
      <c r="Z843" t="s">
        <v>47</v>
      </c>
      <c r="AA843" t="s">
        <v>54</v>
      </c>
      <c r="AB843" t="s">
        <v>55</v>
      </c>
      <c r="AC843" t="s">
        <v>56</v>
      </c>
      <c r="AD843" t="s">
        <v>41</v>
      </c>
      <c r="AE843" t="s">
        <v>45</v>
      </c>
      <c r="AF843" t="s">
        <v>47</v>
      </c>
      <c r="AG843" t="s">
        <v>45</v>
      </c>
      <c r="AH843" t="s">
        <v>40</v>
      </c>
      <c r="AI843" t="s">
        <v>41</v>
      </c>
    </row>
    <row r="844" spans="1:35" x14ac:dyDescent="0.25">
      <c r="A844" t="s">
        <v>149</v>
      </c>
      <c r="B844" t="s">
        <v>36</v>
      </c>
      <c r="C844" t="s">
        <v>37</v>
      </c>
      <c r="D844" t="s">
        <v>1573</v>
      </c>
      <c r="E844" t="s">
        <v>62</v>
      </c>
      <c r="F844" t="s">
        <v>92</v>
      </c>
      <c r="G844" t="s">
        <v>40</v>
      </c>
      <c r="H844" t="s">
        <v>42</v>
      </c>
      <c r="I844" t="s">
        <v>40</v>
      </c>
      <c r="J844" t="s">
        <v>2807</v>
      </c>
      <c r="K844" t="s">
        <v>45</v>
      </c>
      <c r="L844" t="s">
        <v>43</v>
      </c>
      <c r="M844" t="s">
        <v>95</v>
      </c>
      <c r="N844" t="s">
        <v>45</v>
      </c>
      <c r="O844" t="s">
        <v>40</v>
      </c>
      <c r="P844" t="s">
        <v>76</v>
      </c>
      <c r="Q844" t="s">
        <v>47</v>
      </c>
      <c r="R844" t="s">
        <v>66</v>
      </c>
      <c r="S844" t="s">
        <v>2234</v>
      </c>
      <c r="T844" t="s">
        <v>2808</v>
      </c>
      <c r="U844" t="s">
        <v>40</v>
      </c>
      <c r="V844" t="s">
        <v>52</v>
      </c>
      <c r="W844" t="s">
        <v>36</v>
      </c>
      <c r="X844" t="s">
        <v>53</v>
      </c>
      <c r="Y844" t="s">
        <v>45</v>
      </c>
      <c r="Z844" t="s">
        <v>47</v>
      </c>
      <c r="AA844" t="s">
        <v>54</v>
      </c>
      <c r="AB844" t="s">
        <v>55</v>
      </c>
      <c r="AC844" t="s">
        <v>40</v>
      </c>
      <c r="AD844" t="s">
        <v>47</v>
      </c>
      <c r="AE844" t="s">
        <v>41</v>
      </c>
      <c r="AF844" t="s">
        <v>40</v>
      </c>
      <c r="AG844" t="s">
        <v>40</v>
      </c>
      <c r="AH844" t="s">
        <v>55</v>
      </c>
      <c r="AI844" t="s">
        <v>55</v>
      </c>
    </row>
    <row r="845" spans="1:35" x14ac:dyDescent="0.25">
      <c r="A845" t="s">
        <v>139</v>
      </c>
      <c r="B845" t="s">
        <v>59</v>
      </c>
      <c r="C845" t="s">
        <v>37</v>
      </c>
      <c r="D845" t="s">
        <v>2809</v>
      </c>
      <c r="E845" t="s">
        <v>62</v>
      </c>
      <c r="F845" t="s">
        <v>45</v>
      </c>
      <c r="G845" t="s">
        <v>47</v>
      </c>
      <c r="H845" t="s">
        <v>87</v>
      </c>
      <c r="I845" t="s">
        <v>40</v>
      </c>
      <c r="J845" t="s">
        <v>2810</v>
      </c>
      <c r="K845" t="s">
        <v>40</v>
      </c>
      <c r="L845" t="s">
        <v>63</v>
      </c>
      <c r="M845" t="s">
        <v>181</v>
      </c>
      <c r="N845" t="s">
        <v>47</v>
      </c>
      <c r="O845" t="s">
        <v>40</v>
      </c>
      <c r="P845" t="s">
        <v>76</v>
      </c>
      <c r="Q845" t="s">
        <v>47</v>
      </c>
      <c r="R845" t="s">
        <v>66</v>
      </c>
      <c r="S845" t="s">
        <v>2811</v>
      </c>
      <c r="T845" t="s">
        <v>2812</v>
      </c>
      <c r="U845" t="s">
        <v>40</v>
      </c>
      <c r="V845" t="s">
        <v>52</v>
      </c>
      <c r="W845" t="s">
        <v>59</v>
      </c>
      <c r="X845" t="s">
        <v>112</v>
      </c>
      <c r="Y845" t="s">
        <v>47</v>
      </c>
      <c r="Z845" t="s">
        <v>41</v>
      </c>
      <c r="AA845" t="s">
        <v>54</v>
      </c>
      <c r="AB845" t="s">
        <v>40</v>
      </c>
      <c r="AC845" t="s">
        <v>51</v>
      </c>
      <c r="AD845" t="s">
        <v>41</v>
      </c>
      <c r="AE845" t="s">
        <v>45</v>
      </c>
      <c r="AF845" t="s">
        <v>51</v>
      </c>
      <c r="AG845" t="s">
        <v>71</v>
      </c>
      <c r="AH845" t="s">
        <v>55</v>
      </c>
      <c r="AI845" t="s">
        <v>71</v>
      </c>
    </row>
    <row r="846" spans="1:35" x14ac:dyDescent="0.25">
      <c r="A846" t="s">
        <v>105</v>
      </c>
      <c r="B846" t="s">
        <v>59</v>
      </c>
      <c r="C846" t="s">
        <v>37</v>
      </c>
      <c r="D846" t="s">
        <v>247</v>
      </c>
      <c r="E846" t="s">
        <v>39</v>
      </c>
      <c r="F846" t="s">
        <v>70</v>
      </c>
      <c r="G846" t="s">
        <v>45</v>
      </c>
      <c r="H846" t="s">
        <v>206</v>
      </c>
      <c r="I846" t="s">
        <v>40</v>
      </c>
      <c r="J846" t="s">
        <v>1952</v>
      </c>
      <c r="K846" t="s">
        <v>45</v>
      </c>
      <c r="L846" t="s">
        <v>63</v>
      </c>
      <c r="M846" t="s">
        <v>201</v>
      </c>
      <c r="N846" t="s">
        <v>41</v>
      </c>
      <c r="O846" t="s">
        <v>41</v>
      </c>
      <c r="P846" t="s">
        <v>46</v>
      </c>
      <c r="Q846" t="s">
        <v>45</v>
      </c>
      <c r="R846" t="s">
        <v>66</v>
      </c>
      <c r="S846" t="s">
        <v>2813</v>
      </c>
      <c r="T846" t="s">
        <v>2814</v>
      </c>
      <c r="U846" t="s">
        <v>40</v>
      </c>
      <c r="V846" t="s">
        <v>52</v>
      </c>
      <c r="W846" t="s">
        <v>59</v>
      </c>
      <c r="X846" t="s">
        <v>145</v>
      </c>
      <c r="Y846" t="s">
        <v>45</v>
      </c>
      <c r="Z846" t="s">
        <v>40</v>
      </c>
      <c r="AA846" t="s">
        <v>54</v>
      </c>
      <c r="AB846" t="s">
        <v>40</v>
      </c>
      <c r="AC846" t="s">
        <v>70</v>
      </c>
      <c r="AD846" t="s">
        <v>45</v>
      </c>
      <c r="AE846" t="s">
        <v>45</v>
      </c>
      <c r="AF846" t="s">
        <v>70</v>
      </c>
      <c r="AG846" t="s">
        <v>45</v>
      </c>
      <c r="AH846" t="s">
        <v>40</v>
      </c>
      <c r="AI846" t="s">
        <v>47</v>
      </c>
    </row>
    <row r="847" spans="1:35" x14ac:dyDescent="0.25">
      <c r="A847" t="s">
        <v>88</v>
      </c>
      <c r="B847" t="s">
        <v>59</v>
      </c>
      <c r="C847" t="s">
        <v>60</v>
      </c>
      <c r="D847" t="s">
        <v>2287</v>
      </c>
      <c r="E847" t="s">
        <v>62</v>
      </c>
      <c r="F847" t="s">
        <v>139</v>
      </c>
      <c r="G847" t="s">
        <v>41</v>
      </c>
      <c r="H847" t="s">
        <v>87</v>
      </c>
      <c r="I847" t="s">
        <v>40</v>
      </c>
      <c r="J847" t="s">
        <v>862</v>
      </c>
      <c r="K847" t="s">
        <v>45</v>
      </c>
      <c r="L847" t="s">
        <v>43</v>
      </c>
      <c r="M847" t="s">
        <v>75</v>
      </c>
      <c r="N847" t="s">
        <v>41</v>
      </c>
      <c r="O847" t="s">
        <v>41</v>
      </c>
      <c r="P847" t="s">
        <v>65</v>
      </c>
      <c r="Q847" t="s">
        <v>47</v>
      </c>
      <c r="R847" t="s">
        <v>66</v>
      </c>
      <c r="S847" t="s">
        <v>2815</v>
      </c>
      <c r="T847" t="s">
        <v>2816</v>
      </c>
      <c r="U847" t="s">
        <v>45</v>
      </c>
      <c r="V847" t="s">
        <v>52</v>
      </c>
      <c r="W847" t="s">
        <v>36</v>
      </c>
      <c r="X847" t="s">
        <v>98</v>
      </c>
      <c r="Y847" t="s">
        <v>45</v>
      </c>
      <c r="Z847" t="s">
        <v>47</v>
      </c>
      <c r="AA847" t="s">
        <v>54</v>
      </c>
      <c r="AB847" t="s">
        <v>40</v>
      </c>
      <c r="AC847" t="s">
        <v>128</v>
      </c>
      <c r="AD847" t="s">
        <v>45</v>
      </c>
      <c r="AE847" t="s">
        <v>40</v>
      </c>
      <c r="AF847" t="s">
        <v>40</v>
      </c>
      <c r="AG847" t="s">
        <v>40</v>
      </c>
      <c r="AH847" t="s">
        <v>55</v>
      </c>
      <c r="AI847" t="s">
        <v>55</v>
      </c>
    </row>
    <row r="848" spans="1:35" x14ac:dyDescent="0.25">
      <c r="A848" t="s">
        <v>126</v>
      </c>
      <c r="B848" t="s">
        <v>59</v>
      </c>
      <c r="C848" t="s">
        <v>37</v>
      </c>
      <c r="D848" t="s">
        <v>2112</v>
      </c>
      <c r="E848" t="s">
        <v>62</v>
      </c>
      <c r="F848" t="s">
        <v>41</v>
      </c>
      <c r="G848" t="s">
        <v>45</v>
      </c>
      <c r="H848" t="s">
        <v>42</v>
      </c>
      <c r="I848" t="s">
        <v>40</v>
      </c>
      <c r="J848" t="s">
        <v>2749</v>
      </c>
      <c r="K848" t="s">
        <v>45</v>
      </c>
      <c r="L848" t="s">
        <v>63</v>
      </c>
      <c r="M848" t="s">
        <v>115</v>
      </c>
      <c r="N848" t="s">
        <v>41</v>
      </c>
      <c r="O848" t="s">
        <v>45</v>
      </c>
      <c r="P848" t="s">
        <v>116</v>
      </c>
      <c r="Q848" t="s">
        <v>41</v>
      </c>
      <c r="R848" t="s">
        <v>109</v>
      </c>
      <c r="S848" t="s">
        <v>2817</v>
      </c>
      <c r="T848" t="s">
        <v>2818</v>
      </c>
      <c r="U848" t="s">
        <v>41</v>
      </c>
      <c r="V848" t="s">
        <v>52</v>
      </c>
      <c r="W848" t="s">
        <v>59</v>
      </c>
      <c r="X848" t="s">
        <v>145</v>
      </c>
      <c r="Y848" t="s">
        <v>45</v>
      </c>
      <c r="Z848" t="s">
        <v>41</v>
      </c>
      <c r="AA848" t="s">
        <v>54</v>
      </c>
      <c r="AB848" t="s">
        <v>40</v>
      </c>
      <c r="AC848" t="s">
        <v>79</v>
      </c>
      <c r="AD848" t="s">
        <v>41</v>
      </c>
      <c r="AE848" t="s">
        <v>47</v>
      </c>
      <c r="AF848" t="s">
        <v>71</v>
      </c>
      <c r="AG848" t="s">
        <v>71</v>
      </c>
      <c r="AH848" t="s">
        <v>56</v>
      </c>
      <c r="AI848" t="s">
        <v>47</v>
      </c>
    </row>
    <row r="849" spans="1:35" x14ac:dyDescent="0.25">
      <c r="A849" t="s">
        <v>142</v>
      </c>
      <c r="B849" t="s">
        <v>59</v>
      </c>
      <c r="C849" t="s">
        <v>60</v>
      </c>
      <c r="D849" t="s">
        <v>435</v>
      </c>
      <c r="E849" t="s">
        <v>62</v>
      </c>
      <c r="F849" t="s">
        <v>40</v>
      </c>
      <c r="G849" t="s">
        <v>45</v>
      </c>
      <c r="H849" t="s">
        <v>87</v>
      </c>
      <c r="I849" t="s">
        <v>40</v>
      </c>
      <c r="J849" t="s">
        <v>2157</v>
      </c>
      <c r="K849" t="s">
        <v>47</v>
      </c>
      <c r="L849" t="s">
        <v>63</v>
      </c>
      <c r="M849" t="s">
        <v>244</v>
      </c>
      <c r="N849" t="s">
        <v>41</v>
      </c>
      <c r="O849" t="s">
        <v>41</v>
      </c>
      <c r="P849" t="s">
        <v>122</v>
      </c>
      <c r="Q849" t="s">
        <v>40</v>
      </c>
      <c r="R849" t="s">
        <v>48</v>
      </c>
      <c r="S849" t="s">
        <v>2819</v>
      </c>
      <c r="T849" t="s">
        <v>2820</v>
      </c>
      <c r="U849" t="s">
        <v>55</v>
      </c>
      <c r="V849" t="s">
        <v>52</v>
      </c>
      <c r="W849" t="s">
        <v>59</v>
      </c>
      <c r="X849" t="s">
        <v>104</v>
      </c>
      <c r="Y849" t="s">
        <v>47</v>
      </c>
      <c r="Z849" t="s">
        <v>45</v>
      </c>
      <c r="AA849" t="s">
        <v>54</v>
      </c>
      <c r="AB849" t="s">
        <v>55</v>
      </c>
      <c r="AC849" t="s">
        <v>129</v>
      </c>
      <c r="AD849" t="s">
        <v>45</v>
      </c>
      <c r="AE849" t="s">
        <v>45</v>
      </c>
      <c r="AF849" t="s">
        <v>98</v>
      </c>
      <c r="AG849" t="s">
        <v>91</v>
      </c>
      <c r="AH849" t="s">
        <v>47</v>
      </c>
      <c r="AI849" t="s">
        <v>91</v>
      </c>
    </row>
    <row r="850" spans="1:35" x14ac:dyDescent="0.25">
      <c r="A850" t="s">
        <v>126</v>
      </c>
      <c r="B850" t="s">
        <v>59</v>
      </c>
      <c r="C850" t="s">
        <v>60</v>
      </c>
      <c r="D850" t="s">
        <v>1174</v>
      </c>
      <c r="E850" t="s">
        <v>62</v>
      </c>
      <c r="F850" t="s">
        <v>47</v>
      </c>
      <c r="G850" t="s">
        <v>47</v>
      </c>
      <c r="H850" t="s">
        <v>74</v>
      </c>
      <c r="I850" t="s">
        <v>40</v>
      </c>
      <c r="J850" t="s">
        <v>2821</v>
      </c>
      <c r="K850" t="s">
        <v>47</v>
      </c>
      <c r="L850" t="s">
        <v>63</v>
      </c>
      <c r="M850" t="s">
        <v>239</v>
      </c>
      <c r="N850" t="s">
        <v>41</v>
      </c>
      <c r="O850" t="s">
        <v>40</v>
      </c>
      <c r="P850" t="s">
        <v>76</v>
      </c>
      <c r="Q850" t="s">
        <v>47</v>
      </c>
      <c r="R850" t="s">
        <v>66</v>
      </c>
      <c r="S850" t="s">
        <v>2822</v>
      </c>
      <c r="T850" t="s">
        <v>2823</v>
      </c>
      <c r="U850" t="s">
        <v>40</v>
      </c>
      <c r="V850" t="s">
        <v>52</v>
      </c>
      <c r="W850" t="s">
        <v>59</v>
      </c>
      <c r="X850" t="s">
        <v>98</v>
      </c>
      <c r="Y850" t="s">
        <v>45</v>
      </c>
      <c r="Z850" t="s">
        <v>41</v>
      </c>
      <c r="AA850" t="s">
        <v>54</v>
      </c>
      <c r="AB850" t="s">
        <v>40</v>
      </c>
      <c r="AC850" t="s">
        <v>41</v>
      </c>
      <c r="AD850" t="s">
        <v>41</v>
      </c>
      <c r="AE850" t="s">
        <v>47</v>
      </c>
      <c r="AF850" t="s">
        <v>41</v>
      </c>
      <c r="AG850" t="s">
        <v>41</v>
      </c>
      <c r="AH850" t="s">
        <v>41</v>
      </c>
      <c r="AI850" t="s">
        <v>41</v>
      </c>
    </row>
    <row r="851" spans="1:35" x14ac:dyDescent="0.25">
      <c r="A851" t="s">
        <v>234</v>
      </c>
      <c r="B851" t="s">
        <v>36</v>
      </c>
      <c r="C851" t="s">
        <v>37</v>
      </c>
      <c r="D851" t="s">
        <v>1156</v>
      </c>
      <c r="E851" t="s">
        <v>39</v>
      </c>
      <c r="F851" t="s">
        <v>91</v>
      </c>
      <c r="G851" t="s">
        <v>45</v>
      </c>
      <c r="H851" t="s">
        <v>206</v>
      </c>
      <c r="I851" t="s">
        <v>40</v>
      </c>
      <c r="J851" t="s">
        <v>2370</v>
      </c>
      <c r="K851" t="s">
        <v>40</v>
      </c>
      <c r="L851" t="s">
        <v>43</v>
      </c>
      <c r="M851" t="s">
        <v>348</v>
      </c>
      <c r="N851" t="s">
        <v>40</v>
      </c>
      <c r="O851" t="s">
        <v>41</v>
      </c>
      <c r="P851" t="s">
        <v>46</v>
      </c>
      <c r="Q851" t="s">
        <v>45</v>
      </c>
      <c r="R851" t="s">
        <v>48</v>
      </c>
      <c r="S851" t="s">
        <v>2824</v>
      </c>
      <c r="T851" t="s">
        <v>2825</v>
      </c>
      <c r="U851" t="s">
        <v>51</v>
      </c>
      <c r="V851" t="s">
        <v>52</v>
      </c>
      <c r="W851" t="s">
        <v>59</v>
      </c>
      <c r="X851" t="s">
        <v>98</v>
      </c>
      <c r="Y851" t="s">
        <v>45</v>
      </c>
      <c r="Z851" t="s">
        <v>41</v>
      </c>
      <c r="AA851" t="s">
        <v>54</v>
      </c>
      <c r="AB851" t="s">
        <v>55</v>
      </c>
      <c r="AC851" t="s">
        <v>71</v>
      </c>
      <c r="AD851" t="s">
        <v>41</v>
      </c>
      <c r="AE851" t="s">
        <v>41</v>
      </c>
      <c r="AF851" t="s">
        <v>47</v>
      </c>
      <c r="AG851" t="s">
        <v>45</v>
      </c>
      <c r="AH851" t="s">
        <v>40</v>
      </c>
      <c r="AI851" t="s">
        <v>45</v>
      </c>
    </row>
    <row r="852" spans="1:35" x14ac:dyDescent="0.25">
      <c r="A852" t="s">
        <v>93</v>
      </c>
      <c r="B852" t="s">
        <v>59</v>
      </c>
      <c r="C852" t="s">
        <v>161</v>
      </c>
      <c r="D852" t="s">
        <v>2208</v>
      </c>
      <c r="E852" t="s">
        <v>39</v>
      </c>
      <c r="F852" t="s">
        <v>41</v>
      </c>
      <c r="G852" t="s">
        <v>40</v>
      </c>
      <c r="H852" t="s">
        <v>42</v>
      </c>
      <c r="I852" t="s">
        <v>40</v>
      </c>
      <c r="J852" t="s">
        <v>2826</v>
      </c>
      <c r="K852" t="s">
        <v>45</v>
      </c>
      <c r="L852" t="s">
        <v>43</v>
      </c>
      <c r="M852" t="s">
        <v>322</v>
      </c>
      <c r="N852" t="s">
        <v>45</v>
      </c>
      <c r="O852" t="s">
        <v>40</v>
      </c>
      <c r="P852" t="s">
        <v>182</v>
      </c>
      <c r="Q852" t="s">
        <v>40</v>
      </c>
      <c r="R852" t="s">
        <v>109</v>
      </c>
      <c r="S852" t="s">
        <v>2827</v>
      </c>
      <c r="T852" t="s">
        <v>2828</v>
      </c>
      <c r="U852" t="s">
        <v>40</v>
      </c>
      <c r="V852" t="s">
        <v>52</v>
      </c>
      <c r="W852" t="s">
        <v>59</v>
      </c>
      <c r="X852" t="s">
        <v>92</v>
      </c>
      <c r="Y852" t="s">
        <v>45</v>
      </c>
      <c r="Z852" t="s">
        <v>45</v>
      </c>
      <c r="AA852" t="s">
        <v>54</v>
      </c>
      <c r="AB852" t="s">
        <v>45</v>
      </c>
      <c r="AC852" t="s">
        <v>40</v>
      </c>
      <c r="AD852" t="s">
        <v>45</v>
      </c>
      <c r="AE852" t="s">
        <v>45</v>
      </c>
      <c r="AF852" t="s">
        <v>40</v>
      </c>
      <c r="AG852" t="s">
        <v>55</v>
      </c>
      <c r="AH852" t="s">
        <v>55</v>
      </c>
      <c r="AI852" t="s">
        <v>55</v>
      </c>
    </row>
    <row r="853" spans="1:35" x14ac:dyDescent="0.25">
      <c r="A853" t="s">
        <v>82</v>
      </c>
      <c r="B853" t="s">
        <v>59</v>
      </c>
      <c r="C853" t="s">
        <v>37</v>
      </c>
      <c r="D853" t="s">
        <v>2764</v>
      </c>
      <c r="E853" t="s">
        <v>62</v>
      </c>
      <c r="F853" t="s">
        <v>47</v>
      </c>
      <c r="G853" t="s">
        <v>47</v>
      </c>
      <c r="H853" t="s">
        <v>228</v>
      </c>
      <c r="I853" t="s">
        <v>40</v>
      </c>
      <c r="J853" t="s">
        <v>2829</v>
      </c>
      <c r="K853" t="s">
        <v>47</v>
      </c>
      <c r="L853" t="s">
        <v>43</v>
      </c>
      <c r="M853" t="s">
        <v>75</v>
      </c>
      <c r="N853" t="s">
        <v>45</v>
      </c>
      <c r="O853" t="s">
        <v>57</v>
      </c>
      <c r="P853" t="s">
        <v>169</v>
      </c>
      <c r="Q853" t="s">
        <v>40</v>
      </c>
      <c r="R853" t="s">
        <v>109</v>
      </c>
      <c r="S853" t="s">
        <v>2830</v>
      </c>
      <c r="T853" t="s">
        <v>2831</v>
      </c>
      <c r="U853" t="s">
        <v>47</v>
      </c>
      <c r="V853" t="s">
        <v>52</v>
      </c>
      <c r="W853" t="s">
        <v>59</v>
      </c>
      <c r="X853" t="s">
        <v>98</v>
      </c>
      <c r="Y853" t="s">
        <v>45</v>
      </c>
      <c r="Z853" t="s">
        <v>47</v>
      </c>
      <c r="AA853" t="s">
        <v>54</v>
      </c>
      <c r="AB853" t="s">
        <v>40</v>
      </c>
      <c r="AC853" t="s">
        <v>149</v>
      </c>
      <c r="AD853" t="s">
        <v>41</v>
      </c>
      <c r="AE853" t="s">
        <v>45</v>
      </c>
      <c r="AF853" t="s">
        <v>57</v>
      </c>
      <c r="AG853" t="s">
        <v>41</v>
      </c>
      <c r="AH853" t="s">
        <v>47</v>
      </c>
      <c r="AI853" t="s">
        <v>41</v>
      </c>
    </row>
    <row r="854" spans="1:35" x14ac:dyDescent="0.25">
      <c r="A854" t="s">
        <v>133</v>
      </c>
      <c r="B854" t="s">
        <v>59</v>
      </c>
      <c r="C854" t="s">
        <v>37</v>
      </c>
      <c r="D854" t="s">
        <v>986</v>
      </c>
      <c r="E854" t="s">
        <v>62</v>
      </c>
      <c r="F854" t="s">
        <v>56</v>
      </c>
      <c r="G854" t="s">
        <v>40</v>
      </c>
      <c r="H854" t="s">
        <v>87</v>
      </c>
      <c r="I854" t="s">
        <v>40</v>
      </c>
      <c r="J854" t="s">
        <v>1349</v>
      </c>
      <c r="K854" t="s">
        <v>41</v>
      </c>
      <c r="L854" t="s">
        <v>43</v>
      </c>
      <c r="M854" t="s">
        <v>259</v>
      </c>
      <c r="N854" t="s">
        <v>45</v>
      </c>
      <c r="O854" t="s">
        <v>40</v>
      </c>
      <c r="P854" t="s">
        <v>76</v>
      </c>
      <c r="Q854" t="s">
        <v>47</v>
      </c>
      <c r="R854" t="s">
        <v>66</v>
      </c>
      <c r="S854" t="s">
        <v>2832</v>
      </c>
      <c r="T854" t="s">
        <v>2833</v>
      </c>
      <c r="U854" t="s">
        <v>40</v>
      </c>
      <c r="V854" t="s">
        <v>52</v>
      </c>
      <c r="W854" t="s">
        <v>59</v>
      </c>
      <c r="X854" t="s">
        <v>98</v>
      </c>
      <c r="Y854" t="s">
        <v>45</v>
      </c>
      <c r="Z854" t="s">
        <v>40</v>
      </c>
      <c r="AA854" t="s">
        <v>54</v>
      </c>
      <c r="AB854" t="s">
        <v>40</v>
      </c>
      <c r="AC854" t="s">
        <v>70</v>
      </c>
      <c r="AD854" t="s">
        <v>57</v>
      </c>
      <c r="AE854" t="s">
        <v>45</v>
      </c>
      <c r="AF854" t="s">
        <v>70</v>
      </c>
      <c r="AG854" t="s">
        <v>51</v>
      </c>
      <c r="AH854" t="s">
        <v>55</v>
      </c>
      <c r="AI854" t="s">
        <v>51</v>
      </c>
    </row>
    <row r="855" spans="1:35" x14ac:dyDescent="0.25">
      <c r="A855" t="s">
        <v>144</v>
      </c>
      <c r="B855" t="s">
        <v>59</v>
      </c>
      <c r="C855" t="s">
        <v>37</v>
      </c>
      <c r="D855" t="s">
        <v>1549</v>
      </c>
      <c r="E855" t="s">
        <v>62</v>
      </c>
      <c r="F855" t="s">
        <v>91</v>
      </c>
      <c r="G855" t="s">
        <v>41</v>
      </c>
      <c r="H855" t="s">
        <v>42</v>
      </c>
      <c r="I855" t="s">
        <v>40</v>
      </c>
      <c r="J855" t="s">
        <v>2834</v>
      </c>
      <c r="K855" t="s">
        <v>45</v>
      </c>
      <c r="L855" t="s">
        <v>63</v>
      </c>
      <c r="M855" t="s">
        <v>259</v>
      </c>
      <c r="N855" t="s">
        <v>45</v>
      </c>
      <c r="O855" t="s">
        <v>40</v>
      </c>
      <c r="P855" t="s">
        <v>65</v>
      </c>
      <c r="Q855" t="s">
        <v>40</v>
      </c>
      <c r="R855" t="s">
        <v>48</v>
      </c>
      <c r="S855" t="s">
        <v>2835</v>
      </c>
      <c r="T855" t="s">
        <v>2836</v>
      </c>
      <c r="U855" t="s">
        <v>40</v>
      </c>
      <c r="V855" t="s">
        <v>52</v>
      </c>
      <c r="W855" t="s">
        <v>59</v>
      </c>
      <c r="X855" t="s">
        <v>172</v>
      </c>
      <c r="Y855" t="s">
        <v>47</v>
      </c>
      <c r="Z855" t="s">
        <v>45</v>
      </c>
      <c r="AA855" t="s">
        <v>54</v>
      </c>
      <c r="AB855" t="s">
        <v>55</v>
      </c>
      <c r="AC855" t="s">
        <v>40</v>
      </c>
      <c r="AD855" t="s">
        <v>47</v>
      </c>
      <c r="AE855" t="s">
        <v>45</v>
      </c>
      <c r="AF855" t="s">
        <v>40</v>
      </c>
      <c r="AG855" t="s">
        <v>40</v>
      </c>
      <c r="AH855" t="s">
        <v>55</v>
      </c>
      <c r="AI855" t="s">
        <v>55</v>
      </c>
    </row>
    <row r="856" spans="1:35" x14ac:dyDescent="0.25">
      <c r="A856" t="s">
        <v>174</v>
      </c>
      <c r="B856" t="s">
        <v>59</v>
      </c>
      <c r="C856" t="s">
        <v>37</v>
      </c>
      <c r="D856" t="s">
        <v>2837</v>
      </c>
      <c r="E856" t="s">
        <v>62</v>
      </c>
      <c r="F856" t="s">
        <v>71</v>
      </c>
      <c r="G856" t="s">
        <v>45</v>
      </c>
      <c r="H856" t="s">
        <v>87</v>
      </c>
      <c r="I856" t="s">
        <v>40</v>
      </c>
      <c r="J856" t="s">
        <v>347</v>
      </c>
      <c r="K856" t="s">
        <v>40</v>
      </c>
      <c r="L856" t="s">
        <v>43</v>
      </c>
      <c r="M856" t="s">
        <v>193</v>
      </c>
      <c r="N856" t="s">
        <v>45</v>
      </c>
      <c r="O856" t="s">
        <v>40</v>
      </c>
      <c r="P856" t="s">
        <v>65</v>
      </c>
      <c r="Q856" t="s">
        <v>45</v>
      </c>
      <c r="R856" t="s">
        <v>66</v>
      </c>
      <c r="S856" t="s">
        <v>2838</v>
      </c>
      <c r="T856" t="s">
        <v>2839</v>
      </c>
      <c r="U856" t="s">
        <v>47</v>
      </c>
      <c r="V856" t="s">
        <v>52</v>
      </c>
      <c r="W856" t="s">
        <v>36</v>
      </c>
      <c r="X856" t="s">
        <v>144</v>
      </c>
      <c r="Y856" t="s">
        <v>45</v>
      </c>
      <c r="Z856" t="s">
        <v>45</v>
      </c>
      <c r="AA856" t="s">
        <v>54</v>
      </c>
      <c r="AB856" t="s">
        <v>40</v>
      </c>
      <c r="AC856" t="s">
        <v>71</v>
      </c>
      <c r="AD856" t="s">
        <v>41</v>
      </c>
      <c r="AE856" t="s">
        <v>41</v>
      </c>
      <c r="AF856" t="s">
        <v>45</v>
      </c>
      <c r="AG856" t="s">
        <v>41</v>
      </c>
      <c r="AH856" t="s">
        <v>55</v>
      </c>
      <c r="AI856" t="s">
        <v>41</v>
      </c>
    </row>
    <row r="857" spans="1:35" x14ac:dyDescent="0.25">
      <c r="A857" t="s">
        <v>72</v>
      </c>
      <c r="B857" t="s">
        <v>59</v>
      </c>
      <c r="C857" t="s">
        <v>37</v>
      </c>
      <c r="D857" t="s">
        <v>2430</v>
      </c>
      <c r="E857" t="s">
        <v>62</v>
      </c>
      <c r="F857" t="s">
        <v>40</v>
      </c>
      <c r="G857" t="s">
        <v>45</v>
      </c>
      <c r="H857" t="s">
        <v>42</v>
      </c>
      <c r="I857" t="s">
        <v>40</v>
      </c>
      <c r="J857" t="s">
        <v>2840</v>
      </c>
      <c r="K857" t="s">
        <v>47</v>
      </c>
      <c r="L857" t="s">
        <v>43</v>
      </c>
      <c r="M857" t="s">
        <v>82</v>
      </c>
      <c r="N857" t="s">
        <v>41</v>
      </c>
      <c r="O857" t="s">
        <v>41</v>
      </c>
      <c r="P857" t="s">
        <v>116</v>
      </c>
      <c r="Q857" t="s">
        <v>47</v>
      </c>
      <c r="R857" t="s">
        <v>66</v>
      </c>
      <c r="S857" t="s">
        <v>2841</v>
      </c>
      <c r="T857" t="s">
        <v>2842</v>
      </c>
      <c r="U857" t="s">
        <v>40</v>
      </c>
      <c r="V857" t="s">
        <v>52</v>
      </c>
      <c r="W857" t="s">
        <v>59</v>
      </c>
      <c r="X857" t="s">
        <v>98</v>
      </c>
      <c r="Y857" t="s">
        <v>45</v>
      </c>
      <c r="Z857" t="s">
        <v>41</v>
      </c>
      <c r="AA857" t="s">
        <v>54</v>
      </c>
      <c r="AB857" t="s">
        <v>40</v>
      </c>
      <c r="AC857" t="s">
        <v>129</v>
      </c>
      <c r="AD857" t="s">
        <v>41</v>
      </c>
      <c r="AE857" t="s">
        <v>41</v>
      </c>
      <c r="AF857" t="s">
        <v>129</v>
      </c>
      <c r="AG857" t="s">
        <v>51</v>
      </c>
      <c r="AH857" t="s">
        <v>45</v>
      </c>
      <c r="AI857" t="s">
        <v>53</v>
      </c>
    </row>
    <row r="858" spans="1:35" x14ac:dyDescent="0.25">
      <c r="A858" t="s">
        <v>104</v>
      </c>
      <c r="B858" t="s">
        <v>59</v>
      </c>
      <c r="C858" t="s">
        <v>37</v>
      </c>
      <c r="D858" t="s">
        <v>2080</v>
      </c>
      <c r="E858" t="s">
        <v>62</v>
      </c>
      <c r="F858" t="s">
        <v>45</v>
      </c>
      <c r="G858" t="s">
        <v>45</v>
      </c>
      <c r="H858" t="s">
        <v>42</v>
      </c>
      <c r="I858" t="s">
        <v>40</v>
      </c>
      <c r="J858" t="s">
        <v>2352</v>
      </c>
      <c r="K858" t="s">
        <v>40</v>
      </c>
      <c r="L858" t="s">
        <v>63</v>
      </c>
      <c r="M858" t="s">
        <v>371</v>
      </c>
      <c r="N858" t="s">
        <v>41</v>
      </c>
      <c r="O858" t="s">
        <v>40</v>
      </c>
      <c r="P858" t="s">
        <v>76</v>
      </c>
      <c r="Q858" t="s">
        <v>45</v>
      </c>
      <c r="R858" t="s">
        <v>48</v>
      </c>
      <c r="S858" t="s">
        <v>2843</v>
      </c>
      <c r="T858" t="s">
        <v>2844</v>
      </c>
      <c r="U858" t="s">
        <v>40</v>
      </c>
      <c r="V858" t="s">
        <v>52</v>
      </c>
      <c r="W858" t="s">
        <v>59</v>
      </c>
      <c r="X858" t="s">
        <v>92</v>
      </c>
      <c r="Y858" t="s">
        <v>45</v>
      </c>
      <c r="Z858" t="s">
        <v>40</v>
      </c>
      <c r="AA858" t="s">
        <v>54</v>
      </c>
      <c r="AB858" t="s">
        <v>55</v>
      </c>
      <c r="AC858" t="s">
        <v>41</v>
      </c>
      <c r="AD858" t="s">
        <v>41</v>
      </c>
      <c r="AE858" t="s">
        <v>41</v>
      </c>
      <c r="AF858" t="s">
        <v>41</v>
      </c>
      <c r="AG858" t="s">
        <v>41</v>
      </c>
      <c r="AH858" t="s">
        <v>40</v>
      </c>
      <c r="AI858" t="s">
        <v>41</v>
      </c>
    </row>
    <row r="859" spans="1:35" x14ac:dyDescent="0.25">
      <c r="A859" t="s">
        <v>115</v>
      </c>
      <c r="B859" t="s">
        <v>36</v>
      </c>
      <c r="C859" t="s">
        <v>37</v>
      </c>
      <c r="D859" t="s">
        <v>303</v>
      </c>
      <c r="E859" t="s">
        <v>62</v>
      </c>
      <c r="F859" t="s">
        <v>70</v>
      </c>
      <c r="G859" t="s">
        <v>47</v>
      </c>
      <c r="H859" t="s">
        <v>42</v>
      </c>
      <c r="I859" t="s">
        <v>40</v>
      </c>
      <c r="J859" t="s">
        <v>1215</v>
      </c>
      <c r="K859" t="s">
        <v>45</v>
      </c>
      <c r="L859" t="s">
        <v>63</v>
      </c>
      <c r="M859" t="s">
        <v>163</v>
      </c>
      <c r="N859" t="s">
        <v>45</v>
      </c>
      <c r="O859" t="s">
        <v>40</v>
      </c>
      <c r="P859" t="s">
        <v>65</v>
      </c>
      <c r="Q859" t="s">
        <v>45</v>
      </c>
      <c r="R859" t="s">
        <v>48</v>
      </c>
      <c r="S859" t="s">
        <v>2845</v>
      </c>
      <c r="T859" t="s">
        <v>2846</v>
      </c>
      <c r="U859" t="s">
        <v>40</v>
      </c>
      <c r="V859" t="s">
        <v>52</v>
      </c>
      <c r="W859" t="s">
        <v>36</v>
      </c>
      <c r="X859" t="s">
        <v>53</v>
      </c>
      <c r="Y859" t="s">
        <v>45</v>
      </c>
      <c r="Z859" t="s">
        <v>45</v>
      </c>
      <c r="AA859" t="s">
        <v>54</v>
      </c>
      <c r="AB859" t="s">
        <v>55</v>
      </c>
      <c r="AC859" t="s">
        <v>56</v>
      </c>
      <c r="AD859" t="s">
        <v>47</v>
      </c>
      <c r="AE859" t="s">
        <v>45</v>
      </c>
      <c r="AF859" t="s">
        <v>56</v>
      </c>
      <c r="AG859" t="s">
        <v>47</v>
      </c>
      <c r="AH859" t="s">
        <v>55</v>
      </c>
      <c r="AI859" t="s">
        <v>41</v>
      </c>
    </row>
    <row r="860" spans="1:35" x14ac:dyDescent="0.25">
      <c r="A860" t="s">
        <v>166</v>
      </c>
      <c r="B860" t="s">
        <v>59</v>
      </c>
      <c r="C860" t="s">
        <v>37</v>
      </c>
      <c r="D860" t="s">
        <v>341</v>
      </c>
      <c r="E860" t="s">
        <v>62</v>
      </c>
      <c r="F860" t="s">
        <v>71</v>
      </c>
      <c r="G860" t="s">
        <v>41</v>
      </c>
      <c r="H860" t="s">
        <v>87</v>
      </c>
      <c r="I860" t="s">
        <v>40</v>
      </c>
      <c r="J860" t="s">
        <v>2847</v>
      </c>
      <c r="K860" t="s">
        <v>47</v>
      </c>
      <c r="L860" t="s">
        <v>43</v>
      </c>
      <c r="M860" t="s">
        <v>151</v>
      </c>
      <c r="N860" t="s">
        <v>45</v>
      </c>
      <c r="O860" t="s">
        <v>57</v>
      </c>
      <c r="P860" t="s">
        <v>169</v>
      </c>
      <c r="Q860" t="s">
        <v>45</v>
      </c>
      <c r="R860" t="s">
        <v>109</v>
      </c>
      <c r="S860" t="s">
        <v>2848</v>
      </c>
      <c r="T860" t="s">
        <v>2849</v>
      </c>
      <c r="U860" t="s">
        <v>45</v>
      </c>
      <c r="V860" t="s">
        <v>52</v>
      </c>
      <c r="W860" t="s">
        <v>59</v>
      </c>
      <c r="X860" t="s">
        <v>145</v>
      </c>
      <c r="Y860" t="s">
        <v>45</v>
      </c>
      <c r="Z860" t="s">
        <v>41</v>
      </c>
      <c r="AA860" t="s">
        <v>54</v>
      </c>
      <c r="AB860" t="s">
        <v>40</v>
      </c>
      <c r="AC860" t="s">
        <v>139</v>
      </c>
      <c r="AD860" t="s">
        <v>56</v>
      </c>
      <c r="AE860" t="s">
        <v>45</v>
      </c>
      <c r="AF860" t="s">
        <v>71</v>
      </c>
      <c r="AG860" t="s">
        <v>71</v>
      </c>
      <c r="AH860" t="s">
        <v>47</v>
      </c>
      <c r="AI860" t="s">
        <v>71</v>
      </c>
    </row>
    <row r="861" spans="1:35" x14ac:dyDescent="0.25">
      <c r="A861" t="s">
        <v>133</v>
      </c>
      <c r="B861" t="s">
        <v>59</v>
      </c>
      <c r="C861" t="s">
        <v>37</v>
      </c>
      <c r="D861" t="s">
        <v>2364</v>
      </c>
      <c r="E861" t="s">
        <v>62</v>
      </c>
      <c r="F861" t="s">
        <v>79</v>
      </c>
      <c r="G861" t="s">
        <v>40</v>
      </c>
      <c r="H861" t="s">
        <v>42</v>
      </c>
      <c r="I861" t="s">
        <v>40</v>
      </c>
      <c r="J861" t="s">
        <v>2850</v>
      </c>
      <c r="K861" t="s">
        <v>41</v>
      </c>
      <c r="L861" t="s">
        <v>43</v>
      </c>
      <c r="M861" t="s">
        <v>1214</v>
      </c>
      <c r="N861" t="s">
        <v>40</v>
      </c>
      <c r="O861" t="s">
        <v>40</v>
      </c>
      <c r="P861" t="s">
        <v>65</v>
      </c>
      <c r="Q861" t="s">
        <v>47</v>
      </c>
      <c r="R861" t="s">
        <v>66</v>
      </c>
      <c r="S861" t="s">
        <v>2851</v>
      </c>
      <c r="T861" t="s">
        <v>2852</v>
      </c>
      <c r="U861" t="s">
        <v>55</v>
      </c>
      <c r="V861" t="s">
        <v>52</v>
      </c>
      <c r="W861" t="s">
        <v>36</v>
      </c>
      <c r="X861" t="s">
        <v>145</v>
      </c>
      <c r="Y861" t="s">
        <v>45</v>
      </c>
      <c r="Z861" t="s">
        <v>40</v>
      </c>
      <c r="AA861" t="s">
        <v>54</v>
      </c>
      <c r="AB861" t="s">
        <v>40</v>
      </c>
      <c r="AC861" t="s">
        <v>56</v>
      </c>
      <c r="AD861" t="s">
        <v>41</v>
      </c>
      <c r="AE861" t="s">
        <v>41</v>
      </c>
      <c r="AF861" t="s">
        <v>57</v>
      </c>
      <c r="AG861" t="s">
        <v>47</v>
      </c>
      <c r="AH861" t="s">
        <v>40</v>
      </c>
      <c r="AI861" t="s">
        <v>45</v>
      </c>
    </row>
    <row r="862" spans="1:35" x14ac:dyDescent="0.25">
      <c r="A862" t="s">
        <v>112</v>
      </c>
      <c r="B862" t="s">
        <v>36</v>
      </c>
      <c r="C862" t="s">
        <v>60</v>
      </c>
      <c r="D862" t="s">
        <v>705</v>
      </c>
      <c r="E862" t="s">
        <v>62</v>
      </c>
      <c r="F862" t="s">
        <v>45</v>
      </c>
      <c r="G862" t="s">
        <v>47</v>
      </c>
      <c r="H862" t="s">
        <v>42</v>
      </c>
      <c r="I862" t="s">
        <v>40</v>
      </c>
      <c r="J862" t="s">
        <v>2853</v>
      </c>
      <c r="K862" t="s">
        <v>45</v>
      </c>
      <c r="L862" t="s">
        <v>63</v>
      </c>
      <c r="M862" t="s">
        <v>207</v>
      </c>
      <c r="N862" t="s">
        <v>41</v>
      </c>
      <c r="O862" t="s">
        <v>40</v>
      </c>
      <c r="P862" t="s">
        <v>65</v>
      </c>
      <c r="Q862" t="s">
        <v>47</v>
      </c>
      <c r="R862" t="s">
        <v>66</v>
      </c>
      <c r="S862" t="s">
        <v>2854</v>
      </c>
      <c r="T862" t="s">
        <v>2855</v>
      </c>
      <c r="U862" t="s">
        <v>55</v>
      </c>
      <c r="V862" t="s">
        <v>52</v>
      </c>
      <c r="W862" t="s">
        <v>36</v>
      </c>
      <c r="X862" t="s">
        <v>53</v>
      </c>
      <c r="Y862" t="s">
        <v>45</v>
      </c>
      <c r="Z862" t="s">
        <v>41</v>
      </c>
      <c r="AA862" t="s">
        <v>54</v>
      </c>
      <c r="AB862" t="s">
        <v>40</v>
      </c>
      <c r="AC862" t="s">
        <v>40</v>
      </c>
      <c r="AD862" t="s">
        <v>57</v>
      </c>
      <c r="AE862" t="s">
        <v>45</v>
      </c>
      <c r="AF862" t="s">
        <v>55</v>
      </c>
      <c r="AG862" t="s">
        <v>55</v>
      </c>
      <c r="AH862" t="s">
        <v>55</v>
      </c>
      <c r="AI862" t="s">
        <v>55</v>
      </c>
    </row>
    <row r="863" spans="1:35" x14ac:dyDescent="0.25">
      <c r="A863" t="s">
        <v>213</v>
      </c>
      <c r="B863" t="s">
        <v>59</v>
      </c>
      <c r="C863" t="s">
        <v>37</v>
      </c>
      <c r="D863" t="s">
        <v>2856</v>
      </c>
      <c r="E863" t="s">
        <v>39</v>
      </c>
      <c r="F863" t="s">
        <v>41</v>
      </c>
      <c r="G863" t="s">
        <v>45</v>
      </c>
      <c r="H863" t="s">
        <v>206</v>
      </c>
      <c r="I863" t="s">
        <v>40</v>
      </c>
      <c r="J863" t="s">
        <v>2673</v>
      </c>
      <c r="K863" t="s">
        <v>45</v>
      </c>
      <c r="L863" t="s">
        <v>43</v>
      </c>
      <c r="M863" t="s">
        <v>1214</v>
      </c>
      <c r="N863" t="s">
        <v>45</v>
      </c>
      <c r="O863" t="s">
        <v>47</v>
      </c>
      <c r="P863" t="s">
        <v>169</v>
      </c>
      <c r="Q863" t="s">
        <v>40</v>
      </c>
      <c r="R863" t="s">
        <v>66</v>
      </c>
      <c r="S863" t="s">
        <v>2857</v>
      </c>
      <c r="T863" t="s">
        <v>2858</v>
      </c>
      <c r="U863" t="s">
        <v>51</v>
      </c>
      <c r="V863" t="s">
        <v>52</v>
      </c>
      <c r="W863" t="s">
        <v>59</v>
      </c>
      <c r="X863" t="s">
        <v>69</v>
      </c>
      <c r="Y863" t="s">
        <v>47</v>
      </c>
      <c r="Z863" t="s">
        <v>40</v>
      </c>
      <c r="AA863" t="s">
        <v>54</v>
      </c>
      <c r="AB863" t="s">
        <v>55</v>
      </c>
      <c r="AC863" t="s">
        <v>149</v>
      </c>
      <c r="AD863" t="s">
        <v>41</v>
      </c>
      <c r="AE863" t="s">
        <v>45</v>
      </c>
      <c r="AF863" t="s">
        <v>139</v>
      </c>
      <c r="AG863" t="s">
        <v>79</v>
      </c>
      <c r="AH863" t="s">
        <v>79</v>
      </c>
      <c r="AI863" t="s">
        <v>91</v>
      </c>
    </row>
    <row r="864" spans="1:35" x14ac:dyDescent="0.25">
      <c r="A864" t="s">
        <v>115</v>
      </c>
      <c r="B864" t="s">
        <v>59</v>
      </c>
      <c r="C864" t="s">
        <v>161</v>
      </c>
      <c r="D864" t="s">
        <v>407</v>
      </c>
      <c r="E864" t="s">
        <v>62</v>
      </c>
      <c r="F864" t="s">
        <v>125</v>
      </c>
      <c r="G864" t="s">
        <v>45</v>
      </c>
      <c r="H864" t="s">
        <v>42</v>
      </c>
      <c r="I864" t="s">
        <v>40</v>
      </c>
      <c r="J864" t="s">
        <v>2495</v>
      </c>
      <c r="K864" t="s">
        <v>47</v>
      </c>
      <c r="L864" t="s">
        <v>63</v>
      </c>
      <c r="M864" t="s">
        <v>314</v>
      </c>
      <c r="N864" t="s">
        <v>40</v>
      </c>
      <c r="O864" t="s">
        <v>40</v>
      </c>
      <c r="P864" t="s">
        <v>65</v>
      </c>
      <c r="Q864" t="s">
        <v>45</v>
      </c>
      <c r="R864" t="s">
        <v>48</v>
      </c>
      <c r="S864" t="s">
        <v>2859</v>
      </c>
      <c r="T864" t="s">
        <v>2860</v>
      </c>
      <c r="U864" t="s">
        <v>41</v>
      </c>
      <c r="V864" t="s">
        <v>52</v>
      </c>
      <c r="W864" t="s">
        <v>59</v>
      </c>
      <c r="X864" t="s">
        <v>98</v>
      </c>
      <c r="Y864" t="s">
        <v>45</v>
      </c>
      <c r="Z864" t="s">
        <v>47</v>
      </c>
      <c r="AA864" t="s">
        <v>54</v>
      </c>
      <c r="AB864" t="s">
        <v>55</v>
      </c>
      <c r="AC864" t="s">
        <v>56</v>
      </c>
      <c r="AD864" t="s">
        <v>45</v>
      </c>
      <c r="AE864" t="s">
        <v>45</v>
      </c>
      <c r="AF864" t="s">
        <v>55</v>
      </c>
      <c r="AG864" t="s">
        <v>55</v>
      </c>
      <c r="AH864" t="s">
        <v>55</v>
      </c>
      <c r="AI864" t="s">
        <v>55</v>
      </c>
    </row>
    <row r="865" spans="1:35" x14ac:dyDescent="0.25">
      <c r="A865" t="s">
        <v>80</v>
      </c>
      <c r="B865" t="s">
        <v>59</v>
      </c>
      <c r="C865" t="s">
        <v>37</v>
      </c>
      <c r="D865" t="s">
        <v>520</v>
      </c>
      <c r="E865" t="s">
        <v>397</v>
      </c>
      <c r="F865" t="s">
        <v>41</v>
      </c>
      <c r="G865" t="s">
        <v>45</v>
      </c>
      <c r="H865" t="s">
        <v>397</v>
      </c>
      <c r="I865" t="s">
        <v>40</v>
      </c>
      <c r="J865" t="s">
        <v>1912</v>
      </c>
      <c r="K865" t="s">
        <v>41</v>
      </c>
      <c r="L865" t="s">
        <v>63</v>
      </c>
      <c r="M865" t="s">
        <v>338</v>
      </c>
      <c r="N865" t="s">
        <v>45</v>
      </c>
      <c r="O865" t="s">
        <v>40</v>
      </c>
      <c r="P865" t="s">
        <v>397</v>
      </c>
      <c r="Q865" t="s">
        <v>45</v>
      </c>
      <c r="R865" t="s">
        <v>66</v>
      </c>
      <c r="S865" t="s">
        <v>2861</v>
      </c>
      <c r="T865" t="s">
        <v>2862</v>
      </c>
      <c r="U865" t="s">
        <v>40</v>
      </c>
      <c r="V865" t="s">
        <v>52</v>
      </c>
      <c r="W865" t="s">
        <v>59</v>
      </c>
      <c r="X865" t="s">
        <v>98</v>
      </c>
      <c r="Y865" t="s">
        <v>45</v>
      </c>
      <c r="Z865" t="s">
        <v>47</v>
      </c>
      <c r="AA865" t="s">
        <v>54</v>
      </c>
      <c r="AB865" t="s">
        <v>40</v>
      </c>
      <c r="AC865" t="s">
        <v>57</v>
      </c>
      <c r="AD865" t="s">
        <v>41</v>
      </c>
      <c r="AE865" t="s">
        <v>45</v>
      </c>
      <c r="AF865" t="s">
        <v>57</v>
      </c>
      <c r="AG865" t="s">
        <v>47</v>
      </c>
      <c r="AH865" t="s">
        <v>40</v>
      </c>
      <c r="AI865" t="s">
        <v>47</v>
      </c>
    </row>
    <row r="866" spans="1:35" x14ac:dyDescent="0.25">
      <c r="A866" t="s">
        <v>35</v>
      </c>
      <c r="B866" t="s">
        <v>36</v>
      </c>
      <c r="C866" t="s">
        <v>161</v>
      </c>
      <c r="D866" t="s">
        <v>1230</v>
      </c>
      <c r="E866" t="s">
        <v>62</v>
      </c>
      <c r="F866" t="s">
        <v>57</v>
      </c>
      <c r="G866" t="s">
        <v>41</v>
      </c>
      <c r="H866" t="s">
        <v>42</v>
      </c>
      <c r="I866" t="s">
        <v>40</v>
      </c>
      <c r="J866" t="s">
        <v>1081</v>
      </c>
      <c r="K866" t="s">
        <v>40</v>
      </c>
      <c r="L866" t="s">
        <v>63</v>
      </c>
      <c r="M866" t="s">
        <v>349</v>
      </c>
      <c r="N866" t="s">
        <v>41</v>
      </c>
      <c r="O866" t="s">
        <v>40</v>
      </c>
      <c r="P866" t="s">
        <v>65</v>
      </c>
      <c r="Q866" t="s">
        <v>40</v>
      </c>
      <c r="R866" t="s">
        <v>109</v>
      </c>
      <c r="S866" t="s">
        <v>2863</v>
      </c>
      <c r="T866" t="s">
        <v>2864</v>
      </c>
      <c r="U866" t="s">
        <v>56</v>
      </c>
      <c r="V866" t="s">
        <v>52</v>
      </c>
      <c r="W866" t="s">
        <v>59</v>
      </c>
      <c r="X866" t="s">
        <v>125</v>
      </c>
      <c r="Y866" t="s">
        <v>45</v>
      </c>
      <c r="Z866" t="s">
        <v>40</v>
      </c>
      <c r="AA866" t="s">
        <v>54</v>
      </c>
      <c r="AB866" t="s">
        <v>40</v>
      </c>
      <c r="AC866" t="s">
        <v>57</v>
      </c>
      <c r="AD866" t="s">
        <v>41</v>
      </c>
      <c r="AE866" t="s">
        <v>40</v>
      </c>
      <c r="AF866" t="s">
        <v>40</v>
      </c>
      <c r="AG866" t="s">
        <v>55</v>
      </c>
      <c r="AH866" t="s">
        <v>55</v>
      </c>
      <c r="AI866" t="s">
        <v>55</v>
      </c>
    </row>
    <row r="867" spans="1:35" x14ac:dyDescent="0.25">
      <c r="A867" t="s">
        <v>105</v>
      </c>
      <c r="B867" t="s">
        <v>59</v>
      </c>
      <c r="C867" t="s">
        <v>37</v>
      </c>
      <c r="D867" t="s">
        <v>618</v>
      </c>
      <c r="E867" t="s">
        <v>39</v>
      </c>
      <c r="F867" t="s">
        <v>133</v>
      </c>
      <c r="G867" t="s">
        <v>47</v>
      </c>
      <c r="H867" t="s">
        <v>42</v>
      </c>
      <c r="I867" t="s">
        <v>40</v>
      </c>
      <c r="J867" t="s">
        <v>282</v>
      </c>
      <c r="K867" t="s">
        <v>45</v>
      </c>
      <c r="L867" t="s">
        <v>63</v>
      </c>
      <c r="M867" t="s">
        <v>64</v>
      </c>
      <c r="N867" t="s">
        <v>45</v>
      </c>
      <c r="O867" t="s">
        <v>41</v>
      </c>
      <c r="P867" t="s">
        <v>46</v>
      </c>
      <c r="Q867" t="s">
        <v>40</v>
      </c>
      <c r="R867" t="s">
        <v>109</v>
      </c>
      <c r="S867" t="s">
        <v>2865</v>
      </c>
      <c r="T867" t="s">
        <v>2866</v>
      </c>
      <c r="U867" t="s">
        <v>51</v>
      </c>
      <c r="V867" t="s">
        <v>52</v>
      </c>
      <c r="W867" t="s">
        <v>59</v>
      </c>
      <c r="X867" t="s">
        <v>144</v>
      </c>
      <c r="Y867" t="s">
        <v>45</v>
      </c>
      <c r="Z867" t="s">
        <v>45</v>
      </c>
      <c r="AA867" t="s">
        <v>54</v>
      </c>
      <c r="AB867" t="s">
        <v>45</v>
      </c>
      <c r="AC867" t="s">
        <v>51</v>
      </c>
      <c r="AD867" t="s">
        <v>45</v>
      </c>
      <c r="AE867" t="s">
        <v>45</v>
      </c>
      <c r="AF867" t="s">
        <v>47</v>
      </c>
      <c r="AG867" t="s">
        <v>45</v>
      </c>
      <c r="AH867" t="s">
        <v>55</v>
      </c>
      <c r="AI867" t="s">
        <v>45</v>
      </c>
    </row>
    <row r="868" spans="1:35" x14ac:dyDescent="0.25">
      <c r="A868" t="s">
        <v>88</v>
      </c>
      <c r="B868" t="s">
        <v>59</v>
      </c>
      <c r="C868" t="s">
        <v>60</v>
      </c>
      <c r="D868" t="s">
        <v>2157</v>
      </c>
      <c r="E868" t="s">
        <v>39</v>
      </c>
      <c r="F868" t="s">
        <v>41</v>
      </c>
      <c r="G868" t="s">
        <v>47</v>
      </c>
      <c r="H868" t="s">
        <v>87</v>
      </c>
      <c r="I868" t="s">
        <v>40</v>
      </c>
      <c r="J868" t="s">
        <v>2867</v>
      </c>
      <c r="K868" t="s">
        <v>41</v>
      </c>
      <c r="L868" t="s">
        <v>63</v>
      </c>
      <c r="M868" t="s">
        <v>283</v>
      </c>
      <c r="N868" t="s">
        <v>45</v>
      </c>
      <c r="O868" t="s">
        <v>41</v>
      </c>
      <c r="P868" t="s">
        <v>46</v>
      </c>
      <c r="Q868" t="s">
        <v>41</v>
      </c>
      <c r="R868" t="s">
        <v>66</v>
      </c>
      <c r="S868" t="s">
        <v>2868</v>
      </c>
      <c r="T868" t="s">
        <v>2869</v>
      </c>
      <c r="U868" t="s">
        <v>57</v>
      </c>
      <c r="V868" t="s">
        <v>52</v>
      </c>
      <c r="W868" t="s">
        <v>59</v>
      </c>
      <c r="X868" t="s">
        <v>92</v>
      </c>
      <c r="Y868" t="s">
        <v>45</v>
      </c>
      <c r="Z868" t="s">
        <v>47</v>
      </c>
      <c r="AA868" t="s">
        <v>54</v>
      </c>
      <c r="AB868" t="s">
        <v>45</v>
      </c>
      <c r="AC868" t="s">
        <v>57</v>
      </c>
      <c r="AD868" t="s">
        <v>41</v>
      </c>
      <c r="AE868" t="s">
        <v>45</v>
      </c>
      <c r="AF868" t="s">
        <v>55</v>
      </c>
      <c r="AG868" t="s">
        <v>55</v>
      </c>
      <c r="AH868" t="s">
        <v>55</v>
      </c>
      <c r="AI868" t="s">
        <v>55</v>
      </c>
    </row>
    <row r="869" spans="1:35" x14ac:dyDescent="0.25">
      <c r="A869" t="s">
        <v>151</v>
      </c>
      <c r="B869" t="s">
        <v>59</v>
      </c>
      <c r="C869" t="s">
        <v>60</v>
      </c>
      <c r="D869" t="s">
        <v>2870</v>
      </c>
      <c r="E869" t="s">
        <v>62</v>
      </c>
      <c r="F869" t="s">
        <v>41</v>
      </c>
      <c r="G869" t="s">
        <v>45</v>
      </c>
      <c r="H869" t="s">
        <v>87</v>
      </c>
      <c r="I869" t="s">
        <v>40</v>
      </c>
      <c r="J869" t="s">
        <v>2871</v>
      </c>
      <c r="K869" t="s">
        <v>47</v>
      </c>
      <c r="L869" t="s">
        <v>43</v>
      </c>
      <c r="M869" t="s">
        <v>105</v>
      </c>
      <c r="N869" t="s">
        <v>45</v>
      </c>
      <c r="O869" t="s">
        <v>47</v>
      </c>
      <c r="P869" t="s">
        <v>169</v>
      </c>
      <c r="Q869" t="s">
        <v>40</v>
      </c>
      <c r="R869" t="s">
        <v>66</v>
      </c>
      <c r="S869" t="s">
        <v>2872</v>
      </c>
      <c r="T869" t="s">
        <v>2873</v>
      </c>
      <c r="U869" t="s">
        <v>41</v>
      </c>
      <c r="V869" t="s">
        <v>52</v>
      </c>
      <c r="W869" t="s">
        <v>59</v>
      </c>
      <c r="X869" t="s">
        <v>112</v>
      </c>
      <c r="Y869" t="s">
        <v>47</v>
      </c>
      <c r="Z869" t="s">
        <v>45</v>
      </c>
      <c r="AA869" t="s">
        <v>54</v>
      </c>
      <c r="AB869" t="s">
        <v>40</v>
      </c>
      <c r="AC869" t="s">
        <v>93</v>
      </c>
      <c r="AD869" t="s">
        <v>45</v>
      </c>
      <c r="AE869" t="s">
        <v>45</v>
      </c>
      <c r="AF869" t="s">
        <v>41</v>
      </c>
      <c r="AG869" t="s">
        <v>41</v>
      </c>
      <c r="AH869" t="s">
        <v>41</v>
      </c>
      <c r="AI869" t="s">
        <v>41</v>
      </c>
    </row>
    <row r="870" spans="1:35" x14ac:dyDescent="0.25">
      <c r="A870" t="s">
        <v>149</v>
      </c>
      <c r="B870" t="s">
        <v>59</v>
      </c>
      <c r="C870" t="s">
        <v>37</v>
      </c>
      <c r="D870" t="s">
        <v>1952</v>
      </c>
      <c r="E870" t="s">
        <v>62</v>
      </c>
      <c r="F870" t="s">
        <v>144</v>
      </c>
      <c r="G870" t="s">
        <v>47</v>
      </c>
      <c r="H870" t="s">
        <v>87</v>
      </c>
      <c r="I870" t="s">
        <v>40</v>
      </c>
      <c r="J870" t="s">
        <v>1839</v>
      </c>
      <c r="K870" t="s">
        <v>47</v>
      </c>
      <c r="L870" t="s">
        <v>63</v>
      </c>
      <c r="M870" t="s">
        <v>168</v>
      </c>
      <c r="N870" t="s">
        <v>41</v>
      </c>
      <c r="O870" t="s">
        <v>40</v>
      </c>
      <c r="P870" t="s">
        <v>76</v>
      </c>
      <c r="Q870" t="s">
        <v>40</v>
      </c>
      <c r="R870" t="s">
        <v>66</v>
      </c>
      <c r="S870" t="s">
        <v>2874</v>
      </c>
      <c r="T870" t="s">
        <v>2875</v>
      </c>
      <c r="U870" t="s">
        <v>40</v>
      </c>
      <c r="V870" t="s">
        <v>52</v>
      </c>
      <c r="W870" t="s">
        <v>59</v>
      </c>
      <c r="X870" t="s">
        <v>92</v>
      </c>
      <c r="Y870" t="s">
        <v>45</v>
      </c>
      <c r="Z870" t="s">
        <v>45</v>
      </c>
      <c r="AA870" t="s">
        <v>54</v>
      </c>
      <c r="AB870" t="s">
        <v>45</v>
      </c>
      <c r="AC870" t="s">
        <v>56</v>
      </c>
      <c r="AD870" t="s">
        <v>41</v>
      </c>
      <c r="AE870" t="s">
        <v>45</v>
      </c>
      <c r="AF870" t="s">
        <v>56</v>
      </c>
      <c r="AG870" t="s">
        <v>57</v>
      </c>
      <c r="AH870" t="s">
        <v>45</v>
      </c>
      <c r="AI870" t="s">
        <v>45</v>
      </c>
    </row>
    <row r="871" spans="1:35" x14ac:dyDescent="0.25">
      <c r="A871" t="s">
        <v>213</v>
      </c>
      <c r="B871" t="s">
        <v>59</v>
      </c>
      <c r="C871" t="s">
        <v>37</v>
      </c>
      <c r="D871" t="s">
        <v>719</v>
      </c>
      <c r="E871" t="s">
        <v>62</v>
      </c>
      <c r="F871" t="s">
        <v>79</v>
      </c>
      <c r="G871" t="s">
        <v>41</v>
      </c>
      <c r="H871" t="s">
        <v>42</v>
      </c>
      <c r="I871" t="s">
        <v>40</v>
      </c>
      <c r="J871" t="s">
        <v>458</v>
      </c>
      <c r="K871" t="s">
        <v>47</v>
      </c>
      <c r="L871" t="s">
        <v>63</v>
      </c>
      <c r="M871" t="s">
        <v>251</v>
      </c>
      <c r="N871" t="s">
        <v>45</v>
      </c>
      <c r="O871" t="s">
        <v>57</v>
      </c>
      <c r="P871" t="s">
        <v>186</v>
      </c>
      <c r="Q871" t="s">
        <v>41</v>
      </c>
      <c r="R871" t="s">
        <v>66</v>
      </c>
      <c r="S871" t="s">
        <v>2876</v>
      </c>
      <c r="T871" t="s">
        <v>2877</v>
      </c>
      <c r="U871" t="s">
        <v>57</v>
      </c>
      <c r="V871" t="s">
        <v>52</v>
      </c>
      <c r="W871" t="s">
        <v>59</v>
      </c>
      <c r="X871" t="s">
        <v>53</v>
      </c>
      <c r="Y871" t="s">
        <v>45</v>
      </c>
      <c r="Z871" t="s">
        <v>40</v>
      </c>
      <c r="AA871" t="s">
        <v>54</v>
      </c>
      <c r="AB871" t="s">
        <v>40</v>
      </c>
      <c r="AC871" t="s">
        <v>172</v>
      </c>
      <c r="AD871" t="s">
        <v>41</v>
      </c>
      <c r="AE871" t="s">
        <v>45</v>
      </c>
      <c r="AF871" t="s">
        <v>47</v>
      </c>
      <c r="AG871" t="s">
        <v>41</v>
      </c>
      <c r="AH871" t="s">
        <v>55</v>
      </c>
      <c r="AI871" t="s">
        <v>45</v>
      </c>
    </row>
    <row r="872" spans="1:35" x14ac:dyDescent="0.25">
      <c r="A872" t="s">
        <v>126</v>
      </c>
      <c r="B872" t="s">
        <v>59</v>
      </c>
      <c r="C872" t="s">
        <v>37</v>
      </c>
      <c r="D872" t="s">
        <v>2878</v>
      </c>
      <c r="E872" t="s">
        <v>39</v>
      </c>
      <c r="F872" t="s">
        <v>125</v>
      </c>
      <c r="G872" t="s">
        <v>47</v>
      </c>
      <c r="H872" t="s">
        <v>42</v>
      </c>
      <c r="I872" t="s">
        <v>40</v>
      </c>
      <c r="J872" t="s">
        <v>180</v>
      </c>
      <c r="K872" t="s">
        <v>45</v>
      </c>
      <c r="L872" t="s">
        <v>63</v>
      </c>
      <c r="M872" t="s">
        <v>44</v>
      </c>
      <c r="N872" t="s">
        <v>45</v>
      </c>
      <c r="O872" t="s">
        <v>41</v>
      </c>
      <c r="P872" t="s">
        <v>46</v>
      </c>
      <c r="Q872" t="s">
        <v>40</v>
      </c>
      <c r="R872" t="s">
        <v>66</v>
      </c>
      <c r="S872" t="s">
        <v>2879</v>
      </c>
      <c r="T872" t="s">
        <v>2880</v>
      </c>
      <c r="U872" t="s">
        <v>45</v>
      </c>
      <c r="V872" t="s">
        <v>52</v>
      </c>
      <c r="W872" t="s">
        <v>36</v>
      </c>
      <c r="X872" t="s">
        <v>79</v>
      </c>
      <c r="Y872" t="s">
        <v>45</v>
      </c>
      <c r="Z872" t="s">
        <v>47</v>
      </c>
      <c r="AA872" t="s">
        <v>54</v>
      </c>
      <c r="AB872" t="s">
        <v>45</v>
      </c>
      <c r="AC872" t="s">
        <v>79</v>
      </c>
      <c r="AD872" t="s">
        <v>41</v>
      </c>
      <c r="AE872" t="s">
        <v>45</v>
      </c>
      <c r="AF872" t="s">
        <v>71</v>
      </c>
      <c r="AG872" t="s">
        <v>71</v>
      </c>
      <c r="AH872" t="s">
        <v>40</v>
      </c>
      <c r="AI872" t="s">
        <v>71</v>
      </c>
    </row>
    <row r="873" spans="1:35" x14ac:dyDescent="0.25">
      <c r="A873" t="s">
        <v>107</v>
      </c>
      <c r="B873" t="s">
        <v>36</v>
      </c>
      <c r="C873" t="s">
        <v>37</v>
      </c>
      <c r="D873" t="s">
        <v>2441</v>
      </c>
      <c r="E873" t="s">
        <v>62</v>
      </c>
      <c r="F873" t="s">
        <v>125</v>
      </c>
      <c r="G873" t="s">
        <v>41</v>
      </c>
      <c r="H873" t="s">
        <v>42</v>
      </c>
      <c r="I873" t="s">
        <v>40</v>
      </c>
      <c r="J873" t="s">
        <v>167</v>
      </c>
      <c r="K873" t="s">
        <v>47</v>
      </c>
      <c r="L873" t="s">
        <v>43</v>
      </c>
      <c r="M873" t="s">
        <v>244</v>
      </c>
      <c r="N873" t="s">
        <v>45</v>
      </c>
      <c r="O873" t="s">
        <v>40</v>
      </c>
      <c r="P873" t="s">
        <v>76</v>
      </c>
      <c r="Q873" t="s">
        <v>41</v>
      </c>
      <c r="R873" t="s">
        <v>66</v>
      </c>
      <c r="S873" t="s">
        <v>2881</v>
      </c>
      <c r="T873" t="s">
        <v>2882</v>
      </c>
      <c r="U873" t="s">
        <v>40</v>
      </c>
      <c r="V873" t="s">
        <v>52</v>
      </c>
      <c r="W873" t="s">
        <v>59</v>
      </c>
      <c r="X873" t="s">
        <v>98</v>
      </c>
      <c r="Y873" t="s">
        <v>45</v>
      </c>
      <c r="Z873" t="s">
        <v>40</v>
      </c>
      <c r="AA873" t="s">
        <v>54</v>
      </c>
      <c r="AB873" t="s">
        <v>40</v>
      </c>
      <c r="AC873" t="s">
        <v>40</v>
      </c>
      <c r="AD873" t="s">
        <v>45</v>
      </c>
      <c r="AE873" t="s">
        <v>40</v>
      </c>
      <c r="AF873" t="s">
        <v>40</v>
      </c>
      <c r="AG873" t="s">
        <v>55</v>
      </c>
      <c r="AH873" t="s">
        <v>55</v>
      </c>
      <c r="AI873" t="s">
        <v>55</v>
      </c>
    </row>
    <row r="874" spans="1:35" x14ac:dyDescent="0.25">
      <c r="A874" t="s">
        <v>80</v>
      </c>
      <c r="B874" t="s">
        <v>59</v>
      </c>
      <c r="C874" t="s">
        <v>60</v>
      </c>
      <c r="D874" t="s">
        <v>2063</v>
      </c>
      <c r="E874" t="s">
        <v>39</v>
      </c>
      <c r="F874" t="s">
        <v>172</v>
      </c>
      <c r="G874" t="s">
        <v>45</v>
      </c>
      <c r="H874" t="s">
        <v>87</v>
      </c>
      <c r="I874" t="s">
        <v>40</v>
      </c>
      <c r="J874" t="s">
        <v>1272</v>
      </c>
      <c r="K874" t="s">
        <v>41</v>
      </c>
      <c r="L874" t="s">
        <v>43</v>
      </c>
      <c r="M874" t="s">
        <v>181</v>
      </c>
      <c r="N874" t="s">
        <v>45</v>
      </c>
      <c r="O874" t="s">
        <v>41</v>
      </c>
      <c r="P874" t="s">
        <v>46</v>
      </c>
      <c r="Q874" t="s">
        <v>45</v>
      </c>
      <c r="R874" t="s">
        <v>66</v>
      </c>
      <c r="S874" t="s">
        <v>2883</v>
      </c>
      <c r="T874" t="s">
        <v>2884</v>
      </c>
      <c r="U874" t="s">
        <v>40</v>
      </c>
      <c r="V874" t="s">
        <v>52</v>
      </c>
      <c r="W874" t="s">
        <v>59</v>
      </c>
      <c r="X874" t="s">
        <v>92</v>
      </c>
      <c r="Y874" t="s">
        <v>45</v>
      </c>
      <c r="Z874" t="s">
        <v>40</v>
      </c>
      <c r="AA874" t="s">
        <v>54</v>
      </c>
      <c r="AB874" t="s">
        <v>40</v>
      </c>
      <c r="AC874" t="s">
        <v>70</v>
      </c>
      <c r="AD874" t="s">
        <v>45</v>
      </c>
      <c r="AE874" t="s">
        <v>41</v>
      </c>
      <c r="AF874" t="s">
        <v>70</v>
      </c>
      <c r="AG874" t="s">
        <v>71</v>
      </c>
      <c r="AH874" t="s">
        <v>55</v>
      </c>
      <c r="AI874" t="s">
        <v>40</v>
      </c>
    </row>
    <row r="875" spans="1:35" x14ac:dyDescent="0.25">
      <c r="A875" t="s">
        <v>120</v>
      </c>
      <c r="B875" t="s">
        <v>59</v>
      </c>
      <c r="C875" t="s">
        <v>37</v>
      </c>
      <c r="D875" t="s">
        <v>2885</v>
      </c>
      <c r="E875" t="s">
        <v>62</v>
      </c>
      <c r="F875" t="s">
        <v>56</v>
      </c>
      <c r="G875" t="s">
        <v>47</v>
      </c>
      <c r="H875" t="s">
        <v>42</v>
      </c>
      <c r="I875" t="s">
        <v>40</v>
      </c>
      <c r="J875" t="s">
        <v>2886</v>
      </c>
      <c r="K875" t="s">
        <v>45</v>
      </c>
      <c r="L875" t="s">
        <v>63</v>
      </c>
      <c r="M875" t="s">
        <v>275</v>
      </c>
      <c r="N875" t="s">
        <v>40</v>
      </c>
      <c r="O875" t="s">
        <v>40</v>
      </c>
      <c r="P875" t="s">
        <v>76</v>
      </c>
      <c r="Q875" t="s">
        <v>45</v>
      </c>
      <c r="R875" t="s">
        <v>109</v>
      </c>
      <c r="S875" t="s">
        <v>860</v>
      </c>
      <c r="T875" t="s">
        <v>2887</v>
      </c>
      <c r="U875" t="s">
        <v>40</v>
      </c>
      <c r="V875" t="s">
        <v>52</v>
      </c>
      <c r="W875" t="s">
        <v>59</v>
      </c>
      <c r="X875" t="s">
        <v>129</v>
      </c>
      <c r="Y875" t="s">
        <v>45</v>
      </c>
      <c r="Z875" t="s">
        <v>45</v>
      </c>
      <c r="AA875" t="s">
        <v>54</v>
      </c>
      <c r="AB875" t="s">
        <v>40</v>
      </c>
      <c r="AC875" t="s">
        <v>71</v>
      </c>
      <c r="AD875" t="s">
        <v>47</v>
      </c>
      <c r="AE875" t="s">
        <v>45</v>
      </c>
      <c r="AF875" t="s">
        <v>71</v>
      </c>
      <c r="AG875" t="s">
        <v>71</v>
      </c>
      <c r="AH875" t="s">
        <v>40</v>
      </c>
      <c r="AI875" t="s">
        <v>71</v>
      </c>
    </row>
    <row r="876" spans="1:35" x14ac:dyDescent="0.25">
      <c r="A876" t="s">
        <v>105</v>
      </c>
      <c r="B876" t="s">
        <v>59</v>
      </c>
      <c r="C876" t="s">
        <v>37</v>
      </c>
      <c r="D876" t="s">
        <v>313</v>
      </c>
      <c r="E876" t="s">
        <v>62</v>
      </c>
      <c r="F876" t="s">
        <v>71</v>
      </c>
      <c r="G876" t="s">
        <v>47</v>
      </c>
      <c r="H876" t="s">
        <v>42</v>
      </c>
      <c r="I876" t="s">
        <v>40</v>
      </c>
      <c r="J876" t="s">
        <v>2888</v>
      </c>
      <c r="K876" t="s">
        <v>45</v>
      </c>
      <c r="L876" t="s">
        <v>63</v>
      </c>
      <c r="M876" t="s">
        <v>58</v>
      </c>
      <c r="N876" t="s">
        <v>45</v>
      </c>
      <c r="O876" t="s">
        <v>41</v>
      </c>
      <c r="P876" t="s">
        <v>76</v>
      </c>
      <c r="Q876" t="s">
        <v>45</v>
      </c>
      <c r="R876" t="s">
        <v>109</v>
      </c>
      <c r="S876" t="s">
        <v>2889</v>
      </c>
      <c r="T876" t="s">
        <v>2890</v>
      </c>
      <c r="U876" t="s">
        <v>40</v>
      </c>
      <c r="V876" t="s">
        <v>52</v>
      </c>
      <c r="W876" t="s">
        <v>59</v>
      </c>
      <c r="X876" t="s">
        <v>98</v>
      </c>
      <c r="Y876" t="s">
        <v>45</v>
      </c>
      <c r="Z876" t="s">
        <v>40</v>
      </c>
      <c r="AA876" t="s">
        <v>54</v>
      </c>
      <c r="AB876" t="s">
        <v>45</v>
      </c>
      <c r="AC876" t="s">
        <v>70</v>
      </c>
      <c r="AD876" t="s">
        <v>47</v>
      </c>
      <c r="AE876" t="s">
        <v>41</v>
      </c>
      <c r="AF876" t="s">
        <v>70</v>
      </c>
      <c r="AG876" t="s">
        <v>71</v>
      </c>
      <c r="AH876" t="s">
        <v>51</v>
      </c>
      <c r="AI876" t="s">
        <v>91</v>
      </c>
    </row>
    <row r="877" spans="1:35" x14ac:dyDescent="0.25">
      <c r="A877" t="s">
        <v>115</v>
      </c>
      <c r="B877" t="s">
        <v>59</v>
      </c>
      <c r="C877" t="s">
        <v>37</v>
      </c>
      <c r="D877" t="s">
        <v>661</v>
      </c>
      <c r="E877" t="s">
        <v>62</v>
      </c>
      <c r="F877" t="s">
        <v>133</v>
      </c>
      <c r="G877" t="s">
        <v>47</v>
      </c>
      <c r="H877" t="s">
        <v>74</v>
      </c>
      <c r="I877" t="s">
        <v>40</v>
      </c>
      <c r="J877" t="s">
        <v>363</v>
      </c>
      <c r="K877" t="s">
        <v>47</v>
      </c>
      <c r="L877" t="s">
        <v>63</v>
      </c>
      <c r="M877" t="s">
        <v>93</v>
      </c>
      <c r="N877" t="s">
        <v>45</v>
      </c>
      <c r="O877" t="s">
        <v>41</v>
      </c>
      <c r="P877" t="s">
        <v>65</v>
      </c>
      <c r="Q877" t="s">
        <v>47</v>
      </c>
      <c r="R877" t="s">
        <v>48</v>
      </c>
      <c r="S877" t="s">
        <v>2891</v>
      </c>
      <c r="T877" t="s">
        <v>979</v>
      </c>
      <c r="U877" t="s">
        <v>40</v>
      </c>
      <c r="V877" t="s">
        <v>52</v>
      </c>
      <c r="W877" t="s">
        <v>59</v>
      </c>
      <c r="X877" t="s">
        <v>172</v>
      </c>
      <c r="Y877" t="s">
        <v>47</v>
      </c>
      <c r="Z877" t="s">
        <v>41</v>
      </c>
      <c r="AA877" t="s">
        <v>54</v>
      </c>
      <c r="AB877" t="s">
        <v>55</v>
      </c>
      <c r="AC877" t="s">
        <v>104</v>
      </c>
      <c r="AD877" t="s">
        <v>45</v>
      </c>
      <c r="AE877" t="s">
        <v>45</v>
      </c>
      <c r="AF877" t="s">
        <v>104</v>
      </c>
      <c r="AG877" t="s">
        <v>53</v>
      </c>
      <c r="AH877" t="s">
        <v>98</v>
      </c>
      <c r="AI877" t="s">
        <v>125</v>
      </c>
    </row>
    <row r="878" spans="1:35" x14ac:dyDescent="0.25">
      <c r="A878" t="s">
        <v>104</v>
      </c>
      <c r="B878" t="s">
        <v>59</v>
      </c>
      <c r="C878" t="s">
        <v>37</v>
      </c>
      <c r="D878" t="s">
        <v>1964</v>
      </c>
      <c r="E878" t="s">
        <v>39</v>
      </c>
      <c r="F878" t="s">
        <v>119</v>
      </c>
      <c r="G878" t="s">
        <v>45</v>
      </c>
      <c r="H878" t="s">
        <v>206</v>
      </c>
      <c r="I878" t="s">
        <v>40</v>
      </c>
      <c r="J878" t="s">
        <v>2892</v>
      </c>
      <c r="K878" t="s">
        <v>45</v>
      </c>
      <c r="L878" t="s">
        <v>63</v>
      </c>
      <c r="M878" t="s">
        <v>234</v>
      </c>
      <c r="N878" t="s">
        <v>47</v>
      </c>
      <c r="O878" t="s">
        <v>40</v>
      </c>
      <c r="P878" t="s">
        <v>182</v>
      </c>
      <c r="Q878" t="s">
        <v>47</v>
      </c>
      <c r="R878" t="s">
        <v>48</v>
      </c>
      <c r="S878" t="s">
        <v>2893</v>
      </c>
      <c r="T878" t="s">
        <v>2894</v>
      </c>
      <c r="U878" t="s">
        <v>40</v>
      </c>
      <c r="V878" t="s">
        <v>52</v>
      </c>
      <c r="W878" t="s">
        <v>59</v>
      </c>
      <c r="X878" t="s">
        <v>125</v>
      </c>
      <c r="Y878" t="s">
        <v>45</v>
      </c>
      <c r="Z878" t="s">
        <v>47</v>
      </c>
      <c r="AA878" t="s">
        <v>54</v>
      </c>
      <c r="AB878" t="s">
        <v>55</v>
      </c>
      <c r="AC878" t="s">
        <v>41</v>
      </c>
      <c r="AD878" t="s">
        <v>41</v>
      </c>
      <c r="AE878" t="s">
        <v>45</v>
      </c>
      <c r="AF878" t="s">
        <v>41</v>
      </c>
      <c r="AG878" t="s">
        <v>40</v>
      </c>
      <c r="AH878" t="s">
        <v>41</v>
      </c>
      <c r="AI878" t="s">
        <v>41</v>
      </c>
    </row>
    <row r="879" spans="1:35" x14ac:dyDescent="0.25">
      <c r="A879" t="s">
        <v>213</v>
      </c>
      <c r="B879" t="s">
        <v>59</v>
      </c>
      <c r="C879" t="s">
        <v>37</v>
      </c>
      <c r="D879" t="s">
        <v>527</v>
      </c>
      <c r="E879" t="s">
        <v>62</v>
      </c>
      <c r="F879" t="s">
        <v>41</v>
      </c>
      <c r="G879" t="s">
        <v>47</v>
      </c>
      <c r="H879" t="s">
        <v>228</v>
      </c>
      <c r="I879" t="s">
        <v>40</v>
      </c>
      <c r="J879" t="s">
        <v>2895</v>
      </c>
      <c r="K879" t="s">
        <v>47</v>
      </c>
      <c r="L879" t="s">
        <v>63</v>
      </c>
      <c r="M879" t="s">
        <v>275</v>
      </c>
      <c r="N879" t="s">
        <v>45</v>
      </c>
      <c r="O879" t="s">
        <v>41</v>
      </c>
      <c r="P879" t="s">
        <v>116</v>
      </c>
      <c r="Q879" t="s">
        <v>47</v>
      </c>
      <c r="R879" t="s">
        <v>109</v>
      </c>
      <c r="S879" t="s">
        <v>2896</v>
      </c>
      <c r="T879" t="s">
        <v>2897</v>
      </c>
      <c r="U879" t="s">
        <v>41</v>
      </c>
      <c r="V879" t="s">
        <v>52</v>
      </c>
      <c r="W879" t="s">
        <v>59</v>
      </c>
      <c r="X879" t="s">
        <v>53</v>
      </c>
      <c r="Y879" t="s">
        <v>45</v>
      </c>
      <c r="Z879" t="s">
        <v>45</v>
      </c>
      <c r="AA879" t="s">
        <v>54</v>
      </c>
      <c r="AB879" t="s">
        <v>40</v>
      </c>
      <c r="AC879" t="s">
        <v>92</v>
      </c>
      <c r="AD879" t="s">
        <v>45</v>
      </c>
      <c r="AE879" t="s">
        <v>41</v>
      </c>
      <c r="AF879" t="s">
        <v>56</v>
      </c>
      <c r="AG879" t="s">
        <v>45</v>
      </c>
      <c r="AH879" t="s">
        <v>40</v>
      </c>
      <c r="AI879" t="s">
        <v>47</v>
      </c>
    </row>
    <row r="880" spans="1:35" x14ac:dyDescent="0.25">
      <c r="A880" t="s">
        <v>204</v>
      </c>
      <c r="B880" t="s">
        <v>59</v>
      </c>
      <c r="C880" t="s">
        <v>161</v>
      </c>
      <c r="D880" t="s">
        <v>615</v>
      </c>
      <c r="E880" t="s">
        <v>397</v>
      </c>
      <c r="F880" t="s">
        <v>41</v>
      </c>
      <c r="G880" t="s">
        <v>57</v>
      </c>
      <c r="H880" t="s">
        <v>87</v>
      </c>
      <c r="I880" t="s">
        <v>40</v>
      </c>
      <c r="J880" t="s">
        <v>2280</v>
      </c>
      <c r="K880" t="s">
        <v>47</v>
      </c>
      <c r="L880" t="s">
        <v>63</v>
      </c>
      <c r="M880" t="s">
        <v>95</v>
      </c>
      <c r="N880" t="s">
        <v>47</v>
      </c>
      <c r="O880" t="s">
        <v>41</v>
      </c>
      <c r="P880" t="s">
        <v>397</v>
      </c>
      <c r="Q880" t="s">
        <v>40</v>
      </c>
      <c r="R880" t="s">
        <v>66</v>
      </c>
      <c r="S880" t="s">
        <v>1773</v>
      </c>
      <c r="T880" t="s">
        <v>2898</v>
      </c>
      <c r="U880" t="s">
        <v>71</v>
      </c>
      <c r="V880" t="s">
        <v>52</v>
      </c>
      <c r="W880" t="s">
        <v>59</v>
      </c>
      <c r="X880" t="s">
        <v>128</v>
      </c>
      <c r="Y880" t="s">
        <v>45</v>
      </c>
      <c r="Z880" t="s">
        <v>40</v>
      </c>
      <c r="AA880" t="s">
        <v>54</v>
      </c>
      <c r="AB880" t="s">
        <v>40</v>
      </c>
      <c r="AC880" t="s">
        <v>70</v>
      </c>
      <c r="AD880" t="s">
        <v>45</v>
      </c>
      <c r="AE880" t="s">
        <v>47</v>
      </c>
      <c r="AF880" t="s">
        <v>47</v>
      </c>
      <c r="AG880" t="s">
        <v>45</v>
      </c>
      <c r="AH880" t="s">
        <v>55</v>
      </c>
      <c r="AI880" t="s">
        <v>45</v>
      </c>
    </row>
    <row r="881" spans="1:35" x14ac:dyDescent="0.25">
      <c r="A881" t="s">
        <v>275</v>
      </c>
      <c r="B881" t="s">
        <v>59</v>
      </c>
      <c r="C881" t="s">
        <v>37</v>
      </c>
      <c r="D881" t="s">
        <v>2899</v>
      </c>
      <c r="E881" t="s">
        <v>39</v>
      </c>
      <c r="F881" t="s">
        <v>71</v>
      </c>
      <c r="G881" t="s">
        <v>47</v>
      </c>
      <c r="H881" t="s">
        <v>206</v>
      </c>
      <c r="I881" t="s">
        <v>40</v>
      </c>
      <c r="J881" t="s">
        <v>2900</v>
      </c>
      <c r="K881" t="s">
        <v>41</v>
      </c>
      <c r="L881" t="s">
        <v>63</v>
      </c>
      <c r="M881" t="s">
        <v>251</v>
      </c>
      <c r="N881" t="s">
        <v>47</v>
      </c>
      <c r="O881" t="s">
        <v>41</v>
      </c>
      <c r="P881" t="s">
        <v>46</v>
      </c>
      <c r="Q881" t="s">
        <v>47</v>
      </c>
      <c r="R881" t="s">
        <v>109</v>
      </c>
      <c r="S881" t="s">
        <v>2901</v>
      </c>
      <c r="T881" t="s">
        <v>2902</v>
      </c>
      <c r="U881" t="s">
        <v>55</v>
      </c>
      <c r="V881" t="s">
        <v>52</v>
      </c>
      <c r="W881" t="s">
        <v>36</v>
      </c>
      <c r="X881" t="s">
        <v>145</v>
      </c>
      <c r="Y881" t="s">
        <v>45</v>
      </c>
      <c r="Z881" t="s">
        <v>41</v>
      </c>
      <c r="AA881" t="s">
        <v>54</v>
      </c>
      <c r="AB881" t="s">
        <v>40</v>
      </c>
      <c r="AC881" t="s">
        <v>92</v>
      </c>
      <c r="AD881" t="s">
        <v>45</v>
      </c>
      <c r="AE881" t="s">
        <v>45</v>
      </c>
      <c r="AF881" t="s">
        <v>53</v>
      </c>
      <c r="AG881" t="s">
        <v>71</v>
      </c>
      <c r="AH881" t="s">
        <v>40</v>
      </c>
      <c r="AI881" t="s">
        <v>91</v>
      </c>
    </row>
    <row r="882" spans="1:35" x14ac:dyDescent="0.25">
      <c r="A882" t="s">
        <v>93</v>
      </c>
      <c r="B882" t="s">
        <v>59</v>
      </c>
      <c r="C882" t="s">
        <v>60</v>
      </c>
      <c r="D882" t="s">
        <v>428</v>
      </c>
      <c r="E882" t="s">
        <v>62</v>
      </c>
      <c r="F882" t="s">
        <v>98</v>
      </c>
      <c r="G882" t="s">
        <v>45</v>
      </c>
      <c r="H882" t="s">
        <v>74</v>
      </c>
      <c r="I882" t="s">
        <v>40</v>
      </c>
      <c r="J882" t="s">
        <v>2583</v>
      </c>
      <c r="K882" t="s">
        <v>45</v>
      </c>
      <c r="L882" t="s">
        <v>43</v>
      </c>
      <c r="M882" t="s">
        <v>326</v>
      </c>
      <c r="N882" t="s">
        <v>41</v>
      </c>
      <c r="O882" t="s">
        <v>40</v>
      </c>
      <c r="P882" t="s">
        <v>76</v>
      </c>
      <c r="Q882" t="s">
        <v>41</v>
      </c>
      <c r="R882" t="s">
        <v>66</v>
      </c>
      <c r="S882" t="s">
        <v>2576</v>
      </c>
      <c r="T882" t="s">
        <v>2903</v>
      </c>
      <c r="U882" t="s">
        <v>40</v>
      </c>
      <c r="V882" t="s">
        <v>52</v>
      </c>
      <c r="W882" t="s">
        <v>59</v>
      </c>
      <c r="X882" t="s">
        <v>104</v>
      </c>
      <c r="Y882" t="s">
        <v>47</v>
      </c>
      <c r="Z882" t="s">
        <v>45</v>
      </c>
      <c r="AA882" t="s">
        <v>54</v>
      </c>
      <c r="AB882" t="s">
        <v>40</v>
      </c>
      <c r="AC882" t="s">
        <v>41</v>
      </c>
      <c r="AD882" t="s">
        <v>41</v>
      </c>
      <c r="AE882" t="s">
        <v>45</v>
      </c>
      <c r="AF882" t="s">
        <v>41</v>
      </c>
      <c r="AG882" t="s">
        <v>41</v>
      </c>
      <c r="AH882" t="s">
        <v>41</v>
      </c>
      <c r="AI882" t="s">
        <v>41</v>
      </c>
    </row>
    <row r="883" spans="1:35" x14ac:dyDescent="0.25">
      <c r="A883" t="s">
        <v>93</v>
      </c>
      <c r="B883" t="s">
        <v>59</v>
      </c>
      <c r="C883" t="s">
        <v>60</v>
      </c>
      <c r="D883" t="s">
        <v>633</v>
      </c>
      <c r="E883" t="s">
        <v>62</v>
      </c>
      <c r="F883" t="s">
        <v>41</v>
      </c>
      <c r="G883" t="s">
        <v>41</v>
      </c>
      <c r="H883" t="s">
        <v>42</v>
      </c>
      <c r="I883" t="s">
        <v>40</v>
      </c>
      <c r="J883" t="s">
        <v>2904</v>
      </c>
      <c r="K883" t="s">
        <v>47</v>
      </c>
      <c r="L883" t="s">
        <v>43</v>
      </c>
      <c r="M883" t="s">
        <v>113</v>
      </c>
      <c r="N883" t="s">
        <v>45</v>
      </c>
      <c r="O883" t="s">
        <v>41</v>
      </c>
      <c r="P883" t="s">
        <v>65</v>
      </c>
      <c r="Q883" t="s">
        <v>45</v>
      </c>
      <c r="R883" t="s">
        <v>48</v>
      </c>
      <c r="S883" t="s">
        <v>2905</v>
      </c>
      <c r="T883" t="s">
        <v>2906</v>
      </c>
      <c r="U883" t="s">
        <v>47</v>
      </c>
      <c r="V883" t="s">
        <v>52</v>
      </c>
      <c r="W883" t="s">
        <v>36</v>
      </c>
      <c r="X883" t="s">
        <v>129</v>
      </c>
      <c r="Y883" t="s">
        <v>45</v>
      </c>
      <c r="Z883" t="s">
        <v>47</v>
      </c>
      <c r="AA883" t="s">
        <v>54</v>
      </c>
      <c r="AB883" t="s">
        <v>55</v>
      </c>
      <c r="AC883" t="s">
        <v>70</v>
      </c>
      <c r="AD883" t="s">
        <v>41</v>
      </c>
      <c r="AE883" t="s">
        <v>45</v>
      </c>
      <c r="AF883" t="s">
        <v>51</v>
      </c>
      <c r="AG883" t="s">
        <v>71</v>
      </c>
      <c r="AH883" t="s">
        <v>55</v>
      </c>
      <c r="AI883" t="s">
        <v>71</v>
      </c>
    </row>
    <row r="884" spans="1:35" x14ac:dyDescent="0.25">
      <c r="A884" t="s">
        <v>120</v>
      </c>
      <c r="B884" t="s">
        <v>59</v>
      </c>
      <c r="C884" t="s">
        <v>37</v>
      </c>
      <c r="D884" t="s">
        <v>1075</v>
      </c>
      <c r="E884" t="s">
        <v>62</v>
      </c>
      <c r="F884" t="s">
        <v>40</v>
      </c>
      <c r="G884" t="s">
        <v>45</v>
      </c>
      <c r="H884" t="s">
        <v>228</v>
      </c>
      <c r="I884" t="s">
        <v>40</v>
      </c>
      <c r="J884" t="s">
        <v>2907</v>
      </c>
      <c r="K884" t="s">
        <v>45</v>
      </c>
      <c r="L884" t="s">
        <v>43</v>
      </c>
      <c r="M884" t="s">
        <v>326</v>
      </c>
      <c r="N884" t="s">
        <v>40</v>
      </c>
      <c r="O884" t="s">
        <v>45</v>
      </c>
      <c r="P884" t="s">
        <v>116</v>
      </c>
      <c r="Q884" t="s">
        <v>40</v>
      </c>
      <c r="R884" t="s">
        <v>109</v>
      </c>
      <c r="S884" t="s">
        <v>2908</v>
      </c>
      <c r="T884" t="s">
        <v>2909</v>
      </c>
      <c r="U884" t="s">
        <v>41</v>
      </c>
      <c r="V884" t="s">
        <v>52</v>
      </c>
      <c r="W884" t="s">
        <v>36</v>
      </c>
      <c r="X884" t="s">
        <v>119</v>
      </c>
      <c r="Y884" t="s">
        <v>47</v>
      </c>
      <c r="Z884" t="s">
        <v>45</v>
      </c>
      <c r="AA884" t="s">
        <v>54</v>
      </c>
      <c r="AB884" t="s">
        <v>40</v>
      </c>
      <c r="AC884" t="s">
        <v>125</v>
      </c>
      <c r="AD884" t="s">
        <v>41</v>
      </c>
      <c r="AE884" t="s">
        <v>45</v>
      </c>
      <c r="AF884" t="s">
        <v>71</v>
      </c>
      <c r="AG884" t="s">
        <v>71</v>
      </c>
      <c r="AH884" t="s">
        <v>71</v>
      </c>
      <c r="AI884" t="s">
        <v>71</v>
      </c>
    </row>
    <row r="885" spans="1:35" x14ac:dyDescent="0.25">
      <c r="A885" t="s">
        <v>80</v>
      </c>
      <c r="B885" t="s">
        <v>59</v>
      </c>
      <c r="C885" t="s">
        <v>37</v>
      </c>
      <c r="D885" t="s">
        <v>432</v>
      </c>
      <c r="E885" t="s">
        <v>62</v>
      </c>
      <c r="F885" t="s">
        <v>91</v>
      </c>
      <c r="G885" t="s">
        <v>45</v>
      </c>
      <c r="H885" t="s">
        <v>87</v>
      </c>
      <c r="I885" t="s">
        <v>40</v>
      </c>
      <c r="J885" t="s">
        <v>2910</v>
      </c>
      <c r="K885" t="s">
        <v>40</v>
      </c>
      <c r="L885" t="s">
        <v>63</v>
      </c>
      <c r="M885" t="s">
        <v>275</v>
      </c>
      <c r="N885" t="s">
        <v>45</v>
      </c>
      <c r="O885" t="s">
        <v>40</v>
      </c>
      <c r="P885" t="s">
        <v>65</v>
      </c>
      <c r="Q885" t="s">
        <v>47</v>
      </c>
      <c r="R885" t="s">
        <v>66</v>
      </c>
      <c r="S885" t="s">
        <v>2911</v>
      </c>
      <c r="T885" t="s">
        <v>2912</v>
      </c>
      <c r="U885" t="s">
        <v>55</v>
      </c>
      <c r="V885" t="s">
        <v>52</v>
      </c>
      <c r="W885" t="s">
        <v>59</v>
      </c>
      <c r="X885" t="s">
        <v>98</v>
      </c>
      <c r="Y885" t="s">
        <v>45</v>
      </c>
      <c r="Z885" t="s">
        <v>41</v>
      </c>
      <c r="AA885" t="s">
        <v>54</v>
      </c>
      <c r="AB885" t="s">
        <v>40</v>
      </c>
      <c r="AC885" t="s">
        <v>79</v>
      </c>
      <c r="AD885" t="s">
        <v>57</v>
      </c>
      <c r="AE885" t="s">
        <v>45</v>
      </c>
      <c r="AF885" t="s">
        <v>129</v>
      </c>
      <c r="AG885" t="s">
        <v>70</v>
      </c>
      <c r="AH885" t="s">
        <v>47</v>
      </c>
      <c r="AI885" t="s">
        <v>70</v>
      </c>
    </row>
    <row r="886" spans="1:35" x14ac:dyDescent="0.25">
      <c r="A886" t="s">
        <v>88</v>
      </c>
      <c r="B886" t="s">
        <v>59</v>
      </c>
      <c r="C886" t="s">
        <v>37</v>
      </c>
      <c r="D886" t="s">
        <v>412</v>
      </c>
      <c r="E886" t="s">
        <v>39</v>
      </c>
      <c r="F886" t="s">
        <v>70</v>
      </c>
      <c r="G886" t="s">
        <v>45</v>
      </c>
      <c r="H886" t="s">
        <v>228</v>
      </c>
      <c r="I886" t="s">
        <v>40</v>
      </c>
      <c r="J886" t="s">
        <v>2913</v>
      </c>
      <c r="K886" t="s">
        <v>41</v>
      </c>
      <c r="L886" t="s">
        <v>43</v>
      </c>
      <c r="M886" t="s">
        <v>130</v>
      </c>
      <c r="N886" t="s">
        <v>41</v>
      </c>
      <c r="O886" t="s">
        <v>41</v>
      </c>
      <c r="P886" t="s">
        <v>46</v>
      </c>
      <c r="Q886" t="s">
        <v>41</v>
      </c>
      <c r="R886" t="s">
        <v>109</v>
      </c>
      <c r="S886" t="s">
        <v>2914</v>
      </c>
      <c r="T886" t="s">
        <v>2915</v>
      </c>
      <c r="U886" t="s">
        <v>71</v>
      </c>
      <c r="V886" t="s">
        <v>52</v>
      </c>
      <c r="W886" t="s">
        <v>59</v>
      </c>
      <c r="X886" t="s">
        <v>92</v>
      </c>
      <c r="Y886" t="s">
        <v>45</v>
      </c>
      <c r="Z886" t="s">
        <v>41</v>
      </c>
      <c r="AA886" t="s">
        <v>54</v>
      </c>
      <c r="AB886" t="s">
        <v>40</v>
      </c>
      <c r="AC886" t="s">
        <v>71</v>
      </c>
      <c r="AD886" t="s">
        <v>41</v>
      </c>
      <c r="AE886" t="s">
        <v>47</v>
      </c>
      <c r="AF886" t="s">
        <v>57</v>
      </c>
      <c r="AG886" t="s">
        <v>40</v>
      </c>
      <c r="AH886" t="s">
        <v>40</v>
      </c>
      <c r="AI886" t="s">
        <v>45</v>
      </c>
    </row>
    <row r="887" spans="1:35" x14ac:dyDescent="0.25">
      <c r="A887" t="s">
        <v>172</v>
      </c>
      <c r="B887" t="s">
        <v>59</v>
      </c>
      <c r="C887" t="s">
        <v>37</v>
      </c>
      <c r="D887" t="s">
        <v>781</v>
      </c>
      <c r="E887" t="s">
        <v>39</v>
      </c>
      <c r="F887" t="s">
        <v>70</v>
      </c>
      <c r="G887" t="s">
        <v>47</v>
      </c>
      <c r="H887" t="s">
        <v>42</v>
      </c>
      <c r="I887" t="s">
        <v>40</v>
      </c>
      <c r="J887" t="s">
        <v>258</v>
      </c>
      <c r="K887" t="s">
        <v>45</v>
      </c>
      <c r="L887" t="s">
        <v>63</v>
      </c>
      <c r="M887" t="s">
        <v>269</v>
      </c>
      <c r="N887" t="s">
        <v>45</v>
      </c>
      <c r="O887" t="s">
        <v>41</v>
      </c>
      <c r="P887" t="s">
        <v>46</v>
      </c>
      <c r="Q887" t="s">
        <v>47</v>
      </c>
      <c r="R887" t="s">
        <v>48</v>
      </c>
      <c r="S887" t="s">
        <v>2916</v>
      </c>
      <c r="T887" t="s">
        <v>2917</v>
      </c>
      <c r="U887" t="s">
        <v>55</v>
      </c>
      <c r="V887" t="s">
        <v>52</v>
      </c>
      <c r="W887" t="s">
        <v>59</v>
      </c>
      <c r="X887" t="s">
        <v>129</v>
      </c>
      <c r="Y887" t="s">
        <v>45</v>
      </c>
      <c r="Z887" t="s">
        <v>41</v>
      </c>
      <c r="AA887" t="s">
        <v>54</v>
      </c>
      <c r="AB887" t="s">
        <v>55</v>
      </c>
      <c r="AC887" t="s">
        <v>57</v>
      </c>
      <c r="AD887" t="s">
        <v>47</v>
      </c>
      <c r="AE887" t="s">
        <v>45</v>
      </c>
      <c r="AF887" t="s">
        <v>47</v>
      </c>
      <c r="AG887" t="s">
        <v>45</v>
      </c>
      <c r="AH887" t="s">
        <v>40</v>
      </c>
      <c r="AI887" t="s">
        <v>40</v>
      </c>
    </row>
    <row r="888" spans="1:35" x14ac:dyDescent="0.25">
      <c r="A888" t="s">
        <v>105</v>
      </c>
      <c r="B888" t="s">
        <v>59</v>
      </c>
      <c r="C888" t="s">
        <v>37</v>
      </c>
      <c r="D888" t="s">
        <v>2918</v>
      </c>
      <c r="E888" t="s">
        <v>62</v>
      </c>
      <c r="F888" t="s">
        <v>40</v>
      </c>
      <c r="G888" t="s">
        <v>45</v>
      </c>
      <c r="H888" t="s">
        <v>87</v>
      </c>
      <c r="I888" t="s">
        <v>40</v>
      </c>
      <c r="J888" t="s">
        <v>2919</v>
      </c>
      <c r="K888" t="s">
        <v>47</v>
      </c>
      <c r="L888" t="s">
        <v>63</v>
      </c>
      <c r="M888" t="s">
        <v>288</v>
      </c>
      <c r="N888" t="s">
        <v>45</v>
      </c>
      <c r="O888" t="s">
        <v>40</v>
      </c>
      <c r="P888" t="s">
        <v>65</v>
      </c>
      <c r="Q888" t="s">
        <v>41</v>
      </c>
      <c r="R888" t="s">
        <v>66</v>
      </c>
      <c r="S888" t="s">
        <v>2920</v>
      </c>
      <c r="T888" t="s">
        <v>2921</v>
      </c>
      <c r="U888" t="s">
        <v>55</v>
      </c>
      <c r="V888" t="s">
        <v>52</v>
      </c>
      <c r="W888" t="s">
        <v>36</v>
      </c>
      <c r="X888" t="s">
        <v>119</v>
      </c>
      <c r="Y888" t="s">
        <v>47</v>
      </c>
      <c r="Z888" t="s">
        <v>40</v>
      </c>
      <c r="AA888" t="s">
        <v>54</v>
      </c>
      <c r="AB888" t="s">
        <v>40</v>
      </c>
      <c r="AC888" t="s">
        <v>92</v>
      </c>
      <c r="AD888" t="s">
        <v>41</v>
      </c>
      <c r="AE888" t="s">
        <v>45</v>
      </c>
      <c r="AF888" t="s">
        <v>53</v>
      </c>
      <c r="AG888" t="s">
        <v>91</v>
      </c>
      <c r="AH888" t="s">
        <v>57</v>
      </c>
      <c r="AI888" t="s">
        <v>71</v>
      </c>
    </row>
    <row r="889" spans="1:35" x14ac:dyDescent="0.25">
      <c r="A889" t="s">
        <v>204</v>
      </c>
      <c r="B889" t="s">
        <v>59</v>
      </c>
      <c r="C889" t="s">
        <v>60</v>
      </c>
      <c r="D889" t="s">
        <v>1346</v>
      </c>
      <c r="E889" t="s">
        <v>62</v>
      </c>
      <c r="F889" t="s">
        <v>139</v>
      </c>
      <c r="G889" t="s">
        <v>57</v>
      </c>
      <c r="H889" t="s">
        <v>87</v>
      </c>
      <c r="I889" t="s">
        <v>40</v>
      </c>
      <c r="J889" t="s">
        <v>892</v>
      </c>
      <c r="K889" t="s">
        <v>40</v>
      </c>
      <c r="L889" t="s">
        <v>43</v>
      </c>
      <c r="M889" t="s">
        <v>275</v>
      </c>
      <c r="N889" t="s">
        <v>45</v>
      </c>
      <c r="O889" t="s">
        <v>45</v>
      </c>
      <c r="P889" t="s">
        <v>186</v>
      </c>
      <c r="Q889" t="s">
        <v>40</v>
      </c>
      <c r="R889" t="s">
        <v>66</v>
      </c>
      <c r="S889" t="s">
        <v>2922</v>
      </c>
      <c r="T889" t="s">
        <v>2923</v>
      </c>
      <c r="U889" t="s">
        <v>45</v>
      </c>
      <c r="V889" t="s">
        <v>52</v>
      </c>
      <c r="W889" t="s">
        <v>36</v>
      </c>
      <c r="X889" t="s">
        <v>125</v>
      </c>
      <c r="Y889" t="s">
        <v>45</v>
      </c>
      <c r="Z889" t="s">
        <v>45</v>
      </c>
      <c r="AA889" t="s">
        <v>54</v>
      </c>
      <c r="AB889" t="s">
        <v>55</v>
      </c>
      <c r="AC889" t="s">
        <v>104</v>
      </c>
      <c r="AD889" t="s">
        <v>56</v>
      </c>
      <c r="AE889" t="s">
        <v>45</v>
      </c>
      <c r="AF889" t="s">
        <v>40</v>
      </c>
      <c r="AG889" t="s">
        <v>55</v>
      </c>
      <c r="AH889" t="s">
        <v>55</v>
      </c>
      <c r="AI889" t="s">
        <v>55</v>
      </c>
    </row>
    <row r="890" spans="1:35" x14ac:dyDescent="0.25">
      <c r="A890" t="s">
        <v>126</v>
      </c>
      <c r="B890" t="s">
        <v>59</v>
      </c>
      <c r="C890" t="s">
        <v>161</v>
      </c>
      <c r="D890" t="s">
        <v>2867</v>
      </c>
      <c r="E890" t="s">
        <v>39</v>
      </c>
      <c r="F890" t="s">
        <v>51</v>
      </c>
      <c r="G890" t="s">
        <v>41</v>
      </c>
      <c r="H890" t="s">
        <v>206</v>
      </c>
      <c r="I890" t="s">
        <v>40</v>
      </c>
      <c r="J890" t="s">
        <v>2093</v>
      </c>
      <c r="K890" t="s">
        <v>45</v>
      </c>
      <c r="L890" t="s">
        <v>43</v>
      </c>
      <c r="M890" t="s">
        <v>168</v>
      </c>
      <c r="N890" t="s">
        <v>41</v>
      </c>
      <c r="O890" t="s">
        <v>45</v>
      </c>
      <c r="P890" t="s">
        <v>46</v>
      </c>
      <c r="Q890" t="s">
        <v>47</v>
      </c>
      <c r="R890" t="s">
        <v>66</v>
      </c>
      <c r="S890" t="s">
        <v>2924</v>
      </c>
      <c r="T890" t="s">
        <v>2925</v>
      </c>
      <c r="U890" t="s">
        <v>47</v>
      </c>
      <c r="V890" t="s">
        <v>52</v>
      </c>
      <c r="W890" t="s">
        <v>36</v>
      </c>
      <c r="X890" t="s">
        <v>53</v>
      </c>
      <c r="Y890" t="s">
        <v>45</v>
      </c>
      <c r="Z890" t="s">
        <v>41</v>
      </c>
      <c r="AA890" t="s">
        <v>54</v>
      </c>
      <c r="AB890" t="s">
        <v>40</v>
      </c>
      <c r="AC890" t="s">
        <v>128</v>
      </c>
      <c r="AD890" t="s">
        <v>56</v>
      </c>
      <c r="AE890" t="s">
        <v>41</v>
      </c>
      <c r="AF890" t="s">
        <v>98</v>
      </c>
      <c r="AG890" t="s">
        <v>41</v>
      </c>
      <c r="AH890" t="s">
        <v>47</v>
      </c>
      <c r="AI890" t="s">
        <v>92</v>
      </c>
    </row>
    <row r="891" spans="1:35" x14ac:dyDescent="0.25">
      <c r="A891" t="s">
        <v>85</v>
      </c>
      <c r="B891" t="s">
        <v>59</v>
      </c>
      <c r="C891" t="s">
        <v>37</v>
      </c>
      <c r="D891" t="s">
        <v>2682</v>
      </c>
      <c r="E891" t="s">
        <v>62</v>
      </c>
      <c r="F891" t="s">
        <v>129</v>
      </c>
      <c r="G891" t="s">
        <v>45</v>
      </c>
      <c r="H891" t="s">
        <v>42</v>
      </c>
      <c r="I891" t="s">
        <v>40</v>
      </c>
      <c r="J891" t="s">
        <v>2926</v>
      </c>
      <c r="K891" t="s">
        <v>40</v>
      </c>
      <c r="L891" t="s">
        <v>63</v>
      </c>
      <c r="M891" t="s">
        <v>204</v>
      </c>
      <c r="N891" t="s">
        <v>45</v>
      </c>
      <c r="O891" t="s">
        <v>40</v>
      </c>
      <c r="P891" t="s">
        <v>65</v>
      </c>
      <c r="Q891" t="s">
        <v>40</v>
      </c>
      <c r="R891" t="s">
        <v>66</v>
      </c>
      <c r="S891" t="s">
        <v>2927</v>
      </c>
      <c r="T891" t="s">
        <v>2928</v>
      </c>
      <c r="U891" t="s">
        <v>40</v>
      </c>
      <c r="V891" t="s">
        <v>52</v>
      </c>
      <c r="W891" t="s">
        <v>36</v>
      </c>
      <c r="X891" t="s">
        <v>129</v>
      </c>
      <c r="Y891" t="s">
        <v>45</v>
      </c>
      <c r="Z891" t="s">
        <v>47</v>
      </c>
      <c r="AA891" t="s">
        <v>54</v>
      </c>
      <c r="AB891" t="s">
        <v>41</v>
      </c>
      <c r="AC891" t="s">
        <v>91</v>
      </c>
      <c r="AD891" t="s">
        <v>45</v>
      </c>
      <c r="AE891" t="s">
        <v>41</v>
      </c>
      <c r="AF891" t="s">
        <v>91</v>
      </c>
      <c r="AG891" t="s">
        <v>71</v>
      </c>
      <c r="AH891" t="s">
        <v>56</v>
      </c>
      <c r="AI891" t="s">
        <v>51</v>
      </c>
    </row>
    <row r="892" spans="1:35" x14ac:dyDescent="0.25">
      <c r="A892" t="s">
        <v>259</v>
      </c>
      <c r="B892" t="s">
        <v>59</v>
      </c>
      <c r="C892" t="s">
        <v>60</v>
      </c>
      <c r="D892" t="s">
        <v>2408</v>
      </c>
      <c r="E892" t="s">
        <v>62</v>
      </c>
      <c r="F892" t="s">
        <v>40</v>
      </c>
      <c r="G892" t="s">
        <v>47</v>
      </c>
      <c r="H892" t="s">
        <v>42</v>
      </c>
      <c r="I892" t="s">
        <v>40</v>
      </c>
      <c r="J892" t="s">
        <v>1766</v>
      </c>
      <c r="K892" t="s">
        <v>47</v>
      </c>
      <c r="L892" t="s">
        <v>43</v>
      </c>
      <c r="M892" t="s">
        <v>166</v>
      </c>
      <c r="N892" t="s">
        <v>45</v>
      </c>
      <c r="O892" t="s">
        <v>45</v>
      </c>
      <c r="P892" t="s">
        <v>116</v>
      </c>
      <c r="Q892" t="s">
        <v>45</v>
      </c>
      <c r="R892" t="s">
        <v>109</v>
      </c>
      <c r="S892" t="s">
        <v>2929</v>
      </c>
      <c r="T892" t="s">
        <v>2930</v>
      </c>
      <c r="U892" t="s">
        <v>71</v>
      </c>
      <c r="V892" t="s">
        <v>52</v>
      </c>
      <c r="W892" t="s">
        <v>59</v>
      </c>
      <c r="X892" t="s">
        <v>125</v>
      </c>
      <c r="Y892" t="s">
        <v>45</v>
      </c>
      <c r="Z892" t="s">
        <v>40</v>
      </c>
      <c r="AA892" t="s">
        <v>54</v>
      </c>
      <c r="AB892" t="s">
        <v>40</v>
      </c>
      <c r="AC892" t="s">
        <v>80</v>
      </c>
      <c r="AD892" t="s">
        <v>41</v>
      </c>
      <c r="AE892" t="s">
        <v>40</v>
      </c>
      <c r="AF892" t="s">
        <v>57</v>
      </c>
      <c r="AG892" t="s">
        <v>47</v>
      </c>
      <c r="AH892" t="s">
        <v>40</v>
      </c>
      <c r="AI892" t="s">
        <v>47</v>
      </c>
    </row>
    <row r="893" spans="1:35" x14ac:dyDescent="0.25">
      <c r="A893" t="s">
        <v>115</v>
      </c>
      <c r="B893" t="s">
        <v>59</v>
      </c>
      <c r="C893" t="s">
        <v>37</v>
      </c>
      <c r="D893" t="s">
        <v>1170</v>
      </c>
      <c r="E893" t="s">
        <v>62</v>
      </c>
      <c r="F893" t="s">
        <v>41</v>
      </c>
      <c r="G893" t="s">
        <v>40</v>
      </c>
      <c r="H893" t="s">
        <v>42</v>
      </c>
      <c r="I893" t="s">
        <v>40</v>
      </c>
      <c r="J893" t="s">
        <v>1778</v>
      </c>
      <c r="K893" t="s">
        <v>40</v>
      </c>
      <c r="L893" t="s">
        <v>43</v>
      </c>
      <c r="M893" t="s">
        <v>201</v>
      </c>
      <c r="N893" t="s">
        <v>47</v>
      </c>
      <c r="O893" t="s">
        <v>40</v>
      </c>
      <c r="P893" t="s">
        <v>65</v>
      </c>
      <c r="Q893" t="s">
        <v>47</v>
      </c>
      <c r="R893" t="s">
        <v>66</v>
      </c>
      <c r="S893" t="s">
        <v>2931</v>
      </c>
      <c r="T893" t="s">
        <v>2932</v>
      </c>
      <c r="U893" t="s">
        <v>40</v>
      </c>
      <c r="V893" t="s">
        <v>52</v>
      </c>
      <c r="W893" t="s">
        <v>59</v>
      </c>
      <c r="X893" t="s">
        <v>98</v>
      </c>
      <c r="Y893" t="s">
        <v>45</v>
      </c>
      <c r="Z893" t="s">
        <v>47</v>
      </c>
      <c r="AA893" t="s">
        <v>54</v>
      </c>
      <c r="AB893" t="s">
        <v>40</v>
      </c>
      <c r="AC893" t="s">
        <v>70</v>
      </c>
      <c r="AD893" t="s">
        <v>57</v>
      </c>
      <c r="AE893" t="s">
        <v>45</v>
      </c>
      <c r="AF893" t="s">
        <v>70</v>
      </c>
      <c r="AG893" t="s">
        <v>57</v>
      </c>
      <c r="AH893" t="s">
        <v>71</v>
      </c>
      <c r="AI893" t="s">
        <v>71</v>
      </c>
    </row>
    <row r="894" spans="1:35" x14ac:dyDescent="0.25">
      <c r="A894" t="s">
        <v>144</v>
      </c>
      <c r="B894" t="s">
        <v>36</v>
      </c>
      <c r="C894" t="s">
        <v>161</v>
      </c>
      <c r="D894" t="s">
        <v>1028</v>
      </c>
      <c r="E894" t="s">
        <v>62</v>
      </c>
      <c r="F894" t="s">
        <v>70</v>
      </c>
      <c r="G894" t="s">
        <v>45</v>
      </c>
      <c r="H894" t="s">
        <v>87</v>
      </c>
      <c r="I894" t="s">
        <v>40</v>
      </c>
      <c r="J894" t="s">
        <v>2933</v>
      </c>
      <c r="K894" t="s">
        <v>40</v>
      </c>
      <c r="L894" t="s">
        <v>43</v>
      </c>
      <c r="M894" t="s">
        <v>163</v>
      </c>
      <c r="N894" t="s">
        <v>41</v>
      </c>
      <c r="O894" t="s">
        <v>40</v>
      </c>
      <c r="P894" t="s">
        <v>65</v>
      </c>
      <c r="Q894" t="s">
        <v>41</v>
      </c>
      <c r="R894" t="s">
        <v>48</v>
      </c>
      <c r="S894" t="s">
        <v>2934</v>
      </c>
      <c r="T894" t="s">
        <v>2935</v>
      </c>
      <c r="U894" t="s">
        <v>40</v>
      </c>
      <c r="V894" t="s">
        <v>52</v>
      </c>
      <c r="W894" t="s">
        <v>36</v>
      </c>
      <c r="X894" t="s">
        <v>172</v>
      </c>
      <c r="Y894" t="s">
        <v>47</v>
      </c>
      <c r="Z894" t="s">
        <v>41</v>
      </c>
      <c r="AA894" t="s">
        <v>54</v>
      </c>
      <c r="AB894" t="s">
        <v>55</v>
      </c>
      <c r="AC894" t="s">
        <v>40</v>
      </c>
      <c r="AD894" t="s">
        <v>41</v>
      </c>
      <c r="AE894" t="s">
        <v>47</v>
      </c>
      <c r="AF894" t="s">
        <v>40</v>
      </c>
      <c r="AG894" t="s">
        <v>40</v>
      </c>
      <c r="AH894" t="s">
        <v>55</v>
      </c>
      <c r="AI894" t="s">
        <v>55</v>
      </c>
    </row>
    <row r="895" spans="1:35" x14ac:dyDescent="0.25">
      <c r="A895" t="s">
        <v>133</v>
      </c>
      <c r="B895" t="s">
        <v>59</v>
      </c>
      <c r="C895" t="s">
        <v>37</v>
      </c>
      <c r="D895" t="s">
        <v>2498</v>
      </c>
      <c r="E895" t="s">
        <v>62</v>
      </c>
      <c r="F895" t="s">
        <v>40</v>
      </c>
      <c r="G895" t="s">
        <v>45</v>
      </c>
      <c r="H895" t="s">
        <v>42</v>
      </c>
      <c r="I895" t="s">
        <v>40</v>
      </c>
      <c r="J895" t="s">
        <v>1247</v>
      </c>
      <c r="K895" t="s">
        <v>40</v>
      </c>
      <c r="L895" t="s">
        <v>43</v>
      </c>
      <c r="M895" t="s">
        <v>244</v>
      </c>
      <c r="N895" t="s">
        <v>45</v>
      </c>
      <c r="O895" t="s">
        <v>40</v>
      </c>
      <c r="P895" t="s">
        <v>65</v>
      </c>
      <c r="Q895" t="s">
        <v>47</v>
      </c>
      <c r="R895" t="s">
        <v>109</v>
      </c>
      <c r="S895" t="s">
        <v>2936</v>
      </c>
      <c r="T895" t="s">
        <v>2937</v>
      </c>
      <c r="U895" t="s">
        <v>40</v>
      </c>
      <c r="V895" t="s">
        <v>52</v>
      </c>
      <c r="W895" t="s">
        <v>59</v>
      </c>
      <c r="X895" t="s">
        <v>79</v>
      </c>
      <c r="Y895" t="s">
        <v>45</v>
      </c>
      <c r="Z895" t="s">
        <v>40</v>
      </c>
      <c r="AA895" t="s">
        <v>54</v>
      </c>
      <c r="AB895" t="s">
        <v>45</v>
      </c>
      <c r="AC895" t="s">
        <v>45</v>
      </c>
      <c r="AD895" t="s">
        <v>57</v>
      </c>
      <c r="AE895" t="s">
        <v>45</v>
      </c>
      <c r="AF895" t="s">
        <v>45</v>
      </c>
      <c r="AG895" t="s">
        <v>41</v>
      </c>
      <c r="AH895" t="s">
        <v>40</v>
      </c>
      <c r="AI895" t="s">
        <v>41</v>
      </c>
    </row>
    <row r="896" spans="1:35" x14ac:dyDescent="0.25">
      <c r="A896" t="s">
        <v>259</v>
      </c>
      <c r="B896" t="s">
        <v>59</v>
      </c>
      <c r="C896" t="s">
        <v>37</v>
      </c>
      <c r="D896" t="s">
        <v>1046</v>
      </c>
      <c r="E896" t="s">
        <v>62</v>
      </c>
      <c r="F896" t="s">
        <v>45</v>
      </c>
      <c r="G896" t="s">
        <v>45</v>
      </c>
      <c r="H896" t="s">
        <v>42</v>
      </c>
      <c r="I896" t="s">
        <v>40</v>
      </c>
      <c r="J896" t="s">
        <v>2938</v>
      </c>
      <c r="K896" t="s">
        <v>47</v>
      </c>
      <c r="L896" t="s">
        <v>63</v>
      </c>
      <c r="M896" t="s">
        <v>348</v>
      </c>
      <c r="N896" t="s">
        <v>45</v>
      </c>
      <c r="O896" t="s">
        <v>47</v>
      </c>
      <c r="P896" t="s">
        <v>186</v>
      </c>
      <c r="Q896" t="s">
        <v>47</v>
      </c>
      <c r="R896" t="s">
        <v>66</v>
      </c>
      <c r="S896" t="s">
        <v>2939</v>
      </c>
      <c r="T896" t="s">
        <v>2940</v>
      </c>
      <c r="U896" t="s">
        <v>45</v>
      </c>
      <c r="V896" t="s">
        <v>52</v>
      </c>
      <c r="W896" t="s">
        <v>59</v>
      </c>
      <c r="X896" t="s">
        <v>129</v>
      </c>
      <c r="Y896" t="s">
        <v>45</v>
      </c>
      <c r="Z896" t="s">
        <v>40</v>
      </c>
      <c r="AA896" t="s">
        <v>54</v>
      </c>
      <c r="AB896" t="s">
        <v>55</v>
      </c>
      <c r="AC896" t="s">
        <v>120</v>
      </c>
      <c r="AD896" t="s">
        <v>41</v>
      </c>
      <c r="AE896" t="s">
        <v>45</v>
      </c>
      <c r="AF896" t="s">
        <v>70</v>
      </c>
      <c r="AG896" t="s">
        <v>91</v>
      </c>
      <c r="AH896" t="s">
        <v>55</v>
      </c>
      <c r="AI896" t="s">
        <v>91</v>
      </c>
    </row>
    <row r="897" spans="1:35" x14ac:dyDescent="0.25">
      <c r="A897" t="s">
        <v>137</v>
      </c>
      <c r="B897" t="s">
        <v>59</v>
      </c>
      <c r="C897" t="s">
        <v>37</v>
      </c>
      <c r="D897" t="s">
        <v>1401</v>
      </c>
      <c r="E897" t="s">
        <v>62</v>
      </c>
      <c r="F897" t="s">
        <v>53</v>
      </c>
      <c r="G897" t="s">
        <v>41</v>
      </c>
      <c r="H897" t="s">
        <v>87</v>
      </c>
      <c r="I897" t="s">
        <v>40</v>
      </c>
      <c r="J897" t="s">
        <v>2941</v>
      </c>
      <c r="K897" t="s">
        <v>45</v>
      </c>
      <c r="L897" t="s">
        <v>63</v>
      </c>
      <c r="M897" t="s">
        <v>54</v>
      </c>
      <c r="N897" t="s">
        <v>45</v>
      </c>
      <c r="O897" t="s">
        <v>41</v>
      </c>
      <c r="P897" t="s">
        <v>122</v>
      </c>
      <c r="Q897" t="s">
        <v>40</v>
      </c>
      <c r="R897" t="s">
        <v>66</v>
      </c>
      <c r="S897" t="s">
        <v>2942</v>
      </c>
      <c r="T897" t="s">
        <v>2943</v>
      </c>
      <c r="U897" t="s">
        <v>40</v>
      </c>
      <c r="V897" t="s">
        <v>52</v>
      </c>
      <c r="W897" t="s">
        <v>36</v>
      </c>
      <c r="X897" t="s">
        <v>92</v>
      </c>
      <c r="Y897" t="s">
        <v>45</v>
      </c>
      <c r="Z897" t="s">
        <v>47</v>
      </c>
      <c r="AA897" t="s">
        <v>54</v>
      </c>
      <c r="AB897" t="s">
        <v>55</v>
      </c>
      <c r="AC897" t="s">
        <v>56</v>
      </c>
      <c r="AD897" t="s">
        <v>41</v>
      </c>
      <c r="AE897" t="s">
        <v>41</v>
      </c>
      <c r="AF897" t="s">
        <v>56</v>
      </c>
      <c r="AG897" t="s">
        <v>57</v>
      </c>
      <c r="AH897" t="s">
        <v>55</v>
      </c>
      <c r="AI897" t="s">
        <v>40</v>
      </c>
    </row>
    <row r="898" spans="1:35" x14ac:dyDescent="0.25">
      <c r="A898" t="s">
        <v>137</v>
      </c>
      <c r="B898" t="s">
        <v>59</v>
      </c>
      <c r="C898" t="s">
        <v>37</v>
      </c>
      <c r="D898" t="s">
        <v>1383</v>
      </c>
      <c r="E898" t="s">
        <v>62</v>
      </c>
      <c r="F898" t="s">
        <v>107</v>
      </c>
      <c r="G898" t="s">
        <v>45</v>
      </c>
      <c r="H898" t="s">
        <v>87</v>
      </c>
      <c r="I898" t="s">
        <v>40</v>
      </c>
      <c r="J898" t="s">
        <v>2120</v>
      </c>
      <c r="K898" t="s">
        <v>45</v>
      </c>
      <c r="L898" t="s">
        <v>43</v>
      </c>
      <c r="M898" t="s">
        <v>163</v>
      </c>
      <c r="N898" t="s">
        <v>41</v>
      </c>
      <c r="O898" t="s">
        <v>41</v>
      </c>
      <c r="P898" t="s">
        <v>122</v>
      </c>
      <c r="Q898" t="s">
        <v>40</v>
      </c>
      <c r="R898" t="s">
        <v>48</v>
      </c>
      <c r="S898" t="s">
        <v>2443</v>
      </c>
      <c r="T898" t="s">
        <v>2944</v>
      </c>
      <c r="U898" t="s">
        <v>40</v>
      </c>
      <c r="V898" t="s">
        <v>52</v>
      </c>
      <c r="W898" t="s">
        <v>59</v>
      </c>
      <c r="X898" t="s">
        <v>144</v>
      </c>
      <c r="Y898" t="s">
        <v>45</v>
      </c>
      <c r="Z898" t="s">
        <v>41</v>
      </c>
      <c r="AA898" t="s">
        <v>54</v>
      </c>
      <c r="AB898" t="s">
        <v>55</v>
      </c>
      <c r="AC898" t="s">
        <v>70</v>
      </c>
      <c r="AD898" t="s">
        <v>41</v>
      </c>
      <c r="AE898" t="s">
        <v>45</v>
      </c>
      <c r="AF898" t="s">
        <v>70</v>
      </c>
      <c r="AG898" t="s">
        <v>91</v>
      </c>
      <c r="AH898" t="s">
        <v>40</v>
      </c>
      <c r="AI898" t="s">
        <v>51</v>
      </c>
    </row>
    <row r="899" spans="1:35" x14ac:dyDescent="0.25">
      <c r="A899" t="s">
        <v>99</v>
      </c>
      <c r="B899" t="s">
        <v>59</v>
      </c>
      <c r="C899" t="s">
        <v>37</v>
      </c>
      <c r="D899" t="s">
        <v>2945</v>
      </c>
      <c r="E899" t="s">
        <v>39</v>
      </c>
      <c r="F899" t="s">
        <v>45</v>
      </c>
      <c r="G899" t="s">
        <v>45</v>
      </c>
      <c r="H899" t="s">
        <v>42</v>
      </c>
      <c r="I899" t="s">
        <v>40</v>
      </c>
      <c r="J899" t="s">
        <v>2946</v>
      </c>
      <c r="K899" t="s">
        <v>45</v>
      </c>
      <c r="L899" t="s">
        <v>43</v>
      </c>
      <c r="M899" t="s">
        <v>207</v>
      </c>
      <c r="N899" t="s">
        <v>41</v>
      </c>
      <c r="O899" t="s">
        <v>41</v>
      </c>
      <c r="P899" t="s">
        <v>46</v>
      </c>
      <c r="Q899" t="s">
        <v>47</v>
      </c>
      <c r="R899" t="s">
        <v>48</v>
      </c>
      <c r="S899" t="s">
        <v>2947</v>
      </c>
      <c r="T899" t="s">
        <v>2948</v>
      </c>
      <c r="U899" t="s">
        <v>57</v>
      </c>
      <c r="V899" t="s">
        <v>52</v>
      </c>
      <c r="W899" t="s">
        <v>59</v>
      </c>
      <c r="X899" t="s">
        <v>125</v>
      </c>
      <c r="Y899" t="s">
        <v>45</v>
      </c>
      <c r="Z899" t="s">
        <v>47</v>
      </c>
      <c r="AA899" t="s">
        <v>54</v>
      </c>
      <c r="AB899" t="s">
        <v>55</v>
      </c>
      <c r="AC899" t="s">
        <v>98</v>
      </c>
      <c r="AD899" t="s">
        <v>41</v>
      </c>
      <c r="AE899" t="s">
        <v>45</v>
      </c>
      <c r="AF899" t="s">
        <v>56</v>
      </c>
      <c r="AG899" t="s">
        <v>40</v>
      </c>
      <c r="AH899" t="s">
        <v>55</v>
      </c>
      <c r="AI899" t="s">
        <v>57</v>
      </c>
    </row>
    <row r="900" spans="1:35" x14ac:dyDescent="0.25">
      <c r="A900" t="s">
        <v>234</v>
      </c>
      <c r="B900" t="s">
        <v>59</v>
      </c>
      <c r="C900" t="s">
        <v>37</v>
      </c>
      <c r="D900" t="s">
        <v>1159</v>
      </c>
      <c r="E900" t="s">
        <v>62</v>
      </c>
      <c r="F900" t="s">
        <v>45</v>
      </c>
      <c r="G900" t="s">
        <v>45</v>
      </c>
      <c r="H900" t="s">
        <v>42</v>
      </c>
      <c r="I900" t="s">
        <v>40</v>
      </c>
      <c r="J900" t="s">
        <v>2949</v>
      </c>
      <c r="K900" t="s">
        <v>45</v>
      </c>
      <c r="L900" t="s">
        <v>63</v>
      </c>
      <c r="M900" t="s">
        <v>163</v>
      </c>
      <c r="N900" t="s">
        <v>40</v>
      </c>
      <c r="O900" t="s">
        <v>57</v>
      </c>
      <c r="P900" t="s">
        <v>186</v>
      </c>
      <c r="Q900" t="s">
        <v>47</v>
      </c>
      <c r="R900" t="s">
        <v>66</v>
      </c>
      <c r="S900" t="s">
        <v>2950</v>
      </c>
      <c r="T900" t="s">
        <v>2951</v>
      </c>
      <c r="U900" t="s">
        <v>45</v>
      </c>
      <c r="V900" t="s">
        <v>52</v>
      </c>
      <c r="W900" t="s">
        <v>59</v>
      </c>
      <c r="X900" t="s">
        <v>129</v>
      </c>
      <c r="Y900" t="s">
        <v>45</v>
      </c>
      <c r="Z900" t="s">
        <v>41</v>
      </c>
      <c r="AA900" t="s">
        <v>54</v>
      </c>
      <c r="AB900" t="s">
        <v>40</v>
      </c>
      <c r="AC900" t="s">
        <v>172</v>
      </c>
      <c r="AD900" t="s">
        <v>41</v>
      </c>
      <c r="AE900" t="s">
        <v>45</v>
      </c>
      <c r="AF900" t="s">
        <v>51</v>
      </c>
      <c r="AG900" t="s">
        <v>71</v>
      </c>
      <c r="AH900" t="s">
        <v>55</v>
      </c>
      <c r="AI900" t="s">
        <v>71</v>
      </c>
    </row>
    <row r="901" spans="1:35" x14ac:dyDescent="0.25">
      <c r="A901" t="s">
        <v>58</v>
      </c>
      <c r="B901" t="s">
        <v>59</v>
      </c>
      <c r="C901" t="s">
        <v>37</v>
      </c>
      <c r="D901" t="s">
        <v>2669</v>
      </c>
      <c r="E901" t="s">
        <v>62</v>
      </c>
      <c r="F901" t="s">
        <v>47</v>
      </c>
      <c r="G901" t="s">
        <v>41</v>
      </c>
      <c r="H901" t="s">
        <v>87</v>
      </c>
      <c r="I901" t="s">
        <v>40</v>
      </c>
      <c r="J901" t="s">
        <v>705</v>
      </c>
      <c r="K901" t="s">
        <v>40</v>
      </c>
      <c r="L901" t="s">
        <v>63</v>
      </c>
      <c r="M901" t="s">
        <v>348</v>
      </c>
      <c r="N901" t="s">
        <v>41</v>
      </c>
      <c r="O901" t="s">
        <v>57</v>
      </c>
      <c r="P901" t="s">
        <v>169</v>
      </c>
      <c r="Q901" t="s">
        <v>45</v>
      </c>
      <c r="R901" t="s">
        <v>66</v>
      </c>
      <c r="S901" t="s">
        <v>2952</v>
      </c>
      <c r="T901" t="s">
        <v>2953</v>
      </c>
      <c r="U901" t="s">
        <v>41</v>
      </c>
      <c r="V901" t="s">
        <v>52</v>
      </c>
      <c r="W901" t="s">
        <v>59</v>
      </c>
      <c r="X901" t="s">
        <v>98</v>
      </c>
      <c r="Y901" t="s">
        <v>45</v>
      </c>
      <c r="Z901" t="s">
        <v>45</v>
      </c>
      <c r="AA901" t="s">
        <v>54</v>
      </c>
      <c r="AB901" t="s">
        <v>40</v>
      </c>
      <c r="AC901" t="s">
        <v>69</v>
      </c>
      <c r="AD901" t="s">
        <v>41</v>
      </c>
      <c r="AE901" t="s">
        <v>47</v>
      </c>
      <c r="AF901" t="s">
        <v>40</v>
      </c>
      <c r="AG901" t="s">
        <v>55</v>
      </c>
      <c r="AH901" t="s">
        <v>55</v>
      </c>
      <c r="AI901" t="s">
        <v>55</v>
      </c>
    </row>
    <row r="902" spans="1:35" x14ac:dyDescent="0.25">
      <c r="A902" t="s">
        <v>120</v>
      </c>
      <c r="B902" t="s">
        <v>59</v>
      </c>
      <c r="C902" t="s">
        <v>60</v>
      </c>
      <c r="D902" t="s">
        <v>1377</v>
      </c>
      <c r="E902" t="s">
        <v>62</v>
      </c>
      <c r="F902" t="s">
        <v>45</v>
      </c>
      <c r="G902" t="s">
        <v>45</v>
      </c>
      <c r="H902" t="s">
        <v>228</v>
      </c>
      <c r="I902" t="s">
        <v>40</v>
      </c>
      <c r="J902" t="s">
        <v>2954</v>
      </c>
      <c r="K902" t="s">
        <v>45</v>
      </c>
      <c r="L902" t="s">
        <v>63</v>
      </c>
      <c r="M902" t="s">
        <v>213</v>
      </c>
      <c r="N902" t="s">
        <v>45</v>
      </c>
      <c r="O902" t="s">
        <v>40</v>
      </c>
      <c r="P902" t="s">
        <v>65</v>
      </c>
      <c r="Q902" t="s">
        <v>41</v>
      </c>
      <c r="R902" t="s">
        <v>66</v>
      </c>
      <c r="S902" t="s">
        <v>2955</v>
      </c>
      <c r="T902" t="s">
        <v>2956</v>
      </c>
      <c r="U902" t="s">
        <v>40</v>
      </c>
      <c r="V902" t="s">
        <v>52</v>
      </c>
      <c r="W902" t="s">
        <v>59</v>
      </c>
      <c r="X902" t="s">
        <v>92</v>
      </c>
      <c r="Y902" t="s">
        <v>45</v>
      </c>
      <c r="Z902" t="s">
        <v>45</v>
      </c>
      <c r="AA902" t="s">
        <v>54</v>
      </c>
      <c r="AB902" t="s">
        <v>55</v>
      </c>
      <c r="AC902" t="s">
        <v>92</v>
      </c>
      <c r="AD902" t="s">
        <v>41</v>
      </c>
      <c r="AE902" t="s">
        <v>41</v>
      </c>
      <c r="AF902" t="s">
        <v>53</v>
      </c>
      <c r="AG902" t="s">
        <v>70</v>
      </c>
      <c r="AH902" t="s">
        <v>55</v>
      </c>
      <c r="AI902" t="s">
        <v>71</v>
      </c>
    </row>
    <row r="903" spans="1:35" x14ac:dyDescent="0.25">
      <c r="A903" t="s">
        <v>207</v>
      </c>
      <c r="B903" t="s">
        <v>59</v>
      </c>
      <c r="C903" t="s">
        <v>37</v>
      </c>
      <c r="D903" t="s">
        <v>2413</v>
      </c>
      <c r="E903" t="s">
        <v>62</v>
      </c>
      <c r="F903" t="s">
        <v>41</v>
      </c>
      <c r="G903" t="s">
        <v>41</v>
      </c>
      <c r="H903" t="s">
        <v>228</v>
      </c>
      <c r="I903" t="s">
        <v>40</v>
      </c>
      <c r="J903" t="s">
        <v>2127</v>
      </c>
      <c r="K903" t="s">
        <v>47</v>
      </c>
      <c r="L903" t="s">
        <v>63</v>
      </c>
      <c r="M903" t="s">
        <v>322</v>
      </c>
      <c r="N903" t="s">
        <v>47</v>
      </c>
      <c r="O903" t="s">
        <v>40</v>
      </c>
      <c r="P903" t="s">
        <v>76</v>
      </c>
      <c r="Q903" t="s">
        <v>41</v>
      </c>
      <c r="R903" t="s">
        <v>48</v>
      </c>
      <c r="S903" t="s">
        <v>2199</v>
      </c>
      <c r="T903" t="s">
        <v>2957</v>
      </c>
      <c r="U903" t="s">
        <v>57</v>
      </c>
      <c r="V903" t="s">
        <v>52</v>
      </c>
      <c r="W903" t="s">
        <v>59</v>
      </c>
      <c r="X903" t="s">
        <v>53</v>
      </c>
      <c r="Y903" t="s">
        <v>45</v>
      </c>
      <c r="Z903" t="s">
        <v>45</v>
      </c>
      <c r="AA903" t="s">
        <v>54</v>
      </c>
      <c r="AB903" t="s">
        <v>55</v>
      </c>
      <c r="AC903" t="s">
        <v>71</v>
      </c>
      <c r="AD903" t="s">
        <v>47</v>
      </c>
      <c r="AE903" t="s">
        <v>41</v>
      </c>
      <c r="AF903" t="s">
        <v>40</v>
      </c>
      <c r="AG903" t="s">
        <v>55</v>
      </c>
      <c r="AH903" t="s">
        <v>55</v>
      </c>
      <c r="AI903" t="s">
        <v>55</v>
      </c>
    </row>
    <row r="904" spans="1:35" x14ac:dyDescent="0.25">
      <c r="A904" t="s">
        <v>85</v>
      </c>
      <c r="B904" t="s">
        <v>59</v>
      </c>
      <c r="C904" t="s">
        <v>37</v>
      </c>
      <c r="D904" t="s">
        <v>2797</v>
      </c>
      <c r="E904" t="s">
        <v>62</v>
      </c>
      <c r="F904" t="s">
        <v>47</v>
      </c>
      <c r="G904" t="s">
        <v>41</v>
      </c>
      <c r="H904" t="s">
        <v>42</v>
      </c>
      <c r="I904" t="s">
        <v>40</v>
      </c>
      <c r="J904" t="s">
        <v>2958</v>
      </c>
      <c r="K904" t="s">
        <v>40</v>
      </c>
      <c r="L904" t="s">
        <v>63</v>
      </c>
      <c r="M904" t="s">
        <v>322</v>
      </c>
      <c r="N904" t="s">
        <v>45</v>
      </c>
      <c r="O904" t="s">
        <v>40</v>
      </c>
      <c r="P904" t="s">
        <v>65</v>
      </c>
      <c r="Q904" t="s">
        <v>45</v>
      </c>
      <c r="R904" t="s">
        <v>109</v>
      </c>
      <c r="S904" t="s">
        <v>2959</v>
      </c>
      <c r="T904" t="s">
        <v>2960</v>
      </c>
      <c r="U904" t="s">
        <v>40</v>
      </c>
      <c r="V904" t="s">
        <v>52</v>
      </c>
      <c r="W904" t="s">
        <v>59</v>
      </c>
      <c r="X904" t="s">
        <v>53</v>
      </c>
      <c r="Y904" t="s">
        <v>45</v>
      </c>
      <c r="Z904" t="s">
        <v>41</v>
      </c>
      <c r="AA904" t="s">
        <v>54</v>
      </c>
      <c r="AB904" t="s">
        <v>45</v>
      </c>
      <c r="AC904" t="s">
        <v>57</v>
      </c>
      <c r="AD904" t="s">
        <v>41</v>
      </c>
      <c r="AE904" t="s">
        <v>45</v>
      </c>
      <c r="AF904" t="s">
        <v>57</v>
      </c>
      <c r="AG904" t="s">
        <v>45</v>
      </c>
      <c r="AH904" t="s">
        <v>55</v>
      </c>
      <c r="AI904" t="s">
        <v>45</v>
      </c>
    </row>
    <row r="905" spans="1:35" x14ac:dyDescent="0.25">
      <c r="A905" t="s">
        <v>133</v>
      </c>
      <c r="B905" t="s">
        <v>59</v>
      </c>
      <c r="C905" t="s">
        <v>37</v>
      </c>
      <c r="D905" t="s">
        <v>618</v>
      </c>
      <c r="E905" t="s">
        <v>62</v>
      </c>
      <c r="F905" t="s">
        <v>71</v>
      </c>
      <c r="G905" t="s">
        <v>45</v>
      </c>
      <c r="H905" t="s">
        <v>42</v>
      </c>
      <c r="I905" t="s">
        <v>40</v>
      </c>
      <c r="J905" t="s">
        <v>2961</v>
      </c>
      <c r="K905" t="s">
        <v>45</v>
      </c>
      <c r="L905" t="s">
        <v>63</v>
      </c>
      <c r="M905" t="s">
        <v>181</v>
      </c>
      <c r="N905" t="s">
        <v>45</v>
      </c>
      <c r="O905" t="s">
        <v>41</v>
      </c>
      <c r="P905" t="s">
        <v>122</v>
      </c>
      <c r="Q905" t="s">
        <v>47</v>
      </c>
      <c r="R905" t="s">
        <v>109</v>
      </c>
      <c r="S905" t="s">
        <v>2962</v>
      </c>
      <c r="T905" t="s">
        <v>2963</v>
      </c>
      <c r="U905" t="s">
        <v>40</v>
      </c>
      <c r="V905" t="s">
        <v>52</v>
      </c>
      <c r="W905" t="s">
        <v>36</v>
      </c>
      <c r="X905" t="s">
        <v>53</v>
      </c>
      <c r="Y905" t="s">
        <v>45</v>
      </c>
      <c r="Z905" t="s">
        <v>41</v>
      </c>
      <c r="AA905" t="s">
        <v>54</v>
      </c>
      <c r="AB905" t="s">
        <v>41</v>
      </c>
      <c r="AC905" t="s">
        <v>56</v>
      </c>
      <c r="AD905" t="s">
        <v>41</v>
      </c>
      <c r="AE905" t="s">
        <v>45</v>
      </c>
      <c r="AF905" t="s">
        <v>56</v>
      </c>
      <c r="AG905" t="s">
        <v>55</v>
      </c>
      <c r="AH905" t="s">
        <v>40</v>
      </c>
      <c r="AI905" t="s">
        <v>55</v>
      </c>
    </row>
    <row r="906" spans="1:35" x14ac:dyDescent="0.25">
      <c r="A906" t="s">
        <v>207</v>
      </c>
      <c r="B906" t="s">
        <v>59</v>
      </c>
      <c r="C906" t="s">
        <v>37</v>
      </c>
      <c r="D906" t="s">
        <v>1909</v>
      </c>
      <c r="E906" t="s">
        <v>62</v>
      </c>
      <c r="F906" t="s">
        <v>40</v>
      </c>
      <c r="G906" t="s">
        <v>45</v>
      </c>
      <c r="H906" t="s">
        <v>42</v>
      </c>
      <c r="I906" t="s">
        <v>40</v>
      </c>
      <c r="J906" t="s">
        <v>2964</v>
      </c>
      <c r="K906" t="s">
        <v>47</v>
      </c>
      <c r="L906" t="s">
        <v>63</v>
      </c>
      <c r="M906" t="s">
        <v>322</v>
      </c>
      <c r="N906" t="s">
        <v>41</v>
      </c>
      <c r="O906" t="s">
        <v>57</v>
      </c>
      <c r="P906" t="s">
        <v>186</v>
      </c>
      <c r="Q906" t="s">
        <v>47</v>
      </c>
      <c r="R906" t="s">
        <v>48</v>
      </c>
      <c r="S906" t="s">
        <v>2965</v>
      </c>
      <c r="T906" t="s">
        <v>2966</v>
      </c>
      <c r="U906" t="s">
        <v>56</v>
      </c>
      <c r="V906" t="s">
        <v>52</v>
      </c>
      <c r="W906" t="s">
        <v>59</v>
      </c>
      <c r="X906" t="s">
        <v>92</v>
      </c>
      <c r="Y906" t="s">
        <v>45</v>
      </c>
      <c r="Z906" t="s">
        <v>45</v>
      </c>
      <c r="AA906" t="s">
        <v>54</v>
      </c>
      <c r="AB906" t="s">
        <v>55</v>
      </c>
      <c r="AC906" t="s">
        <v>172</v>
      </c>
      <c r="AD906" t="s">
        <v>45</v>
      </c>
      <c r="AE906" t="s">
        <v>47</v>
      </c>
      <c r="AF906" t="s">
        <v>40</v>
      </c>
      <c r="AG906" t="s">
        <v>55</v>
      </c>
      <c r="AH906" t="s">
        <v>55</v>
      </c>
      <c r="AI906" t="s">
        <v>55</v>
      </c>
    </row>
    <row r="907" spans="1:35" x14ac:dyDescent="0.25">
      <c r="A907" t="s">
        <v>133</v>
      </c>
      <c r="B907" t="s">
        <v>59</v>
      </c>
      <c r="C907" t="s">
        <v>37</v>
      </c>
      <c r="D907" t="s">
        <v>2967</v>
      </c>
      <c r="E907" t="s">
        <v>62</v>
      </c>
      <c r="F907" t="s">
        <v>40</v>
      </c>
      <c r="G907" t="s">
        <v>45</v>
      </c>
      <c r="H907" t="s">
        <v>42</v>
      </c>
      <c r="I907" t="s">
        <v>40</v>
      </c>
      <c r="J907" t="s">
        <v>2968</v>
      </c>
      <c r="K907" t="s">
        <v>47</v>
      </c>
      <c r="L907" t="s">
        <v>43</v>
      </c>
      <c r="M907" t="s">
        <v>371</v>
      </c>
      <c r="N907" t="s">
        <v>41</v>
      </c>
      <c r="O907" t="s">
        <v>47</v>
      </c>
      <c r="P907" t="s">
        <v>186</v>
      </c>
      <c r="Q907" t="s">
        <v>47</v>
      </c>
      <c r="R907" t="s">
        <v>109</v>
      </c>
      <c r="S907" t="s">
        <v>2969</v>
      </c>
      <c r="T907" t="s">
        <v>2970</v>
      </c>
      <c r="U907" t="s">
        <v>45</v>
      </c>
      <c r="V907" t="s">
        <v>52</v>
      </c>
      <c r="W907" t="s">
        <v>59</v>
      </c>
      <c r="X907" t="s">
        <v>129</v>
      </c>
      <c r="Y907" t="s">
        <v>45</v>
      </c>
      <c r="Z907" t="s">
        <v>41</v>
      </c>
      <c r="AA907" t="s">
        <v>54</v>
      </c>
      <c r="AB907" t="s">
        <v>41</v>
      </c>
      <c r="AC907" t="s">
        <v>91</v>
      </c>
      <c r="AD907" t="s">
        <v>41</v>
      </c>
      <c r="AE907" t="s">
        <v>41</v>
      </c>
      <c r="AF907" t="s">
        <v>71</v>
      </c>
      <c r="AG907" t="s">
        <v>71</v>
      </c>
      <c r="AH907" t="s">
        <v>40</v>
      </c>
      <c r="AI907" t="s">
        <v>71</v>
      </c>
    </row>
    <row r="908" spans="1:35" x14ac:dyDescent="0.25">
      <c r="A908" t="s">
        <v>142</v>
      </c>
      <c r="B908" t="s">
        <v>59</v>
      </c>
      <c r="C908" t="s">
        <v>37</v>
      </c>
      <c r="D908" t="s">
        <v>2971</v>
      </c>
      <c r="E908" t="s">
        <v>62</v>
      </c>
      <c r="F908" t="s">
        <v>104</v>
      </c>
      <c r="G908" t="s">
        <v>45</v>
      </c>
      <c r="H908" t="s">
        <v>228</v>
      </c>
      <c r="I908" t="s">
        <v>40</v>
      </c>
      <c r="J908" t="s">
        <v>2267</v>
      </c>
      <c r="K908" t="s">
        <v>45</v>
      </c>
      <c r="L908" t="s">
        <v>43</v>
      </c>
      <c r="M908" t="s">
        <v>959</v>
      </c>
      <c r="N908" t="s">
        <v>47</v>
      </c>
      <c r="O908" t="s">
        <v>40</v>
      </c>
      <c r="P908" t="s">
        <v>65</v>
      </c>
      <c r="Q908" t="s">
        <v>45</v>
      </c>
      <c r="R908" t="s">
        <v>66</v>
      </c>
      <c r="S908" t="s">
        <v>2972</v>
      </c>
      <c r="T908" t="s">
        <v>2973</v>
      </c>
      <c r="U908" t="s">
        <v>55</v>
      </c>
      <c r="V908" t="s">
        <v>52</v>
      </c>
      <c r="W908" t="s">
        <v>59</v>
      </c>
      <c r="X908" t="s">
        <v>125</v>
      </c>
      <c r="Y908" t="s">
        <v>45</v>
      </c>
      <c r="Z908" t="s">
        <v>47</v>
      </c>
      <c r="AA908" t="s">
        <v>54</v>
      </c>
      <c r="AB908" t="s">
        <v>55</v>
      </c>
      <c r="AC908" t="s">
        <v>41</v>
      </c>
      <c r="AD908" t="s">
        <v>57</v>
      </c>
      <c r="AE908" t="s">
        <v>41</v>
      </c>
      <c r="AF908" t="s">
        <v>40</v>
      </c>
      <c r="AG908" t="s">
        <v>55</v>
      </c>
      <c r="AH908" t="s">
        <v>55</v>
      </c>
      <c r="AI908" t="s">
        <v>55</v>
      </c>
    </row>
    <row r="909" spans="1:35" x14ac:dyDescent="0.25">
      <c r="A909" t="s">
        <v>115</v>
      </c>
      <c r="B909" t="s">
        <v>59</v>
      </c>
      <c r="C909" t="s">
        <v>37</v>
      </c>
      <c r="D909" t="s">
        <v>1614</v>
      </c>
      <c r="E909" t="s">
        <v>39</v>
      </c>
      <c r="F909" t="s">
        <v>57</v>
      </c>
      <c r="G909" t="s">
        <v>45</v>
      </c>
      <c r="H909" t="s">
        <v>206</v>
      </c>
      <c r="I909" t="s">
        <v>40</v>
      </c>
      <c r="J909" t="s">
        <v>2974</v>
      </c>
      <c r="K909" t="s">
        <v>41</v>
      </c>
      <c r="L909" t="s">
        <v>63</v>
      </c>
      <c r="M909" t="s">
        <v>356</v>
      </c>
      <c r="N909" t="s">
        <v>45</v>
      </c>
      <c r="O909" t="s">
        <v>57</v>
      </c>
      <c r="P909" t="s">
        <v>169</v>
      </c>
      <c r="Q909" t="s">
        <v>41</v>
      </c>
      <c r="R909" t="s">
        <v>66</v>
      </c>
      <c r="S909" t="s">
        <v>2975</v>
      </c>
      <c r="T909" t="s">
        <v>2976</v>
      </c>
      <c r="U909" t="s">
        <v>71</v>
      </c>
      <c r="V909" t="s">
        <v>52</v>
      </c>
      <c r="W909" t="s">
        <v>59</v>
      </c>
      <c r="X909" t="s">
        <v>53</v>
      </c>
      <c r="Y909" t="s">
        <v>45</v>
      </c>
      <c r="Z909" t="s">
        <v>45</v>
      </c>
      <c r="AA909" t="s">
        <v>54</v>
      </c>
      <c r="AB909" t="s">
        <v>40</v>
      </c>
      <c r="AC909" t="s">
        <v>139</v>
      </c>
      <c r="AD909" t="s">
        <v>57</v>
      </c>
      <c r="AE909" t="s">
        <v>45</v>
      </c>
      <c r="AF909" t="s">
        <v>112</v>
      </c>
      <c r="AG909" t="s">
        <v>91</v>
      </c>
      <c r="AH909" t="s">
        <v>45</v>
      </c>
      <c r="AI909" t="s">
        <v>70</v>
      </c>
    </row>
    <row r="910" spans="1:35" x14ac:dyDescent="0.25">
      <c r="A910" t="s">
        <v>80</v>
      </c>
      <c r="B910" t="s">
        <v>59</v>
      </c>
      <c r="C910" t="s">
        <v>37</v>
      </c>
      <c r="D910" t="s">
        <v>1552</v>
      </c>
      <c r="E910" t="s">
        <v>39</v>
      </c>
      <c r="F910" t="s">
        <v>70</v>
      </c>
      <c r="G910" t="s">
        <v>57</v>
      </c>
      <c r="H910" t="s">
        <v>206</v>
      </c>
      <c r="I910" t="s">
        <v>40</v>
      </c>
      <c r="J910" t="s">
        <v>755</v>
      </c>
      <c r="K910" t="s">
        <v>47</v>
      </c>
      <c r="L910" t="s">
        <v>63</v>
      </c>
      <c r="M910" t="s">
        <v>181</v>
      </c>
      <c r="N910" t="s">
        <v>47</v>
      </c>
      <c r="O910" t="s">
        <v>45</v>
      </c>
      <c r="P910" t="s">
        <v>46</v>
      </c>
      <c r="Q910" t="s">
        <v>45</v>
      </c>
      <c r="R910" t="s">
        <v>109</v>
      </c>
      <c r="S910" t="s">
        <v>2977</v>
      </c>
      <c r="T910" t="s">
        <v>2978</v>
      </c>
      <c r="U910" t="s">
        <v>55</v>
      </c>
      <c r="V910" t="s">
        <v>52</v>
      </c>
      <c r="W910" t="s">
        <v>36</v>
      </c>
      <c r="X910" t="s">
        <v>129</v>
      </c>
      <c r="Y910" t="s">
        <v>45</v>
      </c>
      <c r="Z910" t="s">
        <v>47</v>
      </c>
      <c r="AA910" t="s">
        <v>54</v>
      </c>
      <c r="AB910" t="s">
        <v>41</v>
      </c>
      <c r="AC910" t="s">
        <v>70</v>
      </c>
      <c r="AD910" t="s">
        <v>45</v>
      </c>
      <c r="AE910" t="s">
        <v>45</v>
      </c>
      <c r="AF910" t="s">
        <v>91</v>
      </c>
      <c r="AG910" t="s">
        <v>51</v>
      </c>
      <c r="AH910" t="s">
        <v>55</v>
      </c>
      <c r="AI910" t="s">
        <v>51</v>
      </c>
    </row>
    <row r="911" spans="1:35" x14ac:dyDescent="0.25">
      <c r="A911" t="s">
        <v>144</v>
      </c>
      <c r="B911" t="s">
        <v>59</v>
      </c>
      <c r="C911" t="s">
        <v>37</v>
      </c>
      <c r="D911" t="s">
        <v>2545</v>
      </c>
      <c r="E911" t="s">
        <v>62</v>
      </c>
      <c r="F911" t="s">
        <v>172</v>
      </c>
      <c r="G911" t="s">
        <v>45</v>
      </c>
      <c r="H911" t="s">
        <v>42</v>
      </c>
      <c r="I911" t="s">
        <v>40</v>
      </c>
      <c r="J911" t="s">
        <v>2258</v>
      </c>
      <c r="K911" t="s">
        <v>41</v>
      </c>
      <c r="L911" t="s">
        <v>43</v>
      </c>
      <c r="M911" t="s">
        <v>269</v>
      </c>
      <c r="N911" t="s">
        <v>47</v>
      </c>
      <c r="O911" t="s">
        <v>40</v>
      </c>
      <c r="P911" t="s">
        <v>65</v>
      </c>
      <c r="Q911" t="s">
        <v>47</v>
      </c>
      <c r="R911" t="s">
        <v>48</v>
      </c>
      <c r="S911" t="s">
        <v>2979</v>
      </c>
      <c r="T911" t="s">
        <v>2980</v>
      </c>
      <c r="U911" t="s">
        <v>40</v>
      </c>
      <c r="V911" t="s">
        <v>52</v>
      </c>
      <c r="W911" t="s">
        <v>36</v>
      </c>
      <c r="X911" t="s">
        <v>92</v>
      </c>
      <c r="Y911" t="s">
        <v>45</v>
      </c>
      <c r="Z911" t="s">
        <v>47</v>
      </c>
      <c r="AA911" t="s">
        <v>54</v>
      </c>
      <c r="AB911" t="s">
        <v>55</v>
      </c>
      <c r="AC911" t="s">
        <v>40</v>
      </c>
      <c r="AD911" t="s">
        <v>41</v>
      </c>
      <c r="AE911" t="s">
        <v>45</v>
      </c>
      <c r="AF911" t="s">
        <v>40</v>
      </c>
      <c r="AG911" t="s">
        <v>55</v>
      </c>
      <c r="AH911" t="s">
        <v>55</v>
      </c>
      <c r="AI911" t="s">
        <v>40</v>
      </c>
    </row>
    <row r="912" spans="1:35" x14ac:dyDescent="0.25">
      <c r="A912" t="s">
        <v>69</v>
      </c>
      <c r="B912" t="s">
        <v>59</v>
      </c>
      <c r="C912" t="s">
        <v>37</v>
      </c>
      <c r="D912" t="s">
        <v>1098</v>
      </c>
      <c r="E912" t="s">
        <v>62</v>
      </c>
      <c r="F912" t="s">
        <v>40</v>
      </c>
      <c r="G912" t="s">
        <v>41</v>
      </c>
      <c r="H912" t="s">
        <v>42</v>
      </c>
      <c r="I912" t="s">
        <v>40</v>
      </c>
      <c r="J912" t="s">
        <v>2981</v>
      </c>
      <c r="K912" t="s">
        <v>47</v>
      </c>
      <c r="L912" t="s">
        <v>63</v>
      </c>
      <c r="M912" t="s">
        <v>239</v>
      </c>
      <c r="N912" t="s">
        <v>45</v>
      </c>
      <c r="O912" t="s">
        <v>40</v>
      </c>
      <c r="P912" t="s">
        <v>65</v>
      </c>
      <c r="Q912" t="s">
        <v>45</v>
      </c>
      <c r="R912" t="s">
        <v>66</v>
      </c>
      <c r="S912" t="s">
        <v>341</v>
      </c>
      <c r="T912" t="s">
        <v>2982</v>
      </c>
      <c r="U912" t="s">
        <v>40</v>
      </c>
      <c r="V912" t="s">
        <v>52</v>
      </c>
      <c r="W912" t="s">
        <v>59</v>
      </c>
      <c r="X912" t="s">
        <v>112</v>
      </c>
      <c r="Y912" t="s">
        <v>47</v>
      </c>
      <c r="Z912" t="s">
        <v>47</v>
      </c>
      <c r="AA912" t="s">
        <v>54</v>
      </c>
      <c r="AB912" t="s">
        <v>40</v>
      </c>
      <c r="AC912" t="s">
        <v>40</v>
      </c>
      <c r="AD912" t="s">
        <v>41</v>
      </c>
      <c r="AE912" t="s">
        <v>45</v>
      </c>
      <c r="AF912" t="s">
        <v>40</v>
      </c>
      <c r="AG912" t="s">
        <v>55</v>
      </c>
      <c r="AH912" t="s">
        <v>55</v>
      </c>
      <c r="AI912" t="s">
        <v>40</v>
      </c>
    </row>
    <row r="913" spans="1:35" x14ac:dyDescent="0.25">
      <c r="A913" t="s">
        <v>172</v>
      </c>
      <c r="B913" t="s">
        <v>36</v>
      </c>
      <c r="C913" t="s">
        <v>60</v>
      </c>
      <c r="D913" t="s">
        <v>1682</v>
      </c>
      <c r="E913" t="s">
        <v>39</v>
      </c>
      <c r="F913" t="s">
        <v>107</v>
      </c>
      <c r="G913" t="s">
        <v>40</v>
      </c>
      <c r="H913" t="s">
        <v>42</v>
      </c>
      <c r="I913" t="s">
        <v>40</v>
      </c>
      <c r="J913" t="s">
        <v>235</v>
      </c>
      <c r="K913" t="s">
        <v>45</v>
      </c>
      <c r="L913" t="s">
        <v>63</v>
      </c>
      <c r="M913" t="s">
        <v>279</v>
      </c>
      <c r="N913" t="s">
        <v>40</v>
      </c>
      <c r="O913" t="s">
        <v>40</v>
      </c>
      <c r="P913" t="s">
        <v>182</v>
      </c>
      <c r="Q913" t="s">
        <v>47</v>
      </c>
      <c r="R913" t="s">
        <v>48</v>
      </c>
      <c r="S913" t="s">
        <v>2711</v>
      </c>
      <c r="T913" t="s">
        <v>2983</v>
      </c>
      <c r="U913" t="s">
        <v>40</v>
      </c>
      <c r="V913" t="s">
        <v>52</v>
      </c>
      <c r="W913" t="s">
        <v>36</v>
      </c>
      <c r="X913" t="s">
        <v>129</v>
      </c>
      <c r="Y913" t="s">
        <v>45</v>
      </c>
      <c r="Z913" t="s">
        <v>47</v>
      </c>
      <c r="AA913" t="s">
        <v>54</v>
      </c>
      <c r="AB913" t="s">
        <v>55</v>
      </c>
      <c r="AC913" t="s">
        <v>40</v>
      </c>
      <c r="AD913" t="s">
        <v>47</v>
      </c>
      <c r="AE913" t="s">
        <v>45</v>
      </c>
      <c r="AF913" t="s">
        <v>40</v>
      </c>
      <c r="AG913" t="s">
        <v>55</v>
      </c>
      <c r="AH913" t="s">
        <v>40</v>
      </c>
      <c r="AI913" t="s">
        <v>55</v>
      </c>
    </row>
    <row r="914" spans="1:35" x14ac:dyDescent="0.25">
      <c r="A914" t="s">
        <v>139</v>
      </c>
      <c r="B914" t="s">
        <v>59</v>
      </c>
      <c r="C914" t="s">
        <v>37</v>
      </c>
      <c r="D914" t="s">
        <v>2252</v>
      </c>
      <c r="E914" t="s">
        <v>62</v>
      </c>
      <c r="F914" t="s">
        <v>47</v>
      </c>
      <c r="G914" t="s">
        <v>41</v>
      </c>
      <c r="H914" t="s">
        <v>42</v>
      </c>
      <c r="I914" t="s">
        <v>40</v>
      </c>
      <c r="J914" t="s">
        <v>1291</v>
      </c>
      <c r="K914" t="s">
        <v>45</v>
      </c>
      <c r="L914" t="s">
        <v>63</v>
      </c>
      <c r="M914" t="s">
        <v>166</v>
      </c>
      <c r="N914" t="s">
        <v>45</v>
      </c>
      <c r="O914" t="s">
        <v>40</v>
      </c>
      <c r="P914" t="s">
        <v>65</v>
      </c>
      <c r="Q914" t="s">
        <v>47</v>
      </c>
      <c r="R914" t="s">
        <v>48</v>
      </c>
      <c r="S914" t="s">
        <v>2984</v>
      </c>
      <c r="T914" t="s">
        <v>2985</v>
      </c>
      <c r="U914" t="s">
        <v>40</v>
      </c>
      <c r="V914" t="s">
        <v>52</v>
      </c>
      <c r="W914" t="s">
        <v>36</v>
      </c>
      <c r="X914" t="s">
        <v>104</v>
      </c>
      <c r="Y914" t="s">
        <v>47</v>
      </c>
      <c r="Z914" t="s">
        <v>41</v>
      </c>
      <c r="AA914" t="s">
        <v>54</v>
      </c>
      <c r="AB914" t="s">
        <v>55</v>
      </c>
      <c r="AC914" t="s">
        <v>51</v>
      </c>
      <c r="AD914" t="s">
        <v>41</v>
      </c>
      <c r="AE914" t="s">
        <v>41</v>
      </c>
      <c r="AF914" t="s">
        <v>51</v>
      </c>
      <c r="AG914" t="s">
        <v>57</v>
      </c>
      <c r="AH914" t="s">
        <v>41</v>
      </c>
      <c r="AI914" t="s">
        <v>41</v>
      </c>
    </row>
    <row r="915" spans="1:35" x14ac:dyDescent="0.25">
      <c r="A915" t="s">
        <v>174</v>
      </c>
      <c r="B915" t="s">
        <v>36</v>
      </c>
      <c r="C915" t="s">
        <v>37</v>
      </c>
      <c r="D915" t="s">
        <v>1167</v>
      </c>
      <c r="E915" t="s">
        <v>39</v>
      </c>
      <c r="F915" t="s">
        <v>41</v>
      </c>
      <c r="G915" t="s">
        <v>45</v>
      </c>
      <c r="H915" t="s">
        <v>206</v>
      </c>
      <c r="I915" t="s">
        <v>40</v>
      </c>
      <c r="J915" t="s">
        <v>1647</v>
      </c>
      <c r="K915" t="s">
        <v>40</v>
      </c>
      <c r="L915" t="s">
        <v>43</v>
      </c>
      <c r="M915" t="s">
        <v>44</v>
      </c>
      <c r="N915" t="s">
        <v>40</v>
      </c>
      <c r="O915" t="s">
        <v>57</v>
      </c>
      <c r="P915" t="s">
        <v>169</v>
      </c>
      <c r="Q915" t="s">
        <v>41</v>
      </c>
      <c r="R915" t="s">
        <v>48</v>
      </c>
      <c r="S915" t="s">
        <v>2986</v>
      </c>
      <c r="T915" t="s">
        <v>2987</v>
      </c>
      <c r="U915" t="s">
        <v>41</v>
      </c>
      <c r="V915" t="s">
        <v>52</v>
      </c>
      <c r="W915" t="s">
        <v>36</v>
      </c>
      <c r="X915" t="s">
        <v>128</v>
      </c>
      <c r="Y915" t="s">
        <v>45</v>
      </c>
      <c r="Z915" t="s">
        <v>40</v>
      </c>
      <c r="AA915" t="s">
        <v>54</v>
      </c>
      <c r="AB915" t="s">
        <v>55</v>
      </c>
      <c r="AC915" t="s">
        <v>139</v>
      </c>
      <c r="AD915" t="s">
        <v>41</v>
      </c>
      <c r="AE915" t="s">
        <v>45</v>
      </c>
      <c r="AF915" t="s">
        <v>107</v>
      </c>
      <c r="AG915" t="s">
        <v>70</v>
      </c>
      <c r="AH915" t="s">
        <v>40</v>
      </c>
      <c r="AI915" t="s">
        <v>53</v>
      </c>
    </row>
    <row r="916" spans="1:35" x14ac:dyDescent="0.25">
      <c r="A916" t="s">
        <v>263</v>
      </c>
      <c r="B916" t="s">
        <v>59</v>
      </c>
      <c r="C916" t="s">
        <v>161</v>
      </c>
      <c r="D916" t="s">
        <v>608</v>
      </c>
      <c r="E916" t="s">
        <v>62</v>
      </c>
      <c r="F916" t="s">
        <v>51</v>
      </c>
      <c r="G916" t="s">
        <v>40</v>
      </c>
      <c r="H916" t="s">
        <v>87</v>
      </c>
      <c r="I916" t="s">
        <v>40</v>
      </c>
      <c r="J916" t="s">
        <v>2236</v>
      </c>
      <c r="K916" t="s">
        <v>47</v>
      </c>
      <c r="L916" t="s">
        <v>63</v>
      </c>
      <c r="M916" t="s">
        <v>72</v>
      </c>
      <c r="N916" t="s">
        <v>41</v>
      </c>
      <c r="O916" t="s">
        <v>47</v>
      </c>
      <c r="P916" t="s">
        <v>122</v>
      </c>
      <c r="Q916" t="s">
        <v>41</v>
      </c>
      <c r="R916" t="s">
        <v>109</v>
      </c>
      <c r="S916" t="s">
        <v>2988</v>
      </c>
      <c r="T916" t="s">
        <v>2989</v>
      </c>
      <c r="U916" t="s">
        <v>40</v>
      </c>
      <c r="V916" t="s">
        <v>52</v>
      </c>
      <c r="W916" t="s">
        <v>36</v>
      </c>
      <c r="X916" t="s">
        <v>79</v>
      </c>
      <c r="Y916" t="s">
        <v>45</v>
      </c>
      <c r="Z916" t="s">
        <v>47</v>
      </c>
      <c r="AA916" t="s">
        <v>54</v>
      </c>
      <c r="AB916" t="s">
        <v>40</v>
      </c>
      <c r="AC916" t="s">
        <v>142</v>
      </c>
      <c r="AD916" t="s">
        <v>45</v>
      </c>
      <c r="AE916" t="s">
        <v>45</v>
      </c>
      <c r="AF916" t="s">
        <v>80</v>
      </c>
      <c r="AG916" t="s">
        <v>91</v>
      </c>
      <c r="AH916" t="s">
        <v>79</v>
      </c>
      <c r="AI916" t="s">
        <v>55</v>
      </c>
    </row>
    <row r="917" spans="1:35" x14ac:dyDescent="0.25">
      <c r="A917" t="s">
        <v>119</v>
      </c>
      <c r="B917" t="s">
        <v>36</v>
      </c>
      <c r="C917" t="s">
        <v>60</v>
      </c>
      <c r="D917" t="s">
        <v>2990</v>
      </c>
      <c r="E917" t="s">
        <v>62</v>
      </c>
      <c r="F917" t="s">
        <v>70</v>
      </c>
      <c r="G917" t="s">
        <v>41</v>
      </c>
      <c r="H917" t="s">
        <v>42</v>
      </c>
      <c r="I917" t="s">
        <v>40</v>
      </c>
      <c r="J917" t="s">
        <v>2991</v>
      </c>
      <c r="K917" t="s">
        <v>40</v>
      </c>
      <c r="L917" t="s">
        <v>43</v>
      </c>
      <c r="M917" t="s">
        <v>174</v>
      </c>
      <c r="N917" t="s">
        <v>41</v>
      </c>
      <c r="O917" t="s">
        <v>40</v>
      </c>
      <c r="P917" t="s">
        <v>76</v>
      </c>
      <c r="Q917" t="s">
        <v>45</v>
      </c>
      <c r="R917" t="s">
        <v>48</v>
      </c>
      <c r="S917" t="s">
        <v>2992</v>
      </c>
      <c r="T917" t="s">
        <v>2993</v>
      </c>
      <c r="U917" t="s">
        <v>40</v>
      </c>
      <c r="V917" t="s">
        <v>52</v>
      </c>
      <c r="W917" t="s">
        <v>59</v>
      </c>
      <c r="X917" t="s">
        <v>104</v>
      </c>
      <c r="Y917" t="s">
        <v>47</v>
      </c>
      <c r="Z917" t="s">
        <v>45</v>
      </c>
      <c r="AA917" t="s">
        <v>54</v>
      </c>
      <c r="AB917" t="s">
        <v>55</v>
      </c>
      <c r="AC917" t="s">
        <v>41</v>
      </c>
      <c r="AD917" t="s">
        <v>41</v>
      </c>
      <c r="AE917" t="s">
        <v>40</v>
      </c>
      <c r="AF917" t="s">
        <v>41</v>
      </c>
      <c r="AG917" t="s">
        <v>41</v>
      </c>
      <c r="AH917" t="s">
        <v>41</v>
      </c>
      <c r="AI917" t="s">
        <v>41</v>
      </c>
    </row>
    <row r="918" spans="1:35" x14ac:dyDescent="0.25">
      <c r="A918" t="s">
        <v>213</v>
      </c>
      <c r="B918" t="s">
        <v>59</v>
      </c>
      <c r="C918" t="s">
        <v>37</v>
      </c>
      <c r="D918" t="s">
        <v>1971</v>
      </c>
      <c r="E918" t="s">
        <v>39</v>
      </c>
      <c r="F918" t="s">
        <v>47</v>
      </c>
      <c r="G918" t="s">
        <v>41</v>
      </c>
      <c r="H918" t="s">
        <v>206</v>
      </c>
      <c r="I918" t="s">
        <v>40</v>
      </c>
      <c r="J918" t="s">
        <v>507</v>
      </c>
      <c r="K918" t="s">
        <v>47</v>
      </c>
      <c r="L918" t="s">
        <v>43</v>
      </c>
      <c r="M918" t="s">
        <v>80</v>
      </c>
      <c r="N918" t="s">
        <v>41</v>
      </c>
      <c r="O918" t="s">
        <v>57</v>
      </c>
      <c r="P918" t="s">
        <v>169</v>
      </c>
      <c r="Q918" t="s">
        <v>41</v>
      </c>
      <c r="R918" t="s">
        <v>66</v>
      </c>
      <c r="S918" t="s">
        <v>2994</v>
      </c>
      <c r="T918" t="s">
        <v>2995</v>
      </c>
      <c r="U918" t="s">
        <v>41</v>
      </c>
      <c r="V918" t="s">
        <v>52</v>
      </c>
      <c r="W918" t="s">
        <v>59</v>
      </c>
      <c r="X918" t="s">
        <v>129</v>
      </c>
      <c r="Y918" t="s">
        <v>45</v>
      </c>
      <c r="Z918" t="s">
        <v>45</v>
      </c>
      <c r="AA918" t="s">
        <v>54</v>
      </c>
      <c r="AB918" t="s">
        <v>40</v>
      </c>
      <c r="AC918" t="s">
        <v>139</v>
      </c>
      <c r="AD918" t="s">
        <v>41</v>
      </c>
      <c r="AE918" t="s">
        <v>45</v>
      </c>
      <c r="AF918" t="s">
        <v>53</v>
      </c>
      <c r="AG918" t="s">
        <v>47</v>
      </c>
      <c r="AH918" t="s">
        <v>55</v>
      </c>
      <c r="AI918" t="s">
        <v>51</v>
      </c>
    </row>
    <row r="919" spans="1:35" x14ac:dyDescent="0.25">
      <c r="A919" t="s">
        <v>142</v>
      </c>
      <c r="B919" t="s">
        <v>59</v>
      </c>
      <c r="C919" t="s">
        <v>37</v>
      </c>
      <c r="D919" t="s">
        <v>470</v>
      </c>
      <c r="E919" t="s">
        <v>39</v>
      </c>
      <c r="F919" t="s">
        <v>41</v>
      </c>
      <c r="G919" t="s">
        <v>45</v>
      </c>
      <c r="H919" t="s">
        <v>206</v>
      </c>
      <c r="I919" t="s">
        <v>40</v>
      </c>
      <c r="J919" t="s">
        <v>1888</v>
      </c>
      <c r="K919" t="s">
        <v>45</v>
      </c>
      <c r="L919" t="s">
        <v>43</v>
      </c>
      <c r="M919" t="s">
        <v>240</v>
      </c>
      <c r="N919" t="s">
        <v>45</v>
      </c>
      <c r="O919" t="s">
        <v>41</v>
      </c>
      <c r="P919" t="s">
        <v>46</v>
      </c>
      <c r="Q919" t="s">
        <v>40</v>
      </c>
      <c r="R919" t="s">
        <v>48</v>
      </c>
      <c r="S919" t="s">
        <v>2996</v>
      </c>
      <c r="T919" t="s">
        <v>2997</v>
      </c>
      <c r="U919" t="s">
        <v>55</v>
      </c>
      <c r="V919" t="s">
        <v>52</v>
      </c>
      <c r="W919" t="s">
        <v>36</v>
      </c>
      <c r="X919" t="s">
        <v>92</v>
      </c>
      <c r="Y919" t="s">
        <v>45</v>
      </c>
      <c r="Z919" t="s">
        <v>47</v>
      </c>
      <c r="AA919" t="s">
        <v>54</v>
      </c>
      <c r="AB919" t="s">
        <v>55</v>
      </c>
      <c r="AC919" t="s">
        <v>47</v>
      </c>
      <c r="AD919" t="s">
        <v>45</v>
      </c>
      <c r="AE919" t="s">
        <v>45</v>
      </c>
      <c r="AF919" t="s">
        <v>45</v>
      </c>
      <c r="AG919" t="s">
        <v>41</v>
      </c>
      <c r="AH919" t="s">
        <v>55</v>
      </c>
      <c r="AI919" t="s">
        <v>41</v>
      </c>
    </row>
    <row r="920" spans="1:35" x14ac:dyDescent="0.25">
      <c r="A920" t="s">
        <v>155</v>
      </c>
      <c r="B920" t="s">
        <v>59</v>
      </c>
      <c r="C920" t="s">
        <v>60</v>
      </c>
      <c r="D920" t="s">
        <v>2998</v>
      </c>
      <c r="E920" t="s">
        <v>39</v>
      </c>
      <c r="F920" t="s">
        <v>91</v>
      </c>
      <c r="G920" t="s">
        <v>45</v>
      </c>
      <c r="H920" t="s">
        <v>42</v>
      </c>
      <c r="I920" t="s">
        <v>40</v>
      </c>
      <c r="J920" t="s">
        <v>196</v>
      </c>
      <c r="K920" t="s">
        <v>47</v>
      </c>
      <c r="L920" t="s">
        <v>63</v>
      </c>
      <c r="M920" t="s">
        <v>193</v>
      </c>
      <c r="N920" t="s">
        <v>45</v>
      </c>
      <c r="O920" t="s">
        <v>57</v>
      </c>
      <c r="P920" t="s">
        <v>169</v>
      </c>
      <c r="Q920" t="s">
        <v>41</v>
      </c>
      <c r="R920" t="s">
        <v>109</v>
      </c>
      <c r="S920" t="s">
        <v>2999</v>
      </c>
      <c r="T920" t="s">
        <v>3000</v>
      </c>
      <c r="U920" t="s">
        <v>47</v>
      </c>
      <c r="V920" t="s">
        <v>52</v>
      </c>
      <c r="W920" t="s">
        <v>36</v>
      </c>
      <c r="X920" t="s">
        <v>107</v>
      </c>
      <c r="Y920" t="s">
        <v>47</v>
      </c>
      <c r="Z920" t="s">
        <v>40</v>
      </c>
      <c r="AA920" t="s">
        <v>54</v>
      </c>
      <c r="AB920" t="s">
        <v>40</v>
      </c>
      <c r="AC920" t="s">
        <v>137</v>
      </c>
      <c r="AD920" t="s">
        <v>57</v>
      </c>
      <c r="AE920" t="s">
        <v>41</v>
      </c>
      <c r="AF920" t="s">
        <v>133</v>
      </c>
      <c r="AG920" t="s">
        <v>70</v>
      </c>
      <c r="AH920" t="s">
        <v>53</v>
      </c>
      <c r="AI920" t="s">
        <v>70</v>
      </c>
    </row>
    <row r="921" spans="1:35" x14ac:dyDescent="0.25">
      <c r="A921" t="s">
        <v>99</v>
      </c>
      <c r="B921" t="s">
        <v>59</v>
      </c>
      <c r="C921" t="s">
        <v>37</v>
      </c>
      <c r="D921" t="s">
        <v>3001</v>
      </c>
      <c r="E921" t="s">
        <v>62</v>
      </c>
      <c r="F921" t="s">
        <v>145</v>
      </c>
      <c r="G921" t="s">
        <v>47</v>
      </c>
      <c r="H921" t="s">
        <v>87</v>
      </c>
      <c r="I921" t="s">
        <v>40</v>
      </c>
      <c r="J921" t="s">
        <v>1449</v>
      </c>
      <c r="K921" t="s">
        <v>47</v>
      </c>
      <c r="L921" t="s">
        <v>63</v>
      </c>
      <c r="M921" t="s">
        <v>108</v>
      </c>
      <c r="N921" t="s">
        <v>45</v>
      </c>
      <c r="O921" t="s">
        <v>45</v>
      </c>
      <c r="P921" t="s">
        <v>116</v>
      </c>
      <c r="Q921" t="s">
        <v>47</v>
      </c>
      <c r="R921" t="s">
        <v>48</v>
      </c>
      <c r="S921" t="s">
        <v>3002</v>
      </c>
      <c r="T921" t="s">
        <v>3003</v>
      </c>
      <c r="U921" t="s">
        <v>56</v>
      </c>
      <c r="V921" t="s">
        <v>52</v>
      </c>
      <c r="W921" t="s">
        <v>59</v>
      </c>
      <c r="X921" t="s">
        <v>92</v>
      </c>
      <c r="Y921" t="s">
        <v>45</v>
      </c>
      <c r="Z921" t="s">
        <v>47</v>
      </c>
      <c r="AA921" t="s">
        <v>54</v>
      </c>
      <c r="AB921" t="s">
        <v>55</v>
      </c>
      <c r="AC921" t="s">
        <v>172</v>
      </c>
      <c r="AD921" t="s">
        <v>56</v>
      </c>
      <c r="AE921" t="s">
        <v>41</v>
      </c>
      <c r="AF921" t="s">
        <v>91</v>
      </c>
      <c r="AG921" t="s">
        <v>71</v>
      </c>
      <c r="AH921" t="s">
        <v>57</v>
      </c>
      <c r="AI921" t="s">
        <v>47</v>
      </c>
    </row>
    <row r="922" spans="1:35" x14ac:dyDescent="0.25">
      <c r="A922" t="s">
        <v>142</v>
      </c>
      <c r="B922" t="s">
        <v>59</v>
      </c>
      <c r="C922" t="s">
        <v>60</v>
      </c>
      <c r="D922" t="s">
        <v>2556</v>
      </c>
      <c r="E922" t="s">
        <v>62</v>
      </c>
      <c r="F922" t="s">
        <v>144</v>
      </c>
      <c r="G922" t="s">
        <v>45</v>
      </c>
      <c r="H922" t="s">
        <v>87</v>
      </c>
      <c r="I922" t="s">
        <v>40</v>
      </c>
      <c r="J922" t="s">
        <v>3004</v>
      </c>
      <c r="K922" t="s">
        <v>45</v>
      </c>
      <c r="L922" t="s">
        <v>43</v>
      </c>
      <c r="M922" t="s">
        <v>213</v>
      </c>
      <c r="N922" t="s">
        <v>45</v>
      </c>
      <c r="O922" t="s">
        <v>41</v>
      </c>
      <c r="P922" t="s">
        <v>76</v>
      </c>
      <c r="Q922" t="s">
        <v>41</v>
      </c>
      <c r="R922" t="s">
        <v>109</v>
      </c>
      <c r="S922" t="s">
        <v>3005</v>
      </c>
      <c r="T922" t="s">
        <v>3006</v>
      </c>
      <c r="U922" t="s">
        <v>47</v>
      </c>
      <c r="V922" t="s">
        <v>52</v>
      </c>
      <c r="W922" t="s">
        <v>59</v>
      </c>
      <c r="X922" t="s">
        <v>98</v>
      </c>
      <c r="Y922" t="s">
        <v>45</v>
      </c>
      <c r="Z922" t="s">
        <v>45</v>
      </c>
      <c r="AA922" t="s">
        <v>54</v>
      </c>
      <c r="AB922" t="s">
        <v>41</v>
      </c>
      <c r="AC922" t="s">
        <v>79</v>
      </c>
      <c r="AD922" t="s">
        <v>41</v>
      </c>
      <c r="AE922" t="s">
        <v>47</v>
      </c>
      <c r="AF922" t="s">
        <v>53</v>
      </c>
      <c r="AG922" t="s">
        <v>51</v>
      </c>
      <c r="AH922" t="s">
        <v>57</v>
      </c>
      <c r="AI922" t="s">
        <v>70</v>
      </c>
    </row>
    <row r="923" spans="1:35" x14ac:dyDescent="0.25">
      <c r="A923" t="s">
        <v>149</v>
      </c>
      <c r="B923" t="s">
        <v>59</v>
      </c>
      <c r="C923" t="s">
        <v>60</v>
      </c>
      <c r="D923" t="s">
        <v>2054</v>
      </c>
      <c r="E923" t="s">
        <v>62</v>
      </c>
      <c r="F923" t="s">
        <v>40</v>
      </c>
      <c r="G923" t="s">
        <v>47</v>
      </c>
      <c r="H923" t="s">
        <v>87</v>
      </c>
      <c r="I923" t="s">
        <v>40</v>
      </c>
      <c r="J923" t="s">
        <v>3007</v>
      </c>
      <c r="K923" t="s">
        <v>47</v>
      </c>
      <c r="L923" t="s">
        <v>63</v>
      </c>
      <c r="M923" t="s">
        <v>115</v>
      </c>
      <c r="N923" t="s">
        <v>45</v>
      </c>
      <c r="O923" t="s">
        <v>40</v>
      </c>
      <c r="P923" t="s">
        <v>76</v>
      </c>
      <c r="Q923" t="s">
        <v>45</v>
      </c>
      <c r="R923" t="s">
        <v>48</v>
      </c>
      <c r="S923" t="s">
        <v>3008</v>
      </c>
      <c r="T923" t="s">
        <v>3009</v>
      </c>
      <c r="U923" t="s">
        <v>55</v>
      </c>
      <c r="V923" t="s">
        <v>52</v>
      </c>
      <c r="W923" t="s">
        <v>36</v>
      </c>
      <c r="X923" t="s">
        <v>53</v>
      </c>
      <c r="Y923" t="s">
        <v>45</v>
      </c>
      <c r="Z923" t="s">
        <v>45</v>
      </c>
      <c r="AA923" t="s">
        <v>54</v>
      </c>
      <c r="AB923" t="s">
        <v>55</v>
      </c>
      <c r="AC923" t="s">
        <v>57</v>
      </c>
      <c r="AD923" t="s">
        <v>41</v>
      </c>
      <c r="AE923" t="s">
        <v>41</v>
      </c>
      <c r="AF923" t="s">
        <v>47</v>
      </c>
      <c r="AG923" t="s">
        <v>41</v>
      </c>
      <c r="AH923" t="s">
        <v>55</v>
      </c>
      <c r="AI923" t="s">
        <v>41</v>
      </c>
    </row>
    <row r="924" spans="1:35" x14ac:dyDescent="0.25">
      <c r="A924" t="s">
        <v>115</v>
      </c>
      <c r="B924" t="s">
        <v>59</v>
      </c>
      <c r="C924" t="s">
        <v>37</v>
      </c>
      <c r="D924" t="s">
        <v>1024</v>
      </c>
      <c r="E924" t="s">
        <v>62</v>
      </c>
      <c r="F924" t="s">
        <v>47</v>
      </c>
      <c r="G924" t="s">
        <v>41</v>
      </c>
      <c r="H924" t="s">
        <v>42</v>
      </c>
      <c r="I924" t="s">
        <v>40</v>
      </c>
      <c r="J924" t="s">
        <v>3010</v>
      </c>
      <c r="K924" t="s">
        <v>45</v>
      </c>
      <c r="L924" t="s">
        <v>63</v>
      </c>
      <c r="M924" t="s">
        <v>75</v>
      </c>
      <c r="N924" t="s">
        <v>47</v>
      </c>
      <c r="O924" t="s">
        <v>57</v>
      </c>
      <c r="P924" t="s">
        <v>169</v>
      </c>
      <c r="Q924" t="s">
        <v>40</v>
      </c>
      <c r="R924" t="s">
        <v>109</v>
      </c>
      <c r="S924" t="s">
        <v>3011</v>
      </c>
      <c r="T924" t="s">
        <v>3012</v>
      </c>
      <c r="U924" t="s">
        <v>40</v>
      </c>
      <c r="V924" t="s">
        <v>52</v>
      </c>
      <c r="W924" t="s">
        <v>59</v>
      </c>
      <c r="X924" t="s">
        <v>129</v>
      </c>
      <c r="Y924" t="s">
        <v>45</v>
      </c>
      <c r="Z924" t="s">
        <v>47</v>
      </c>
      <c r="AA924" t="s">
        <v>54</v>
      </c>
      <c r="AB924" t="s">
        <v>41</v>
      </c>
      <c r="AC924" t="s">
        <v>139</v>
      </c>
      <c r="AD924" t="s">
        <v>47</v>
      </c>
      <c r="AE924" t="s">
        <v>41</v>
      </c>
      <c r="AF924" t="s">
        <v>172</v>
      </c>
      <c r="AG924" t="s">
        <v>91</v>
      </c>
      <c r="AH924" t="s">
        <v>129</v>
      </c>
      <c r="AI924" t="s">
        <v>98</v>
      </c>
    </row>
    <row r="925" spans="1:35" x14ac:dyDescent="0.25">
      <c r="A925" t="s">
        <v>142</v>
      </c>
      <c r="B925" t="s">
        <v>59</v>
      </c>
      <c r="C925" t="s">
        <v>60</v>
      </c>
      <c r="D925" t="s">
        <v>1786</v>
      </c>
      <c r="E925" t="s">
        <v>397</v>
      </c>
      <c r="F925" t="s">
        <v>53</v>
      </c>
      <c r="G925" t="s">
        <v>45</v>
      </c>
      <c r="H925" t="s">
        <v>42</v>
      </c>
      <c r="I925" t="s">
        <v>40</v>
      </c>
      <c r="J925" t="s">
        <v>3013</v>
      </c>
      <c r="K925" t="s">
        <v>45</v>
      </c>
      <c r="L925" t="s">
        <v>63</v>
      </c>
      <c r="M925" t="s">
        <v>82</v>
      </c>
      <c r="N925" t="s">
        <v>41</v>
      </c>
      <c r="O925" t="s">
        <v>41</v>
      </c>
      <c r="P925" t="s">
        <v>397</v>
      </c>
      <c r="Q925" t="s">
        <v>41</v>
      </c>
      <c r="R925" t="s">
        <v>66</v>
      </c>
      <c r="S925" t="s">
        <v>3014</v>
      </c>
      <c r="T925" t="s">
        <v>3015</v>
      </c>
      <c r="U925" t="s">
        <v>47</v>
      </c>
      <c r="V925" t="s">
        <v>52</v>
      </c>
      <c r="W925" t="s">
        <v>59</v>
      </c>
      <c r="X925" t="s">
        <v>53</v>
      </c>
      <c r="Y925" t="s">
        <v>45</v>
      </c>
      <c r="Z925" t="s">
        <v>47</v>
      </c>
      <c r="AA925" t="s">
        <v>54</v>
      </c>
      <c r="AB925" t="s">
        <v>41</v>
      </c>
      <c r="AC925" t="s">
        <v>129</v>
      </c>
      <c r="AD925" t="s">
        <v>57</v>
      </c>
      <c r="AE925" t="s">
        <v>47</v>
      </c>
      <c r="AF925" t="s">
        <v>70</v>
      </c>
      <c r="AG925" t="s">
        <v>91</v>
      </c>
      <c r="AH925" t="s">
        <v>40</v>
      </c>
      <c r="AI925" t="s">
        <v>51</v>
      </c>
    </row>
    <row r="926" spans="1:35" x14ac:dyDescent="0.25">
      <c r="A926" t="s">
        <v>126</v>
      </c>
      <c r="B926" t="s">
        <v>59</v>
      </c>
      <c r="C926" t="s">
        <v>37</v>
      </c>
      <c r="D926" t="s">
        <v>3016</v>
      </c>
      <c r="E926" t="s">
        <v>62</v>
      </c>
      <c r="F926" t="s">
        <v>56</v>
      </c>
      <c r="G926" t="s">
        <v>40</v>
      </c>
      <c r="H926" t="s">
        <v>42</v>
      </c>
      <c r="I926" t="s">
        <v>40</v>
      </c>
      <c r="J926" t="s">
        <v>3017</v>
      </c>
      <c r="K926" t="s">
        <v>45</v>
      </c>
      <c r="L926" t="s">
        <v>63</v>
      </c>
      <c r="M926" t="s">
        <v>375</v>
      </c>
      <c r="N926" t="s">
        <v>45</v>
      </c>
      <c r="O926" t="s">
        <v>40</v>
      </c>
      <c r="P926" t="s">
        <v>65</v>
      </c>
      <c r="Q926" t="s">
        <v>45</v>
      </c>
      <c r="R926" t="s">
        <v>66</v>
      </c>
      <c r="S926" t="s">
        <v>3018</v>
      </c>
      <c r="T926" t="s">
        <v>3019</v>
      </c>
      <c r="U926" t="s">
        <v>55</v>
      </c>
      <c r="V926" t="s">
        <v>52</v>
      </c>
      <c r="W926" t="s">
        <v>36</v>
      </c>
      <c r="X926" t="s">
        <v>129</v>
      </c>
      <c r="Y926" t="s">
        <v>45</v>
      </c>
      <c r="Z926" t="s">
        <v>47</v>
      </c>
      <c r="AA926" t="s">
        <v>54</v>
      </c>
      <c r="AB926" t="s">
        <v>55</v>
      </c>
      <c r="AC926" t="s">
        <v>47</v>
      </c>
      <c r="AD926" t="s">
        <v>45</v>
      </c>
      <c r="AE926" t="s">
        <v>45</v>
      </c>
      <c r="AF926" t="s">
        <v>45</v>
      </c>
      <c r="AG926" t="s">
        <v>41</v>
      </c>
      <c r="AH926" t="s">
        <v>41</v>
      </c>
      <c r="AI926" t="s">
        <v>41</v>
      </c>
    </row>
    <row r="927" spans="1:35" x14ac:dyDescent="0.25">
      <c r="A927" t="s">
        <v>204</v>
      </c>
      <c r="B927" t="s">
        <v>59</v>
      </c>
      <c r="C927" t="s">
        <v>37</v>
      </c>
      <c r="D927" t="s">
        <v>2775</v>
      </c>
      <c r="E927" t="s">
        <v>62</v>
      </c>
      <c r="F927" t="s">
        <v>71</v>
      </c>
      <c r="G927" t="s">
        <v>47</v>
      </c>
      <c r="H927" t="s">
        <v>87</v>
      </c>
      <c r="I927" t="s">
        <v>40</v>
      </c>
      <c r="J927" t="s">
        <v>3020</v>
      </c>
      <c r="K927" t="s">
        <v>41</v>
      </c>
      <c r="L927" t="s">
        <v>43</v>
      </c>
      <c r="M927" t="s">
        <v>168</v>
      </c>
      <c r="N927" t="s">
        <v>47</v>
      </c>
      <c r="O927" t="s">
        <v>41</v>
      </c>
      <c r="P927" t="s">
        <v>65</v>
      </c>
      <c r="Q927" t="s">
        <v>41</v>
      </c>
      <c r="R927" t="s">
        <v>66</v>
      </c>
      <c r="S927" t="s">
        <v>3021</v>
      </c>
      <c r="T927" t="s">
        <v>3022</v>
      </c>
      <c r="U927" t="s">
        <v>56</v>
      </c>
      <c r="V927" t="s">
        <v>52</v>
      </c>
      <c r="W927" t="s">
        <v>36</v>
      </c>
      <c r="X927" t="s">
        <v>128</v>
      </c>
      <c r="Y927" t="s">
        <v>45</v>
      </c>
      <c r="Z927" t="s">
        <v>47</v>
      </c>
      <c r="AA927" t="s">
        <v>54</v>
      </c>
      <c r="AB927" t="s">
        <v>55</v>
      </c>
      <c r="AC927" t="s">
        <v>145</v>
      </c>
      <c r="AD927" t="s">
        <v>41</v>
      </c>
      <c r="AE927" t="s">
        <v>45</v>
      </c>
      <c r="AF927" t="s">
        <v>40</v>
      </c>
      <c r="AG927" t="s">
        <v>55</v>
      </c>
      <c r="AH927" t="s">
        <v>55</v>
      </c>
      <c r="AI927" t="s">
        <v>55</v>
      </c>
    </row>
    <row r="928" spans="1:35" x14ac:dyDescent="0.25">
      <c r="A928" t="s">
        <v>234</v>
      </c>
      <c r="B928" t="s">
        <v>59</v>
      </c>
      <c r="C928" t="s">
        <v>37</v>
      </c>
      <c r="D928" t="s">
        <v>1541</v>
      </c>
      <c r="E928" t="s">
        <v>39</v>
      </c>
      <c r="F928" t="s">
        <v>47</v>
      </c>
      <c r="G928" t="s">
        <v>47</v>
      </c>
      <c r="H928" t="s">
        <v>206</v>
      </c>
      <c r="I928" t="s">
        <v>40</v>
      </c>
      <c r="J928" t="s">
        <v>3023</v>
      </c>
      <c r="K928" t="s">
        <v>47</v>
      </c>
      <c r="L928" t="s">
        <v>43</v>
      </c>
      <c r="M928" t="s">
        <v>82</v>
      </c>
      <c r="N928" t="s">
        <v>41</v>
      </c>
      <c r="O928" t="s">
        <v>45</v>
      </c>
      <c r="P928" t="s">
        <v>46</v>
      </c>
      <c r="Q928" t="s">
        <v>47</v>
      </c>
      <c r="R928" t="s">
        <v>48</v>
      </c>
      <c r="S928" t="s">
        <v>3024</v>
      </c>
      <c r="T928" t="s">
        <v>1691</v>
      </c>
      <c r="U928" t="s">
        <v>45</v>
      </c>
      <c r="V928" t="s">
        <v>52</v>
      </c>
      <c r="W928" t="s">
        <v>59</v>
      </c>
      <c r="X928" t="s">
        <v>129</v>
      </c>
      <c r="Y928" t="s">
        <v>45</v>
      </c>
      <c r="Z928" t="s">
        <v>47</v>
      </c>
      <c r="AA928" t="s">
        <v>54</v>
      </c>
      <c r="AB928" t="s">
        <v>55</v>
      </c>
      <c r="AC928" t="s">
        <v>69</v>
      </c>
      <c r="AD928" t="s">
        <v>45</v>
      </c>
      <c r="AE928" t="s">
        <v>47</v>
      </c>
      <c r="AF928" t="s">
        <v>119</v>
      </c>
      <c r="AG928" t="s">
        <v>71</v>
      </c>
      <c r="AH928" t="s">
        <v>79</v>
      </c>
      <c r="AI928" t="s">
        <v>125</v>
      </c>
    </row>
    <row r="929" spans="1:35" x14ac:dyDescent="0.25">
      <c r="A929" t="s">
        <v>120</v>
      </c>
      <c r="B929" t="s">
        <v>59</v>
      </c>
      <c r="C929" t="s">
        <v>37</v>
      </c>
      <c r="D929" t="s">
        <v>1258</v>
      </c>
      <c r="E929" t="s">
        <v>62</v>
      </c>
      <c r="F929" t="s">
        <v>41</v>
      </c>
      <c r="G929" t="s">
        <v>47</v>
      </c>
      <c r="H929" t="s">
        <v>42</v>
      </c>
      <c r="I929" t="s">
        <v>40</v>
      </c>
      <c r="J929" t="s">
        <v>3025</v>
      </c>
      <c r="K929" t="s">
        <v>45</v>
      </c>
      <c r="L929" t="s">
        <v>43</v>
      </c>
      <c r="M929" t="s">
        <v>166</v>
      </c>
      <c r="N929" t="s">
        <v>45</v>
      </c>
      <c r="O929" t="s">
        <v>41</v>
      </c>
      <c r="P929" t="s">
        <v>116</v>
      </c>
      <c r="Q929" t="s">
        <v>41</v>
      </c>
      <c r="R929" t="s">
        <v>48</v>
      </c>
      <c r="S929" t="s">
        <v>3026</v>
      </c>
      <c r="T929" t="s">
        <v>707</v>
      </c>
      <c r="U929" t="s">
        <v>91</v>
      </c>
      <c r="V929" t="s">
        <v>52</v>
      </c>
      <c r="W929" t="s">
        <v>36</v>
      </c>
      <c r="X929" t="s">
        <v>53</v>
      </c>
      <c r="Y929" t="s">
        <v>45</v>
      </c>
      <c r="Z929" t="s">
        <v>47</v>
      </c>
      <c r="AA929" t="s">
        <v>54</v>
      </c>
      <c r="AB929" t="s">
        <v>55</v>
      </c>
      <c r="AC929" t="s">
        <v>145</v>
      </c>
      <c r="AD929" t="s">
        <v>41</v>
      </c>
      <c r="AE929" t="s">
        <v>45</v>
      </c>
      <c r="AF929" t="s">
        <v>128</v>
      </c>
      <c r="AG929" t="s">
        <v>129</v>
      </c>
      <c r="AH929" t="s">
        <v>57</v>
      </c>
      <c r="AI929" t="s">
        <v>92</v>
      </c>
    </row>
    <row r="930" spans="1:35" x14ac:dyDescent="0.25">
      <c r="A930" t="s">
        <v>115</v>
      </c>
      <c r="B930" t="s">
        <v>36</v>
      </c>
      <c r="C930" t="s">
        <v>37</v>
      </c>
      <c r="D930" t="s">
        <v>1735</v>
      </c>
      <c r="E930" t="s">
        <v>62</v>
      </c>
      <c r="F930" t="s">
        <v>79</v>
      </c>
      <c r="G930" t="s">
        <v>45</v>
      </c>
      <c r="H930" t="s">
        <v>87</v>
      </c>
      <c r="I930" t="s">
        <v>40</v>
      </c>
      <c r="J930" t="s">
        <v>3027</v>
      </c>
      <c r="K930" t="s">
        <v>40</v>
      </c>
      <c r="L930" t="s">
        <v>43</v>
      </c>
      <c r="M930" t="s">
        <v>279</v>
      </c>
      <c r="N930" t="s">
        <v>45</v>
      </c>
      <c r="O930" t="s">
        <v>45</v>
      </c>
      <c r="P930" t="s">
        <v>122</v>
      </c>
      <c r="Q930" t="s">
        <v>47</v>
      </c>
      <c r="R930" t="s">
        <v>66</v>
      </c>
      <c r="S930" t="s">
        <v>3028</v>
      </c>
      <c r="T930" t="s">
        <v>3029</v>
      </c>
      <c r="U930" t="s">
        <v>40</v>
      </c>
      <c r="V930" t="s">
        <v>52</v>
      </c>
      <c r="W930" t="s">
        <v>59</v>
      </c>
      <c r="X930" t="s">
        <v>53</v>
      </c>
      <c r="Y930" t="s">
        <v>45</v>
      </c>
      <c r="Z930" t="s">
        <v>47</v>
      </c>
      <c r="AA930" t="s">
        <v>54</v>
      </c>
      <c r="AB930" t="s">
        <v>40</v>
      </c>
      <c r="AC930" t="s">
        <v>70</v>
      </c>
      <c r="AD930" t="s">
        <v>41</v>
      </c>
      <c r="AE930" t="s">
        <v>45</v>
      </c>
      <c r="AF930" t="s">
        <v>70</v>
      </c>
      <c r="AG930" t="s">
        <v>71</v>
      </c>
      <c r="AH930" t="s">
        <v>55</v>
      </c>
      <c r="AI930" t="s">
        <v>57</v>
      </c>
    </row>
    <row r="931" spans="1:35" x14ac:dyDescent="0.25">
      <c r="A931" t="s">
        <v>149</v>
      </c>
      <c r="B931" t="s">
        <v>59</v>
      </c>
      <c r="C931" t="s">
        <v>60</v>
      </c>
      <c r="D931" t="s">
        <v>388</v>
      </c>
      <c r="E931" t="s">
        <v>62</v>
      </c>
      <c r="F931" t="s">
        <v>41</v>
      </c>
      <c r="G931" t="s">
        <v>45</v>
      </c>
      <c r="H931" t="s">
        <v>42</v>
      </c>
      <c r="I931" t="s">
        <v>40</v>
      </c>
      <c r="J931" t="s">
        <v>1360</v>
      </c>
      <c r="K931" t="s">
        <v>47</v>
      </c>
      <c r="L931" t="s">
        <v>63</v>
      </c>
      <c r="M931" t="s">
        <v>251</v>
      </c>
      <c r="N931" t="s">
        <v>41</v>
      </c>
      <c r="O931" t="s">
        <v>40</v>
      </c>
      <c r="P931" t="s">
        <v>76</v>
      </c>
      <c r="Q931" t="s">
        <v>47</v>
      </c>
      <c r="R931" t="s">
        <v>66</v>
      </c>
      <c r="S931" t="s">
        <v>3030</v>
      </c>
      <c r="T931" t="s">
        <v>3031</v>
      </c>
      <c r="U931" t="s">
        <v>40</v>
      </c>
      <c r="V931" t="s">
        <v>52</v>
      </c>
      <c r="W931" t="s">
        <v>36</v>
      </c>
      <c r="X931" t="s">
        <v>92</v>
      </c>
      <c r="Y931" t="s">
        <v>45</v>
      </c>
      <c r="Z931" t="s">
        <v>41</v>
      </c>
      <c r="AA931" t="s">
        <v>54</v>
      </c>
      <c r="AB931" t="s">
        <v>40</v>
      </c>
      <c r="AC931" t="s">
        <v>41</v>
      </c>
      <c r="AD931" t="s">
        <v>41</v>
      </c>
      <c r="AE931" t="s">
        <v>45</v>
      </c>
      <c r="AF931" t="s">
        <v>41</v>
      </c>
      <c r="AG931" t="s">
        <v>41</v>
      </c>
      <c r="AH931" t="s">
        <v>41</v>
      </c>
      <c r="AI931" t="s">
        <v>41</v>
      </c>
    </row>
    <row r="932" spans="1:35" x14ac:dyDescent="0.25">
      <c r="A932" t="s">
        <v>155</v>
      </c>
      <c r="B932" t="s">
        <v>59</v>
      </c>
      <c r="C932" t="s">
        <v>60</v>
      </c>
      <c r="D932" t="s">
        <v>3032</v>
      </c>
      <c r="E932" t="s">
        <v>62</v>
      </c>
      <c r="F932" t="s">
        <v>56</v>
      </c>
      <c r="G932" t="s">
        <v>41</v>
      </c>
      <c r="H932" t="s">
        <v>87</v>
      </c>
      <c r="I932" t="s">
        <v>40</v>
      </c>
      <c r="J932" t="s">
        <v>3033</v>
      </c>
      <c r="K932" t="s">
        <v>41</v>
      </c>
      <c r="L932" t="s">
        <v>43</v>
      </c>
      <c r="M932" t="s">
        <v>88</v>
      </c>
      <c r="N932" t="s">
        <v>41</v>
      </c>
      <c r="O932" t="s">
        <v>40</v>
      </c>
      <c r="P932" t="s">
        <v>76</v>
      </c>
      <c r="Q932" t="s">
        <v>45</v>
      </c>
      <c r="R932" t="s">
        <v>48</v>
      </c>
      <c r="S932" t="s">
        <v>3034</v>
      </c>
      <c r="T932" t="s">
        <v>760</v>
      </c>
      <c r="U932" t="s">
        <v>55</v>
      </c>
      <c r="V932" t="s">
        <v>52</v>
      </c>
      <c r="W932" t="s">
        <v>59</v>
      </c>
      <c r="X932" t="s">
        <v>129</v>
      </c>
      <c r="Y932" t="s">
        <v>45</v>
      </c>
      <c r="Z932" t="s">
        <v>41</v>
      </c>
      <c r="AA932" t="s">
        <v>54</v>
      </c>
      <c r="AB932" t="s">
        <v>55</v>
      </c>
      <c r="AC932" t="s">
        <v>51</v>
      </c>
      <c r="AD932" t="s">
        <v>56</v>
      </c>
      <c r="AE932" t="s">
        <v>41</v>
      </c>
      <c r="AF932" t="s">
        <v>71</v>
      </c>
      <c r="AG932" t="s">
        <v>55</v>
      </c>
      <c r="AH932" t="s">
        <v>71</v>
      </c>
      <c r="AI932" t="s">
        <v>71</v>
      </c>
    </row>
    <row r="933" spans="1:35" x14ac:dyDescent="0.25">
      <c r="A933" t="s">
        <v>105</v>
      </c>
      <c r="B933" t="s">
        <v>59</v>
      </c>
      <c r="C933" t="s">
        <v>161</v>
      </c>
      <c r="D933" t="s">
        <v>2238</v>
      </c>
      <c r="E933" t="s">
        <v>62</v>
      </c>
      <c r="F933" t="s">
        <v>91</v>
      </c>
      <c r="G933" t="s">
        <v>41</v>
      </c>
      <c r="H933" t="s">
        <v>87</v>
      </c>
      <c r="I933" t="s">
        <v>40</v>
      </c>
      <c r="J933" t="s">
        <v>3035</v>
      </c>
      <c r="K933" t="s">
        <v>45</v>
      </c>
      <c r="L933" t="s">
        <v>43</v>
      </c>
      <c r="M933" t="s">
        <v>201</v>
      </c>
      <c r="N933" t="s">
        <v>45</v>
      </c>
      <c r="O933" t="s">
        <v>41</v>
      </c>
      <c r="P933" t="s">
        <v>116</v>
      </c>
      <c r="Q933" t="s">
        <v>45</v>
      </c>
      <c r="R933" t="s">
        <v>48</v>
      </c>
      <c r="S933" t="s">
        <v>3036</v>
      </c>
      <c r="T933" t="s">
        <v>2898</v>
      </c>
      <c r="U933" t="s">
        <v>71</v>
      </c>
      <c r="V933" t="s">
        <v>52</v>
      </c>
      <c r="W933" t="s">
        <v>36</v>
      </c>
      <c r="X933" t="s">
        <v>145</v>
      </c>
      <c r="Y933" t="s">
        <v>45</v>
      </c>
      <c r="Z933" t="s">
        <v>45</v>
      </c>
      <c r="AA933" t="s">
        <v>54</v>
      </c>
      <c r="AB933" t="s">
        <v>55</v>
      </c>
      <c r="AC933" t="s">
        <v>70</v>
      </c>
      <c r="AD933" t="s">
        <v>45</v>
      </c>
      <c r="AE933" t="s">
        <v>45</v>
      </c>
      <c r="AF933" t="s">
        <v>51</v>
      </c>
      <c r="AG933" t="s">
        <v>47</v>
      </c>
      <c r="AH933" t="s">
        <v>40</v>
      </c>
      <c r="AI933" t="s">
        <v>71</v>
      </c>
    </row>
    <row r="934" spans="1:35" x14ac:dyDescent="0.25">
      <c r="A934" t="s">
        <v>133</v>
      </c>
      <c r="B934" t="s">
        <v>36</v>
      </c>
      <c r="C934" t="s">
        <v>37</v>
      </c>
      <c r="D934" t="s">
        <v>1898</v>
      </c>
      <c r="E934" t="s">
        <v>62</v>
      </c>
      <c r="F934" t="s">
        <v>71</v>
      </c>
      <c r="G934" t="s">
        <v>45</v>
      </c>
      <c r="H934" t="s">
        <v>228</v>
      </c>
      <c r="I934" t="s">
        <v>40</v>
      </c>
      <c r="J934" t="s">
        <v>121</v>
      </c>
      <c r="K934" t="s">
        <v>41</v>
      </c>
      <c r="L934" t="s">
        <v>43</v>
      </c>
      <c r="M934" t="s">
        <v>218</v>
      </c>
      <c r="N934" t="s">
        <v>45</v>
      </c>
      <c r="O934" t="s">
        <v>40</v>
      </c>
      <c r="P934" t="s">
        <v>76</v>
      </c>
      <c r="Q934" t="s">
        <v>45</v>
      </c>
      <c r="R934" t="s">
        <v>109</v>
      </c>
      <c r="S934" t="s">
        <v>2355</v>
      </c>
      <c r="T934" t="s">
        <v>3037</v>
      </c>
      <c r="U934" t="s">
        <v>45</v>
      </c>
      <c r="V934" t="s">
        <v>52</v>
      </c>
      <c r="W934" t="s">
        <v>36</v>
      </c>
      <c r="X934" t="s">
        <v>98</v>
      </c>
      <c r="Y934" t="s">
        <v>45</v>
      </c>
      <c r="Z934" t="s">
        <v>40</v>
      </c>
      <c r="AA934" t="s">
        <v>54</v>
      </c>
      <c r="AB934" t="s">
        <v>41</v>
      </c>
      <c r="AC934" t="s">
        <v>70</v>
      </c>
      <c r="AD934" t="s">
        <v>41</v>
      </c>
      <c r="AE934" t="s">
        <v>45</v>
      </c>
      <c r="AF934" t="s">
        <v>71</v>
      </c>
      <c r="AG934" t="s">
        <v>71</v>
      </c>
      <c r="AH934" t="s">
        <v>71</v>
      </c>
      <c r="AI934" t="s">
        <v>71</v>
      </c>
    </row>
    <row r="935" spans="1:35" x14ac:dyDescent="0.25">
      <c r="A935" t="s">
        <v>149</v>
      </c>
      <c r="B935" t="s">
        <v>59</v>
      </c>
      <c r="C935" t="s">
        <v>37</v>
      </c>
      <c r="D935" t="s">
        <v>3038</v>
      </c>
      <c r="E935" t="s">
        <v>62</v>
      </c>
      <c r="F935" t="s">
        <v>40</v>
      </c>
      <c r="G935" t="s">
        <v>45</v>
      </c>
      <c r="H935" t="s">
        <v>228</v>
      </c>
      <c r="I935" t="s">
        <v>40</v>
      </c>
      <c r="J935" t="s">
        <v>3039</v>
      </c>
      <c r="K935" t="s">
        <v>47</v>
      </c>
      <c r="L935" t="s">
        <v>63</v>
      </c>
      <c r="M935" t="s">
        <v>130</v>
      </c>
      <c r="N935" t="s">
        <v>45</v>
      </c>
      <c r="O935" t="s">
        <v>40</v>
      </c>
      <c r="P935" t="s">
        <v>65</v>
      </c>
      <c r="Q935" t="s">
        <v>40</v>
      </c>
      <c r="R935" t="s">
        <v>48</v>
      </c>
      <c r="S935" t="s">
        <v>3040</v>
      </c>
      <c r="T935" t="s">
        <v>3041</v>
      </c>
      <c r="U935" t="s">
        <v>41</v>
      </c>
      <c r="V935" t="s">
        <v>52</v>
      </c>
      <c r="W935" t="s">
        <v>59</v>
      </c>
      <c r="X935" t="s">
        <v>53</v>
      </c>
      <c r="Y935" t="s">
        <v>45</v>
      </c>
      <c r="Z935" t="s">
        <v>41</v>
      </c>
      <c r="AA935" t="s">
        <v>54</v>
      </c>
      <c r="AB935" t="s">
        <v>55</v>
      </c>
      <c r="AC935" t="s">
        <v>57</v>
      </c>
      <c r="AD935" t="s">
        <v>41</v>
      </c>
      <c r="AE935" t="s">
        <v>41</v>
      </c>
      <c r="AF935" t="s">
        <v>45</v>
      </c>
      <c r="AG935" t="s">
        <v>41</v>
      </c>
      <c r="AH935" t="s">
        <v>40</v>
      </c>
      <c r="AI935" t="s">
        <v>41</v>
      </c>
    </row>
    <row r="936" spans="1:35" x14ac:dyDescent="0.25">
      <c r="A936" t="s">
        <v>172</v>
      </c>
      <c r="B936" t="s">
        <v>59</v>
      </c>
      <c r="C936" t="s">
        <v>37</v>
      </c>
      <c r="D936" t="s">
        <v>2568</v>
      </c>
      <c r="E936" t="s">
        <v>62</v>
      </c>
      <c r="F936" t="s">
        <v>40</v>
      </c>
      <c r="G936" t="s">
        <v>45</v>
      </c>
      <c r="H936" t="s">
        <v>87</v>
      </c>
      <c r="I936" t="s">
        <v>40</v>
      </c>
      <c r="J936" t="s">
        <v>1636</v>
      </c>
      <c r="K936" t="s">
        <v>47</v>
      </c>
      <c r="L936" t="s">
        <v>43</v>
      </c>
      <c r="M936" t="s">
        <v>88</v>
      </c>
      <c r="N936" t="s">
        <v>45</v>
      </c>
      <c r="O936" t="s">
        <v>40</v>
      </c>
      <c r="P936" t="s">
        <v>65</v>
      </c>
      <c r="Q936" t="s">
        <v>41</v>
      </c>
      <c r="R936" t="s">
        <v>48</v>
      </c>
      <c r="S936" t="s">
        <v>1781</v>
      </c>
      <c r="T936" t="s">
        <v>3042</v>
      </c>
      <c r="U936" t="s">
        <v>40</v>
      </c>
      <c r="V936" t="s">
        <v>52</v>
      </c>
      <c r="W936" t="s">
        <v>59</v>
      </c>
      <c r="X936" t="s">
        <v>145</v>
      </c>
      <c r="Y936" t="s">
        <v>45</v>
      </c>
      <c r="Z936" t="s">
        <v>47</v>
      </c>
      <c r="AA936" t="s">
        <v>54</v>
      </c>
      <c r="AB936" t="s">
        <v>55</v>
      </c>
      <c r="AC936" t="s">
        <v>41</v>
      </c>
      <c r="AD936" t="s">
        <v>45</v>
      </c>
      <c r="AE936" t="s">
        <v>41</v>
      </c>
      <c r="AF936" t="s">
        <v>41</v>
      </c>
      <c r="AG936" t="s">
        <v>41</v>
      </c>
      <c r="AH936" t="s">
        <v>41</v>
      </c>
      <c r="AI936" t="s">
        <v>40</v>
      </c>
    </row>
    <row r="937" spans="1:35" x14ac:dyDescent="0.25">
      <c r="A937" t="s">
        <v>93</v>
      </c>
      <c r="B937" t="s">
        <v>59</v>
      </c>
      <c r="C937" t="s">
        <v>37</v>
      </c>
      <c r="D937" t="s">
        <v>1696</v>
      </c>
      <c r="E937" t="s">
        <v>39</v>
      </c>
      <c r="F937" t="s">
        <v>51</v>
      </c>
      <c r="G937" t="s">
        <v>45</v>
      </c>
      <c r="H937" t="s">
        <v>87</v>
      </c>
      <c r="I937" t="s">
        <v>40</v>
      </c>
      <c r="J937" t="s">
        <v>3043</v>
      </c>
      <c r="K937" t="s">
        <v>45</v>
      </c>
      <c r="L937" t="s">
        <v>63</v>
      </c>
      <c r="M937" t="s">
        <v>82</v>
      </c>
      <c r="N937" t="s">
        <v>47</v>
      </c>
      <c r="O937" t="s">
        <v>41</v>
      </c>
      <c r="P937" t="s">
        <v>46</v>
      </c>
      <c r="Q937" t="s">
        <v>47</v>
      </c>
      <c r="R937" t="s">
        <v>66</v>
      </c>
      <c r="S937" t="s">
        <v>3044</v>
      </c>
      <c r="T937" t="s">
        <v>3045</v>
      </c>
      <c r="U937" t="s">
        <v>40</v>
      </c>
      <c r="V937" t="s">
        <v>52</v>
      </c>
      <c r="W937" t="s">
        <v>59</v>
      </c>
      <c r="X937" t="s">
        <v>79</v>
      </c>
      <c r="Y937" t="s">
        <v>45</v>
      </c>
      <c r="Z937" t="s">
        <v>45</v>
      </c>
      <c r="AA937" t="s">
        <v>54</v>
      </c>
      <c r="AB937" t="s">
        <v>41</v>
      </c>
      <c r="AC937" t="s">
        <v>70</v>
      </c>
      <c r="AD937" t="s">
        <v>47</v>
      </c>
      <c r="AE937" t="s">
        <v>47</v>
      </c>
      <c r="AF937" t="s">
        <v>70</v>
      </c>
      <c r="AG937" t="s">
        <v>71</v>
      </c>
      <c r="AH937" t="s">
        <v>55</v>
      </c>
      <c r="AI937" t="s">
        <v>51</v>
      </c>
    </row>
    <row r="938" spans="1:35" x14ac:dyDescent="0.25">
      <c r="A938" t="s">
        <v>174</v>
      </c>
      <c r="B938" t="s">
        <v>59</v>
      </c>
      <c r="C938" t="s">
        <v>60</v>
      </c>
      <c r="D938" t="s">
        <v>637</v>
      </c>
      <c r="E938" t="s">
        <v>62</v>
      </c>
      <c r="F938" t="s">
        <v>172</v>
      </c>
      <c r="G938" t="s">
        <v>45</v>
      </c>
      <c r="H938" t="s">
        <v>87</v>
      </c>
      <c r="I938" t="s">
        <v>40</v>
      </c>
      <c r="J938" t="s">
        <v>1717</v>
      </c>
      <c r="K938" t="s">
        <v>41</v>
      </c>
      <c r="L938" t="s">
        <v>43</v>
      </c>
      <c r="M938" t="s">
        <v>193</v>
      </c>
      <c r="N938" t="s">
        <v>45</v>
      </c>
      <c r="O938" t="s">
        <v>57</v>
      </c>
      <c r="P938" t="s">
        <v>169</v>
      </c>
      <c r="Q938" t="s">
        <v>41</v>
      </c>
      <c r="R938" t="s">
        <v>48</v>
      </c>
      <c r="S938" t="s">
        <v>3046</v>
      </c>
      <c r="T938" t="s">
        <v>3047</v>
      </c>
      <c r="U938" t="s">
        <v>45</v>
      </c>
      <c r="V938" t="s">
        <v>52</v>
      </c>
      <c r="W938" t="s">
        <v>59</v>
      </c>
      <c r="X938" t="s">
        <v>112</v>
      </c>
      <c r="Y938" t="s">
        <v>47</v>
      </c>
      <c r="Z938" t="s">
        <v>45</v>
      </c>
      <c r="AA938" t="s">
        <v>54</v>
      </c>
      <c r="AB938" t="s">
        <v>55</v>
      </c>
      <c r="AC938" t="s">
        <v>112</v>
      </c>
      <c r="AD938" t="s">
        <v>47</v>
      </c>
      <c r="AE938" t="s">
        <v>45</v>
      </c>
      <c r="AF938" t="s">
        <v>55</v>
      </c>
      <c r="AG938" t="s">
        <v>55</v>
      </c>
      <c r="AH938" t="s">
        <v>55</v>
      </c>
      <c r="AI938" t="s">
        <v>55</v>
      </c>
    </row>
    <row r="939" spans="1:35" x14ac:dyDescent="0.25">
      <c r="A939" t="s">
        <v>218</v>
      </c>
      <c r="B939" t="s">
        <v>59</v>
      </c>
      <c r="C939" t="s">
        <v>37</v>
      </c>
      <c r="D939" t="s">
        <v>1217</v>
      </c>
      <c r="E939" t="s">
        <v>62</v>
      </c>
      <c r="F939" t="s">
        <v>98</v>
      </c>
      <c r="G939" t="s">
        <v>47</v>
      </c>
      <c r="H939" t="s">
        <v>87</v>
      </c>
      <c r="I939" t="s">
        <v>40</v>
      </c>
      <c r="J939" t="s">
        <v>3048</v>
      </c>
      <c r="K939" t="s">
        <v>45</v>
      </c>
      <c r="L939" t="s">
        <v>43</v>
      </c>
      <c r="M939" t="s">
        <v>44</v>
      </c>
      <c r="N939" t="s">
        <v>41</v>
      </c>
      <c r="O939" t="s">
        <v>47</v>
      </c>
      <c r="P939" t="s">
        <v>169</v>
      </c>
      <c r="Q939" t="s">
        <v>41</v>
      </c>
      <c r="R939" t="s">
        <v>109</v>
      </c>
      <c r="S939" t="s">
        <v>3049</v>
      </c>
      <c r="T939" t="s">
        <v>3050</v>
      </c>
      <c r="U939" t="s">
        <v>56</v>
      </c>
      <c r="V939" t="s">
        <v>52</v>
      </c>
      <c r="W939" t="s">
        <v>36</v>
      </c>
      <c r="X939" t="s">
        <v>98</v>
      </c>
      <c r="Y939" t="s">
        <v>45</v>
      </c>
      <c r="Z939" t="s">
        <v>47</v>
      </c>
      <c r="AA939" t="s">
        <v>54</v>
      </c>
      <c r="AB939" t="s">
        <v>41</v>
      </c>
      <c r="AC939" t="s">
        <v>119</v>
      </c>
      <c r="AD939" t="s">
        <v>47</v>
      </c>
      <c r="AE939" t="s">
        <v>45</v>
      </c>
      <c r="AF939" t="s">
        <v>144</v>
      </c>
      <c r="AG939" t="s">
        <v>91</v>
      </c>
      <c r="AH939" t="s">
        <v>79</v>
      </c>
      <c r="AI939" t="s">
        <v>41</v>
      </c>
    </row>
    <row r="940" spans="1:35" x14ac:dyDescent="0.25">
      <c r="A940" t="s">
        <v>197</v>
      </c>
      <c r="B940" t="s">
        <v>59</v>
      </c>
      <c r="C940" t="s">
        <v>37</v>
      </c>
      <c r="D940" t="s">
        <v>2180</v>
      </c>
      <c r="E940" t="s">
        <v>62</v>
      </c>
      <c r="F940" t="s">
        <v>69</v>
      </c>
      <c r="G940" t="s">
        <v>47</v>
      </c>
      <c r="H940" t="s">
        <v>42</v>
      </c>
      <c r="I940" t="s">
        <v>40</v>
      </c>
      <c r="J940" t="s">
        <v>2733</v>
      </c>
      <c r="K940" t="s">
        <v>40</v>
      </c>
      <c r="L940" t="s">
        <v>63</v>
      </c>
      <c r="M940" t="s">
        <v>356</v>
      </c>
      <c r="N940" t="s">
        <v>45</v>
      </c>
      <c r="O940" t="s">
        <v>40</v>
      </c>
      <c r="P940" t="s">
        <v>65</v>
      </c>
      <c r="Q940" t="s">
        <v>45</v>
      </c>
      <c r="R940" t="s">
        <v>109</v>
      </c>
      <c r="S940" t="s">
        <v>3021</v>
      </c>
      <c r="T940" t="s">
        <v>3051</v>
      </c>
      <c r="U940" t="s">
        <v>40</v>
      </c>
      <c r="V940" t="s">
        <v>52</v>
      </c>
      <c r="W940" t="s">
        <v>59</v>
      </c>
      <c r="X940" t="s">
        <v>92</v>
      </c>
      <c r="Y940" t="s">
        <v>45</v>
      </c>
      <c r="Z940" t="s">
        <v>47</v>
      </c>
      <c r="AA940" t="s">
        <v>54</v>
      </c>
      <c r="AB940" t="s">
        <v>41</v>
      </c>
      <c r="AC940" t="s">
        <v>41</v>
      </c>
      <c r="AD940" t="s">
        <v>45</v>
      </c>
      <c r="AE940" t="s">
        <v>45</v>
      </c>
      <c r="AF940" t="s">
        <v>41</v>
      </c>
      <c r="AG940" t="s">
        <v>41</v>
      </c>
      <c r="AH940" t="s">
        <v>41</v>
      </c>
      <c r="AI940" t="s">
        <v>41</v>
      </c>
    </row>
    <row r="941" spans="1:35" x14ac:dyDescent="0.25">
      <c r="A941" t="s">
        <v>93</v>
      </c>
      <c r="B941" t="s">
        <v>36</v>
      </c>
      <c r="C941" t="s">
        <v>37</v>
      </c>
      <c r="D941" t="s">
        <v>2592</v>
      </c>
      <c r="E941" t="s">
        <v>62</v>
      </c>
      <c r="F941" t="s">
        <v>71</v>
      </c>
      <c r="G941" t="s">
        <v>41</v>
      </c>
      <c r="H941" t="s">
        <v>42</v>
      </c>
      <c r="I941" t="s">
        <v>40</v>
      </c>
      <c r="J941" t="s">
        <v>1363</v>
      </c>
      <c r="K941" t="s">
        <v>47</v>
      </c>
      <c r="L941" t="s">
        <v>63</v>
      </c>
      <c r="M941" t="s">
        <v>95</v>
      </c>
      <c r="N941" t="s">
        <v>45</v>
      </c>
      <c r="O941" t="s">
        <v>41</v>
      </c>
      <c r="P941" t="s">
        <v>76</v>
      </c>
      <c r="Q941" t="s">
        <v>45</v>
      </c>
      <c r="R941" t="s">
        <v>66</v>
      </c>
      <c r="S941" t="s">
        <v>3052</v>
      </c>
      <c r="T941" t="s">
        <v>3053</v>
      </c>
      <c r="U941" t="s">
        <v>40</v>
      </c>
      <c r="V941" t="s">
        <v>52</v>
      </c>
      <c r="W941" t="s">
        <v>59</v>
      </c>
      <c r="X941" t="s">
        <v>145</v>
      </c>
      <c r="Y941" t="s">
        <v>45</v>
      </c>
      <c r="Z941" t="s">
        <v>40</v>
      </c>
      <c r="AA941" t="s">
        <v>54</v>
      </c>
      <c r="AB941" t="s">
        <v>40</v>
      </c>
      <c r="AC941" t="s">
        <v>70</v>
      </c>
      <c r="AD941" t="s">
        <v>45</v>
      </c>
      <c r="AE941" t="s">
        <v>45</v>
      </c>
      <c r="AF941" t="s">
        <v>70</v>
      </c>
      <c r="AG941" t="s">
        <v>47</v>
      </c>
      <c r="AH941" t="s">
        <v>40</v>
      </c>
      <c r="AI941" t="s">
        <v>40</v>
      </c>
    </row>
    <row r="942" spans="1:35" x14ac:dyDescent="0.25">
      <c r="A942" t="s">
        <v>218</v>
      </c>
      <c r="B942" t="s">
        <v>36</v>
      </c>
      <c r="C942" t="s">
        <v>37</v>
      </c>
      <c r="D942" t="s">
        <v>3054</v>
      </c>
      <c r="E942" t="s">
        <v>62</v>
      </c>
      <c r="F942" t="s">
        <v>69</v>
      </c>
      <c r="G942" t="s">
        <v>45</v>
      </c>
      <c r="H942" t="s">
        <v>87</v>
      </c>
      <c r="I942" t="s">
        <v>40</v>
      </c>
      <c r="J942" t="s">
        <v>3055</v>
      </c>
      <c r="K942" t="s">
        <v>45</v>
      </c>
      <c r="L942" t="s">
        <v>63</v>
      </c>
      <c r="M942" t="s">
        <v>146</v>
      </c>
      <c r="N942" t="s">
        <v>45</v>
      </c>
      <c r="O942" t="s">
        <v>40</v>
      </c>
      <c r="P942" t="s">
        <v>65</v>
      </c>
      <c r="Q942" t="s">
        <v>40</v>
      </c>
      <c r="R942" t="s">
        <v>48</v>
      </c>
      <c r="S942" t="s">
        <v>3056</v>
      </c>
      <c r="T942" t="s">
        <v>3057</v>
      </c>
      <c r="U942" t="s">
        <v>55</v>
      </c>
      <c r="V942" t="s">
        <v>52</v>
      </c>
      <c r="W942" t="s">
        <v>59</v>
      </c>
      <c r="X942" t="s">
        <v>98</v>
      </c>
      <c r="Y942" t="s">
        <v>45</v>
      </c>
      <c r="Z942" t="s">
        <v>40</v>
      </c>
      <c r="AA942" t="s">
        <v>54</v>
      </c>
      <c r="AB942" t="s">
        <v>55</v>
      </c>
      <c r="AC942" t="s">
        <v>56</v>
      </c>
      <c r="AD942" t="s">
        <v>41</v>
      </c>
      <c r="AE942" t="s">
        <v>45</v>
      </c>
      <c r="AF942" t="s">
        <v>57</v>
      </c>
      <c r="AG942" t="s">
        <v>41</v>
      </c>
      <c r="AH942" t="s">
        <v>55</v>
      </c>
      <c r="AI942" t="s">
        <v>45</v>
      </c>
    </row>
    <row r="943" spans="1:35" x14ac:dyDescent="0.25">
      <c r="A943" t="s">
        <v>105</v>
      </c>
      <c r="B943" t="s">
        <v>59</v>
      </c>
      <c r="C943" t="s">
        <v>37</v>
      </c>
      <c r="D943" t="s">
        <v>2752</v>
      </c>
      <c r="E943" t="s">
        <v>62</v>
      </c>
      <c r="F943" t="s">
        <v>56</v>
      </c>
      <c r="G943" t="s">
        <v>45</v>
      </c>
      <c r="H943" t="s">
        <v>228</v>
      </c>
      <c r="I943" t="s">
        <v>40</v>
      </c>
      <c r="J943" t="s">
        <v>1064</v>
      </c>
      <c r="K943" t="s">
        <v>40</v>
      </c>
      <c r="L943" t="s">
        <v>43</v>
      </c>
      <c r="M943" t="s">
        <v>207</v>
      </c>
      <c r="N943" t="s">
        <v>41</v>
      </c>
      <c r="O943" t="s">
        <v>41</v>
      </c>
      <c r="P943" t="s">
        <v>76</v>
      </c>
      <c r="Q943" t="s">
        <v>47</v>
      </c>
      <c r="R943" t="s">
        <v>66</v>
      </c>
      <c r="S943" t="s">
        <v>3058</v>
      </c>
      <c r="T943" t="s">
        <v>3059</v>
      </c>
      <c r="U943" t="s">
        <v>55</v>
      </c>
      <c r="V943" t="s">
        <v>52</v>
      </c>
      <c r="W943" t="s">
        <v>59</v>
      </c>
      <c r="X943" t="s">
        <v>92</v>
      </c>
      <c r="Y943" t="s">
        <v>45</v>
      </c>
      <c r="Z943" t="s">
        <v>40</v>
      </c>
      <c r="AA943" t="s">
        <v>54</v>
      </c>
      <c r="AB943" t="s">
        <v>40</v>
      </c>
      <c r="AC943" t="s">
        <v>70</v>
      </c>
      <c r="AD943" t="s">
        <v>56</v>
      </c>
      <c r="AE943" t="s">
        <v>45</v>
      </c>
      <c r="AF943" t="s">
        <v>91</v>
      </c>
      <c r="AG943" t="s">
        <v>41</v>
      </c>
      <c r="AH943" t="s">
        <v>56</v>
      </c>
      <c r="AI943" t="s">
        <v>71</v>
      </c>
    </row>
    <row r="944" spans="1:35" x14ac:dyDescent="0.25">
      <c r="A944" t="s">
        <v>120</v>
      </c>
      <c r="B944" t="s">
        <v>59</v>
      </c>
      <c r="C944" t="s">
        <v>37</v>
      </c>
      <c r="D944" t="s">
        <v>973</v>
      </c>
      <c r="E944" t="s">
        <v>62</v>
      </c>
      <c r="F944" t="s">
        <v>70</v>
      </c>
      <c r="G944" t="s">
        <v>47</v>
      </c>
      <c r="H944" t="s">
        <v>228</v>
      </c>
      <c r="I944" t="s">
        <v>40</v>
      </c>
      <c r="J944" t="s">
        <v>553</v>
      </c>
      <c r="K944" t="s">
        <v>47</v>
      </c>
      <c r="L944" t="s">
        <v>43</v>
      </c>
      <c r="M944" t="s">
        <v>288</v>
      </c>
      <c r="N944" t="s">
        <v>45</v>
      </c>
      <c r="O944" t="s">
        <v>45</v>
      </c>
      <c r="P944" t="s">
        <v>122</v>
      </c>
      <c r="Q944" t="s">
        <v>45</v>
      </c>
      <c r="R944" t="s">
        <v>66</v>
      </c>
      <c r="S944" t="s">
        <v>3060</v>
      </c>
      <c r="T944" t="s">
        <v>3061</v>
      </c>
      <c r="U944" t="s">
        <v>45</v>
      </c>
      <c r="V944" t="s">
        <v>52</v>
      </c>
      <c r="W944" t="s">
        <v>59</v>
      </c>
      <c r="X944" t="s">
        <v>92</v>
      </c>
      <c r="Y944" t="s">
        <v>45</v>
      </c>
      <c r="Z944" t="s">
        <v>40</v>
      </c>
      <c r="AA944" t="s">
        <v>54</v>
      </c>
      <c r="AB944" t="s">
        <v>55</v>
      </c>
      <c r="AC944" t="s">
        <v>70</v>
      </c>
      <c r="AD944" t="s">
        <v>55</v>
      </c>
      <c r="AE944" t="s">
        <v>45</v>
      </c>
      <c r="AF944" t="s">
        <v>71</v>
      </c>
      <c r="AG944" t="s">
        <v>71</v>
      </c>
      <c r="AH944" t="s">
        <v>40</v>
      </c>
      <c r="AI944" t="s">
        <v>71</v>
      </c>
    </row>
    <row r="945" spans="1:35" x14ac:dyDescent="0.25">
      <c r="A945" t="s">
        <v>213</v>
      </c>
      <c r="B945" t="s">
        <v>59</v>
      </c>
      <c r="C945" t="s">
        <v>37</v>
      </c>
      <c r="D945" t="s">
        <v>1858</v>
      </c>
      <c r="E945" t="s">
        <v>397</v>
      </c>
      <c r="F945" t="s">
        <v>40</v>
      </c>
      <c r="G945" t="s">
        <v>41</v>
      </c>
      <c r="H945" t="s">
        <v>42</v>
      </c>
      <c r="I945" t="s">
        <v>40</v>
      </c>
      <c r="J945" t="s">
        <v>3062</v>
      </c>
      <c r="K945" t="s">
        <v>47</v>
      </c>
      <c r="L945" t="s">
        <v>43</v>
      </c>
      <c r="M945" t="s">
        <v>115</v>
      </c>
      <c r="N945" t="s">
        <v>45</v>
      </c>
      <c r="O945" t="s">
        <v>40</v>
      </c>
      <c r="P945" t="s">
        <v>397</v>
      </c>
      <c r="Q945" t="s">
        <v>40</v>
      </c>
      <c r="R945" t="s">
        <v>48</v>
      </c>
      <c r="S945" t="s">
        <v>2970</v>
      </c>
      <c r="T945" t="s">
        <v>3063</v>
      </c>
      <c r="U945" t="s">
        <v>56</v>
      </c>
      <c r="V945" t="s">
        <v>52</v>
      </c>
      <c r="W945" t="s">
        <v>59</v>
      </c>
      <c r="X945" t="s">
        <v>92</v>
      </c>
      <c r="Y945" t="s">
        <v>45</v>
      </c>
      <c r="Z945" t="s">
        <v>45</v>
      </c>
      <c r="AA945" t="s">
        <v>54</v>
      </c>
      <c r="AB945" t="s">
        <v>55</v>
      </c>
      <c r="AC945" t="s">
        <v>70</v>
      </c>
      <c r="AD945" t="s">
        <v>45</v>
      </c>
      <c r="AE945" t="s">
        <v>47</v>
      </c>
      <c r="AF945" t="s">
        <v>71</v>
      </c>
      <c r="AG945" t="s">
        <v>56</v>
      </c>
      <c r="AH945" t="s">
        <v>57</v>
      </c>
      <c r="AI945" t="s">
        <v>71</v>
      </c>
    </row>
    <row r="946" spans="1:35" x14ac:dyDescent="0.25">
      <c r="A946" t="s">
        <v>149</v>
      </c>
      <c r="B946" t="s">
        <v>59</v>
      </c>
      <c r="C946" t="s">
        <v>161</v>
      </c>
      <c r="D946" t="s">
        <v>1216</v>
      </c>
      <c r="E946" t="s">
        <v>62</v>
      </c>
      <c r="F946" t="s">
        <v>40</v>
      </c>
      <c r="G946" t="s">
        <v>45</v>
      </c>
      <c r="H946" t="s">
        <v>42</v>
      </c>
      <c r="I946" t="s">
        <v>40</v>
      </c>
      <c r="J946" t="s">
        <v>1123</v>
      </c>
      <c r="K946" t="s">
        <v>45</v>
      </c>
      <c r="L946" t="s">
        <v>43</v>
      </c>
      <c r="M946" t="s">
        <v>263</v>
      </c>
      <c r="N946" t="s">
        <v>40</v>
      </c>
      <c r="O946" t="s">
        <v>41</v>
      </c>
      <c r="P946" t="s">
        <v>76</v>
      </c>
      <c r="Q946" t="s">
        <v>47</v>
      </c>
      <c r="R946" t="s">
        <v>66</v>
      </c>
      <c r="S946" t="s">
        <v>3064</v>
      </c>
      <c r="T946" t="s">
        <v>3065</v>
      </c>
      <c r="U946" t="s">
        <v>55</v>
      </c>
      <c r="V946" t="s">
        <v>52</v>
      </c>
      <c r="W946" t="s">
        <v>59</v>
      </c>
      <c r="X946" t="s">
        <v>53</v>
      </c>
      <c r="Y946" t="s">
        <v>45</v>
      </c>
      <c r="Z946" t="s">
        <v>40</v>
      </c>
      <c r="AA946" t="s">
        <v>54</v>
      </c>
      <c r="AB946" t="s">
        <v>45</v>
      </c>
      <c r="AC946" t="s">
        <v>70</v>
      </c>
      <c r="AD946" t="s">
        <v>56</v>
      </c>
      <c r="AE946" t="s">
        <v>45</v>
      </c>
      <c r="AF946" t="s">
        <v>91</v>
      </c>
      <c r="AG946" t="s">
        <v>51</v>
      </c>
      <c r="AH946" t="s">
        <v>71</v>
      </c>
      <c r="AI946" t="s">
        <v>57</v>
      </c>
    </row>
    <row r="947" spans="1:35" x14ac:dyDescent="0.25">
      <c r="A947" t="s">
        <v>151</v>
      </c>
      <c r="B947" t="s">
        <v>59</v>
      </c>
      <c r="C947" t="s">
        <v>37</v>
      </c>
      <c r="D947" t="s">
        <v>3066</v>
      </c>
      <c r="E947" t="s">
        <v>62</v>
      </c>
      <c r="F947" t="s">
        <v>149</v>
      </c>
      <c r="G947" t="s">
        <v>45</v>
      </c>
      <c r="H947" t="s">
        <v>42</v>
      </c>
      <c r="I947" t="s">
        <v>40</v>
      </c>
      <c r="J947" t="s">
        <v>3067</v>
      </c>
      <c r="K947" t="s">
        <v>47</v>
      </c>
      <c r="L947" t="s">
        <v>43</v>
      </c>
      <c r="M947" t="s">
        <v>234</v>
      </c>
      <c r="N947" t="s">
        <v>45</v>
      </c>
      <c r="O947" t="s">
        <v>47</v>
      </c>
      <c r="P947" t="s">
        <v>186</v>
      </c>
      <c r="Q947" t="s">
        <v>40</v>
      </c>
      <c r="R947" t="s">
        <v>66</v>
      </c>
      <c r="S947" t="s">
        <v>3068</v>
      </c>
      <c r="T947" t="s">
        <v>3069</v>
      </c>
      <c r="U947" t="s">
        <v>47</v>
      </c>
      <c r="V947" t="s">
        <v>52</v>
      </c>
      <c r="W947" t="s">
        <v>36</v>
      </c>
      <c r="X947" t="s">
        <v>53</v>
      </c>
      <c r="Y947" t="s">
        <v>45</v>
      </c>
      <c r="Z947" t="s">
        <v>41</v>
      </c>
      <c r="AA947" t="s">
        <v>54</v>
      </c>
      <c r="AB947" t="s">
        <v>55</v>
      </c>
      <c r="AC947" t="s">
        <v>172</v>
      </c>
      <c r="AD947" t="s">
        <v>41</v>
      </c>
      <c r="AE947" t="s">
        <v>45</v>
      </c>
      <c r="AF947" t="s">
        <v>45</v>
      </c>
      <c r="AG947" t="s">
        <v>41</v>
      </c>
      <c r="AH947" t="s">
        <v>40</v>
      </c>
      <c r="AI947" t="s">
        <v>41</v>
      </c>
    </row>
    <row r="948" spans="1:35" x14ac:dyDescent="0.25">
      <c r="A948" t="s">
        <v>88</v>
      </c>
      <c r="B948" t="s">
        <v>36</v>
      </c>
      <c r="C948" t="s">
        <v>37</v>
      </c>
      <c r="D948" t="s">
        <v>907</v>
      </c>
      <c r="E948" t="s">
        <v>39</v>
      </c>
      <c r="F948" t="s">
        <v>172</v>
      </c>
      <c r="G948" t="s">
        <v>47</v>
      </c>
      <c r="H948" t="s">
        <v>206</v>
      </c>
      <c r="I948" t="s">
        <v>40</v>
      </c>
      <c r="J948" t="s">
        <v>2186</v>
      </c>
      <c r="K948" t="s">
        <v>47</v>
      </c>
      <c r="L948" t="s">
        <v>63</v>
      </c>
      <c r="M948" t="s">
        <v>269</v>
      </c>
      <c r="N948" t="s">
        <v>41</v>
      </c>
      <c r="O948" t="s">
        <v>45</v>
      </c>
      <c r="P948" t="s">
        <v>46</v>
      </c>
      <c r="Q948" t="s">
        <v>41</v>
      </c>
      <c r="R948" t="s">
        <v>48</v>
      </c>
      <c r="S948" t="s">
        <v>3070</v>
      </c>
      <c r="T948" t="s">
        <v>3071</v>
      </c>
      <c r="U948" t="s">
        <v>41</v>
      </c>
      <c r="V948" t="s">
        <v>52</v>
      </c>
      <c r="W948" t="s">
        <v>36</v>
      </c>
      <c r="X948" t="s">
        <v>92</v>
      </c>
      <c r="Y948" t="s">
        <v>45</v>
      </c>
      <c r="Z948" t="s">
        <v>45</v>
      </c>
      <c r="AA948" t="s">
        <v>54</v>
      </c>
      <c r="AB948" t="s">
        <v>55</v>
      </c>
      <c r="AC948" t="s">
        <v>91</v>
      </c>
      <c r="AD948" t="s">
        <v>41</v>
      </c>
      <c r="AE948" t="s">
        <v>45</v>
      </c>
      <c r="AF948" t="s">
        <v>57</v>
      </c>
      <c r="AG948" t="s">
        <v>47</v>
      </c>
      <c r="AH948" t="s">
        <v>40</v>
      </c>
      <c r="AI948" t="s">
        <v>55</v>
      </c>
    </row>
    <row r="949" spans="1:35" x14ac:dyDescent="0.25">
      <c r="A949" t="s">
        <v>251</v>
      </c>
      <c r="B949" t="s">
        <v>36</v>
      </c>
      <c r="C949" t="s">
        <v>37</v>
      </c>
      <c r="D949" t="s">
        <v>2549</v>
      </c>
      <c r="E949" t="s">
        <v>39</v>
      </c>
      <c r="F949" t="s">
        <v>57</v>
      </c>
      <c r="G949" t="s">
        <v>45</v>
      </c>
      <c r="H949" t="s">
        <v>42</v>
      </c>
      <c r="I949" t="s">
        <v>40</v>
      </c>
      <c r="J949" t="s">
        <v>1390</v>
      </c>
      <c r="K949" t="s">
        <v>41</v>
      </c>
      <c r="L949" t="s">
        <v>63</v>
      </c>
      <c r="M949" t="s">
        <v>292</v>
      </c>
      <c r="N949" t="s">
        <v>45</v>
      </c>
      <c r="O949" t="s">
        <v>45</v>
      </c>
      <c r="P949" t="s">
        <v>46</v>
      </c>
      <c r="Q949" t="s">
        <v>41</v>
      </c>
      <c r="R949" t="s">
        <v>48</v>
      </c>
      <c r="S949" t="s">
        <v>3072</v>
      </c>
      <c r="T949" t="s">
        <v>3073</v>
      </c>
      <c r="U949" t="s">
        <v>91</v>
      </c>
      <c r="V949" t="s">
        <v>52</v>
      </c>
      <c r="W949" t="s">
        <v>36</v>
      </c>
      <c r="X949" t="s">
        <v>144</v>
      </c>
      <c r="Y949" t="s">
        <v>45</v>
      </c>
      <c r="Z949" t="s">
        <v>45</v>
      </c>
      <c r="AA949" t="s">
        <v>54</v>
      </c>
      <c r="AB949" t="s">
        <v>55</v>
      </c>
      <c r="AC949" t="s">
        <v>70</v>
      </c>
      <c r="AD949" t="s">
        <v>41</v>
      </c>
      <c r="AE949" t="s">
        <v>41</v>
      </c>
      <c r="AF949" t="s">
        <v>51</v>
      </c>
      <c r="AG949" t="s">
        <v>71</v>
      </c>
      <c r="AH949" t="s">
        <v>71</v>
      </c>
      <c r="AI949" t="s">
        <v>71</v>
      </c>
    </row>
    <row r="950" spans="1:35" x14ac:dyDescent="0.25">
      <c r="A950" t="s">
        <v>105</v>
      </c>
      <c r="B950" t="s">
        <v>59</v>
      </c>
      <c r="C950" t="s">
        <v>37</v>
      </c>
      <c r="D950" t="s">
        <v>1762</v>
      </c>
      <c r="E950" t="s">
        <v>62</v>
      </c>
      <c r="F950" t="s">
        <v>125</v>
      </c>
      <c r="G950" t="s">
        <v>47</v>
      </c>
      <c r="H950" t="s">
        <v>87</v>
      </c>
      <c r="I950" t="s">
        <v>40</v>
      </c>
      <c r="J950" t="s">
        <v>3074</v>
      </c>
      <c r="K950" t="s">
        <v>41</v>
      </c>
      <c r="L950" t="s">
        <v>43</v>
      </c>
      <c r="M950" t="s">
        <v>349</v>
      </c>
      <c r="N950" t="s">
        <v>45</v>
      </c>
      <c r="O950" t="s">
        <v>45</v>
      </c>
      <c r="P950" t="s">
        <v>169</v>
      </c>
      <c r="Q950" t="s">
        <v>40</v>
      </c>
      <c r="R950" t="s">
        <v>66</v>
      </c>
      <c r="S950" t="s">
        <v>3075</v>
      </c>
      <c r="T950" t="s">
        <v>3076</v>
      </c>
      <c r="U950" t="s">
        <v>40</v>
      </c>
      <c r="V950" t="s">
        <v>52</v>
      </c>
      <c r="W950" t="s">
        <v>36</v>
      </c>
      <c r="X950" t="s">
        <v>69</v>
      </c>
      <c r="Y950" t="s">
        <v>47</v>
      </c>
      <c r="Z950" t="s">
        <v>47</v>
      </c>
      <c r="AA950" t="s">
        <v>54</v>
      </c>
      <c r="AB950" t="s">
        <v>41</v>
      </c>
      <c r="AC950" t="s">
        <v>91</v>
      </c>
      <c r="AD950" t="s">
        <v>41</v>
      </c>
      <c r="AE950" t="s">
        <v>45</v>
      </c>
      <c r="AF950" t="s">
        <v>91</v>
      </c>
      <c r="AG950" t="s">
        <v>40</v>
      </c>
      <c r="AH950" t="s">
        <v>55</v>
      </c>
      <c r="AI950" t="s">
        <v>51</v>
      </c>
    </row>
    <row r="951" spans="1:35" x14ac:dyDescent="0.25">
      <c r="A951" t="s">
        <v>218</v>
      </c>
      <c r="B951" t="s">
        <v>59</v>
      </c>
      <c r="C951" t="s">
        <v>37</v>
      </c>
      <c r="D951" t="s">
        <v>1524</v>
      </c>
      <c r="E951" t="s">
        <v>62</v>
      </c>
      <c r="F951" t="s">
        <v>145</v>
      </c>
      <c r="G951" t="s">
        <v>41</v>
      </c>
      <c r="H951" t="s">
        <v>42</v>
      </c>
      <c r="I951" t="s">
        <v>40</v>
      </c>
      <c r="J951" t="s">
        <v>3066</v>
      </c>
      <c r="K951" t="s">
        <v>40</v>
      </c>
      <c r="L951" t="s">
        <v>63</v>
      </c>
      <c r="M951" t="s">
        <v>93</v>
      </c>
      <c r="N951" t="s">
        <v>45</v>
      </c>
      <c r="O951" t="s">
        <v>41</v>
      </c>
      <c r="P951" t="s">
        <v>116</v>
      </c>
      <c r="Q951" t="s">
        <v>45</v>
      </c>
      <c r="R951" t="s">
        <v>48</v>
      </c>
      <c r="S951" t="s">
        <v>3077</v>
      </c>
      <c r="T951" t="s">
        <v>3078</v>
      </c>
      <c r="U951" t="s">
        <v>55</v>
      </c>
      <c r="V951" t="s">
        <v>52</v>
      </c>
      <c r="W951" t="s">
        <v>59</v>
      </c>
      <c r="X951" t="s">
        <v>53</v>
      </c>
      <c r="Y951" t="s">
        <v>45</v>
      </c>
      <c r="Z951" t="s">
        <v>40</v>
      </c>
      <c r="AA951" t="s">
        <v>54</v>
      </c>
      <c r="AB951" t="s">
        <v>55</v>
      </c>
      <c r="AC951" t="s">
        <v>91</v>
      </c>
      <c r="AD951" t="s">
        <v>56</v>
      </c>
      <c r="AE951" t="s">
        <v>45</v>
      </c>
      <c r="AF951" t="s">
        <v>51</v>
      </c>
      <c r="AG951" t="s">
        <v>71</v>
      </c>
      <c r="AH951" t="s">
        <v>40</v>
      </c>
      <c r="AI951" t="s">
        <v>71</v>
      </c>
    </row>
    <row r="952" spans="1:35" x14ac:dyDescent="0.25">
      <c r="A952" t="s">
        <v>137</v>
      </c>
      <c r="B952" t="s">
        <v>59</v>
      </c>
      <c r="C952" t="s">
        <v>161</v>
      </c>
      <c r="D952" t="s">
        <v>1651</v>
      </c>
      <c r="E952" t="s">
        <v>39</v>
      </c>
      <c r="F952" t="s">
        <v>41</v>
      </c>
      <c r="G952" t="s">
        <v>47</v>
      </c>
      <c r="H952" t="s">
        <v>42</v>
      </c>
      <c r="I952" t="s">
        <v>40</v>
      </c>
      <c r="J952" t="s">
        <v>100</v>
      </c>
      <c r="K952" t="s">
        <v>47</v>
      </c>
      <c r="L952" t="s">
        <v>43</v>
      </c>
      <c r="M952" t="s">
        <v>269</v>
      </c>
      <c r="N952" t="s">
        <v>45</v>
      </c>
      <c r="O952" t="s">
        <v>45</v>
      </c>
      <c r="P952" t="s">
        <v>46</v>
      </c>
      <c r="Q952" t="s">
        <v>45</v>
      </c>
      <c r="R952" t="s">
        <v>109</v>
      </c>
      <c r="S952" t="s">
        <v>3079</v>
      </c>
      <c r="T952" t="s">
        <v>3080</v>
      </c>
      <c r="U952" t="s">
        <v>40</v>
      </c>
      <c r="V952" t="s">
        <v>52</v>
      </c>
      <c r="W952" t="s">
        <v>36</v>
      </c>
      <c r="X952" t="s">
        <v>144</v>
      </c>
      <c r="Y952" t="s">
        <v>45</v>
      </c>
      <c r="Z952" t="s">
        <v>40</v>
      </c>
      <c r="AA952" t="s">
        <v>54</v>
      </c>
      <c r="AB952" t="s">
        <v>40</v>
      </c>
      <c r="AC952" t="s">
        <v>70</v>
      </c>
      <c r="AD952" t="s">
        <v>57</v>
      </c>
      <c r="AE952" t="s">
        <v>41</v>
      </c>
      <c r="AF952" t="s">
        <v>70</v>
      </c>
      <c r="AG952" t="s">
        <v>51</v>
      </c>
      <c r="AH952" t="s">
        <v>91</v>
      </c>
      <c r="AI952" t="s">
        <v>56</v>
      </c>
    </row>
    <row r="953" spans="1:35" x14ac:dyDescent="0.25">
      <c r="A953" t="s">
        <v>35</v>
      </c>
      <c r="B953" t="s">
        <v>59</v>
      </c>
      <c r="C953" t="s">
        <v>161</v>
      </c>
      <c r="D953" t="s">
        <v>803</v>
      </c>
      <c r="E953" t="s">
        <v>39</v>
      </c>
      <c r="F953" t="s">
        <v>70</v>
      </c>
      <c r="G953" t="s">
        <v>41</v>
      </c>
      <c r="H953" t="s">
        <v>87</v>
      </c>
      <c r="I953" t="s">
        <v>40</v>
      </c>
      <c r="J953" t="s">
        <v>618</v>
      </c>
      <c r="K953" t="s">
        <v>45</v>
      </c>
      <c r="L953" t="s">
        <v>63</v>
      </c>
      <c r="M953" t="s">
        <v>88</v>
      </c>
      <c r="N953" t="s">
        <v>40</v>
      </c>
      <c r="O953" t="s">
        <v>41</v>
      </c>
      <c r="P953" t="s">
        <v>46</v>
      </c>
      <c r="Q953" t="s">
        <v>41</v>
      </c>
      <c r="R953" t="s">
        <v>48</v>
      </c>
      <c r="S953" t="s">
        <v>3081</v>
      </c>
      <c r="T953" t="s">
        <v>3082</v>
      </c>
      <c r="U953" t="s">
        <v>40</v>
      </c>
      <c r="V953" t="s">
        <v>52</v>
      </c>
      <c r="W953" t="s">
        <v>59</v>
      </c>
      <c r="X953" t="s">
        <v>98</v>
      </c>
      <c r="Y953" t="s">
        <v>45</v>
      </c>
      <c r="Z953" t="s">
        <v>40</v>
      </c>
      <c r="AA953" t="s">
        <v>54</v>
      </c>
      <c r="AB953" t="s">
        <v>55</v>
      </c>
      <c r="AC953" t="s">
        <v>144</v>
      </c>
      <c r="AD953" t="s">
        <v>47</v>
      </c>
      <c r="AE953" t="s">
        <v>45</v>
      </c>
      <c r="AF953" t="s">
        <v>144</v>
      </c>
      <c r="AG953" t="s">
        <v>41</v>
      </c>
      <c r="AH953" t="s">
        <v>53</v>
      </c>
      <c r="AI953" t="s">
        <v>91</v>
      </c>
    </row>
    <row r="954" spans="1:35" x14ac:dyDescent="0.25">
      <c r="A954" t="s">
        <v>137</v>
      </c>
      <c r="B954" t="s">
        <v>36</v>
      </c>
      <c r="C954" t="s">
        <v>60</v>
      </c>
      <c r="D954" t="s">
        <v>2611</v>
      </c>
      <c r="E954" t="s">
        <v>39</v>
      </c>
      <c r="F954" t="s">
        <v>40</v>
      </c>
      <c r="G954" t="s">
        <v>45</v>
      </c>
      <c r="H954" t="s">
        <v>42</v>
      </c>
      <c r="I954" t="s">
        <v>40</v>
      </c>
      <c r="J954" t="s">
        <v>3083</v>
      </c>
      <c r="K954" t="s">
        <v>47</v>
      </c>
      <c r="L954" t="s">
        <v>43</v>
      </c>
      <c r="M954" t="s">
        <v>259</v>
      </c>
      <c r="N954" t="s">
        <v>45</v>
      </c>
      <c r="O954" t="s">
        <v>40</v>
      </c>
      <c r="P954" t="s">
        <v>182</v>
      </c>
      <c r="Q954" t="s">
        <v>41</v>
      </c>
      <c r="R954" t="s">
        <v>48</v>
      </c>
      <c r="S954" t="s">
        <v>639</v>
      </c>
      <c r="T954" t="s">
        <v>3084</v>
      </c>
      <c r="U954" t="s">
        <v>40</v>
      </c>
      <c r="V954" t="s">
        <v>52</v>
      </c>
      <c r="W954" t="s">
        <v>36</v>
      </c>
      <c r="X954" t="s">
        <v>53</v>
      </c>
      <c r="Y954" t="s">
        <v>45</v>
      </c>
      <c r="Z954" t="s">
        <v>40</v>
      </c>
      <c r="AA954" t="s">
        <v>54</v>
      </c>
      <c r="AB954" t="s">
        <v>55</v>
      </c>
      <c r="AC954" t="s">
        <v>45</v>
      </c>
      <c r="AD954" t="s">
        <v>41</v>
      </c>
      <c r="AE954" t="s">
        <v>47</v>
      </c>
      <c r="AF954" t="s">
        <v>45</v>
      </c>
      <c r="AG954" t="s">
        <v>41</v>
      </c>
      <c r="AH954" t="s">
        <v>41</v>
      </c>
      <c r="AI954" t="s">
        <v>41</v>
      </c>
    </row>
    <row r="955" spans="1:35" x14ac:dyDescent="0.25">
      <c r="A955" t="s">
        <v>115</v>
      </c>
      <c r="B955" t="s">
        <v>36</v>
      </c>
      <c r="C955" t="s">
        <v>37</v>
      </c>
      <c r="D955" t="s">
        <v>3085</v>
      </c>
      <c r="E955" t="s">
        <v>62</v>
      </c>
      <c r="F955" t="s">
        <v>45</v>
      </c>
      <c r="G955" t="s">
        <v>45</v>
      </c>
      <c r="H955" t="s">
        <v>42</v>
      </c>
      <c r="I955" t="s">
        <v>40</v>
      </c>
      <c r="J955" t="s">
        <v>2378</v>
      </c>
      <c r="K955" t="s">
        <v>40</v>
      </c>
      <c r="L955" t="s">
        <v>63</v>
      </c>
      <c r="M955" t="s">
        <v>959</v>
      </c>
      <c r="N955" t="s">
        <v>45</v>
      </c>
      <c r="O955" t="s">
        <v>40</v>
      </c>
      <c r="P955" t="s">
        <v>76</v>
      </c>
      <c r="Q955" t="s">
        <v>40</v>
      </c>
      <c r="R955" t="s">
        <v>66</v>
      </c>
      <c r="S955" t="s">
        <v>3086</v>
      </c>
      <c r="T955" t="s">
        <v>3087</v>
      </c>
      <c r="U955" t="s">
        <v>47</v>
      </c>
      <c r="V955" t="s">
        <v>52</v>
      </c>
      <c r="W955" t="s">
        <v>59</v>
      </c>
      <c r="X955" t="s">
        <v>92</v>
      </c>
      <c r="Y955" t="s">
        <v>45</v>
      </c>
      <c r="Z955" t="s">
        <v>45</v>
      </c>
      <c r="AA955" t="s">
        <v>54</v>
      </c>
      <c r="AB955" t="s">
        <v>55</v>
      </c>
      <c r="AC955" t="s">
        <v>70</v>
      </c>
      <c r="AD955" t="s">
        <v>47</v>
      </c>
      <c r="AE955" t="s">
        <v>47</v>
      </c>
      <c r="AF955" t="s">
        <v>45</v>
      </c>
      <c r="AG955" t="s">
        <v>41</v>
      </c>
      <c r="AH955" t="s">
        <v>40</v>
      </c>
      <c r="AI955" t="s">
        <v>41</v>
      </c>
    </row>
    <row r="956" spans="1:35" x14ac:dyDescent="0.25">
      <c r="A956" t="s">
        <v>204</v>
      </c>
      <c r="B956" t="s">
        <v>59</v>
      </c>
      <c r="C956" t="s">
        <v>161</v>
      </c>
      <c r="D956" t="s">
        <v>1450</v>
      </c>
      <c r="E956" t="s">
        <v>62</v>
      </c>
      <c r="F956" t="s">
        <v>41</v>
      </c>
      <c r="G956" t="s">
        <v>40</v>
      </c>
      <c r="H956" t="s">
        <v>42</v>
      </c>
      <c r="I956" t="s">
        <v>40</v>
      </c>
      <c r="J956" t="s">
        <v>447</v>
      </c>
      <c r="K956" t="s">
        <v>45</v>
      </c>
      <c r="L956" t="s">
        <v>63</v>
      </c>
      <c r="M956" t="s">
        <v>72</v>
      </c>
      <c r="N956" t="s">
        <v>45</v>
      </c>
      <c r="O956" t="s">
        <v>47</v>
      </c>
      <c r="P956" t="s">
        <v>169</v>
      </c>
      <c r="Q956" t="s">
        <v>45</v>
      </c>
      <c r="R956" t="s">
        <v>66</v>
      </c>
      <c r="S956" t="s">
        <v>1629</v>
      </c>
      <c r="T956" t="s">
        <v>3088</v>
      </c>
      <c r="U956" t="s">
        <v>55</v>
      </c>
      <c r="V956" t="s">
        <v>52</v>
      </c>
      <c r="W956" t="s">
        <v>36</v>
      </c>
      <c r="X956" t="s">
        <v>98</v>
      </c>
      <c r="Y956" t="s">
        <v>45</v>
      </c>
      <c r="Z956" t="s">
        <v>47</v>
      </c>
      <c r="AA956" t="s">
        <v>54</v>
      </c>
      <c r="AB956" t="s">
        <v>55</v>
      </c>
      <c r="AC956" t="s">
        <v>119</v>
      </c>
      <c r="AD956" t="s">
        <v>45</v>
      </c>
      <c r="AE956" t="s">
        <v>41</v>
      </c>
      <c r="AF956" t="s">
        <v>104</v>
      </c>
      <c r="AG956" t="s">
        <v>51</v>
      </c>
      <c r="AH956" t="s">
        <v>41</v>
      </c>
      <c r="AI956" t="s">
        <v>70</v>
      </c>
    </row>
    <row r="957" spans="1:35" x14ac:dyDescent="0.25">
      <c r="A957" t="s">
        <v>263</v>
      </c>
      <c r="B957" t="s">
        <v>59</v>
      </c>
      <c r="C957" t="s">
        <v>37</v>
      </c>
      <c r="D957" t="s">
        <v>863</v>
      </c>
      <c r="E957" t="s">
        <v>62</v>
      </c>
      <c r="F957" t="s">
        <v>41</v>
      </c>
      <c r="G957" t="s">
        <v>41</v>
      </c>
      <c r="H957" t="s">
        <v>87</v>
      </c>
      <c r="I957" t="s">
        <v>40</v>
      </c>
      <c r="J957" t="s">
        <v>3089</v>
      </c>
      <c r="K957" t="s">
        <v>47</v>
      </c>
      <c r="L957" t="s">
        <v>43</v>
      </c>
      <c r="M957" t="s">
        <v>197</v>
      </c>
      <c r="N957" t="s">
        <v>40</v>
      </c>
      <c r="O957" t="s">
        <v>57</v>
      </c>
      <c r="P957" t="s">
        <v>169</v>
      </c>
      <c r="Q957" t="s">
        <v>45</v>
      </c>
      <c r="R957" t="s">
        <v>66</v>
      </c>
      <c r="S957" t="s">
        <v>3090</v>
      </c>
      <c r="T957" t="s">
        <v>3091</v>
      </c>
      <c r="U957" t="s">
        <v>47</v>
      </c>
      <c r="V957" t="s">
        <v>52</v>
      </c>
      <c r="W957" t="s">
        <v>59</v>
      </c>
      <c r="X957" t="s">
        <v>129</v>
      </c>
      <c r="Y957" t="s">
        <v>45</v>
      </c>
      <c r="Z957" t="s">
        <v>47</v>
      </c>
      <c r="AA957" t="s">
        <v>54</v>
      </c>
      <c r="AB957" t="s">
        <v>40</v>
      </c>
      <c r="AC957" t="s">
        <v>69</v>
      </c>
      <c r="AD957" t="s">
        <v>57</v>
      </c>
      <c r="AE957" t="s">
        <v>45</v>
      </c>
      <c r="AF957" t="s">
        <v>144</v>
      </c>
      <c r="AG957" t="s">
        <v>91</v>
      </c>
      <c r="AH957" t="s">
        <v>91</v>
      </c>
      <c r="AI957" t="s">
        <v>53</v>
      </c>
    </row>
    <row r="958" spans="1:35" x14ac:dyDescent="0.25">
      <c r="A958" t="s">
        <v>82</v>
      </c>
      <c r="B958" t="s">
        <v>59</v>
      </c>
      <c r="C958" t="s">
        <v>37</v>
      </c>
      <c r="D958" t="s">
        <v>679</v>
      </c>
      <c r="E958" t="s">
        <v>397</v>
      </c>
      <c r="F958" t="s">
        <v>51</v>
      </c>
      <c r="G958" t="s">
        <v>47</v>
      </c>
      <c r="H958" t="s">
        <v>42</v>
      </c>
      <c r="I958" t="s">
        <v>40</v>
      </c>
      <c r="J958" t="s">
        <v>3092</v>
      </c>
      <c r="K958" t="s">
        <v>47</v>
      </c>
      <c r="L958" t="s">
        <v>63</v>
      </c>
      <c r="M958" t="s">
        <v>338</v>
      </c>
      <c r="N958" t="s">
        <v>45</v>
      </c>
      <c r="O958" t="s">
        <v>57</v>
      </c>
      <c r="P958" t="s">
        <v>169</v>
      </c>
      <c r="Q958" t="s">
        <v>41</v>
      </c>
      <c r="R958" t="s">
        <v>48</v>
      </c>
      <c r="S958" t="s">
        <v>3093</v>
      </c>
      <c r="T958" t="s">
        <v>3094</v>
      </c>
      <c r="U958" t="s">
        <v>56</v>
      </c>
      <c r="V958" t="s">
        <v>52</v>
      </c>
      <c r="W958" t="s">
        <v>59</v>
      </c>
      <c r="X958" t="s">
        <v>129</v>
      </c>
      <c r="Y958" t="s">
        <v>45</v>
      </c>
      <c r="Z958" t="s">
        <v>40</v>
      </c>
      <c r="AA958" t="s">
        <v>54</v>
      </c>
      <c r="AB958" t="s">
        <v>55</v>
      </c>
      <c r="AC958" t="s">
        <v>120</v>
      </c>
      <c r="AD958" t="s">
        <v>47</v>
      </c>
      <c r="AE958" t="s">
        <v>45</v>
      </c>
      <c r="AF958" t="s">
        <v>71</v>
      </c>
      <c r="AG958" t="s">
        <v>45</v>
      </c>
      <c r="AH958" t="s">
        <v>71</v>
      </c>
      <c r="AI958" t="s">
        <v>71</v>
      </c>
    </row>
    <row r="959" spans="1:35" x14ac:dyDescent="0.25">
      <c r="A959" t="s">
        <v>88</v>
      </c>
      <c r="B959" t="s">
        <v>59</v>
      </c>
      <c r="C959" t="s">
        <v>161</v>
      </c>
      <c r="D959" t="s">
        <v>1346</v>
      </c>
      <c r="E959" t="s">
        <v>62</v>
      </c>
      <c r="F959" t="s">
        <v>128</v>
      </c>
      <c r="G959" t="s">
        <v>41</v>
      </c>
      <c r="H959" t="s">
        <v>42</v>
      </c>
      <c r="I959" t="s">
        <v>40</v>
      </c>
      <c r="J959" t="s">
        <v>3095</v>
      </c>
      <c r="K959" t="s">
        <v>45</v>
      </c>
      <c r="L959" t="s">
        <v>63</v>
      </c>
      <c r="M959" t="s">
        <v>314</v>
      </c>
      <c r="N959" t="s">
        <v>45</v>
      </c>
      <c r="O959" t="s">
        <v>40</v>
      </c>
      <c r="P959" t="s">
        <v>65</v>
      </c>
      <c r="Q959" t="s">
        <v>45</v>
      </c>
      <c r="R959" t="s">
        <v>109</v>
      </c>
      <c r="S959" t="s">
        <v>3096</v>
      </c>
      <c r="T959" t="s">
        <v>3097</v>
      </c>
      <c r="U959" t="s">
        <v>91</v>
      </c>
      <c r="V959" t="s">
        <v>52</v>
      </c>
      <c r="W959" t="s">
        <v>59</v>
      </c>
      <c r="X959" t="s">
        <v>128</v>
      </c>
      <c r="Y959" t="s">
        <v>45</v>
      </c>
      <c r="Z959" t="s">
        <v>41</v>
      </c>
      <c r="AA959" t="s">
        <v>54</v>
      </c>
      <c r="AB959" t="s">
        <v>40</v>
      </c>
      <c r="AC959" t="s">
        <v>56</v>
      </c>
      <c r="AD959" t="s">
        <v>55</v>
      </c>
      <c r="AE959" t="s">
        <v>45</v>
      </c>
      <c r="AF959" t="s">
        <v>47</v>
      </c>
      <c r="AG959" t="s">
        <v>41</v>
      </c>
      <c r="AH959" t="s">
        <v>55</v>
      </c>
      <c r="AI959" t="s">
        <v>55</v>
      </c>
    </row>
    <row r="960" spans="1:35" x14ac:dyDescent="0.25">
      <c r="A960" t="s">
        <v>142</v>
      </c>
      <c r="B960" t="s">
        <v>59</v>
      </c>
      <c r="C960" t="s">
        <v>37</v>
      </c>
      <c r="D960" t="s">
        <v>3098</v>
      </c>
      <c r="E960" t="s">
        <v>62</v>
      </c>
      <c r="F960" t="s">
        <v>91</v>
      </c>
      <c r="G960" t="s">
        <v>45</v>
      </c>
      <c r="H960" t="s">
        <v>42</v>
      </c>
      <c r="I960" t="s">
        <v>40</v>
      </c>
      <c r="J960" t="s">
        <v>821</v>
      </c>
      <c r="K960" t="s">
        <v>47</v>
      </c>
      <c r="L960" t="s">
        <v>63</v>
      </c>
      <c r="M960" t="s">
        <v>240</v>
      </c>
      <c r="N960" t="s">
        <v>45</v>
      </c>
      <c r="O960" t="s">
        <v>45</v>
      </c>
      <c r="P960" t="s">
        <v>122</v>
      </c>
      <c r="Q960" t="s">
        <v>47</v>
      </c>
      <c r="R960" t="s">
        <v>109</v>
      </c>
      <c r="S960" t="s">
        <v>3099</v>
      </c>
      <c r="T960" t="s">
        <v>3100</v>
      </c>
      <c r="U960" t="s">
        <v>55</v>
      </c>
      <c r="V960" t="s">
        <v>52</v>
      </c>
      <c r="W960" t="s">
        <v>59</v>
      </c>
      <c r="X960" t="s">
        <v>53</v>
      </c>
      <c r="Y960" t="s">
        <v>45</v>
      </c>
      <c r="Z960" t="s">
        <v>47</v>
      </c>
      <c r="AA960" t="s">
        <v>54</v>
      </c>
      <c r="AB960" t="s">
        <v>40</v>
      </c>
      <c r="AC960" t="s">
        <v>70</v>
      </c>
      <c r="AD960" t="s">
        <v>55</v>
      </c>
      <c r="AE960" t="s">
        <v>41</v>
      </c>
      <c r="AF960" t="s">
        <v>91</v>
      </c>
      <c r="AG960" t="s">
        <v>71</v>
      </c>
      <c r="AH960" t="s">
        <v>40</v>
      </c>
      <c r="AI960" t="s">
        <v>56</v>
      </c>
    </row>
    <row r="961" spans="1:35" x14ac:dyDescent="0.25">
      <c r="A961" t="s">
        <v>88</v>
      </c>
      <c r="B961" t="s">
        <v>59</v>
      </c>
      <c r="C961" t="s">
        <v>37</v>
      </c>
      <c r="D961" t="s">
        <v>1520</v>
      </c>
      <c r="E961" t="s">
        <v>62</v>
      </c>
      <c r="F961" t="s">
        <v>41</v>
      </c>
      <c r="G961" t="s">
        <v>45</v>
      </c>
      <c r="H961" t="s">
        <v>42</v>
      </c>
      <c r="I961" t="s">
        <v>40</v>
      </c>
      <c r="J961" t="s">
        <v>143</v>
      </c>
      <c r="K961" t="s">
        <v>45</v>
      </c>
      <c r="L961" t="s">
        <v>63</v>
      </c>
      <c r="M961" t="s">
        <v>284</v>
      </c>
      <c r="N961" t="s">
        <v>45</v>
      </c>
      <c r="O961" t="s">
        <v>41</v>
      </c>
      <c r="P961" t="s">
        <v>65</v>
      </c>
      <c r="Q961" t="s">
        <v>47</v>
      </c>
      <c r="R961" t="s">
        <v>48</v>
      </c>
      <c r="S961" t="s">
        <v>3101</v>
      </c>
      <c r="T961" t="s">
        <v>3102</v>
      </c>
      <c r="U961" t="s">
        <v>40</v>
      </c>
      <c r="V961" t="s">
        <v>52</v>
      </c>
      <c r="W961" t="s">
        <v>59</v>
      </c>
      <c r="X961" t="s">
        <v>98</v>
      </c>
      <c r="Y961" t="s">
        <v>45</v>
      </c>
      <c r="Z961" t="s">
        <v>45</v>
      </c>
      <c r="AA961" t="s">
        <v>54</v>
      </c>
      <c r="AB961" t="s">
        <v>55</v>
      </c>
      <c r="AC961" t="s">
        <v>91</v>
      </c>
      <c r="AD961" t="s">
        <v>47</v>
      </c>
      <c r="AE961" t="s">
        <v>45</v>
      </c>
      <c r="AF961" t="s">
        <v>91</v>
      </c>
      <c r="AG961" t="s">
        <v>51</v>
      </c>
      <c r="AH961" t="s">
        <v>51</v>
      </c>
      <c r="AI961" t="s">
        <v>51</v>
      </c>
    </row>
    <row r="962" spans="1:35" x14ac:dyDescent="0.25">
      <c r="A962" t="s">
        <v>35</v>
      </c>
      <c r="B962" t="s">
        <v>59</v>
      </c>
      <c r="C962" t="s">
        <v>60</v>
      </c>
      <c r="D962" t="s">
        <v>1285</v>
      </c>
      <c r="E962" t="s">
        <v>39</v>
      </c>
      <c r="F962" t="s">
        <v>40</v>
      </c>
      <c r="G962" t="s">
        <v>45</v>
      </c>
      <c r="H962" t="s">
        <v>206</v>
      </c>
      <c r="I962" t="s">
        <v>40</v>
      </c>
      <c r="J962" t="s">
        <v>1593</v>
      </c>
      <c r="K962" t="s">
        <v>45</v>
      </c>
      <c r="L962" t="s">
        <v>43</v>
      </c>
      <c r="M962" t="s">
        <v>375</v>
      </c>
      <c r="N962" t="s">
        <v>45</v>
      </c>
      <c r="O962" t="s">
        <v>41</v>
      </c>
      <c r="P962" t="s">
        <v>46</v>
      </c>
      <c r="Q962" t="s">
        <v>40</v>
      </c>
      <c r="R962" t="s">
        <v>109</v>
      </c>
      <c r="S962" t="s">
        <v>3103</v>
      </c>
      <c r="T962" t="s">
        <v>3104</v>
      </c>
      <c r="U962" t="s">
        <v>55</v>
      </c>
      <c r="V962" t="s">
        <v>52</v>
      </c>
      <c r="W962" t="s">
        <v>59</v>
      </c>
      <c r="X962" t="s">
        <v>125</v>
      </c>
      <c r="Y962" t="s">
        <v>45</v>
      </c>
      <c r="Z962" t="s">
        <v>47</v>
      </c>
      <c r="AA962" t="s">
        <v>54</v>
      </c>
      <c r="AB962" t="s">
        <v>40</v>
      </c>
      <c r="AC962" t="s">
        <v>70</v>
      </c>
      <c r="AD962" t="s">
        <v>41</v>
      </c>
      <c r="AE962" t="s">
        <v>45</v>
      </c>
      <c r="AF962" t="s">
        <v>91</v>
      </c>
      <c r="AG962" t="s">
        <v>45</v>
      </c>
      <c r="AH962" t="s">
        <v>40</v>
      </c>
      <c r="AI962" t="s">
        <v>71</v>
      </c>
    </row>
    <row r="963" spans="1:35" x14ac:dyDescent="0.25">
      <c r="A963" t="s">
        <v>126</v>
      </c>
      <c r="B963" t="s">
        <v>59</v>
      </c>
      <c r="C963" t="s">
        <v>60</v>
      </c>
      <c r="D963" t="s">
        <v>1416</v>
      </c>
      <c r="E963" t="s">
        <v>62</v>
      </c>
      <c r="F963" t="s">
        <v>47</v>
      </c>
      <c r="G963" t="s">
        <v>47</v>
      </c>
      <c r="H963" t="s">
        <v>42</v>
      </c>
      <c r="I963" t="s">
        <v>40</v>
      </c>
      <c r="J963" t="s">
        <v>3105</v>
      </c>
      <c r="K963" t="s">
        <v>45</v>
      </c>
      <c r="L963" t="s">
        <v>63</v>
      </c>
      <c r="M963" t="s">
        <v>371</v>
      </c>
      <c r="N963" t="s">
        <v>45</v>
      </c>
      <c r="O963" t="s">
        <v>41</v>
      </c>
      <c r="P963" t="s">
        <v>65</v>
      </c>
      <c r="Q963" t="s">
        <v>45</v>
      </c>
      <c r="R963" t="s">
        <v>48</v>
      </c>
      <c r="S963" t="s">
        <v>3106</v>
      </c>
      <c r="T963" t="s">
        <v>3107</v>
      </c>
      <c r="U963" t="s">
        <v>40</v>
      </c>
      <c r="V963" t="s">
        <v>52</v>
      </c>
      <c r="W963" t="s">
        <v>36</v>
      </c>
      <c r="X963" t="s">
        <v>53</v>
      </c>
      <c r="Y963" t="s">
        <v>45</v>
      </c>
      <c r="Z963" t="s">
        <v>41</v>
      </c>
      <c r="AA963" t="s">
        <v>54</v>
      </c>
      <c r="AB963" t="s">
        <v>55</v>
      </c>
      <c r="AC963" t="s">
        <v>91</v>
      </c>
      <c r="AD963" t="s">
        <v>45</v>
      </c>
      <c r="AE963" t="s">
        <v>45</v>
      </c>
      <c r="AF963" t="s">
        <v>91</v>
      </c>
      <c r="AG963" t="s">
        <v>56</v>
      </c>
      <c r="AH963" t="s">
        <v>40</v>
      </c>
      <c r="AI963" t="s">
        <v>40</v>
      </c>
    </row>
    <row r="964" spans="1:35" x14ac:dyDescent="0.25">
      <c r="A964" t="s">
        <v>155</v>
      </c>
      <c r="B964" t="s">
        <v>59</v>
      </c>
      <c r="C964" t="s">
        <v>37</v>
      </c>
      <c r="D964" t="s">
        <v>2714</v>
      </c>
      <c r="E964" t="s">
        <v>397</v>
      </c>
      <c r="F964" t="s">
        <v>57</v>
      </c>
      <c r="G964" t="s">
        <v>45</v>
      </c>
      <c r="H964" t="s">
        <v>42</v>
      </c>
      <c r="I964" t="s">
        <v>40</v>
      </c>
      <c r="J964" t="s">
        <v>3108</v>
      </c>
      <c r="K964" t="s">
        <v>45</v>
      </c>
      <c r="L964" t="s">
        <v>63</v>
      </c>
      <c r="M964" t="s">
        <v>130</v>
      </c>
      <c r="N964" t="s">
        <v>45</v>
      </c>
      <c r="O964" t="s">
        <v>47</v>
      </c>
      <c r="P964" t="s">
        <v>169</v>
      </c>
      <c r="Q964" t="s">
        <v>41</v>
      </c>
      <c r="R964" t="s">
        <v>109</v>
      </c>
      <c r="S964" t="s">
        <v>3109</v>
      </c>
      <c r="T964" t="s">
        <v>3110</v>
      </c>
      <c r="U964" t="s">
        <v>40</v>
      </c>
      <c r="V964" t="s">
        <v>52</v>
      </c>
      <c r="W964" t="s">
        <v>36</v>
      </c>
      <c r="X964" t="s">
        <v>53</v>
      </c>
      <c r="Y964" t="s">
        <v>45</v>
      </c>
      <c r="Z964" t="s">
        <v>41</v>
      </c>
      <c r="AA964" t="s">
        <v>54</v>
      </c>
      <c r="AB964" t="s">
        <v>40</v>
      </c>
      <c r="AC964" t="s">
        <v>80</v>
      </c>
      <c r="AD964" t="s">
        <v>41</v>
      </c>
      <c r="AE964" t="s">
        <v>45</v>
      </c>
      <c r="AF964" t="s">
        <v>80</v>
      </c>
      <c r="AG964" t="s">
        <v>91</v>
      </c>
      <c r="AH964" t="s">
        <v>55</v>
      </c>
      <c r="AI964" t="s">
        <v>70</v>
      </c>
    </row>
    <row r="965" spans="1:35" x14ac:dyDescent="0.25">
      <c r="A965" t="s">
        <v>113</v>
      </c>
      <c r="B965" t="s">
        <v>59</v>
      </c>
      <c r="C965" t="s">
        <v>37</v>
      </c>
      <c r="D965" t="s">
        <v>1628</v>
      </c>
      <c r="E965" t="s">
        <v>39</v>
      </c>
      <c r="F965" t="s">
        <v>41</v>
      </c>
      <c r="G965" t="s">
        <v>41</v>
      </c>
      <c r="H965" t="s">
        <v>42</v>
      </c>
      <c r="I965" t="s">
        <v>40</v>
      </c>
      <c r="J965" t="s">
        <v>607</v>
      </c>
      <c r="K965" t="s">
        <v>41</v>
      </c>
      <c r="L965" t="s">
        <v>43</v>
      </c>
      <c r="M965" t="s">
        <v>137</v>
      </c>
      <c r="N965" t="s">
        <v>45</v>
      </c>
      <c r="O965" t="s">
        <v>41</v>
      </c>
      <c r="P965" t="s">
        <v>46</v>
      </c>
      <c r="Q965" t="s">
        <v>40</v>
      </c>
      <c r="R965" t="s">
        <v>109</v>
      </c>
      <c r="S965" t="s">
        <v>3111</v>
      </c>
      <c r="T965" t="s">
        <v>3112</v>
      </c>
      <c r="U965" t="s">
        <v>45</v>
      </c>
      <c r="V965" t="s">
        <v>52</v>
      </c>
      <c r="W965" t="s">
        <v>59</v>
      </c>
      <c r="X965" t="s">
        <v>79</v>
      </c>
      <c r="Y965" t="s">
        <v>45</v>
      </c>
      <c r="Z965" t="s">
        <v>47</v>
      </c>
      <c r="AA965" t="s">
        <v>54</v>
      </c>
      <c r="AB965" t="s">
        <v>40</v>
      </c>
      <c r="AC965" t="s">
        <v>53</v>
      </c>
      <c r="AD965" t="s">
        <v>45</v>
      </c>
      <c r="AE965" t="s">
        <v>45</v>
      </c>
      <c r="AF965" t="s">
        <v>71</v>
      </c>
      <c r="AG965" t="s">
        <v>71</v>
      </c>
      <c r="AH965" t="s">
        <v>40</v>
      </c>
      <c r="AI965" t="s">
        <v>71</v>
      </c>
    </row>
    <row r="966" spans="1:35" x14ac:dyDescent="0.25">
      <c r="A966" t="s">
        <v>142</v>
      </c>
      <c r="B966" t="s">
        <v>59</v>
      </c>
      <c r="C966" t="s">
        <v>37</v>
      </c>
      <c r="D966" t="s">
        <v>1479</v>
      </c>
      <c r="E966" t="s">
        <v>39</v>
      </c>
      <c r="F966" t="s">
        <v>79</v>
      </c>
      <c r="G966" t="s">
        <v>41</v>
      </c>
      <c r="H966" t="s">
        <v>87</v>
      </c>
      <c r="I966" t="s">
        <v>40</v>
      </c>
      <c r="J966" t="s">
        <v>781</v>
      </c>
      <c r="K966" t="s">
        <v>45</v>
      </c>
      <c r="L966" t="s">
        <v>43</v>
      </c>
      <c r="M966" t="s">
        <v>375</v>
      </c>
      <c r="N966" t="s">
        <v>45</v>
      </c>
      <c r="O966" t="s">
        <v>41</v>
      </c>
      <c r="P966" t="s">
        <v>46</v>
      </c>
      <c r="Q966" t="s">
        <v>40</v>
      </c>
      <c r="R966" t="s">
        <v>48</v>
      </c>
      <c r="S966" t="s">
        <v>3113</v>
      </c>
      <c r="T966" t="s">
        <v>3114</v>
      </c>
      <c r="U966" t="s">
        <v>40</v>
      </c>
      <c r="V966" t="s">
        <v>52</v>
      </c>
      <c r="W966" t="s">
        <v>59</v>
      </c>
      <c r="X966" t="s">
        <v>92</v>
      </c>
      <c r="Y966" t="s">
        <v>45</v>
      </c>
      <c r="Z966" t="s">
        <v>47</v>
      </c>
      <c r="AA966" t="s">
        <v>54</v>
      </c>
      <c r="AB966" t="s">
        <v>55</v>
      </c>
      <c r="AC966" t="s">
        <v>70</v>
      </c>
      <c r="AD966" t="s">
        <v>56</v>
      </c>
      <c r="AE966" t="s">
        <v>47</v>
      </c>
      <c r="AF966" t="s">
        <v>70</v>
      </c>
      <c r="AG966" t="s">
        <v>51</v>
      </c>
      <c r="AH966" t="s">
        <v>91</v>
      </c>
      <c r="AI966" t="s">
        <v>56</v>
      </c>
    </row>
    <row r="967" spans="1:35" x14ac:dyDescent="0.25">
      <c r="A967" t="s">
        <v>172</v>
      </c>
      <c r="B967" t="s">
        <v>59</v>
      </c>
      <c r="C967" t="s">
        <v>37</v>
      </c>
      <c r="D967" t="s">
        <v>2249</v>
      </c>
      <c r="E967" t="s">
        <v>62</v>
      </c>
      <c r="F967" t="s">
        <v>144</v>
      </c>
      <c r="G967" t="s">
        <v>40</v>
      </c>
      <c r="H967" t="s">
        <v>87</v>
      </c>
      <c r="I967" t="s">
        <v>40</v>
      </c>
      <c r="J967" t="s">
        <v>106</v>
      </c>
      <c r="K967" t="s">
        <v>47</v>
      </c>
      <c r="L967" t="s">
        <v>63</v>
      </c>
      <c r="M967" t="s">
        <v>108</v>
      </c>
      <c r="N967" t="s">
        <v>45</v>
      </c>
      <c r="O967" t="s">
        <v>40</v>
      </c>
      <c r="P967" t="s">
        <v>76</v>
      </c>
      <c r="Q967" t="s">
        <v>47</v>
      </c>
      <c r="R967" t="s">
        <v>66</v>
      </c>
      <c r="S967" t="s">
        <v>3115</v>
      </c>
      <c r="T967" t="s">
        <v>3116</v>
      </c>
      <c r="U967" t="s">
        <v>45</v>
      </c>
      <c r="V967" t="s">
        <v>52</v>
      </c>
      <c r="W967" t="s">
        <v>59</v>
      </c>
      <c r="X967" t="s">
        <v>53</v>
      </c>
      <c r="Y967" t="s">
        <v>45</v>
      </c>
      <c r="Z967" t="s">
        <v>45</v>
      </c>
      <c r="AA967" t="s">
        <v>54</v>
      </c>
      <c r="AB967" t="s">
        <v>45</v>
      </c>
      <c r="AC967" t="s">
        <v>71</v>
      </c>
      <c r="AD967" t="s">
        <v>56</v>
      </c>
      <c r="AE967" t="s">
        <v>41</v>
      </c>
      <c r="AF967" t="s">
        <v>45</v>
      </c>
      <c r="AG967" t="s">
        <v>41</v>
      </c>
      <c r="AH967" t="s">
        <v>40</v>
      </c>
      <c r="AI967" t="s">
        <v>41</v>
      </c>
    </row>
    <row r="968" spans="1:35" x14ac:dyDescent="0.25">
      <c r="A968" t="s">
        <v>197</v>
      </c>
      <c r="B968" t="s">
        <v>36</v>
      </c>
      <c r="C968" t="s">
        <v>37</v>
      </c>
      <c r="D968" t="s">
        <v>1689</v>
      </c>
      <c r="E968" t="s">
        <v>62</v>
      </c>
      <c r="F968" t="s">
        <v>71</v>
      </c>
      <c r="G968" t="s">
        <v>47</v>
      </c>
      <c r="H968" t="s">
        <v>87</v>
      </c>
      <c r="I968" t="s">
        <v>40</v>
      </c>
      <c r="J968" t="s">
        <v>271</v>
      </c>
      <c r="K968" t="s">
        <v>45</v>
      </c>
      <c r="L968" t="s">
        <v>43</v>
      </c>
      <c r="M968" t="s">
        <v>166</v>
      </c>
      <c r="N968" t="s">
        <v>41</v>
      </c>
      <c r="O968" t="s">
        <v>45</v>
      </c>
      <c r="P968" t="s">
        <v>116</v>
      </c>
      <c r="Q968" t="s">
        <v>40</v>
      </c>
      <c r="R968" t="s">
        <v>66</v>
      </c>
      <c r="S968" t="s">
        <v>3117</v>
      </c>
      <c r="T968" t="s">
        <v>3118</v>
      </c>
      <c r="U968" t="s">
        <v>71</v>
      </c>
      <c r="V968" t="s">
        <v>52</v>
      </c>
      <c r="W968" t="s">
        <v>36</v>
      </c>
      <c r="X968" t="s">
        <v>129</v>
      </c>
      <c r="Y968" t="s">
        <v>45</v>
      </c>
      <c r="Z968" t="s">
        <v>47</v>
      </c>
      <c r="AA968" t="s">
        <v>54</v>
      </c>
      <c r="AB968" t="s">
        <v>55</v>
      </c>
      <c r="AC968" t="s">
        <v>137</v>
      </c>
      <c r="AD968" t="s">
        <v>55</v>
      </c>
      <c r="AE968" t="s">
        <v>41</v>
      </c>
      <c r="AF968" t="s">
        <v>70</v>
      </c>
      <c r="AG968" t="s">
        <v>91</v>
      </c>
      <c r="AH968" t="s">
        <v>57</v>
      </c>
      <c r="AI968" t="s">
        <v>91</v>
      </c>
    </row>
    <row r="969" spans="1:35" x14ac:dyDescent="0.25">
      <c r="A969" t="s">
        <v>88</v>
      </c>
      <c r="B969" t="s">
        <v>59</v>
      </c>
      <c r="C969" t="s">
        <v>37</v>
      </c>
      <c r="D969" t="s">
        <v>983</v>
      </c>
      <c r="E969" t="s">
        <v>62</v>
      </c>
      <c r="F969" t="s">
        <v>40</v>
      </c>
      <c r="G969" t="s">
        <v>47</v>
      </c>
      <c r="H969" t="s">
        <v>42</v>
      </c>
      <c r="I969" t="s">
        <v>40</v>
      </c>
      <c r="J969" t="s">
        <v>2878</v>
      </c>
      <c r="K969" t="s">
        <v>41</v>
      </c>
      <c r="L969" t="s">
        <v>63</v>
      </c>
      <c r="M969" t="s">
        <v>356</v>
      </c>
      <c r="N969" t="s">
        <v>45</v>
      </c>
      <c r="O969" t="s">
        <v>40</v>
      </c>
      <c r="P969" t="s">
        <v>76</v>
      </c>
      <c r="Q969" t="s">
        <v>41</v>
      </c>
      <c r="R969" t="s">
        <v>66</v>
      </c>
      <c r="S969" t="s">
        <v>3119</v>
      </c>
      <c r="T969" t="s">
        <v>3120</v>
      </c>
      <c r="U969" t="s">
        <v>45</v>
      </c>
      <c r="V969" t="s">
        <v>52</v>
      </c>
      <c r="W969" t="s">
        <v>59</v>
      </c>
      <c r="X969" t="s">
        <v>112</v>
      </c>
      <c r="Y969" t="s">
        <v>47</v>
      </c>
      <c r="Z969" t="s">
        <v>45</v>
      </c>
      <c r="AA969" t="s">
        <v>54</v>
      </c>
      <c r="AB969" t="s">
        <v>40</v>
      </c>
      <c r="AC969" t="s">
        <v>71</v>
      </c>
      <c r="AD969" t="s">
        <v>45</v>
      </c>
      <c r="AE969" t="s">
        <v>45</v>
      </c>
      <c r="AF969" t="s">
        <v>47</v>
      </c>
      <c r="AG969" t="s">
        <v>41</v>
      </c>
      <c r="AH969" t="s">
        <v>55</v>
      </c>
      <c r="AI969" t="s">
        <v>45</v>
      </c>
    </row>
    <row r="970" spans="1:35" x14ac:dyDescent="0.25">
      <c r="A970" t="s">
        <v>120</v>
      </c>
      <c r="B970" t="s">
        <v>59</v>
      </c>
      <c r="C970" t="s">
        <v>60</v>
      </c>
      <c r="D970" t="s">
        <v>2241</v>
      </c>
      <c r="E970" t="s">
        <v>39</v>
      </c>
      <c r="F970" t="s">
        <v>71</v>
      </c>
      <c r="G970" t="s">
        <v>45</v>
      </c>
      <c r="H970" t="s">
        <v>206</v>
      </c>
      <c r="I970" t="s">
        <v>40</v>
      </c>
      <c r="J970" t="s">
        <v>1472</v>
      </c>
      <c r="K970" t="s">
        <v>40</v>
      </c>
      <c r="L970" t="s">
        <v>43</v>
      </c>
      <c r="M970" t="s">
        <v>193</v>
      </c>
      <c r="N970" t="s">
        <v>47</v>
      </c>
      <c r="O970" t="s">
        <v>41</v>
      </c>
      <c r="P970" t="s">
        <v>46</v>
      </c>
      <c r="Q970" t="s">
        <v>40</v>
      </c>
      <c r="R970" t="s">
        <v>66</v>
      </c>
      <c r="S970" t="s">
        <v>3121</v>
      </c>
      <c r="T970" t="s">
        <v>3122</v>
      </c>
      <c r="U970" t="s">
        <v>41</v>
      </c>
      <c r="V970" t="s">
        <v>52</v>
      </c>
      <c r="W970" t="s">
        <v>59</v>
      </c>
      <c r="X970" t="s">
        <v>128</v>
      </c>
      <c r="Y970" t="s">
        <v>45</v>
      </c>
      <c r="Z970" t="s">
        <v>47</v>
      </c>
      <c r="AA970" t="s">
        <v>54</v>
      </c>
      <c r="AB970" t="s">
        <v>40</v>
      </c>
      <c r="AC970" t="s">
        <v>125</v>
      </c>
      <c r="AD970" t="s">
        <v>41</v>
      </c>
      <c r="AE970" t="s">
        <v>41</v>
      </c>
      <c r="AF970" t="s">
        <v>79</v>
      </c>
      <c r="AG970" t="s">
        <v>71</v>
      </c>
      <c r="AH970" t="s">
        <v>56</v>
      </c>
      <c r="AI970" t="s">
        <v>98</v>
      </c>
    </row>
    <row r="971" spans="1:35" x14ac:dyDescent="0.25">
      <c r="A971" t="s">
        <v>207</v>
      </c>
      <c r="B971" t="s">
        <v>59</v>
      </c>
      <c r="C971" t="s">
        <v>37</v>
      </c>
      <c r="D971" t="s">
        <v>2195</v>
      </c>
      <c r="E971" t="s">
        <v>62</v>
      </c>
      <c r="F971" t="s">
        <v>47</v>
      </c>
      <c r="G971" t="s">
        <v>45</v>
      </c>
      <c r="H971" t="s">
        <v>42</v>
      </c>
      <c r="I971" t="s">
        <v>40</v>
      </c>
      <c r="J971" t="s">
        <v>3123</v>
      </c>
      <c r="K971" t="s">
        <v>47</v>
      </c>
      <c r="L971" t="s">
        <v>63</v>
      </c>
      <c r="M971" t="s">
        <v>259</v>
      </c>
      <c r="N971" t="s">
        <v>45</v>
      </c>
      <c r="O971" t="s">
        <v>45</v>
      </c>
      <c r="P971" t="s">
        <v>116</v>
      </c>
      <c r="Q971" t="s">
        <v>47</v>
      </c>
      <c r="R971" t="s">
        <v>48</v>
      </c>
      <c r="S971" t="s">
        <v>3124</v>
      </c>
      <c r="T971" t="s">
        <v>3125</v>
      </c>
      <c r="U971" t="s">
        <v>40</v>
      </c>
      <c r="V971" t="s">
        <v>52</v>
      </c>
      <c r="W971" t="s">
        <v>59</v>
      </c>
      <c r="X971" t="s">
        <v>53</v>
      </c>
      <c r="Y971" t="s">
        <v>45</v>
      </c>
      <c r="Z971" t="s">
        <v>45</v>
      </c>
      <c r="AA971" t="s">
        <v>54</v>
      </c>
      <c r="AB971" t="s">
        <v>55</v>
      </c>
      <c r="AC971" t="s">
        <v>53</v>
      </c>
      <c r="AD971" t="s">
        <v>41</v>
      </c>
      <c r="AE971" t="s">
        <v>45</v>
      </c>
      <c r="AF971" t="s">
        <v>70</v>
      </c>
      <c r="AG971" t="s">
        <v>91</v>
      </c>
      <c r="AH971" t="s">
        <v>55</v>
      </c>
      <c r="AI971" t="s">
        <v>51</v>
      </c>
    </row>
    <row r="972" spans="1:35" x14ac:dyDescent="0.25">
      <c r="A972" t="s">
        <v>85</v>
      </c>
      <c r="B972" t="s">
        <v>59</v>
      </c>
      <c r="C972" t="s">
        <v>37</v>
      </c>
      <c r="D972" t="s">
        <v>3017</v>
      </c>
      <c r="E972" t="s">
        <v>39</v>
      </c>
      <c r="F972" t="s">
        <v>53</v>
      </c>
      <c r="G972" t="s">
        <v>45</v>
      </c>
      <c r="H972" t="s">
        <v>87</v>
      </c>
      <c r="I972" t="s">
        <v>40</v>
      </c>
      <c r="J972" t="s">
        <v>3126</v>
      </c>
      <c r="K972" t="s">
        <v>45</v>
      </c>
      <c r="L972" t="s">
        <v>43</v>
      </c>
      <c r="M972" t="s">
        <v>284</v>
      </c>
      <c r="N972" t="s">
        <v>47</v>
      </c>
      <c r="O972" t="s">
        <v>40</v>
      </c>
      <c r="P972" t="s">
        <v>182</v>
      </c>
      <c r="Q972" t="s">
        <v>47</v>
      </c>
      <c r="R972" t="s">
        <v>66</v>
      </c>
      <c r="S972" t="s">
        <v>3127</v>
      </c>
      <c r="T972" t="s">
        <v>3128</v>
      </c>
      <c r="U972" t="s">
        <v>51</v>
      </c>
      <c r="V972" t="s">
        <v>52</v>
      </c>
      <c r="W972" t="s">
        <v>59</v>
      </c>
      <c r="X972" t="s">
        <v>129</v>
      </c>
      <c r="Y972" t="s">
        <v>45</v>
      </c>
      <c r="Z972" t="s">
        <v>41</v>
      </c>
      <c r="AA972" t="s">
        <v>54</v>
      </c>
      <c r="AB972" t="s">
        <v>40</v>
      </c>
      <c r="AC972" t="s">
        <v>57</v>
      </c>
      <c r="AD972" t="s">
        <v>47</v>
      </c>
      <c r="AE972" t="s">
        <v>45</v>
      </c>
      <c r="AF972" t="s">
        <v>40</v>
      </c>
      <c r="AG972" t="s">
        <v>55</v>
      </c>
      <c r="AH972" t="s">
        <v>55</v>
      </c>
      <c r="AI972" t="s">
        <v>55</v>
      </c>
    </row>
    <row r="973" spans="1:35" x14ac:dyDescent="0.25">
      <c r="A973" t="s">
        <v>155</v>
      </c>
      <c r="B973" t="s">
        <v>59</v>
      </c>
      <c r="C973" t="s">
        <v>37</v>
      </c>
      <c r="D973" t="s">
        <v>3129</v>
      </c>
      <c r="E973" t="s">
        <v>62</v>
      </c>
      <c r="F973" t="s">
        <v>53</v>
      </c>
      <c r="G973" t="s">
        <v>41</v>
      </c>
      <c r="H973" t="s">
        <v>228</v>
      </c>
      <c r="I973" t="s">
        <v>40</v>
      </c>
      <c r="J973" t="s">
        <v>3130</v>
      </c>
      <c r="K973" t="s">
        <v>47</v>
      </c>
      <c r="L973" t="s">
        <v>43</v>
      </c>
      <c r="M973" t="s">
        <v>181</v>
      </c>
      <c r="N973" t="s">
        <v>41</v>
      </c>
      <c r="O973" t="s">
        <v>47</v>
      </c>
      <c r="P973" t="s">
        <v>116</v>
      </c>
      <c r="Q973" t="s">
        <v>41</v>
      </c>
      <c r="R973" t="s">
        <v>48</v>
      </c>
      <c r="S973" t="s">
        <v>3131</v>
      </c>
      <c r="T973" t="s">
        <v>3132</v>
      </c>
      <c r="U973" t="s">
        <v>45</v>
      </c>
      <c r="V973" t="s">
        <v>52</v>
      </c>
      <c r="W973" t="s">
        <v>59</v>
      </c>
      <c r="X973" t="s">
        <v>128</v>
      </c>
      <c r="Y973" t="s">
        <v>45</v>
      </c>
      <c r="Z973" t="s">
        <v>41</v>
      </c>
      <c r="AA973" t="s">
        <v>54</v>
      </c>
      <c r="AB973" t="s">
        <v>55</v>
      </c>
      <c r="AC973" t="s">
        <v>133</v>
      </c>
      <c r="AD973" t="s">
        <v>40</v>
      </c>
      <c r="AE973" t="s">
        <v>41</v>
      </c>
      <c r="AF973" t="s">
        <v>57</v>
      </c>
      <c r="AG973" t="s">
        <v>41</v>
      </c>
      <c r="AH973" t="s">
        <v>55</v>
      </c>
      <c r="AI973" t="s">
        <v>45</v>
      </c>
    </row>
    <row r="974" spans="1:35" x14ac:dyDescent="0.25">
      <c r="A974" t="s">
        <v>145</v>
      </c>
      <c r="B974" t="s">
        <v>59</v>
      </c>
      <c r="C974" t="s">
        <v>161</v>
      </c>
      <c r="D974" t="s">
        <v>1330</v>
      </c>
      <c r="E974" t="s">
        <v>62</v>
      </c>
      <c r="F974" t="s">
        <v>40</v>
      </c>
      <c r="G974" t="s">
        <v>45</v>
      </c>
      <c r="H974" t="s">
        <v>42</v>
      </c>
      <c r="I974" t="s">
        <v>40</v>
      </c>
      <c r="J974" t="s">
        <v>1577</v>
      </c>
      <c r="K974" t="s">
        <v>47</v>
      </c>
      <c r="L974" t="s">
        <v>43</v>
      </c>
      <c r="M974" t="s">
        <v>244</v>
      </c>
      <c r="N974" t="s">
        <v>45</v>
      </c>
      <c r="O974" t="s">
        <v>40</v>
      </c>
      <c r="P974" t="s">
        <v>76</v>
      </c>
      <c r="Q974" t="s">
        <v>47</v>
      </c>
      <c r="R974" t="s">
        <v>48</v>
      </c>
      <c r="S974" t="s">
        <v>3133</v>
      </c>
      <c r="T974" t="s">
        <v>3134</v>
      </c>
      <c r="U974" t="s">
        <v>40</v>
      </c>
      <c r="V974" t="s">
        <v>52</v>
      </c>
      <c r="W974" t="s">
        <v>59</v>
      </c>
      <c r="X974" t="s">
        <v>79</v>
      </c>
      <c r="Y974" t="s">
        <v>45</v>
      </c>
      <c r="Z974" t="s">
        <v>45</v>
      </c>
      <c r="AA974" t="s">
        <v>54</v>
      </c>
      <c r="AB974" t="s">
        <v>55</v>
      </c>
      <c r="AC974" t="s">
        <v>55</v>
      </c>
      <c r="AD974" t="s">
        <v>57</v>
      </c>
      <c r="AE974" t="s">
        <v>47</v>
      </c>
      <c r="AF974" t="s">
        <v>55</v>
      </c>
      <c r="AG974" t="s">
        <v>55</v>
      </c>
      <c r="AH974" t="s">
        <v>55</v>
      </c>
      <c r="AI974" t="s">
        <v>55</v>
      </c>
    </row>
    <row r="975" spans="1:35" x14ac:dyDescent="0.25">
      <c r="A975" t="s">
        <v>126</v>
      </c>
      <c r="B975" t="s">
        <v>59</v>
      </c>
      <c r="C975" t="s">
        <v>37</v>
      </c>
      <c r="D975" t="s">
        <v>1901</v>
      </c>
      <c r="E975" t="s">
        <v>62</v>
      </c>
      <c r="F975" t="s">
        <v>40</v>
      </c>
      <c r="G975" t="s">
        <v>45</v>
      </c>
      <c r="H975" t="s">
        <v>87</v>
      </c>
      <c r="I975" t="s">
        <v>40</v>
      </c>
      <c r="J975" t="s">
        <v>3135</v>
      </c>
      <c r="K975" t="s">
        <v>47</v>
      </c>
      <c r="L975" t="s">
        <v>43</v>
      </c>
      <c r="M975" t="s">
        <v>275</v>
      </c>
      <c r="N975" t="s">
        <v>41</v>
      </c>
      <c r="O975" t="s">
        <v>41</v>
      </c>
      <c r="P975" t="s">
        <v>76</v>
      </c>
      <c r="Q975" t="s">
        <v>47</v>
      </c>
      <c r="R975" t="s">
        <v>66</v>
      </c>
      <c r="S975" t="s">
        <v>3136</v>
      </c>
      <c r="T975" t="s">
        <v>3137</v>
      </c>
      <c r="U975" t="s">
        <v>55</v>
      </c>
      <c r="V975" t="s">
        <v>52</v>
      </c>
      <c r="W975" t="s">
        <v>59</v>
      </c>
      <c r="X975" t="s">
        <v>92</v>
      </c>
      <c r="Y975" t="s">
        <v>45</v>
      </c>
      <c r="Z975" t="s">
        <v>41</v>
      </c>
      <c r="AA975" t="s">
        <v>54</v>
      </c>
      <c r="AB975" t="s">
        <v>40</v>
      </c>
      <c r="AC975" t="s">
        <v>70</v>
      </c>
      <c r="AD975" t="s">
        <v>55</v>
      </c>
      <c r="AE975" t="s">
        <v>45</v>
      </c>
      <c r="AF975" t="s">
        <v>91</v>
      </c>
      <c r="AG975" t="s">
        <v>71</v>
      </c>
      <c r="AH975" t="s">
        <v>55</v>
      </c>
      <c r="AI975" t="s">
        <v>55</v>
      </c>
    </row>
    <row r="976" spans="1:35" x14ac:dyDescent="0.25">
      <c r="A976" t="s">
        <v>85</v>
      </c>
      <c r="B976" t="s">
        <v>59</v>
      </c>
      <c r="C976" t="s">
        <v>60</v>
      </c>
      <c r="D976" t="s">
        <v>2060</v>
      </c>
      <c r="E976" t="s">
        <v>39</v>
      </c>
      <c r="F976" t="s">
        <v>41</v>
      </c>
      <c r="G976" t="s">
        <v>40</v>
      </c>
      <c r="H976" t="s">
        <v>42</v>
      </c>
      <c r="I976" t="s">
        <v>40</v>
      </c>
      <c r="J976" t="s">
        <v>1478</v>
      </c>
      <c r="K976" t="s">
        <v>47</v>
      </c>
      <c r="L976" t="s">
        <v>63</v>
      </c>
      <c r="M976" t="s">
        <v>234</v>
      </c>
      <c r="N976" t="s">
        <v>40</v>
      </c>
      <c r="O976" t="s">
        <v>41</v>
      </c>
      <c r="P976" t="s">
        <v>46</v>
      </c>
      <c r="Q976" t="s">
        <v>47</v>
      </c>
      <c r="R976" t="s">
        <v>48</v>
      </c>
      <c r="S976" t="s">
        <v>3138</v>
      </c>
      <c r="T976" t="s">
        <v>3139</v>
      </c>
      <c r="U976" t="s">
        <v>45</v>
      </c>
      <c r="V976" t="s">
        <v>52</v>
      </c>
      <c r="W976" t="s">
        <v>59</v>
      </c>
      <c r="X976" t="s">
        <v>104</v>
      </c>
      <c r="Y976" t="s">
        <v>47</v>
      </c>
      <c r="Z976" t="s">
        <v>41</v>
      </c>
      <c r="AA976" t="s">
        <v>54</v>
      </c>
      <c r="AB976" t="s">
        <v>55</v>
      </c>
      <c r="AC976" t="s">
        <v>51</v>
      </c>
      <c r="AD976" t="s">
        <v>45</v>
      </c>
      <c r="AE976" t="s">
        <v>45</v>
      </c>
      <c r="AF976" t="s">
        <v>56</v>
      </c>
      <c r="AG976" t="s">
        <v>41</v>
      </c>
      <c r="AH976" t="s">
        <v>55</v>
      </c>
      <c r="AI976" t="s">
        <v>55</v>
      </c>
    </row>
    <row r="977" spans="1:35" x14ac:dyDescent="0.25">
      <c r="A977" t="s">
        <v>263</v>
      </c>
      <c r="B977" t="s">
        <v>36</v>
      </c>
      <c r="C977" t="s">
        <v>37</v>
      </c>
      <c r="D977" t="s">
        <v>829</v>
      </c>
      <c r="E977" t="s">
        <v>39</v>
      </c>
      <c r="F977" t="s">
        <v>98</v>
      </c>
      <c r="G977" t="s">
        <v>47</v>
      </c>
      <c r="H977" t="s">
        <v>206</v>
      </c>
      <c r="I977" t="s">
        <v>40</v>
      </c>
      <c r="J977" t="s">
        <v>1156</v>
      </c>
      <c r="K977" t="s">
        <v>40</v>
      </c>
      <c r="L977" t="s">
        <v>63</v>
      </c>
      <c r="M977" t="s">
        <v>348</v>
      </c>
      <c r="N977" t="s">
        <v>47</v>
      </c>
      <c r="O977" t="s">
        <v>47</v>
      </c>
      <c r="P977" t="s">
        <v>46</v>
      </c>
      <c r="Q977" t="s">
        <v>45</v>
      </c>
      <c r="R977" t="s">
        <v>48</v>
      </c>
      <c r="S977" t="s">
        <v>3140</v>
      </c>
      <c r="T977" t="s">
        <v>3141</v>
      </c>
      <c r="U977" t="s">
        <v>56</v>
      </c>
      <c r="V977" t="s">
        <v>52</v>
      </c>
      <c r="W977" t="s">
        <v>36</v>
      </c>
      <c r="X977" t="s">
        <v>125</v>
      </c>
      <c r="Y977" t="s">
        <v>45</v>
      </c>
      <c r="Z977" t="s">
        <v>45</v>
      </c>
      <c r="AA977" t="s">
        <v>54</v>
      </c>
      <c r="AB977" t="s">
        <v>55</v>
      </c>
      <c r="AC977" t="s">
        <v>107</v>
      </c>
      <c r="AD977" t="s">
        <v>41</v>
      </c>
      <c r="AE977" t="s">
        <v>41</v>
      </c>
      <c r="AF977" t="s">
        <v>144</v>
      </c>
      <c r="AG977" t="s">
        <v>71</v>
      </c>
      <c r="AH977" t="s">
        <v>45</v>
      </c>
      <c r="AI977" t="s">
        <v>51</v>
      </c>
    </row>
    <row r="978" spans="1:35" x14ac:dyDescent="0.25">
      <c r="A978" t="s">
        <v>82</v>
      </c>
      <c r="B978" t="s">
        <v>59</v>
      </c>
      <c r="C978" t="s">
        <v>37</v>
      </c>
      <c r="D978" t="s">
        <v>3135</v>
      </c>
      <c r="E978" t="s">
        <v>62</v>
      </c>
      <c r="F978" t="s">
        <v>69</v>
      </c>
      <c r="G978" t="s">
        <v>45</v>
      </c>
      <c r="H978" t="s">
        <v>42</v>
      </c>
      <c r="I978" t="s">
        <v>40</v>
      </c>
      <c r="J978" t="s">
        <v>73</v>
      </c>
      <c r="K978" t="s">
        <v>47</v>
      </c>
      <c r="L978" t="s">
        <v>63</v>
      </c>
      <c r="M978" t="s">
        <v>300</v>
      </c>
      <c r="N978" t="s">
        <v>45</v>
      </c>
      <c r="O978" t="s">
        <v>47</v>
      </c>
      <c r="P978" t="s">
        <v>116</v>
      </c>
      <c r="Q978" t="s">
        <v>41</v>
      </c>
      <c r="R978" t="s">
        <v>66</v>
      </c>
      <c r="S978" t="s">
        <v>3142</v>
      </c>
      <c r="T978" t="s">
        <v>3143</v>
      </c>
      <c r="U978" t="s">
        <v>47</v>
      </c>
      <c r="V978" t="s">
        <v>52</v>
      </c>
      <c r="W978" t="s">
        <v>36</v>
      </c>
      <c r="X978" t="s">
        <v>92</v>
      </c>
      <c r="Y978" t="s">
        <v>45</v>
      </c>
      <c r="Z978" t="s">
        <v>40</v>
      </c>
      <c r="AA978" t="s">
        <v>54</v>
      </c>
      <c r="AB978" t="s">
        <v>40</v>
      </c>
      <c r="AC978" t="s">
        <v>80</v>
      </c>
      <c r="AD978" t="s">
        <v>55</v>
      </c>
      <c r="AE978" t="s">
        <v>45</v>
      </c>
      <c r="AF978" t="s">
        <v>144</v>
      </c>
      <c r="AG978" t="s">
        <v>128</v>
      </c>
      <c r="AH978" t="s">
        <v>79</v>
      </c>
      <c r="AI978" t="s">
        <v>91</v>
      </c>
    </row>
    <row r="979" spans="1:35" x14ac:dyDescent="0.25">
      <c r="A979" t="s">
        <v>142</v>
      </c>
      <c r="B979" t="s">
        <v>59</v>
      </c>
      <c r="C979" t="s">
        <v>161</v>
      </c>
      <c r="D979" t="s">
        <v>2471</v>
      </c>
      <c r="E979" t="s">
        <v>62</v>
      </c>
      <c r="F979" t="s">
        <v>139</v>
      </c>
      <c r="G979" t="s">
        <v>40</v>
      </c>
      <c r="H979" t="s">
        <v>228</v>
      </c>
      <c r="I979" t="s">
        <v>40</v>
      </c>
      <c r="J979" t="s">
        <v>3144</v>
      </c>
      <c r="K979" t="s">
        <v>40</v>
      </c>
      <c r="L979" t="s">
        <v>43</v>
      </c>
      <c r="M979" t="s">
        <v>75</v>
      </c>
      <c r="N979" t="s">
        <v>41</v>
      </c>
      <c r="O979" t="s">
        <v>40</v>
      </c>
      <c r="P979" t="s">
        <v>65</v>
      </c>
      <c r="Q979" t="s">
        <v>45</v>
      </c>
      <c r="R979" t="s">
        <v>109</v>
      </c>
      <c r="S979" t="s">
        <v>3145</v>
      </c>
      <c r="T979" t="s">
        <v>3146</v>
      </c>
      <c r="U979" t="s">
        <v>40</v>
      </c>
      <c r="V979" t="s">
        <v>52</v>
      </c>
      <c r="W979" t="s">
        <v>59</v>
      </c>
      <c r="X979" t="s">
        <v>104</v>
      </c>
      <c r="Y979" t="s">
        <v>47</v>
      </c>
      <c r="Z979" t="s">
        <v>45</v>
      </c>
      <c r="AA979" t="s">
        <v>54</v>
      </c>
      <c r="AB979" t="s">
        <v>45</v>
      </c>
      <c r="AC979" t="s">
        <v>57</v>
      </c>
      <c r="AD979" t="s">
        <v>41</v>
      </c>
      <c r="AE979" t="s">
        <v>45</v>
      </c>
      <c r="AF979" t="s">
        <v>57</v>
      </c>
      <c r="AG979" t="s">
        <v>47</v>
      </c>
      <c r="AH979" t="s">
        <v>55</v>
      </c>
      <c r="AI979" t="s">
        <v>55</v>
      </c>
    </row>
    <row r="980" spans="1:35" x14ac:dyDescent="0.25">
      <c r="A980" t="s">
        <v>88</v>
      </c>
      <c r="B980" t="s">
        <v>59</v>
      </c>
      <c r="C980" t="s">
        <v>37</v>
      </c>
      <c r="D980" t="s">
        <v>2850</v>
      </c>
      <c r="E980" t="s">
        <v>62</v>
      </c>
      <c r="F980" t="s">
        <v>41</v>
      </c>
      <c r="G980" t="s">
        <v>40</v>
      </c>
      <c r="H980" t="s">
        <v>87</v>
      </c>
      <c r="I980" t="s">
        <v>40</v>
      </c>
      <c r="J980" t="s">
        <v>3147</v>
      </c>
      <c r="K980" t="s">
        <v>41</v>
      </c>
      <c r="L980" t="s">
        <v>43</v>
      </c>
      <c r="M980" t="s">
        <v>959</v>
      </c>
      <c r="N980" t="s">
        <v>47</v>
      </c>
      <c r="O980" t="s">
        <v>41</v>
      </c>
      <c r="P980" t="s">
        <v>122</v>
      </c>
      <c r="Q980" t="s">
        <v>45</v>
      </c>
      <c r="R980" t="s">
        <v>109</v>
      </c>
      <c r="S980" t="s">
        <v>3148</v>
      </c>
      <c r="T980" t="s">
        <v>3149</v>
      </c>
      <c r="U980" t="s">
        <v>57</v>
      </c>
      <c r="V980" t="s">
        <v>52</v>
      </c>
      <c r="W980" t="s">
        <v>59</v>
      </c>
      <c r="X980" t="s">
        <v>104</v>
      </c>
      <c r="Y980" t="s">
        <v>47</v>
      </c>
      <c r="Z980" t="s">
        <v>41</v>
      </c>
      <c r="AA980" t="s">
        <v>54</v>
      </c>
      <c r="AB980" t="s">
        <v>45</v>
      </c>
      <c r="AC980" t="s">
        <v>79</v>
      </c>
      <c r="AD980" t="s">
        <v>55</v>
      </c>
      <c r="AE980" t="s">
        <v>45</v>
      </c>
      <c r="AF980" t="s">
        <v>92</v>
      </c>
      <c r="AG980" t="s">
        <v>53</v>
      </c>
      <c r="AH980" t="s">
        <v>53</v>
      </c>
      <c r="AI980" t="s">
        <v>51</v>
      </c>
    </row>
    <row r="981" spans="1:35" x14ac:dyDescent="0.25">
      <c r="A981" t="s">
        <v>142</v>
      </c>
      <c r="B981" t="s">
        <v>59</v>
      </c>
      <c r="C981" t="s">
        <v>37</v>
      </c>
      <c r="D981" t="s">
        <v>3150</v>
      </c>
      <c r="E981" t="s">
        <v>62</v>
      </c>
      <c r="F981" t="s">
        <v>133</v>
      </c>
      <c r="G981" t="s">
        <v>45</v>
      </c>
      <c r="H981" t="s">
        <v>87</v>
      </c>
      <c r="I981" t="s">
        <v>40</v>
      </c>
      <c r="J981" t="s">
        <v>1279</v>
      </c>
      <c r="K981" t="s">
        <v>41</v>
      </c>
      <c r="L981" t="s">
        <v>63</v>
      </c>
      <c r="M981" t="s">
        <v>240</v>
      </c>
      <c r="N981" t="s">
        <v>45</v>
      </c>
      <c r="O981" t="s">
        <v>41</v>
      </c>
      <c r="P981" t="s">
        <v>76</v>
      </c>
      <c r="Q981" t="s">
        <v>45</v>
      </c>
      <c r="R981" t="s">
        <v>66</v>
      </c>
      <c r="S981" t="s">
        <v>3151</v>
      </c>
      <c r="T981" t="s">
        <v>3152</v>
      </c>
      <c r="U981" t="s">
        <v>47</v>
      </c>
      <c r="V981" t="s">
        <v>52</v>
      </c>
      <c r="W981" t="s">
        <v>59</v>
      </c>
      <c r="X981" t="s">
        <v>98</v>
      </c>
      <c r="Y981" t="s">
        <v>45</v>
      </c>
      <c r="Z981" t="s">
        <v>40</v>
      </c>
      <c r="AA981" t="s">
        <v>54</v>
      </c>
      <c r="AB981" t="s">
        <v>41</v>
      </c>
      <c r="AC981" t="s">
        <v>70</v>
      </c>
      <c r="AD981" t="s">
        <v>40</v>
      </c>
      <c r="AE981" t="s">
        <v>45</v>
      </c>
      <c r="AF981" t="s">
        <v>51</v>
      </c>
      <c r="AG981" t="s">
        <v>71</v>
      </c>
      <c r="AH981" t="s">
        <v>71</v>
      </c>
      <c r="AI981" t="s">
        <v>71</v>
      </c>
    </row>
    <row r="982" spans="1:35" x14ac:dyDescent="0.25">
      <c r="A982" t="s">
        <v>137</v>
      </c>
      <c r="B982" t="s">
        <v>36</v>
      </c>
      <c r="C982" t="s">
        <v>60</v>
      </c>
      <c r="D982" t="s">
        <v>1772</v>
      </c>
      <c r="E982" t="s">
        <v>39</v>
      </c>
      <c r="F982" t="s">
        <v>41</v>
      </c>
      <c r="G982" t="s">
        <v>45</v>
      </c>
      <c r="H982" t="s">
        <v>42</v>
      </c>
      <c r="I982" t="s">
        <v>40</v>
      </c>
      <c r="J982" t="s">
        <v>2449</v>
      </c>
      <c r="K982" t="s">
        <v>45</v>
      </c>
      <c r="L982" t="s">
        <v>43</v>
      </c>
      <c r="M982" t="s">
        <v>360</v>
      </c>
      <c r="N982" t="s">
        <v>41</v>
      </c>
      <c r="O982" t="s">
        <v>40</v>
      </c>
      <c r="P982" t="s">
        <v>182</v>
      </c>
      <c r="Q982" t="s">
        <v>47</v>
      </c>
      <c r="R982" t="s">
        <v>48</v>
      </c>
      <c r="S982" t="s">
        <v>3153</v>
      </c>
      <c r="T982" t="s">
        <v>3154</v>
      </c>
      <c r="U982" t="s">
        <v>71</v>
      </c>
      <c r="V982" t="s">
        <v>52</v>
      </c>
      <c r="W982" t="s">
        <v>59</v>
      </c>
      <c r="X982" t="s">
        <v>129</v>
      </c>
      <c r="Y982" t="s">
        <v>45</v>
      </c>
      <c r="Z982" t="s">
        <v>45</v>
      </c>
      <c r="AA982" t="s">
        <v>54</v>
      </c>
      <c r="AB982" t="s">
        <v>55</v>
      </c>
      <c r="AC982" t="s">
        <v>45</v>
      </c>
      <c r="AD982" t="s">
        <v>45</v>
      </c>
      <c r="AE982" t="s">
        <v>47</v>
      </c>
      <c r="AF982" t="s">
        <v>40</v>
      </c>
      <c r="AG982" t="s">
        <v>55</v>
      </c>
      <c r="AH982" t="s">
        <v>55</v>
      </c>
      <c r="AI982" t="s">
        <v>55</v>
      </c>
    </row>
    <row r="983" spans="1:35" x14ac:dyDescent="0.25">
      <c r="A983" t="s">
        <v>126</v>
      </c>
      <c r="B983" t="s">
        <v>36</v>
      </c>
      <c r="C983" t="s">
        <v>60</v>
      </c>
      <c r="D983" t="s">
        <v>671</v>
      </c>
      <c r="E983" t="s">
        <v>39</v>
      </c>
      <c r="F983" t="s">
        <v>145</v>
      </c>
      <c r="G983" t="s">
        <v>47</v>
      </c>
      <c r="H983" t="s">
        <v>206</v>
      </c>
      <c r="I983" t="s">
        <v>40</v>
      </c>
      <c r="J983" t="s">
        <v>771</v>
      </c>
      <c r="K983" t="s">
        <v>47</v>
      </c>
      <c r="L983" t="s">
        <v>43</v>
      </c>
      <c r="M983" t="s">
        <v>108</v>
      </c>
      <c r="N983" t="s">
        <v>45</v>
      </c>
      <c r="O983" t="s">
        <v>41</v>
      </c>
      <c r="P983" t="s">
        <v>46</v>
      </c>
      <c r="Q983" t="s">
        <v>45</v>
      </c>
      <c r="R983" t="s">
        <v>66</v>
      </c>
      <c r="S983" t="s">
        <v>3155</v>
      </c>
      <c r="T983" t="s">
        <v>3156</v>
      </c>
      <c r="U983" t="s">
        <v>55</v>
      </c>
      <c r="V983" t="s">
        <v>52</v>
      </c>
      <c r="W983" t="s">
        <v>36</v>
      </c>
      <c r="X983" t="s">
        <v>145</v>
      </c>
      <c r="Y983" t="s">
        <v>45</v>
      </c>
      <c r="Z983" t="s">
        <v>45</v>
      </c>
      <c r="AA983" t="s">
        <v>54</v>
      </c>
      <c r="AB983" t="s">
        <v>40</v>
      </c>
      <c r="AC983" t="s">
        <v>57</v>
      </c>
      <c r="AD983" t="s">
        <v>55</v>
      </c>
      <c r="AE983" t="s">
        <v>41</v>
      </c>
      <c r="AF983" t="s">
        <v>47</v>
      </c>
      <c r="AG983" t="s">
        <v>41</v>
      </c>
      <c r="AH983" t="s">
        <v>45</v>
      </c>
      <c r="AI983" t="s">
        <v>41</v>
      </c>
    </row>
    <row r="984" spans="1:35" x14ac:dyDescent="0.25">
      <c r="A984" t="s">
        <v>113</v>
      </c>
      <c r="B984" t="s">
        <v>59</v>
      </c>
      <c r="C984" t="s">
        <v>60</v>
      </c>
      <c r="D984" t="s">
        <v>1920</v>
      </c>
      <c r="E984" t="s">
        <v>62</v>
      </c>
      <c r="F984" t="s">
        <v>71</v>
      </c>
      <c r="G984" t="s">
        <v>45</v>
      </c>
      <c r="H984" t="s">
        <v>42</v>
      </c>
      <c r="I984" t="s">
        <v>40</v>
      </c>
      <c r="J984" t="s">
        <v>3157</v>
      </c>
      <c r="K984" t="s">
        <v>47</v>
      </c>
      <c r="L984" t="s">
        <v>63</v>
      </c>
      <c r="M984" t="s">
        <v>269</v>
      </c>
      <c r="N984" t="s">
        <v>47</v>
      </c>
      <c r="O984" t="s">
        <v>40</v>
      </c>
      <c r="P984" t="s">
        <v>65</v>
      </c>
      <c r="Q984" t="s">
        <v>45</v>
      </c>
      <c r="R984" t="s">
        <v>109</v>
      </c>
      <c r="S984" t="s">
        <v>1423</v>
      </c>
      <c r="T984" t="s">
        <v>3158</v>
      </c>
      <c r="U984" t="s">
        <v>40</v>
      </c>
      <c r="V984" t="s">
        <v>52</v>
      </c>
      <c r="W984" t="s">
        <v>59</v>
      </c>
      <c r="X984" t="s">
        <v>53</v>
      </c>
      <c r="Y984" t="s">
        <v>45</v>
      </c>
      <c r="Z984" t="s">
        <v>47</v>
      </c>
      <c r="AA984" t="s">
        <v>54</v>
      </c>
      <c r="AB984" t="s">
        <v>45</v>
      </c>
      <c r="AC984" t="s">
        <v>47</v>
      </c>
      <c r="AD984" t="s">
        <v>41</v>
      </c>
      <c r="AE984" t="s">
        <v>45</v>
      </c>
      <c r="AF984" t="s">
        <v>47</v>
      </c>
      <c r="AG984" t="s">
        <v>41</v>
      </c>
      <c r="AH984" t="s">
        <v>55</v>
      </c>
      <c r="AI984" t="s">
        <v>45</v>
      </c>
    </row>
    <row r="985" spans="1:35" x14ac:dyDescent="0.25">
      <c r="A985" t="s">
        <v>142</v>
      </c>
      <c r="B985" t="s">
        <v>59</v>
      </c>
      <c r="C985" t="s">
        <v>37</v>
      </c>
      <c r="D985" t="s">
        <v>1194</v>
      </c>
      <c r="E985" t="s">
        <v>62</v>
      </c>
      <c r="F985" t="s">
        <v>41</v>
      </c>
      <c r="G985" t="s">
        <v>47</v>
      </c>
      <c r="H985" t="s">
        <v>228</v>
      </c>
      <c r="I985" t="s">
        <v>40</v>
      </c>
      <c r="J985" t="s">
        <v>2298</v>
      </c>
      <c r="K985" t="s">
        <v>45</v>
      </c>
      <c r="L985" t="s">
        <v>43</v>
      </c>
      <c r="M985" t="s">
        <v>284</v>
      </c>
      <c r="N985" t="s">
        <v>45</v>
      </c>
      <c r="O985" t="s">
        <v>41</v>
      </c>
      <c r="P985" t="s">
        <v>122</v>
      </c>
      <c r="Q985" t="s">
        <v>47</v>
      </c>
      <c r="R985" t="s">
        <v>48</v>
      </c>
      <c r="S985" t="s">
        <v>3159</v>
      </c>
      <c r="T985" t="s">
        <v>3160</v>
      </c>
      <c r="U985" t="s">
        <v>40</v>
      </c>
      <c r="V985" t="s">
        <v>52</v>
      </c>
      <c r="W985" t="s">
        <v>59</v>
      </c>
      <c r="X985" t="s">
        <v>53</v>
      </c>
      <c r="Y985" t="s">
        <v>45</v>
      </c>
      <c r="Z985" t="s">
        <v>47</v>
      </c>
      <c r="AA985" t="s">
        <v>54</v>
      </c>
      <c r="AB985" t="s">
        <v>55</v>
      </c>
      <c r="AC985" t="s">
        <v>129</v>
      </c>
      <c r="AD985" t="s">
        <v>41</v>
      </c>
      <c r="AE985" t="s">
        <v>47</v>
      </c>
      <c r="AF985" t="s">
        <v>129</v>
      </c>
      <c r="AG985" t="s">
        <v>53</v>
      </c>
      <c r="AH985" t="s">
        <v>47</v>
      </c>
      <c r="AI985" t="s">
        <v>53</v>
      </c>
    </row>
    <row r="986" spans="1:35" x14ac:dyDescent="0.25">
      <c r="A986" t="s">
        <v>149</v>
      </c>
      <c r="B986" t="s">
        <v>59</v>
      </c>
      <c r="C986" t="s">
        <v>37</v>
      </c>
      <c r="D986" t="s">
        <v>3161</v>
      </c>
      <c r="E986" t="s">
        <v>39</v>
      </c>
      <c r="F986" t="s">
        <v>139</v>
      </c>
      <c r="G986" t="s">
        <v>45</v>
      </c>
      <c r="H986" t="s">
        <v>42</v>
      </c>
      <c r="I986" t="s">
        <v>40</v>
      </c>
      <c r="J986" t="s">
        <v>3162</v>
      </c>
      <c r="K986" t="s">
        <v>45</v>
      </c>
      <c r="L986" t="s">
        <v>63</v>
      </c>
      <c r="M986" t="s">
        <v>207</v>
      </c>
      <c r="N986" t="s">
        <v>41</v>
      </c>
      <c r="O986" t="s">
        <v>41</v>
      </c>
      <c r="P986" t="s">
        <v>46</v>
      </c>
      <c r="Q986" t="s">
        <v>40</v>
      </c>
      <c r="R986" t="s">
        <v>66</v>
      </c>
      <c r="S986" t="s">
        <v>3163</v>
      </c>
      <c r="T986" t="s">
        <v>3164</v>
      </c>
      <c r="U986" t="s">
        <v>40</v>
      </c>
      <c r="V986" t="s">
        <v>52</v>
      </c>
      <c r="W986" t="s">
        <v>59</v>
      </c>
      <c r="X986" t="s">
        <v>53</v>
      </c>
      <c r="Y986" t="s">
        <v>45</v>
      </c>
      <c r="Z986" t="s">
        <v>45</v>
      </c>
      <c r="AA986" t="s">
        <v>54</v>
      </c>
      <c r="AB986" t="s">
        <v>40</v>
      </c>
      <c r="AC986" t="s">
        <v>57</v>
      </c>
      <c r="AD986" t="s">
        <v>55</v>
      </c>
      <c r="AE986" t="s">
        <v>45</v>
      </c>
      <c r="AF986" t="s">
        <v>57</v>
      </c>
      <c r="AG986" t="s">
        <v>45</v>
      </c>
      <c r="AH986" t="s">
        <v>55</v>
      </c>
      <c r="AI986" t="s">
        <v>47</v>
      </c>
    </row>
    <row r="987" spans="1:35" x14ac:dyDescent="0.25">
      <c r="A987" t="s">
        <v>137</v>
      </c>
      <c r="B987" t="s">
        <v>36</v>
      </c>
      <c r="C987" t="s">
        <v>37</v>
      </c>
      <c r="D987" t="s">
        <v>987</v>
      </c>
      <c r="E987" t="s">
        <v>62</v>
      </c>
      <c r="F987" t="s">
        <v>112</v>
      </c>
      <c r="G987" t="s">
        <v>47</v>
      </c>
      <c r="H987" t="s">
        <v>87</v>
      </c>
      <c r="I987" t="s">
        <v>40</v>
      </c>
      <c r="J987" t="s">
        <v>154</v>
      </c>
      <c r="K987" t="s">
        <v>47</v>
      </c>
      <c r="L987" t="s">
        <v>63</v>
      </c>
      <c r="M987" t="s">
        <v>284</v>
      </c>
      <c r="N987" t="s">
        <v>45</v>
      </c>
      <c r="O987" t="s">
        <v>41</v>
      </c>
      <c r="P987" t="s">
        <v>116</v>
      </c>
      <c r="Q987" t="s">
        <v>45</v>
      </c>
      <c r="R987" t="s">
        <v>66</v>
      </c>
      <c r="S987" t="s">
        <v>2425</v>
      </c>
      <c r="T987" t="s">
        <v>3165</v>
      </c>
      <c r="U987" t="s">
        <v>40</v>
      </c>
      <c r="V987" t="s">
        <v>52</v>
      </c>
      <c r="W987" t="s">
        <v>36</v>
      </c>
      <c r="X987" t="s">
        <v>79</v>
      </c>
      <c r="Y987" t="s">
        <v>45</v>
      </c>
      <c r="Z987" t="s">
        <v>47</v>
      </c>
      <c r="AA987" t="s">
        <v>54</v>
      </c>
      <c r="AB987" t="s">
        <v>41</v>
      </c>
      <c r="AC987" t="s">
        <v>70</v>
      </c>
      <c r="AD987" t="s">
        <v>45</v>
      </c>
      <c r="AE987" t="s">
        <v>41</v>
      </c>
      <c r="AF987" t="s">
        <v>70</v>
      </c>
      <c r="AG987" t="s">
        <v>41</v>
      </c>
      <c r="AH987" t="s">
        <v>56</v>
      </c>
      <c r="AI987" t="s">
        <v>71</v>
      </c>
    </row>
    <row r="988" spans="1:35" x14ac:dyDescent="0.25">
      <c r="A988" t="s">
        <v>218</v>
      </c>
      <c r="B988" t="s">
        <v>59</v>
      </c>
      <c r="C988" t="s">
        <v>37</v>
      </c>
      <c r="D988" t="s">
        <v>3166</v>
      </c>
      <c r="E988" t="s">
        <v>39</v>
      </c>
      <c r="F988" t="s">
        <v>119</v>
      </c>
      <c r="G988" t="s">
        <v>47</v>
      </c>
      <c r="H988" t="s">
        <v>42</v>
      </c>
      <c r="I988" t="s">
        <v>40</v>
      </c>
      <c r="J988" t="s">
        <v>3167</v>
      </c>
      <c r="K988" t="s">
        <v>40</v>
      </c>
      <c r="L988" t="s">
        <v>63</v>
      </c>
      <c r="M988" t="s">
        <v>115</v>
      </c>
      <c r="N988" t="s">
        <v>41</v>
      </c>
      <c r="O988" t="s">
        <v>41</v>
      </c>
      <c r="P988" t="s">
        <v>46</v>
      </c>
      <c r="Q988" t="s">
        <v>47</v>
      </c>
      <c r="R988" t="s">
        <v>66</v>
      </c>
      <c r="S988" t="s">
        <v>3168</v>
      </c>
      <c r="T988" t="s">
        <v>3169</v>
      </c>
      <c r="U988" t="s">
        <v>45</v>
      </c>
      <c r="V988" t="s">
        <v>52</v>
      </c>
      <c r="W988" t="s">
        <v>36</v>
      </c>
      <c r="X988" t="s">
        <v>92</v>
      </c>
      <c r="Y988" t="s">
        <v>45</v>
      </c>
      <c r="Z988" t="s">
        <v>47</v>
      </c>
      <c r="AA988" t="s">
        <v>54</v>
      </c>
      <c r="AB988" t="s">
        <v>41</v>
      </c>
      <c r="AC988" t="s">
        <v>51</v>
      </c>
      <c r="AD988" t="s">
        <v>41</v>
      </c>
      <c r="AE988" t="s">
        <v>47</v>
      </c>
      <c r="AF988" t="s">
        <v>57</v>
      </c>
      <c r="AG988" t="s">
        <v>47</v>
      </c>
      <c r="AH988" t="s">
        <v>40</v>
      </c>
      <c r="AI988" t="s">
        <v>47</v>
      </c>
    </row>
    <row r="989" spans="1:35" x14ac:dyDescent="0.25">
      <c r="A989" t="s">
        <v>155</v>
      </c>
      <c r="B989" t="s">
        <v>59</v>
      </c>
      <c r="C989" t="s">
        <v>60</v>
      </c>
      <c r="D989" t="s">
        <v>423</v>
      </c>
      <c r="E989" t="s">
        <v>39</v>
      </c>
      <c r="F989" t="s">
        <v>41</v>
      </c>
      <c r="G989" t="s">
        <v>45</v>
      </c>
      <c r="H989" t="s">
        <v>206</v>
      </c>
      <c r="I989" t="s">
        <v>40</v>
      </c>
      <c r="J989" t="s">
        <v>2488</v>
      </c>
      <c r="K989" t="s">
        <v>41</v>
      </c>
      <c r="L989" t="s">
        <v>63</v>
      </c>
      <c r="M989" t="s">
        <v>251</v>
      </c>
      <c r="N989" t="s">
        <v>45</v>
      </c>
      <c r="O989" t="s">
        <v>45</v>
      </c>
      <c r="P989" t="s">
        <v>46</v>
      </c>
      <c r="Q989" t="s">
        <v>41</v>
      </c>
      <c r="R989" t="s">
        <v>66</v>
      </c>
      <c r="S989" t="s">
        <v>3170</v>
      </c>
      <c r="T989" t="s">
        <v>3171</v>
      </c>
      <c r="U989" t="s">
        <v>41</v>
      </c>
      <c r="V989" t="s">
        <v>52</v>
      </c>
      <c r="W989" t="s">
        <v>59</v>
      </c>
      <c r="X989" t="s">
        <v>53</v>
      </c>
      <c r="Y989" t="s">
        <v>45</v>
      </c>
      <c r="Z989" t="s">
        <v>41</v>
      </c>
      <c r="AA989" t="s">
        <v>54</v>
      </c>
      <c r="AB989" t="s">
        <v>55</v>
      </c>
      <c r="AC989" t="s">
        <v>129</v>
      </c>
      <c r="AD989" t="s">
        <v>57</v>
      </c>
      <c r="AE989" t="s">
        <v>45</v>
      </c>
      <c r="AF989" t="s">
        <v>47</v>
      </c>
      <c r="AG989" t="s">
        <v>41</v>
      </c>
      <c r="AH989" t="s">
        <v>45</v>
      </c>
      <c r="AI989" t="s">
        <v>41</v>
      </c>
    </row>
    <row r="990" spans="1:35" x14ac:dyDescent="0.25">
      <c r="A990" t="s">
        <v>35</v>
      </c>
      <c r="B990" t="s">
        <v>59</v>
      </c>
      <c r="C990" t="s">
        <v>60</v>
      </c>
      <c r="D990" t="s">
        <v>1215</v>
      </c>
      <c r="E990" t="s">
        <v>62</v>
      </c>
      <c r="F990" t="s">
        <v>112</v>
      </c>
      <c r="G990" t="s">
        <v>45</v>
      </c>
      <c r="H990" t="s">
        <v>42</v>
      </c>
      <c r="I990" t="s">
        <v>40</v>
      </c>
      <c r="J990" t="s">
        <v>81</v>
      </c>
      <c r="K990" t="s">
        <v>47</v>
      </c>
      <c r="L990" t="s">
        <v>43</v>
      </c>
      <c r="M990" t="s">
        <v>255</v>
      </c>
      <c r="N990" t="s">
        <v>45</v>
      </c>
      <c r="O990" t="s">
        <v>41</v>
      </c>
      <c r="P990" t="s">
        <v>65</v>
      </c>
      <c r="Q990" t="s">
        <v>47</v>
      </c>
      <c r="R990" t="s">
        <v>109</v>
      </c>
      <c r="S990" t="s">
        <v>3172</v>
      </c>
      <c r="T990" t="s">
        <v>3173</v>
      </c>
      <c r="U990" t="s">
        <v>45</v>
      </c>
      <c r="V990" t="s">
        <v>52</v>
      </c>
      <c r="W990" t="s">
        <v>36</v>
      </c>
      <c r="X990" t="s">
        <v>129</v>
      </c>
      <c r="Y990" t="s">
        <v>45</v>
      </c>
      <c r="Z990" t="s">
        <v>40</v>
      </c>
      <c r="AA990" t="s">
        <v>54</v>
      </c>
      <c r="AB990" t="s">
        <v>41</v>
      </c>
      <c r="AC990" t="s">
        <v>92</v>
      </c>
      <c r="AD990" t="s">
        <v>47</v>
      </c>
      <c r="AE990" t="s">
        <v>41</v>
      </c>
      <c r="AF990" t="s">
        <v>56</v>
      </c>
      <c r="AG990" t="s">
        <v>41</v>
      </c>
      <c r="AH990" t="s">
        <v>45</v>
      </c>
      <c r="AI990" t="s">
        <v>45</v>
      </c>
    </row>
    <row r="991" spans="1:35" x14ac:dyDescent="0.25">
      <c r="A991" t="s">
        <v>72</v>
      </c>
      <c r="B991" t="s">
        <v>59</v>
      </c>
      <c r="C991" t="s">
        <v>37</v>
      </c>
      <c r="D991" t="s">
        <v>3174</v>
      </c>
      <c r="E991" t="s">
        <v>62</v>
      </c>
      <c r="F991" t="s">
        <v>47</v>
      </c>
      <c r="G991" t="s">
        <v>40</v>
      </c>
      <c r="H991" t="s">
        <v>42</v>
      </c>
      <c r="I991" t="s">
        <v>40</v>
      </c>
      <c r="J991" t="s">
        <v>3175</v>
      </c>
      <c r="K991" t="s">
        <v>45</v>
      </c>
      <c r="L991" t="s">
        <v>63</v>
      </c>
      <c r="M991" t="s">
        <v>259</v>
      </c>
      <c r="N991" t="s">
        <v>45</v>
      </c>
      <c r="O991" t="s">
        <v>40</v>
      </c>
      <c r="P991" t="s">
        <v>65</v>
      </c>
      <c r="Q991" t="s">
        <v>45</v>
      </c>
      <c r="R991" t="s">
        <v>66</v>
      </c>
      <c r="S991" t="s">
        <v>3176</v>
      </c>
      <c r="T991" t="s">
        <v>3177</v>
      </c>
      <c r="U991" t="s">
        <v>71</v>
      </c>
      <c r="V991" t="s">
        <v>52</v>
      </c>
      <c r="W991" t="s">
        <v>36</v>
      </c>
      <c r="X991" t="s">
        <v>79</v>
      </c>
      <c r="Y991" t="s">
        <v>45</v>
      </c>
      <c r="Z991" t="s">
        <v>47</v>
      </c>
      <c r="AA991" t="s">
        <v>54</v>
      </c>
      <c r="AB991" t="s">
        <v>55</v>
      </c>
      <c r="AC991" t="s">
        <v>51</v>
      </c>
      <c r="AD991" t="s">
        <v>41</v>
      </c>
      <c r="AE991" t="s">
        <v>45</v>
      </c>
      <c r="AF991" t="s">
        <v>56</v>
      </c>
      <c r="AG991" t="s">
        <v>47</v>
      </c>
      <c r="AH991" t="s">
        <v>40</v>
      </c>
      <c r="AI991" t="s">
        <v>45</v>
      </c>
    </row>
    <row r="992" spans="1:35" x14ac:dyDescent="0.25">
      <c r="A992" t="s">
        <v>80</v>
      </c>
      <c r="B992" t="s">
        <v>59</v>
      </c>
      <c r="C992" t="s">
        <v>60</v>
      </c>
      <c r="D992" t="s">
        <v>2087</v>
      </c>
      <c r="E992" t="s">
        <v>39</v>
      </c>
      <c r="F992" t="s">
        <v>57</v>
      </c>
      <c r="G992" t="s">
        <v>40</v>
      </c>
      <c r="H992" t="s">
        <v>42</v>
      </c>
      <c r="I992" t="s">
        <v>40</v>
      </c>
      <c r="J992" t="s">
        <v>667</v>
      </c>
      <c r="K992" t="s">
        <v>41</v>
      </c>
      <c r="L992" t="s">
        <v>63</v>
      </c>
      <c r="M992" t="s">
        <v>64</v>
      </c>
      <c r="N992" t="s">
        <v>45</v>
      </c>
      <c r="O992" t="s">
        <v>41</v>
      </c>
      <c r="P992" t="s">
        <v>46</v>
      </c>
      <c r="Q992" t="s">
        <v>47</v>
      </c>
      <c r="R992" t="s">
        <v>66</v>
      </c>
      <c r="S992" t="s">
        <v>3178</v>
      </c>
      <c r="T992" t="s">
        <v>3179</v>
      </c>
      <c r="U992" t="s">
        <v>56</v>
      </c>
      <c r="V992" t="s">
        <v>52</v>
      </c>
      <c r="W992" t="s">
        <v>59</v>
      </c>
      <c r="X992" t="s">
        <v>98</v>
      </c>
      <c r="Y992" t="s">
        <v>45</v>
      </c>
      <c r="Z992" t="s">
        <v>40</v>
      </c>
      <c r="AA992" t="s">
        <v>54</v>
      </c>
      <c r="AB992" t="s">
        <v>55</v>
      </c>
      <c r="AC992" t="s">
        <v>51</v>
      </c>
      <c r="AD992" t="s">
        <v>41</v>
      </c>
      <c r="AE992" t="s">
        <v>47</v>
      </c>
      <c r="AF992" t="s">
        <v>57</v>
      </c>
      <c r="AG992" t="s">
        <v>47</v>
      </c>
      <c r="AH992" t="s">
        <v>40</v>
      </c>
      <c r="AI992" t="s">
        <v>41</v>
      </c>
    </row>
    <row r="993" spans="1:35" x14ac:dyDescent="0.25">
      <c r="A993" t="s">
        <v>93</v>
      </c>
      <c r="B993" t="s">
        <v>59</v>
      </c>
      <c r="C993" t="s">
        <v>37</v>
      </c>
      <c r="D993" t="s">
        <v>1462</v>
      </c>
      <c r="E993" t="s">
        <v>39</v>
      </c>
      <c r="F993" t="s">
        <v>41</v>
      </c>
      <c r="G993" t="s">
        <v>40</v>
      </c>
      <c r="H993" t="s">
        <v>206</v>
      </c>
      <c r="I993" t="s">
        <v>40</v>
      </c>
      <c r="J993" t="s">
        <v>921</v>
      </c>
      <c r="K993" t="s">
        <v>45</v>
      </c>
      <c r="L993" t="s">
        <v>63</v>
      </c>
      <c r="M993" t="s">
        <v>120</v>
      </c>
      <c r="N993" t="s">
        <v>45</v>
      </c>
      <c r="O993" t="s">
        <v>41</v>
      </c>
      <c r="P993" t="s">
        <v>46</v>
      </c>
      <c r="Q993" t="s">
        <v>41</v>
      </c>
      <c r="R993" t="s">
        <v>66</v>
      </c>
      <c r="S993" t="s">
        <v>3180</v>
      </c>
      <c r="T993" t="s">
        <v>3181</v>
      </c>
      <c r="U993" t="s">
        <v>55</v>
      </c>
      <c r="V993" t="s">
        <v>52</v>
      </c>
      <c r="W993" t="s">
        <v>36</v>
      </c>
      <c r="X993" t="s">
        <v>98</v>
      </c>
      <c r="Y993" t="s">
        <v>45</v>
      </c>
      <c r="Z993" t="s">
        <v>40</v>
      </c>
      <c r="AA993" t="s">
        <v>54</v>
      </c>
      <c r="AB993" t="s">
        <v>45</v>
      </c>
      <c r="AC993" t="s">
        <v>47</v>
      </c>
      <c r="AD993" t="s">
        <v>45</v>
      </c>
      <c r="AE993" t="s">
        <v>41</v>
      </c>
      <c r="AF993" t="s">
        <v>45</v>
      </c>
      <c r="AG993" t="s">
        <v>41</v>
      </c>
      <c r="AH993" t="s">
        <v>40</v>
      </c>
      <c r="AI993" t="s">
        <v>41</v>
      </c>
    </row>
    <row r="994" spans="1:35" x14ac:dyDescent="0.25">
      <c r="A994" t="s">
        <v>218</v>
      </c>
      <c r="B994" t="s">
        <v>59</v>
      </c>
      <c r="C994" t="s">
        <v>161</v>
      </c>
      <c r="D994" t="s">
        <v>1573</v>
      </c>
      <c r="E994" t="s">
        <v>62</v>
      </c>
      <c r="F994" t="s">
        <v>172</v>
      </c>
      <c r="G994" t="s">
        <v>41</v>
      </c>
      <c r="H994" t="s">
        <v>42</v>
      </c>
      <c r="I994" t="s">
        <v>40</v>
      </c>
      <c r="J994" t="s">
        <v>1852</v>
      </c>
      <c r="K994" t="s">
        <v>45</v>
      </c>
      <c r="L994" t="s">
        <v>63</v>
      </c>
      <c r="M994" t="s">
        <v>315</v>
      </c>
      <c r="N994" t="s">
        <v>45</v>
      </c>
      <c r="O994" t="s">
        <v>45</v>
      </c>
      <c r="P994" t="s">
        <v>122</v>
      </c>
      <c r="Q994" t="s">
        <v>45</v>
      </c>
      <c r="R994" t="s">
        <v>66</v>
      </c>
      <c r="S994" t="s">
        <v>3182</v>
      </c>
      <c r="T994" t="s">
        <v>3183</v>
      </c>
      <c r="U994" t="s">
        <v>45</v>
      </c>
      <c r="V994" t="s">
        <v>52</v>
      </c>
      <c r="W994" t="s">
        <v>59</v>
      </c>
      <c r="X994" t="s">
        <v>119</v>
      </c>
      <c r="Y994" t="s">
        <v>47</v>
      </c>
      <c r="Z994" t="s">
        <v>41</v>
      </c>
      <c r="AA994" t="s">
        <v>54</v>
      </c>
      <c r="AB994" t="s">
        <v>40</v>
      </c>
      <c r="AC994" t="s">
        <v>98</v>
      </c>
      <c r="AD994" t="s">
        <v>41</v>
      </c>
      <c r="AE994" t="s">
        <v>45</v>
      </c>
      <c r="AF994" t="s">
        <v>56</v>
      </c>
      <c r="AG994" t="s">
        <v>47</v>
      </c>
      <c r="AH994" t="s">
        <v>55</v>
      </c>
      <c r="AI994" t="s">
        <v>57</v>
      </c>
    </row>
    <row r="995" spans="1:35" x14ac:dyDescent="0.25">
      <c r="A995" t="s">
        <v>172</v>
      </c>
      <c r="B995" t="s">
        <v>59</v>
      </c>
      <c r="C995" t="s">
        <v>37</v>
      </c>
      <c r="D995" t="s">
        <v>1156</v>
      </c>
      <c r="E995" t="s">
        <v>39</v>
      </c>
      <c r="F995" t="s">
        <v>145</v>
      </c>
      <c r="G995" t="s">
        <v>40</v>
      </c>
      <c r="H995" t="s">
        <v>42</v>
      </c>
      <c r="I995" t="s">
        <v>40</v>
      </c>
      <c r="J995" t="s">
        <v>3184</v>
      </c>
      <c r="K995" t="s">
        <v>40</v>
      </c>
      <c r="L995" t="s">
        <v>63</v>
      </c>
      <c r="M995" t="s">
        <v>146</v>
      </c>
      <c r="N995" t="s">
        <v>47</v>
      </c>
      <c r="O995" t="s">
        <v>41</v>
      </c>
      <c r="P995" t="s">
        <v>46</v>
      </c>
      <c r="Q995" t="s">
        <v>45</v>
      </c>
      <c r="R995" t="s">
        <v>66</v>
      </c>
      <c r="S995" t="s">
        <v>3185</v>
      </c>
      <c r="T995" t="s">
        <v>3186</v>
      </c>
      <c r="U995" t="s">
        <v>41</v>
      </c>
      <c r="V995" t="s">
        <v>52</v>
      </c>
      <c r="W995" t="s">
        <v>59</v>
      </c>
      <c r="X995" t="s">
        <v>53</v>
      </c>
      <c r="Y995" t="s">
        <v>45</v>
      </c>
      <c r="Z995" t="s">
        <v>41</v>
      </c>
      <c r="AA995" t="s">
        <v>54</v>
      </c>
      <c r="AB995" t="s">
        <v>55</v>
      </c>
      <c r="AC995" t="s">
        <v>56</v>
      </c>
      <c r="AD995" t="s">
        <v>45</v>
      </c>
      <c r="AE995" t="s">
        <v>41</v>
      </c>
      <c r="AF995" t="s">
        <v>45</v>
      </c>
      <c r="AG995" t="s">
        <v>41</v>
      </c>
      <c r="AH995" t="s">
        <v>40</v>
      </c>
      <c r="AI995" t="s">
        <v>41</v>
      </c>
    </row>
    <row r="996" spans="1:35" x14ac:dyDescent="0.25">
      <c r="A996" t="s">
        <v>251</v>
      </c>
      <c r="B996" t="s">
        <v>59</v>
      </c>
      <c r="C996" t="s">
        <v>60</v>
      </c>
      <c r="D996" t="s">
        <v>1127</v>
      </c>
      <c r="E996" t="s">
        <v>62</v>
      </c>
      <c r="F996" t="s">
        <v>149</v>
      </c>
      <c r="G996" t="s">
        <v>41</v>
      </c>
      <c r="H996" t="s">
        <v>87</v>
      </c>
      <c r="I996" t="s">
        <v>40</v>
      </c>
      <c r="J996" t="s">
        <v>986</v>
      </c>
      <c r="K996" t="s">
        <v>47</v>
      </c>
      <c r="L996" t="s">
        <v>43</v>
      </c>
      <c r="M996" t="s">
        <v>99</v>
      </c>
      <c r="N996" t="s">
        <v>47</v>
      </c>
      <c r="O996" t="s">
        <v>47</v>
      </c>
      <c r="P996" t="s">
        <v>116</v>
      </c>
      <c r="Q996" t="s">
        <v>45</v>
      </c>
      <c r="R996" t="s">
        <v>66</v>
      </c>
      <c r="S996" t="s">
        <v>3187</v>
      </c>
      <c r="T996" t="s">
        <v>3188</v>
      </c>
      <c r="U996" t="s">
        <v>41</v>
      </c>
      <c r="V996" t="s">
        <v>52</v>
      </c>
      <c r="W996" t="s">
        <v>36</v>
      </c>
      <c r="X996" t="s">
        <v>53</v>
      </c>
      <c r="Y996" t="s">
        <v>45</v>
      </c>
      <c r="Z996" t="s">
        <v>41</v>
      </c>
      <c r="AA996" t="s">
        <v>54</v>
      </c>
      <c r="AB996" t="s">
        <v>40</v>
      </c>
      <c r="AC996" t="s">
        <v>107</v>
      </c>
      <c r="AD996" t="s">
        <v>45</v>
      </c>
      <c r="AE996" t="s">
        <v>41</v>
      </c>
      <c r="AF996" t="s">
        <v>57</v>
      </c>
      <c r="AG996" t="s">
        <v>45</v>
      </c>
      <c r="AH996" t="s">
        <v>55</v>
      </c>
      <c r="AI996" t="s">
        <v>41</v>
      </c>
    </row>
    <row r="997" spans="1:35" x14ac:dyDescent="0.25">
      <c r="A997" t="s">
        <v>234</v>
      </c>
      <c r="B997" t="s">
        <v>59</v>
      </c>
      <c r="C997" t="s">
        <v>37</v>
      </c>
      <c r="D997" t="s">
        <v>2211</v>
      </c>
      <c r="E997" t="s">
        <v>62</v>
      </c>
      <c r="F997" t="s">
        <v>56</v>
      </c>
      <c r="G997" t="s">
        <v>45</v>
      </c>
      <c r="H997" t="s">
        <v>87</v>
      </c>
      <c r="I997" t="s">
        <v>40</v>
      </c>
      <c r="J997" t="s">
        <v>2856</v>
      </c>
      <c r="K997" t="s">
        <v>40</v>
      </c>
      <c r="L997" t="s">
        <v>43</v>
      </c>
      <c r="M997" t="s">
        <v>279</v>
      </c>
      <c r="N997" t="s">
        <v>41</v>
      </c>
      <c r="O997" t="s">
        <v>41</v>
      </c>
      <c r="P997" t="s">
        <v>65</v>
      </c>
      <c r="Q997" t="s">
        <v>45</v>
      </c>
      <c r="R997" t="s">
        <v>48</v>
      </c>
      <c r="S997" t="s">
        <v>3189</v>
      </c>
      <c r="T997" t="s">
        <v>3190</v>
      </c>
      <c r="U997" t="s">
        <v>40</v>
      </c>
      <c r="V997" t="s">
        <v>52</v>
      </c>
      <c r="W997" t="s">
        <v>36</v>
      </c>
      <c r="X997" t="s">
        <v>129</v>
      </c>
      <c r="Y997" t="s">
        <v>45</v>
      </c>
      <c r="Z997" t="s">
        <v>40</v>
      </c>
      <c r="AA997" t="s">
        <v>54</v>
      </c>
      <c r="AB997" t="s">
        <v>55</v>
      </c>
      <c r="AC997" t="s">
        <v>104</v>
      </c>
      <c r="AD997" t="s">
        <v>45</v>
      </c>
      <c r="AE997" t="s">
        <v>40</v>
      </c>
      <c r="AF997" t="s">
        <v>104</v>
      </c>
      <c r="AG997" t="s">
        <v>71</v>
      </c>
      <c r="AH997" t="s">
        <v>40</v>
      </c>
      <c r="AI997" t="s">
        <v>51</v>
      </c>
    </row>
    <row r="998" spans="1:35" x14ac:dyDescent="0.25">
      <c r="A998" t="s">
        <v>85</v>
      </c>
      <c r="B998" t="s">
        <v>59</v>
      </c>
      <c r="C998" t="s">
        <v>37</v>
      </c>
      <c r="D998" t="s">
        <v>676</v>
      </c>
      <c r="E998" t="s">
        <v>39</v>
      </c>
      <c r="F998" t="s">
        <v>70</v>
      </c>
      <c r="G998" t="s">
        <v>45</v>
      </c>
      <c r="H998" t="s">
        <v>206</v>
      </c>
      <c r="I998" t="s">
        <v>40</v>
      </c>
      <c r="J998" t="s">
        <v>1097</v>
      </c>
      <c r="K998" t="s">
        <v>47</v>
      </c>
      <c r="L998" t="s">
        <v>43</v>
      </c>
      <c r="M998" t="s">
        <v>284</v>
      </c>
      <c r="N998" t="s">
        <v>41</v>
      </c>
      <c r="O998" t="s">
        <v>41</v>
      </c>
      <c r="P998" t="s">
        <v>46</v>
      </c>
      <c r="Q998" t="s">
        <v>47</v>
      </c>
      <c r="R998" t="s">
        <v>66</v>
      </c>
      <c r="S998" t="s">
        <v>3191</v>
      </c>
      <c r="T998" t="s">
        <v>3192</v>
      </c>
      <c r="U998" t="s">
        <v>40</v>
      </c>
      <c r="V998" t="s">
        <v>52</v>
      </c>
      <c r="W998" t="s">
        <v>36</v>
      </c>
      <c r="X998" t="s">
        <v>53</v>
      </c>
      <c r="Y998" t="s">
        <v>45</v>
      </c>
      <c r="Z998" t="s">
        <v>47</v>
      </c>
      <c r="AA998" t="s">
        <v>54</v>
      </c>
      <c r="AB998" t="s">
        <v>55</v>
      </c>
      <c r="AC998" t="s">
        <v>56</v>
      </c>
      <c r="AD998" t="s">
        <v>45</v>
      </c>
      <c r="AE998" t="s">
        <v>45</v>
      </c>
      <c r="AF998" t="s">
        <v>56</v>
      </c>
      <c r="AG998" t="s">
        <v>41</v>
      </c>
      <c r="AH998" t="s">
        <v>47</v>
      </c>
      <c r="AI998" t="s">
        <v>47</v>
      </c>
    </row>
    <row r="999" spans="1:35" x14ac:dyDescent="0.25">
      <c r="A999" t="s">
        <v>85</v>
      </c>
      <c r="B999" t="s">
        <v>36</v>
      </c>
      <c r="C999" t="s">
        <v>37</v>
      </c>
      <c r="D999" t="s">
        <v>2556</v>
      </c>
      <c r="E999" t="s">
        <v>62</v>
      </c>
      <c r="F999" t="s">
        <v>125</v>
      </c>
      <c r="G999" t="s">
        <v>47</v>
      </c>
      <c r="H999" t="s">
        <v>42</v>
      </c>
      <c r="I999" t="s">
        <v>40</v>
      </c>
      <c r="J999" t="s">
        <v>3129</v>
      </c>
      <c r="K999" t="s">
        <v>47</v>
      </c>
      <c r="L999" t="s">
        <v>43</v>
      </c>
      <c r="M999" t="s">
        <v>155</v>
      </c>
      <c r="N999" t="s">
        <v>45</v>
      </c>
      <c r="O999" t="s">
        <v>40</v>
      </c>
      <c r="P999" t="s">
        <v>65</v>
      </c>
      <c r="Q999" t="s">
        <v>45</v>
      </c>
      <c r="R999" t="s">
        <v>48</v>
      </c>
      <c r="S999" t="s">
        <v>3193</v>
      </c>
      <c r="T999" t="s">
        <v>3194</v>
      </c>
      <c r="U999" t="s">
        <v>40</v>
      </c>
      <c r="V999" t="s">
        <v>52</v>
      </c>
      <c r="W999" t="s">
        <v>36</v>
      </c>
      <c r="X999" t="s">
        <v>98</v>
      </c>
      <c r="Y999" t="s">
        <v>45</v>
      </c>
      <c r="Z999" t="s">
        <v>47</v>
      </c>
      <c r="AA999" t="s">
        <v>54</v>
      </c>
      <c r="AB999" t="s">
        <v>55</v>
      </c>
      <c r="AC999" t="s">
        <v>51</v>
      </c>
      <c r="AD999" t="s">
        <v>41</v>
      </c>
      <c r="AE999" t="s">
        <v>45</v>
      </c>
      <c r="AF999" t="s">
        <v>51</v>
      </c>
      <c r="AG999" t="s">
        <v>41</v>
      </c>
      <c r="AH999" t="s">
        <v>71</v>
      </c>
      <c r="AI999" t="s">
        <v>71</v>
      </c>
    </row>
    <row r="1000" spans="1:35" x14ac:dyDescent="0.25">
      <c r="A1000" t="s">
        <v>139</v>
      </c>
      <c r="B1000" t="s">
        <v>59</v>
      </c>
      <c r="C1000" t="s">
        <v>37</v>
      </c>
      <c r="D1000" t="s">
        <v>1853</v>
      </c>
      <c r="E1000" t="s">
        <v>62</v>
      </c>
      <c r="F1000" t="s">
        <v>41</v>
      </c>
      <c r="G1000" t="s">
        <v>40</v>
      </c>
      <c r="H1000" t="s">
        <v>87</v>
      </c>
      <c r="I1000" t="s">
        <v>40</v>
      </c>
      <c r="J1000" t="s">
        <v>3195</v>
      </c>
      <c r="K1000" t="s">
        <v>40</v>
      </c>
      <c r="L1000" t="s">
        <v>63</v>
      </c>
      <c r="M1000" t="s">
        <v>120</v>
      </c>
      <c r="N1000" t="s">
        <v>41</v>
      </c>
      <c r="O1000" t="s">
        <v>40</v>
      </c>
      <c r="P1000" t="s">
        <v>65</v>
      </c>
      <c r="Q1000" t="s">
        <v>47</v>
      </c>
      <c r="R1000" t="s">
        <v>48</v>
      </c>
      <c r="S1000" t="s">
        <v>3056</v>
      </c>
      <c r="T1000" t="s">
        <v>3196</v>
      </c>
      <c r="U1000" t="s">
        <v>55</v>
      </c>
      <c r="V1000" t="s">
        <v>52</v>
      </c>
      <c r="W1000" t="s">
        <v>59</v>
      </c>
      <c r="X1000" t="s">
        <v>92</v>
      </c>
      <c r="Y1000" t="s">
        <v>45</v>
      </c>
      <c r="Z1000" t="s">
        <v>47</v>
      </c>
      <c r="AA1000" t="s">
        <v>54</v>
      </c>
      <c r="AB1000" t="s">
        <v>55</v>
      </c>
      <c r="AC1000" t="s">
        <v>57</v>
      </c>
      <c r="AD1000" t="s">
        <v>41</v>
      </c>
      <c r="AE1000" t="s">
        <v>45</v>
      </c>
      <c r="AF1000" t="s">
        <v>47</v>
      </c>
      <c r="AG1000" t="s">
        <v>45</v>
      </c>
      <c r="AH1000" t="s">
        <v>40</v>
      </c>
      <c r="AI1000" t="s">
        <v>40</v>
      </c>
    </row>
    <row r="1001" spans="1:35" x14ac:dyDescent="0.25">
      <c r="A1001" t="s">
        <v>204</v>
      </c>
      <c r="B1001" t="s">
        <v>59</v>
      </c>
      <c r="C1001" t="s">
        <v>37</v>
      </c>
      <c r="D1001" t="s">
        <v>918</v>
      </c>
      <c r="E1001" t="s">
        <v>397</v>
      </c>
      <c r="F1001" t="s">
        <v>70</v>
      </c>
      <c r="G1001" t="s">
        <v>45</v>
      </c>
      <c r="H1001" t="s">
        <v>397</v>
      </c>
      <c r="I1001" t="s">
        <v>40</v>
      </c>
      <c r="J1001" t="s">
        <v>3197</v>
      </c>
      <c r="K1001" t="s">
        <v>45</v>
      </c>
      <c r="L1001" t="s">
        <v>43</v>
      </c>
      <c r="M1001" t="s">
        <v>137</v>
      </c>
      <c r="N1001" t="s">
        <v>45</v>
      </c>
      <c r="O1001" t="s">
        <v>47</v>
      </c>
      <c r="P1001" t="s">
        <v>169</v>
      </c>
      <c r="Q1001" t="s">
        <v>40</v>
      </c>
      <c r="R1001" t="s">
        <v>66</v>
      </c>
      <c r="S1001" t="s">
        <v>3198</v>
      </c>
      <c r="T1001" t="s">
        <v>3199</v>
      </c>
      <c r="U1001" t="s">
        <v>55</v>
      </c>
      <c r="V1001" t="s">
        <v>52</v>
      </c>
      <c r="W1001" t="s">
        <v>59</v>
      </c>
      <c r="X1001" t="s">
        <v>129</v>
      </c>
      <c r="Y1001" t="s">
        <v>45</v>
      </c>
      <c r="Z1001" t="s">
        <v>45</v>
      </c>
      <c r="AA1001" t="s">
        <v>54</v>
      </c>
      <c r="AB1001" t="s">
        <v>40</v>
      </c>
      <c r="AC1001" t="s">
        <v>119</v>
      </c>
      <c r="AD1001" t="s">
        <v>57</v>
      </c>
      <c r="AE1001" t="s">
        <v>45</v>
      </c>
      <c r="AF1001" t="s">
        <v>104</v>
      </c>
      <c r="AG1001" t="s">
        <v>71</v>
      </c>
      <c r="AH1001" t="s">
        <v>55</v>
      </c>
      <c r="AI1001" t="s">
        <v>91</v>
      </c>
    </row>
    <row r="1002" spans="1:35" x14ac:dyDescent="0.25">
      <c r="A1002" t="s">
        <v>251</v>
      </c>
      <c r="B1002" t="s">
        <v>59</v>
      </c>
      <c r="C1002" t="s">
        <v>37</v>
      </c>
      <c r="D1002" t="s">
        <v>807</v>
      </c>
      <c r="E1002" t="s">
        <v>62</v>
      </c>
      <c r="F1002" t="s">
        <v>51</v>
      </c>
      <c r="G1002" t="s">
        <v>47</v>
      </c>
      <c r="H1002" t="s">
        <v>74</v>
      </c>
      <c r="I1002" t="s">
        <v>40</v>
      </c>
      <c r="J1002" t="s">
        <v>3200</v>
      </c>
      <c r="K1002" t="s">
        <v>45</v>
      </c>
      <c r="L1002" t="s">
        <v>43</v>
      </c>
      <c r="M1002" t="s">
        <v>259</v>
      </c>
      <c r="N1002" t="s">
        <v>45</v>
      </c>
      <c r="O1002" t="s">
        <v>40</v>
      </c>
      <c r="P1002" t="s">
        <v>76</v>
      </c>
      <c r="Q1002" t="s">
        <v>40</v>
      </c>
      <c r="R1002" t="s">
        <v>66</v>
      </c>
      <c r="S1002" t="s">
        <v>3201</v>
      </c>
      <c r="T1002" t="s">
        <v>3202</v>
      </c>
      <c r="U1002" t="s">
        <v>91</v>
      </c>
      <c r="V1002" t="s">
        <v>52</v>
      </c>
      <c r="W1002" t="s">
        <v>59</v>
      </c>
      <c r="X1002" t="s">
        <v>98</v>
      </c>
      <c r="Y1002" t="s">
        <v>45</v>
      </c>
      <c r="Z1002" t="s">
        <v>45</v>
      </c>
      <c r="AA1002" t="s">
        <v>54</v>
      </c>
      <c r="AB1002" t="s">
        <v>55</v>
      </c>
      <c r="AC1002" t="s">
        <v>92</v>
      </c>
      <c r="AD1002" t="s">
        <v>41</v>
      </c>
      <c r="AE1002" t="s">
        <v>40</v>
      </c>
      <c r="AF1002" t="s">
        <v>57</v>
      </c>
      <c r="AG1002" t="s">
        <v>47</v>
      </c>
      <c r="AH1002" t="s">
        <v>55</v>
      </c>
      <c r="AI1002" t="s">
        <v>47</v>
      </c>
    </row>
    <row r="1003" spans="1:35" x14ac:dyDescent="0.25">
      <c r="A1003" t="s">
        <v>72</v>
      </c>
      <c r="B1003" t="s">
        <v>59</v>
      </c>
      <c r="C1003" t="s">
        <v>37</v>
      </c>
      <c r="D1003" t="s">
        <v>3203</v>
      </c>
      <c r="E1003" t="s">
        <v>62</v>
      </c>
      <c r="F1003" t="s">
        <v>53</v>
      </c>
      <c r="G1003" t="s">
        <v>45</v>
      </c>
      <c r="H1003" t="s">
        <v>87</v>
      </c>
      <c r="I1003" t="s">
        <v>40</v>
      </c>
      <c r="J1003" t="s">
        <v>1001</v>
      </c>
      <c r="K1003" t="s">
        <v>40</v>
      </c>
      <c r="L1003" t="s">
        <v>43</v>
      </c>
      <c r="M1003" t="s">
        <v>44</v>
      </c>
      <c r="N1003" t="s">
        <v>45</v>
      </c>
      <c r="O1003" t="s">
        <v>40</v>
      </c>
      <c r="P1003" t="s">
        <v>76</v>
      </c>
      <c r="Q1003" t="s">
        <v>45</v>
      </c>
      <c r="R1003" t="s">
        <v>48</v>
      </c>
      <c r="S1003" t="s">
        <v>3204</v>
      </c>
      <c r="T1003" t="s">
        <v>3205</v>
      </c>
      <c r="U1003" t="s">
        <v>47</v>
      </c>
      <c r="V1003" t="s">
        <v>52</v>
      </c>
      <c r="W1003" t="s">
        <v>59</v>
      </c>
      <c r="X1003" t="s">
        <v>145</v>
      </c>
      <c r="Y1003" t="s">
        <v>45</v>
      </c>
      <c r="Z1003" t="s">
        <v>40</v>
      </c>
      <c r="AA1003" t="s">
        <v>54</v>
      </c>
      <c r="AB1003" t="s">
        <v>55</v>
      </c>
      <c r="AC1003" t="s">
        <v>51</v>
      </c>
      <c r="AD1003" t="s">
        <v>56</v>
      </c>
      <c r="AE1003" t="s">
        <v>45</v>
      </c>
      <c r="AF1003" t="s">
        <v>45</v>
      </c>
      <c r="AG1003" t="s">
        <v>41</v>
      </c>
      <c r="AH1003" t="s">
        <v>55</v>
      </c>
      <c r="AI1003" t="s">
        <v>41</v>
      </c>
    </row>
    <row r="1004" spans="1:35" x14ac:dyDescent="0.25">
      <c r="A1004" t="s">
        <v>126</v>
      </c>
      <c r="B1004" t="s">
        <v>59</v>
      </c>
      <c r="C1004" t="s">
        <v>60</v>
      </c>
      <c r="D1004" t="s">
        <v>661</v>
      </c>
      <c r="E1004" t="s">
        <v>62</v>
      </c>
      <c r="F1004" t="s">
        <v>145</v>
      </c>
      <c r="G1004" t="s">
        <v>41</v>
      </c>
      <c r="H1004" t="s">
        <v>42</v>
      </c>
      <c r="I1004" t="s">
        <v>40</v>
      </c>
      <c r="J1004" t="s">
        <v>3206</v>
      </c>
      <c r="K1004" t="s">
        <v>45</v>
      </c>
      <c r="L1004" t="s">
        <v>63</v>
      </c>
      <c r="M1004" t="s">
        <v>275</v>
      </c>
      <c r="N1004" t="s">
        <v>45</v>
      </c>
      <c r="O1004" t="s">
        <v>45</v>
      </c>
      <c r="P1004" t="s">
        <v>116</v>
      </c>
      <c r="Q1004" t="s">
        <v>47</v>
      </c>
      <c r="R1004" t="s">
        <v>48</v>
      </c>
      <c r="S1004" t="s">
        <v>3207</v>
      </c>
      <c r="T1004" t="s">
        <v>3208</v>
      </c>
      <c r="U1004" t="s">
        <v>41</v>
      </c>
      <c r="V1004" t="s">
        <v>52</v>
      </c>
      <c r="W1004" t="s">
        <v>59</v>
      </c>
      <c r="X1004" t="s">
        <v>53</v>
      </c>
      <c r="Y1004" t="s">
        <v>45</v>
      </c>
      <c r="Z1004" t="s">
        <v>45</v>
      </c>
      <c r="AA1004" t="s">
        <v>54</v>
      </c>
      <c r="AB1004" t="s">
        <v>55</v>
      </c>
      <c r="AC1004" t="s">
        <v>70</v>
      </c>
      <c r="AD1004" t="s">
        <v>41</v>
      </c>
      <c r="AE1004" t="s">
        <v>45</v>
      </c>
      <c r="AF1004" t="s">
        <v>41</v>
      </c>
      <c r="AG1004" t="s">
        <v>41</v>
      </c>
      <c r="AH1004" t="s">
        <v>41</v>
      </c>
      <c r="AI1004" t="s">
        <v>41</v>
      </c>
    </row>
    <row r="1005" spans="1:35" x14ac:dyDescent="0.25">
      <c r="A1005" t="s">
        <v>172</v>
      </c>
      <c r="B1005" t="s">
        <v>59</v>
      </c>
      <c r="C1005" t="s">
        <v>37</v>
      </c>
      <c r="D1005" t="s">
        <v>2375</v>
      </c>
      <c r="E1005" t="s">
        <v>62</v>
      </c>
      <c r="F1005" t="s">
        <v>40</v>
      </c>
      <c r="G1005" t="s">
        <v>45</v>
      </c>
      <c r="H1005" t="s">
        <v>228</v>
      </c>
      <c r="I1005" t="s">
        <v>40</v>
      </c>
      <c r="J1005" t="s">
        <v>3209</v>
      </c>
      <c r="K1005" t="s">
        <v>40</v>
      </c>
      <c r="L1005" t="s">
        <v>63</v>
      </c>
      <c r="M1005" t="s">
        <v>101</v>
      </c>
      <c r="N1005" t="s">
        <v>45</v>
      </c>
      <c r="O1005" t="s">
        <v>40</v>
      </c>
      <c r="P1005" t="s">
        <v>76</v>
      </c>
      <c r="Q1005" t="s">
        <v>47</v>
      </c>
      <c r="R1005" t="s">
        <v>66</v>
      </c>
      <c r="S1005" t="s">
        <v>3210</v>
      </c>
      <c r="T1005" t="s">
        <v>3211</v>
      </c>
      <c r="U1005" t="s">
        <v>47</v>
      </c>
      <c r="V1005" t="s">
        <v>52</v>
      </c>
      <c r="W1005" t="s">
        <v>59</v>
      </c>
      <c r="X1005" t="s">
        <v>53</v>
      </c>
      <c r="Y1005" t="s">
        <v>45</v>
      </c>
      <c r="Z1005" t="s">
        <v>41</v>
      </c>
      <c r="AA1005" t="s">
        <v>54</v>
      </c>
      <c r="AB1005" t="s">
        <v>40</v>
      </c>
      <c r="AC1005" t="s">
        <v>71</v>
      </c>
      <c r="AD1005" t="s">
        <v>41</v>
      </c>
      <c r="AE1005" t="s">
        <v>41</v>
      </c>
      <c r="AF1005" t="s">
        <v>45</v>
      </c>
      <c r="AG1005" t="s">
        <v>41</v>
      </c>
      <c r="AH1005" t="s">
        <v>55</v>
      </c>
      <c r="AI1005" t="s">
        <v>41</v>
      </c>
    </row>
    <row r="1006" spans="1:35" x14ac:dyDescent="0.25">
      <c r="A1006" t="s">
        <v>139</v>
      </c>
      <c r="B1006" t="s">
        <v>59</v>
      </c>
      <c r="C1006" t="s">
        <v>37</v>
      </c>
      <c r="D1006" t="s">
        <v>1796</v>
      </c>
      <c r="E1006" t="s">
        <v>62</v>
      </c>
      <c r="F1006" t="s">
        <v>71</v>
      </c>
      <c r="G1006" t="s">
        <v>45</v>
      </c>
      <c r="H1006" t="s">
        <v>74</v>
      </c>
      <c r="I1006" t="s">
        <v>40</v>
      </c>
      <c r="J1006" t="s">
        <v>3212</v>
      </c>
      <c r="K1006" t="s">
        <v>45</v>
      </c>
      <c r="L1006" t="s">
        <v>63</v>
      </c>
      <c r="M1006" t="s">
        <v>385</v>
      </c>
      <c r="N1006" t="s">
        <v>47</v>
      </c>
      <c r="O1006" t="s">
        <v>40</v>
      </c>
      <c r="P1006" t="s">
        <v>76</v>
      </c>
      <c r="Q1006" t="s">
        <v>40</v>
      </c>
      <c r="R1006" t="s">
        <v>48</v>
      </c>
      <c r="S1006" t="s">
        <v>3213</v>
      </c>
      <c r="T1006" t="s">
        <v>3214</v>
      </c>
      <c r="U1006" t="s">
        <v>55</v>
      </c>
      <c r="V1006" t="s">
        <v>52</v>
      </c>
      <c r="W1006" t="s">
        <v>59</v>
      </c>
      <c r="X1006" t="s">
        <v>92</v>
      </c>
      <c r="Y1006" t="s">
        <v>45</v>
      </c>
      <c r="Z1006" t="s">
        <v>47</v>
      </c>
      <c r="AA1006" t="s">
        <v>54</v>
      </c>
      <c r="AB1006" t="s">
        <v>55</v>
      </c>
      <c r="AC1006" t="s">
        <v>51</v>
      </c>
      <c r="AD1006" t="s">
        <v>41</v>
      </c>
      <c r="AE1006" t="s">
        <v>45</v>
      </c>
      <c r="AF1006" t="s">
        <v>71</v>
      </c>
      <c r="AG1006" t="s">
        <v>71</v>
      </c>
      <c r="AH1006" t="s">
        <v>55</v>
      </c>
      <c r="AI1006" t="s">
        <v>71</v>
      </c>
    </row>
    <row r="1007" spans="1:35" x14ac:dyDescent="0.25">
      <c r="A1007" t="s">
        <v>133</v>
      </c>
      <c r="B1007" t="s">
        <v>59</v>
      </c>
      <c r="C1007" t="s">
        <v>37</v>
      </c>
      <c r="D1007" t="s">
        <v>994</v>
      </c>
      <c r="E1007" t="s">
        <v>397</v>
      </c>
      <c r="F1007" t="s">
        <v>125</v>
      </c>
      <c r="G1007" t="s">
        <v>45</v>
      </c>
      <c r="H1007" t="s">
        <v>74</v>
      </c>
      <c r="I1007" t="s">
        <v>40</v>
      </c>
      <c r="J1007" t="s">
        <v>3215</v>
      </c>
      <c r="K1007" t="s">
        <v>41</v>
      </c>
      <c r="L1007" t="s">
        <v>63</v>
      </c>
      <c r="M1007" t="s">
        <v>155</v>
      </c>
      <c r="N1007" t="s">
        <v>41</v>
      </c>
      <c r="O1007" t="s">
        <v>45</v>
      </c>
      <c r="P1007" t="s">
        <v>397</v>
      </c>
      <c r="Q1007" t="s">
        <v>40</v>
      </c>
      <c r="R1007" t="s">
        <v>48</v>
      </c>
      <c r="S1007" t="s">
        <v>3216</v>
      </c>
      <c r="T1007" t="s">
        <v>3217</v>
      </c>
      <c r="U1007" t="s">
        <v>40</v>
      </c>
      <c r="V1007" t="s">
        <v>52</v>
      </c>
      <c r="W1007" t="s">
        <v>59</v>
      </c>
      <c r="X1007" t="s">
        <v>98</v>
      </c>
      <c r="Y1007" t="s">
        <v>45</v>
      </c>
      <c r="Z1007" t="s">
        <v>40</v>
      </c>
      <c r="AA1007" t="s">
        <v>54</v>
      </c>
      <c r="AB1007" t="s">
        <v>55</v>
      </c>
      <c r="AC1007" t="s">
        <v>70</v>
      </c>
      <c r="AD1007" t="s">
        <v>45</v>
      </c>
      <c r="AE1007" t="s">
        <v>41</v>
      </c>
      <c r="AF1007" t="s">
        <v>70</v>
      </c>
      <c r="AG1007" t="s">
        <v>91</v>
      </c>
      <c r="AH1007" t="s">
        <v>55</v>
      </c>
      <c r="AI1007" t="s">
        <v>91</v>
      </c>
    </row>
    <row r="1008" spans="1:35" x14ac:dyDescent="0.25">
      <c r="A1008" t="s">
        <v>58</v>
      </c>
      <c r="B1008" t="s">
        <v>36</v>
      </c>
      <c r="C1008" t="s">
        <v>60</v>
      </c>
      <c r="D1008" t="s">
        <v>3218</v>
      </c>
      <c r="E1008" t="s">
        <v>62</v>
      </c>
      <c r="F1008" t="s">
        <v>149</v>
      </c>
      <c r="G1008" t="s">
        <v>41</v>
      </c>
      <c r="H1008" t="s">
        <v>42</v>
      </c>
      <c r="I1008" t="s">
        <v>40</v>
      </c>
      <c r="J1008" t="s">
        <v>496</v>
      </c>
      <c r="K1008" t="s">
        <v>40</v>
      </c>
      <c r="L1008" t="s">
        <v>63</v>
      </c>
      <c r="M1008" t="s">
        <v>244</v>
      </c>
      <c r="N1008" t="s">
        <v>41</v>
      </c>
      <c r="O1008" t="s">
        <v>41</v>
      </c>
      <c r="P1008" t="s">
        <v>76</v>
      </c>
      <c r="Q1008" t="s">
        <v>40</v>
      </c>
      <c r="R1008" t="s">
        <v>48</v>
      </c>
      <c r="S1008" t="s">
        <v>2153</v>
      </c>
      <c r="T1008" t="s">
        <v>3219</v>
      </c>
      <c r="U1008" t="s">
        <v>45</v>
      </c>
      <c r="V1008" t="s">
        <v>52</v>
      </c>
      <c r="W1008" t="s">
        <v>59</v>
      </c>
      <c r="X1008" t="s">
        <v>104</v>
      </c>
      <c r="Y1008" t="s">
        <v>47</v>
      </c>
      <c r="Z1008" t="s">
        <v>40</v>
      </c>
      <c r="AA1008" t="s">
        <v>54</v>
      </c>
      <c r="AB1008" t="s">
        <v>55</v>
      </c>
      <c r="AC1008" t="s">
        <v>104</v>
      </c>
      <c r="AD1008" t="s">
        <v>41</v>
      </c>
      <c r="AE1008" t="s">
        <v>45</v>
      </c>
      <c r="AF1008" t="s">
        <v>47</v>
      </c>
      <c r="AG1008" t="s">
        <v>45</v>
      </c>
      <c r="AH1008" t="s">
        <v>40</v>
      </c>
      <c r="AI1008" t="s">
        <v>45</v>
      </c>
    </row>
    <row r="1009" spans="1:35" x14ac:dyDescent="0.25">
      <c r="A1009" t="s">
        <v>133</v>
      </c>
      <c r="B1009" t="s">
        <v>36</v>
      </c>
      <c r="C1009" t="s">
        <v>60</v>
      </c>
      <c r="D1009" t="s">
        <v>1011</v>
      </c>
      <c r="E1009" t="s">
        <v>62</v>
      </c>
      <c r="F1009" t="s">
        <v>129</v>
      </c>
      <c r="G1009" t="s">
        <v>40</v>
      </c>
      <c r="H1009" t="s">
        <v>74</v>
      </c>
      <c r="I1009" t="s">
        <v>40</v>
      </c>
      <c r="J1009" t="s">
        <v>2870</v>
      </c>
      <c r="K1009" t="s">
        <v>45</v>
      </c>
      <c r="L1009" t="s">
        <v>43</v>
      </c>
      <c r="M1009" t="s">
        <v>130</v>
      </c>
      <c r="N1009" t="s">
        <v>45</v>
      </c>
      <c r="O1009" t="s">
        <v>45</v>
      </c>
      <c r="P1009" t="s">
        <v>122</v>
      </c>
      <c r="Q1009" t="s">
        <v>47</v>
      </c>
      <c r="R1009" t="s">
        <v>48</v>
      </c>
      <c r="S1009" t="s">
        <v>3220</v>
      </c>
      <c r="T1009" t="s">
        <v>3221</v>
      </c>
      <c r="U1009" t="s">
        <v>55</v>
      </c>
      <c r="V1009" t="s">
        <v>52</v>
      </c>
      <c r="W1009" t="s">
        <v>36</v>
      </c>
      <c r="X1009" t="s">
        <v>92</v>
      </c>
      <c r="Y1009" t="s">
        <v>45</v>
      </c>
      <c r="Z1009" t="s">
        <v>40</v>
      </c>
      <c r="AA1009" t="s">
        <v>54</v>
      </c>
      <c r="AB1009" t="s">
        <v>55</v>
      </c>
      <c r="AC1009" t="s">
        <v>91</v>
      </c>
      <c r="AD1009" t="s">
        <v>40</v>
      </c>
      <c r="AE1009" t="s">
        <v>45</v>
      </c>
      <c r="AF1009" t="s">
        <v>51</v>
      </c>
      <c r="AG1009" t="s">
        <v>71</v>
      </c>
      <c r="AH1009" t="s">
        <v>71</v>
      </c>
      <c r="AI1009" t="s">
        <v>71</v>
      </c>
    </row>
    <row r="1010" spans="1:35" x14ac:dyDescent="0.25">
      <c r="A1010" t="s">
        <v>259</v>
      </c>
      <c r="B1010" t="s">
        <v>59</v>
      </c>
      <c r="C1010" t="s">
        <v>37</v>
      </c>
      <c r="D1010" t="s">
        <v>3222</v>
      </c>
      <c r="E1010" t="s">
        <v>62</v>
      </c>
      <c r="F1010" t="s">
        <v>40</v>
      </c>
      <c r="G1010" t="s">
        <v>45</v>
      </c>
      <c r="H1010" t="s">
        <v>87</v>
      </c>
      <c r="I1010" t="s">
        <v>40</v>
      </c>
      <c r="J1010" t="s">
        <v>3223</v>
      </c>
      <c r="K1010" t="s">
        <v>47</v>
      </c>
      <c r="L1010" t="s">
        <v>43</v>
      </c>
      <c r="M1010" t="s">
        <v>259</v>
      </c>
      <c r="N1010" t="s">
        <v>45</v>
      </c>
      <c r="O1010" t="s">
        <v>47</v>
      </c>
      <c r="P1010" t="s">
        <v>186</v>
      </c>
      <c r="Q1010" t="s">
        <v>47</v>
      </c>
      <c r="R1010" t="s">
        <v>48</v>
      </c>
      <c r="S1010" t="s">
        <v>524</v>
      </c>
      <c r="T1010" t="s">
        <v>3224</v>
      </c>
      <c r="U1010" t="s">
        <v>56</v>
      </c>
      <c r="V1010" t="s">
        <v>52</v>
      </c>
      <c r="W1010" t="s">
        <v>59</v>
      </c>
      <c r="X1010" t="s">
        <v>144</v>
      </c>
      <c r="Y1010" t="s">
        <v>45</v>
      </c>
      <c r="Z1010" t="s">
        <v>47</v>
      </c>
      <c r="AA1010" t="s">
        <v>54</v>
      </c>
      <c r="AB1010" t="s">
        <v>55</v>
      </c>
      <c r="AC1010" t="s">
        <v>133</v>
      </c>
      <c r="AD1010" t="s">
        <v>45</v>
      </c>
      <c r="AE1010" t="s">
        <v>41</v>
      </c>
      <c r="AF1010" t="s">
        <v>104</v>
      </c>
      <c r="AG1010" t="s">
        <v>71</v>
      </c>
      <c r="AH1010" t="s">
        <v>92</v>
      </c>
      <c r="AI1010" t="s">
        <v>71</v>
      </c>
    </row>
    <row r="1011" spans="1:35" x14ac:dyDescent="0.25">
      <c r="A1011" t="s">
        <v>197</v>
      </c>
      <c r="B1011" t="s">
        <v>59</v>
      </c>
      <c r="C1011" t="s">
        <v>37</v>
      </c>
      <c r="D1011" t="s">
        <v>2538</v>
      </c>
      <c r="E1011" t="s">
        <v>62</v>
      </c>
      <c r="F1011" t="s">
        <v>40</v>
      </c>
      <c r="G1011" t="s">
        <v>45</v>
      </c>
      <c r="H1011" t="s">
        <v>87</v>
      </c>
      <c r="I1011" t="s">
        <v>40</v>
      </c>
      <c r="J1011" t="s">
        <v>3225</v>
      </c>
      <c r="K1011" t="s">
        <v>47</v>
      </c>
      <c r="L1011" t="s">
        <v>43</v>
      </c>
      <c r="M1011" t="s">
        <v>322</v>
      </c>
      <c r="N1011" t="s">
        <v>45</v>
      </c>
      <c r="O1011" t="s">
        <v>57</v>
      </c>
      <c r="P1011" t="s">
        <v>186</v>
      </c>
      <c r="Q1011" t="s">
        <v>40</v>
      </c>
      <c r="R1011" t="s">
        <v>66</v>
      </c>
      <c r="S1011" t="s">
        <v>3226</v>
      </c>
      <c r="T1011" t="s">
        <v>3227</v>
      </c>
      <c r="U1011" t="s">
        <v>45</v>
      </c>
      <c r="V1011" t="s">
        <v>52</v>
      </c>
      <c r="W1011" t="s">
        <v>36</v>
      </c>
      <c r="X1011" t="s">
        <v>119</v>
      </c>
      <c r="Y1011" t="s">
        <v>47</v>
      </c>
      <c r="Z1011" t="s">
        <v>45</v>
      </c>
      <c r="AA1011" t="s">
        <v>54</v>
      </c>
      <c r="AB1011" t="s">
        <v>40</v>
      </c>
      <c r="AC1011" t="s">
        <v>93</v>
      </c>
      <c r="AD1011" t="s">
        <v>45</v>
      </c>
      <c r="AE1011" t="s">
        <v>45</v>
      </c>
      <c r="AF1011" t="s">
        <v>91</v>
      </c>
      <c r="AG1011" t="s">
        <v>51</v>
      </c>
      <c r="AH1011" t="s">
        <v>40</v>
      </c>
      <c r="AI1011" t="s">
        <v>57</v>
      </c>
    </row>
    <row r="1012" spans="1:35" x14ac:dyDescent="0.25">
      <c r="A1012" t="s">
        <v>263</v>
      </c>
      <c r="B1012" t="s">
        <v>59</v>
      </c>
      <c r="C1012" t="s">
        <v>37</v>
      </c>
      <c r="D1012" t="s">
        <v>869</v>
      </c>
      <c r="E1012" t="s">
        <v>62</v>
      </c>
      <c r="F1012" t="s">
        <v>40</v>
      </c>
      <c r="G1012" t="s">
        <v>47</v>
      </c>
      <c r="H1012" t="s">
        <v>87</v>
      </c>
      <c r="I1012" t="s">
        <v>40</v>
      </c>
      <c r="J1012" t="s">
        <v>3228</v>
      </c>
      <c r="K1012" t="s">
        <v>41</v>
      </c>
      <c r="L1012" t="s">
        <v>63</v>
      </c>
      <c r="M1012" t="s">
        <v>101</v>
      </c>
      <c r="N1012" t="s">
        <v>47</v>
      </c>
      <c r="O1012" t="s">
        <v>47</v>
      </c>
      <c r="P1012" t="s">
        <v>186</v>
      </c>
      <c r="Q1012" t="s">
        <v>47</v>
      </c>
      <c r="R1012" t="s">
        <v>109</v>
      </c>
      <c r="S1012" t="s">
        <v>3229</v>
      </c>
      <c r="T1012" t="s">
        <v>3230</v>
      </c>
      <c r="U1012" t="s">
        <v>41</v>
      </c>
      <c r="V1012" t="s">
        <v>52</v>
      </c>
      <c r="W1012" t="s">
        <v>59</v>
      </c>
      <c r="X1012" t="s">
        <v>98</v>
      </c>
      <c r="Y1012" t="s">
        <v>45</v>
      </c>
      <c r="Z1012" t="s">
        <v>47</v>
      </c>
      <c r="AA1012" t="s">
        <v>54</v>
      </c>
      <c r="AB1012" t="s">
        <v>41</v>
      </c>
      <c r="AC1012" t="s">
        <v>137</v>
      </c>
      <c r="AD1012" t="s">
        <v>47</v>
      </c>
      <c r="AE1012" t="s">
        <v>47</v>
      </c>
      <c r="AF1012" t="s">
        <v>71</v>
      </c>
      <c r="AG1012" t="s">
        <v>71</v>
      </c>
      <c r="AH1012" t="s">
        <v>55</v>
      </c>
      <c r="AI1012" t="s">
        <v>55</v>
      </c>
    </row>
    <row r="1013" spans="1:35" x14ac:dyDescent="0.25">
      <c r="A1013" t="s">
        <v>120</v>
      </c>
      <c r="B1013" t="s">
        <v>59</v>
      </c>
      <c r="C1013" t="s">
        <v>37</v>
      </c>
      <c r="D1013" t="s">
        <v>3231</v>
      </c>
      <c r="E1013" t="s">
        <v>39</v>
      </c>
      <c r="F1013" t="s">
        <v>45</v>
      </c>
      <c r="G1013" t="s">
        <v>47</v>
      </c>
      <c r="H1013" t="s">
        <v>206</v>
      </c>
      <c r="I1013" t="s">
        <v>40</v>
      </c>
      <c r="J1013" t="s">
        <v>2325</v>
      </c>
      <c r="K1013" t="s">
        <v>40</v>
      </c>
      <c r="L1013" t="s">
        <v>43</v>
      </c>
      <c r="M1013" t="s">
        <v>338</v>
      </c>
      <c r="N1013" t="s">
        <v>45</v>
      </c>
      <c r="O1013" t="s">
        <v>41</v>
      </c>
      <c r="P1013" t="s">
        <v>46</v>
      </c>
      <c r="Q1013" t="s">
        <v>41</v>
      </c>
      <c r="R1013" t="s">
        <v>48</v>
      </c>
      <c r="S1013" t="s">
        <v>1329</v>
      </c>
      <c r="T1013" t="s">
        <v>3232</v>
      </c>
      <c r="U1013" t="s">
        <v>45</v>
      </c>
      <c r="V1013" t="s">
        <v>52</v>
      </c>
      <c r="W1013" t="s">
        <v>36</v>
      </c>
      <c r="X1013" t="s">
        <v>128</v>
      </c>
      <c r="Y1013" t="s">
        <v>45</v>
      </c>
      <c r="Z1013" t="s">
        <v>47</v>
      </c>
      <c r="AA1013" t="s">
        <v>54</v>
      </c>
      <c r="AB1013" t="s">
        <v>55</v>
      </c>
      <c r="AC1013" t="s">
        <v>79</v>
      </c>
      <c r="AD1013" t="s">
        <v>45</v>
      </c>
      <c r="AE1013" t="s">
        <v>45</v>
      </c>
      <c r="AF1013" t="s">
        <v>57</v>
      </c>
      <c r="AG1013" t="s">
        <v>47</v>
      </c>
      <c r="AH1013" t="s">
        <v>55</v>
      </c>
      <c r="AI1013" t="s">
        <v>40</v>
      </c>
    </row>
    <row r="1014" spans="1:35" x14ac:dyDescent="0.25">
      <c r="A1014" t="s">
        <v>137</v>
      </c>
      <c r="B1014" t="s">
        <v>36</v>
      </c>
      <c r="C1014" t="s">
        <v>60</v>
      </c>
      <c r="D1014" t="s">
        <v>1828</v>
      </c>
      <c r="E1014" t="s">
        <v>39</v>
      </c>
      <c r="F1014" t="s">
        <v>40</v>
      </c>
      <c r="G1014" t="s">
        <v>47</v>
      </c>
      <c r="H1014" t="s">
        <v>42</v>
      </c>
      <c r="I1014" t="s">
        <v>40</v>
      </c>
      <c r="J1014" t="s">
        <v>652</v>
      </c>
      <c r="K1014" t="s">
        <v>41</v>
      </c>
      <c r="L1014" t="s">
        <v>43</v>
      </c>
      <c r="M1014" t="s">
        <v>151</v>
      </c>
      <c r="N1014" t="s">
        <v>40</v>
      </c>
      <c r="O1014" t="s">
        <v>40</v>
      </c>
      <c r="P1014" t="s">
        <v>182</v>
      </c>
      <c r="Q1014" t="s">
        <v>45</v>
      </c>
      <c r="R1014" t="s">
        <v>48</v>
      </c>
      <c r="S1014" t="s">
        <v>3233</v>
      </c>
      <c r="T1014" t="s">
        <v>2708</v>
      </c>
      <c r="U1014" t="s">
        <v>40</v>
      </c>
      <c r="V1014" t="s">
        <v>52</v>
      </c>
      <c r="W1014" t="s">
        <v>59</v>
      </c>
      <c r="X1014" t="s">
        <v>92</v>
      </c>
      <c r="Y1014" t="s">
        <v>45</v>
      </c>
      <c r="Z1014" t="s">
        <v>41</v>
      </c>
      <c r="AA1014" t="s">
        <v>54</v>
      </c>
      <c r="AB1014" t="s">
        <v>55</v>
      </c>
      <c r="AC1014" t="s">
        <v>40</v>
      </c>
      <c r="AD1014" t="s">
        <v>45</v>
      </c>
      <c r="AE1014" t="s">
        <v>45</v>
      </c>
      <c r="AF1014" t="s">
        <v>40</v>
      </c>
      <c r="AG1014" t="s">
        <v>55</v>
      </c>
      <c r="AH1014" t="s">
        <v>55</v>
      </c>
      <c r="AI1014" t="s">
        <v>55</v>
      </c>
    </row>
    <row r="1015" spans="1:35" x14ac:dyDescent="0.25">
      <c r="A1015" t="s">
        <v>105</v>
      </c>
      <c r="B1015" t="s">
        <v>59</v>
      </c>
      <c r="C1015" t="s">
        <v>37</v>
      </c>
      <c r="D1015" t="s">
        <v>2195</v>
      </c>
      <c r="E1015" t="s">
        <v>39</v>
      </c>
      <c r="F1015" t="s">
        <v>71</v>
      </c>
      <c r="G1015" t="s">
        <v>47</v>
      </c>
      <c r="H1015" t="s">
        <v>206</v>
      </c>
      <c r="I1015" t="s">
        <v>40</v>
      </c>
      <c r="J1015" t="s">
        <v>3234</v>
      </c>
      <c r="K1015" t="s">
        <v>47</v>
      </c>
      <c r="L1015" t="s">
        <v>43</v>
      </c>
      <c r="M1015" t="s">
        <v>279</v>
      </c>
      <c r="N1015" t="s">
        <v>45</v>
      </c>
      <c r="O1015" t="s">
        <v>41</v>
      </c>
      <c r="P1015" t="s">
        <v>46</v>
      </c>
      <c r="Q1015" t="s">
        <v>40</v>
      </c>
      <c r="R1015" t="s">
        <v>109</v>
      </c>
      <c r="S1015" t="s">
        <v>2174</v>
      </c>
      <c r="T1015" t="s">
        <v>3235</v>
      </c>
      <c r="U1015" t="s">
        <v>71</v>
      </c>
      <c r="V1015" t="s">
        <v>52</v>
      </c>
      <c r="W1015" t="s">
        <v>59</v>
      </c>
      <c r="X1015" t="s">
        <v>129</v>
      </c>
      <c r="Y1015" t="s">
        <v>45</v>
      </c>
      <c r="Z1015" t="s">
        <v>41</v>
      </c>
      <c r="AA1015" t="s">
        <v>54</v>
      </c>
      <c r="AB1015" t="s">
        <v>41</v>
      </c>
      <c r="AC1015" t="s">
        <v>51</v>
      </c>
      <c r="AD1015" t="s">
        <v>45</v>
      </c>
      <c r="AE1015" t="s">
        <v>45</v>
      </c>
      <c r="AF1015" t="s">
        <v>45</v>
      </c>
      <c r="AG1015" t="s">
        <v>41</v>
      </c>
      <c r="AH1015" t="s">
        <v>55</v>
      </c>
      <c r="AI1015" t="s">
        <v>41</v>
      </c>
    </row>
    <row r="1016" spans="1:35" x14ac:dyDescent="0.25">
      <c r="A1016" t="s">
        <v>137</v>
      </c>
      <c r="B1016" t="s">
        <v>59</v>
      </c>
      <c r="C1016" t="s">
        <v>37</v>
      </c>
      <c r="D1016" t="s">
        <v>619</v>
      </c>
      <c r="E1016" t="s">
        <v>62</v>
      </c>
      <c r="F1016" t="s">
        <v>51</v>
      </c>
      <c r="G1016" t="s">
        <v>57</v>
      </c>
      <c r="H1016" t="s">
        <v>42</v>
      </c>
      <c r="I1016" t="s">
        <v>40</v>
      </c>
      <c r="J1016" t="s">
        <v>3236</v>
      </c>
      <c r="K1016" t="s">
        <v>40</v>
      </c>
      <c r="L1016" t="s">
        <v>43</v>
      </c>
      <c r="M1016" t="s">
        <v>146</v>
      </c>
      <c r="N1016" t="s">
        <v>45</v>
      </c>
      <c r="O1016" t="s">
        <v>47</v>
      </c>
      <c r="P1016" t="s">
        <v>186</v>
      </c>
      <c r="Q1016" t="s">
        <v>41</v>
      </c>
      <c r="R1016" t="s">
        <v>48</v>
      </c>
      <c r="S1016" t="s">
        <v>3237</v>
      </c>
      <c r="T1016" t="s">
        <v>1876</v>
      </c>
      <c r="U1016" t="s">
        <v>45</v>
      </c>
      <c r="V1016" t="s">
        <v>52</v>
      </c>
      <c r="W1016" t="s">
        <v>59</v>
      </c>
      <c r="X1016" t="s">
        <v>53</v>
      </c>
      <c r="Y1016" t="s">
        <v>45</v>
      </c>
      <c r="Z1016" t="s">
        <v>45</v>
      </c>
      <c r="AA1016" t="s">
        <v>54</v>
      </c>
      <c r="AB1016" t="s">
        <v>55</v>
      </c>
      <c r="AC1016" t="s">
        <v>91</v>
      </c>
      <c r="AD1016" t="s">
        <v>45</v>
      </c>
      <c r="AE1016" t="s">
        <v>47</v>
      </c>
      <c r="AF1016" t="s">
        <v>45</v>
      </c>
      <c r="AG1016" t="s">
        <v>41</v>
      </c>
      <c r="AH1016" t="s">
        <v>40</v>
      </c>
      <c r="AI1016" t="s">
        <v>55</v>
      </c>
    </row>
    <row r="1017" spans="1:35" x14ac:dyDescent="0.25">
      <c r="A1017" t="s">
        <v>142</v>
      </c>
      <c r="B1017" t="s">
        <v>59</v>
      </c>
      <c r="C1017" t="s">
        <v>60</v>
      </c>
      <c r="D1017" t="s">
        <v>1594</v>
      </c>
      <c r="E1017" t="s">
        <v>62</v>
      </c>
      <c r="F1017" t="s">
        <v>40</v>
      </c>
      <c r="G1017" t="s">
        <v>47</v>
      </c>
      <c r="H1017" t="s">
        <v>74</v>
      </c>
      <c r="I1017" t="s">
        <v>40</v>
      </c>
      <c r="J1017" t="s">
        <v>993</v>
      </c>
      <c r="K1017" t="s">
        <v>47</v>
      </c>
      <c r="L1017" t="s">
        <v>63</v>
      </c>
      <c r="M1017" t="s">
        <v>364</v>
      </c>
      <c r="N1017" t="s">
        <v>45</v>
      </c>
      <c r="O1017" t="s">
        <v>40</v>
      </c>
      <c r="P1017" t="s">
        <v>65</v>
      </c>
      <c r="Q1017" t="s">
        <v>40</v>
      </c>
      <c r="R1017" t="s">
        <v>109</v>
      </c>
      <c r="S1017" t="s">
        <v>3176</v>
      </c>
      <c r="T1017" t="s">
        <v>2561</v>
      </c>
      <c r="U1017" t="s">
        <v>57</v>
      </c>
      <c r="V1017" t="s">
        <v>52</v>
      </c>
      <c r="W1017" t="s">
        <v>59</v>
      </c>
      <c r="X1017" t="s">
        <v>129</v>
      </c>
      <c r="Y1017" t="s">
        <v>45</v>
      </c>
      <c r="Z1017" t="s">
        <v>45</v>
      </c>
      <c r="AA1017" t="s">
        <v>54</v>
      </c>
      <c r="AB1017" t="s">
        <v>41</v>
      </c>
      <c r="AC1017" t="s">
        <v>70</v>
      </c>
      <c r="AD1017" t="s">
        <v>41</v>
      </c>
      <c r="AE1017" t="s">
        <v>45</v>
      </c>
      <c r="AF1017" t="s">
        <v>47</v>
      </c>
      <c r="AG1017" t="s">
        <v>45</v>
      </c>
      <c r="AH1017" t="s">
        <v>40</v>
      </c>
      <c r="AI1017" t="s">
        <v>45</v>
      </c>
    </row>
    <row r="1018" spans="1:35" x14ac:dyDescent="0.25">
      <c r="A1018" t="s">
        <v>137</v>
      </c>
      <c r="B1018" t="s">
        <v>36</v>
      </c>
      <c r="C1018" t="s">
        <v>37</v>
      </c>
      <c r="D1018" t="s">
        <v>668</v>
      </c>
      <c r="E1018" t="s">
        <v>62</v>
      </c>
      <c r="F1018" t="s">
        <v>51</v>
      </c>
      <c r="G1018" t="s">
        <v>45</v>
      </c>
      <c r="H1018" t="s">
        <v>42</v>
      </c>
      <c r="I1018" t="s">
        <v>40</v>
      </c>
      <c r="J1018" t="s">
        <v>3238</v>
      </c>
      <c r="K1018" t="s">
        <v>40</v>
      </c>
      <c r="L1018" t="s">
        <v>43</v>
      </c>
      <c r="M1018" t="s">
        <v>142</v>
      </c>
      <c r="N1018" t="s">
        <v>41</v>
      </c>
      <c r="O1018" t="s">
        <v>40</v>
      </c>
      <c r="P1018" t="s">
        <v>65</v>
      </c>
      <c r="Q1018" t="s">
        <v>41</v>
      </c>
      <c r="R1018" t="s">
        <v>48</v>
      </c>
      <c r="S1018" t="s">
        <v>839</v>
      </c>
      <c r="T1018" t="s">
        <v>3239</v>
      </c>
      <c r="U1018" t="s">
        <v>40</v>
      </c>
      <c r="V1018" t="s">
        <v>52</v>
      </c>
      <c r="W1018" t="s">
        <v>59</v>
      </c>
      <c r="X1018" t="s">
        <v>92</v>
      </c>
      <c r="Y1018" t="s">
        <v>45</v>
      </c>
      <c r="Z1018" t="s">
        <v>45</v>
      </c>
      <c r="AA1018" t="s">
        <v>54</v>
      </c>
      <c r="AB1018" t="s">
        <v>55</v>
      </c>
      <c r="AC1018" t="s">
        <v>40</v>
      </c>
      <c r="AD1018" t="s">
        <v>45</v>
      </c>
      <c r="AE1018" t="s">
        <v>47</v>
      </c>
      <c r="AF1018" t="s">
        <v>40</v>
      </c>
      <c r="AG1018" t="s">
        <v>55</v>
      </c>
      <c r="AH1018" t="s">
        <v>55</v>
      </c>
      <c r="AI1018" t="s">
        <v>55</v>
      </c>
    </row>
    <row r="1019" spans="1:35" x14ac:dyDescent="0.25">
      <c r="A1019" t="s">
        <v>85</v>
      </c>
      <c r="B1019" t="s">
        <v>59</v>
      </c>
      <c r="C1019" t="s">
        <v>37</v>
      </c>
      <c r="D1019" t="s">
        <v>1279</v>
      </c>
      <c r="E1019" t="s">
        <v>62</v>
      </c>
      <c r="F1019" t="s">
        <v>53</v>
      </c>
      <c r="G1019" t="s">
        <v>40</v>
      </c>
      <c r="H1019" t="s">
        <v>42</v>
      </c>
      <c r="I1019" t="s">
        <v>40</v>
      </c>
      <c r="J1019" t="s">
        <v>295</v>
      </c>
      <c r="K1019" t="s">
        <v>41</v>
      </c>
      <c r="L1019" t="s">
        <v>63</v>
      </c>
      <c r="M1019" t="s">
        <v>364</v>
      </c>
      <c r="N1019" t="s">
        <v>45</v>
      </c>
      <c r="O1019" t="s">
        <v>40</v>
      </c>
      <c r="P1019" t="s">
        <v>76</v>
      </c>
      <c r="Q1019" t="s">
        <v>40</v>
      </c>
      <c r="R1019" t="s">
        <v>66</v>
      </c>
      <c r="S1019" t="s">
        <v>3240</v>
      </c>
      <c r="T1019" t="s">
        <v>3241</v>
      </c>
      <c r="U1019" t="s">
        <v>55</v>
      </c>
      <c r="V1019" t="s">
        <v>52</v>
      </c>
      <c r="W1019" t="s">
        <v>59</v>
      </c>
      <c r="X1019" t="s">
        <v>129</v>
      </c>
      <c r="Y1019" t="s">
        <v>45</v>
      </c>
      <c r="Z1019" t="s">
        <v>41</v>
      </c>
      <c r="AA1019" t="s">
        <v>54</v>
      </c>
      <c r="AB1019" t="s">
        <v>55</v>
      </c>
      <c r="AC1019" t="s">
        <v>56</v>
      </c>
      <c r="AD1019" t="s">
        <v>45</v>
      </c>
      <c r="AE1019" t="s">
        <v>47</v>
      </c>
      <c r="AF1019" t="s">
        <v>57</v>
      </c>
      <c r="AG1019" t="s">
        <v>55</v>
      </c>
      <c r="AH1019" t="s">
        <v>40</v>
      </c>
      <c r="AI1019" t="s">
        <v>47</v>
      </c>
    </row>
    <row r="1020" spans="1:35" x14ac:dyDescent="0.25">
      <c r="A1020" t="s">
        <v>120</v>
      </c>
      <c r="B1020" t="s">
        <v>59</v>
      </c>
      <c r="C1020" t="s">
        <v>37</v>
      </c>
      <c r="D1020" t="s">
        <v>3242</v>
      </c>
      <c r="E1020" t="s">
        <v>62</v>
      </c>
      <c r="F1020" t="s">
        <v>47</v>
      </c>
      <c r="G1020" t="s">
        <v>47</v>
      </c>
      <c r="H1020" t="s">
        <v>42</v>
      </c>
      <c r="I1020" t="s">
        <v>40</v>
      </c>
      <c r="J1020" t="s">
        <v>337</v>
      </c>
      <c r="K1020" t="s">
        <v>40</v>
      </c>
      <c r="L1020" t="s">
        <v>63</v>
      </c>
      <c r="M1020" t="s">
        <v>72</v>
      </c>
      <c r="N1020" t="s">
        <v>41</v>
      </c>
      <c r="O1020" t="s">
        <v>41</v>
      </c>
      <c r="P1020" t="s">
        <v>76</v>
      </c>
      <c r="Q1020" t="s">
        <v>47</v>
      </c>
      <c r="R1020" t="s">
        <v>48</v>
      </c>
      <c r="S1020" t="s">
        <v>3243</v>
      </c>
      <c r="T1020" t="s">
        <v>3244</v>
      </c>
      <c r="U1020" t="s">
        <v>40</v>
      </c>
      <c r="V1020" t="s">
        <v>52</v>
      </c>
      <c r="W1020" t="s">
        <v>59</v>
      </c>
      <c r="X1020" t="s">
        <v>128</v>
      </c>
      <c r="Y1020" t="s">
        <v>45</v>
      </c>
      <c r="Z1020" t="s">
        <v>45</v>
      </c>
      <c r="AA1020" t="s">
        <v>54</v>
      </c>
      <c r="AB1020" t="s">
        <v>55</v>
      </c>
      <c r="AC1020" t="s">
        <v>70</v>
      </c>
      <c r="AD1020" t="s">
        <v>41</v>
      </c>
      <c r="AE1020" t="s">
        <v>41</v>
      </c>
      <c r="AF1020" t="s">
        <v>70</v>
      </c>
      <c r="AG1020" t="s">
        <v>47</v>
      </c>
      <c r="AH1020" t="s">
        <v>40</v>
      </c>
      <c r="AI1020" t="s">
        <v>51</v>
      </c>
    </row>
    <row r="1021" spans="1:35" x14ac:dyDescent="0.25">
      <c r="A1021" t="s">
        <v>120</v>
      </c>
      <c r="B1021" t="s">
        <v>59</v>
      </c>
      <c r="C1021" t="s">
        <v>37</v>
      </c>
      <c r="D1021" t="s">
        <v>983</v>
      </c>
      <c r="E1021" t="s">
        <v>39</v>
      </c>
      <c r="F1021" t="s">
        <v>128</v>
      </c>
      <c r="G1021" t="s">
        <v>47</v>
      </c>
      <c r="H1021" t="s">
        <v>206</v>
      </c>
      <c r="I1021" t="s">
        <v>40</v>
      </c>
      <c r="J1021" t="s">
        <v>675</v>
      </c>
      <c r="K1021" t="s">
        <v>45</v>
      </c>
      <c r="L1021" t="s">
        <v>43</v>
      </c>
      <c r="M1021" t="s">
        <v>284</v>
      </c>
      <c r="N1021" t="s">
        <v>41</v>
      </c>
      <c r="O1021" t="s">
        <v>41</v>
      </c>
      <c r="P1021" t="s">
        <v>46</v>
      </c>
      <c r="Q1021" t="s">
        <v>40</v>
      </c>
      <c r="R1021" t="s">
        <v>66</v>
      </c>
      <c r="S1021" t="s">
        <v>3245</v>
      </c>
      <c r="T1021" t="s">
        <v>3246</v>
      </c>
      <c r="U1021" t="s">
        <v>47</v>
      </c>
      <c r="V1021" t="s">
        <v>52</v>
      </c>
      <c r="W1021" t="s">
        <v>59</v>
      </c>
      <c r="X1021" t="s">
        <v>98</v>
      </c>
      <c r="Y1021" t="s">
        <v>45</v>
      </c>
      <c r="Z1021" t="s">
        <v>40</v>
      </c>
      <c r="AA1021" t="s">
        <v>54</v>
      </c>
      <c r="AB1021" t="s">
        <v>41</v>
      </c>
      <c r="AC1021" t="s">
        <v>53</v>
      </c>
      <c r="AD1021" t="s">
        <v>45</v>
      </c>
      <c r="AE1021" t="s">
        <v>41</v>
      </c>
      <c r="AF1021" t="s">
        <v>45</v>
      </c>
      <c r="AG1021" t="s">
        <v>41</v>
      </c>
      <c r="AH1021" t="s">
        <v>55</v>
      </c>
      <c r="AI1021" t="s">
        <v>41</v>
      </c>
    </row>
    <row r="1022" spans="1:35" x14ac:dyDescent="0.25">
      <c r="A1022" t="s">
        <v>239</v>
      </c>
      <c r="B1022" t="s">
        <v>59</v>
      </c>
      <c r="C1022" t="s">
        <v>37</v>
      </c>
      <c r="D1022" t="s">
        <v>727</v>
      </c>
      <c r="E1022" t="s">
        <v>62</v>
      </c>
      <c r="F1022" t="s">
        <v>40</v>
      </c>
      <c r="G1022" t="s">
        <v>45</v>
      </c>
      <c r="H1022" t="s">
        <v>228</v>
      </c>
      <c r="I1022" t="s">
        <v>40</v>
      </c>
      <c r="J1022" t="s">
        <v>3247</v>
      </c>
      <c r="K1022" t="s">
        <v>40</v>
      </c>
      <c r="L1022" t="s">
        <v>63</v>
      </c>
      <c r="M1022" t="s">
        <v>314</v>
      </c>
      <c r="N1022" t="s">
        <v>45</v>
      </c>
      <c r="O1022" t="s">
        <v>40</v>
      </c>
      <c r="P1022" t="s">
        <v>65</v>
      </c>
      <c r="Q1022" t="s">
        <v>47</v>
      </c>
      <c r="R1022" t="s">
        <v>66</v>
      </c>
      <c r="S1022" t="s">
        <v>3248</v>
      </c>
      <c r="T1022" t="s">
        <v>3249</v>
      </c>
      <c r="U1022" t="s">
        <v>71</v>
      </c>
      <c r="V1022" t="s">
        <v>52</v>
      </c>
      <c r="W1022" t="s">
        <v>59</v>
      </c>
      <c r="X1022" t="s">
        <v>92</v>
      </c>
      <c r="Y1022" t="s">
        <v>45</v>
      </c>
      <c r="Z1022" t="s">
        <v>45</v>
      </c>
      <c r="AA1022" t="s">
        <v>54</v>
      </c>
      <c r="AB1022" t="s">
        <v>40</v>
      </c>
      <c r="AC1022" t="s">
        <v>125</v>
      </c>
      <c r="AD1022" t="s">
        <v>41</v>
      </c>
      <c r="AE1022" t="s">
        <v>41</v>
      </c>
      <c r="AF1022" t="s">
        <v>56</v>
      </c>
      <c r="AG1022" t="s">
        <v>57</v>
      </c>
      <c r="AH1022" t="s">
        <v>40</v>
      </c>
      <c r="AI1022" t="s">
        <v>41</v>
      </c>
    </row>
    <row r="1023" spans="1:35" x14ac:dyDescent="0.25">
      <c r="A1023" t="s">
        <v>172</v>
      </c>
      <c r="B1023" t="s">
        <v>36</v>
      </c>
      <c r="C1023" t="s">
        <v>37</v>
      </c>
      <c r="D1023" t="s">
        <v>3250</v>
      </c>
      <c r="E1023" t="s">
        <v>39</v>
      </c>
      <c r="F1023" t="s">
        <v>91</v>
      </c>
      <c r="G1023" t="s">
        <v>41</v>
      </c>
      <c r="H1023" t="s">
        <v>42</v>
      </c>
      <c r="I1023" t="s">
        <v>40</v>
      </c>
      <c r="J1023" t="s">
        <v>3174</v>
      </c>
      <c r="K1023" t="s">
        <v>40</v>
      </c>
      <c r="L1023" t="s">
        <v>63</v>
      </c>
      <c r="M1023" t="s">
        <v>300</v>
      </c>
      <c r="N1023" t="s">
        <v>41</v>
      </c>
      <c r="O1023" t="s">
        <v>40</v>
      </c>
      <c r="P1023" t="s">
        <v>182</v>
      </c>
      <c r="Q1023" t="s">
        <v>40</v>
      </c>
      <c r="R1023" t="s">
        <v>66</v>
      </c>
      <c r="S1023" t="s">
        <v>3251</v>
      </c>
      <c r="T1023" t="s">
        <v>3252</v>
      </c>
      <c r="U1023" t="s">
        <v>45</v>
      </c>
      <c r="V1023" t="s">
        <v>52</v>
      </c>
      <c r="W1023" t="s">
        <v>59</v>
      </c>
      <c r="X1023" t="s">
        <v>92</v>
      </c>
      <c r="Y1023" t="s">
        <v>45</v>
      </c>
      <c r="Z1023" t="s">
        <v>40</v>
      </c>
      <c r="AA1023" t="s">
        <v>54</v>
      </c>
      <c r="AB1023" t="s">
        <v>55</v>
      </c>
      <c r="AC1023" t="s">
        <v>56</v>
      </c>
      <c r="AD1023" t="s">
        <v>41</v>
      </c>
      <c r="AE1023" t="s">
        <v>45</v>
      </c>
      <c r="AF1023" t="s">
        <v>45</v>
      </c>
      <c r="AG1023" t="s">
        <v>41</v>
      </c>
      <c r="AH1023" t="s">
        <v>41</v>
      </c>
      <c r="AI1023" t="s">
        <v>41</v>
      </c>
    </row>
    <row r="1024" spans="1:35" x14ac:dyDescent="0.25">
      <c r="A1024" t="s">
        <v>72</v>
      </c>
      <c r="B1024" t="s">
        <v>59</v>
      </c>
      <c r="C1024" t="s">
        <v>161</v>
      </c>
      <c r="D1024" t="s">
        <v>946</v>
      </c>
      <c r="E1024" t="s">
        <v>62</v>
      </c>
      <c r="F1024" t="s">
        <v>57</v>
      </c>
      <c r="G1024" t="s">
        <v>41</v>
      </c>
      <c r="H1024" t="s">
        <v>228</v>
      </c>
      <c r="I1024" t="s">
        <v>40</v>
      </c>
      <c r="J1024" t="s">
        <v>3253</v>
      </c>
      <c r="K1024" t="s">
        <v>45</v>
      </c>
      <c r="L1024" t="s">
        <v>63</v>
      </c>
      <c r="M1024" t="s">
        <v>130</v>
      </c>
      <c r="N1024" t="s">
        <v>47</v>
      </c>
      <c r="O1024" t="s">
        <v>40</v>
      </c>
      <c r="P1024" t="s">
        <v>76</v>
      </c>
      <c r="Q1024" t="s">
        <v>45</v>
      </c>
      <c r="R1024" t="s">
        <v>48</v>
      </c>
      <c r="S1024" t="s">
        <v>3254</v>
      </c>
      <c r="T1024" t="s">
        <v>3255</v>
      </c>
      <c r="U1024" t="s">
        <v>55</v>
      </c>
      <c r="V1024" t="s">
        <v>52</v>
      </c>
      <c r="W1024" t="s">
        <v>59</v>
      </c>
      <c r="X1024" t="s">
        <v>129</v>
      </c>
      <c r="Y1024" t="s">
        <v>45</v>
      </c>
      <c r="Z1024" t="s">
        <v>40</v>
      </c>
      <c r="AA1024" t="s">
        <v>54</v>
      </c>
      <c r="AB1024" t="s">
        <v>55</v>
      </c>
      <c r="AC1024" t="s">
        <v>71</v>
      </c>
      <c r="AD1024" t="s">
        <v>41</v>
      </c>
      <c r="AE1024" t="s">
        <v>40</v>
      </c>
      <c r="AF1024" t="s">
        <v>56</v>
      </c>
      <c r="AG1024" t="s">
        <v>57</v>
      </c>
      <c r="AH1024" t="s">
        <v>40</v>
      </c>
      <c r="AI1024" t="s">
        <v>45</v>
      </c>
    </row>
    <row r="1025" spans="1:35" x14ac:dyDescent="0.25">
      <c r="A1025" t="s">
        <v>82</v>
      </c>
      <c r="B1025" t="s">
        <v>59</v>
      </c>
      <c r="C1025" t="s">
        <v>37</v>
      </c>
      <c r="D1025" t="s">
        <v>2949</v>
      </c>
      <c r="E1025" t="s">
        <v>62</v>
      </c>
      <c r="F1025" t="s">
        <v>40</v>
      </c>
      <c r="G1025" t="s">
        <v>41</v>
      </c>
      <c r="H1025" t="s">
        <v>42</v>
      </c>
      <c r="I1025" t="s">
        <v>40</v>
      </c>
      <c r="J1025" t="s">
        <v>2506</v>
      </c>
      <c r="K1025" t="s">
        <v>40</v>
      </c>
      <c r="L1025" t="s">
        <v>43</v>
      </c>
      <c r="M1025" t="s">
        <v>360</v>
      </c>
      <c r="N1025" t="s">
        <v>45</v>
      </c>
      <c r="O1025" t="s">
        <v>40</v>
      </c>
      <c r="P1025" t="s">
        <v>65</v>
      </c>
      <c r="Q1025" t="s">
        <v>40</v>
      </c>
      <c r="R1025" t="s">
        <v>66</v>
      </c>
      <c r="S1025" t="s">
        <v>3256</v>
      </c>
      <c r="T1025" t="s">
        <v>3257</v>
      </c>
      <c r="U1025" t="s">
        <v>41</v>
      </c>
      <c r="V1025" t="s">
        <v>52</v>
      </c>
      <c r="W1025" t="s">
        <v>59</v>
      </c>
      <c r="X1025" t="s">
        <v>112</v>
      </c>
      <c r="Y1025" t="s">
        <v>47</v>
      </c>
      <c r="Z1025" t="s">
        <v>47</v>
      </c>
      <c r="AA1025" t="s">
        <v>54</v>
      </c>
      <c r="AB1025" t="s">
        <v>40</v>
      </c>
      <c r="AC1025" t="s">
        <v>57</v>
      </c>
      <c r="AD1025" t="s">
        <v>45</v>
      </c>
      <c r="AE1025" t="s">
        <v>47</v>
      </c>
      <c r="AF1025" t="s">
        <v>45</v>
      </c>
      <c r="AG1025" t="s">
        <v>41</v>
      </c>
      <c r="AH1025" t="s">
        <v>40</v>
      </c>
      <c r="AI1025" t="s">
        <v>55</v>
      </c>
    </row>
    <row r="1026" spans="1:35" x14ac:dyDescent="0.25">
      <c r="A1026" t="s">
        <v>239</v>
      </c>
      <c r="B1026" t="s">
        <v>59</v>
      </c>
      <c r="C1026" t="s">
        <v>37</v>
      </c>
      <c r="D1026" t="s">
        <v>1065</v>
      </c>
      <c r="E1026" t="s">
        <v>62</v>
      </c>
      <c r="F1026" t="s">
        <v>41</v>
      </c>
      <c r="G1026" t="s">
        <v>47</v>
      </c>
      <c r="H1026" t="s">
        <v>87</v>
      </c>
      <c r="I1026" t="s">
        <v>40</v>
      </c>
      <c r="J1026" t="s">
        <v>307</v>
      </c>
      <c r="K1026" t="s">
        <v>40</v>
      </c>
      <c r="L1026" t="s">
        <v>43</v>
      </c>
      <c r="M1026" t="s">
        <v>181</v>
      </c>
      <c r="N1026" t="s">
        <v>45</v>
      </c>
      <c r="O1026" t="s">
        <v>47</v>
      </c>
      <c r="P1026" t="s">
        <v>186</v>
      </c>
      <c r="Q1026" t="s">
        <v>45</v>
      </c>
      <c r="R1026" t="s">
        <v>66</v>
      </c>
      <c r="S1026" t="s">
        <v>3258</v>
      </c>
      <c r="T1026" t="s">
        <v>3259</v>
      </c>
      <c r="U1026" t="s">
        <v>45</v>
      </c>
      <c r="V1026" t="s">
        <v>52</v>
      </c>
      <c r="W1026" t="s">
        <v>59</v>
      </c>
      <c r="X1026" t="s">
        <v>144</v>
      </c>
      <c r="Y1026" t="s">
        <v>45</v>
      </c>
      <c r="Z1026" t="s">
        <v>41</v>
      </c>
      <c r="AA1026" t="s">
        <v>54</v>
      </c>
      <c r="AB1026" t="s">
        <v>41</v>
      </c>
      <c r="AC1026" t="s">
        <v>139</v>
      </c>
      <c r="AD1026" t="s">
        <v>41</v>
      </c>
      <c r="AE1026" t="s">
        <v>47</v>
      </c>
      <c r="AF1026" t="s">
        <v>104</v>
      </c>
      <c r="AG1026" t="s">
        <v>125</v>
      </c>
      <c r="AH1026" t="s">
        <v>57</v>
      </c>
      <c r="AI1026" t="s">
        <v>56</v>
      </c>
    </row>
    <row r="1027" spans="1:35" x14ac:dyDescent="0.25">
      <c r="A1027" t="s">
        <v>107</v>
      </c>
      <c r="B1027" t="s">
        <v>59</v>
      </c>
      <c r="C1027" t="s">
        <v>37</v>
      </c>
      <c r="D1027" t="s">
        <v>1216</v>
      </c>
      <c r="E1027" t="s">
        <v>39</v>
      </c>
      <c r="F1027" t="s">
        <v>47</v>
      </c>
      <c r="G1027" t="s">
        <v>40</v>
      </c>
      <c r="H1027" t="s">
        <v>87</v>
      </c>
      <c r="I1027" t="s">
        <v>40</v>
      </c>
      <c r="J1027" t="s">
        <v>3260</v>
      </c>
      <c r="K1027" t="s">
        <v>47</v>
      </c>
      <c r="L1027" t="s">
        <v>43</v>
      </c>
      <c r="M1027" t="s">
        <v>204</v>
      </c>
      <c r="N1027" t="s">
        <v>45</v>
      </c>
      <c r="O1027" t="s">
        <v>41</v>
      </c>
      <c r="P1027" t="s">
        <v>46</v>
      </c>
      <c r="Q1027" t="s">
        <v>45</v>
      </c>
      <c r="R1027" t="s">
        <v>66</v>
      </c>
      <c r="S1027" t="s">
        <v>3261</v>
      </c>
      <c r="T1027" t="s">
        <v>3262</v>
      </c>
      <c r="U1027" t="s">
        <v>40</v>
      </c>
      <c r="V1027" t="s">
        <v>52</v>
      </c>
      <c r="W1027" t="s">
        <v>36</v>
      </c>
      <c r="X1027" t="s">
        <v>92</v>
      </c>
      <c r="Y1027" t="s">
        <v>45</v>
      </c>
      <c r="Z1027" t="s">
        <v>45</v>
      </c>
      <c r="AA1027" t="s">
        <v>54</v>
      </c>
      <c r="AB1027" t="s">
        <v>41</v>
      </c>
      <c r="AC1027" t="s">
        <v>57</v>
      </c>
      <c r="AD1027" t="s">
        <v>45</v>
      </c>
      <c r="AE1027" t="s">
        <v>45</v>
      </c>
      <c r="AF1027" t="s">
        <v>57</v>
      </c>
      <c r="AG1027" t="s">
        <v>47</v>
      </c>
      <c r="AH1027" t="s">
        <v>55</v>
      </c>
      <c r="AI1027" t="s">
        <v>45</v>
      </c>
    </row>
    <row r="1028" spans="1:35" x14ac:dyDescent="0.25">
      <c r="A1028" t="s">
        <v>93</v>
      </c>
      <c r="B1028" t="s">
        <v>59</v>
      </c>
      <c r="C1028" t="s">
        <v>37</v>
      </c>
      <c r="D1028" t="s">
        <v>1689</v>
      </c>
      <c r="E1028" t="s">
        <v>39</v>
      </c>
      <c r="F1028" t="s">
        <v>71</v>
      </c>
      <c r="G1028" t="s">
        <v>57</v>
      </c>
      <c r="H1028" t="s">
        <v>206</v>
      </c>
      <c r="I1028" t="s">
        <v>40</v>
      </c>
      <c r="J1028" t="s">
        <v>3263</v>
      </c>
      <c r="K1028" t="s">
        <v>47</v>
      </c>
      <c r="L1028" t="s">
        <v>63</v>
      </c>
      <c r="M1028" t="s">
        <v>244</v>
      </c>
      <c r="N1028" t="s">
        <v>45</v>
      </c>
      <c r="O1028" t="s">
        <v>41</v>
      </c>
      <c r="P1028" t="s">
        <v>46</v>
      </c>
      <c r="Q1028" t="s">
        <v>47</v>
      </c>
      <c r="R1028" t="s">
        <v>66</v>
      </c>
      <c r="S1028" t="s">
        <v>3264</v>
      </c>
      <c r="T1028" t="s">
        <v>3265</v>
      </c>
      <c r="U1028" t="s">
        <v>47</v>
      </c>
      <c r="V1028" t="s">
        <v>52</v>
      </c>
      <c r="W1028" t="s">
        <v>59</v>
      </c>
      <c r="X1028" t="s">
        <v>92</v>
      </c>
      <c r="Y1028" t="s">
        <v>45</v>
      </c>
      <c r="Z1028" t="s">
        <v>45</v>
      </c>
      <c r="AA1028" t="s">
        <v>54</v>
      </c>
      <c r="AB1028" t="s">
        <v>40</v>
      </c>
      <c r="AC1028" t="s">
        <v>71</v>
      </c>
      <c r="AD1028" t="s">
        <v>45</v>
      </c>
      <c r="AE1028" t="s">
        <v>41</v>
      </c>
      <c r="AF1028" t="s">
        <v>47</v>
      </c>
      <c r="AG1028" t="s">
        <v>45</v>
      </c>
      <c r="AH1028" t="s">
        <v>55</v>
      </c>
      <c r="AI1028" t="s">
        <v>45</v>
      </c>
    </row>
    <row r="1029" spans="1:35" x14ac:dyDescent="0.25">
      <c r="A1029" t="s">
        <v>142</v>
      </c>
      <c r="B1029" t="s">
        <v>59</v>
      </c>
      <c r="C1029" t="s">
        <v>37</v>
      </c>
      <c r="D1029" t="s">
        <v>1186</v>
      </c>
      <c r="E1029" t="s">
        <v>62</v>
      </c>
      <c r="F1029" t="s">
        <v>40</v>
      </c>
      <c r="G1029" t="s">
        <v>45</v>
      </c>
      <c r="H1029" t="s">
        <v>42</v>
      </c>
      <c r="I1029" t="s">
        <v>40</v>
      </c>
      <c r="J1029" t="s">
        <v>3266</v>
      </c>
      <c r="K1029" t="s">
        <v>47</v>
      </c>
      <c r="L1029" t="s">
        <v>43</v>
      </c>
      <c r="M1029" t="s">
        <v>240</v>
      </c>
      <c r="N1029" t="s">
        <v>41</v>
      </c>
      <c r="O1029" t="s">
        <v>40</v>
      </c>
      <c r="P1029" t="s">
        <v>76</v>
      </c>
      <c r="Q1029" t="s">
        <v>41</v>
      </c>
      <c r="R1029" t="s">
        <v>66</v>
      </c>
      <c r="S1029" t="s">
        <v>2329</v>
      </c>
      <c r="T1029" t="s">
        <v>1976</v>
      </c>
      <c r="U1029" t="s">
        <v>57</v>
      </c>
      <c r="V1029" t="s">
        <v>52</v>
      </c>
      <c r="W1029" t="s">
        <v>59</v>
      </c>
      <c r="X1029" t="s">
        <v>125</v>
      </c>
      <c r="Y1029" t="s">
        <v>45</v>
      </c>
      <c r="Z1029" t="s">
        <v>40</v>
      </c>
      <c r="AA1029" t="s">
        <v>54</v>
      </c>
      <c r="AB1029" t="s">
        <v>40</v>
      </c>
      <c r="AC1029" t="s">
        <v>71</v>
      </c>
      <c r="AD1029" t="s">
        <v>41</v>
      </c>
      <c r="AE1029" t="s">
        <v>41</v>
      </c>
      <c r="AF1029" t="s">
        <v>57</v>
      </c>
      <c r="AG1029" t="s">
        <v>47</v>
      </c>
      <c r="AH1029" t="s">
        <v>55</v>
      </c>
      <c r="AI1029" t="s">
        <v>41</v>
      </c>
    </row>
    <row r="1030" spans="1:35" x14ac:dyDescent="0.25">
      <c r="A1030" t="s">
        <v>35</v>
      </c>
      <c r="B1030" t="s">
        <v>59</v>
      </c>
      <c r="C1030" t="s">
        <v>37</v>
      </c>
      <c r="D1030" t="s">
        <v>1449</v>
      </c>
      <c r="E1030" t="s">
        <v>62</v>
      </c>
      <c r="F1030" t="s">
        <v>57</v>
      </c>
      <c r="G1030" t="s">
        <v>57</v>
      </c>
      <c r="H1030" t="s">
        <v>87</v>
      </c>
      <c r="I1030" t="s">
        <v>40</v>
      </c>
      <c r="J1030" t="s">
        <v>1581</v>
      </c>
      <c r="K1030" t="s">
        <v>41</v>
      </c>
      <c r="L1030" t="s">
        <v>63</v>
      </c>
      <c r="M1030" t="s">
        <v>360</v>
      </c>
      <c r="N1030" t="s">
        <v>47</v>
      </c>
      <c r="O1030" t="s">
        <v>40</v>
      </c>
      <c r="P1030" t="s">
        <v>65</v>
      </c>
      <c r="Q1030" t="s">
        <v>45</v>
      </c>
      <c r="R1030" t="s">
        <v>66</v>
      </c>
      <c r="S1030" t="s">
        <v>1776</v>
      </c>
      <c r="T1030" t="s">
        <v>1866</v>
      </c>
      <c r="U1030" t="s">
        <v>41</v>
      </c>
      <c r="V1030" t="s">
        <v>52</v>
      </c>
      <c r="W1030" t="s">
        <v>36</v>
      </c>
      <c r="X1030" t="s">
        <v>92</v>
      </c>
      <c r="Y1030" t="s">
        <v>45</v>
      </c>
      <c r="Z1030" t="s">
        <v>40</v>
      </c>
      <c r="AA1030" t="s">
        <v>54</v>
      </c>
      <c r="AB1030" t="s">
        <v>55</v>
      </c>
      <c r="AC1030" t="s">
        <v>71</v>
      </c>
      <c r="AD1030" t="s">
        <v>57</v>
      </c>
      <c r="AE1030" t="s">
        <v>41</v>
      </c>
      <c r="AF1030" t="s">
        <v>47</v>
      </c>
      <c r="AG1030" t="s">
        <v>41</v>
      </c>
      <c r="AH1030" t="s">
        <v>55</v>
      </c>
      <c r="AI1030" t="s">
        <v>45</v>
      </c>
    </row>
    <row r="1031" spans="1:35" x14ac:dyDescent="0.25">
      <c r="A1031" t="s">
        <v>88</v>
      </c>
      <c r="B1031" t="s">
        <v>59</v>
      </c>
      <c r="C1031" t="s">
        <v>161</v>
      </c>
      <c r="D1031" t="s">
        <v>928</v>
      </c>
      <c r="E1031" t="s">
        <v>62</v>
      </c>
      <c r="F1031" t="s">
        <v>91</v>
      </c>
      <c r="G1031" t="s">
        <v>47</v>
      </c>
      <c r="H1031" t="s">
        <v>74</v>
      </c>
      <c r="I1031" t="s">
        <v>40</v>
      </c>
      <c r="J1031" t="s">
        <v>1167</v>
      </c>
      <c r="K1031" t="s">
        <v>45</v>
      </c>
      <c r="L1031" t="s">
        <v>63</v>
      </c>
      <c r="M1031" t="s">
        <v>101</v>
      </c>
      <c r="N1031" t="s">
        <v>45</v>
      </c>
      <c r="O1031" t="s">
        <v>41</v>
      </c>
      <c r="P1031" t="s">
        <v>76</v>
      </c>
      <c r="Q1031" t="s">
        <v>45</v>
      </c>
      <c r="R1031" t="s">
        <v>109</v>
      </c>
      <c r="S1031" t="s">
        <v>3267</v>
      </c>
      <c r="T1031" t="s">
        <v>3268</v>
      </c>
      <c r="U1031" t="s">
        <v>45</v>
      </c>
      <c r="V1031" t="s">
        <v>52</v>
      </c>
      <c r="W1031" t="s">
        <v>59</v>
      </c>
      <c r="X1031" t="s">
        <v>53</v>
      </c>
      <c r="Y1031" t="s">
        <v>45</v>
      </c>
      <c r="Z1031" t="s">
        <v>45</v>
      </c>
      <c r="AA1031" t="s">
        <v>54</v>
      </c>
      <c r="AB1031" t="s">
        <v>41</v>
      </c>
      <c r="AC1031" t="s">
        <v>53</v>
      </c>
      <c r="AD1031" t="s">
        <v>41</v>
      </c>
      <c r="AE1031" t="s">
        <v>47</v>
      </c>
      <c r="AF1031" t="s">
        <v>51</v>
      </c>
      <c r="AG1031" t="s">
        <v>71</v>
      </c>
      <c r="AH1031" t="s">
        <v>55</v>
      </c>
      <c r="AI1031" t="s">
        <v>71</v>
      </c>
    </row>
    <row r="1032" spans="1:35" x14ac:dyDescent="0.25">
      <c r="A1032" t="s">
        <v>137</v>
      </c>
      <c r="B1032" t="s">
        <v>59</v>
      </c>
      <c r="C1032" t="s">
        <v>37</v>
      </c>
      <c r="D1032" t="s">
        <v>2945</v>
      </c>
      <c r="E1032" t="s">
        <v>39</v>
      </c>
      <c r="F1032" t="s">
        <v>51</v>
      </c>
      <c r="G1032" t="s">
        <v>41</v>
      </c>
      <c r="H1032" t="s">
        <v>42</v>
      </c>
      <c r="I1032" t="s">
        <v>40</v>
      </c>
      <c r="J1032" t="s">
        <v>3269</v>
      </c>
      <c r="K1032" t="s">
        <v>40</v>
      </c>
      <c r="L1032" t="s">
        <v>63</v>
      </c>
      <c r="M1032" t="s">
        <v>137</v>
      </c>
      <c r="N1032" t="s">
        <v>45</v>
      </c>
      <c r="O1032" t="s">
        <v>45</v>
      </c>
      <c r="P1032" t="s">
        <v>46</v>
      </c>
      <c r="Q1032" t="s">
        <v>47</v>
      </c>
      <c r="R1032" t="s">
        <v>109</v>
      </c>
      <c r="S1032" t="s">
        <v>3270</v>
      </c>
      <c r="T1032" t="s">
        <v>3271</v>
      </c>
      <c r="U1032" t="s">
        <v>40</v>
      </c>
      <c r="V1032" t="s">
        <v>52</v>
      </c>
      <c r="W1032" t="s">
        <v>59</v>
      </c>
      <c r="X1032" t="s">
        <v>145</v>
      </c>
      <c r="Y1032" t="s">
        <v>45</v>
      </c>
      <c r="Z1032" t="s">
        <v>40</v>
      </c>
      <c r="AA1032" t="s">
        <v>54</v>
      </c>
      <c r="AB1032" t="s">
        <v>40</v>
      </c>
      <c r="AC1032" t="s">
        <v>98</v>
      </c>
      <c r="AD1032" t="s">
        <v>57</v>
      </c>
      <c r="AE1032" t="s">
        <v>45</v>
      </c>
      <c r="AF1032" t="s">
        <v>98</v>
      </c>
      <c r="AG1032" t="s">
        <v>71</v>
      </c>
      <c r="AH1032" t="s">
        <v>91</v>
      </c>
      <c r="AI1032" t="s">
        <v>91</v>
      </c>
    </row>
    <row r="1033" spans="1:35" x14ac:dyDescent="0.25">
      <c r="A1033" t="s">
        <v>213</v>
      </c>
      <c r="B1033" t="s">
        <v>36</v>
      </c>
      <c r="C1033" t="s">
        <v>37</v>
      </c>
      <c r="D1033" t="s">
        <v>1110</v>
      </c>
      <c r="E1033" t="s">
        <v>39</v>
      </c>
      <c r="F1033" t="s">
        <v>91</v>
      </c>
      <c r="G1033" t="s">
        <v>45</v>
      </c>
      <c r="H1033" t="s">
        <v>206</v>
      </c>
      <c r="I1033" t="s">
        <v>40</v>
      </c>
      <c r="J1033" t="s">
        <v>2837</v>
      </c>
      <c r="K1033" t="s">
        <v>40</v>
      </c>
      <c r="L1033" t="s">
        <v>63</v>
      </c>
      <c r="M1033" t="s">
        <v>251</v>
      </c>
      <c r="N1033" t="s">
        <v>45</v>
      </c>
      <c r="O1033" t="s">
        <v>45</v>
      </c>
      <c r="P1033" t="s">
        <v>46</v>
      </c>
      <c r="Q1033" t="s">
        <v>47</v>
      </c>
      <c r="R1033" t="s">
        <v>109</v>
      </c>
      <c r="S1033" t="s">
        <v>342</v>
      </c>
      <c r="T1033" t="s">
        <v>834</v>
      </c>
      <c r="U1033" t="s">
        <v>47</v>
      </c>
      <c r="V1033" t="s">
        <v>52</v>
      </c>
      <c r="W1033" t="s">
        <v>59</v>
      </c>
      <c r="X1033" t="s">
        <v>53</v>
      </c>
      <c r="Y1033" t="s">
        <v>45</v>
      </c>
      <c r="Z1033" t="s">
        <v>40</v>
      </c>
      <c r="AA1033" t="s">
        <v>54</v>
      </c>
      <c r="AB1033" t="s">
        <v>40</v>
      </c>
      <c r="AC1033" t="s">
        <v>149</v>
      </c>
      <c r="AD1033" t="s">
        <v>40</v>
      </c>
      <c r="AE1033" t="s">
        <v>47</v>
      </c>
      <c r="AF1033" t="s">
        <v>71</v>
      </c>
      <c r="AG1033" t="s">
        <v>71</v>
      </c>
      <c r="AH1033" t="s">
        <v>47</v>
      </c>
      <c r="AI1033" t="s">
        <v>45</v>
      </c>
    </row>
    <row r="1034" spans="1:35" x14ac:dyDescent="0.25">
      <c r="A1034" t="s">
        <v>218</v>
      </c>
      <c r="B1034" t="s">
        <v>36</v>
      </c>
      <c r="C1034" t="s">
        <v>161</v>
      </c>
      <c r="D1034" t="s">
        <v>1672</v>
      </c>
      <c r="E1034" t="s">
        <v>62</v>
      </c>
      <c r="F1034" t="s">
        <v>41</v>
      </c>
      <c r="G1034" t="s">
        <v>45</v>
      </c>
      <c r="H1034" t="s">
        <v>42</v>
      </c>
      <c r="I1034" t="s">
        <v>40</v>
      </c>
      <c r="J1034" t="s">
        <v>3272</v>
      </c>
      <c r="K1034" t="s">
        <v>40</v>
      </c>
      <c r="L1034" t="s">
        <v>43</v>
      </c>
      <c r="M1034" t="s">
        <v>259</v>
      </c>
      <c r="N1034" t="s">
        <v>41</v>
      </c>
      <c r="O1034" t="s">
        <v>40</v>
      </c>
      <c r="P1034" t="s">
        <v>76</v>
      </c>
      <c r="Q1034" t="s">
        <v>40</v>
      </c>
      <c r="R1034" t="s">
        <v>48</v>
      </c>
      <c r="S1034" t="s">
        <v>3273</v>
      </c>
      <c r="T1034" t="s">
        <v>658</v>
      </c>
      <c r="U1034" t="s">
        <v>41</v>
      </c>
      <c r="V1034" t="s">
        <v>52</v>
      </c>
      <c r="W1034" t="s">
        <v>36</v>
      </c>
      <c r="X1034" t="s">
        <v>69</v>
      </c>
      <c r="Y1034" t="s">
        <v>47</v>
      </c>
      <c r="Z1034" t="s">
        <v>41</v>
      </c>
      <c r="AA1034" t="s">
        <v>54</v>
      </c>
      <c r="AB1034" t="s">
        <v>55</v>
      </c>
      <c r="AC1034" t="s">
        <v>53</v>
      </c>
      <c r="AD1034" t="s">
        <v>41</v>
      </c>
      <c r="AE1034" t="s">
        <v>47</v>
      </c>
      <c r="AF1034" t="s">
        <v>40</v>
      </c>
      <c r="AG1034" t="s">
        <v>55</v>
      </c>
      <c r="AH1034" t="s">
        <v>55</v>
      </c>
      <c r="AI1034" t="s">
        <v>55</v>
      </c>
    </row>
    <row r="1035" spans="1:35" x14ac:dyDescent="0.25">
      <c r="A1035" t="s">
        <v>137</v>
      </c>
      <c r="B1035" t="s">
        <v>36</v>
      </c>
      <c r="C1035" t="s">
        <v>60</v>
      </c>
      <c r="D1035" t="s">
        <v>3260</v>
      </c>
      <c r="E1035" t="s">
        <v>62</v>
      </c>
      <c r="F1035" t="s">
        <v>40</v>
      </c>
      <c r="G1035" t="s">
        <v>57</v>
      </c>
      <c r="H1035" t="s">
        <v>42</v>
      </c>
      <c r="I1035" t="s">
        <v>40</v>
      </c>
      <c r="J1035" t="s">
        <v>221</v>
      </c>
      <c r="K1035" t="s">
        <v>45</v>
      </c>
      <c r="L1035" t="s">
        <v>43</v>
      </c>
      <c r="M1035" t="s">
        <v>385</v>
      </c>
      <c r="N1035" t="s">
        <v>47</v>
      </c>
      <c r="O1035" t="s">
        <v>45</v>
      </c>
      <c r="P1035" t="s">
        <v>116</v>
      </c>
      <c r="Q1035" t="s">
        <v>41</v>
      </c>
      <c r="R1035" t="s">
        <v>48</v>
      </c>
      <c r="S1035" t="s">
        <v>3274</v>
      </c>
      <c r="T1035" t="s">
        <v>3275</v>
      </c>
      <c r="U1035" t="s">
        <v>40</v>
      </c>
      <c r="V1035" t="s">
        <v>52</v>
      </c>
      <c r="W1035" t="s">
        <v>59</v>
      </c>
      <c r="X1035" t="s">
        <v>53</v>
      </c>
      <c r="Y1035" t="s">
        <v>45</v>
      </c>
      <c r="Z1035" t="s">
        <v>40</v>
      </c>
      <c r="AA1035" t="s">
        <v>54</v>
      </c>
      <c r="AB1035" t="s">
        <v>55</v>
      </c>
      <c r="AC1035" t="s">
        <v>70</v>
      </c>
      <c r="AD1035" t="s">
        <v>41</v>
      </c>
      <c r="AE1035" t="s">
        <v>45</v>
      </c>
      <c r="AF1035" t="s">
        <v>70</v>
      </c>
      <c r="AG1035" t="s">
        <v>51</v>
      </c>
      <c r="AH1035" t="s">
        <v>47</v>
      </c>
      <c r="AI1035" t="s">
        <v>71</v>
      </c>
    </row>
    <row r="1036" spans="1:35" x14ac:dyDescent="0.25">
      <c r="A1036" t="s">
        <v>174</v>
      </c>
      <c r="B1036" t="s">
        <v>59</v>
      </c>
      <c r="C1036" t="s">
        <v>37</v>
      </c>
      <c r="D1036" t="s">
        <v>2569</v>
      </c>
      <c r="E1036" t="s">
        <v>62</v>
      </c>
      <c r="F1036" t="s">
        <v>104</v>
      </c>
      <c r="G1036" t="s">
        <v>45</v>
      </c>
      <c r="H1036" t="s">
        <v>87</v>
      </c>
      <c r="I1036" t="s">
        <v>40</v>
      </c>
      <c r="J1036" t="s">
        <v>3276</v>
      </c>
      <c r="K1036" t="s">
        <v>41</v>
      </c>
      <c r="L1036" t="s">
        <v>63</v>
      </c>
      <c r="M1036" t="s">
        <v>349</v>
      </c>
      <c r="N1036" t="s">
        <v>40</v>
      </c>
      <c r="O1036" t="s">
        <v>45</v>
      </c>
      <c r="P1036" t="s">
        <v>122</v>
      </c>
      <c r="Q1036" t="s">
        <v>40</v>
      </c>
      <c r="R1036" t="s">
        <v>109</v>
      </c>
      <c r="S1036" t="s">
        <v>3277</v>
      </c>
      <c r="T1036" t="s">
        <v>3278</v>
      </c>
      <c r="U1036" t="s">
        <v>41</v>
      </c>
      <c r="V1036" t="s">
        <v>52</v>
      </c>
      <c r="W1036" t="s">
        <v>36</v>
      </c>
      <c r="X1036" t="s">
        <v>145</v>
      </c>
      <c r="Y1036" t="s">
        <v>45</v>
      </c>
      <c r="Z1036" t="s">
        <v>41</v>
      </c>
      <c r="AA1036" t="s">
        <v>54</v>
      </c>
      <c r="AB1036" t="s">
        <v>40</v>
      </c>
      <c r="AC1036" t="s">
        <v>107</v>
      </c>
      <c r="AD1036" t="s">
        <v>41</v>
      </c>
      <c r="AE1036" t="s">
        <v>45</v>
      </c>
      <c r="AF1036" t="s">
        <v>71</v>
      </c>
      <c r="AG1036" t="s">
        <v>71</v>
      </c>
      <c r="AH1036" t="s">
        <v>55</v>
      </c>
      <c r="AI1036" t="s">
        <v>71</v>
      </c>
    </row>
    <row r="1037" spans="1:35" x14ac:dyDescent="0.25">
      <c r="A1037" t="s">
        <v>137</v>
      </c>
      <c r="B1037" t="s">
        <v>59</v>
      </c>
      <c r="C1037" t="s">
        <v>37</v>
      </c>
      <c r="D1037" t="s">
        <v>1589</v>
      </c>
      <c r="E1037" t="s">
        <v>397</v>
      </c>
      <c r="F1037" t="s">
        <v>51</v>
      </c>
      <c r="G1037" t="s">
        <v>41</v>
      </c>
      <c r="H1037" t="s">
        <v>87</v>
      </c>
      <c r="I1037" t="s">
        <v>40</v>
      </c>
      <c r="J1037" t="s">
        <v>3279</v>
      </c>
      <c r="K1037" t="s">
        <v>47</v>
      </c>
      <c r="L1037" t="s">
        <v>43</v>
      </c>
      <c r="M1037" t="s">
        <v>163</v>
      </c>
      <c r="N1037" t="s">
        <v>47</v>
      </c>
      <c r="O1037" t="s">
        <v>40</v>
      </c>
      <c r="P1037" t="s">
        <v>397</v>
      </c>
      <c r="Q1037" t="s">
        <v>41</v>
      </c>
      <c r="R1037" t="s">
        <v>48</v>
      </c>
      <c r="S1037" t="s">
        <v>3280</v>
      </c>
      <c r="T1037" t="s">
        <v>3281</v>
      </c>
      <c r="U1037" t="s">
        <v>91</v>
      </c>
      <c r="V1037" t="s">
        <v>52</v>
      </c>
      <c r="W1037" t="s">
        <v>59</v>
      </c>
      <c r="X1037" t="s">
        <v>145</v>
      </c>
      <c r="Y1037" t="s">
        <v>45</v>
      </c>
      <c r="Z1037" t="s">
        <v>47</v>
      </c>
      <c r="AA1037" t="s">
        <v>54</v>
      </c>
      <c r="AB1037" t="s">
        <v>55</v>
      </c>
      <c r="AC1037" t="s">
        <v>51</v>
      </c>
      <c r="AD1037" t="s">
        <v>45</v>
      </c>
      <c r="AE1037" t="s">
        <v>45</v>
      </c>
      <c r="AF1037" t="s">
        <v>45</v>
      </c>
      <c r="AG1037" t="s">
        <v>41</v>
      </c>
      <c r="AH1037" t="s">
        <v>55</v>
      </c>
      <c r="AI1037" t="s">
        <v>41</v>
      </c>
    </row>
    <row r="1038" spans="1:35" x14ac:dyDescent="0.25">
      <c r="A1038" t="s">
        <v>137</v>
      </c>
      <c r="B1038" t="s">
        <v>36</v>
      </c>
      <c r="C1038" t="s">
        <v>60</v>
      </c>
      <c r="D1038" t="s">
        <v>1520</v>
      </c>
      <c r="E1038" t="s">
        <v>62</v>
      </c>
      <c r="F1038" t="s">
        <v>41</v>
      </c>
      <c r="G1038" t="s">
        <v>45</v>
      </c>
      <c r="H1038" t="s">
        <v>42</v>
      </c>
      <c r="I1038" t="s">
        <v>40</v>
      </c>
      <c r="J1038" t="s">
        <v>2614</v>
      </c>
      <c r="K1038" t="s">
        <v>41</v>
      </c>
      <c r="L1038" t="s">
        <v>63</v>
      </c>
      <c r="M1038" t="s">
        <v>44</v>
      </c>
      <c r="N1038" t="s">
        <v>45</v>
      </c>
      <c r="O1038" t="s">
        <v>40</v>
      </c>
      <c r="P1038" t="s">
        <v>76</v>
      </c>
      <c r="Q1038" t="s">
        <v>47</v>
      </c>
      <c r="R1038" t="s">
        <v>66</v>
      </c>
      <c r="S1038" t="s">
        <v>3282</v>
      </c>
      <c r="T1038" t="s">
        <v>3283</v>
      </c>
      <c r="U1038" t="s">
        <v>56</v>
      </c>
      <c r="V1038" t="s">
        <v>52</v>
      </c>
      <c r="W1038" t="s">
        <v>36</v>
      </c>
      <c r="X1038" t="s">
        <v>98</v>
      </c>
      <c r="Y1038" t="s">
        <v>45</v>
      </c>
      <c r="Z1038" t="s">
        <v>45</v>
      </c>
      <c r="AA1038" t="s">
        <v>54</v>
      </c>
      <c r="AB1038" t="s">
        <v>40</v>
      </c>
      <c r="AC1038" t="s">
        <v>71</v>
      </c>
      <c r="AD1038" t="s">
        <v>41</v>
      </c>
      <c r="AE1038" t="s">
        <v>40</v>
      </c>
      <c r="AF1038" t="s">
        <v>41</v>
      </c>
      <c r="AG1038" t="s">
        <v>41</v>
      </c>
      <c r="AH1038" t="s">
        <v>41</v>
      </c>
      <c r="AI1038" t="s">
        <v>41</v>
      </c>
    </row>
    <row r="1039" spans="1:35" x14ac:dyDescent="0.25">
      <c r="A1039" t="s">
        <v>174</v>
      </c>
      <c r="B1039" t="s">
        <v>59</v>
      </c>
      <c r="C1039" t="s">
        <v>37</v>
      </c>
      <c r="D1039" t="s">
        <v>1581</v>
      </c>
      <c r="E1039" t="s">
        <v>62</v>
      </c>
      <c r="F1039" t="s">
        <v>133</v>
      </c>
      <c r="G1039" t="s">
        <v>45</v>
      </c>
      <c r="H1039" t="s">
        <v>228</v>
      </c>
      <c r="I1039" t="s">
        <v>40</v>
      </c>
      <c r="J1039" t="s">
        <v>2918</v>
      </c>
      <c r="K1039" t="s">
        <v>41</v>
      </c>
      <c r="L1039" t="s">
        <v>63</v>
      </c>
      <c r="M1039" t="s">
        <v>263</v>
      </c>
      <c r="N1039" t="s">
        <v>45</v>
      </c>
      <c r="O1039" t="s">
        <v>45</v>
      </c>
      <c r="P1039" t="s">
        <v>116</v>
      </c>
      <c r="Q1039" t="s">
        <v>47</v>
      </c>
      <c r="R1039" t="s">
        <v>66</v>
      </c>
      <c r="S1039" t="s">
        <v>3284</v>
      </c>
      <c r="T1039" t="s">
        <v>3285</v>
      </c>
      <c r="U1039" t="s">
        <v>47</v>
      </c>
      <c r="V1039" t="s">
        <v>52</v>
      </c>
      <c r="W1039" t="s">
        <v>36</v>
      </c>
      <c r="X1039" t="s">
        <v>145</v>
      </c>
      <c r="Y1039" t="s">
        <v>45</v>
      </c>
      <c r="Z1039" t="s">
        <v>47</v>
      </c>
      <c r="AA1039" t="s">
        <v>54</v>
      </c>
      <c r="AB1039" t="s">
        <v>41</v>
      </c>
      <c r="AC1039" t="s">
        <v>70</v>
      </c>
      <c r="AD1039" t="s">
        <v>47</v>
      </c>
      <c r="AE1039" t="s">
        <v>47</v>
      </c>
      <c r="AF1039" t="s">
        <v>45</v>
      </c>
      <c r="AG1039" t="s">
        <v>40</v>
      </c>
      <c r="AH1039" t="s">
        <v>40</v>
      </c>
      <c r="AI1039" t="s">
        <v>41</v>
      </c>
    </row>
    <row r="1040" spans="1:35" x14ac:dyDescent="0.25">
      <c r="A1040" t="s">
        <v>207</v>
      </c>
      <c r="B1040" t="s">
        <v>59</v>
      </c>
      <c r="C1040" t="s">
        <v>37</v>
      </c>
      <c r="D1040" t="s">
        <v>2886</v>
      </c>
      <c r="E1040" t="s">
        <v>39</v>
      </c>
      <c r="F1040" t="s">
        <v>71</v>
      </c>
      <c r="G1040" t="s">
        <v>45</v>
      </c>
      <c r="H1040" t="s">
        <v>206</v>
      </c>
      <c r="I1040" t="s">
        <v>40</v>
      </c>
      <c r="J1040" t="s">
        <v>3286</v>
      </c>
      <c r="K1040" t="s">
        <v>45</v>
      </c>
      <c r="L1040" t="s">
        <v>63</v>
      </c>
      <c r="M1040" t="s">
        <v>163</v>
      </c>
      <c r="N1040" t="s">
        <v>45</v>
      </c>
      <c r="O1040" t="s">
        <v>41</v>
      </c>
      <c r="P1040" t="s">
        <v>46</v>
      </c>
      <c r="Q1040" t="s">
        <v>40</v>
      </c>
      <c r="R1040" t="s">
        <v>109</v>
      </c>
      <c r="S1040" t="s">
        <v>3287</v>
      </c>
      <c r="T1040" t="s">
        <v>3288</v>
      </c>
      <c r="U1040" t="s">
        <v>47</v>
      </c>
      <c r="V1040" t="s">
        <v>52</v>
      </c>
      <c r="W1040" t="s">
        <v>59</v>
      </c>
      <c r="X1040" t="s">
        <v>53</v>
      </c>
      <c r="Y1040" t="s">
        <v>45</v>
      </c>
      <c r="Z1040" t="s">
        <v>40</v>
      </c>
      <c r="AA1040" t="s">
        <v>54</v>
      </c>
      <c r="AB1040" t="s">
        <v>45</v>
      </c>
      <c r="AC1040" t="s">
        <v>79</v>
      </c>
      <c r="AD1040" t="s">
        <v>45</v>
      </c>
      <c r="AE1040" t="s">
        <v>45</v>
      </c>
      <c r="AF1040" t="s">
        <v>41</v>
      </c>
      <c r="AG1040" t="s">
        <v>41</v>
      </c>
      <c r="AH1040" t="s">
        <v>41</v>
      </c>
      <c r="AI1040" t="s">
        <v>41</v>
      </c>
    </row>
    <row r="1041" spans="1:35" x14ac:dyDescent="0.25">
      <c r="A1041" t="s">
        <v>142</v>
      </c>
      <c r="B1041" t="s">
        <v>36</v>
      </c>
      <c r="C1041" t="s">
        <v>37</v>
      </c>
      <c r="D1041" t="s">
        <v>1495</v>
      </c>
      <c r="E1041" t="s">
        <v>397</v>
      </c>
      <c r="F1041" t="s">
        <v>91</v>
      </c>
      <c r="G1041" t="s">
        <v>47</v>
      </c>
      <c r="H1041" t="s">
        <v>228</v>
      </c>
      <c r="I1041" t="s">
        <v>40</v>
      </c>
      <c r="J1041" t="s">
        <v>541</v>
      </c>
      <c r="K1041" t="s">
        <v>40</v>
      </c>
      <c r="L1041" t="s">
        <v>43</v>
      </c>
      <c r="M1041" t="s">
        <v>251</v>
      </c>
      <c r="N1041" t="s">
        <v>45</v>
      </c>
      <c r="O1041" t="s">
        <v>40</v>
      </c>
      <c r="P1041" t="s">
        <v>397</v>
      </c>
      <c r="Q1041" t="s">
        <v>45</v>
      </c>
      <c r="R1041" t="s">
        <v>66</v>
      </c>
      <c r="S1041" t="s">
        <v>3289</v>
      </c>
      <c r="T1041" t="s">
        <v>753</v>
      </c>
      <c r="U1041" t="s">
        <v>40</v>
      </c>
      <c r="V1041" t="s">
        <v>52</v>
      </c>
      <c r="W1041" t="s">
        <v>59</v>
      </c>
      <c r="X1041" t="s">
        <v>79</v>
      </c>
      <c r="Y1041" t="s">
        <v>45</v>
      </c>
      <c r="Z1041" t="s">
        <v>47</v>
      </c>
      <c r="AA1041" t="s">
        <v>54</v>
      </c>
      <c r="AB1041" t="s">
        <v>55</v>
      </c>
      <c r="AC1041" t="s">
        <v>41</v>
      </c>
      <c r="AD1041" t="s">
        <v>55</v>
      </c>
      <c r="AE1041" t="s">
        <v>45</v>
      </c>
      <c r="AF1041" t="s">
        <v>41</v>
      </c>
      <c r="AG1041" t="s">
        <v>41</v>
      </c>
      <c r="AH1041" t="s">
        <v>41</v>
      </c>
      <c r="AI1041" t="s">
        <v>41</v>
      </c>
    </row>
    <row r="1042" spans="1:35" x14ac:dyDescent="0.25">
      <c r="A1042" t="s">
        <v>88</v>
      </c>
      <c r="B1042" t="s">
        <v>59</v>
      </c>
      <c r="C1042" t="s">
        <v>161</v>
      </c>
      <c r="D1042" t="s">
        <v>709</v>
      </c>
      <c r="E1042" t="s">
        <v>62</v>
      </c>
      <c r="F1042" t="s">
        <v>51</v>
      </c>
      <c r="G1042" t="s">
        <v>40</v>
      </c>
      <c r="H1042" t="s">
        <v>87</v>
      </c>
      <c r="I1042" t="s">
        <v>40</v>
      </c>
      <c r="J1042" t="s">
        <v>3290</v>
      </c>
      <c r="K1042" t="s">
        <v>47</v>
      </c>
      <c r="L1042" t="s">
        <v>63</v>
      </c>
      <c r="M1042" t="s">
        <v>263</v>
      </c>
      <c r="N1042" t="s">
        <v>41</v>
      </c>
      <c r="O1042" t="s">
        <v>45</v>
      </c>
      <c r="P1042" t="s">
        <v>186</v>
      </c>
      <c r="Q1042" t="s">
        <v>41</v>
      </c>
      <c r="R1042" t="s">
        <v>109</v>
      </c>
      <c r="S1042" t="s">
        <v>3291</v>
      </c>
      <c r="T1042" t="s">
        <v>3292</v>
      </c>
      <c r="U1042" t="s">
        <v>41</v>
      </c>
      <c r="V1042" t="s">
        <v>52</v>
      </c>
      <c r="W1042" t="s">
        <v>59</v>
      </c>
      <c r="X1042" t="s">
        <v>53</v>
      </c>
      <c r="Y1042" t="s">
        <v>45</v>
      </c>
      <c r="Z1042" t="s">
        <v>45</v>
      </c>
      <c r="AA1042" t="s">
        <v>54</v>
      </c>
      <c r="AB1042" t="s">
        <v>40</v>
      </c>
      <c r="AC1042" t="s">
        <v>128</v>
      </c>
      <c r="AD1042" t="s">
        <v>57</v>
      </c>
      <c r="AE1042" t="s">
        <v>45</v>
      </c>
      <c r="AF1042" t="s">
        <v>91</v>
      </c>
      <c r="AG1042" t="s">
        <v>51</v>
      </c>
      <c r="AH1042" t="s">
        <v>47</v>
      </c>
      <c r="AI1042" t="s">
        <v>51</v>
      </c>
    </row>
    <row r="1043" spans="1:35" x14ac:dyDescent="0.25">
      <c r="A1043" t="s">
        <v>149</v>
      </c>
      <c r="B1043" t="s">
        <v>59</v>
      </c>
      <c r="C1043" t="s">
        <v>37</v>
      </c>
      <c r="D1043" t="s">
        <v>3293</v>
      </c>
      <c r="E1043" t="s">
        <v>39</v>
      </c>
      <c r="F1043" t="s">
        <v>57</v>
      </c>
      <c r="G1043" t="s">
        <v>45</v>
      </c>
      <c r="H1043" t="s">
        <v>87</v>
      </c>
      <c r="I1043" t="s">
        <v>40</v>
      </c>
      <c r="J1043" t="s">
        <v>896</v>
      </c>
      <c r="K1043" t="s">
        <v>47</v>
      </c>
      <c r="L1043" t="s">
        <v>63</v>
      </c>
      <c r="M1043" t="s">
        <v>130</v>
      </c>
      <c r="N1043" t="s">
        <v>45</v>
      </c>
      <c r="O1043" t="s">
        <v>41</v>
      </c>
      <c r="P1043" t="s">
        <v>46</v>
      </c>
      <c r="Q1043" t="s">
        <v>40</v>
      </c>
      <c r="R1043" t="s">
        <v>48</v>
      </c>
      <c r="S1043" t="s">
        <v>3294</v>
      </c>
      <c r="T1043" t="s">
        <v>3295</v>
      </c>
      <c r="U1043" t="s">
        <v>55</v>
      </c>
      <c r="V1043" t="s">
        <v>52</v>
      </c>
      <c r="W1043" t="s">
        <v>59</v>
      </c>
      <c r="X1043" t="s">
        <v>145</v>
      </c>
      <c r="Y1043" t="s">
        <v>45</v>
      </c>
      <c r="Z1043" t="s">
        <v>47</v>
      </c>
      <c r="AA1043" t="s">
        <v>54</v>
      </c>
      <c r="AB1043" t="s">
        <v>55</v>
      </c>
      <c r="AC1043" t="s">
        <v>56</v>
      </c>
      <c r="AD1043" t="s">
        <v>47</v>
      </c>
      <c r="AE1043" t="s">
        <v>45</v>
      </c>
      <c r="AF1043" t="s">
        <v>57</v>
      </c>
      <c r="AG1043" t="s">
        <v>47</v>
      </c>
      <c r="AH1043" t="s">
        <v>40</v>
      </c>
      <c r="AI1043" t="s">
        <v>45</v>
      </c>
    </row>
    <row r="1044" spans="1:35" x14ac:dyDescent="0.25">
      <c r="A1044" t="s">
        <v>115</v>
      </c>
      <c r="B1044" t="s">
        <v>59</v>
      </c>
      <c r="C1044" t="s">
        <v>161</v>
      </c>
      <c r="D1044" t="s">
        <v>2434</v>
      </c>
      <c r="E1044" t="s">
        <v>62</v>
      </c>
      <c r="F1044" t="s">
        <v>57</v>
      </c>
      <c r="G1044" t="s">
        <v>45</v>
      </c>
      <c r="H1044" t="s">
        <v>42</v>
      </c>
      <c r="I1044" t="s">
        <v>40</v>
      </c>
      <c r="J1044" t="s">
        <v>3296</v>
      </c>
      <c r="K1044" t="s">
        <v>45</v>
      </c>
      <c r="L1044" t="s">
        <v>63</v>
      </c>
      <c r="M1044" t="s">
        <v>360</v>
      </c>
      <c r="N1044" t="s">
        <v>41</v>
      </c>
      <c r="O1044" t="s">
        <v>40</v>
      </c>
      <c r="P1044" t="s">
        <v>76</v>
      </c>
      <c r="Q1044" t="s">
        <v>45</v>
      </c>
      <c r="R1044" t="s">
        <v>48</v>
      </c>
      <c r="S1044" t="s">
        <v>2260</v>
      </c>
      <c r="T1044" t="s">
        <v>3297</v>
      </c>
      <c r="U1044" t="s">
        <v>45</v>
      </c>
      <c r="V1044" t="s">
        <v>52</v>
      </c>
      <c r="W1044" t="s">
        <v>59</v>
      </c>
      <c r="X1044" t="s">
        <v>129</v>
      </c>
      <c r="Y1044" t="s">
        <v>45</v>
      </c>
      <c r="Z1044" t="s">
        <v>47</v>
      </c>
      <c r="AA1044" t="s">
        <v>54</v>
      </c>
      <c r="AB1044" t="s">
        <v>55</v>
      </c>
      <c r="AC1044" t="s">
        <v>71</v>
      </c>
      <c r="AD1044" t="s">
        <v>57</v>
      </c>
      <c r="AE1044" t="s">
        <v>45</v>
      </c>
      <c r="AF1044" t="s">
        <v>57</v>
      </c>
      <c r="AG1044" t="s">
        <v>41</v>
      </c>
      <c r="AH1044" t="s">
        <v>55</v>
      </c>
      <c r="AI1044" t="s">
        <v>45</v>
      </c>
    </row>
    <row r="1045" spans="1:35" x14ac:dyDescent="0.25">
      <c r="A1045" t="s">
        <v>166</v>
      </c>
      <c r="B1045" t="s">
        <v>59</v>
      </c>
      <c r="C1045" t="s">
        <v>37</v>
      </c>
      <c r="D1045" t="s">
        <v>1308</v>
      </c>
      <c r="E1045" t="s">
        <v>62</v>
      </c>
      <c r="F1045" t="s">
        <v>41</v>
      </c>
      <c r="G1045" t="s">
        <v>45</v>
      </c>
      <c r="H1045" t="s">
        <v>87</v>
      </c>
      <c r="I1045" t="s">
        <v>40</v>
      </c>
      <c r="J1045" t="s">
        <v>3298</v>
      </c>
      <c r="K1045" t="s">
        <v>47</v>
      </c>
      <c r="L1045" t="s">
        <v>63</v>
      </c>
      <c r="M1045" t="s">
        <v>218</v>
      </c>
      <c r="N1045" t="s">
        <v>47</v>
      </c>
      <c r="O1045" t="s">
        <v>47</v>
      </c>
      <c r="P1045" t="s">
        <v>186</v>
      </c>
      <c r="Q1045" t="s">
        <v>41</v>
      </c>
      <c r="R1045" t="s">
        <v>48</v>
      </c>
      <c r="S1045" t="s">
        <v>3299</v>
      </c>
      <c r="T1045" t="s">
        <v>3300</v>
      </c>
      <c r="U1045" t="s">
        <v>47</v>
      </c>
      <c r="V1045" t="s">
        <v>52</v>
      </c>
      <c r="W1045" t="s">
        <v>59</v>
      </c>
      <c r="X1045" t="s">
        <v>92</v>
      </c>
      <c r="Y1045" t="s">
        <v>45</v>
      </c>
      <c r="Z1045" t="s">
        <v>41</v>
      </c>
      <c r="AA1045" t="s">
        <v>54</v>
      </c>
      <c r="AB1045" t="s">
        <v>55</v>
      </c>
      <c r="AC1045" t="s">
        <v>126</v>
      </c>
      <c r="AD1045" t="s">
        <v>41</v>
      </c>
      <c r="AE1045" t="s">
        <v>41</v>
      </c>
      <c r="AF1045" t="s">
        <v>91</v>
      </c>
      <c r="AG1045" t="s">
        <v>51</v>
      </c>
      <c r="AH1045" t="s">
        <v>51</v>
      </c>
      <c r="AI1045" t="s">
        <v>51</v>
      </c>
    </row>
    <row r="1046" spans="1:35" x14ac:dyDescent="0.25">
      <c r="A1046" t="s">
        <v>58</v>
      </c>
      <c r="B1046" t="s">
        <v>59</v>
      </c>
      <c r="C1046" t="s">
        <v>37</v>
      </c>
      <c r="D1046" t="s">
        <v>1761</v>
      </c>
      <c r="E1046" t="s">
        <v>62</v>
      </c>
      <c r="F1046" t="s">
        <v>57</v>
      </c>
      <c r="G1046" t="s">
        <v>47</v>
      </c>
      <c r="H1046" t="s">
        <v>228</v>
      </c>
      <c r="I1046" t="s">
        <v>40</v>
      </c>
      <c r="J1046" t="s">
        <v>1529</v>
      </c>
      <c r="K1046" t="s">
        <v>40</v>
      </c>
      <c r="L1046" t="s">
        <v>63</v>
      </c>
      <c r="M1046" t="s">
        <v>163</v>
      </c>
      <c r="N1046" t="s">
        <v>45</v>
      </c>
      <c r="O1046" t="s">
        <v>41</v>
      </c>
      <c r="P1046" t="s">
        <v>122</v>
      </c>
      <c r="Q1046" t="s">
        <v>45</v>
      </c>
      <c r="R1046" t="s">
        <v>66</v>
      </c>
      <c r="S1046" t="s">
        <v>3301</v>
      </c>
      <c r="T1046" t="s">
        <v>3073</v>
      </c>
      <c r="U1046" t="s">
        <v>41</v>
      </c>
      <c r="V1046" t="s">
        <v>52</v>
      </c>
      <c r="W1046" t="s">
        <v>59</v>
      </c>
      <c r="X1046" t="s">
        <v>129</v>
      </c>
      <c r="Y1046" t="s">
        <v>45</v>
      </c>
      <c r="Z1046" t="s">
        <v>41</v>
      </c>
      <c r="AA1046" t="s">
        <v>54</v>
      </c>
      <c r="AB1046" t="s">
        <v>40</v>
      </c>
      <c r="AC1046" t="s">
        <v>104</v>
      </c>
      <c r="AD1046" t="s">
        <v>55</v>
      </c>
      <c r="AE1046" t="s">
        <v>41</v>
      </c>
      <c r="AF1046" t="s">
        <v>45</v>
      </c>
      <c r="AG1046" t="s">
        <v>41</v>
      </c>
      <c r="AH1046" t="s">
        <v>40</v>
      </c>
      <c r="AI1046" t="s">
        <v>41</v>
      </c>
    </row>
    <row r="1047" spans="1:35" x14ac:dyDescent="0.25">
      <c r="A1047" t="s">
        <v>88</v>
      </c>
      <c r="B1047" t="s">
        <v>59</v>
      </c>
      <c r="C1047" t="s">
        <v>37</v>
      </c>
      <c r="D1047" t="s">
        <v>903</v>
      </c>
      <c r="E1047" t="s">
        <v>62</v>
      </c>
      <c r="F1047" t="s">
        <v>41</v>
      </c>
      <c r="G1047" t="s">
        <v>45</v>
      </c>
      <c r="H1047" t="s">
        <v>87</v>
      </c>
      <c r="I1047" t="s">
        <v>40</v>
      </c>
      <c r="J1047" t="s">
        <v>1669</v>
      </c>
      <c r="K1047" t="s">
        <v>45</v>
      </c>
      <c r="L1047" t="s">
        <v>63</v>
      </c>
      <c r="M1047" t="s">
        <v>300</v>
      </c>
      <c r="N1047" t="s">
        <v>45</v>
      </c>
      <c r="O1047" t="s">
        <v>40</v>
      </c>
      <c r="P1047" t="s">
        <v>65</v>
      </c>
      <c r="Q1047" t="s">
        <v>45</v>
      </c>
      <c r="R1047" t="s">
        <v>109</v>
      </c>
      <c r="S1047" t="s">
        <v>3302</v>
      </c>
      <c r="T1047" t="s">
        <v>3303</v>
      </c>
      <c r="U1047" t="s">
        <v>41</v>
      </c>
      <c r="V1047" t="s">
        <v>52</v>
      </c>
      <c r="W1047" t="s">
        <v>59</v>
      </c>
      <c r="X1047" t="s">
        <v>129</v>
      </c>
      <c r="Y1047" t="s">
        <v>45</v>
      </c>
      <c r="Z1047" t="s">
        <v>45</v>
      </c>
      <c r="AA1047" t="s">
        <v>54</v>
      </c>
      <c r="AB1047" t="s">
        <v>40</v>
      </c>
      <c r="AC1047" t="s">
        <v>51</v>
      </c>
      <c r="AD1047" t="s">
        <v>45</v>
      </c>
      <c r="AE1047" t="s">
        <v>47</v>
      </c>
      <c r="AF1047" t="s">
        <v>45</v>
      </c>
      <c r="AG1047" t="s">
        <v>40</v>
      </c>
      <c r="AH1047" t="s">
        <v>40</v>
      </c>
      <c r="AI1047" t="s">
        <v>41</v>
      </c>
    </row>
    <row r="1048" spans="1:35" x14ac:dyDescent="0.25">
      <c r="A1048" t="s">
        <v>115</v>
      </c>
      <c r="B1048" t="s">
        <v>59</v>
      </c>
      <c r="C1048" t="s">
        <v>37</v>
      </c>
      <c r="D1048" t="s">
        <v>541</v>
      </c>
      <c r="E1048" t="s">
        <v>62</v>
      </c>
      <c r="F1048" t="s">
        <v>104</v>
      </c>
      <c r="G1048" t="s">
        <v>45</v>
      </c>
      <c r="H1048" t="s">
        <v>42</v>
      </c>
      <c r="I1048" t="s">
        <v>40</v>
      </c>
      <c r="J1048" t="s">
        <v>3218</v>
      </c>
      <c r="K1048" t="s">
        <v>47</v>
      </c>
      <c r="L1048" t="s">
        <v>63</v>
      </c>
      <c r="M1048" t="s">
        <v>58</v>
      </c>
      <c r="N1048" t="s">
        <v>45</v>
      </c>
      <c r="O1048" t="s">
        <v>40</v>
      </c>
      <c r="P1048" t="s">
        <v>65</v>
      </c>
      <c r="Q1048" t="s">
        <v>41</v>
      </c>
      <c r="R1048" t="s">
        <v>48</v>
      </c>
      <c r="S1048" t="s">
        <v>3248</v>
      </c>
      <c r="T1048" t="s">
        <v>3304</v>
      </c>
      <c r="U1048" t="s">
        <v>40</v>
      </c>
      <c r="V1048" t="s">
        <v>52</v>
      </c>
      <c r="W1048" t="s">
        <v>59</v>
      </c>
      <c r="X1048" t="s">
        <v>98</v>
      </c>
      <c r="Y1048" t="s">
        <v>45</v>
      </c>
      <c r="Z1048" t="s">
        <v>45</v>
      </c>
      <c r="AA1048" t="s">
        <v>54</v>
      </c>
      <c r="AB1048" t="s">
        <v>55</v>
      </c>
      <c r="AC1048" t="s">
        <v>56</v>
      </c>
      <c r="AD1048" t="s">
        <v>45</v>
      </c>
      <c r="AE1048" t="s">
        <v>41</v>
      </c>
      <c r="AF1048" t="s">
        <v>57</v>
      </c>
      <c r="AG1048" t="s">
        <v>41</v>
      </c>
      <c r="AH1048" t="s">
        <v>40</v>
      </c>
      <c r="AI1048" t="s">
        <v>45</v>
      </c>
    </row>
    <row r="1049" spans="1:35" x14ac:dyDescent="0.25">
      <c r="A1049" t="s">
        <v>80</v>
      </c>
      <c r="B1049" t="s">
        <v>59</v>
      </c>
      <c r="C1049" t="s">
        <v>60</v>
      </c>
      <c r="D1049" t="s">
        <v>1262</v>
      </c>
      <c r="E1049" t="s">
        <v>39</v>
      </c>
      <c r="F1049" t="s">
        <v>71</v>
      </c>
      <c r="G1049" t="s">
        <v>45</v>
      </c>
      <c r="H1049" t="s">
        <v>87</v>
      </c>
      <c r="I1049" t="s">
        <v>40</v>
      </c>
      <c r="J1049" t="s">
        <v>3305</v>
      </c>
      <c r="K1049" t="s">
        <v>47</v>
      </c>
      <c r="L1049" t="s">
        <v>63</v>
      </c>
      <c r="M1049" t="s">
        <v>259</v>
      </c>
      <c r="N1049" t="s">
        <v>45</v>
      </c>
      <c r="O1049" t="s">
        <v>41</v>
      </c>
      <c r="P1049" t="s">
        <v>46</v>
      </c>
      <c r="Q1049" t="s">
        <v>40</v>
      </c>
      <c r="R1049" t="s">
        <v>66</v>
      </c>
      <c r="S1049" t="s">
        <v>3306</v>
      </c>
      <c r="T1049" t="s">
        <v>3307</v>
      </c>
      <c r="U1049" t="s">
        <v>55</v>
      </c>
      <c r="V1049" t="s">
        <v>52</v>
      </c>
      <c r="W1049" t="s">
        <v>59</v>
      </c>
      <c r="X1049" t="s">
        <v>129</v>
      </c>
      <c r="Y1049" t="s">
        <v>45</v>
      </c>
      <c r="Z1049" t="s">
        <v>40</v>
      </c>
      <c r="AA1049" t="s">
        <v>54</v>
      </c>
      <c r="AB1049" t="s">
        <v>41</v>
      </c>
      <c r="AC1049" t="s">
        <v>57</v>
      </c>
      <c r="AD1049" t="s">
        <v>41</v>
      </c>
      <c r="AE1049" t="s">
        <v>45</v>
      </c>
      <c r="AF1049" t="s">
        <v>47</v>
      </c>
      <c r="AG1049" t="s">
        <v>45</v>
      </c>
      <c r="AH1049" t="s">
        <v>55</v>
      </c>
      <c r="AI1049" t="s">
        <v>45</v>
      </c>
    </row>
    <row r="1050" spans="1:35" x14ac:dyDescent="0.25">
      <c r="A1050" t="s">
        <v>142</v>
      </c>
      <c r="B1050" t="s">
        <v>59</v>
      </c>
      <c r="C1050" t="s">
        <v>37</v>
      </c>
      <c r="D1050" t="s">
        <v>3308</v>
      </c>
      <c r="E1050" t="s">
        <v>39</v>
      </c>
      <c r="F1050" t="s">
        <v>45</v>
      </c>
      <c r="G1050" t="s">
        <v>45</v>
      </c>
      <c r="H1050" t="s">
        <v>74</v>
      </c>
      <c r="I1050" t="s">
        <v>40</v>
      </c>
      <c r="J1050" t="s">
        <v>3309</v>
      </c>
      <c r="K1050" t="s">
        <v>47</v>
      </c>
      <c r="L1050" t="s">
        <v>63</v>
      </c>
      <c r="M1050" t="s">
        <v>101</v>
      </c>
      <c r="N1050" t="s">
        <v>40</v>
      </c>
      <c r="O1050" t="s">
        <v>41</v>
      </c>
      <c r="P1050" t="s">
        <v>46</v>
      </c>
      <c r="Q1050" t="s">
        <v>40</v>
      </c>
      <c r="R1050" t="s">
        <v>48</v>
      </c>
      <c r="S1050" t="s">
        <v>1336</v>
      </c>
      <c r="T1050" t="s">
        <v>3146</v>
      </c>
      <c r="U1050" t="s">
        <v>45</v>
      </c>
      <c r="V1050" t="s">
        <v>52</v>
      </c>
      <c r="W1050" t="s">
        <v>59</v>
      </c>
      <c r="X1050" t="s">
        <v>145</v>
      </c>
      <c r="Y1050" t="s">
        <v>45</v>
      </c>
      <c r="Z1050" t="s">
        <v>47</v>
      </c>
      <c r="AA1050" t="s">
        <v>54</v>
      </c>
      <c r="AB1050" t="s">
        <v>55</v>
      </c>
      <c r="AC1050" t="s">
        <v>79</v>
      </c>
      <c r="AD1050" t="s">
        <v>41</v>
      </c>
      <c r="AE1050" t="s">
        <v>45</v>
      </c>
      <c r="AF1050" t="s">
        <v>98</v>
      </c>
      <c r="AG1050" t="s">
        <v>91</v>
      </c>
      <c r="AH1050" t="s">
        <v>45</v>
      </c>
      <c r="AI1050" t="s">
        <v>92</v>
      </c>
    </row>
    <row r="1051" spans="1:35" x14ac:dyDescent="0.25">
      <c r="A1051" t="s">
        <v>105</v>
      </c>
      <c r="B1051" t="s">
        <v>59</v>
      </c>
      <c r="C1051" t="s">
        <v>37</v>
      </c>
      <c r="D1051" t="s">
        <v>106</v>
      </c>
      <c r="E1051" t="s">
        <v>39</v>
      </c>
      <c r="F1051" t="s">
        <v>128</v>
      </c>
      <c r="G1051" t="s">
        <v>40</v>
      </c>
      <c r="H1051" t="s">
        <v>42</v>
      </c>
      <c r="I1051" t="s">
        <v>40</v>
      </c>
      <c r="J1051" t="s">
        <v>1130</v>
      </c>
      <c r="K1051" t="s">
        <v>47</v>
      </c>
      <c r="L1051" t="s">
        <v>63</v>
      </c>
      <c r="M1051" t="s">
        <v>163</v>
      </c>
      <c r="N1051" t="s">
        <v>45</v>
      </c>
      <c r="O1051" t="s">
        <v>41</v>
      </c>
      <c r="P1051" t="s">
        <v>46</v>
      </c>
      <c r="Q1051" t="s">
        <v>45</v>
      </c>
      <c r="R1051" t="s">
        <v>66</v>
      </c>
      <c r="S1051" t="s">
        <v>3310</v>
      </c>
      <c r="T1051" t="s">
        <v>3311</v>
      </c>
      <c r="U1051" t="s">
        <v>51</v>
      </c>
      <c r="V1051" t="s">
        <v>52</v>
      </c>
      <c r="W1051" t="s">
        <v>59</v>
      </c>
      <c r="X1051" t="s">
        <v>79</v>
      </c>
      <c r="Y1051" t="s">
        <v>45</v>
      </c>
      <c r="Z1051" t="s">
        <v>45</v>
      </c>
      <c r="AA1051" t="s">
        <v>54</v>
      </c>
      <c r="AB1051" t="s">
        <v>41</v>
      </c>
      <c r="AC1051" t="s">
        <v>47</v>
      </c>
      <c r="AD1051" t="s">
        <v>41</v>
      </c>
      <c r="AE1051" t="s">
        <v>41</v>
      </c>
      <c r="AF1051" t="s">
        <v>41</v>
      </c>
      <c r="AG1051" t="s">
        <v>40</v>
      </c>
      <c r="AH1051" t="s">
        <v>41</v>
      </c>
      <c r="AI1051" t="s">
        <v>41</v>
      </c>
    </row>
    <row r="1052" spans="1:35" x14ac:dyDescent="0.25">
      <c r="A1052" t="s">
        <v>204</v>
      </c>
      <c r="B1052" t="s">
        <v>59</v>
      </c>
      <c r="C1052" t="s">
        <v>60</v>
      </c>
      <c r="D1052" t="s">
        <v>3312</v>
      </c>
      <c r="E1052" t="s">
        <v>62</v>
      </c>
      <c r="F1052" t="s">
        <v>91</v>
      </c>
      <c r="G1052" t="s">
        <v>41</v>
      </c>
      <c r="H1052" t="s">
        <v>87</v>
      </c>
      <c r="I1052" t="s">
        <v>40</v>
      </c>
      <c r="J1052" t="s">
        <v>748</v>
      </c>
      <c r="K1052" t="s">
        <v>40</v>
      </c>
      <c r="L1052" t="s">
        <v>43</v>
      </c>
      <c r="M1052" t="s">
        <v>314</v>
      </c>
      <c r="N1052" t="s">
        <v>45</v>
      </c>
      <c r="O1052" t="s">
        <v>40</v>
      </c>
      <c r="P1052" t="s">
        <v>76</v>
      </c>
      <c r="Q1052" t="s">
        <v>47</v>
      </c>
      <c r="R1052" t="s">
        <v>48</v>
      </c>
      <c r="S1052" t="s">
        <v>3313</v>
      </c>
      <c r="T1052" t="s">
        <v>3314</v>
      </c>
      <c r="U1052" t="s">
        <v>40</v>
      </c>
      <c r="V1052" t="s">
        <v>52</v>
      </c>
      <c r="W1052" t="s">
        <v>59</v>
      </c>
      <c r="X1052" t="s">
        <v>98</v>
      </c>
      <c r="Y1052" t="s">
        <v>45</v>
      </c>
      <c r="Z1052" t="s">
        <v>45</v>
      </c>
      <c r="AA1052" t="s">
        <v>54</v>
      </c>
      <c r="AB1052" t="s">
        <v>55</v>
      </c>
      <c r="AC1052" t="s">
        <v>92</v>
      </c>
      <c r="AD1052" t="s">
        <v>45</v>
      </c>
      <c r="AE1052" t="s">
        <v>45</v>
      </c>
      <c r="AF1052" t="s">
        <v>92</v>
      </c>
      <c r="AG1052" t="s">
        <v>91</v>
      </c>
      <c r="AH1052" t="s">
        <v>57</v>
      </c>
      <c r="AI1052" t="s">
        <v>51</v>
      </c>
    </row>
    <row r="1053" spans="1:35" x14ac:dyDescent="0.25">
      <c r="A1053" t="s">
        <v>115</v>
      </c>
      <c r="B1053" t="s">
        <v>59</v>
      </c>
      <c r="C1053" t="s">
        <v>60</v>
      </c>
      <c r="D1053" t="s">
        <v>3250</v>
      </c>
      <c r="E1053" t="s">
        <v>39</v>
      </c>
      <c r="F1053" t="s">
        <v>40</v>
      </c>
      <c r="G1053" t="s">
        <v>57</v>
      </c>
      <c r="H1053" t="s">
        <v>206</v>
      </c>
      <c r="I1053" t="s">
        <v>40</v>
      </c>
      <c r="J1053" t="s">
        <v>3315</v>
      </c>
      <c r="K1053" t="s">
        <v>40</v>
      </c>
      <c r="L1053" t="s">
        <v>43</v>
      </c>
      <c r="M1053" t="s">
        <v>95</v>
      </c>
      <c r="N1053" t="s">
        <v>45</v>
      </c>
      <c r="O1053" t="s">
        <v>41</v>
      </c>
      <c r="P1053" t="s">
        <v>46</v>
      </c>
      <c r="Q1053" t="s">
        <v>45</v>
      </c>
      <c r="R1053" t="s">
        <v>66</v>
      </c>
      <c r="S1053" t="s">
        <v>3316</v>
      </c>
      <c r="T1053" t="s">
        <v>3317</v>
      </c>
      <c r="U1053" t="s">
        <v>71</v>
      </c>
      <c r="V1053" t="s">
        <v>52</v>
      </c>
      <c r="W1053" t="s">
        <v>59</v>
      </c>
      <c r="X1053" t="s">
        <v>92</v>
      </c>
      <c r="Y1053" t="s">
        <v>45</v>
      </c>
      <c r="Z1053" t="s">
        <v>45</v>
      </c>
      <c r="AA1053" t="s">
        <v>54</v>
      </c>
      <c r="AB1053" t="s">
        <v>40</v>
      </c>
      <c r="AC1053" t="s">
        <v>53</v>
      </c>
      <c r="AD1053" t="s">
        <v>47</v>
      </c>
      <c r="AE1053" t="s">
        <v>41</v>
      </c>
      <c r="AF1053" t="s">
        <v>40</v>
      </c>
      <c r="AG1053" t="s">
        <v>55</v>
      </c>
      <c r="AH1053" t="s">
        <v>55</v>
      </c>
      <c r="AI1053" t="s">
        <v>55</v>
      </c>
    </row>
    <row r="1054" spans="1:35" x14ac:dyDescent="0.25">
      <c r="A1054" t="s">
        <v>105</v>
      </c>
      <c r="B1054" t="s">
        <v>59</v>
      </c>
      <c r="C1054" t="s">
        <v>161</v>
      </c>
      <c r="D1054" t="s">
        <v>2453</v>
      </c>
      <c r="E1054" t="s">
        <v>62</v>
      </c>
      <c r="F1054" t="s">
        <v>71</v>
      </c>
      <c r="G1054" t="s">
        <v>45</v>
      </c>
      <c r="H1054" t="s">
        <v>228</v>
      </c>
      <c r="I1054" t="s">
        <v>40</v>
      </c>
      <c r="J1054" t="s">
        <v>1307</v>
      </c>
      <c r="K1054" t="s">
        <v>45</v>
      </c>
      <c r="L1054" t="s">
        <v>63</v>
      </c>
      <c r="M1054" t="s">
        <v>292</v>
      </c>
      <c r="N1054" t="s">
        <v>45</v>
      </c>
      <c r="O1054" t="s">
        <v>40</v>
      </c>
      <c r="P1054" t="s">
        <v>65</v>
      </c>
      <c r="Q1054" t="s">
        <v>45</v>
      </c>
      <c r="R1054" t="s">
        <v>109</v>
      </c>
      <c r="S1054" t="s">
        <v>1643</v>
      </c>
      <c r="T1054" t="s">
        <v>3318</v>
      </c>
      <c r="U1054" t="s">
        <v>40</v>
      </c>
      <c r="V1054" t="s">
        <v>52</v>
      </c>
      <c r="W1054" t="s">
        <v>59</v>
      </c>
      <c r="X1054" t="s">
        <v>98</v>
      </c>
      <c r="Y1054" t="s">
        <v>45</v>
      </c>
      <c r="Z1054" t="s">
        <v>41</v>
      </c>
      <c r="AA1054" t="s">
        <v>54</v>
      </c>
      <c r="AB1054" t="s">
        <v>41</v>
      </c>
      <c r="AC1054" t="s">
        <v>40</v>
      </c>
      <c r="AD1054" t="s">
        <v>41</v>
      </c>
      <c r="AE1054" t="s">
        <v>41</v>
      </c>
      <c r="AF1054" t="s">
        <v>40</v>
      </c>
      <c r="AG1054" t="s">
        <v>55</v>
      </c>
      <c r="AH1054" t="s">
        <v>55</v>
      </c>
      <c r="AI1054" t="s">
        <v>55</v>
      </c>
    </row>
    <row r="1055" spans="1:35" x14ac:dyDescent="0.25">
      <c r="A1055" t="s">
        <v>269</v>
      </c>
      <c r="B1055" t="s">
        <v>59</v>
      </c>
      <c r="C1055" t="s">
        <v>37</v>
      </c>
      <c r="D1055" t="s">
        <v>1197</v>
      </c>
      <c r="E1055" t="s">
        <v>62</v>
      </c>
      <c r="F1055" t="s">
        <v>40</v>
      </c>
      <c r="G1055" t="s">
        <v>41</v>
      </c>
      <c r="H1055" t="s">
        <v>42</v>
      </c>
      <c r="I1055" t="s">
        <v>40</v>
      </c>
      <c r="J1055" t="s">
        <v>665</v>
      </c>
      <c r="K1055" t="s">
        <v>41</v>
      </c>
      <c r="L1055" t="s">
        <v>63</v>
      </c>
      <c r="M1055" t="s">
        <v>146</v>
      </c>
      <c r="N1055" t="s">
        <v>47</v>
      </c>
      <c r="O1055" t="s">
        <v>41</v>
      </c>
      <c r="P1055" t="s">
        <v>65</v>
      </c>
      <c r="Q1055" t="s">
        <v>45</v>
      </c>
      <c r="R1055" t="s">
        <v>66</v>
      </c>
      <c r="S1055" t="s">
        <v>3319</v>
      </c>
      <c r="T1055" t="s">
        <v>3320</v>
      </c>
      <c r="U1055" t="s">
        <v>55</v>
      </c>
      <c r="V1055" t="s">
        <v>52</v>
      </c>
      <c r="W1055" t="s">
        <v>59</v>
      </c>
      <c r="X1055" t="s">
        <v>107</v>
      </c>
      <c r="Y1055" t="s">
        <v>47</v>
      </c>
      <c r="Z1055" t="s">
        <v>40</v>
      </c>
      <c r="AA1055" t="s">
        <v>54</v>
      </c>
      <c r="AB1055" t="s">
        <v>40</v>
      </c>
      <c r="AC1055" t="s">
        <v>98</v>
      </c>
      <c r="AD1055" t="s">
        <v>41</v>
      </c>
      <c r="AE1055" t="s">
        <v>41</v>
      </c>
      <c r="AF1055" t="s">
        <v>92</v>
      </c>
      <c r="AG1055" t="s">
        <v>91</v>
      </c>
      <c r="AH1055" t="s">
        <v>41</v>
      </c>
      <c r="AI1055" t="s">
        <v>51</v>
      </c>
    </row>
    <row r="1056" spans="1:35" x14ac:dyDescent="0.25">
      <c r="A1056" t="s">
        <v>58</v>
      </c>
      <c r="B1056" t="s">
        <v>59</v>
      </c>
      <c r="C1056" t="s">
        <v>37</v>
      </c>
      <c r="D1056" t="s">
        <v>1562</v>
      </c>
      <c r="E1056" t="s">
        <v>62</v>
      </c>
      <c r="F1056" t="s">
        <v>71</v>
      </c>
      <c r="G1056" t="s">
        <v>47</v>
      </c>
      <c r="H1056" t="s">
        <v>42</v>
      </c>
      <c r="I1056" t="s">
        <v>40</v>
      </c>
      <c r="J1056" t="s">
        <v>3321</v>
      </c>
      <c r="K1056" t="s">
        <v>45</v>
      </c>
      <c r="L1056" t="s">
        <v>63</v>
      </c>
      <c r="M1056" t="s">
        <v>126</v>
      </c>
      <c r="N1056" t="s">
        <v>45</v>
      </c>
      <c r="O1056" t="s">
        <v>45</v>
      </c>
      <c r="P1056" t="s">
        <v>122</v>
      </c>
      <c r="Q1056" t="s">
        <v>41</v>
      </c>
      <c r="R1056" t="s">
        <v>109</v>
      </c>
      <c r="S1056" t="s">
        <v>3322</v>
      </c>
      <c r="T1056" t="s">
        <v>3323</v>
      </c>
      <c r="U1056" t="s">
        <v>45</v>
      </c>
      <c r="V1056" t="s">
        <v>52</v>
      </c>
      <c r="W1056" t="s">
        <v>59</v>
      </c>
      <c r="X1056" t="s">
        <v>129</v>
      </c>
      <c r="Y1056" t="s">
        <v>45</v>
      </c>
      <c r="Z1056" t="s">
        <v>41</v>
      </c>
      <c r="AA1056" t="s">
        <v>54</v>
      </c>
      <c r="AB1056" t="s">
        <v>41</v>
      </c>
      <c r="AC1056" t="s">
        <v>133</v>
      </c>
      <c r="AD1056" t="s">
        <v>45</v>
      </c>
      <c r="AE1056" t="s">
        <v>45</v>
      </c>
      <c r="AF1056" t="s">
        <v>51</v>
      </c>
      <c r="AG1056" t="s">
        <v>71</v>
      </c>
      <c r="AH1056" t="s">
        <v>55</v>
      </c>
      <c r="AI1056" t="s">
        <v>71</v>
      </c>
    </row>
    <row r="1057" spans="1:35" x14ac:dyDescent="0.25">
      <c r="A1057" t="s">
        <v>142</v>
      </c>
      <c r="B1057" t="s">
        <v>59</v>
      </c>
      <c r="C1057" t="s">
        <v>60</v>
      </c>
      <c r="D1057" t="s">
        <v>888</v>
      </c>
      <c r="E1057" t="s">
        <v>62</v>
      </c>
      <c r="F1057" t="s">
        <v>79</v>
      </c>
      <c r="G1057" t="s">
        <v>45</v>
      </c>
      <c r="H1057" t="s">
        <v>87</v>
      </c>
      <c r="I1057" t="s">
        <v>40</v>
      </c>
      <c r="J1057" t="s">
        <v>1573</v>
      </c>
      <c r="K1057" t="s">
        <v>41</v>
      </c>
      <c r="L1057" t="s">
        <v>63</v>
      </c>
      <c r="M1057" t="s">
        <v>315</v>
      </c>
      <c r="N1057" t="s">
        <v>45</v>
      </c>
      <c r="O1057" t="s">
        <v>47</v>
      </c>
      <c r="P1057" t="s">
        <v>186</v>
      </c>
      <c r="Q1057" t="s">
        <v>40</v>
      </c>
      <c r="R1057" t="s">
        <v>109</v>
      </c>
      <c r="S1057" t="s">
        <v>3324</v>
      </c>
      <c r="T1057" t="s">
        <v>3325</v>
      </c>
      <c r="U1057" t="s">
        <v>71</v>
      </c>
      <c r="V1057" t="s">
        <v>52</v>
      </c>
      <c r="W1057" t="s">
        <v>59</v>
      </c>
      <c r="X1057" t="s">
        <v>129</v>
      </c>
      <c r="Y1057" t="s">
        <v>45</v>
      </c>
      <c r="Z1057" t="s">
        <v>47</v>
      </c>
      <c r="AA1057" t="s">
        <v>54</v>
      </c>
      <c r="AB1057" t="s">
        <v>41</v>
      </c>
      <c r="AC1057" t="s">
        <v>128</v>
      </c>
      <c r="AD1057" t="s">
        <v>45</v>
      </c>
      <c r="AE1057" t="s">
        <v>41</v>
      </c>
      <c r="AF1057" t="s">
        <v>129</v>
      </c>
      <c r="AG1057" t="s">
        <v>51</v>
      </c>
      <c r="AH1057" t="s">
        <v>56</v>
      </c>
      <c r="AI1057" t="s">
        <v>91</v>
      </c>
    </row>
    <row r="1058" spans="1:35" x14ac:dyDescent="0.25">
      <c r="A1058" t="s">
        <v>149</v>
      </c>
      <c r="B1058" t="s">
        <v>36</v>
      </c>
      <c r="C1058" t="s">
        <v>60</v>
      </c>
      <c r="D1058" t="s">
        <v>686</v>
      </c>
      <c r="E1058" t="s">
        <v>39</v>
      </c>
      <c r="F1058" t="s">
        <v>40</v>
      </c>
      <c r="G1058" t="s">
        <v>45</v>
      </c>
      <c r="H1058" t="s">
        <v>228</v>
      </c>
      <c r="I1058" t="s">
        <v>40</v>
      </c>
      <c r="J1058" t="s">
        <v>3326</v>
      </c>
      <c r="K1058" t="s">
        <v>40</v>
      </c>
      <c r="L1058" t="s">
        <v>63</v>
      </c>
      <c r="M1058" t="s">
        <v>75</v>
      </c>
      <c r="N1058" t="s">
        <v>45</v>
      </c>
      <c r="O1058" t="s">
        <v>40</v>
      </c>
      <c r="P1058" t="s">
        <v>182</v>
      </c>
      <c r="Q1058" t="s">
        <v>45</v>
      </c>
      <c r="R1058" t="s">
        <v>66</v>
      </c>
      <c r="S1058" t="s">
        <v>83</v>
      </c>
      <c r="T1058" t="s">
        <v>3327</v>
      </c>
      <c r="U1058" t="s">
        <v>45</v>
      </c>
      <c r="V1058" t="s">
        <v>52</v>
      </c>
      <c r="W1058" t="s">
        <v>59</v>
      </c>
      <c r="X1058" t="s">
        <v>79</v>
      </c>
      <c r="Y1058" t="s">
        <v>45</v>
      </c>
      <c r="Z1058" t="s">
        <v>47</v>
      </c>
      <c r="AA1058" t="s">
        <v>54</v>
      </c>
      <c r="AB1058" t="s">
        <v>40</v>
      </c>
      <c r="AC1058" t="s">
        <v>57</v>
      </c>
      <c r="AD1058" t="s">
        <v>45</v>
      </c>
      <c r="AE1058" t="s">
        <v>47</v>
      </c>
      <c r="AF1058" t="s">
        <v>45</v>
      </c>
      <c r="AG1058" t="s">
        <v>41</v>
      </c>
      <c r="AH1058" t="s">
        <v>40</v>
      </c>
      <c r="AI1058" t="s">
        <v>41</v>
      </c>
    </row>
    <row r="1059" spans="1:35" x14ac:dyDescent="0.25">
      <c r="A1059" t="s">
        <v>133</v>
      </c>
      <c r="B1059" t="s">
        <v>36</v>
      </c>
      <c r="C1059" t="s">
        <v>60</v>
      </c>
      <c r="D1059" t="s">
        <v>3328</v>
      </c>
      <c r="E1059" t="s">
        <v>39</v>
      </c>
      <c r="F1059" t="s">
        <v>98</v>
      </c>
      <c r="G1059" t="s">
        <v>45</v>
      </c>
      <c r="H1059" t="s">
        <v>228</v>
      </c>
      <c r="I1059" t="s">
        <v>40</v>
      </c>
      <c r="J1059" t="s">
        <v>3329</v>
      </c>
      <c r="K1059" t="s">
        <v>40</v>
      </c>
      <c r="L1059" t="s">
        <v>43</v>
      </c>
      <c r="M1059" t="s">
        <v>155</v>
      </c>
      <c r="N1059" t="s">
        <v>45</v>
      </c>
      <c r="O1059" t="s">
        <v>41</v>
      </c>
      <c r="P1059" t="s">
        <v>46</v>
      </c>
      <c r="Q1059" t="s">
        <v>41</v>
      </c>
      <c r="R1059" t="s">
        <v>48</v>
      </c>
      <c r="S1059" t="s">
        <v>3330</v>
      </c>
      <c r="T1059" t="s">
        <v>3331</v>
      </c>
      <c r="U1059" t="s">
        <v>57</v>
      </c>
      <c r="V1059" t="s">
        <v>52</v>
      </c>
      <c r="W1059" t="s">
        <v>59</v>
      </c>
      <c r="X1059" t="s">
        <v>53</v>
      </c>
      <c r="Y1059" t="s">
        <v>45</v>
      </c>
      <c r="Z1059" t="s">
        <v>40</v>
      </c>
      <c r="AA1059" t="s">
        <v>54</v>
      </c>
      <c r="AB1059" t="s">
        <v>55</v>
      </c>
      <c r="AC1059" t="s">
        <v>71</v>
      </c>
      <c r="AD1059" t="s">
        <v>47</v>
      </c>
      <c r="AE1059" t="s">
        <v>40</v>
      </c>
      <c r="AF1059" t="s">
        <v>57</v>
      </c>
      <c r="AG1059" t="s">
        <v>45</v>
      </c>
      <c r="AH1059" t="s">
        <v>55</v>
      </c>
      <c r="AI1059" t="s">
        <v>55</v>
      </c>
    </row>
    <row r="1060" spans="1:35" x14ac:dyDescent="0.25">
      <c r="A1060" t="s">
        <v>142</v>
      </c>
      <c r="B1060" t="s">
        <v>36</v>
      </c>
      <c r="C1060" t="s">
        <v>37</v>
      </c>
      <c r="D1060" t="s">
        <v>3332</v>
      </c>
      <c r="E1060" t="s">
        <v>39</v>
      </c>
      <c r="F1060" t="s">
        <v>107</v>
      </c>
      <c r="G1060" t="s">
        <v>47</v>
      </c>
      <c r="H1060" t="s">
        <v>87</v>
      </c>
      <c r="I1060" t="s">
        <v>40</v>
      </c>
      <c r="J1060" t="s">
        <v>3333</v>
      </c>
      <c r="K1060" t="s">
        <v>40</v>
      </c>
      <c r="L1060" t="s">
        <v>43</v>
      </c>
      <c r="M1060" t="s">
        <v>88</v>
      </c>
      <c r="N1060" t="s">
        <v>41</v>
      </c>
      <c r="O1060" t="s">
        <v>41</v>
      </c>
      <c r="P1060" t="s">
        <v>46</v>
      </c>
      <c r="Q1060" t="s">
        <v>41</v>
      </c>
      <c r="R1060" t="s">
        <v>48</v>
      </c>
      <c r="S1060" t="s">
        <v>3334</v>
      </c>
      <c r="T1060" t="s">
        <v>3335</v>
      </c>
      <c r="U1060" t="s">
        <v>55</v>
      </c>
      <c r="V1060" t="s">
        <v>52</v>
      </c>
      <c r="W1060" t="s">
        <v>36</v>
      </c>
      <c r="X1060" t="s">
        <v>69</v>
      </c>
      <c r="Y1060" t="s">
        <v>47</v>
      </c>
      <c r="Z1060" t="s">
        <v>45</v>
      </c>
      <c r="AA1060" t="s">
        <v>54</v>
      </c>
      <c r="AB1060" t="s">
        <v>55</v>
      </c>
      <c r="AC1060" t="s">
        <v>128</v>
      </c>
      <c r="AD1060" t="s">
        <v>41</v>
      </c>
      <c r="AE1060" t="s">
        <v>47</v>
      </c>
      <c r="AF1060" t="s">
        <v>79</v>
      </c>
      <c r="AG1060" t="s">
        <v>91</v>
      </c>
      <c r="AH1060" t="s">
        <v>70</v>
      </c>
      <c r="AI1060" t="s">
        <v>70</v>
      </c>
    </row>
    <row r="1061" spans="1:35" x14ac:dyDescent="0.25">
      <c r="A1061" t="s">
        <v>126</v>
      </c>
      <c r="B1061" t="s">
        <v>59</v>
      </c>
      <c r="C1061" t="s">
        <v>37</v>
      </c>
      <c r="D1061" t="s">
        <v>2602</v>
      </c>
      <c r="E1061" t="s">
        <v>39</v>
      </c>
      <c r="F1061" t="s">
        <v>71</v>
      </c>
      <c r="G1061" t="s">
        <v>40</v>
      </c>
      <c r="H1061" t="s">
        <v>42</v>
      </c>
      <c r="I1061" t="s">
        <v>40</v>
      </c>
      <c r="J1061" t="s">
        <v>2660</v>
      </c>
      <c r="K1061" t="s">
        <v>47</v>
      </c>
      <c r="L1061" t="s">
        <v>63</v>
      </c>
      <c r="M1061" t="s">
        <v>322</v>
      </c>
      <c r="N1061" t="s">
        <v>45</v>
      </c>
      <c r="O1061" t="s">
        <v>40</v>
      </c>
      <c r="P1061" t="s">
        <v>182</v>
      </c>
      <c r="Q1061" t="s">
        <v>45</v>
      </c>
      <c r="R1061" t="s">
        <v>66</v>
      </c>
      <c r="S1061" t="s">
        <v>2342</v>
      </c>
      <c r="T1061" t="s">
        <v>3336</v>
      </c>
      <c r="U1061" t="s">
        <v>40</v>
      </c>
      <c r="V1061" t="s">
        <v>52</v>
      </c>
      <c r="W1061" t="s">
        <v>59</v>
      </c>
      <c r="X1061" t="s">
        <v>98</v>
      </c>
      <c r="Y1061" t="s">
        <v>45</v>
      </c>
      <c r="Z1061" t="s">
        <v>40</v>
      </c>
      <c r="AA1061" t="s">
        <v>54</v>
      </c>
      <c r="AB1061" t="s">
        <v>40</v>
      </c>
      <c r="AC1061" t="s">
        <v>40</v>
      </c>
      <c r="AD1061" t="s">
        <v>45</v>
      </c>
      <c r="AE1061" t="s">
        <v>45</v>
      </c>
      <c r="AF1061" t="s">
        <v>40</v>
      </c>
      <c r="AG1061" t="s">
        <v>55</v>
      </c>
      <c r="AH1061" t="s">
        <v>55</v>
      </c>
      <c r="AI1061" t="s">
        <v>55</v>
      </c>
    </row>
    <row r="1062" spans="1:35" x14ac:dyDescent="0.25">
      <c r="A1062" t="s">
        <v>107</v>
      </c>
      <c r="B1062" t="s">
        <v>36</v>
      </c>
      <c r="C1062" t="s">
        <v>60</v>
      </c>
      <c r="D1062" t="s">
        <v>1124</v>
      </c>
      <c r="E1062" t="s">
        <v>62</v>
      </c>
      <c r="F1062" t="s">
        <v>91</v>
      </c>
      <c r="G1062" t="s">
        <v>45</v>
      </c>
      <c r="H1062" t="s">
        <v>87</v>
      </c>
      <c r="I1062" t="s">
        <v>40</v>
      </c>
      <c r="J1062" t="s">
        <v>3337</v>
      </c>
      <c r="K1062" t="s">
        <v>41</v>
      </c>
      <c r="L1062" t="s">
        <v>63</v>
      </c>
      <c r="M1062" t="s">
        <v>959</v>
      </c>
      <c r="N1062" t="s">
        <v>45</v>
      </c>
      <c r="O1062" t="s">
        <v>40</v>
      </c>
      <c r="P1062" t="s">
        <v>76</v>
      </c>
      <c r="Q1062" t="s">
        <v>40</v>
      </c>
      <c r="R1062" t="s">
        <v>48</v>
      </c>
      <c r="S1062" t="s">
        <v>3338</v>
      </c>
      <c r="T1062" t="s">
        <v>3339</v>
      </c>
      <c r="U1062" t="s">
        <v>41</v>
      </c>
      <c r="V1062" t="s">
        <v>52</v>
      </c>
      <c r="W1062" t="s">
        <v>36</v>
      </c>
      <c r="X1062" t="s">
        <v>53</v>
      </c>
      <c r="Y1062" t="s">
        <v>45</v>
      </c>
      <c r="Z1062" t="s">
        <v>45</v>
      </c>
      <c r="AA1062" t="s">
        <v>54</v>
      </c>
      <c r="AB1062" t="s">
        <v>55</v>
      </c>
      <c r="AC1062" t="s">
        <v>47</v>
      </c>
      <c r="AD1062" t="s">
        <v>41</v>
      </c>
      <c r="AE1062" t="s">
        <v>41</v>
      </c>
      <c r="AF1062" t="s">
        <v>55</v>
      </c>
      <c r="AG1062" t="s">
        <v>55</v>
      </c>
      <c r="AH1062" t="s">
        <v>55</v>
      </c>
      <c r="AI1062" t="s">
        <v>55</v>
      </c>
    </row>
    <row r="1063" spans="1:35" x14ac:dyDescent="0.25">
      <c r="A1063" t="s">
        <v>107</v>
      </c>
      <c r="B1063" t="s">
        <v>59</v>
      </c>
      <c r="C1063" t="s">
        <v>161</v>
      </c>
      <c r="D1063" t="s">
        <v>2139</v>
      </c>
      <c r="E1063" t="s">
        <v>39</v>
      </c>
      <c r="F1063" t="s">
        <v>98</v>
      </c>
      <c r="G1063" t="s">
        <v>41</v>
      </c>
      <c r="H1063" t="s">
        <v>42</v>
      </c>
      <c r="I1063" t="s">
        <v>40</v>
      </c>
      <c r="J1063" t="s">
        <v>1761</v>
      </c>
      <c r="K1063" t="s">
        <v>47</v>
      </c>
      <c r="L1063" t="s">
        <v>43</v>
      </c>
      <c r="M1063" t="s">
        <v>168</v>
      </c>
      <c r="N1063" t="s">
        <v>45</v>
      </c>
      <c r="O1063" t="s">
        <v>40</v>
      </c>
      <c r="P1063" t="s">
        <v>182</v>
      </c>
      <c r="Q1063" t="s">
        <v>41</v>
      </c>
      <c r="R1063" t="s">
        <v>66</v>
      </c>
      <c r="S1063" t="s">
        <v>1787</v>
      </c>
      <c r="T1063" t="s">
        <v>3340</v>
      </c>
      <c r="U1063" t="s">
        <v>40</v>
      </c>
      <c r="V1063" t="s">
        <v>52</v>
      </c>
      <c r="W1063" t="s">
        <v>59</v>
      </c>
      <c r="X1063" t="s">
        <v>98</v>
      </c>
      <c r="Y1063" t="s">
        <v>45</v>
      </c>
      <c r="Z1063" t="s">
        <v>45</v>
      </c>
      <c r="AA1063" t="s">
        <v>54</v>
      </c>
      <c r="AB1063" t="s">
        <v>40</v>
      </c>
      <c r="AC1063" t="s">
        <v>40</v>
      </c>
      <c r="AD1063" t="s">
        <v>41</v>
      </c>
      <c r="AE1063" t="s">
        <v>45</v>
      </c>
      <c r="AF1063" t="s">
        <v>40</v>
      </c>
      <c r="AG1063" t="s">
        <v>55</v>
      </c>
      <c r="AH1063" t="s">
        <v>55</v>
      </c>
      <c r="AI1063" t="s">
        <v>55</v>
      </c>
    </row>
    <row r="1064" spans="1:35" x14ac:dyDescent="0.25">
      <c r="A1064" t="s">
        <v>115</v>
      </c>
      <c r="B1064" t="s">
        <v>59</v>
      </c>
      <c r="C1064" t="s">
        <v>60</v>
      </c>
      <c r="D1064" t="s">
        <v>2834</v>
      </c>
      <c r="E1064" t="s">
        <v>62</v>
      </c>
      <c r="F1064" t="s">
        <v>41</v>
      </c>
      <c r="G1064" t="s">
        <v>40</v>
      </c>
      <c r="H1064" t="s">
        <v>87</v>
      </c>
      <c r="I1064" t="s">
        <v>40</v>
      </c>
      <c r="J1064" t="s">
        <v>686</v>
      </c>
      <c r="K1064" t="s">
        <v>41</v>
      </c>
      <c r="L1064" t="s">
        <v>63</v>
      </c>
      <c r="M1064" t="s">
        <v>240</v>
      </c>
      <c r="N1064" t="s">
        <v>45</v>
      </c>
      <c r="O1064" t="s">
        <v>45</v>
      </c>
      <c r="P1064" t="s">
        <v>116</v>
      </c>
      <c r="Q1064" t="s">
        <v>45</v>
      </c>
      <c r="R1064" t="s">
        <v>48</v>
      </c>
      <c r="S1064" t="s">
        <v>3341</v>
      </c>
      <c r="T1064" t="s">
        <v>3342</v>
      </c>
      <c r="U1064" t="s">
        <v>57</v>
      </c>
      <c r="V1064" t="s">
        <v>52</v>
      </c>
      <c r="W1064" t="s">
        <v>36</v>
      </c>
      <c r="X1064" t="s">
        <v>145</v>
      </c>
      <c r="Y1064" t="s">
        <v>45</v>
      </c>
      <c r="Z1064" t="s">
        <v>41</v>
      </c>
      <c r="AA1064" t="s">
        <v>54</v>
      </c>
      <c r="AB1064" t="s">
        <v>55</v>
      </c>
      <c r="AC1064" t="s">
        <v>128</v>
      </c>
      <c r="AD1064" t="s">
        <v>41</v>
      </c>
      <c r="AE1064" t="s">
        <v>41</v>
      </c>
      <c r="AF1064" t="s">
        <v>41</v>
      </c>
      <c r="AG1064" t="s">
        <v>41</v>
      </c>
      <c r="AH1064" t="s">
        <v>41</v>
      </c>
      <c r="AI1064" t="s">
        <v>41</v>
      </c>
    </row>
    <row r="1065" spans="1:35" x14ac:dyDescent="0.25">
      <c r="A1065" t="s">
        <v>133</v>
      </c>
      <c r="B1065" t="s">
        <v>59</v>
      </c>
      <c r="C1065" t="s">
        <v>37</v>
      </c>
      <c r="D1065" t="s">
        <v>1778</v>
      </c>
      <c r="E1065" t="s">
        <v>39</v>
      </c>
      <c r="F1065" t="s">
        <v>144</v>
      </c>
      <c r="G1065" t="s">
        <v>45</v>
      </c>
      <c r="H1065" t="s">
        <v>42</v>
      </c>
      <c r="I1065" t="s">
        <v>40</v>
      </c>
      <c r="J1065" t="s">
        <v>3343</v>
      </c>
      <c r="K1065" t="s">
        <v>45</v>
      </c>
      <c r="L1065" t="s">
        <v>63</v>
      </c>
      <c r="M1065" t="s">
        <v>326</v>
      </c>
      <c r="N1065" t="s">
        <v>41</v>
      </c>
      <c r="O1065" t="s">
        <v>41</v>
      </c>
      <c r="P1065" t="s">
        <v>46</v>
      </c>
      <c r="Q1065" t="s">
        <v>45</v>
      </c>
      <c r="R1065" t="s">
        <v>109</v>
      </c>
      <c r="S1065" t="s">
        <v>3344</v>
      </c>
      <c r="T1065" t="s">
        <v>3345</v>
      </c>
      <c r="U1065" t="s">
        <v>40</v>
      </c>
      <c r="V1065" t="s">
        <v>52</v>
      </c>
      <c r="W1065" t="s">
        <v>59</v>
      </c>
      <c r="X1065" t="s">
        <v>129</v>
      </c>
      <c r="Y1065" t="s">
        <v>45</v>
      </c>
      <c r="Z1065" t="s">
        <v>45</v>
      </c>
      <c r="AA1065" t="s">
        <v>54</v>
      </c>
      <c r="AB1065" t="s">
        <v>41</v>
      </c>
      <c r="AC1065" t="s">
        <v>70</v>
      </c>
      <c r="AD1065" t="s">
        <v>45</v>
      </c>
      <c r="AE1065" t="s">
        <v>45</v>
      </c>
      <c r="AF1065" t="s">
        <v>70</v>
      </c>
      <c r="AG1065" t="s">
        <v>71</v>
      </c>
      <c r="AH1065" t="s">
        <v>55</v>
      </c>
      <c r="AI1065" t="s">
        <v>47</v>
      </c>
    </row>
    <row r="1066" spans="1:35" x14ac:dyDescent="0.25">
      <c r="A1066" t="s">
        <v>105</v>
      </c>
      <c r="B1066" t="s">
        <v>59</v>
      </c>
      <c r="C1066" t="s">
        <v>37</v>
      </c>
      <c r="D1066" t="s">
        <v>987</v>
      </c>
      <c r="E1066" t="s">
        <v>397</v>
      </c>
      <c r="F1066" t="s">
        <v>40</v>
      </c>
      <c r="G1066" t="s">
        <v>45</v>
      </c>
      <c r="H1066" t="s">
        <v>42</v>
      </c>
      <c r="I1066" t="s">
        <v>40</v>
      </c>
      <c r="J1066" t="s">
        <v>1621</v>
      </c>
      <c r="K1066" t="s">
        <v>45</v>
      </c>
      <c r="L1066" t="s">
        <v>63</v>
      </c>
      <c r="M1066" t="s">
        <v>213</v>
      </c>
      <c r="N1066" t="s">
        <v>45</v>
      </c>
      <c r="O1066" t="s">
        <v>40</v>
      </c>
      <c r="P1066" t="s">
        <v>397</v>
      </c>
      <c r="Q1066" t="s">
        <v>45</v>
      </c>
      <c r="R1066" t="s">
        <v>109</v>
      </c>
      <c r="S1066" t="s">
        <v>3346</v>
      </c>
      <c r="T1066" t="s">
        <v>3347</v>
      </c>
      <c r="U1066" t="s">
        <v>55</v>
      </c>
      <c r="V1066" t="s">
        <v>52</v>
      </c>
      <c r="W1066" t="s">
        <v>59</v>
      </c>
      <c r="X1066" t="s">
        <v>119</v>
      </c>
      <c r="Y1066" t="s">
        <v>47</v>
      </c>
      <c r="Z1066" t="s">
        <v>40</v>
      </c>
      <c r="AA1066" t="s">
        <v>54</v>
      </c>
      <c r="AB1066" t="s">
        <v>40</v>
      </c>
      <c r="AC1066" t="s">
        <v>56</v>
      </c>
      <c r="AD1066" t="s">
        <v>45</v>
      </c>
      <c r="AE1066" t="s">
        <v>47</v>
      </c>
      <c r="AF1066" t="s">
        <v>57</v>
      </c>
      <c r="AG1066" t="s">
        <v>45</v>
      </c>
      <c r="AH1066" t="s">
        <v>40</v>
      </c>
      <c r="AI1066" t="s">
        <v>45</v>
      </c>
    </row>
    <row r="1067" spans="1:35" x14ac:dyDescent="0.25">
      <c r="A1067" t="s">
        <v>263</v>
      </c>
      <c r="B1067" t="s">
        <v>59</v>
      </c>
      <c r="C1067" t="s">
        <v>37</v>
      </c>
      <c r="D1067" t="s">
        <v>287</v>
      </c>
      <c r="E1067" t="s">
        <v>62</v>
      </c>
      <c r="F1067" t="s">
        <v>47</v>
      </c>
      <c r="G1067" t="s">
        <v>47</v>
      </c>
      <c r="H1067" t="s">
        <v>42</v>
      </c>
      <c r="I1067" t="s">
        <v>40</v>
      </c>
      <c r="J1067" t="s">
        <v>3348</v>
      </c>
      <c r="K1067" t="s">
        <v>47</v>
      </c>
      <c r="L1067" t="s">
        <v>63</v>
      </c>
      <c r="M1067" t="s">
        <v>105</v>
      </c>
      <c r="N1067" t="s">
        <v>45</v>
      </c>
      <c r="O1067" t="s">
        <v>41</v>
      </c>
      <c r="P1067" t="s">
        <v>122</v>
      </c>
      <c r="Q1067" t="s">
        <v>45</v>
      </c>
      <c r="R1067" t="s">
        <v>66</v>
      </c>
      <c r="S1067" t="s">
        <v>3349</v>
      </c>
      <c r="T1067" t="s">
        <v>3350</v>
      </c>
      <c r="U1067" t="s">
        <v>55</v>
      </c>
      <c r="V1067" t="s">
        <v>52</v>
      </c>
      <c r="W1067" t="s">
        <v>36</v>
      </c>
      <c r="X1067" t="s">
        <v>128</v>
      </c>
      <c r="Y1067" t="s">
        <v>45</v>
      </c>
      <c r="Z1067" t="s">
        <v>41</v>
      </c>
      <c r="AA1067" t="s">
        <v>54</v>
      </c>
      <c r="AB1067" t="s">
        <v>55</v>
      </c>
      <c r="AC1067" t="s">
        <v>47</v>
      </c>
      <c r="AD1067" t="s">
        <v>41</v>
      </c>
      <c r="AE1067" t="s">
        <v>45</v>
      </c>
      <c r="AF1067" t="s">
        <v>45</v>
      </c>
      <c r="AG1067" t="s">
        <v>41</v>
      </c>
      <c r="AH1067" t="s">
        <v>40</v>
      </c>
      <c r="AI1067" t="s">
        <v>41</v>
      </c>
    </row>
    <row r="1068" spans="1:35" x14ac:dyDescent="0.25">
      <c r="A1068" t="s">
        <v>80</v>
      </c>
      <c r="B1068" t="s">
        <v>59</v>
      </c>
      <c r="C1068" t="s">
        <v>37</v>
      </c>
      <c r="D1068" t="s">
        <v>1614</v>
      </c>
      <c r="E1068" t="s">
        <v>62</v>
      </c>
      <c r="F1068" t="s">
        <v>47</v>
      </c>
      <c r="G1068" t="s">
        <v>47</v>
      </c>
      <c r="H1068" t="s">
        <v>87</v>
      </c>
      <c r="I1068" t="s">
        <v>40</v>
      </c>
      <c r="J1068" t="s">
        <v>3351</v>
      </c>
      <c r="K1068" t="s">
        <v>40</v>
      </c>
      <c r="L1068" t="s">
        <v>43</v>
      </c>
      <c r="M1068" t="s">
        <v>181</v>
      </c>
      <c r="N1068" t="s">
        <v>41</v>
      </c>
      <c r="O1068" t="s">
        <v>40</v>
      </c>
      <c r="P1068" t="s">
        <v>76</v>
      </c>
      <c r="Q1068" t="s">
        <v>41</v>
      </c>
      <c r="R1068" t="s">
        <v>66</v>
      </c>
      <c r="S1068" t="s">
        <v>3352</v>
      </c>
      <c r="T1068" t="s">
        <v>3353</v>
      </c>
      <c r="U1068" t="s">
        <v>51</v>
      </c>
      <c r="V1068" t="s">
        <v>52</v>
      </c>
      <c r="W1068" t="s">
        <v>59</v>
      </c>
      <c r="X1068" t="s">
        <v>53</v>
      </c>
      <c r="Y1068" t="s">
        <v>45</v>
      </c>
      <c r="Z1068" t="s">
        <v>47</v>
      </c>
      <c r="AA1068" t="s">
        <v>54</v>
      </c>
      <c r="AB1068" t="s">
        <v>55</v>
      </c>
      <c r="AC1068" t="s">
        <v>51</v>
      </c>
      <c r="AD1068" t="s">
        <v>57</v>
      </c>
      <c r="AE1068" t="s">
        <v>45</v>
      </c>
      <c r="AF1068" t="s">
        <v>57</v>
      </c>
      <c r="AG1068" t="s">
        <v>47</v>
      </c>
      <c r="AH1068" t="s">
        <v>55</v>
      </c>
      <c r="AI1068" t="s">
        <v>41</v>
      </c>
    </row>
    <row r="1069" spans="1:35" x14ac:dyDescent="0.25">
      <c r="A1069" t="s">
        <v>239</v>
      </c>
      <c r="B1069" t="s">
        <v>59</v>
      </c>
      <c r="C1069" t="s">
        <v>37</v>
      </c>
      <c r="D1069" t="s">
        <v>1619</v>
      </c>
      <c r="E1069" t="s">
        <v>39</v>
      </c>
      <c r="F1069" t="s">
        <v>129</v>
      </c>
      <c r="G1069" t="s">
        <v>45</v>
      </c>
      <c r="H1069" t="s">
        <v>87</v>
      </c>
      <c r="I1069" t="s">
        <v>40</v>
      </c>
      <c r="J1069" t="s">
        <v>3354</v>
      </c>
      <c r="K1069" t="s">
        <v>45</v>
      </c>
      <c r="L1069" t="s">
        <v>43</v>
      </c>
      <c r="M1069" t="s">
        <v>168</v>
      </c>
      <c r="N1069" t="s">
        <v>45</v>
      </c>
      <c r="O1069" t="s">
        <v>41</v>
      </c>
      <c r="P1069" t="s">
        <v>46</v>
      </c>
      <c r="Q1069" t="s">
        <v>45</v>
      </c>
      <c r="R1069" t="s">
        <v>66</v>
      </c>
      <c r="S1069" t="s">
        <v>3355</v>
      </c>
      <c r="T1069" t="s">
        <v>3356</v>
      </c>
      <c r="U1069" t="s">
        <v>45</v>
      </c>
      <c r="V1069" t="s">
        <v>52</v>
      </c>
      <c r="W1069" t="s">
        <v>36</v>
      </c>
      <c r="X1069" t="s">
        <v>125</v>
      </c>
      <c r="Y1069" t="s">
        <v>45</v>
      </c>
      <c r="Z1069" t="s">
        <v>45</v>
      </c>
      <c r="AA1069" t="s">
        <v>54</v>
      </c>
      <c r="AB1069" t="s">
        <v>40</v>
      </c>
      <c r="AC1069" t="s">
        <v>53</v>
      </c>
      <c r="AD1069" t="s">
        <v>47</v>
      </c>
      <c r="AE1069" t="s">
        <v>41</v>
      </c>
      <c r="AF1069" t="s">
        <v>57</v>
      </c>
      <c r="AG1069" t="s">
        <v>47</v>
      </c>
      <c r="AH1069" t="s">
        <v>40</v>
      </c>
      <c r="AI1069" t="s">
        <v>41</v>
      </c>
    </row>
    <row r="1070" spans="1:35" x14ac:dyDescent="0.25">
      <c r="A1070" t="s">
        <v>149</v>
      </c>
      <c r="B1070" t="s">
        <v>36</v>
      </c>
      <c r="C1070" t="s">
        <v>60</v>
      </c>
      <c r="D1070" t="s">
        <v>2429</v>
      </c>
      <c r="E1070" t="s">
        <v>62</v>
      </c>
      <c r="F1070" t="s">
        <v>41</v>
      </c>
      <c r="G1070" t="s">
        <v>41</v>
      </c>
      <c r="H1070" t="s">
        <v>87</v>
      </c>
      <c r="I1070" t="s">
        <v>40</v>
      </c>
      <c r="J1070" t="s">
        <v>3357</v>
      </c>
      <c r="K1070" t="s">
        <v>45</v>
      </c>
      <c r="L1070" t="s">
        <v>63</v>
      </c>
      <c r="M1070" t="s">
        <v>113</v>
      </c>
      <c r="N1070" t="s">
        <v>41</v>
      </c>
      <c r="O1070" t="s">
        <v>40</v>
      </c>
      <c r="P1070" t="s">
        <v>76</v>
      </c>
      <c r="Q1070" t="s">
        <v>40</v>
      </c>
      <c r="R1070" t="s">
        <v>48</v>
      </c>
      <c r="S1070" t="s">
        <v>548</v>
      </c>
      <c r="T1070" t="s">
        <v>1260</v>
      </c>
      <c r="U1070" t="s">
        <v>71</v>
      </c>
      <c r="V1070" t="s">
        <v>52</v>
      </c>
      <c r="W1070" t="s">
        <v>59</v>
      </c>
      <c r="X1070" t="s">
        <v>53</v>
      </c>
      <c r="Y1070" t="s">
        <v>45</v>
      </c>
      <c r="Z1070" t="s">
        <v>45</v>
      </c>
      <c r="AA1070" t="s">
        <v>54</v>
      </c>
      <c r="AB1070" t="s">
        <v>55</v>
      </c>
      <c r="AC1070" t="s">
        <v>51</v>
      </c>
      <c r="AD1070" t="s">
        <v>41</v>
      </c>
      <c r="AE1070" t="s">
        <v>41</v>
      </c>
      <c r="AF1070" t="s">
        <v>55</v>
      </c>
      <c r="AG1070" t="s">
        <v>55</v>
      </c>
      <c r="AH1070" t="s">
        <v>55</v>
      </c>
      <c r="AI1070" t="s">
        <v>55</v>
      </c>
    </row>
    <row r="1071" spans="1:35" x14ac:dyDescent="0.25">
      <c r="A1071" t="s">
        <v>149</v>
      </c>
      <c r="B1071" t="s">
        <v>59</v>
      </c>
      <c r="C1071" t="s">
        <v>37</v>
      </c>
      <c r="D1071" t="s">
        <v>3225</v>
      </c>
      <c r="E1071" t="s">
        <v>62</v>
      </c>
      <c r="F1071" t="s">
        <v>40</v>
      </c>
      <c r="G1071" t="s">
        <v>45</v>
      </c>
      <c r="H1071" t="s">
        <v>42</v>
      </c>
      <c r="I1071" t="s">
        <v>40</v>
      </c>
      <c r="J1071" t="s">
        <v>3358</v>
      </c>
      <c r="K1071" t="s">
        <v>40</v>
      </c>
      <c r="L1071" t="s">
        <v>63</v>
      </c>
      <c r="M1071" t="s">
        <v>201</v>
      </c>
      <c r="N1071" t="s">
        <v>41</v>
      </c>
      <c r="O1071" t="s">
        <v>40</v>
      </c>
      <c r="P1071" t="s">
        <v>65</v>
      </c>
      <c r="Q1071" t="s">
        <v>45</v>
      </c>
      <c r="R1071" t="s">
        <v>109</v>
      </c>
      <c r="S1071" t="s">
        <v>3359</v>
      </c>
      <c r="T1071" t="s">
        <v>3360</v>
      </c>
      <c r="U1071" t="s">
        <v>40</v>
      </c>
      <c r="V1071" t="s">
        <v>52</v>
      </c>
      <c r="W1071" t="s">
        <v>59</v>
      </c>
      <c r="X1071" t="s">
        <v>129</v>
      </c>
      <c r="Y1071" t="s">
        <v>45</v>
      </c>
      <c r="Z1071" t="s">
        <v>47</v>
      </c>
      <c r="AA1071" t="s">
        <v>54</v>
      </c>
      <c r="AB1071" t="s">
        <v>40</v>
      </c>
      <c r="AC1071" t="s">
        <v>40</v>
      </c>
      <c r="AD1071" t="s">
        <v>41</v>
      </c>
      <c r="AE1071" t="s">
        <v>40</v>
      </c>
      <c r="AF1071" t="s">
        <v>40</v>
      </c>
      <c r="AG1071" t="s">
        <v>55</v>
      </c>
      <c r="AH1071" t="s">
        <v>55</v>
      </c>
      <c r="AI1071" t="s">
        <v>55</v>
      </c>
    </row>
    <row r="1072" spans="1:35" x14ac:dyDescent="0.25">
      <c r="A1072" t="s">
        <v>149</v>
      </c>
      <c r="B1072" t="s">
        <v>59</v>
      </c>
      <c r="C1072" t="s">
        <v>60</v>
      </c>
      <c r="D1072" t="s">
        <v>1370</v>
      </c>
      <c r="E1072" t="s">
        <v>39</v>
      </c>
      <c r="F1072" t="s">
        <v>71</v>
      </c>
      <c r="G1072" t="s">
        <v>45</v>
      </c>
      <c r="H1072" t="s">
        <v>42</v>
      </c>
      <c r="I1072" t="s">
        <v>40</v>
      </c>
      <c r="J1072" t="s">
        <v>3361</v>
      </c>
      <c r="K1072" t="s">
        <v>45</v>
      </c>
      <c r="L1072" t="s">
        <v>63</v>
      </c>
      <c r="M1072" t="s">
        <v>263</v>
      </c>
      <c r="N1072" t="s">
        <v>45</v>
      </c>
      <c r="O1072" t="s">
        <v>41</v>
      </c>
      <c r="P1072" t="s">
        <v>46</v>
      </c>
      <c r="Q1072" t="s">
        <v>40</v>
      </c>
      <c r="R1072" t="s">
        <v>48</v>
      </c>
      <c r="S1072" t="s">
        <v>1048</v>
      </c>
      <c r="T1072" t="s">
        <v>3362</v>
      </c>
      <c r="U1072" t="s">
        <v>55</v>
      </c>
      <c r="V1072" t="s">
        <v>52</v>
      </c>
      <c r="W1072" t="s">
        <v>59</v>
      </c>
      <c r="X1072" t="s">
        <v>129</v>
      </c>
      <c r="Y1072" t="s">
        <v>45</v>
      </c>
      <c r="Z1072" t="s">
        <v>47</v>
      </c>
      <c r="AA1072" t="s">
        <v>54</v>
      </c>
      <c r="AB1072" t="s">
        <v>55</v>
      </c>
      <c r="AC1072" t="s">
        <v>57</v>
      </c>
      <c r="AD1072" t="s">
        <v>57</v>
      </c>
      <c r="AE1072" t="s">
        <v>45</v>
      </c>
      <c r="AF1072" t="s">
        <v>47</v>
      </c>
      <c r="AG1072" t="s">
        <v>41</v>
      </c>
      <c r="AH1072" t="s">
        <v>40</v>
      </c>
      <c r="AI1072" t="s">
        <v>45</v>
      </c>
    </row>
    <row r="1073" spans="1:35" x14ac:dyDescent="0.25">
      <c r="A1073" t="s">
        <v>58</v>
      </c>
      <c r="B1073" t="s">
        <v>59</v>
      </c>
      <c r="C1073" t="s">
        <v>37</v>
      </c>
      <c r="D1073" t="s">
        <v>840</v>
      </c>
      <c r="E1073" t="s">
        <v>62</v>
      </c>
      <c r="F1073" t="s">
        <v>45</v>
      </c>
      <c r="G1073" t="s">
        <v>41</v>
      </c>
      <c r="H1073" t="s">
        <v>87</v>
      </c>
      <c r="I1073" t="s">
        <v>40</v>
      </c>
      <c r="J1073" t="s">
        <v>3363</v>
      </c>
      <c r="K1073" t="s">
        <v>45</v>
      </c>
      <c r="L1073" t="s">
        <v>43</v>
      </c>
      <c r="M1073" t="s">
        <v>234</v>
      </c>
      <c r="N1073" t="s">
        <v>41</v>
      </c>
      <c r="O1073" t="s">
        <v>41</v>
      </c>
      <c r="P1073" t="s">
        <v>76</v>
      </c>
      <c r="Q1073" t="s">
        <v>40</v>
      </c>
      <c r="R1073" t="s">
        <v>66</v>
      </c>
      <c r="S1073" t="s">
        <v>3364</v>
      </c>
      <c r="T1073" t="s">
        <v>3365</v>
      </c>
      <c r="U1073" t="s">
        <v>47</v>
      </c>
      <c r="V1073" t="s">
        <v>52</v>
      </c>
      <c r="W1073" t="s">
        <v>59</v>
      </c>
      <c r="X1073" t="s">
        <v>172</v>
      </c>
      <c r="Y1073" t="s">
        <v>47</v>
      </c>
      <c r="Z1073" t="s">
        <v>40</v>
      </c>
      <c r="AA1073" t="s">
        <v>54</v>
      </c>
      <c r="AB1073" t="s">
        <v>40</v>
      </c>
      <c r="AC1073" t="s">
        <v>70</v>
      </c>
      <c r="AD1073" t="s">
        <v>45</v>
      </c>
      <c r="AE1073" t="s">
        <v>45</v>
      </c>
      <c r="AF1073" t="s">
        <v>45</v>
      </c>
      <c r="AG1073" t="s">
        <v>41</v>
      </c>
      <c r="AH1073" t="s">
        <v>40</v>
      </c>
      <c r="AI1073" t="s">
        <v>41</v>
      </c>
    </row>
    <row r="1074" spans="1:35" x14ac:dyDescent="0.25">
      <c r="A1074" t="s">
        <v>133</v>
      </c>
      <c r="B1074" t="s">
        <v>59</v>
      </c>
      <c r="C1074" t="s">
        <v>60</v>
      </c>
      <c r="D1074" t="s">
        <v>1209</v>
      </c>
      <c r="E1074" t="s">
        <v>62</v>
      </c>
      <c r="F1074" t="s">
        <v>41</v>
      </c>
      <c r="G1074" t="s">
        <v>40</v>
      </c>
      <c r="H1074" t="s">
        <v>42</v>
      </c>
      <c r="I1074" t="s">
        <v>40</v>
      </c>
      <c r="J1074" t="s">
        <v>3366</v>
      </c>
      <c r="K1074" t="s">
        <v>47</v>
      </c>
      <c r="L1074" t="s">
        <v>43</v>
      </c>
      <c r="M1074" t="s">
        <v>244</v>
      </c>
      <c r="N1074" t="s">
        <v>45</v>
      </c>
      <c r="O1074" t="s">
        <v>40</v>
      </c>
      <c r="P1074" t="s">
        <v>76</v>
      </c>
      <c r="Q1074" t="s">
        <v>41</v>
      </c>
      <c r="R1074" t="s">
        <v>66</v>
      </c>
      <c r="S1074" t="s">
        <v>3367</v>
      </c>
      <c r="T1074" t="s">
        <v>646</v>
      </c>
      <c r="U1074" t="s">
        <v>55</v>
      </c>
      <c r="V1074" t="s">
        <v>52</v>
      </c>
      <c r="W1074" t="s">
        <v>59</v>
      </c>
      <c r="X1074" t="s">
        <v>98</v>
      </c>
      <c r="Y1074" t="s">
        <v>45</v>
      </c>
      <c r="Z1074" t="s">
        <v>45</v>
      </c>
      <c r="AA1074" t="s">
        <v>54</v>
      </c>
      <c r="AB1074" t="s">
        <v>45</v>
      </c>
      <c r="AC1074" t="s">
        <v>47</v>
      </c>
      <c r="AD1074" t="s">
        <v>45</v>
      </c>
      <c r="AE1074" t="s">
        <v>45</v>
      </c>
      <c r="AF1074" t="s">
        <v>45</v>
      </c>
      <c r="AG1074" t="s">
        <v>41</v>
      </c>
      <c r="AH1074" t="s">
        <v>55</v>
      </c>
      <c r="AI1074" t="s">
        <v>41</v>
      </c>
    </row>
    <row r="1075" spans="1:35" x14ac:dyDescent="0.25">
      <c r="A1075" t="s">
        <v>149</v>
      </c>
      <c r="B1075" t="s">
        <v>59</v>
      </c>
      <c r="C1075" t="s">
        <v>37</v>
      </c>
      <c r="D1075" t="s">
        <v>2651</v>
      </c>
      <c r="E1075" t="s">
        <v>62</v>
      </c>
      <c r="F1075" t="s">
        <v>133</v>
      </c>
      <c r="G1075" t="s">
        <v>40</v>
      </c>
      <c r="H1075" t="s">
        <v>42</v>
      </c>
      <c r="I1075" t="s">
        <v>40</v>
      </c>
      <c r="J1075" t="s">
        <v>3368</v>
      </c>
      <c r="K1075" t="s">
        <v>45</v>
      </c>
      <c r="L1075" t="s">
        <v>63</v>
      </c>
      <c r="M1075" t="s">
        <v>163</v>
      </c>
      <c r="N1075" t="s">
        <v>40</v>
      </c>
      <c r="O1075" t="s">
        <v>41</v>
      </c>
      <c r="P1075" t="s">
        <v>116</v>
      </c>
      <c r="Q1075" t="s">
        <v>41</v>
      </c>
      <c r="R1075" t="s">
        <v>66</v>
      </c>
      <c r="S1075" t="s">
        <v>3369</v>
      </c>
      <c r="T1075" t="s">
        <v>3370</v>
      </c>
      <c r="U1075" t="s">
        <v>40</v>
      </c>
      <c r="V1075" t="s">
        <v>52</v>
      </c>
      <c r="W1075" t="s">
        <v>59</v>
      </c>
      <c r="X1075" t="s">
        <v>129</v>
      </c>
      <c r="Y1075" t="s">
        <v>45</v>
      </c>
      <c r="Z1075" t="s">
        <v>41</v>
      </c>
      <c r="AA1075" t="s">
        <v>54</v>
      </c>
      <c r="AB1075" t="s">
        <v>41</v>
      </c>
      <c r="AC1075" t="s">
        <v>51</v>
      </c>
      <c r="AD1075" t="s">
        <v>41</v>
      </c>
      <c r="AE1075" t="s">
        <v>41</v>
      </c>
      <c r="AF1075" t="s">
        <v>51</v>
      </c>
      <c r="AG1075" t="s">
        <v>56</v>
      </c>
      <c r="AH1075" t="s">
        <v>40</v>
      </c>
      <c r="AI1075" t="s">
        <v>71</v>
      </c>
    </row>
    <row r="1076" spans="1:35" x14ac:dyDescent="0.25">
      <c r="A1076" t="s">
        <v>80</v>
      </c>
      <c r="B1076" t="s">
        <v>59</v>
      </c>
      <c r="C1076" t="s">
        <v>37</v>
      </c>
      <c r="D1076" t="s">
        <v>1499</v>
      </c>
      <c r="E1076" t="s">
        <v>62</v>
      </c>
      <c r="F1076" t="s">
        <v>51</v>
      </c>
      <c r="G1076" t="s">
        <v>57</v>
      </c>
      <c r="H1076" t="s">
        <v>42</v>
      </c>
      <c r="I1076" t="s">
        <v>40</v>
      </c>
      <c r="J1076" t="s">
        <v>3371</v>
      </c>
      <c r="K1076" t="s">
        <v>47</v>
      </c>
      <c r="L1076" t="s">
        <v>63</v>
      </c>
      <c r="M1076" t="s">
        <v>1214</v>
      </c>
      <c r="N1076" t="s">
        <v>45</v>
      </c>
      <c r="O1076" t="s">
        <v>41</v>
      </c>
      <c r="P1076" t="s">
        <v>122</v>
      </c>
      <c r="Q1076" t="s">
        <v>45</v>
      </c>
      <c r="R1076" t="s">
        <v>48</v>
      </c>
      <c r="S1076" t="s">
        <v>3372</v>
      </c>
      <c r="T1076" t="s">
        <v>3373</v>
      </c>
      <c r="U1076" t="s">
        <v>41</v>
      </c>
      <c r="V1076" t="s">
        <v>52</v>
      </c>
      <c r="W1076" t="s">
        <v>36</v>
      </c>
      <c r="X1076" t="s">
        <v>125</v>
      </c>
      <c r="Y1076" t="s">
        <v>45</v>
      </c>
      <c r="Z1076" t="s">
        <v>40</v>
      </c>
      <c r="AA1076" t="s">
        <v>54</v>
      </c>
      <c r="AB1076" t="s">
        <v>55</v>
      </c>
      <c r="AC1076" t="s">
        <v>129</v>
      </c>
      <c r="AD1076" t="s">
        <v>56</v>
      </c>
      <c r="AE1076" t="s">
        <v>45</v>
      </c>
      <c r="AF1076" t="s">
        <v>55</v>
      </c>
      <c r="AG1076" t="s">
        <v>55</v>
      </c>
      <c r="AH1076" t="s">
        <v>55</v>
      </c>
      <c r="AI1076" t="s">
        <v>55</v>
      </c>
    </row>
    <row r="1077" spans="1:35" x14ac:dyDescent="0.25">
      <c r="A1077" t="s">
        <v>93</v>
      </c>
      <c r="B1077" t="s">
        <v>59</v>
      </c>
      <c r="C1077" t="s">
        <v>37</v>
      </c>
      <c r="D1077" t="s">
        <v>1450</v>
      </c>
      <c r="E1077" t="s">
        <v>62</v>
      </c>
      <c r="F1077" t="s">
        <v>70</v>
      </c>
      <c r="G1077" t="s">
        <v>45</v>
      </c>
      <c r="H1077" t="s">
        <v>87</v>
      </c>
      <c r="I1077" t="s">
        <v>40</v>
      </c>
      <c r="J1077" t="s">
        <v>3374</v>
      </c>
      <c r="K1077" t="s">
        <v>45</v>
      </c>
      <c r="L1077" t="s">
        <v>63</v>
      </c>
      <c r="M1077" t="s">
        <v>292</v>
      </c>
      <c r="N1077" t="s">
        <v>45</v>
      </c>
      <c r="O1077" t="s">
        <v>45</v>
      </c>
      <c r="P1077" t="s">
        <v>169</v>
      </c>
      <c r="Q1077" t="s">
        <v>47</v>
      </c>
      <c r="R1077" t="s">
        <v>48</v>
      </c>
      <c r="S1077" t="s">
        <v>3375</v>
      </c>
      <c r="T1077" t="s">
        <v>3376</v>
      </c>
      <c r="U1077" t="s">
        <v>41</v>
      </c>
      <c r="V1077" t="s">
        <v>52</v>
      </c>
      <c r="W1077" t="s">
        <v>59</v>
      </c>
      <c r="X1077" t="s">
        <v>172</v>
      </c>
      <c r="Y1077" t="s">
        <v>47</v>
      </c>
      <c r="Z1077" t="s">
        <v>41</v>
      </c>
      <c r="AA1077" t="s">
        <v>54</v>
      </c>
      <c r="AB1077" t="s">
        <v>55</v>
      </c>
      <c r="AC1077" t="s">
        <v>70</v>
      </c>
      <c r="AD1077" t="s">
        <v>57</v>
      </c>
      <c r="AE1077" t="s">
        <v>47</v>
      </c>
      <c r="AF1077" t="s">
        <v>57</v>
      </c>
      <c r="AG1077" t="s">
        <v>41</v>
      </c>
      <c r="AH1077" t="s">
        <v>55</v>
      </c>
      <c r="AI1077" t="s">
        <v>55</v>
      </c>
    </row>
    <row r="1078" spans="1:35" x14ac:dyDescent="0.25">
      <c r="A1078" t="s">
        <v>259</v>
      </c>
      <c r="B1078" t="s">
        <v>59</v>
      </c>
      <c r="C1078" t="s">
        <v>60</v>
      </c>
      <c r="D1078" t="s">
        <v>2599</v>
      </c>
      <c r="E1078" t="s">
        <v>62</v>
      </c>
      <c r="F1078" t="s">
        <v>53</v>
      </c>
      <c r="G1078" t="s">
        <v>47</v>
      </c>
      <c r="H1078" t="s">
        <v>87</v>
      </c>
      <c r="I1078" t="s">
        <v>40</v>
      </c>
      <c r="J1078" t="s">
        <v>3377</v>
      </c>
      <c r="K1078" t="s">
        <v>41</v>
      </c>
      <c r="L1078" t="s">
        <v>43</v>
      </c>
      <c r="M1078" t="s">
        <v>371</v>
      </c>
      <c r="N1078" t="s">
        <v>45</v>
      </c>
      <c r="O1078" t="s">
        <v>47</v>
      </c>
      <c r="P1078" t="s">
        <v>169</v>
      </c>
      <c r="Q1078" t="s">
        <v>47</v>
      </c>
      <c r="R1078" t="s">
        <v>109</v>
      </c>
      <c r="S1078" t="s">
        <v>3378</v>
      </c>
      <c r="T1078" t="s">
        <v>3379</v>
      </c>
      <c r="U1078" t="s">
        <v>45</v>
      </c>
      <c r="V1078" t="s">
        <v>52</v>
      </c>
      <c r="W1078" t="s">
        <v>59</v>
      </c>
      <c r="X1078" t="s">
        <v>104</v>
      </c>
      <c r="Y1078" t="s">
        <v>47</v>
      </c>
      <c r="Z1078" t="s">
        <v>40</v>
      </c>
      <c r="AA1078" t="s">
        <v>54</v>
      </c>
      <c r="AB1078" t="s">
        <v>40</v>
      </c>
      <c r="AC1078" t="s">
        <v>139</v>
      </c>
      <c r="AD1078" t="s">
        <v>41</v>
      </c>
      <c r="AE1078" t="s">
        <v>45</v>
      </c>
      <c r="AF1078" t="s">
        <v>129</v>
      </c>
      <c r="AG1078" t="s">
        <v>91</v>
      </c>
      <c r="AH1078" t="s">
        <v>40</v>
      </c>
      <c r="AI1078" t="s">
        <v>92</v>
      </c>
    </row>
    <row r="1079" spans="1:35" x14ac:dyDescent="0.25">
      <c r="A1079" t="s">
        <v>133</v>
      </c>
      <c r="B1079" t="s">
        <v>36</v>
      </c>
      <c r="C1079" t="s">
        <v>37</v>
      </c>
      <c r="D1079" t="s">
        <v>720</v>
      </c>
      <c r="E1079" t="s">
        <v>62</v>
      </c>
      <c r="F1079" t="s">
        <v>40</v>
      </c>
      <c r="G1079" t="s">
        <v>47</v>
      </c>
      <c r="H1079" t="s">
        <v>228</v>
      </c>
      <c r="I1079" t="s">
        <v>40</v>
      </c>
      <c r="J1079" t="s">
        <v>3380</v>
      </c>
      <c r="K1079" t="s">
        <v>40</v>
      </c>
      <c r="L1079" t="s">
        <v>63</v>
      </c>
      <c r="M1079" t="s">
        <v>385</v>
      </c>
      <c r="N1079" t="s">
        <v>41</v>
      </c>
      <c r="O1079" t="s">
        <v>40</v>
      </c>
      <c r="P1079" t="s">
        <v>65</v>
      </c>
      <c r="Q1079" t="s">
        <v>40</v>
      </c>
      <c r="R1079" t="s">
        <v>48</v>
      </c>
      <c r="S1079" t="s">
        <v>3086</v>
      </c>
      <c r="T1079" t="s">
        <v>3381</v>
      </c>
      <c r="U1079" t="s">
        <v>56</v>
      </c>
      <c r="V1079" t="s">
        <v>52</v>
      </c>
      <c r="W1079" t="s">
        <v>59</v>
      </c>
      <c r="X1079" t="s">
        <v>98</v>
      </c>
      <c r="Y1079" t="s">
        <v>45</v>
      </c>
      <c r="Z1079" t="s">
        <v>45</v>
      </c>
      <c r="AA1079" t="s">
        <v>54</v>
      </c>
      <c r="AB1079" t="s">
        <v>55</v>
      </c>
      <c r="AC1079" t="s">
        <v>53</v>
      </c>
      <c r="AD1079" t="s">
        <v>41</v>
      </c>
      <c r="AE1079" t="s">
        <v>40</v>
      </c>
      <c r="AF1079" t="s">
        <v>91</v>
      </c>
      <c r="AG1079" t="s">
        <v>71</v>
      </c>
      <c r="AH1079" t="s">
        <v>55</v>
      </c>
      <c r="AI1079" t="s">
        <v>71</v>
      </c>
    </row>
    <row r="1080" spans="1:35" x14ac:dyDescent="0.25">
      <c r="A1080" t="s">
        <v>115</v>
      </c>
      <c r="B1080" t="s">
        <v>59</v>
      </c>
      <c r="C1080" t="s">
        <v>37</v>
      </c>
      <c r="D1080" t="s">
        <v>3382</v>
      </c>
      <c r="E1080" t="s">
        <v>62</v>
      </c>
      <c r="F1080" t="s">
        <v>149</v>
      </c>
      <c r="G1080" t="s">
        <v>45</v>
      </c>
      <c r="H1080" t="s">
        <v>42</v>
      </c>
      <c r="I1080" t="s">
        <v>40</v>
      </c>
      <c r="J1080" t="s">
        <v>3383</v>
      </c>
      <c r="K1080" t="s">
        <v>47</v>
      </c>
      <c r="L1080" t="s">
        <v>63</v>
      </c>
      <c r="M1080" t="s">
        <v>93</v>
      </c>
      <c r="N1080" t="s">
        <v>45</v>
      </c>
      <c r="O1080" t="s">
        <v>47</v>
      </c>
      <c r="P1080" t="s">
        <v>186</v>
      </c>
      <c r="Q1080" t="s">
        <v>40</v>
      </c>
      <c r="R1080" t="s">
        <v>66</v>
      </c>
      <c r="S1080" t="s">
        <v>3384</v>
      </c>
      <c r="T1080" t="s">
        <v>3082</v>
      </c>
      <c r="U1080" t="s">
        <v>45</v>
      </c>
      <c r="V1080" t="s">
        <v>52</v>
      </c>
      <c r="W1080" t="s">
        <v>59</v>
      </c>
      <c r="X1080" t="s">
        <v>98</v>
      </c>
      <c r="Y1080" t="s">
        <v>45</v>
      </c>
      <c r="Z1080" t="s">
        <v>45</v>
      </c>
      <c r="AA1080" t="s">
        <v>54</v>
      </c>
      <c r="AB1080" t="s">
        <v>40</v>
      </c>
      <c r="AC1080" t="s">
        <v>107</v>
      </c>
      <c r="AD1080" t="s">
        <v>40</v>
      </c>
      <c r="AE1080" t="s">
        <v>47</v>
      </c>
      <c r="AF1080" t="s">
        <v>104</v>
      </c>
      <c r="AG1080" t="s">
        <v>56</v>
      </c>
      <c r="AH1080" t="s">
        <v>129</v>
      </c>
      <c r="AI1080" t="s">
        <v>125</v>
      </c>
    </row>
    <row r="1081" spans="1:35" x14ac:dyDescent="0.25">
      <c r="A1081" t="s">
        <v>218</v>
      </c>
      <c r="B1081" t="s">
        <v>59</v>
      </c>
      <c r="C1081" t="s">
        <v>37</v>
      </c>
      <c r="D1081" t="s">
        <v>2592</v>
      </c>
      <c r="E1081" t="s">
        <v>62</v>
      </c>
      <c r="F1081" t="s">
        <v>56</v>
      </c>
      <c r="G1081" t="s">
        <v>45</v>
      </c>
      <c r="H1081" t="s">
        <v>42</v>
      </c>
      <c r="I1081" t="s">
        <v>40</v>
      </c>
      <c r="J1081" t="s">
        <v>3385</v>
      </c>
      <c r="K1081" t="s">
        <v>41</v>
      </c>
      <c r="L1081" t="s">
        <v>43</v>
      </c>
      <c r="M1081" t="s">
        <v>93</v>
      </c>
      <c r="N1081" t="s">
        <v>45</v>
      </c>
      <c r="O1081" t="s">
        <v>45</v>
      </c>
      <c r="P1081" t="s">
        <v>116</v>
      </c>
      <c r="Q1081" t="s">
        <v>41</v>
      </c>
      <c r="R1081" t="s">
        <v>48</v>
      </c>
      <c r="S1081" t="s">
        <v>3386</v>
      </c>
      <c r="T1081" t="s">
        <v>1407</v>
      </c>
      <c r="U1081" t="s">
        <v>47</v>
      </c>
      <c r="V1081" t="s">
        <v>52</v>
      </c>
      <c r="W1081" t="s">
        <v>59</v>
      </c>
      <c r="X1081" t="s">
        <v>145</v>
      </c>
      <c r="Y1081" t="s">
        <v>45</v>
      </c>
      <c r="Z1081" t="s">
        <v>47</v>
      </c>
      <c r="AA1081" t="s">
        <v>54</v>
      </c>
      <c r="AB1081" t="s">
        <v>55</v>
      </c>
      <c r="AC1081" t="s">
        <v>91</v>
      </c>
      <c r="AD1081" t="s">
        <v>45</v>
      </c>
      <c r="AE1081" t="s">
        <v>45</v>
      </c>
      <c r="AF1081" t="s">
        <v>41</v>
      </c>
      <c r="AG1081" t="s">
        <v>55</v>
      </c>
      <c r="AH1081" t="s">
        <v>41</v>
      </c>
      <c r="AI1081" t="s">
        <v>41</v>
      </c>
    </row>
    <row r="1082" spans="1:35" x14ac:dyDescent="0.25">
      <c r="A1082" t="s">
        <v>213</v>
      </c>
      <c r="B1082" t="s">
        <v>59</v>
      </c>
      <c r="C1082" t="s">
        <v>37</v>
      </c>
      <c r="D1082" t="s">
        <v>731</v>
      </c>
      <c r="E1082" t="s">
        <v>39</v>
      </c>
      <c r="F1082" t="s">
        <v>45</v>
      </c>
      <c r="G1082" t="s">
        <v>45</v>
      </c>
      <c r="H1082" t="s">
        <v>42</v>
      </c>
      <c r="I1082" t="s">
        <v>40</v>
      </c>
      <c r="J1082" t="s">
        <v>3387</v>
      </c>
      <c r="K1082" t="s">
        <v>45</v>
      </c>
      <c r="L1082" t="s">
        <v>43</v>
      </c>
      <c r="M1082" t="s">
        <v>155</v>
      </c>
      <c r="N1082" t="s">
        <v>45</v>
      </c>
      <c r="O1082" t="s">
        <v>47</v>
      </c>
      <c r="P1082" t="s">
        <v>169</v>
      </c>
      <c r="Q1082" t="s">
        <v>41</v>
      </c>
      <c r="R1082" t="s">
        <v>66</v>
      </c>
      <c r="S1082" t="s">
        <v>3388</v>
      </c>
      <c r="T1082" t="s">
        <v>3389</v>
      </c>
      <c r="U1082" t="s">
        <v>51</v>
      </c>
      <c r="V1082" t="s">
        <v>52</v>
      </c>
      <c r="W1082" t="s">
        <v>59</v>
      </c>
      <c r="X1082" t="s">
        <v>92</v>
      </c>
      <c r="Y1082" t="s">
        <v>45</v>
      </c>
      <c r="Z1082" t="s">
        <v>47</v>
      </c>
      <c r="AA1082" t="s">
        <v>54</v>
      </c>
      <c r="AB1082" t="s">
        <v>40</v>
      </c>
      <c r="AC1082" t="s">
        <v>69</v>
      </c>
      <c r="AD1082" t="s">
        <v>41</v>
      </c>
      <c r="AE1082" t="s">
        <v>47</v>
      </c>
      <c r="AF1082" t="s">
        <v>98</v>
      </c>
      <c r="AG1082" t="s">
        <v>92</v>
      </c>
      <c r="AH1082" t="s">
        <v>57</v>
      </c>
      <c r="AI1082" t="s">
        <v>40</v>
      </c>
    </row>
    <row r="1083" spans="1:35" x14ac:dyDescent="0.25">
      <c r="A1083" t="s">
        <v>126</v>
      </c>
      <c r="B1083" t="s">
        <v>59</v>
      </c>
      <c r="C1083" t="s">
        <v>37</v>
      </c>
      <c r="D1083" t="s">
        <v>2546</v>
      </c>
      <c r="E1083" t="s">
        <v>62</v>
      </c>
      <c r="F1083" t="s">
        <v>128</v>
      </c>
      <c r="G1083" t="s">
        <v>45</v>
      </c>
      <c r="H1083" t="s">
        <v>42</v>
      </c>
      <c r="I1083" t="s">
        <v>40</v>
      </c>
      <c r="J1083" t="s">
        <v>3390</v>
      </c>
      <c r="K1083" t="s">
        <v>47</v>
      </c>
      <c r="L1083" t="s">
        <v>43</v>
      </c>
      <c r="M1083" t="s">
        <v>364</v>
      </c>
      <c r="N1083" t="s">
        <v>41</v>
      </c>
      <c r="O1083" t="s">
        <v>45</v>
      </c>
      <c r="P1083" t="s">
        <v>122</v>
      </c>
      <c r="Q1083" t="s">
        <v>41</v>
      </c>
      <c r="R1083" t="s">
        <v>48</v>
      </c>
      <c r="S1083" t="s">
        <v>3391</v>
      </c>
      <c r="T1083" t="s">
        <v>3392</v>
      </c>
      <c r="U1083" t="s">
        <v>40</v>
      </c>
      <c r="V1083" t="s">
        <v>52</v>
      </c>
      <c r="W1083" t="s">
        <v>59</v>
      </c>
      <c r="X1083" t="s">
        <v>144</v>
      </c>
      <c r="Y1083" t="s">
        <v>45</v>
      </c>
      <c r="Z1083" t="s">
        <v>47</v>
      </c>
      <c r="AA1083" t="s">
        <v>54</v>
      </c>
      <c r="AB1083" t="s">
        <v>55</v>
      </c>
      <c r="AC1083" t="s">
        <v>53</v>
      </c>
      <c r="AD1083" t="s">
        <v>45</v>
      </c>
      <c r="AE1083" t="s">
        <v>40</v>
      </c>
      <c r="AF1083" t="s">
        <v>53</v>
      </c>
      <c r="AG1083" t="s">
        <v>51</v>
      </c>
      <c r="AH1083" t="s">
        <v>45</v>
      </c>
      <c r="AI1083" t="s">
        <v>45</v>
      </c>
    </row>
    <row r="1084" spans="1:35" x14ac:dyDescent="0.25">
      <c r="A1084" t="s">
        <v>69</v>
      </c>
      <c r="B1084" t="s">
        <v>59</v>
      </c>
      <c r="C1084" t="s">
        <v>37</v>
      </c>
      <c r="D1084" t="s">
        <v>1479</v>
      </c>
      <c r="E1084" t="s">
        <v>62</v>
      </c>
      <c r="F1084" t="s">
        <v>104</v>
      </c>
      <c r="G1084" t="s">
        <v>40</v>
      </c>
      <c r="H1084" t="s">
        <v>42</v>
      </c>
      <c r="I1084" t="s">
        <v>40</v>
      </c>
      <c r="J1084" t="s">
        <v>3393</v>
      </c>
      <c r="K1084" t="s">
        <v>40</v>
      </c>
      <c r="L1084" t="s">
        <v>63</v>
      </c>
      <c r="M1084" t="s">
        <v>244</v>
      </c>
      <c r="N1084" t="s">
        <v>45</v>
      </c>
      <c r="O1084" t="s">
        <v>41</v>
      </c>
      <c r="P1084" t="s">
        <v>76</v>
      </c>
      <c r="Q1084" t="s">
        <v>45</v>
      </c>
      <c r="R1084" t="s">
        <v>48</v>
      </c>
      <c r="S1084" t="s">
        <v>3394</v>
      </c>
      <c r="T1084" t="s">
        <v>3395</v>
      </c>
      <c r="U1084" t="s">
        <v>55</v>
      </c>
      <c r="V1084" t="s">
        <v>52</v>
      </c>
      <c r="W1084" t="s">
        <v>59</v>
      </c>
      <c r="X1084" t="s">
        <v>129</v>
      </c>
      <c r="Y1084" t="s">
        <v>45</v>
      </c>
      <c r="Z1084" t="s">
        <v>41</v>
      </c>
      <c r="AA1084" t="s">
        <v>54</v>
      </c>
      <c r="AB1084" t="s">
        <v>55</v>
      </c>
      <c r="AC1084" t="s">
        <v>57</v>
      </c>
      <c r="AD1084" t="s">
        <v>41</v>
      </c>
      <c r="AE1084" t="s">
        <v>45</v>
      </c>
      <c r="AF1084" t="s">
        <v>47</v>
      </c>
      <c r="AG1084" t="s">
        <v>45</v>
      </c>
      <c r="AH1084" t="s">
        <v>40</v>
      </c>
      <c r="AI1084" t="s">
        <v>41</v>
      </c>
    </row>
    <row r="1085" spans="1:35" x14ac:dyDescent="0.25">
      <c r="A1085" t="s">
        <v>88</v>
      </c>
      <c r="B1085" t="s">
        <v>36</v>
      </c>
      <c r="C1085" t="s">
        <v>37</v>
      </c>
      <c r="D1085" t="s">
        <v>2118</v>
      </c>
      <c r="E1085" t="s">
        <v>62</v>
      </c>
      <c r="F1085" t="s">
        <v>91</v>
      </c>
      <c r="G1085" t="s">
        <v>47</v>
      </c>
      <c r="H1085" t="s">
        <v>42</v>
      </c>
      <c r="I1085" t="s">
        <v>40</v>
      </c>
      <c r="J1085" t="s">
        <v>3396</v>
      </c>
      <c r="K1085" t="s">
        <v>47</v>
      </c>
      <c r="L1085" t="s">
        <v>63</v>
      </c>
      <c r="M1085" t="s">
        <v>240</v>
      </c>
      <c r="N1085" t="s">
        <v>45</v>
      </c>
      <c r="O1085" t="s">
        <v>40</v>
      </c>
      <c r="P1085" t="s">
        <v>76</v>
      </c>
      <c r="Q1085" t="s">
        <v>40</v>
      </c>
      <c r="R1085" t="s">
        <v>48</v>
      </c>
      <c r="S1085" t="s">
        <v>3397</v>
      </c>
      <c r="T1085" t="s">
        <v>3398</v>
      </c>
      <c r="U1085" t="s">
        <v>45</v>
      </c>
      <c r="V1085" t="s">
        <v>52</v>
      </c>
      <c r="W1085" t="s">
        <v>59</v>
      </c>
      <c r="X1085" t="s">
        <v>129</v>
      </c>
      <c r="Y1085" t="s">
        <v>45</v>
      </c>
      <c r="Z1085" t="s">
        <v>41</v>
      </c>
      <c r="AA1085" t="s">
        <v>54</v>
      </c>
      <c r="AB1085" t="s">
        <v>55</v>
      </c>
      <c r="AC1085" t="s">
        <v>79</v>
      </c>
      <c r="AD1085" t="s">
        <v>45</v>
      </c>
      <c r="AE1085" t="s">
        <v>40</v>
      </c>
      <c r="AF1085" t="s">
        <v>57</v>
      </c>
      <c r="AG1085" t="s">
        <v>47</v>
      </c>
      <c r="AH1085" t="s">
        <v>40</v>
      </c>
      <c r="AI1085" t="s">
        <v>55</v>
      </c>
    </row>
    <row r="1086" spans="1:35" x14ac:dyDescent="0.25">
      <c r="A1086" t="s">
        <v>142</v>
      </c>
      <c r="B1086" t="s">
        <v>59</v>
      </c>
      <c r="C1086" t="s">
        <v>37</v>
      </c>
      <c r="D1086" t="s">
        <v>3222</v>
      </c>
      <c r="E1086" t="s">
        <v>39</v>
      </c>
      <c r="F1086" t="s">
        <v>40</v>
      </c>
      <c r="G1086" t="s">
        <v>45</v>
      </c>
      <c r="H1086" t="s">
        <v>228</v>
      </c>
      <c r="I1086" t="s">
        <v>40</v>
      </c>
      <c r="J1086" t="s">
        <v>3399</v>
      </c>
      <c r="K1086" t="s">
        <v>47</v>
      </c>
      <c r="L1086" t="s">
        <v>63</v>
      </c>
      <c r="M1086" t="s">
        <v>292</v>
      </c>
      <c r="N1086" t="s">
        <v>41</v>
      </c>
      <c r="O1086" t="s">
        <v>45</v>
      </c>
      <c r="P1086" t="s">
        <v>46</v>
      </c>
      <c r="Q1086" t="s">
        <v>45</v>
      </c>
      <c r="R1086" t="s">
        <v>66</v>
      </c>
      <c r="S1086" t="s">
        <v>3400</v>
      </c>
      <c r="T1086" t="s">
        <v>3401</v>
      </c>
      <c r="U1086" t="s">
        <v>40</v>
      </c>
      <c r="V1086" t="s">
        <v>52</v>
      </c>
      <c r="W1086" t="s">
        <v>36</v>
      </c>
      <c r="X1086" t="s">
        <v>129</v>
      </c>
      <c r="Y1086" t="s">
        <v>45</v>
      </c>
      <c r="Z1086" t="s">
        <v>47</v>
      </c>
      <c r="AA1086" t="s">
        <v>54</v>
      </c>
      <c r="AB1086" t="s">
        <v>55</v>
      </c>
      <c r="AC1086" t="s">
        <v>70</v>
      </c>
      <c r="AD1086" t="s">
        <v>45</v>
      </c>
      <c r="AE1086" t="s">
        <v>45</v>
      </c>
      <c r="AF1086" t="s">
        <v>70</v>
      </c>
      <c r="AG1086" t="s">
        <v>91</v>
      </c>
      <c r="AH1086" t="s">
        <v>51</v>
      </c>
      <c r="AI1086" t="s">
        <v>56</v>
      </c>
    </row>
    <row r="1087" spans="1:35" x14ac:dyDescent="0.25">
      <c r="A1087" t="s">
        <v>137</v>
      </c>
      <c r="B1087" t="s">
        <v>36</v>
      </c>
      <c r="C1087" t="s">
        <v>60</v>
      </c>
      <c r="D1087" t="s">
        <v>1701</v>
      </c>
      <c r="E1087" t="s">
        <v>62</v>
      </c>
      <c r="F1087" t="s">
        <v>45</v>
      </c>
      <c r="G1087" t="s">
        <v>45</v>
      </c>
      <c r="H1087" t="s">
        <v>42</v>
      </c>
      <c r="I1087" t="s">
        <v>40</v>
      </c>
      <c r="J1087" t="s">
        <v>3402</v>
      </c>
      <c r="K1087" t="s">
        <v>47</v>
      </c>
      <c r="L1087" t="s">
        <v>43</v>
      </c>
      <c r="M1087" t="s">
        <v>80</v>
      </c>
      <c r="N1087" t="s">
        <v>45</v>
      </c>
      <c r="O1087" t="s">
        <v>40</v>
      </c>
      <c r="P1087" t="s">
        <v>65</v>
      </c>
      <c r="Q1087" t="s">
        <v>45</v>
      </c>
      <c r="R1087" t="s">
        <v>48</v>
      </c>
      <c r="S1087" t="s">
        <v>3403</v>
      </c>
      <c r="T1087" t="s">
        <v>1525</v>
      </c>
      <c r="U1087" t="s">
        <v>40</v>
      </c>
      <c r="V1087" t="s">
        <v>52</v>
      </c>
      <c r="W1087" t="s">
        <v>59</v>
      </c>
      <c r="X1087" t="s">
        <v>92</v>
      </c>
      <c r="Y1087" t="s">
        <v>45</v>
      </c>
      <c r="Z1087" t="s">
        <v>40</v>
      </c>
      <c r="AA1087" t="s">
        <v>54</v>
      </c>
      <c r="AB1087" t="s">
        <v>55</v>
      </c>
      <c r="AC1087" t="s">
        <v>71</v>
      </c>
      <c r="AD1087" t="s">
        <v>41</v>
      </c>
      <c r="AE1087" t="s">
        <v>40</v>
      </c>
      <c r="AF1087" t="s">
        <v>71</v>
      </c>
      <c r="AG1087" t="s">
        <v>41</v>
      </c>
      <c r="AH1087" t="s">
        <v>71</v>
      </c>
      <c r="AI1087" t="s">
        <v>71</v>
      </c>
    </row>
    <row r="1088" spans="1:35" x14ac:dyDescent="0.25">
      <c r="A1088" t="s">
        <v>151</v>
      </c>
      <c r="B1088" t="s">
        <v>59</v>
      </c>
      <c r="C1088" t="s">
        <v>60</v>
      </c>
      <c r="D1088" t="s">
        <v>998</v>
      </c>
      <c r="E1088" t="s">
        <v>62</v>
      </c>
      <c r="F1088" t="s">
        <v>112</v>
      </c>
      <c r="G1088" t="s">
        <v>57</v>
      </c>
      <c r="H1088" t="s">
        <v>87</v>
      </c>
      <c r="I1088" t="s">
        <v>40</v>
      </c>
      <c r="J1088" t="s">
        <v>3404</v>
      </c>
      <c r="K1088" t="s">
        <v>45</v>
      </c>
      <c r="L1088" t="s">
        <v>63</v>
      </c>
      <c r="M1088" t="s">
        <v>356</v>
      </c>
      <c r="N1088" t="s">
        <v>40</v>
      </c>
      <c r="O1088" t="s">
        <v>47</v>
      </c>
      <c r="P1088" t="s">
        <v>186</v>
      </c>
      <c r="Q1088" t="s">
        <v>47</v>
      </c>
      <c r="R1088" t="s">
        <v>48</v>
      </c>
      <c r="S1088" t="s">
        <v>3405</v>
      </c>
      <c r="T1088" t="s">
        <v>3406</v>
      </c>
      <c r="U1088" t="s">
        <v>40</v>
      </c>
      <c r="V1088" t="s">
        <v>52</v>
      </c>
      <c r="W1088" t="s">
        <v>36</v>
      </c>
      <c r="X1088" t="s">
        <v>98</v>
      </c>
      <c r="Y1088" t="s">
        <v>45</v>
      </c>
      <c r="Z1088" t="s">
        <v>47</v>
      </c>
      <c r="AA1088" t="s">
        <v>54</v>
      </c>
      <c r="AB1088" t="s">
        <v>55</v>
      </c>
      <c r="AC1088" t="s">
        <v>93</v>
      </c>
      <c r="AD1088" t="s">
        <v>41</v>
      </c>
      <c r="AE1088" t="s">
        <v>45</v>
      </c>
      <c r="AF1088" t="s">
        <v>93</v>
      </c>
      <c r="AG1088" t="s">
        <v>56</v>
      </c>
      <c r="AH1088" t="s">
        <v>98</v>
      </c>
      <c r="AI1088" t="s">
        <v>91</v>
      </c>
    </row>
    <row r="1089" spans="1:35" x14ac:dyDescent="0.25">
      <c r="A1089" t="s">
        <v>142</v>
      </c>
      <c r="B1089" t="s">
        <v>59</v>
      </c>
      <c r="C1089" t="s">
        <v>37</v>
      </c>
      <c r="D1089" t="s">
        <v>3253</v>
      </c>
      <c r="E1089" t="s">
        <v>39</v>
      </c>
      <c r="F1089" t="s">
        <v>71</v>
      </c>
      <c r="G1089" t="s">
        <v>41</v>
      </c>
      <c r="H1089" t="s">
        <v>228</v>
      </c>
      <c r="I1089" t="s">
        <v>40</v>
      </c>
      <c r="J1089" t="s">
        <v>3407</v>
      </c>
      <c r="K1089" t="s">
        <v>41</v>
      </c>
      <c r="L1089" t="s">
        <v>63</v>
      </c>
      <c r="M1089" t="s">
        <v>263</v>
      </c>
      <c r="N1089" t="s">
        <v>45</v>
      </c>
      <c r="O1089" t="s">
        <v>40</v>
      </c>
      <c r="P1089" t="s">
        <v>182</v>
      </c>
      <c r="Q1089" t="s">
        <v>45</v>
      </c>
      <c r="R1089" t="s">
        <v>66</v>
      </c>
      <c r="S1089" t="s">
        <v>3408</v>
      </c>
      <c r="T1089" t="s">
        <v>3409</v>
      </c>
      <c r="U1089" t="s">
        <v>55</v>
      </c>
      <c r="V1089" t="s">
        <v>52</v>
      </c>
      <c r="W1089" t="s">
        <v>36</v>
      </c>
      <c r="X1089" t="s">
        <v>172</v>
      </c>
      <c r="Y1089" t="s">
        <v>47</v>
      </c>
      <c r="Z1089" t="s">
        <v>41</v>
      </c>
      <c r="AA1089" t="s">
        <v>54</v>
      </c>
      <c r="AB1089" t="s">
        <v>40</v>
      </c>
      <c r="AC1089" t="s">
        <v>92</v>
      </c>
      <c r="AD1089" t="s">
        <v>47</v>
      </c>
      <c r="AE1089" t="s">
        <v>45</v>
      </c>
      <c r="AF1089" t="s">
        <v>53</v>
      </c>
      <c r="AG1089" t="s">
        <v>70</v>
      </c>
      <c r="AH1089" t="s">
        <v>57</v>
      </c>
      <c r="AI1089" t="s">
        <v>71</v>
      </c>
    </row>
    <row r="1090" spans="1:35" x14ac:dyDescent="0.25">
      <c r="A1090" t="s">
        <v>204</v>
      </c>
      <c r="B1090" t="s">
        <v>59</v>
      </c>
      <c r="C1090" t="s">
        <v>37</v>
      </c>
      <c r="D1090" t="s">
        <v>1081</v>
      </c>
      <c r="E1090" t="s">
        <v>62</v>
      </c>
      <c r="F1090" t="s">
        <v>41</v>
      </c>
      <c r="G1090" t="s">
        <v>45</v>
      </c>
      <c r="H1090" t="s">
        <v>87</v>
      </c>
      <c r="I1090" t="s">
        <v>40</v>
      </c>
      <c r="J1090" t="s">
        <v>3410</v>
      </c>
      <c r="K1090" t="s">
        <v>45</v>
      </c>
      <c r="L1090" t="s">
        <v>63</v>
      </c>
      <c r="M1090" t="s">
        <v>300</v>
      </c>
      <c r="N1090" t="s">
        <v>41</v>
      </c>
      <c r="O1090" t="s">
        <v>40</v>
      </c>
      <c r="P1090" t="s">
        <v>76</v>
      </c>
      <c r="Q1090" t="s">
        <v>41</v>
      </c>
      <c r="R1090" t="s">
        <v>66</v>
      </c>
      <c r="S1090" t="s">
        <v>3411</v>
      </c>
      <c r="T1090" t="s">
        <v>3412</v>
      </c>
      <c r="U1090" t="s">
        <v>47</v>
      </c>
      <c r="V1090" t="s">
        <v>52</v>
      </c>
      <c r="W1090" t="s">
        <v>59</v>
      </c>
      <c r="X1090" t="s">
        <v>129</v>
      </c>
      <c r="Y1090" t="s">
        <v>45</v>
      </c>
      <c r="Z1090" t="s">
        <v>41</v>
      </c>
      <c r="AA1090" t="s">
        <v>54</v>
      </c>
      <c r="AB1090" t="s">
        <v>40</v>
      </c>
      <c r="AC1090" t="s">
        <v>47</v>
      </c>
      <c r="AD1090" t="s">
        <v>45</v>
      </c>
      <c r="AE1090" t="s">
        <v>45</v>
      </c>
      <c r="AF1090" t="s">
        <v>40</v>
      </c>
      <c r="AG1090" t="s">
        <v>55</v>
      </c>
      <c r="AH1090" t="s">
        <v>55</v>
      </c>
      <c r="AI1090" t="s">
        <v>55</v>
      </c>
    </row>
    <row r="1091" spans="1:35" x14ac:dyDescent="0.25">
      <c r="A1091" t="s">
        <v>72</v>
      </c>
      <c r="B1091" t="s">
        <v>59</v>
      </c>
      <c r="C1091" t="s">
        <v>37</v>
      </c>
      <c r="D1091" t="s">
        <v>3413</v>
      </c>
      <c r="E1091" t="s">
        <v>62</v>
      </c>
      <c r="F1091" t="s">
        <v>98</v>
      </c>
      <c r="G1091" t="s">
        <v>45</v>
      </c>
      <c r="H1091" t="s">
        <v>87</v>
      </c>
      <c r="I1091" t="s">
        <v>40</v>
      </c>
      <c r="J1091" t="s">
        <v>3414</v>
      </c>
      <c r="K1091" t="s">
        <v>40</v>
      </c>
      <c r="L1091" t="s">
        <v>63</v>
      </c>
      <c r="M1091" t="s">
        <v>239</v>
      </c>
      <c r="N1091" t="s">
        <v>45</v>
      </c>
      <c r="O1091" t="s">
        <v>41</v>
      </c>
      <c r="P1091" t="s">
        <v>65</v>
      </c>
      <c r="Q1091" t="s">
        <v>47</v>
      </c>
      <c r="R1091" t="s">
        <v>66</v>
      </c>
      <c r="S1091" t="s">
        <v>3415</v>
      </c>
      <c r="T1091" t="s">
        <v>3416</v>
      </c>
      <c r="U1091" t="s">
        <v>40</v>
      </c>
      <c r="V1091" t="s">
        <v>52</v>
      </c>
      <c r="W1091" t="s">
        <v>59</v>
      </c>
      <c r="X1091" t="s">
        <v>125</v>
      </c>
      <c r="Y1091" t="s">
        <v>45</v>
      </c>
      <c r="Z1091" t="s">
        <v>40</v>
      </c>
      <c r="AA1091" t="s">
        <v>54</v>
      </c>
      <c r="AB1091" t="s">
        <v>55</v>
      </c>
      <c r="AC1091" t="s">
        <v>70</v>
      </c>
      <c r="AD1091" t="s">
        <v>41</v>
      </c>
      <c r="AE1091" t="s">
        <v>45</v>
      </c>
      <c r="AF1091" t="s">
        <v>70</v>
      </c>
      <c r="AG1091" t="s">
        <v>51</v>
      </c>
      <c r="AH1091" t="s">
        <v>45</v>
      </c>
      <c r="AI1091" t="s">
        <v>71</v>
      </c>
    </row>
    <row r="1092" spans="1:35" x14ac:dyDescent="0.25">
      <c r="A1092" t="s">
        <v>133</v>
      </c>
      <c r="B1092" t="s">
        <v>59</v>
      </c>
      <c r="C1092" t="s">
        <v>37</v>
      </c>
      <c r="D1092" t="s">
        <v>561</v>
      </c>
      <c r="E1092" t="s">
        <v>62</v>
      </c>
      <c r="F1092" t="s">
        <v>51</v>
      </c>
      <c r="G1092" t="s">
        <v>40</v>
      </c>
      <c r="H1092" t="s">
        <v>74</v>
      </c>
      <c r="I1092" t="s">
        <v>40</v>
      </c>
      <c r="J1092" t="s">
        <v>3417</v>
      </c>
      <c r="K1092" t="s">
        <v>45</v>
      </c>
      <c r="L1092" t="s">
        <v>43</v>
      </c>
      <c r="M1092" t="s">
        <v>218</v>
      </c>
      <c r="N1092" t="s">
        <v>40</v>
      </c>
      <c r="O1092" t="s">
        <v>41</v>
      </c>
      <c r="P1092" t="s">
        <v>122</v>
      </c>
      <c r="Q1092" t="s">
        <v>40</v>
      </c>
      <c r="R1092" t="s">
        <v>66</v>
      </c>
      <c r="S1092" t="s">
        <v>3418</v>
      </c>
      <c r="T1092" t="s">
        <v>3419</v>
      </c>
      <c r="U1092" t="s">
        <v>45</v>
      </c>
      <c r="V1092" t="s">
        <v>52</v>
      </c>
      <c r="W1092" t="s">
        <v>59</v>
      </c>
      <c r="X1092" t="s">
        <v>98</v>
      </c>
      <c r="Y1092" t="s">
        <v>45</v>
      </c>
      <c r="Z1092" t="s">
        <v>45</v>
      </c>
      <c r="AA1092" t="s">
        <v>54</v>
      </c>
      <c r="AB1092" t="s">
        <v>40</v>
      </c>
      <c r="AC1092" t="s">
        <v>91</v>
      </c>
      <c r="AD1092" t="s">
        <v>45</v>
      </c>
      <c r="AE1092" t="s">
        <v>45</v>
      </c>
      <c r="AF1092" t="s">
        <v>71</v>
      </c>
      <c r="AG1092" t="s">
        <v>71</v>
      </c>
      <c r="AH1092" t="s">
        <v>55</v>
      </c>
      <c r="AI1092" t="s">
        <v>71</v>
      </c>
    </row>
    <row r="1093" spans="1:35" x14ac:dyDescent="0.25">
      <c r="A1093" t="s">
        <v>80</v>
      </c>
      <c r="B1093" t="s">
        <v>59</v>
      </c>
      <c r="C1093" t="s">
        <v>37</v>
      </c>
      <c r="D1093" t="s">
        <v>1439</v>
      </c>
      <c r="E1093" t="s">
        <v>62</v>
      </c>
      <c r="F1093" t="s">
        <v>172</v>
      </c>
      <c r="G1093" t="s">
        <v>45</v>
      </c>
      <c r="H1093" t="s">
        <v>42</v>
      </c>
      <c r="I1093" t="s">
        <v>40</v>
      </c>
      <c r="J1093" t="s">
        <v>3420</v>
      </c>
      <c r="K1093" t="s">
        <v>47</v>
      </c>
      <c r="L1093" t="s">
        <v>63</v>
      </c>
      <c r="M1093" t="s">
        <v>115</v>
      </c>
      <c r="N1093" t="s">
        <v>41</v>
      </c>
      <c r="O1093" t="s">
        <v>41</v>
      </c>
      <c r="P1093" t="s">
        <v>116</v>
      </c>
      <c r="Q1093" t="s">
        <v>41</v>
      </c>
      <c r="R1093" t="s">
        <v>48</v>
      </c>
      <c r="S1093" t="s">
        <v>3421</v>
      </c>
      <c r="T1093" t="s">
        <v>3422</v>
      </c>
      <c r="U1093" t="s">
        <v>40</v>
      </c>
      <c r="V1093" t="s">
        <v>52</v>
      </c>
      <c r="W1093" t="s">
        <v>59</v>
      </c>
      <c r="X1093" t="s">
        <v>98</v>
      </c>
      <c r="Y1093" t="s">
        <v>45</v>
      </c>
      <c r="Z1093" t="s">
        <v>47</v>
      </c>
      <c r="AA1093" t="s">
        <v>54</v>
      </c>
      <c r="AB1093" t="s">
        <v>55</v>
      </c>
      <c r="AC1093" t="s">
        <v>57</v>
      </c>
      <c r="AD1093" t="s">
        <v>41</v>
      </c>
      <c r="AE1093" t="s">
        <v>45</v>
      </c>
      <c r="AF1093" t="s">
        <v>57</v>
      </c>
      <c r="AG1093" t="s">
        <v>45</v>
      </c>
      <c r="AH1093" t="s">
        <v>55</v>
      </c>
      <c r="AI1093" t="s">
        <v>41</v>
      </c>
    </row>
    <row r="1094" spans="1:35" x14ac:dyDescent="0.25">
      <c r="A1094" t="s">
        <v>174</v>
      </c>
      <c r="B1094" t="s">
        <v>59</v>
      </c>
      <c r="C1094" t="s">
        <v>37</v>
      </c>
      <c r="D1094" t="s">
        <v>1185</v>
      </c>
      <c r="E1094" t="s">
        <v>62</v>
      </c>
      <c r="F1094" t="s">
        <v>149</v>
      </c>
      <c r="G1094" t="s">
        <v>45</v>
      </c>
      <c r="H1094" t="s">
        <v>228</v>
      </c>
      <c r="I1094" t="s">
        <v>40</v>
      </c>
      <c r="J1094" t="s">
        <v>3423</v>
      </c>
      <c r="K1094" t="s">
        <v>47</v>
      </c>
      <c r="L1094" t="s">
        <v>63</v>
      </c>
      <c r="M1094" t="s">
        <v>244</v>
      </c>
      <c r="N1094" t="s">
        <v>45</v>
      </c>
      <c r="O1094" t="s">
        <v>40</v>
      </c>
      <c r="P1094" t="s">
        <v>65</v>
      </c>
      <c r="Q1094" t="s">
        <v>47</v>
      </c>
      <c r="R1094" t="s">
        <v>66</v>
      </c>
      <c r="S1094" t="s">
        <v>2484</v>
      </c>
      <c r="T1094" t="s">
        <v>3424</v>
      </c>
      <c r="U1094" t="s">
        <v>47</v>
      </c>
      <c r="V1094" t="s">
        <v>52</v>
      </c>
      <c r="W1094" t="s">
        <v>59</v>
      </c>
      <c r="X1094" t="s">
        <v>104</v>
      </c>
      <c r="Y1094" t="s">
        <v>47</v>
      </c>
      <c r="Z1094" t="s">
        <v>47</v>
      </c>
      <c r="AA1094" t="s">
        <v>54</v>
      </c>
      <c r="AB1094" t="s">
        <v>40</v>
      </c>
      <c r="AC1094" t="s">
        <v>51</v>
      </c>
      <c r="AD1094" t="s">
        <v>45</v>
      </c>
      <c r="AE1094" t="s">
        <v>45</v>
      </c>
      <c r="AF1094" t="s">
        <v>57</v>
      </c>
      <c r="AG1094" t="s">
        <v>47</v>
      </c>
      <c r="AH1094" t="s">
        <v>55</v>
      </c>
      <c r="AI1094" t="s">
        <v>45</v>
      </c>
    </row>
    <row r="1095" spans="1:35" x14ac:dyDescent="0.25">
      <c r="A1095" t="s">
        <v>204</v>
      </c>
      <c r="B1095" t="s">
        <v>59</v>
      </c>
      <c r="C1095" t="s">
        <v>60</v>
      </c>
      <c r="D1095" t="s">
        <v>431</v>
      </c>
      <c r="E1095" t="s">
        <v>62</v>
      </c>
      <c r="F1095" t="s">
        <v>41</v>
      </c>
      <c r="G1095" t="s">
        <v>45</v>
      </c>
      <c r="H1095" t="s">
        <v>42</v>
      </c>
      <c r="I1095" t="s">
        <v>40</v>
      </c>
      <c r="J1095" t="s">
        <v>3425</v>
      </c>
      <c r="K1095" t="s">
        <v>47</v>
      </c>
      <c r="L1095" t="s">
        <v>63</v>
      </c>
      <c r="M1095" t="s">
        <v>88</v>
      </c>
      <c r="N1095" t="s">
        <v>45</v>
      </c>
      <c r="O1095" t="s">
        <v>45</v>
      </c>
      <c r="P1095" t="s">
        <v>122</v>
      </c>
      <c r="Q1095" t="s">
        <v>47</v>
      </c>
      <c r="R1095" t="s">
        <v>66</v>
      </c>
      <c r="S1095" t="s">
        <v>3426</v>
      </c>
      <c r="T1095" t="s">
        <v>3427</v>
      </c>
      <c r="U1095" t="s">
        <v>41</v>
      </c>
      <c r="V1095" t="s">
        <v>52</v>
      </c>
      <c r="W1095" t="s">
        <v>36</v>
      </c>
      <c r="X1095" t="s">
        <v>129</v>
      </c>
      <c r="Y1095" t="s">
        <v>45</v>
      </c>
      <c r="Z1095" t="s">
        <v>45</v>
      </c>
      <c r="AA1095" t="s">
        <v>54</v>
      </c>
      <c r="AB1095" t="s">
        <v>40</v>
      </c>
      <c r="AC1095" t="s">
        <v>107</v>
      </c>
      <c r="AD1095" t="s">
        <v>45</v>
      </c>
      <c r="AE1095" t="s">
        <v>40</v>
      </c>
      <c r="AF1095" t="s">
        <v>104</v>
      </c>
      <c r="AG1095" t="s">
        <v>51</v>
      </c>
      <c r="AH1095" t="s">
        <v>98</v>
      </c>
      <c r="AI1095" t="s">
        <v>91</v>
      </c>
    </row>
    <row r="1096" spans="1:35" x14ac:dyDescent="0.25">
      <c r="A1096" t="s">
        <v>88</v>
      </c>
      <c r="B1096" t="s">
        <v>59</v>
      </c>
      <c r="C1096" t="s">
        <v>37</v>
      </c>
      <c r="D1096" t="s">
        <v>3428</v>
      </c>
      <c r="E1096" t="s">
        <v>39</v>
      </c>
      <c r="F1096" t="s">
        <v>91</v>
      </c>
      <c r="G1096" t="s">
        <v>41</v>
      </c>
      <c r="H1096" t="s">
        <v>87</v>
      </c>
      <c r="I1096" t="s">
        <v>40</v>
      </c>
      <c r="J1096" t="s">
        <v>3429</v>
      </c>
      <c r="K1096" t="s">
        <v>40</v>
      </c>
      <c r="L1096" t="s">
        <v>63</v>
      </c>
      <c r="M1096" t="s">
        <v>239</v>
      </c>
      <c r="N1096" t="s">
        <v>45</v>
      </c>
      <c r="O1096" t="s">
        <v>41</v>
      </c>
      <c r="P1096" t="s">
        <v>46</v>
      </c>
      <c r="Q1096" t="s">
        <v>40</v>
      </c>
      <c r="R1096" t="s">
        <v>66</v>
      </c>
      <c r="S1096" t="s">
        <v>365</v>
      </c>
      <c r="T1096" t="s">
        <v>3430</v>
      </c>
      <c r="U1096" t="s">
        <v>55</v>
      </c>
      <c r="V1096" t="s">
        <v>52</v>
      </c>
      <c r="W1096" t="s">
        <v>59</v>
      </c>
      <c r="X1096" t="s">
        <v>92</v>
      </c>
      <c r="Y1096" t="s">
        <v>45</v>
      </c>
      <c r="Z1096" t="s">
        <v>47</v>
      </c>
      <c r="AA1096" t="s">
        <v>54</v>
      </c>
      <c r="AB1096" t="s">
        <v>55</v>
      </c>
      <c r="AC1096" t="s">
        <v>91</v>
      </c>
      <c r="AD1096" t="s">
        <v>57</v>
      </c>
      <c r="AE1096" t="s">
        <v>47</v>
      </c>
      <c r="AF1096" t="s">
        <v>51</v>
      </c>
      <c r="AG1096" t="s">
        <v>47</v>
      </c>
      <c r="AH1096" t="s">
        <v>71</v>
      </c>
      <c r="AI1096" t="s">
        <v>40</v>
      </c>
    </row>
    <row r="1097" spans="1:35" x14ac:dyDescent="0.25">
      <c r="A1097" t="s">
        <v>80</v>
      </c>
      <c r="B1097" t="s">
        <v>59</v>
      </c>
      <c r="C1097" t="s">
        <v>37</v>
      </c>
      <c r="D1097" t="s">
        <v>2164</v>
      </c>
      <c r="E1097" t="s">
        <v>62</v>
      </c>
      <c r="F1097" t="s">
        <v>149</v>
      </c>
      <c r="G1097" t="s">
        <v>47</v>
      </c>
      <c r="H1097" t="s">
        <v>42</v>
      </c>
      <c r="I1097" t="s">
        <v>40</v>
      </c>
      <c r="J1097" t="s">
        <v>3431</v>
      </c>
      <c r="K1097" t="s">
        <v>41</v>
      </c>
      <c r="L1097" t="s">
        <v>63</v>
      </c>
      <c r="M1097" t="s">
        <v>95</v>
      </c>
      <c r="N1097" t="s">
        <v>45</v>
      </c>
      <c r="O1097" t="s">
        <v>41</v>
      </c>
      <c r="P1097" t="s">
        <v>76</v>
      </c>
      <c r="Q1097" t="s">
        <v>45</v>
      </c>
      <c r="R1097" t="s">
        <v>66</v>
      </c>
      <c r="S1097" t="s">
        <v>2029</v>
      </c>
      <c r="T1097" t="s">
        <v>3432</v>
      </c>
      <c r="U1097" t="s">
        <v>40</v>
      </c>
      <c r="V1097" t="s">
        <v>52</v>
      </c>
      <c r="W1097" t="s">
        <v>36</v>
      </c>
      <c r="X1097" t="s">
        <v>92</v>
      </c>
      <c r="Y1097" t="s">
        <v>45</v>
      </c>
      <c r="Z1097" t="s">
        <v>41</v>
      </c>
      <c r="AA1097" t="s">
        <v>54</v>
      </c>
      <c r="AB1097" t="s">
        <v>40</v>
      </c>
      <c r="AC1097" t="s">
        <v>79</v>
      </c>
      <c r="AD1097" t="s">
        <v>45</v>
      </c>
      <c r="AE1097" t="s">
        <v>45</v>
      </c>
      <c r="AF1097" t="s">
        <v>79</v>
      </c>
      <c r="AG1097" t="s">
        <v>129</v>
      </c>
      <c r="AH1097" t="s">
        <v>57</v>
      </c>
      <c r="AI1097" t="s">
        <v>71</v>
      </c>
    </row>
    <row r="1098" spans="1:35" x14ac:dyDescent="0.25">
      <c r="A1098" t="s">
        <v>88</v>
      </c>
      <c r="B1098" t="s">
        <v>59</v>
      </c>
      <c r="C1098" t="s">
        <v>37</v>
      </c>
      <c r="D1098" t="s">
        <v>3433</v>
      </c>
      <c r="E1098" t="s">
        <v>397</v>
      </c>
      <c r="F1098" t="s">
        <v>56</v>
      </c>
      <c r="G1098" t="s">
        <v>41</v>
      </c>
      <c r="H1098" t="s">
        <v>87</v>
      </c>
      <c r="I1098" t="s">
        <v>40</v>
      </c>
      <c r="J1098" t="s">
        <v>3434</v>
      </c>
      <c r="K1098" t="s">
        <v>45</v>
      </c>
      <c r="L1098" t="s">
        <v>63</v>
      </c>
      <c r="M1098" t="s">
        <v>113</v>
      </c>
      <c r="N1098" t="s">
        <v>45</v>
      </c>
      <c r="O1098" t="s">
        <v>47</v>
      </c>
      <c r="P1098" t="s">
        <v>169</v>
      </c>
      <c r="Q1098" t="s">
        <v>47</v>
      </c>
      <c r="R1098" t="s">
        <v>48</v>
      </c>
      <c r="S1098" t="s">
        <v>3435</v>
      </c>
      <c r="T1098" t="s">
        <v>3436</v>
      </c>
      <c r="U1098" t="s">
        <v>40</v>
      </c>
      <c r="V1098" t="s">
        <v>52</v>
      </c>
      <c r="W1098" t="s">
        <v>36</v>
      </c>
      <c r="X1098" t="s">
        <v>119</v>
      </c>
      <c r="Y1098" t="s">
        <v>47</v>
      </c>
      <c r="Z1098" t="s">
        <v>47</v>
      </c>
      <c r="AA1098" t="s">
        <v>54</v>
      </c>
      <c r="AB1098" t="s">
        <v>55</v>
      </c>
      <c r="AC1098" t="s">
        <v>119</v>
      </c>
      <c r="AD1098" t="s">
        <v>41</v>
      </c>
      <c r="AE1098" t="s">
        <v>45</v>
      </c>
      <c r="AF1098" t="s">
        <v>119</v>
      </c>
      <c r="AG1098" t="s">
        <v>71</v>
      </c>
      <c r="AH1098" t="s">
        <v>71</v>
      </c>
      <c r="AI1098" t="s">
        <v>71</v>
      </c>
    </row>
    <row r="1099" spans="1:35" x14ac:dyDescent="0.25">
      <c r="A1099" t="s">
        <v>107</v>
      </c>
      <c r="B1099" t="s">
        <v>59</v>
      </c>
      <c r="C1099" t="s">
        <v>37</v>
      </c>
      <c r="D1099" t="s">
        <v>1047</v>
      </c>
      <c r="E1099" t="s">
        <v>62</v>
      </c>
      <c r="F1099" t="s">
        <v>119</v>
      </c>
      <c r="G1099" t="s">
        <v>41</v>
      </c>
      <c r="H1099" t="s">
        <v>228</v>
      </c>
      <c r="I1099" t="s">
        <v>40</v>
      </c>
      <c r="J1099" t="s">
        <v>3437</v>
      </c>
      <c r="K1099" t="s">
        <v>45</v>
      </c>
      <c r="L1099" t="s">
        <v>63</v>
      </c>
      <c r="M1099" t="s">
        <v>269</v>
      </c>
      <c r="N1099" t="s">
        <v>41</v>
      </c>
      <c r="O1099" t="s">
        <v>40</v>
      </c>
      <c r="P1099" t="s">
        <v>76</v>
      </c>
      <c r="Q1099" t="s">
        <v>40</v>
      </c>
      <c r="R1099" t="s">
        <v>109</v>
      </c>
      <c r="S1099" t="s">
        <v>3438</v>
      </c>
      <c r="T1099" t="s">
        <v>3439</v>
      </c>
      <c r="U1099" t="s">
        <v>55</v>
      </c>
      <c r="V1099" t="s">
        <v>52</v>
      </c>
      <c r="W1099" t="s">
        <v>59</v>
      </c>
      <c r="X1099" t="s">
        <v>129</v>
      </c>
      <c r="Y1099" t="s">
        <v>45</v>
      </c>
      <c r="Z1099" t="s">
        <v>41</v>
      </c>
      <c r="AA1099" t="s">
        <v>54</v>
      </c>
      <c r="AB1099" t="s">
        <v>45</v>
      </c>
      <c r="AC1099" t="s">
        <v>41</v>
      </c>
      <c r="AD1099" t="s">
        <v>45</v>
      </c>
      <c r="AE1099" t="s">
        <v>45</v>
      </c>
      <c r="AF1099" t="s">
        <v>40</v>
      </c>
      <c r="AG1099" t="s">
        <v>40</v>
      </c>
      <c r="AH1099" t="s">
        <v>55</v>
      </c>
      <c r="AI1099" t="s">
        <v>55</v>
      </c>
    </row>
    <row r="1100" spans="1:35" x14ac:dyDescent="0.25">
      <c r="A1100" t="s">
        <v>88</v>
      </c>
      <c r="B1100" t="s">
        <v>59</v>
      </c>
      <c r="C1100" t="s">
        <v>161</v>
      </c>
      <c r="D1100" t="s">
        <v>318</v>
      </c>
      <c r="E1100" t="s">
        <v>62</v>
      </c>
      <c r="F1100" t="s">
        <v>51</v>
      </c>
      <c r="G1100" t="s">
        <v>41</v>
      </c>
      <c r="H1100" t="s">
        <v>42</v>
      </c>
      <c r="I1100" t="s">
        <v>40</v>
      </c>
      <c r="J1100" t="s">
        <v>3440</v>
      </c>
      <c r="K1100" t="s">
        <v>47</v>
      </c>
      <c r="L1100" t="s">
        <v>63</v>
      </c>
      <c r="M1100" t="s">
        <v>201</v>
      </c>
      <c r="N1100" t="s">
        <v>45</v>
      </c>
      <c r="O1100" t="s">
        <v>41</v>
      </c>
      <c r="P1100" t="s">
        <v>122</v>
      </c>
      <c r="Q1100" t="s">
        <v>47</v>
      </c>
      <c r="R1100" t="s">
        <v>109</v>
      </c>
      <c r="S1100" t="s">
        <v>3441</v>
      </c>
      <c r="T1100" t="s">
        <v>3442</v>
      </c>
      <c r="U1100" t="s">
        <v>45</v>
      </c>
      <c r="V1100" t="s">
        <v>52</v>
      </c>
      <c r="W1100" t="s">
        <v>36</v>
      </c>
      <c r="X1100" t="s">
        <v>145</v>
      </c>
      <c r="Y1100" t="s">
        <v>45</v>
      </c>
      <c r="Z1100" t="s">
        <v>45</v>
      </c>
      <c r="AA1100" t="s">
        <v>54</v>
      </c>
      <c r="AB1100" t="s">
        <v>55</v>
      </c>
      <c r="AC1100" t="s">
        <v>51</v>
      </c>
      <c r="AD1100" t="s">
        <v>41</v>
      </c>
      <c r="AE1100" t="s">
        <v>45</v>
      </c>
      <c r="AF1100" t="s">
        <v>41</v>
      </c>
      <c r="AG1100" t="s">
        <v>41</v>
      </c>
      <c r="AH1100" t="s">
        <v>41</v>
      </c>
      <c r="AI1100" t="s">
        <v>41</v>
      </c>
    </row>
    <row r="1101" spans="1:35" x14ac:dyDescent="0.25">
      <c r="A1101" t="s">
        <v>174</v>
      </c>
      <c r="B1101" t="s">
        <v>59</v>
      </c>
      <c r="C1101" t="s">
        <v>37</v>
      </c>
      <c r="D1101" t="s">
        <v>1555</v>
      </c>
      <c r="E1101" t="s">
        <v>62</v>
      </c>
      <c r="F1101" t="s">
        <v>40</v>
      </c>
      <c r="G1101" t="s">
        <v>47</v>
      </c>
      <c r="H1101" t="s">
        <v>228</v>
      </c>
      <c r="I1101" t="s">
        <v>40</v>
      </c>
      <c r="J1101" t="s">
        <v>3443</v>
      </c>
      <c r="K1101" t="s">
        <v>40</v>
      </c>
      <c r="L1101" t="s">
        <v>63</v>
      </c>
      <c r="M1101" t="s">
        <v>375</v>
      </c>
      <c r="N1101" t="s">
        <v>45</v>
      </c>
      <c r="O1101" t="s">
        <v>45</v>
      </c>
      <c r="P1101" t="s">
        <v>122</v>
      </c>
      <c r="Q1101" t="s">
        <v>41</v>
      </c>
      <c r="R1101" t="s">
        <v>109</v>
      </c>
      <c r="S1101" t="s">
        <v>3444</v>
      </c>
      <c r="T1101" t="s">
        <v>3445</v>
      </c>
      <c r="U1101" t="s">
        <v>40</v>
      </c>
      <c r="V1101" t="s">
        <v>52</v>
      </c>
      <c r="W1101" t="s">
        <v>59</v>
      </c>
      <c r="X1101" t="s">
        <v>92</v>
      </c>
      <c r="Y1101" t="s">
        <v>45</v>
      </c>
      <c r="Z1101" t="s">
        <v>40</v>
      </c>
      <c r="AA1101" t="s">
        <v>54</v>
      </c>
      <c r="AB1101" t="s">
        <v>45</v>
      </c>
      <c r="AC1101" t="s">
        <v>70</v>
      </c>
      <c r="AD1101" t="s">
        <v>47</v>
      </c>
      <c r="AE1101" t="s">
        <v>45</v>
      </c>
      <c r="AF1101" t="s">
        <v>70</v>
      </c>
      <c r="AG1101" t="s">
        <v>51</v>
      </c>
      <c r="AH1101" t="s">
        <v>71</v>
      </c>
      <c r="AI1101" t="s">
        <v>71</v>
      </c>
    </row>
    <row r="1102" spans="1:35" x14ac:dyDescent="0.25">
      <c r="A1102" t="s">
        <v>126</v>
      </c>
      <c r="B1102" t="s">
        <v>59</v>
      </c>
      <c r="C1102" t="s">
        <v>37</v>
      </c>
      <c r="D1102" t="s">
        <v>2856</v>
      </c>
      <c r="E1102" t="s">
        <v>39</v>
      </c>
      <c r="F1102" t="s">
        <v>149</v>
      </c>
      <c r="G1102" t="s">
        <v>47</v>
      </c>
      <c r="H1102" t="s">
        <v>42</v>
      </c>
      <c r="I1102" t="s">
        <v>40</v>
      </c>
      <c r="J1102" t="s">
        <v>3446</v>
      </c>
      <c r="K1102" t="s">
        <v>41</v>
      </c>
      <c r="L1102" t="s">
        <v>43</v>
      </c>
      <c r="M1102" t="s">
        <v>284</v>
      </c>
      <c r="N1102" t="s">
        <v>41</v>
      </c>
      <c r="O1102" t="s">
        <v>40</v>
      </c>
      <c r="P1102" t="s">
        <v>182</v>
      </c>
      <c r="Q1102" t="s">
        <v>45</v>
      </c>
      <c r="R1102" t="s">
        <v>66</v>
      </c>
      <c r="S1102" t="s">
        <v>3447</v>
      </c>
      <c r="T1102" t="s">
        <v>3448</v>
      </c>
      <c r="U1102" t="s">
        <v>55</v>
      </c>
      <c r="V1102" t="s">
        <v>52</v>
      </c>
      <c r="W1102" t="s">
        <v>59</v>
      </c>
      <c r="X1102" t="s">
        <v>69</v>
      </c>
      <c r="Y1102" t="s">
        <v>47</v>
      </c>
      <c r="Z1102" t="s">
        <v>40</v>
      </c>
      <c r="AA1102" t="s">
        <v>54</v>
      </c>
      <c r="AB1102" t="s">
        <v>41</v>
      </c>
      <c r="AC1102" t="s">
        <v>56</v>
      </c>
      <c r="AD1102" t="s">
        <v>57</v>
      </c>
      <c r="AE1102" t="s">
        <v>45</v>
      </c>
      <c r="AF1102" t="s">
        <v>57</v>
      </c>
      <c r="AG1102" t="s">
        <v>45</v>
      </c>
      <c r="AH1102" t="s">
        <v>47</v>
      </c>
      <c r="AI1102" t="s">
        <v>41</v>
      </c>
    </row>
    <row r="1103" spans="1:35" x14ac:dyDescent="0.25">
      <c r="A1103" t="s">
        <v>93</v>
      </c>
      <c r="B1103" t="s">
        <v>59</v>
      </c>
      <c r="C1103" t="s">
        <v>37</v>
      </c>
      <c r="D1103" t="s">
        <v>2121</v>
      </c>
      <c r="E1103" t="s">
        <v>62</v>
      </c>
      <c r="F1103" t="s">
        <v>57</v>
      </c>
      <c r="G1103" t="s">
        <v>41</v>
      </c>
      <c r="H1103" t="s">
        <v>42</v>
      </c>
      <c r="I1103" t="s">
        <v>40</v>
      </c>
      <c r="J1103" t="s">
        <v>3449</v>
      </c>
      <c r="K1103" t="s">
        <v>47</v>
      </c>
      <c r="L1103" t="s">
        <v>43</v>
      </c>
      <c r="M1103" t="s">
        <v>108</v>
      </c>
      <c r="N1103" t="s">
        <v>41</v>
      </c>
      <c r="O1103" t="s">
        <v>41</v>
      </c>
      <c r="P1103" t="s">
        <v>65</v>
      </c>
      <c r="Q1103" t="s">
        <v>41</v>
      </c>
      <c r="R1103" t="s">
        <v>66</v>
      </c>
      <c r="S1103" t="s">
        <v>3450</v>
      </c>
      <c r="T1103" t="s">
        <v>3451</v>
      </c>
      <c r="U1103" t="s">
        <v>45</v>
      </c>
      <c r="V1103" t="s">
        <v>52</v>
      </c>
      <c r="W1103" t="s">
        <v>59</v>
      </c>
      <c r="X1103" t="s">
        <v>92</v>
      </c>
      <c r="Y1103" t="s">
        <v>45</v>
      </c>
      <c r="Z1103" t="s">
        <v>40</v>
      </c>
      <c r="AA1103" t="s">
        <v>54</v>
      </c>
      <c r="AB1103" t="s">
        <v>40</v>
      </c>
      <c r="AC1103" t="s">
        <v>92</v>
      </c>
      <c r="AD1103" t="s">
        <v>41</v>
      </c>
      <c r="AE1103" t="s">
        <v>45</v>
      </c>
      <c r="AF1103" t="s">
        <v>71</v>
      </c>
      <c r="AG1103" t="s">
        <v>40</v>
      </c>
      <c r="AH1103" t="s">
        <v>41</v>
      </c>
      <c r="AI1103" t="s">
        <v>57</v>
      </c>
    </row>
    <row r="1104" spans="1:35" x14ac:dyDescent="0.25">
      <c r="A1104" t="s">
        <v>120</v>
      </c>
      <c r="B1104" t="s">
        <v>59</v>
      </c>
      <c r="C1104" t="s">
        <v>37</v>
      </c>
      <c r="D1104" t="s">
        <v>740</v>
      </c>
      <c r="E1104" t="s">
        <v>39</v>
      </c>
      <c r="F1104" t="s">
        <v>41</v>
      </c>
      <c r="G1104" t="s">
        <v>47</v>
      </c>
      <c r="H1104" t="s">
        <v>42</v>
      </c>
      <c r="I1104" t="s">
        <v>40</v>
      </c>
      <c r="J1104" t="s">
        <v>3452</v>
      </c>
      <c r="K1104" t="s">
        <v>45</v>
      </c>
      <c r="L1104" t="s">
        <v>63</v>
      </c>
      <c r="M1104" t="s">
        <v>304</v>
      </c>
      <c r="N1104" t="s">
        <v>45</v>
      </c>
      <c r="O1104" t="s">
        <v>40</v>
      </c>
      <c r="P1104" t="s">
        <v>182</v>
      </c>
      <c r="Q1104" t="s">
        <v>47</v>
      </c>
      <c r="R1104" t="s">
        <v>48</v>
      </c>
      <c r="S1104" t="s">
        <v>3453</v>
      </c>
      <c r="T1104" t="s">
        <v>1393</v>
      </c>
      <c r="U1104" t="s">
        <v>45</v>
      </c>
      <c r="V1104" t="s">
        <v>52</v>
      </c>
      <c r="W1104" t="s">
        <v>36</v>
      </c>
      <c r="X1104" t="s">
        <v>119</v>
      </c>
      <c r="Y1104" t="s">
        <v>47</v>
      </c>
      <c r="Z1104" t="s">
        <v>47</v>
      </c>
      <c r="AA1104" t="s">
        <v>54</v>
      </c>
      <c r="AB1104" t="s">
        <v>55</v>
      </c>
      <c r="AC1104" t="s">
        <v>71</v>
      </c>
      <c r="AD1104" t="s">
        <v>45</v>
      </c>
      <c r="AE1104" t="s">
        <v>41</v>
      </c>
      <c r="AF1104" t="s">
        <v>45</v>
      </c>
      <c r="AG1104" t="s">
        <v>41</v>
      </c>
      <c r="AH1104" t="s">
        <v>40</v>
      </c>
      <c r="AI1104" t="s">
        <v>41</v>
      </c>
    </row>
    <row r="1105" spans="1:35" x14ac:dyDescent="0.25">
      <c r="A1105" t="s">
        <v>207</v>
      </c>
      <c r="B1105" t="s">
        <v>59</v>
      </c>
      <c r="C1105" t="s">
        <v>37</v>
      </c>
      <c r="D1105" t="s">
        <v>1440</v>
      </c>
      <c r="E1105" t="s">
        <v>39</v>
      </c>
      <c r="F1105" t="s">
        <v>128</v>
      </c>
      <c r="G1105" t="s">
        <v>47</v>
      </c>
      <c r="H1105" t="s">
        <v>42</v>
      </c>
      <c r="I1105" t="s">
        <v>40</v>
      </c>
      <c r="J1105" t="s">
        <v>3454</v>
      </c>
      <c r="K1105" t="s">
        <v>45</v>
      </c>
      <c r="L1105" t="s">
        <v>43</v>
      </c>
      <c r="M1105" t="s">
        <v>163</v>
      </c>
      <c r="N1105" t="s">
        <v>45</v>
      </c>
      <c r="O1105" t="s">
        <v>41</v>
      </c>
      <c r="P1105" t="s">
        <v>46</v>
      </c>
      <c r="Q1105" t="s">
        <v>45</v>
      </c>
      <c r="R1105" t="s">
        <v>109</v>
      </c>
      <c r="S1105" t="s">
        <v>3455</v>
      </c>
      <c r="T1105" t="s">
        <v>3456</v>
      </c>
      <c r="U1105" t="s">
        <v>51</v>
      </c>
      <c r="V1105" t="s">
        <v>52</v>
      </c>
      <c r="W1105" t="s">
        <v>59</v>
      </c>
      <c r="X1105" t="s">
        <v>129</v>
      </c>
      <c r="Y1105" t="s">
        <v>45</v>
      </c>
      <c r="Z1105" t="s">
        <v>45</v>
      </c>
      <c r="AA1105" t="s">
        <v>54</v>
      </c>
      <c r="AB1105" t="s">
        <v>40</v>
      </c>
      <c r="AC1105" t="s">
        <v>145</v>
      </c>
      <c r="AD1105" t="s">
        <v>41</v>
      </c>
      <c r="AE1105" t="s">
        <v>45</v>
      </c>
      <c r="AF1105" t="s">
        <v>51</v>
      </c>
      <c r="AG1105" t="s">
        <v>71</v>
      </c>
      <c r="AH1105" t="s">
        <v>71</v>
      </c>
      <c r="AI1105" t="s">
        <v>71</v>
      </c>
    </row>
    <row r="1106" spans="1:35" x14ac:dyDescent="0.25">
      <c r="A1106" t="s">
        <v>133</v>
      </c>
      <c r="B1106" t="s">
        <v>59</v>
      </c>
      <c r="C1106" t="s">
        <v>37</v>
      </c>
      <c r="D1106" t="s">
        <v>3457</v>
      </c>
      <c r="E1106" t="s">
        <v>62</v>
      </c>
      <c r="F1106" t="s">
        <v>91</v>
      </c>
      <c r="G1106" t="s">
        <v>45</v>
      </c>
      <c r="H1106" t="s">
        <v>42</v>
      </c>
      <c r="I1106" t="s">
        <v>40</v>
      </c>
      <c r="J1106" t="s">
        <v>3458</v>
      </c>
      <c r="K1106" t="s">
        <v>45</v>
      </c>
      <c r="L1106" t="s">
        <v>63</v>
      </c>
      <c r="M1106" t="s">
        <v>364</v>
      </c>
      <c r="N1106" t="s">
        <v>47</v>
      </c>
      <c r="O1106" t="s">
        <v>40</v>
      </c>
      <c r="P1106" t="s">
        <v>65</v>
      </c>
      <c r="Q1106" t="s">
        <v>45</v>
      </c>
      <c r="R1106" t="s">
        <v>66</v>
      </c>
      <c r="S1106" t="s">
        <v>729</v>
      </c>
      <c r="T1106" t="s">
        <v>3459</v>
      </c>
      <c r="U1106" t="s">
        <v>56</v>
      </c>
      <c r="V1106" t="s">
        <v>52</v>
      </c>
      <c r="W1106" t="s">
        <v>59</v>
      </c>
      <c r="X1106" t="s">
        <v>145</v>
      </c>
      <c r="Y1106" t="s">
        <v>45</v>
      </c>
      <c r="Z1106" t="s">
        <v>40</v>
      </c>
      <c r="AA1106" t="s">
        <v>54</v>
      </c>
      <c r="AB1106" t="s">
        <v>41</v>
      </c>
      <c r="AC1106" t="s">
        <v>57</v>
      </c>
      <c r="AD1106" t="s">
        <v>41</v>
      </c>
      <c r="AE1106" t="s">
        <v>41</v>
      </c>
      <c r="AF1106" t="s">
        <v>40</v>
      </c>
      <c r="AG1106" t="s">
        <v>55</v>
      </c>
      <c r="AH1106" t="s">
        <v>55</v>
      </c>
      <c r="AI1106" t="s">
        <v>55</v>
      </c>
    </row>
    <row r="1107" spans="1:35" x14ac:dyDescent="0.25">
      <c r="A1107" t="s">
        <v>80</v>
      </c>
      <c r="B1107" t="s">
        <v>59</v>
      </c>
      <c r="C1107" t="s">
        <v>37</v>
      </c>
      <c r="D1107" t="s">
        <v>892</v>
      </c>
      <c r="E1107" t="s">
        <v>39</v>
      </c>
      <c r="F1107" t="s">
        <v>51</v>
      </c>
      <c r="G1107" t="s">
        <v>47</v>
      </c>
      <c r="H1107" t="s">
        <v>42</v>
      </c>
      <c r="I1107" t="s">
        <v>40</v>
      </c>
      <c r="J1107" t="s">
        <v>3460</v>
      </c>
      <c r="K1107" t="s">
        <v>40</v>
      </c>
      <c r="L1107" t="s">
        <v>63</v>
      </c>
      <c r="M1107" t="s">
        <v>213</v>
      </c>
      <c r="N1107" t="s">
        <v>45</v>
      </c>
      <c r="O1107" t="s">
        <v>41</v>
      </c>
      <c r="P1107" t="s">
        <v>46</v>
      </c>
      <c r="Q1107" t="s">
        <v>40</v>
      </c>
      <c r="R1107" t="s">
        <v>66</v>
      </c>
      <c r="S1107" t="s">
        <v>3461</v>
      </c>
      <c r="T1107" t="s">
        <v>3462</v>
      </c>
      <c r="U1107" t="s">
        <v>41</v>
      </c>
      <c r="V1107" t="s">
        <v>52</v>
      </c>
      <c r="W1107" t="s">
        <v>59</v>
      </c>
      <c r="X1107" t="s">
        <v>98</v>
      </c>
      <c r="Y1107" t="s">
        <v>45</v>
      </c>
      <c r="Z1107" t="s">
        <v>47</v>
      </c>
      <c r="AA1107" t="s">
        <v>54</v>
      </c>
      <c r="AB1107" t="s">
        <v>40</v>
      </c>
      <c r="AC1107" t="s">
        <v>51</v>
      </c>
      <c r="AD1107" t="s">
        <v>56</v>
      </c>
      <c r="AE1107" t="s">
        <v>40</v>
      </c>
      <c r="AF1107" t="s">
        <v>41</v>
      </c>
      <c r="AG1107" t="s">
        <v>41</v>
      </c>
      <c r="AH1107" t="s">
        <v>41</v>
      </c>
      <c r="AI1107" t="s">
        <v>41</v>
      </c>
    </row>
    <row r="1108" spans="1:35" x14ac:dyDescent="0.25">
      <c r="A1108" t="s">
        <v>105</v>
      </c>
      <c r="B1108" t="s">
        <v>36</v>
      </c>
      <c r="C1108" t="s">
        <v>37</v>
      </c>
      <c r="D1108" t="s">
        <v>3463</v>
      </c>
      <c r="E1108" t="s">
        <v>39</v>
      </c>
      <c r="F1108" t="s">
        <v>40</v>
      </c>
      <c r="G1108" t="s">
        <v>45</v>
      </c>
      <c r="H1108" t="s">
        <v>42</v>
      </c>
      <c r="I1108" t="s">
        <v>40</v>
      </c>
      <c r="J1108" t="s">
        <v>3464</v>
      </c>
      <c r="K1108" t="s">
        <v>41</v>
      </c>
      <c r="L1108" t="s">
        <v>63</v>
      </c>
      <c r="M1108" t="s">
        <v>292</v>
      </c>
      <c r="N1108" t="s">
        <v>41</v>
      </c>
      <c r="O1108" t="s">
        <v>41</v>
      </c>
      <c r="P1108" t="s">
        <v>46</v>
      </c>
      <c r="Q1108" t="s">
        <v>40</v>
      </c>
      <c r="R1108" t="s">
        <v>66</v>
      </c>
      <c r="S1108" t="s">
        <v>3465</v>
      </c>
      <c r="T1108" t="s">
        <v>3466</v>
      </c>
      <c r="U1108" t="s">
        <v>40</v>
      </c>
      <c r="V1108" t="s">
        <v>52</v>
      </c>
      <c r="W1108" t="s">
        <v>59</v>
      </c>
      <c r="X1108" t="s">
        <v>53</v>
      </c>
      <c r="Y1108" t="s">
        <v>45</v>
      </c>
      <c r="Z1108" t="s">
        <v>47</v>
      </c>
      <c r="AA1108" t="s">
        <v>54</v>
      </c>
      <c r="AB1108" t="s">
        <v>40</v>
      </c>
      <c r="AC1108" t="s">
        <v>70</v>
      </c>
      <c r="AD1108" t="s">
        <v>47</v>
      </c>
      <c r="AE1108" t="s">
        <v>45</v>
      </c>
      <c r="AF1108" t="s">
        <v>70</v>
      </c>
      <c r="AG1108" t="s">
        <v>51</v>
      </c>
      <c r="AH1108" t="s">
        <v>56</v>
      </c>
      <c r="AI1108" t="s">
        <v>71</v>
      </c>
    </row>
    <row r="1109" spans="1:35" x14ac:dyDescent="0.25">
      <c r="A1109" t="s">
        <v>113</v>
      </c>
      <c r="B1109" t="s">
        <v>59</v>
      </c>
      <c r="C1109" t="s">
        <v>60</v>
      </c>
      <c r="D1109" t="s">
        <v>2259</v>
      </c>
      <c r="E1109" t="s">
        <v>397</v>
      </c>
      <c r="F1109" t="s">
        <v>70</v>
      </c>
      <c r="G1109" t="s">
        <v>47</v>
      </c>
      <c r="H1109" t="s">
        <v>397</v>
      </c>
      <c r="I1109" t="s">
        <v>40</v>
      </c>
      <c r="J1109" t="s">
        <v>3359</v>
      </c>
      <c r="K1109" t="s">
        <v>45</v>
      </c>
      <c r="L1109" t="s">
        <v>63</v>
      </c>
      <c r="M1109" t="s">
        <v>315</v>
      </c>
      <c r="N1109" t="s">
        <v>45</v>
      </c>
      <c r="O1109" t="s">
        <v>41</v>
      </c>
      <c r="P1109" t="s">
        <v>397</v>
      </c>
      <c r="Q1109" t="s">
        <v>45</v>
      </c>
      <c r="R1109" t="s">
        <v>66</v>
      </c>
      <c r="S1109" t="s">
        <v>3467</v>
      </c>
      <c r="T1109" t="s">
        <v>1947</v>
      </c>
      <c r="U1109" t="s">
        <v>45</v>
      </c>
      <c r="V1109" t="s">
        <v>52</v>
      </c>
      <c r="W1109" t="s">
        <v>59</v>
      </c>
      <c r="X1109" t="s">
        <v>53</v>
      </c>
      <c r="Y1109" t="s">
        <v>45</v>
      </c>
      <c r="Z1109" t="s">
        <v>45</v>
      </c>
      <c r="AA1109" t="s">
        <v>54</v>
      </c>
      <c r="AB1109" t="s">
        <v>55</v>
      </c>
      <c r="AC1109" t="s">
        <v>70</v>
      </c>
      <c r="AD1109" t="s">
        <v>41</v>
      </c>
      <c r="AE1109" t="s">
        <v>45</v>
      </c>
      <c r="AF1109" t="s">
        <v>56</v>
      </c>
      <c r="AG1109" t="s">
        <v>45</v>
      </c>
      <c r="AH1109" t="s">
        <v>40</v>
      </c>
      <c r="AI1109" t="s">
        <v>41</v>
      </c>
    </row>
    <row r="1110" spans="1:35" x14ac:dyDescent="0.25">
      <c r="A1110" t="s">
        <v>126</v>
      </c>
      <c r="B1110" t="s">
        <v>59</v>
      </c>
      <c r="C1110" t="s">
        <v>37</v>
      </c>
      <c r="D1110" t="s">
        <v>910</v>
      </c>
      <c r="E1110" t="s">
        <v>62</v>
      </c>
      <c r="F1110" t="s">
        <v>40</v>
      </c>
      <c r="G1110" t="s">
        <v>45</v>
      </c>
      <c r="H1110" t="s">
        <v>87</v>
      </c>
      <c r="I1110" t="s">
        <v>40</v>
      </c>
      <c r="J1110" t="s">
        <v>3468</v>
      </c>
      <c r="K1110" t="s">
        <v>47</v>
      </c>
      <c r="L1110" t="s">
        <v>63</v>
      </c>
      <c r="M1110" t="s">
        <v>300</v>
      </c>
      <c r="N1110" t="s">
        <v>41</v>
      </c>
      <c r="O1110" t="s">
        <v>40</v>
      </c>
      <c r="P1110" t="s">
        <v>76</v>
      </c>
      <c r="Q1110" t="s">
        <v>40</v>
      </c>
      <c r="R1110" t="s">
        <v>48</v>
      </c>
      <c r="S1110" t="s">
        <v>2012</v>
      </c>
      <c r="T1110" t="s">
        <v>3469</v>
      </c>
      <c r="U1110" t="s">
        <v>40</v>
      </c>
      <c r="V1110" t="s">
        <v>52</v>
      </c>
      <c r="W1110" t="s">
        <v>59</v>
      </c>
      <c r="X1110" t="s">
        <v>144</v>
      </c>
      <c r="Y1110" t="s">
        <v>45</v>
      </c>
      <c r="Z1110" t="s">
        <v>41</v>
      </c>
      <c r="AA1110" t="s">
        <v>54</v>
      </c>
      <c r="AB1110" t="s">
        <v>55</v>
      </c>
      <c r="AC1110" t="s">
        <v>45</v>
      </c>
      <c r="AD1110" t="s">
        <v>45</v>
      </c>
      <c r="AE1110" t="s">
        <v>45</v>
      </c>
      <c r="AF1110" t="s">
        <v>45</v>
      </c>
      <c r="AG1110" t="s">
        <v>55</v>
      </c>
      <c r="AH1110" t="s">
        <v>40</v>
      </c>
      <c r="AI1110" t="s">
        <v>41</v>
      </c>
    </row>
    <row r="1111" spans="1:35" x14ac:dyDescent="0.25">
      <c r="A1111" t="s">
        <v>105</v>
      </c>
      <c r="B1111" t="s">
        <v>59</v>
      </c>
      <c r="C1111" t="s">
        <v>37</v>
      </c>
      <c r="D1111" t="s">
        <v>3010</v>
      </c>
      <c r="E1111" t="s">
        <v>39</v>
      </c>
      <c r="F1111" t="s">
        <v>133</v>
      </c>
      <c r="G1111" t="s">
        <v>47</v>
      </c>
      <c r="H1111" t="s">
        <v>228</v>
      </c>
      <c r="I1111" t="s">
        <v>40</v>
      </c>
      <c r="J1111" t="s">
        <v>3470</v>
      </c>
      <c r="K1111" t="s">
        <v>45</v>
      </c>
      <c r="L1111" t="s">
        <v>63</v>
      </c>
      <c r="M1111" t="s">
        <v>80</v>
      </c>
      <c r="N1111" t="s">
        <v>45</v>
      </c>
      <c r="O1111" t="s">
        <v>45</v>
      </c>
      <c r="P1111" t="s">
        <v>46</v>
      </c>
      <c r="Q1111" t="s">
        <v>41</v>
      </c>
      <c r="R1111" t="s">
        <v>66</v>
      </c>
      <c r="S1111" t="s">
        <v>2204</v>
      </c>
      <c r="T1111" t="s">
        <v>3471</v>
      </c>
      <c r="U1111" t="s">
        <v>45</v>
      </c>
      <c r="V1111" t="s">
        <v>52</v>
      </c>
      <c r="W1111" t="s">
        <v>59</v>
      </c>
      <c r="X1111" t="s">
        <v>92</v>
      </c>
      <c r="Y1111" t="s">
        <v>45</v>
      </c>
      <c r="Z1111" t="s">
        <v>41</v>
      </c>
      <c r="AA1111" t="s">
        <v>54</v>
      </c>
      <c r="AB1111" t="s">
        <v>40</v>
      </c>
      <c r="AC1111" t="s">
        <v>91</v>
      </c>
      <c r="AD1111" t="s">
        <v>45</v>
      </c>
      <c r="AE1111" t="s">
        <v>45</v>
      </c>
      <c r="AF1111" t="s">
        <v>47</v>
      </c>
      <c r="AG1111" t="s">
        <v>41</v>
      </c>
      <c r="AH1111" t="s">
        <v>40</v>
      </c>
      <c r="AI1111" t="s">
        <v>45</v>
      </c>
    </row>
    <row r="1112" spans="1:35" x14ac:dyDescent="0.25">
      <c r="A1112" t="s">
        <v>126</v>
      </c>
      <c r="B1112" t="s">
        <v>36</v>
      </c>
      <c r="C1112" t="s">
        <v>37</v>
      </c>
      <c r="D1112" t="s">
        <v>400</v>
      </c>
      <c r="E1112" t="s">
        <v>62</v>
      </c>
      <c r="F1112" t="s">
        <v>41</v>
      </c>
      <c r="G1112" t="s">
        <v>45</v>
      </c>
      <c r="H1112" t="s">
        <v>42</v>
      </c>
      <c r="I1112" t="s">
        <v>40</v>
      </c>
      <c r="J1112" t="s">
        <v>3472</v>
      </c>
      <c r="K1112" t="s">
        <v>40</v>
      </c>
      <c r="L1112" t="s">
        <v>43</v>
      </c>
      <c r="M1112" t="s">
        <v>1214</v>
      </c>
      <c r="N1112" t="s">
        <v>45</v>
      </c>
      <c r="O1112" t="s">
        <v>40</v>
      </c>
      <c r="P1112" t="s">
        <v>76</v>
      </c>
      <c r="Q1112" t="s">
        <v>40</v>
      </c>
      <c r="R1112" t="s">
        <v>109</v>
      </c>
      <c r="S1112" t="s">
        <v>3473</v>
      </c>
      <c r="T1112" t="s">
        <v>3474</v>
      </c>
      <c r="U1112" t="s">
        <v>40</v>
      </c>
      <c r="V1112" t="s">
        <v>52</v>
      </c>
      <c r="W1112" t="s">
        <v>36</v>
      </c>
      <c r="X1112" t="s">
        <v>92</v>
      </c>
      <c r="Y1112" t="s">
        <v>45</v>
      </c>
      <c r="Z1112" t="s">
        <v>47</v>
      </c>
      <c r="AA1112" t="s">
        <v>54</v>
      </c>
      <c r="AB1112" t="s">
        <v>40</v>
      </c>
      <c r="AC1112" t="s">
        <v>40</v>
      </c>
      <c r="AD1112" t="s">
        <v>41</v>
      </c>
      <c r="AE1112" t="s">
        <v>45</v>
      </c>
      <c r="AF1112" t="s">
        <v>40</v>
      </c>
      <c r="AG1112" t="s">
        <v>55</v>
      </c>
      <c r="AH1112" t="s">
        <v>55</v>
      </c>
      <c r="AI1112" t="s">
        <v>55</v>
      </c>
    </row>
    <row r="1113" spans="1:35" x14ac:dyDescent="0.25">
      <c r="A1113" t="s">
        <v>166</v>
      </c>
      <c r="B1113" t="s">
        <v>36</v>
      </c>
      <c r="C1113" t="s">
        <v>37</v>
      </c>
      <c r="D1113" t="s">
        <v>2241</v>
      </c>
      <c r="E1113" t="s">
        <v>62</v>
      </c>
      <c r="F1113" t="s">
        <v>41</v>
      </c>
      <c r="G1113" t="s">
        <v>57</v>
      </c>
      <c r="H1113" t="s">
        <v>228</v>
      </c>
      <c r="I1113" t="s">
        <v>40</v>
      </c>
      <c r="J1113" t="s">
        <v>3475</v>
      </c>
      <c r="K1113" t="s">
        <v>45</v>
      </c>
      <c r="L1113" t="s">
        <v>43</v>
      </c>
      <c r="M1113" t="s">
        <v>168</v>
      </c>
      <c r="N1113" t="s">
        <v>41</v>
      </c>
      <c r="O1113" t="s">
        <v>45</v>
      </c>
      <c r="P1113" t="s">
        <v>116</v>
      </c>
      <c r="Q1113" t="s">
        <v>47</v>
      </c>
      <c r="R1113" t="s">
        <v>66</v>
      </c>
      <c r="S1113" t="s">
        <v>3476</v>
      </c>
      <c r="T1113" t="s">
        <v>3477</v>
      </c>
      <c r="U1113" t="s">
        <v>55</v>
      </c>
      <c r="V1113" t="s">
        <v>52</v>
      </c>
      <c r="W1113" t="s">
        <v>59</v>
      </c>
      <c r="X1113" t="s">
        <v>128</v>
      </c>
      <c r="Y1113" t="s">
        <v>45</v>
      </c>
      <c r="Z1113" t="s">
        <v>41</v>
      </c>
      <c r="AA1113" t="s">
        <v>54</v>
      </c>
      <c r="AB1113" t="s">
        <v>40</v>
      </c>
      <c r="AC1113" t="s">
        <v>142</v>
      </c>
      <c r="AD1113" t="s">
        <v>47</v>
      </c>
      <c r="AE1113" t="s">
        <v>45</v>
      </c>
      <c r="AF1113" t="s">
        <v>80</v>
      </c>
      <c r="AG1113" t="s">
        <v>71</v>
      </c>
      <c r="AH1113" t="s">
        <v>40</v>
      </c>
      <c r="AI1113" t="s">
        <v>91</v>
      </c>
    </row>
    <row r="1114" spans="1:35" x14ac:dyDescent="0.25">
      <c r="A1114" t="s">
        <v>113</v>
      </c>
      <c r="B1114" t="s">
        <v>36</v>
      </c>
      <c r="C1114" t="s">
        <v>37</v>
      </c>
      <c r="D1114" t="s">
        <v>2290</v>
      </c>
      <c r="E1114" t="s">
        <v>62</v>
      </c>
      <c r="F1114" t="s">
        <v>41</v>
      </c>
      <c r="G1114" t="s">
        <v>45</v>
      </c>
      <c r="H1114" t="s">
        <v>87</v>
      </c>
      <c r="I1114" t="s">
        <v>40</v>
      </c>
      <c r="J1114" t="s">
        <v>3478</v>
      </c>
      <c r="K1114" t="s">
        <v>45</v>
      </c>
      <c r="L1114" t="s">
        <v>63</v>
      </c>
      <c r="M1114" t="s">
        <v>101</v>
      </c>
      <c r="N1114" t="s">
        <v>45</v>
      </c>
      <c r="O1114" t="s">
        <v>41</v>
      </c>
      <c r="P1114" t="s">
        <v>116</v>
      </c>
      <c r="Q1114" t="s">
        <v>41</v>
      </c>
      <c r="R1114" t="s">
        <v>66</v>
      </c>
      <c r="S1114" t="s">
        <v>3479</v>
      </c>
      <c r="T1114" t="s">
        <v>3480</v>
      </c>
      <c r="U1114" t="s">
        <v>47</v>
      </c>
      <c r="V1114" t="s">
        <v>52</v>
      </c>
      <c r="W1114" t="s">
        <v>59</v>
      </c>
      <c r="X1114" t="s">
        <v>53</v>
      </c>
      <c r="Y1114" t="s">
        <v>45</v>
      </c>
      <c r="Z1114" t="s">
        <v>40</v>
      </c>
      <c r="AA1114" t="s">
        <v>54</v>
      </c>
      <c r="AB1114" t="s">
        <v>41</v>
      </c>
      <c r="AC1114" t="s">
        <v>71</v>
      </c>
      <c r="AD1114" t="s">
        <v>41</v>
      </c>
      <c r="AE1114" t="s">
        <v>45</v>
      </c>
      <c r="AF1114" t="s">
        <v>57</v>
      </c>
      <c r="AG1114" t="s">
        <v>41</v>
      </c>
      <c r="AH1114" t="s">
        <v>40</v>
      </c>
      <c r="AI1114" t="s">
        <v>47</v>
      </c>
    </row>
    <row r="1115" spans="1:35" x14ac:dyDescent="0.25">
      <c r="A1115" t="s">
        <v>93</v>
      </c>
      <c r="B1115" t="s">
        <v>59</v>
      </c>
      <c r="C1115" t="s">
        <v>161</v>
      </c>
      <c r="D1115" t="s">
        <v>1215</v>
      </c>
      <c r="E1115" t="s">
        <v>62</v>
      </c>
      <c r="F1115" t="s">
        <v>40</v>
      </c>
      <c r="G1115" t="s">
        <v>47</v>
      </c>
      <c r="H1115" t="s">
        <v>228</v>
      </c>
      <c r="I1115" t="s">
        <v>40</v>
      </c>
      <c r="J1115" t="s">
        <v>3481</v>
      </c>
      <c r="K1115" t="s">
        <v>47</v>
      </c>
      <c r="L1115" t="s">
        <v>63</v>
      </c>
      <c r="M1115" t="s">
        <v>283</v>
      </c>
      <c r="N1115" t="s">
        <v>45</v>
      </c>
      <c r="O1115" t="s">
        <v>41</v>
      </c>
      <c r="P1115" t="s">
        <v>65</v>
      </c>
      <c r="Q1115" t="s">
        <v>40</v>
      </c>
      <c r="R1115" t="s">
        <v>66</v>
      </c>
      <c r="S1115" t="s">
        <v>3482</v>
      </c>
      <c r="T1115" t="s">
        <v>3483</v>
      </c>
      <c r="U1115" t="s">
        <v>47</v>
      </c>
      <c r="V1115" t="s">
        <v>52</v>
      </c>
      <c r="W1115" t="s">
        <v>59</v>
      </c>
      <c r="X1115" t="s">
        <v>129</v>
      </c>
      <c r="Y1115" t="s">
        <v>45</v>
      </c>
      <c r="Z1115" t="s">
        <v>41</v>
      </c>
      <c r="AA1115" t="s">
        <v>54</v>
      </c>
      <c r="AB1115" t="s">
        <v>40</v>
      </c>
      <c r="AC1115" t="s">
        <v>91</v>
      </c>
      <c r="AD1115" t="s">
        <v>45</v>
      </c>
      <c r="AE1115" t="s">
        <v>41</v>
      </c>
      <c r="AF1115" t="s">
        <v>56</v>
      </c>
      <c r="AG1115" t="s">
        <v>57</v>
      </c>
      <c r="AH1115" t="s">
        <v>40</v>
      </c>
      <c r="AI1115" t="s">
        <v>41</v>
      </c>
    </row>
    <row r="1116" spans="1:35" x14ac:dyDescent="0.25">
      <c r="A1116" t="s">
        <v>207</v>
      </c>
      <c r="B1116" t="s">
        <v>59</v>
      </c>
      <c r="C1116" t="s">
        <v>37</v>
      </c>
      <c r="D1116" t="s">
        <v>2691</v>
      </c>
      <c r="E1116" t="s">
        <v>62</v>
      </c>
      <c r="F1116" t="s">
        <v>79</v>
      </c>
      <c r="G1116" t="s">
        <v>47</v>
      </c>
      <c r="H1116" t="s">
        <v>74</v>
      </c>
      <c r="I1116" t="s">
        <v>40</v>
      </c>
      <c r="J1116" t="s">
        <v>3484</v>
      </c>
      <c r="K1116" t="s">
        <v>45</v>
      </c>
      <c r="L1116" t="s">
        <v>43</v>
      </c>
      <c r="M1116" t="s">
        <v>296</v>
      </c>
      <c r="N1116" t="s">
        <v>45</v>
      </c>
      <c r="O1116" t="s">
        <v>40</v>
      </c>
      <c r="P1116" t="s">
        <v>65</v>
      </c>
      <c r="Q1116" t="s">
        <v>40</v>
      </c>
      <c r="R1116" t="s">
        <v>66</v>
      </c>
      <c r="S1116" t="s">
        <v>3485</v>
      </c>
      <c r="T1116" t="s">
        <v>3486</v>
      </c>
      <c r="U1116" t="s">
        <v>51</v>
      </c>
      <c r="V1116" t="s">
        <v>52</v>
      </c>
      <c r="W1116" t="s">
        <v>59</v>
      </c>
      <c r="X1116" t="s">
        <v>92</v>
      </c>
      <c r="Y1116" t="s">
        <v>45</v>
      </c>
      <c r="Z1116" t="s">
        <v>47</v>
      </c>
      <c r="AA1116" t="s">
        <v>54</v>
      </c>
      <c r="AB1116" t="s">
        <v>40</v>
      </c>
      <c r="AC1116" t="s">
        <v>70</v>
      </c>
      <c r="AD1116" t="s">
        <v>45</v>
      </c>
      <c r="AE1116" t="s">
        <v>41</v>
      </c>
      <c r="AF1116" t="s">
        <v>51</v>
      </c>
      <c r="AG1116" t="s">
        <v>41</v>
      </c>
      <c r="AH1116" t="s">
        <v>71</v>
      </c>
      <c r="AI1116" t="s">
        <v>56</v>
      </c>
    </row>
    <row r="1117" spans="1:35" x14ac:dyDescent="0.25">
      <c r="A1117" t="s">
        <v>142</v>
      </c>
      <c r="B1117" t="s">
        <v>59</v>
      </c>
      <c r="C1117" t="s">
        <v>37</v>
      </c>
      <c r="D1117" t="s">
        <v>1409</v>
      </c>
      <c r="E1117" t="s">
        <v>62</v>
      </c>
      <c r="F1117" t="s">
        <v>71</v>
      </c>
      <c r="G1117" t="s">
        <v>47</v>
      </c>
      <c r="H1117" t="s">
        <v>87</v>
      </c>
      <c r="I1117" t="s">
        <v>40</v>
      </c>
      <c r="J1117" t="s">
        <v>3487</v>
      </c>
      <c r="K1117" t="s">
        <v>40</v>
      </c>
      <c r="L1117" t="s">
        <v>63</v>
      </c>
      <c r="M1117" t="s">
        <v>126</v>
      </c>
      <c r="N1117" t="s">
        <v>45</v>
      </c>
      <c r="O1117" t="s">
        <v>40</v>
      </c>
      <c r="P1117" t="s">
        <v>65</v>
      </c>
      <c r="Q1117" t="s">
        <v>47</v>
      </c>
      <c r="R1117" t="s">
        <v>48</v>
      </c>
      <c r="S1117" t="s">
        <v>3488</v>
      </c>
      <c r="T1117" t="s">
        <v>3489</v>
      </c>
      <c r="U1117" t="s">
        <v>40</v>
      </c>
      <c r="V1117" t="s">
        <v>52</v>
      </c>
      <c r="W1117" t="s">
        <v>59</v>
      </c>
      <c r="X1117" t="s">
        <v>98</v>
      </c>
      <c r="Y1117" t="s">
        <v>45</v>
      </c>
      <c r="Z1117" t="s">
        <v>45</v>
      </c>
      <c r="AA1117" t="s">
        <v>54</v>
      </c>
      <c r="AB1117" t="s">
        <v>55</v>
      </c>
      <c r="AC1117" t="s">
        <v>40</v>
      </c>
      <c r="AD1117" t="s">
        <v>47</v>
      </c>
      <c r="AE1117" t="s">
        <v>40</v>
      </c>
      <c r="AF1117" t="s">
        <v>40</v>
      </c>
      <c r="AG1117" t="s">
        <v>55</v>
      </c>
      <c r="AH1117" t="s">
        <v>55</v>
      </c>
      <c r="AI1117" t="s">
        <v>55</v>
      </c>
    </row>
    <row r="1118" spans="1:35" x14ac:dyDescent="0.25">
      <c r="A1118" t="s">
        <v>263</v>
      </c>
      <c r="B1118" t="s">
        <v>59</v>
      </c>
      <c r="C1118" t="s">
        <v>37</v>
      </c>
      <c r="D1118" t="s">
        <v>1046</v>
      </c>
      <c r="E1118" t="s">
        <v>39</v>
      </c>
      <c r="F1118" t="s">
        <v>139</v>
      </c>
      <c r="G1118" t="s">
        <v>57</v>
      </c>
      <c r="H1118" t="s">
        <v>206</v>
      </c>
      <c r="I1118" t="s">
        <v>40</v>
      </c>
      <c r="J1118" t="s">
        <v>3490</v>
      </c>
      <c r="K1118" t="s">
        <v>45</v>
      </c>
      <c r="L1118" t="s">
        <v>63</v>
      </c>
      <c r="M1118" t="s">
        <v>275</v>
      </c>
      <c r="N1118" t="s">
        <v>41</v>
      </c>
      <c r="O1118" t="s">
        <v>57</v>
      </c>
      <c r="P1118" t="s">
        <v>169</v>
      </c>
      <c r="Q1118" t="s">
        <v>47</v>
      </c>
      <c r="R1118" t="s">
        <v>66</v>
      </c>
      <c r="S1118" t="s">
        <v>3491</v>
      </c>
      <c r="T1118" t="s">
        <v>3492</v>
      </c>
      <c r="U1118" t="s">
        <v>40</v>
      </c>
      <c r="V1118" t="s">
        <v>52</v>
      </c>
      <c r="W1118" t="s">
        <v>59</v>
      </c>
      <c r="X1118" t="s">
        <v>119</v>
      </c>
      <c r="Y1118" t="s">
        <v>47</v>
      </c>
      <c r="Z1118" t="s">
        <v>45</v>
      </c>
      <c r="AA1118" t="s">
        <v>54</v>
      </c>
      <c r="AB1118" t="s">
        <v>40</v>
      </c>
      <c r="AC1118" t="s">
        <v>120</v>
      </c>
      <c r="AD1118" t="s">
        <v>45</v>
      </c>
      <c r="AE1118" t="s">
        <v>45</v>
      </c>
      <c r="AF1118" t="s">
        <v>120</v>
      </c>
      <c r="AG1118" t="s">
        <v>56</v>
      </c>
      <c r="AH1118" t="s">
        <v>41</v>
      </c>
      <c r="AI1118" t="s">
        <v>98</v>
      </c>
    </row>
    <row r="1119" spans="1:35" x14ac:dyDescent="0.25">
      <c r="A1119" t="s">
        <v>142</v>
      </c>
      <c r="B1119" t="s">
        <v>59</v>
      </c>
      <c r="C1119" t="s">
        <v>37</v>
      </c>
      <c r="D1119" t="s">
        <v>3493</v>
      </c>
      <c r="E1119" t="s">
        <v>62</v>
      </c>
      <c r="F1119" t="s">
        <v>40</v>
      </c>
      <c r="G1119" t="s">
        <v>47</v>
      </c>
      <c r="H1119" t="s">
        <v>42</v>
      </c>
      <c r="I1119" t="s">
        <v>40</v>
      </c>
      <c r="J1119" t="s">
        <v>3494</v>
      </c>
      <c r="K1119" t="s">
        <v>41</v>
      </c>
      <c r="L1119" t="s">
        <v>63</v>
      </c>
      <c r="M1119" t="s">
        <v>174</v>
      </c>
      <c r="N1119" t="s">
        <v>45</v>
      </c>
      <c r="O1119" t="s">
        <v>41</v>
      </c>
      <c r="P1119" t="s">
        <v>65</v>
      </c>
      <c r="Q1119" t="s">
        <v>47</v>
      </c>
      <c r="R1119" t="s">
        <v>66</v>
      </c>
      <c r="S1119" t="s">
        <v>1232</v>
      </c>
      <c r="T1119" t="s">
        <v>2401</v>
      </c>
      <c r="U1119" t="s">
        <v>91</v>
      </c>
      <c r="V1119" t="s">
        <v>52</v>
      </c>
      <c r="W1119" t="s">
        <v>59</v>
      </c>
      <c r="X1119" t="s">
        <v>125</v>
      </c>
      <c r="Y1119" t="s">
        <v>45</v>
      </c>
      <c r="Z1119" t="s">
        <v>41</v>
      </c>
      <c r="AA1119" t="s">
        <v>54</v>
      </c>
      <c r="AB1119" t="s">
        <v>40</v>
      </c>
      <c r="AC1119" t="s">
        <v>91</v>
      </c>
      <c r="AD1119" t="s">
        <v>45</v>
      </c>
      <c r="AE1119" t="s">
        <v>41</v>
      </c>
      <c r="AF1119" t="s">
        <v>41</v>
      </c>
      <c r="AG1119" t="s">
        <v>41</v>
      </c>
      <c r="AH1119" t="s">
        <v>41</v>
      </c>
      <c r="AI1119" t="s">
        <v>40</v>
      </c>
    </row>
    <row r="1120" spans="1:35" x14ac:dyDescent="0.25">
      <c r="A1120" t="s">
        <v>139</v>
      </c>
      <c r="B1120" t="s">
        <v>59</v>
      </c>
      <c r="C1120" t="s">
        <v>37</v>
      </c>
      <c r="D1120" t="s">
        <v>1391</v>
      </c>
      <c r="E1120" t="s">
        <v>62</v>
      </c>
      <c r="F1120" t="s">
        <v>45</v>
      </c>
      <c r="G1120" t="s">
        <v>45</v>
      </c>
      <c r="H1120" t="s">
        <v>42</v>
      </c>
      <c r="I1120" t="s">
        <v>40</v>
      </c>
      <c r="J1120" t="s">
        <v>3495</v>
      </c>
      <c r="K1120" t="s">
        <v>40</v>
      </c>
      <c r="L1120" t="s">
        <v>43</v>
      </c>
      <c r="M1120" t="s">
        <v>959</v>
      </c>
      <c r="N1120" t="s">
        <v>45</v>
      </c>
      <c r="O1120" t="s">
        <v>40</v>
      </c>
      <c r="P1120" t="s">
        <v>65</v>
      </c>
      <c r="Q1120" t="s">
        <v>47</v>
      </c>
      <c r="R1120" t="s">
        <v>66</v>
      </c>
      <c r="S1120" t="s">
        <v>3496</v>
      </c>
      <c r="T1120" t="s">
        <v>3497</v>
      </c>
      <c r="U1120" t="s">
        <v>40</v>
      </c>
      <c r="V1120" t="s">
        <v>52</v>
      </c>
      <c r="W1120" t="s">
        <v>59</v>
      </c>
      <c r="X1120" t="s">
        <v>119</v>
      </c>
      <c r="Y1120" t="s">
        <v>47</v>
      </c>
      <c r="Z1120" t="s">
        <v>40</v>
      </c>
      <c r="AA1120" t="s">
        <v>54</v>
      </c>
      <c r="AB1120" t="s">
        <v>55</v>
      </c>
      <c r="AC1120" t="s">
        <v>40</v>
      </c>
      <c r="AD1120" t="s">
        <v>57</v>
      </c>
      <c r="AE1120" t="s">
        <v>45</v>
      </c>
      <c r="AF1120" t="s">
        <v>40</v>
      </c>
      <c r="AG1120" t="s">
        <v>55</v>
      </c>
      <c r="AH1120" t="s">
        <v>55</v>
      </c>
      <c r="AI1120" t="s">
        <v>55</v>
      </c>
    </row>
    <row r="1121" spans="1:35" x14ac:dyDescent="0.25">
      <c r="A1121" t="s">
        <v>113</v>
      </c>
      <c r="B1121" t="s">
        <v>59</v>
      </c>
      <c r="C1121" t="s">
        <v>37</v>
      </c>
      <c r="D1121" t="s">
        <v>1766</v>
      </c>
      <c r="E1121" t="s">
        <v>39</v>
      </c>
      <c r="F1121" t="s">
        <v>129</v>
      </c>
      <c r="G1121" t="s">
        <v>45</v>
      </c>
      <c r="H1121" t="s">
        <v>42</v>
      </c>
      <c r="I1121" t="s">
        <v>40</v>
      </c>
      <c r="J1121" t="s">
        <v>3498</v>
      </c>
      <c r="K1121" t="s">
        <v>45</v>
      </c>
      <c r="L1121" t="s">
        <v>63</v>
      </c>
      <c r="M1121" t="s">
        <v>54</v>
      </c>
      <c r="N1121" t="s">
        <v>45</v>
      </c>
      <c r="O1121" t="s">
        <v>41</v>
      </c>
      <c r="P1121" t="s">
        <v>46</v>
      </c>
      <c r="Q1121" t="s">
        <v>41</v>
      </c>
      <c r="R1121" t="s">
        <v>66</v>
      </c>
      <c r="S1121" t="s">
        <v>3499</v>
      </c>
      <c r="T1121" t="s">
        <v>2650</v>
      </c>
      <c r="U1121" t="s">
        <v>55</v>
      </c>
      <c r="V1121" t="s">
        <v>52</v>
      </c>
      <c r="W1121" t="s">
        <v>59</v>
      </c>
      <c r="X1121" t="s">
        <v>53</v>
      </c>
      <c r="Y1121" t="s">
        <v>45</v>
      </c>
      <c r="Z1121" t="s">
        <v>47</v>
      </c>
      <c r="AA1121" t="s">
        <v>54</v>
      </c>
      <c r="AB1121" t="s">
        <v>40</v>
      </c>
      <c r="AC1121" t="s">
        <v>70</v>
      </c>
      <c r="AD1121" t="s">
        <v>45</v>
      </c>
      <c r="AE1121" t="s">
        <v>45</v>
      </c>
      <c r="AF1121" t="s">
        <v>91</v>
      </c>
      <c r="AG1121" t="s">
        <v>51</v>
      </c>
      <c r="AH1121" t="s">
        <v>71</v>
      </c>
      <c r="AI1121" t="s">
        <v>71</v>
      </c>
    </row>
    <row r="1122" spans="1:35" x14ac:dyDescent="0.25">
      <c r="A1122" t="s">
        <v>113</v>
      </c>
      <c r="B1122" t="s">
        <v>59</v>
      </c>
      <c r="C1122" t="s">
        <v>37</v>
      </c>
      <c r="D1122" t="s">
        <v>1280</v>
      </c>
      <c r="E1122" t="s">
        <v>39</v>
      </c>
      <c r="F1122" t="s">
        <v>128</v>
      </c>
      <c r="G1122" t="s">
        <v>45</v>
      </c>
      <c r="H1122" t="s">
        <v>42</v>
      </c>
      <c r="I1122" t="s">
        <v>40</v>
      </c>
      <c r="J1122" t="s">
        <v>3500</v>
      </c>
      <c r="K1122" t="s">
        <v>41</v>
      </c>
      <c r="L1122" t="s">
        <v>43</v>
      </c>
      <c r="M1122" t="s">
        <v>360</v>
      </c>
      <c r="N1122" t="s">
        <v>45</v>
      </c>
      <c r="O1122" t="s">
        <v>41</v>
      </c>
      <c r="P1122" t="s">
        <v>46</v>
      </c>
      <c r="Q1122" t="s">
        <v>41</v>
      </c>
      <c r="R1122" t="s">
        <v>48</v>
      </c>
      <c r="S1122" t="s">
        <v>3501</v>
      </c>
      <c r="T1122" t="s">
        <v>3502</v>
      </c>
      <c r="U1122" t="s">
        <v>41</v>
      </c>
      <c r="V1122" t="s">
        <v>52</v>
      </c>
      <c r="W1122" t="s">
        <v>59</v>
      </c>
      <c r="X1122" t="s">
        <v>92</v>
      </c>
      <c r="Y1122" t="s">
        <v>45</v>
      </c>
      <c r="Z1122" t="s">
        <v>41</v>
      </c>
      <c r="AA1122" t="s">
        <v>54</v>
      </c>
      <c r="AB1122" t="s">
        <v>55</v>
      </c>
      <c r="AC1122" t="s">
        <v>51</v>
      </c>
      <c r="AD1122" t="s">
        <v>57</v>
      </c>
      <c r="AE1122" t="s">
        <v>47</v>
      </c>
      <c r="AF1122" t="s">
        <v>45</v>
      </c>
      <c r="AG1122" t="s">
        <v>41</v>
      </c>
      <c r="AH1122" t="s">
        <v>40</v>
      </c>
      <c r="AI1122" t="s">
        <v>41</v>
      </c>
    </row>
    <row r="1123" spans="1:35" x14ac:dyDescent="0.25">
      <c r="A1123" t="s">
        <v>120</v>
      </c>
      <c r="B1123" t="s">
        <v>59</v>
      </c>
      <c r="C1123" t="s">
        <v>37</v>
      </c>
      <c r="D1123" t="s">
        <v>3503</v>
      </c>
      <c r="E1123" t="s">
        <v>39</v>
      </c>
      <c r="F1123" t="s">
        <v>40</v>
      </c>
      <c r="G1123" t="s">
        <v>47</v>
      </c>
      <c r="H1123" t="s">
        <v>42</v>
      </c>
      <c r="I1123" t="s">
        <v>40</v>
      </c>
      <c r="J1123" t="s">
        <v>3504</v>
      </c>
      <c r="K1123" t="s">
        <v>41</v>
      </c>
      <c r="L1123" t="s">
        <v>43</v>
      </c>
      <c r="M1123" t="s">
        <v>279</v>
      </c>
      <c r="N1123" t="s">
        <v>45</v>
      </c>
      <c r="O1123" t="s">
        <v>41</v>
      </c>
      <c r="P1123" t="s">
        <v>46</v>
      </c>
      <c r="Q1123" t="s">
        <v>45</v>
      </c>
      <c r="R1123" t="s">
        <v>48</v>
      </c>
      <c r="S1123" t="s">
        <v>3505</v>
      </c>
      <c r="T1123" t="s">
        <v>3506</v>
      </c>
      <c r="U1123" t="s">
        <v>56</v>
      </c>
      <c r="V1123" t="s">
        <v>52</v>
      </c>
      <c r="W1123" t="s">
        <v>59</v>
      </c>
      <c r="X1123" t="s">
        <v>98</v>
      </c>
      <c r="Y1123" t="s">
        <v>45</v>
      </c>
      <c r="Z1123" t="s">
        <v>40</v>
      </c>
      <c r="AA1123" t="s">
        <v>54</v>
      </c>
      <c r="AB1123" t="s">
        <v>55</v>
      </c>
      <c r="AC1123" t="s">
        <v>79</v>
      </c>
      <c r="AD1123" t="s">
        <v>57</v>
      </c>
      <c r="AE1123" t="s">
        <v>45</v>
      </c>
      <c r="AF1123" t="s">
        <v>40</v>
      </c>
      <c r="AG1123" t="s">
        <v>55</v>
      </c>
      <c r="AH1123" t="s">
        <v>55</v>
      </c>
      <c r="AI1123" t="s">
        <v>55</v>
      </c>
    </row>
    <row r="1124" spans="1:35" x14ac:dyDescent="0.25">
      <c r="A1124" t="s">
        <v>133</v>
      </c>
      <c r="B1124" t="s">
        <v>59</v>
      </c>
      <c r="C1124" t="s">
        <v>37</v>
      </c>
      <c r="D1124" t="s">
        <v>3507</v>
      </c>
      <c r="E1124" t="s">
        <v>62</v>
      </c>
      <c r="F1124" t="s">
        <v>45</v>
      </c>
      <c r="G1124" t="s">
        <v>40</v>
      </c>
      <c r="H1124" t="s">
        <v>87</v>
      </c>
      <c r="I1124" t="s">
        <v>40</v>
      </c>
      <c r="J1124" t="s">
        <v>3508</v>
      </c>
      <c r="K1124" t="s">
        <v>41</v>
      </c>
      <c r="L1124" t="s">
        <v>63</v>
      </c>
      <c r="M1124" t="s">
        <v>371</v>
      </c>
      <c r="N1124" t="s">
        <v>45</v>
      </c>
      <c r="O1124" t="s">
        <v>40</v>
      </c>
      <c r="P1124" t="s">
        <v>76</v>
      </c>
      <c r="Q1124" t="s">
        <v>40</v>
      </c>
      <c r="R1124" t="s">
        <v>48</v>
      </c>
      <c r="S1124" t="s">
        <v>3509</v>
      </c>
      <c r="T1124" t="s">
        <v>3510</v>
      </c>
      <c r="U1124" t="s">
        <v>40</v>
      </c>
      <c r="V1124" t="s">
        <v>52</v>
      </c>
      <c r="W1124" t="s">
        <v>36</v>
      </c>
      <c r="X1124" t="s">
        <v>145</v>
      </c>
      <c r="Y1124" t="s">
        <v>45</v>
      </c>
      <c r="Z1124" t="s">
        <v>47</v>
      </c>
      <c r="AA1124" t="s">
        <v>54</v>
      </c>
      <c r="AB1124" t="s">
        <v>55</v>
      </c>
      <c r="AC1124" t="s">
        <v>70</v>
      </c>
      <c r="AD1124" t="s">
        <v>45</v>
      </c>
      <c r="AE1124" t="s">
        <v>45</v>
      </c>
      <c r="AF1124" t="s">
        <v>70</v>
      </c>
      <c r="AG1124" t="s">
        <v>91</v>
      </c>
      <c r="AH1124" t="s">
        <v>40</v>
      </c>
      <c r="AI1124" t="s">
        <v>57</v>
      </c>
    </row>
    <row r="1125" spans="1:35" x14ac:dyDescent="0.25">
      <c r="A1125" t="s">
        <v>126</v>
      </c>
      <c r="B1125" t="s">
        <v>59</v>
      </c>
      <c r="C1125" t="s">
        <v>37</v>
      </c>
      <c r="D1125" t="s">
        <v>138</v>
      </c>
      <c r="E1125" t="s">
        <v>62</v>
      </c>
      <c r="F1125" t="s">
        <v>70</v>
      </c>
      <c r="G1125" t="s">
        <v>47</v>
      </c>
      <c r="H1125" t="s">
        <v>87</v>
      </c>
      <c r="I1125" t="s">
        <v>40</v>
      </c>
      <c r="J1125" t="s">
        <v>3511</v>
      </c>
      <c r="K1125" t="s">
        <v>40</v>
      </c>
      <c r="L1125" t="s">
        <v>43</v>
      </c>
      <c r="M1125" t="s">
        <v>155</v>
      </c>
      <c r="N1125" t="s">
        <v>45</v>
      </c>
      <c r="O1125" t="s">
        <v>41</v>
      </c>
      <c r="P1125" t="s">
        <v>122</v>
      </c>
      <c r="Q1125" t="s">
        <v>45</v>
      </c>
      <c r="R1125" t="s">
        <v>48</v>
      </c>
      <c r="S1125" t="s">
        <v>1990</v>
      </c>
      <c r="T1125" t="s">
        <v>2855</v>
      </c>
      <c r="U1125" t="s">
        <v>45</v>
      </c>
      <c r="V1125" t="s">
        <v>52</v>
      </c>
      <c r="W1125" t="s">
        <v>36</v>
      </c>
      <c r="X1125" t="s">
        <v>128</v>
      </c>
      <c r="Y1125" t="s">
        <v>45</v>
      </c>
      <c r="Z1125" t="s">
        <v>45</v>
      </c>
      <c r="AA1125" t="s">
        <v>54</v>
      </c>
      <c r="AB1125" t="s">
        <v>55</v>
      </c>
      <c r="AC1125" t="s">
        <v>70</v>
      </c>
      <c r="AD1125" t="s">
        <v>47</v>
      </c>
      <c r="AE1125" t="s">
        <v>45</v>
      </c>
      <c r="AF1125" t="s">
        <v>57</v>
      </c>
      <c r="AG1125" t="s">
        <v>41</v>
      </c>
      <c r="AH1125" t="s">
        <v>55</v>
      </c>
      <c r="AI1125" t="s">
        <v>47</v>
      </c>
    </row>
    <row r="1126" spans="1:35" x14ac:dyDescent="0.25">
      <c r="A1126" t="s">
        <v>218</v>
      </c>
      <c r="B1126" t="s">
        <v>59</v>
      </c>
      <c r="C1126" t="s">
        <v>37</v>
      </c>
      <c r="D1126" t="s">
        <v>3203</v>
      </c>
      <c r="E1126" t="s">
        <v>39</v>
      </c>
      <c r="F1126" t="s">
        <v>56</v>
      </c>
      <c r="G1126" t="s">
        <v>45</v>
      </c>
      <c r="H1126" t="s">
        <v>87</v>
      </c>
      <c r="I1126" t="s">
        <v>40</v>
      </c>
      <c r="J1126" t="s">
        <v>3512</v>
      </c>
      <c r="K1126" t="s">
        <v>47</v>
      </c>
      <c r="L1126" t="s">
        <v>63</v>
      </c>
      <c r="M1126" t="s">
        <v>113</v>
      </c>
      <c r="N1126" t="s">
        <v>47</v>
      </c>
      <c r="O1126" t="s">
        <v>45</v>
      </c>
      <c r="P1126" t="s">
        <v>46</v>
      </c>
      <c r="Q1126" t="s">
        <v>45</v>
      </c>
      <c r="R1126" t="s">
        <v>66</v>
      </c>
      <c r="S1126" t="s">
        <v>3513</v>
      </c>
      <c r="T1126" t="s">
        <v>2541</v>
      </c>
      <c r="U1126" t="s">
        <v>41</v>
      </c>
      <c r="V1126" t="s">
        <v>52</v>
      </c>
      <c r="W1126" t="s">
        <v>59</v>
      </c>
      <c r="X1126" t="s">
        <v>53</v>
      </c>
      <c r="Y1126" t="s">
        <v>45</v>
      </c>
      <c r="Z1126" t="s">
        <v>40</v>
      </c>
      <c r="AA1126" t="s">
        <v>54</v>
      </c>
      <c r="AB1126" t="s">
        <v>40</v>
      </c>
      <c r="AC1126" t="s">
        <v>53</v>
      </c>
      <c r="AD1126" t="s">
        <v>45</v>
      </c>
      <c r="AE1126" t="s">
        <v>45</v>
      </c>
      <c r="AF1126" t="s">
        <v>71</v>
      </c>
      <c r="AG1126" t="s">
        <v>56</v>
      </c>
      <c r="AH1126" t="s">
        <v>71</v>
      </c>
      <c r="AI1126" t="s">
        <v>56</v>
      </c>
    </row>
    <row r="1127" spans="1:35" x14ac:dyDescent="0.25">
      <c r="A1127" t="s">
        <v>133</v>
      </c>
      <c r="B1127" t="s">
        <v>59</v>
      </c>
      <c r="C1127" t="s">
        <v>60</v>
      </c>
      <c r="D1127" t="s">
        <v>2338</v>
      </c>
      <c r="E1127" t="s">
        <v>62</v>
      </c>
      <c r="F1127" t="s">
        <v>41</v>
      </c>
      <c r="G1127" t="s">
        <v>40</v>
      </c>
      <c r="H1127" t="s">
        <v>42</v>
      </c>
      <c r="I1127" t="s">
        <v>40</v>
      </c>
      <c r="J1127" t="s">
        <v>3514</v>
      </c>
      <c r="K1127" t="s">
        <v>40</v>
      </c>
      <c r="L1127" t="s">
        <v>63</v>
      </c>
      <c r="M1127" t="s">
        <v>371</v>
      </c>
      <c r="N1127" t="s">
        <v>45</v>
      </c>
      <c r="O1127" t="s">
        <v>41</v>
      </c>
      <c r="P1127" t="s">
        <v>122</v>
      </c>
      <c r="Q1127" t="s">
        <v>47</v>
      </c>
      <c r="R1127" t="s">
        <v>109</v>
      </c>
      <c r="S1127" t="s">
        <v>3515</v>
      </c>
      <c r="T1127" t="s">
        <v>3516</v>
      </c>
      <c r="U1127" t="s">
        <v>40</v>
      </c>
      <c r="V1127" t="s">
        <v>52</v>
      </c>
      <c r="W1127" t="s">
        <v>59</v>
      </c>
      <c r="X1127" t="s">
        <v>144</v>
      </c>
      <c r="Y1127" t="s">
        <v>45</v>
      </c>
      <c r="Z1127" t="s">
        <v>47</v>
      </c>
      <c r="AA1127" t="s">
        <v>54</v>
      </c>
      <c r="AB1127" t="s">
        <v>40</v>
      </c>
      <c r="AC1127" t="s">
        <v>56</v>
      </c>
      <c r="AD1127" t="s">
        <v>55</v>
      </c>
      <c r="AE1127" t="s">
        <v>47</v>
      </c>
      <c r="AF1127" t="s">
        <v>56</v>
      </c>
      <c r="AG1127" t="s">
        <v>47</v>
      </c>
      <c r="AH1127" t="s">
        <v>40</v>
      </c>
      <c r="AI1127" t="s">
        <v>45</v>
      </c>
    </row>
    <row r="1128" spans="1:35" x14ac:dyDescent="0.25">
      <c r="A1128" t="s">
        <v>151</v>
      </c>
      <c r="B1128" t="s">
        <v>59</v>
      </c>
      <c r="C1128" t="s">
        <v>37</v>
      </c>
      <c r="D1128" t="s">
        <v>825</v>
      </c>
      <c r="E1128" t="s">
        <v>39</v>
      </c>
      <c r="F1128" t="s">
        <v>91</v>
      </c>
      <c r="G1128" t="s">
        <v>45</v>
      </c>
      <c r="H1128" t="s">
        <v>206</v>
      </c>
      <c r="I1128" t="s">
        <v>40</v>
      </c>
      <c r="J1128" t="s">
        <v>3517</v>
      </c>
      <c r="K1128" t="s">
        <v>45</v>
      </c>
      <c r="L1128" t="s">
        <v>63</v>
      </c>
      <c r="M1128" t="s">
        <v>99</v>
      </c>
      <c r="N1128" t="s">
        <v>45</v>
      </c>
      <c r="O1128" t="s">
        <v>57</v>
      </c>
      <c r="P1128" t="s">
        <v>169</v>
      </c>
      <c r="Q1128" t="s">
        <v>45</v>
      </c>
      <c r="R1128" t="s">
        <v>66</v>
      </c>
      <c r="S1128" t="s">
        <v>3518</v>
      </c>
      <c r="T1128" t="s">
        <v>3519</v>
      </c>
      <c r="U1128" t="s">
        <v>47</v>
      </c>
      <c r="V1128" t="s">
        <v>52</v>
      </c>
      <c r="W1128" t="s">
        <v>36</v>
      </c>
      <c r="X1128" t="s">
        <v>128</v>
      </c>
      <c r="Y1128" t="s">
        <v>45</v>
      </c>
      <c r="Z1128" t="s">
        <v>45</v>
      </c>
      <c r="AA1128" t="s">
        <v>54</v>
      </c>
      <c r="AB1128" t="s">
        <v>40</v>
      </c>
      <c r="AC1128" t="s">
        <v>85</v>
      </c>
      <c r="AD1128" t="s">
        <v>41</v>
      </c>
      <c r="AE1128" t="s">
        <v>45</v>
      </c>
      <c r="AF1128" t="s">
        <v>40</v>
      </c>
      <c r="AG1128" t="s">
        <v>55</v>
      </c>
      <c r="AH1128" t="s">
        <v>55</v>
      </c>
      <c r="AI1128" t="s">
        <v>55</v>
      </c>
    </row>
    <row r="1129" spans="1:35" x14ac:dyDescent="0.25">
      <c r="A1129" t="s">
        <v>69</v>
      </c>
      <c r="B1129" t="s">
        <v>59</v>
      </c>
      <c r="C1129" t="s">
        <v>37</v>
      </c>
      <c r="D1129" t="s">
        <v>2430</v>
      </c>
      <c r="E1129" t="s">
        <v>62</v>
      </c>
      <c r="F1129" t="s">
        <v>70</v>
      </c>
      <c r="G1129" t="s">
        <v>45</v>
      </c>
      <c r="H1129" t="s">
        <v>228</v>
      </c>
      <c r="I1129" t="s">
        <v>40</v>
      </c>
      <c r="J1129" t="s">
        <v>3520</v>
      </c>
      <c r="K1129" t="s">
        <v>47</v>
      </c>
      <c r="L1129" t="s">
        <v>63</v>
      </c>
      <c r="M1129" t="s">
        <v>174</v>
      </c>
      <c r="N1129" t="s">
        <v>47</v>
      </c>
      <c r="O1129" t="s">
        <v>40</v>
      </c>
      <c r="P1129" t="s">
        <v>65</v>
      </c>
      <c r="Q1129" t="s">
        <v>45</v>
      </c>
      <c r="R1129" t="s">
        <v>66</v>
      </c>
      <c r="S1129" t="s">
        <v>478</v>
      </c>
      <c r="T1129" t="s">
        <v>3521</v>
      </c>
      <c r="U1129" t="s">
        <v>41</v>
      </c>
      <c r="V1129" t="s">
        <v>52</v>
      </c>
      <c r="W1129" t="s">
        <v>59</v>
      </c>
      <c r="X1129" t="s">
        <v>128</v>
      </c>
      <c r="Y1129" t="s">
        <v>45</v>
      </c>
      <c r="Z1129" t="s">
        <v>47</v>
      </c>
      <c r="AA1129" t="s">
        <v>54</v>
      </c>
      <c r="AB1129" t="s">
        <v>40</v>
      </c>
      <c r="AC1129" t="s">
        <v>47</v>
      </c>
      <c r="AD1129" t="s">
        <v>41</v>
      </c>
      <c r="AE1129" t="s">
        <v>45</v>
      </c>
      <c r="AF1129" t="s">
        <v>41</v>
      </c>
      <c r="AG1129" t="s">
        <v>41</v>
      </c>
      <c r="AH1129" t="s">
        <v>41</v>
      </c>
      <c r="AI1129" t="s">
        <v>41</v>
      </c>
    </row>
    <row r="1130" spans="1:35" x14ac:dyDescent="0.25">
      <c r="A1130" t="s">
        <v>120</v>
      </c>
      <c r="B1130" t="s">
        <v>59</v>
      </c>
      <c r="C1130" t="s">
        <v>60</v>
      </c>
      <c r="D1130" t="s">
        <v>1206</v>
      </c>
      <c r="E1130" t="s">
        <v>62</v>
      </c>
      <c r="F1130" t="s">
        <v>56</v>
      </c>
      <c r="G1130" t="s">
        <v>47</v>
      </c>
      <c r="H1130" t="s">
        <v>42</v>
      </c>
      <c r="I1130" t="s">
        <v>40</v>
      </c>
      <c r="J1130" t="s">
        <v>3522</v>
      </c>
      <c r="K1130" t="s">
        <v>40</v>
      </c>
      <c r="L1130" t="s">
        <v>63</v>
      </c>
      <c r="M1130" t="s">
        <v>54</v>
      </c>
      <c r="N1130" t="s">
        <v>47</v>
      </c>
      <c r="O1130" t="s">
        <v>41</v>
      </c>
      <c r="P1130" t="s">
        <v>76</v>
      </c>
      <c r="Q1130" t="s">
        <v>40</v>
      </c>
      <c r="R1130" t="s">
        <v>66</v>
      </c>
      <c r="S1130" t="s">
        <v>2288</v>
      </c>
      <c r="T1130" t="s">
        <v>3523</v>
      </c>
      <c r="U1130" t="s">
        <v>45</v>
      </c>
      <c r="V1130" t="s">
        <v>52</v>
      </c>
      <c r="W1130" t="s">
        <v>36</v>
      </c>
      <c r="X1130" t="s">
        <v>98</v>
      </c>
      <c r="Y1130" t="s">
        <v>45</v>
      </c>
      <c r="Z1130" t="s">
        <v>47</v>
      </c>
      <c r="AA1130" t="s">
        <v>54</v>
      </c>
      <c r="AB1130" t="s">
        <v>40</v>
      </c>
      <c r="AC1130" t="s">
        <v>91</v>
      </c>
      <c r="AD1130" t="s">
        <v>45</v>
      </c>
      <c r="AE1130" t="s">
        <v>45</v>
      </c>
      <c r="AF1130" t="s">
        <v>45</v>
      </c>
      <c r="AG1130" t="s">
        <v>41</v>
      </c>
      <c r="AH1130" t="s">
        <v>55</v>
      </c>
      <c r="AI1130" t="s">
        <v>41</v>
      </c>
    </row>
    <row r="1131" spans="1:35" x14ac:dyDescent="0.25">
      <c r="A1131" t="s">
        <v>204</v>
      </c>
      <c r="B1131" t="s">
        <v>59</v>
      </c>
      <c r="C1131" t="s">
        <v>37</v>
      </c>
      <c r="D1131" t="s">
        <v>3524</v>
      </c>
      <c r="E1131" t="s">
        <v>62</v>
      </c>
      <c r="F1131" t="s">
        <v>91</v>
      </c>
      <c r="G1131" t="s">
        <v>41</v>
      </c>
      <c r="H1131" t="s">
        <v>74</v>
      </c>
      <c r="I1131" t="s">
        <v>40</v>
      </c>
      <c r="J1131" t="s">
        <v>3525</v>
      </c>
      <c r="K1131" t="s">
        <v>47</v>
      </c>
      <c r="L1131" t="s">
        <v>63</v>
      </c>
      <c r="M1131" t="s">
        <v>146</v>
      </c>
      <c r="N1131" t="s">
        <v>41</v>
      </c>
      <c r="O1131" t="s">
        <v>57</v>
      </c>
      <c r="P1131" t="s">
        <v>169</v>
      </c>
      <c r="Q1131" t="s">
        <v>47</v>
      </c>
      <c r="R1131" t="s">
        <v>48</v>
      </c>
      <c r="S1131" t="s">
        <v>3526</v>
      </c>
      <c r="T1131" t="s">
        <v>3527</v>
      </c>
      <c r="U1131" t="s">
        <v>51</v>
      </c>
      <c r="V1131" t="s">
        <v>52</v>
      </c>
      <c r="W1131" t="s">
        <v>59</v>
      </c>
      <c r="X1131" t="s">
        <v>112</v>
      </c>
      <c r="Y1131" t="s">
        <v>47</v>
      </c>
      <c r="Z1131" t="s">
        <v>47</v>
      </c>
      <c r="AA1131" t="s">
        <v>54</v>
      </c>
      <c r="AB1131" t="s">
        <v>55</v>
      </c>
      <c r="AC1131" t="s">
        <v>107</v>
      </c>
      <c r="AD1131" t="s">
        <v>41</v>
      </c>
      <c r="AE1131" t="s">
        <v>45</v>
      </c>
      <c r="AF1131" t="s">
        <v>40</v>
      </c>
      <c r="AG1131" t="s">
        <v>55</v>
      </c>
      <c r="AH1131" t="s">
        <v>55</v>
      </c>
      <c r="AI1131" t="s">
        <v>40</v>
      </c>
    </row>
    <row r="1132" spans="1:35" x14ac:dyDescent="0.25">
      <c r="A1132" t="s">
        <v>126</v>
      </c>
      <c r="B1132" t="s">
        <v>59</v>
      </c>
      <c r="C1132" t="s">
        <v>37</v>
      </c>
      <c r="D1132" t="s">
        <v>557</v>
      </c>
      <c r="E1132" t="s">
        <v>62</v>
      </c>
      <c r="F1132" t="s">
        <v>149</v>
      </c>
      <c r="G1132" t="s">
        <v>45</v>
      </c>
      <c r="H1132" t="s">
        <v>42</v>
      </c>
      <c r="I1132" t="s">
        <v>40</v>
      </c>
      <c r="J1132" t="s">
        <v>3528</v>
      </c>
      <c r="K1132" t="s">
        <v>41</v>
      </c>
      <c r="L1132" t="s">
        <v>63</v>
      </c>
      <c r="M1132" t="s">
        <v>213</v>
      </c>
      <c r="N1132" t="s">
        <v>47</v>
      </c>
      <c r="O1132" t="s">
        <v>41</v>
      </c>
      <c r="P1132" t="s">
        <v>76</v>
      </c>
      <c r="Q1132" t="s">
        <v>45</v>
      </c>
      <c r="R1132" t="s">
        <v>66</v>
      </c>
      <c r="S1132" t="s">
        <v>183</v>
      </c>
      <c r="T1132" t="s">
        <v>3529</v>
      </c>
      <c r="U1132" t="s">
        <v>40</v>
      </c>
      <c r="V1132" t="s">
        <v>52</v>
      </c>
      <c r="W1132" t="s">
        <v>59</v>
      </c>
      <c r="X1132" t="s">
        <v>125</v>
      </c>
      <c r="Y1132" t="s">
        <v>45</v>
      </c>
      <c r="Z1132" t="s">
        <v>47</v>
      </c>
      <c r="AA1132" t="s">
        <v>54</v>
      </c>
      <c r="AB1132" t="s">
        <v>41</v>
      </c>
      <c r="AC1132" t="s">
        <v>70</v>
      </c>
      <c r="AD1132" t="s">
        <v>45</v>
      </c>
      <c r="AE1132" t="s">
        <v>41</v>
      </c>
      <c r="AF1132" t="s">
        <v>70</v>
      </c>
      <c r="AG1132" t="s">
        <v>91</v>
      </c>
      <c r="AH1132" t="s">
        <v>56</v>
      </c>
      <c r="AI1132" t="s">
        <v>51</v>
      </c>
    </row>
    <row r="1133" spans="1:35" x14ac:dyDescent="0.25">
      <c r="A1133" t="s">
        <v>142</v>
      </c>
      <c r="B1133" t="s">
        <v>59</v>
      </c>
      <c r="C1133" t="s">
        <v>60</v>
      </c>
      <c r="D1133" t="s">
        <v>331</v>
      </c>
      <c r="E1133" t="s">
        <v>62</v>
      </c>
      <c r="F1133" t="s">
        <v>70</v>
      </c>
      <c r="G1133" t="s">
        <v>47</v>
      </c>
      <c r="H1133" t="s">
        <v>228</v>
      </c>
      <c r="I1133" t="s">
        <v>40</v>
      </c>
      <c r="J1133" t="s">
        <v>3530</v>
      </c>
      <c r="K1133" t="s">
        <v>47</v>
      </c>
      <c r="L1133" t="s">
        <v>63</v>
      </c>
      <c r="M1133" t="s">
        <v>75</v>
      </c>
      <c r="N1133" t="s">
        <v>41</v>
      </c>
      <c r="O1133" t="s">
        <v>41</v>
      </c>
      <c r="P1133" t="s">
        <v>122</v>
      </c>
      <c r="Q1133" t="s">
        <v>45</v>
      </c>
      <c r="R1133" t="s">
        <v>66</v>
      </c>
      <c r="S1133" t="s">
        <v>3531</v>
      </c>
      <c r="T1133" t="s">
        <v>3532</v>
      </c>
      <c r="U1133" t="s">
        <v>40</v>
      </c>
      <c r="V1133" t="s">
        <v>52</v>
      </c>
      <c r="W1133" t="s">
        <v>59</v>
      </c>
      <c r="X1133" t="s">
        <v>129</v>
      </c>
      <c r="Y1133" t="s">
        <v>45</v>
      </c>
      <c r="Z1133" t="s">
        <v>41</v>
      </c>
      <c r="AA1133" t="s">
        <v>54</v>
      </c>
      <c r="AB1133" t="s">
        <v>40</v>
      </c>
      <c r="AC1133" t="s">
        <v>51</v>
      </c>
      <c r="AD1133" t="s">
        <v>45</v>
      </c>
      <c r="AE1133" t="s">
        <v>41</v>
      </c>
      <c r="AF1133" t="s">
        <v>51</v>
      </c>
      <c r="AG1133" t="s">
        <v>41</v>
      </c>
      <c r="AH1133" t="s">
        <v>71</v>
      </c>
      <c r="AI1133" t="s">
        <v>71</v>
      </c>
    </row>
    <row r="1134" spans="1:35" x14ac:dyDescent="0.25">
      <c r="A1134" t="s">
        <v>88</v>
      </c>
      <c r="B1134" t="s">
        <v>59</v>
      </c>
      <c r="C1134" t="s">
        <v>37</v>
      </c>
      <c r="D1134" t="s">
        <v>436</v>
      </c>
      <c r="E1134" t="s">
        <v>39</v>
      </c>
      <c r="F1134" t="s">
        <v>129</v>
      </c>
      <c r="G1134" t="s">
        <v>41</v>
      </c>
      <c r="H1134" t="s">
        <v>42</v>
      </c>
      <c r="I1134" t="s">
        <v>40</v>
      </c>
      <c r="J1134" t="s">
        <v>3533</v>
      </c>
      <c r="K1134" t="s">
        <v>47</v>
      </c>
      <c r="L1134" t="s">
        <v>43</v>
      </c>
      <c r="M1134" t="s">
        <v>130</v>
      </c>
      <c r="N1134" t="s">
        <v>45</v>
      </c>
      <c r="O1134" t="s">
        <v>41</v>
      </c>
      <c r="P1134" t="s">
        <v>46</v>
      </c>
      <c r="Q1134" t="s">
        <v>40</v>
      </c>
      <c r="R1134" t="s">
        <v>66</v>
      </c>
      <c r="S1134" t="s">
        <v>3121</v>
      </c>
      <c r="T1134" t="s">
        <v>3534</v>
      </c>
      <c r="U1134" t="s">
        <v>40</v>
      </c>
      <c r="V1134" t="s">
        <v>52</v>
      </c>
      <c r="W1134" t="s">
        <v>59</v>
      </c>
      <c r="X1134" t="s">
        <v>79</v>
      </c>
      <c r="Y1134" t="s">
        <v>45</v>
      </c>
      <c r="Z1134" t="s">
        <v>45</v>
      </c>
      <c r="AA1134" t="s">
        <v>54</v>
      </c>
      <c r="AB1134" t="s">
        <v>40</v>
      </c>
      <c r="AC1134" t="s">
        <v>57</v>
      </c>
      <c r="AD1134" t="s">
        <v>41</v>
      </c>
      <c r="AE1134" t="s">
        <v>45</v>
      </c>
      <c r="AF1134" t="s">
        <v>57</v>
      </c>
      <c r="AG1134" t="s">
        <v>47</v>
      </c>
      <c r="AH1134" t="s">
        <v>40</v>
      </c>
      <c r="AI1134" t="s">
        <v>41</v>
      </c>
    </row>
    <row r="1135" spans="1:35" x14ac:dyDescent="0.25">
      <c r="A1135" t="s">
        <v>234</v>
      </c>
      <c r="B1135" t="s">
        <v>59</v>
      </c>
      <c r="C1135" t="s">
        <v>37</v>
      </c>
      <c r="D1135" t="s">
        <v>2453</v>
      </c>
      <c r="E1135" t="s">
        <v>62</v>
      </c>
      <c r="F1135" t="s">
        <v>85</v>
      </c>
      <c r="G1135" t="s">
        <v>45</v>
      </c>
      <c r="H1135" t="s">
        <v>228</v>
      </c>
      <c r="I1135" t="s">
        <v>40</v>
      </c>
      <c r="J1135" t="s">
        <v>3535</v>
      </c>
      <c r="K1135" t="s">
        <v>47</v>
      </c>
      <c r="L1135" t="s">
        <v>63</v>
      </c>
      <c r="M1135" t="s">
        <v>371</v>
      </c>
      <c r="N1135" t="s">
        <v>47</v>
      </c>
      <c r="O1135" t="s">
        <v>40</v>
      </c>
      <c r="P1135" t="s">
        <v>76</v>
      </c>
      <c r="Q1135" t="s">
        <v>41</v>
      </c>
      <c r="R1135" t="s">
        <v>109</v>
      </c>
      <c r="S1135" t="s">
        <v>879</v>
      </c>
      <c r="T1135" t="s">
        <v>2403</v>
      </c>
      <c r="U1135" t="s">
        <v>57</v>
      </c>
      <c r="V1135" t="s">
        <v>52</v>
      </c>
      <c r="W1135" t="s">
        <v>59</v>
      </c>
      <c r="X1135" t="s">
        <v>92</v>
      </c>
      <c r="Y1135" t="s">
        <v>45</v>
      </c>
      <c r="Z1135" t="s">
        <v>45</v>
      </c>
      <c r="AA1135" t="s">
        <v>54</v>
      </c>
      <c r="AB1135" t="s">
        <v>40</v>
      </c>
      <c r="AC1135" t="s">
        <v>51</v>
      </c>
      <c r="AD1135" t="s">
        <v>55</v>
      </c>
      <c r="AE1135" t="s">
        <v>45</v>
      </c>
      <c r="AF1135" t="s">
        <v>56</v>
      </c>
      <c r="AG1135" t="s">
        <v>47</v>
      </c>
      <c r="AH1135" t="s">
        <v>55</v>
      </c>
      <c r="AI1135" t="s">
        <v>41</v>
      </c>
    </row>
    <row r="1136" spans="1:35" x14ac:dyDescent="0.25">
      <c r="A1136" t="s">
        <v>126</v>
      </c>
      <c r="B1136" t="s">
        <v>59</v>
      </c>
      <c r="C1136" t="s">
        <v>37</v>
      </c>
      <c r="D1136" t="s">
        <v>1593</v>
      </c>
      <c r="E1136" t="s">
        <v>62</v>
      </c>
      <c r="F1136" t="s">
        <v>71</v>
      </c>
      <c r="G1136" t="s">
        <v>41</v>
      </c>
      <c r="H1136" t="s">
        <v>42</v>
      </c>
      <c r="I1136" t="s">
        <v>40</v>
      </c>
      <c r="J1136" t="s">
        <v>2095</v>
      </c>
      <c r="K1136" t="s">
        <v>45</v>
      </c>
      <c r="L1136" t="s">
        <v>63</v>
      </c>
      <c r="M1136" t="s">
        <v>288</v>
      </c>
      <c r="N1136" t="s">
        <v>41</v>
      </c>
      <c r="O1136" t="s">
        <v>40</v>
      </c>
      <c r="P1136" t="s">
        <v>76</v>
      </c>
      <c r="Q1136" t="s">
        <v>47</v>
      </c>
      <c r="R1136" t="s">
        <v>66</v>
      </c>
      <c r="S1136" t="s">
        <v>3107</v>
      </c>
      <c r="T1136" t="s">
        <v>3536</v>
      </c>
      <c r="U1136" t="s">
        <v>40</v>
      </c>
      <c r="V1136" t="s">
        <v>52</v>
      </c>
      <c r="W1136" t="s">
        <v>59</v>
      </c>
      <c r="X1136" t="s">
        <v>145</v>
      </c>
      <c r="Y1136" t="s">
        <v>45</v>
      </c>
      <c r="Z1136" t="s">
        <v>47</v>
      </c>
      <c r="AA1136" t="s">
        <v>54</v>
      </c>
      <c r="AB1136" t="s">
        <v>40</v>
      </c>
      <c r="AC1136" t="s">
        <v>40</v>
      </c>
      <c r="AD1136" t="s">
        <v>57</v>
      </c>
      <c r="AE1136" t="s">
        <v>41</v>
      </c>
      <c r="AF1136" t="s">
        <v>40</v>
      </c>
      <c r="AG1136" t="s">
        <v>55</v>
      </c>
      <c r="AH1136" t="s">
        <v>55</v>
      </c>
      <c r="AI1136" t="s">
        <v>40</v>
      </c>
    </row>
    <row r="1137" spans="1:35" x14ac:dyDescent="0.25">
      <c r="A1137" t="s">
        <v>213</v>
      </c>
      <c r="B1137" t="s">
        <v>59</v>
      </c>
      <c r="C1137" t="s">
        <v>37</v>
      </c>
      <c r="D1137" t="s">
        <v>3537</v>
      </c>
      <c r="E1137" t="s">
        <v>39</v>
      </c>
      <c r="F1137" t="s">
        <v>40</v>
      </c>
      <c r="G1137" t="s">
        <v>47</v>
      </c>
      <c r="H1137" t="s">
        <v>42</v>
      </c>
      <c r="I1137" t="s">
        <v>40</v>
      </c>
      <c r="J1137" t="s">
        <v>3538</v>
      </c>
      <c r="K1137" t="s">
        <v>47</v>
      </c>
      <c r="L1137" t="s">
        <v>63</v>
      </c>
      <c r="M1137" t="s">
        <v>82</v>
      </c>
      <c r="N1137" t="s">
        <v>47</v>
      </c>
      <c r="O1137" t="s">
        <v>47</v>
      </c>
      <c r="P1137" t="s">
        <v>169</v>
      </c>
      <c r="Q1137" t="s">
        <v>40</v>
      </c>
      <c r="R1137" t="s">
        <v>48</v>
      </c>
      <c r="S1137" t="s">
        <v>3539</v>
      </c>
      <c r="T1137" t="s">
        <v>3540</v>
      </c>
      <c r="U1137" t="s">
        <v>40</v>
      </c>
      <c r="V1137" t="s">
        <v>52</v>
      </c>
      <c r="W1137" t="s">
        <v>59</v>
      </c>
      <c r="X1137" t="s">
        <v>79</v>
      </c>
      <c r="Y1137" t="s">
        <v>45</v>
      </c>
      <c r="Z1137" t="s">
        <v>41</v>
      </c>
      <c r="AA1137" t="s">
        <v>54</v>
      </c>
      <c r="AB1137" t="s">
        <v>55</v>
      </c>
      <c r="AC1137" t="s">
        <v>85</v>
      </c>
      <c r="AD1137" t="s">
        <v>57</v>
      </c>
      <c r="AE1137" t="s">
        <v>40</v>
      </c>
      <c r="AF1137" t="s">
        <v>139</v>
      </c>
      <c r="AG1137" t="s">
        <v>55</v>
      </c>
      <c r="AH1137" t="s">
        <v>55</v>
      </c>
      <c r="AI1137" t="s">
        <v>92</v>
      </c>
    </row>
    <row r="1138" spans="1:35" x14ac:dyDescent="0.25">
      <c r="A1138" t="s">
        <v>149</v>
      </c>
      <c r="B1138" t="s">
        <v>36</v>
      </c>
      <c r="C1138" t="s">
        <v>37</v>
      </c>
      <c r="D1138" t="s">
        <v>983</v>
      </c>
      <c r="E1138" t="s">
        <v>62</v>
      </c>
      <c r="F1138" t="s">
        <v>107</v>
      </c>
      <c r="G1138" t="s">
        <v>45</v>
      </c>
      <c r="H1138" t="s">
        <v>87</v>
      </c>
      <c r="I1138" t="s">
        <v>40</v>
      </c>
      <c r="J1138" t="s">
        <v>3541</v>
      </c>
      <c r="K1138" t="s">
        <v>45</v>
      </c>
      <c r="L1138" t="s">
        <v>63</v>
      </c>
      <c r="M1138" t="s">
        <v>155</v>
      </c>
      <c r="N1138" t="s">
        <v>45</v>
      </c>
      <c r="O1138" t="s">
        <v>40</v>
      </c>
      <c r="P1138" t="s">
        <v>76</v>
      </c>
      <c r="Q1138" t="s">
        <v>41</v>
      </c>
      <c r="R1138" t="s">
        <v>66</v>
      </c>
      <c r="S1138" t="s">
        <v>3542</v>
      </c>
      <c r="T1138" t="s">
        <v>165</v>
      </c>
      <c r="U1138" t="s">
        <v>40</v>
      </c>
      <c r="V1138" t="s">
        <v>52</v>
      </c>
      <c r="W1138" t="s">
        <v>36</v>
      </c>
      <c r="X1138" t="s">
        <v>125</v>
      </c>
      <c r="Y1138" t="s">
        <v>45</v>
      </c>
      <c r="Z1138" t="s">
        <v>45</v>
      </c>
      <c r="AA1138" t="s">
        <v>54</v>
      </c>
      <c r="AB1138" t="s">
        <v>45</v>
      </c>
      <c r="AC1138" t="s">
        <v>40</v>
      </c>
      <c r="AD1138" t="s">
        <v>45</v>
      </c>
      <c r="AE1138" t="s">
        <v>45</v>
      </c>
      <c r="AF1138" t="s">
        <v>40</v>
      </c>
      <c r="AG1138" t="s">
        <v>40</v>
      </c>
      <c r="AH1138" t="s">
        <v>55</v>
      </c>
      <c r="AI1138" t="s">
        <v>55</v>
      </c>
    </row>
    <row r="1139" spans="1:35" x14ac:dyDescent="0.25">
      <c r="A1139" t="s">
        <v>112</v>
      </c>
      <c r="B1139" t="s">
        <v>59</v>
      </c>
      <c r="C1139" t="s">
        <v>161</v>
      </c>
      <c r="D1139" t="s">
        <v>3543</v>
      </c>
      <c r="E1139" t="s">
        <v>62</v>
      </c>
      <c r="F1139" t="s">
        <v>139</v>
      </c>
      <c r="G1139" t="s">
        <v>41</v>
      </c>
      <c r="H1139" t="s">
        <v>74</v>
      </c>
      <c r="I1139" t="s">
        <v>40</v>
      </c>
      <c r="J1139" t="s">
        <v>3544</v>
      </c>
      <c r="K1139" t="s">
        <v>41</v>
      </c>
      <c r="L1139" t="s">
        <v>43</v>
      </c>
      <c r="M1139" t="s">
        <v>348</v>
      </c>
      <c r="N1139" t="s">
        <v>41</v>
      </c>
      <c r="O1139" t="s">
        <v>40</v>
      </c>
      <c r="P1139" t="s">
        <v>65</v>
      </c>
      <c r="Q1139" t="s">
        <v>45</v>
      </c>
      <c r="R1139" t="s">
        <v>66</v>
      </c>
      <c r="S1139" t="s">
        <v>3545</v>
      </c>
      <c r="T1139" t="s">
        <v>3546</v>
      </c>
      <c r="U1139" t="s">
        <v>40</v>
      </c>
      <c r="V1139" t="s">
        <v>52</v>
      </c>
      <c r="W1139" t="s">
        <v>36</v>
      </c>
      <c r="X1139" t="s">
        <v>129</v>
      </c>
      <c r="Y1139" t="s">
        <v>45</v>
      </c>
      <c r="Z1139" t="s">
        <v>41</v>
      </c>
      <c r="AA1139" t="s">
        <v>54</v>
      </c>
      <c r="AB1139" t="s">
        <v>55</v>
      </c>
      <c r="AC1139" t="s">
        <v>47</v>
      </c>
      <c r="AD1139" t="s">
        <v>41</v>
      </c>
      <c r="AE1139" t="s">
        <v>41</v>
      </c>
      <c r="AF1139" t="s">
        <v>47</v>
      </c>
      <c r="AG1139" t="s">
        <v>41</v>
      </c>
      <c r="AH1139" t="s">
        <v>40</v>
      </c>
      <c r="AI1139" t="s">
        <v>45</v>
      </c>
    </row>
    <row r="1140" spans="1:35" x14ac:dyDescent="0.25">
      <c r="A1140" t="s">
        <v>151</v>
      </c>
      <c r="B1140" t="s">
        <v>59</v>
      </c>
      <c r="C1140" t="s">
        <v>60</v>
      </c>
      <c r="D1140" t="s">
        <v>2583</v>
      </c>
      <c r="E1140" t="s">
        <v>62</v>
      </c>
      <c r="F1140" t="s">
        <v>104</v>
      </c>
      <c r="G1140" t="s">
        <v>57</v>
      </c>
      <c r="H1140" t="s">
        <v>87</v>
      </c>
      <c r="I1140" t="s">
        <v>40</v>
      </c>
      <c r="J1140" t="s">
        <v>3547</v>
      </c>
      <c r="K1140" t="s">
        <v>41</v>
      </c>
      <c r="L1140" t="s">
        <v>63</v>
      </c>
      <c r="M1140" t="s">
        <v>35</v>
      </c>
      <c r="N1140" t="s">
        <v>45</v>
      </c>
      <c r="O1140" t="s">
        <v>47</v>
      </c>
      <c r="P1140" t="s">
        <v>122</v>
      </c>
      <c r="Q1140" t="s">
        <v>45</v>
      </c>
      <c r="R1140" t="s">
        <v>66</v>
      </c>
      <c r="S1140" t="s">
        <v>3548</v>
      </c>
      <c r="T1140" t="s">
        <v>3549</v>
      </c>
      <c r="U1140" t="s">
        <v>41</v>
      </c>
      <c r="V1140" t="s">
        <v>52</v>
      </c>
      <c r="W1140" t="s">
        <v>36</v>
      </c>
      <c r="X1140" t="s">
        <v>79</v>
      </c>
      <c r="Y1140" t="s">
        <v>45</v>
      </c>
      <c r="Z1140" t="s">
        <v>45</v>
      </c>
      <c r="AA1140" t="s">
        <v>54</v>
      </c>
      <c r="AB1140" t="s">
        <v>40</v>
      </c>
      <c r="AC1140" t="s">
        <v>93</v>
      </c>
      <c r="AD1140" t="s">
        <v>45</v>
      </c>
      <c r="AE1140" t="s">
        <v>45</v>
      </c>
      <c r="AF1140" t="s">
        <v>105</v>
      </c>
      <c r="AG1140" t="s">
        <v>51</v>
      </c>
      <c r="AH1140" t="s">
        <v>92</v>
      </c>
      <c r="AI1140" t="s">
        <v>98</v>
      </c>
    </row>
    <row r="1141" spans="1:35" x14ac:dyDescent="0.25">
      <c r="A1141" t="s">
        <v>93</v>
      </c>
      <c r="B1141" t="s">
        <v>59</v>
      </c>
      <c r="C1141" t="s">
        <v>37</v>
      </c>
      <c r="D1141" t="s">
        <v>1762</v>
      </c>
      <c r="E1141" t="s">
        <v>62</v>
      </c>
      <c r="F1141" t="s">
        <v>57</v>
      </c>
      <c r="G1141" t="s">
        <v>47</v>
      </c>
      <c r="H1141" t="s">
        <v>74</v>
      </c>
      <c r="I1141" t="s">
        <v>40</v>
      </c>
      <c r="J1141" t="s">
        <v>3550</v>
      </c>
      <c r="K1141" t="s">
        <v>41</v>
      </c>
      <c r="L1141" t="s">
        <v>43</v>
      </c>
      <c r="M1141" t="s">
        <v>126</v>
      </c>
      <c r="N1141" t="s">
        <v>47</v>
      </c>
      <c r="O1141" t="s">
        <v>40</v>
      </c>
      <c r="P1141" t="s">
        <v>65</v>
      </c>
      <c r="Q1141" t="s">
        <v>47</v>
      </c>
      <c r="R1141" t="s">
        <v>66</v>
      </c>
      <c r="S1141" t="s">
        <v>3551</v>
      </c>
      <c r="T1141" t="s">
        <v>3552</v>
      </c>
      <c r="U1141" t="s">
        <v>45</v>
      </c>
      <c r="V1141" t="s">
        <v>52</v>
      </c>
      <c r="W1141" t="s">
        <v>59</v>
      </c>
      <c r="X1141" t="s">
        <v>125</v>
      </c>
      <c r="Y1141" t="s">
        <v>45</v>
      </c>
      <c r="Z1141" t="s">
        <v>47</v>
      </c>
      <c r="AA1141" t="s">
        <v>54</v>
      </c>
      <c r="AB1141" t="s">
        <v>41</v>
      </c>
      <c r="AC1141" t="s">
        <v>56</v>
      </c>
      <c r="AD1141" t="s">
        <v>45</v>
      </c>
      <c r="AE1141" t="s">
        <v>45</v>
      </c>
      <c r="AF1141" t="s">
        <v>45</v>
      </c>
      <c r="AG1141" t="s">
        <v>41</v>
      </c>
      <c r="AH1141" t="s">
        <v>55</v>
      </c>
      <c r="AI1141" t="s">
        <v>41</v>
      </c>
    </row>
    <row r="1142" spans="1:35" x14ac:dyDescent="0.25">
      <c r="A1142" t="s">
        <v>115</v>
      </c>
      <c r="B1142" t="s">
        <v>59</v>
      </c>
      <c r="C1142" t="s">
        <v>37</v>
      </c>
      <c r="D1142" t="s">
        <v>3553</v>
      </c>
      <c r="E1142" t="s">
        <v>62</v>
      </c>
      <c r="F1142" t="s">
        <v>71</v>
      </c>
      <c r="G1142" t="s">
        <v>45</v>
      </c>
      <c r="H1142" t="s">
        <v>87</v>
      </c>
      <c r="I1142" t="s">
        <v>40</v>
      </c>
      <c r="J1142" t="s">
        <v>3554</v>
      </c>
      <c r="K1142" t="s">
        <v>41</v>
      </c>
      <c r="L1142" t="s">
        <v>43</v>
      </c>
      <c r="M1142" t="s">
        <v>137</v>
      </c>
      <c r="N1142" t="s">
        <v>45</v>
      </c>
      <c r="O1142" t="s">
        <v>57</v>
      </c>
      <c r="P1142" t="s">
        <v>186</v>
      </c>
      <c r="Q1142" t="s">
        <v>47</v>
      </c>
      <c r="R1142" t="s">
        <v>109</v>
      </c>
      <c r="S1142" t="s">
        <v>3555</v>
      </c>
      <c r="T1142" t="s">
        <v>3556</v>
      </c>
      <c r="U1142" t="s">
        <v>55</v>
      </c>
      <c r="V1142" t="s">
        <v>52</v>
      </c>
      <c r="W1142" t="s">
        <v>36</v>
      </c>
      <c r="X1142" t="s">
        <v>129</v>
      </c>
      <c r="Y1142" t="s">
        <v>45</v>
      </c>
      <c r="Z1142" t="s">
        <v>47</v>
      </c>
      <c r="AA1142" t="s">
        <v>54</v>
      </c>
      <c r="AB1142" t="s">
        <v>40</v>
      </c>
      <c r="AC1142" t="s">
        <v>69</v>
      </c>
      <c r="AD1142" t="s">
        <v>47</v>
      </c>
      <c r="AE1142" t="s">
        <v>41</v>
      </c>
      <c r="AF1142" t="s">
        <v>112</v>
      </c>
      <c r="AG1142" t="s">
        <v>71</v>
      </c>
      <c r="AH1142" t="s">
        <v>40</v>
      </c>
      <c r="AI1142" t="s">
        <v>70</v>
      </c>
    </row>
    <row r="1143" spans="1:35" x14ac:dyDescent="0.25">
      <c r="A1143" t="s">
        <v>105</v>
      </c>
      <c r="B1143" t="s">
        <v>59</v>
      </c>
      <c r="C1143" t="s">
        <v>37</v>
      </c>
      <c r="D1143" t="s">
        <v>759</v>
      </c>
      <c r="E1143" t="s">
        <v>62</v>
      </c>
      <c r="F1143" t="s">
        <v>71</v>
      </c>
      <c r="G1143" t="s">
        <v>45</v>
      </c>
      <c r="H1143" t="s">
        <v>87</v>
      </c>
      <c r="I1143" t="s">
        <v>40</v>
      </c>
      <c r="J1143" t="s">
        <v>3557</v>
      </c>
      <c r="K1143" t="s">
        <v>41</v>
      </c>
      <c r="L1143" t="s">
        <v>63</v>
      </c>
      <c r="M1143" t="s">
        <v>207</v>
      </c>
      <c r="N1143" t="s">
        <v>41</v>
      </c>
      <c r="O1143" t="s">
        <v>40</v>
      </c>
      <c r="P1143" t="s">
        <v>65</v>
      </c>
      <c r="Q1143" t="s">
        <v>41</v>
      </c>
      <c r="R1143" t="s">
        <v>66</v>
      </c>
      <c r="S1143" t="s">
        <v>3558</v>
      </c>
      <c r="T1143" t="s">
        <v>3559</v>
      </c>
      <c r="U1143" t="s">
        <v>40</v>
      </c>
      <c r="V1143" t="s">
        <v>52</v>
      </c>
      <c r="W1143" t="s">
        <v>59</v>
      </c>
      <c r="X1143" t="s">
        <v>92</v>
      </c>
      <c r="Y1143" t="s">
        <v>45</v>
      </c>
      <c r="Z1143" t="s">
        <v>41</v>
      </c>
      <c r="AA1143" t="s">
        <v>54</v>
      </c>
      <c r="AB1143" t="s">
        <v>40</v>
      </c>
      <c r="AC1143" t="s">
        <v>56</v>
      </c>
      <c r="AD1143" t="s">
        <v>45</v>
      </c>
      <c r="AE1143" t="s">
        <v>41</v>
      </c>
      <c r="AF1143" t="s">
        <v>56</v>
      </c>
      <c r="AG1143" t="s">
        <v>47</v>
      </c>
      <c r="AH1143" t="s">
        <v>40</v>
      </c>
      <c r="AI1143" t="s">
        <v>40</v>
      </c>
    </row>
    <row r="1144" spans="1:35" x14ac:dyDescent="0.25">
      <c r="A1144" t="s">
        <v>174</v>
      </c>
      <c r="B1144" t="s">
        <v>59</v>
      </c>
      <c r="C1144" t="s">
        <v>37</v>
      </c>
      <c r="D1144" t="s">
        <v>2513</v>
      </c>
      <c r="E1144" t="s">
        <v>62</v>
      </c>
      <c r="F1144" t="s">
        <v>57</v>
      </c>
      <c r="G1144" t="s">
        <v>57</v>
      </c>
      <c r="H1144" t="s">
        <v>87</v>
      </c>
      <c r="I1144" t="s">
        <v>40</v>
      </c>
      <c r="J1144" t="s">
        <v>3133</v>
      </c>
      <c r="K1144" t="s">
        <v>45</v>
      </c>
      <c r="L1144" t="s">
        <v>43</v>
      </c>
      <c r="M1144" t="s">
        <v>151</v>
      </c>
      <c r="N1144" t="s">
        <v>40</v>
      </c>
      <c r="O1144" t="s">
        <v>41</v>
      </c>
      <c r="P1144" t="s">
        <v>76</v>
      </c>
      <c r="Q1144" t="s">
        <v>40</v>
      </c>
      <c r="R1144" t="s">
        <v>48</v>
      </c>
      <c r="S1144" t="s">
        <v>3191</v>
      </c>
      <c r="T1144" t="s">
        <v>3560</v>
      </c>
      <c r="U1144" t="s">
        <v>40</v>
      </c>
      <c r="V1144" t="s">
        <v>52</v>
      </c>
      <c r="W1144" t="s">
        <v>36</v>
      </c>
      <c r="X1144" t="s">
        <v>129</v>
      </c>
      <c r="Y1144" t="s">
        <v>45</v>
      </c>
      <c r="Z1144" t="s">
        <v>40</v>
      </c>
      <c r="AA1144" t="s">
        <v>54</v>
      </c>
      <c r="AB1144" t="s">
        <v>55</v>
      </c>
      <c r="AC1144" t="s">
        <v>70</v>
      </c>
      <c r="AD1144" t="s">
        <v>45</v>
      </c>
      <c r="AE1144" t="s">
        <v>45</v>
      </c>
      <c r="AF1144" t="s">
        <v>70</v>
      </c>
      <c r="AG1144" t="s">
        <v>71</v>
      </c>
      <c r="AH1144" t="s">
        <v>40</v>
      </c>
      <c r="AI1144" t="s">
        <v>47</v>
      </c>
    </row>
    <row r="1145" spans="1:35" x14ac:dyDescent="0.25">
      <c r="A1145" t="s">
        <v>174</v>
      </c>
      <c r="B1145" t="s">
        <v>59</v>
      </c>
      <c r="C1145" t="s">
        <v>161</v>
      </c>
      <c r="D1145" t="s">
        <v>1007</v>
      </c>
      <c r="E1145" t="s">
        <v>39</v>
      </c>
      <c r="F1145" t="s">
        <v>139</v>
      </c>
      <c r="G1145" t="s">
        <v>45</v>
      </c>
      <c r="H1145" t="s">
        <v>206</v>
      </c>
      <c r="I1145" t="s">
        <v>40</v>
      </c>
      <c r="J1145" t="s">
        <v>3561</v>
      </c>
      <c r="K1145" t="s">
        <v>40</v>
      </c>
      <c r="L1145" t="s">
        <v>63</v>
      </c>
      <c r="M1145" t="s">
        <v>251</v>
      </c>
      <c r="N1145" t="s">
        <v>41</v>
      </c>
      <c r="O1145" t="s">
        <v>41</v>
      </c>
      <c r="P1145" t="s">
        <v>46</v>
      </c>
      <c r="Q1145" t="s">
        <v>40</v>
      </c>
      <c r="R1145" t="s">
        <v>66</v>
      </c>
      <c r="S1145" t="s">
        <v>3562</v>
      </c>
      <c r="T1145" t="s">
        <v>3563</v>
      </c>
      <c r="U1145" t="s">
        <v>40</v>
      </c>
      <c r="V1145" t="s">
        <v>52</v>
      </c>
      <c r="W1145" t="s">
        <v>59</v>
      </c>
      <c r="X1145" t="s">
        <v>79</v>
      </c>
      <c r="Y1145" t="s">
        <v>45</v>
      </c>
      <c r="Z1145" t="s">
        <v>40</v>
      </c>
      <c r="AA1145" t="s">
        <v>54</v>
      </c>
      <c r="AB1145" t="s">
        <v>40</v>
      </c>
      <c r="AC1145" t="s">
        <v>70</v>
      </c>
      <c r="AD1145" t="s">
        <v>41</v>
      </c>
      <c r="AE1145" t="s">
        <v>45</v>
      </c>
      <c r="AF1145" t="s">
        <v>70</v>
      </c>
      <c r="AG1145" t="s">
        <v>71</v>
      </c>
      <c r="AH1145" t="s">
        <v>47</v>
      </c>
      <c r="AI1145" t="s">
        <v>57</v>
      </c>
    </row>
    <row r="1146" spans="1:35" x14ac:dyDescent="0.25">
      <c r="A1146" t="s">
        <v>137</v>
      </c>
      <c r="B1146" t="s">
        <v>59</v>
      </c>
      <c r="C1146" t="s">
        <v>60</v>
      </c>
      <c r="D1146" t="s">
        <v>1909</v>
      </c>
      <c r="E1146" t="s">
        <v>39</v>
      </c>
      <c r="F1146" t="s">
        <v>41</v>
      </c>
      <c r="G1146" t="s">
        <v>47</v>
      </c>
      <c r="H1146" t="s">
        <v>74</v>
      </c>
      <c r="I1146" t="s">
        <v>40</v>
      </c>
      <c r="J1146" t="s">
        <v>3564</v>
      </c>
      <c r="K1146" t="s">
        <v>47</v>
      </c>
      <c r="L1146" t="s">
        <v>63</v>
      </c>
      <c r="M1146" t="s">
        <v>259</v>
      </c>
      <c r="N1146" t="s">
        <v>45</v>
      </c>
      <c r="O1146" t="s">
        <v>41</v>
      </c>
      <c r="P1146" t="s">
        <v>46</v>
      </c>
      <c r="Q1146" t="s">
        <v>40</v>
      </c>
      <c r="R1146" t="s">
        <v>48</v>
      </c>
      <c r="S1146" t="s">
        <v>3565</v>
      </c>
      <c r="T1146" t="s">
        <v>3566</v>
      </c>
      <c r="U1146" t="s">
        <v>71</v>
      </c>
      <c r="V1146" t="s">
        <v>52</v>
      </c>
      <c r="W1146" t="s">
        <v>59</v>
      </c>
      <c r="X1146" t="s">
        <v>98</v>
      </c>
      <c r="Y1146" t="s">
        <v>45</v>
      </c>
      <c r="Z1146" t="s">
        <v>47</v>
      </c>
      <c r="AA1146" t="s">
        <v>54</v>
      </c>
      <c r="AB1146" t="s">
        <v>55</v>
      </c>
      <c r="AC1146" t="s">
        <v>70</v>
      </c>
      <c r="AD1146" t="s">
        <v>45</v>
      </c>
      <c r="AE1146" t="s">
        <v>45</v>
      </c>
      <c r="AF1146" t="s">
        <v>57</v>
      </c>
      <c r="AG1146" t="s">
        <v>41</v>
      </c>
      <c r="AH1146" t="s">
        <v>55</v>
      </c>
      <c r="AI1146" t="s">
        <v>45</v>
      </c>
    </row>
    <row r="1147" spans="1:35" x14ac:dyDescent="0.25">
      <c r="A1147" t="s">
        <v>120</v>
      </c>
      <c r="B1147" t="s">
        <v>59</v>
      </c>
      <c r="C1147" t="s">
        <v>37</v>
      </c>
      <c r="D1147" t="s">
        <v>1311</v>
      </c>
      <c r="E1147" t="s">
        <v>62</v>
      </c>
      <c r="F1147" t="s">
        <v>92</v>
      </c>
      <c r="G1147" t="s">
        <v>47</v>
      </c>
      <c r="H1147" t="s">
        <v>42</v>
      </c>
      <c r="I1147" t="s">
        <v>40</v>
      </c>
      <c r="J1147" t="s">
        <v>3567</v>
      </c>
      <c r="K1147" t="s">
        <v>45</v>
      </c>
      <c r="L1147" t="s">
        <v>43</v>
      </c>
      <c r="M1147" t="s">
        <v>322</v>
      </c>
      <c r="N1147" t="s">
        <v>45</v>
      </c>
      <c r="O1147" t="s">
        <v>41</v>
      </c>
      <c r="P1147" t="s">
        <v>116</v>
      </c>
      <c r="Q1147" t="s">
        <v>45</v>
      </c>
      <c r="R1147" t="s">
        <v>66</v>
      </c>
      <c r="S1147" t="s">
        <v>3568</v>
      </c>
      <c r="T1147" t="s">
        <v>3569</v>
      </c>
      <c r="U1147" t="s">
        <v>91</v>
      </c>
      <c r="V1147" t="s">
        <v>52</v>
      </c>
      <c r="W1147" t="s">
        <v>36</v>
      </c>
      <c r="X1147" t="s">
        <v>92</v>
      </c>
      <c r="Y1147" t="s">
        <v>45</v>
      </c>
      <c r="Z1147" t="s">
        <v>41</v>
      </c>
      <c r="AA1147" t="s">
        <v>54</v>
      </c>
      <c r="AB1147" t="s">
        <v>41</v>
      </c>
      <c r="AC1147" t="s">
        <v>71</v>
      </c>
      <c r="AD1147" t="s">
        <v>41</v>
      </c>
      <c r="AE1147" t="s">
        <v>45</v>
      </c>
      <c r="AF1147" t="s">
        <v>45</v>
      </c>
      <c r="AG1147" t="s">
        <v>41</v>
      </c>
      <c r="AH1147" t="s">
        <v>40</v>
      </c>
      <c r="AI1147" t="s">
        <v>40</v>
      </c>
    </row>
    <row r="1148" spans="1:35" x14ac:dyDescent="0.25">
      <c r="A1148" t="s">
        <v>142</v>
      </c>
      <c r="B1148" t="s">
        <v>59</v>
      </c>
      <c r="C1148" t="s">
        <v>60</v>
      </c>
      <c r="D1148" t="s">
        <v>1251</v>
      </c>
      <c r="E1148" t="s">
        <v>62</v>
      </c>
      <c r="F1148" t="s">
        <v>70</v>
      </c>
      <c r="G1148" t="s">
        <v>47</v>
      </c>
      <c r="H1148" t="s">
        <v>42</v>
      </c>
      <c r="I1148" t="s">
        <v>40</v>
      </c>
      <c r="J1148" t="s">
        <v>3570</v>
      </c>
      <c r="K1148" t="s">
        <v>45</v>
      </c>
      <c r="L1148" t="s">
        <v>63</v>
      </c>
      <c r="M1148" t="s">
        <v>204</v>
      </c>
      <c r="N1148" t="s">
        <v>47</v>
      </c>
      <c r="O1148" t="s">
        <v>41</v>
      </c>
      <c r="P1148" t="s">
        <v>116</v>
      </c>
      <c r="Q1148" t="s">
        <v>47</v>
      </c>
      <c r="R1148" t="s">
        <v>109</v>
      </c>
      <c r="S1148" t="s">
        <v>3163</v>
      </c>
      <c r="T1148" t="s">
        <v>3571</v>
      </c>
      <c r="U1148" t="s">
        <v>40</v>
      </c>
      <c r="V1148" t="s">
        <v>52</v>
      </c>
      <c r="W1148" t="s">
        <v>59</v>
      </c>
      <c r="X1148" t="s">
        <v>98</v>
      </c>
      <c r="Y1148" t="s">
        <v>45</v>
      </c>
      <c r="Z1148" t="s">
        <v>40</v>
      </c>
      <c r="AA1148" t="s">
        <v>54</v>
      </c>
      <c r="AB1148" t="s">
        <v>40</v>
      </c>
      <c r="AC1148" t="s">
        <v>91</v>
      </c>
      <c r="AD1148" t="s">
        <v>45</v>
      </c>
      <c r="AE1148" t="s">
        <v>45</v>
      </c>
      <c r="AF1148" t="s">
        <v>91</v>
      </c>
      <c r="AG1148" t="s">
        <v>71</v>
      </c>
      <c r="AH1148" t="s">
        <v>71</v>
      </c>
      <c r="AI1148" t="s">
        <v>41</v>
      </c>
    </row>
    <row r="1149" spans="1:35" x14ac:dyDescent="0.25">
      <c r="A1149" t="s">
        <v>58</v>
      </c>
      <c r="B1149" t="s">
        <v>59</v>
      </c>
      <c r="C1149" t="s">
        <v>37</v>
      </c>
      <c r="D1149" t="s">
        <v>1927</v>
      </c>
      <c r="E1149" t="s">
        <v>62</v>
      </c>
      <c r="F1149" t="s">
        <v>172</v>
      </c>
      <c r="G1149" t="s">
        <v>47</v>
      </c>
      <c r="H1149" t="s">
        <v>42</v>
      </c>
      <c r="I1149" t="s">
        <v>40</v>
      </c>
      <c r="J1149" t="s">
        <v>3572</v>
      </c>
      <c r="K1149" t="s">
        <v>45</v>
      </c>
      <c r="L1149" t="s">
        <v>43</v>
      </c>
      <c r="M1149" t="s">
        <v>130</v>
      </c>
      <c r="N1149" t="s">
        <v>45</v>
      </c>
      <c r="O1149" t="s">
        <v>40</v>
      </c>
      <c r="P1149" t="s">
        <v>76</v>
      </c>
      <c r="Q1149" t="s">
        <v>40</v>
      </c>
      <c r="R1149" t="s">
        <v>66</v>
      </c>
      <c r="S1149" t="s">
        <v>3573</v>
      </c>
      <c r="T1149" t="s">
        <v>1613</v>
      </c>
      <c r="U1149" t="s">
        <v>40</v>
      </c>
      <c r="V1149" t="s">
        <v>52</v>
      </c>
      <c r="W1149" t="s">
        <v>59</v>
      </c>
      <c r="X1149" t="s">
        <v>129</v>
      </c>
      <c r="Y1149" t="s">
        <v>45</v>
      </c>
      <c r="Z1149" t="s">
        <v>47</v>
      </c>
      <c r="AA1149" t="s">
        <v>54</v>
      </c>
      <c r="AB1149" t="s">
        <v>40</v>
      </c>
      <c r="AC1149" t="s">
        <v>70</v>
      </c>
      <c r="AD1149" t="s">
        <v>45</v>
      </c>
      <c r="AE1149" t="s">
        <v>41</v>
      </c>
      <c r="AF1149" t="s">
        <v>91</v>
      </c>
      <c r="AG1149" t="s">
        <v>56</v>
      </c>
      <c r="AH1149" t="s">
        <v>40</v>
      </c>
      <c r="AI1149" t="s">
        <v>47</v>
      </c>
    </row>
    <row r="1150" spans="1:35" x14ac:dyDescent="0.25">
      <c r="A1150" t="s">
        <v>218</v>
      </c>
      <c r="B1150" t="s">
        <v>59</v>
      </c>
      <c r="C1150" t="s">
        <v>37</v>
      </c>
      <c r="D1150" t="s">
        <v>3162</v>
      </c>
      <c r="E1150" t="s">
        <v>62</v>
      </c>
      <c r="F1150" t="s">
        <v>70</v>
      </c>
      <c r="G1150" t="s">
        <v>57</v>
      </c>
      <c r="H1150" t="s">
        <v>87</v>
      </c>
      <c r="I1150" t="s">
        <v>40</v>
      </c>
      <c r="J1150" t="s">
        <v>3574</v>
      </c>
      <c r="K1150" t="s">
        <v>41</v>
      </c>
      <c r="L1150" t="s">
        <v>63</v>
      </c>
      <c r="M1150" t="s">
        <v>322</v>
      </c>
      <c r="N1150" t="s">
        <v>45</v>
      </c>
      <c r="O1150" t="s">
        <v>41</v>
      </c>
      <c r="P1150" t="s">
        <v>116</v>
      </c>
      <c r="Q1150" t="s">
        <v>40</v>
      </c>
      <c r="R1150" t="s">
        <v>66</v>
      </c>
      <c r="S1150" t="s">
        <v>3575</v>
      </c>
      <c r="T1150" t="s">
        <v>3576</v>
      </c>
      <c r="U1150" t="s">
        <v>41</v>
      </c>
      <c r="V1150" t="s">
        <v>52</v>
      </c>
      <c r="W1150" t="s">
        <v>59</v>
      </c>
      <c r="X1150" t="s">
        <v>98</v>
      </c>
      <c r="Y1150" t="s">
        <v>45</v>
      </c>
      <c r="Z1150" t="s">
        <v>47</v>
      </c>
      <c r="AA1150" t="s">
        <v>54</v>
      </c>
      <c r="AB1150" t="s">
        <v>45</v>
      </c>
      <c r="AC1150" t="s">
        <v>70</v>
      </c>
      <c r="AD1150" t="s">
        <v>45</v>
      </c>
      <c r="AE1150" t="s">
        <v>45</v>
      </c>
      <c r="AF1150" t="s">
        <v>71</v>
      </c>
      <c r="AG1150" t="s">
        <v>71</v>
      </c>
      <c r="AH1150" t="s">
        <v>71</v>
      </c>
      <c r="AI1150" t="s">
        <v>71</v>
      </c>
    </row>
    <row r="1151" spans="1:35" x14ac:dyDescent="0.25">
      <c r="A1151" t="s">
        <v>85</v>
      </c>
      <c r="B1151" t="s">
        <v>59</v>
      </c>
      <c r="C1151" t="s">
        <v>37</v>
      </c>
      <c r="D1151" t="s">
        <v>1206</v>
      </c>
      <c r="E1151" t="s">
        <v>62</v>
      </c>
      <c r="F1151" t="s">
        <v>144</v>
      </c>
      <c r="G1151" t="s">
        <v>45</v>
      </c>
      <c r="H1151" t="s">
        <v>74</v>
      </c>
      <c r="I1151" t="s">
        <v>40</v>
      </c>
      <c r="J1151" t="s">
        <v>3577</v>
      </c>
      <c r="K1151" t="s">
        <v>47</v>
      </c>
      <c r="L1151" t="s">
        <v>63</v>
      </c>
      <c r="M1151" t="s">
        <v>108</v>
      </c>
      <c r="N1151" t="s">
        <v>41</v>
      </c>
      <c r="O1151" t="s">
        <v>40</v>
      </c>
      <c r="P1151" t="s">
        <v>76</v>
      </c>
      <c r="Q1151" t="s">
        <v>40</v>
      </c>
      <c r="R1151" t="s">
        <v>109</v>
      </c>
      <c r="S1151" t="s">
        <v>3578</v>
      </c>
      <c r="T1151" t="s">
        <v>3579</v>
      </c>
      <c r="U1151" t="s">
        <v>40</v>
      </c>
      <c r="V1151" t="s">
        <v>52</v>
      </c>
      <c r="W1151" t="s">
        <v>59</v>
      </c>
      <c r="X1151" t="s">
        <v>53</v>
      </c>
      <c r="Y1151" t="s">
        <v>45</v>
      </c>
      <c r="Z1151" t="s">
        <v>40</v>
      </c>
      <c r="AA1151" t="s">
        <v>54</v>
      </c>
      <c r="AB1151" t="s">
        <v>41</v>
      </c>
      <c r="AC1151" t="s">
        <v>71</v>
      </c>
      <c r="AD1151" t="s">
        <v>45</v>
      </c>
      <c r="AE1151" t="s">
        <v>45</v>
      </c>
      <c r="AF1151" t="s">
        <v>71</v>
      </c>
      <c r="AG1151" t="s">
        <v>71</v>
      </c>
      <c r="AH1151" t="s">
        <v>55</v>
      </c>
      <c r="AI1151" t="s">
        <v>71</v>
      </c>
    </row>
    <row r="1152" spans="1:35" x14ac:dyDescent="0.25">
      <c r="A1152" t="s">
        <v>126</v>
      </c>
      <c r="B1152" t="s">
        <v>59</v>
      </c>
      <c r="C1152" t="s">
        <v>37</v>
      </c>
      <c r="D1152" t="s">
        <v>2112</v>
      </c>
      <c r="E1152" t="s">
        <v>62</v>
      </c>
      <c r="F1152" t="s">
        <v>145</v>
      </c>
      <c r="G1152" t="s">
        <v>57</v>
      </c>
      <c r="H1152" t="s">
        <v>42</v>
      </c>
      <c r="I1152" t="s">
        <v>40</v>
      </c>
      <c r="J1152" t="s">
        <v>3580</v>
      </c>
      <c r="K1152" t="s">
        <v>41</v>
      </c>
      <c r="L1152" t="s">
        <v>63</v>
      </c>
      <c r="M1152" t="s">
        <v>207</v>
      </c>
      <c r="N1152" t="s">
        <v>47</v>
      </c>
      <c r="O1152" t="s">
        <v>41</v>
      </c>
      <c r="P1152" t="s">
        <v>65</v>
      </c>
      <c r="Q1152" t="s">
        <v>40</v>
      </c>
      <c r="R1152" t="s">
        <v>66</v>
      </c>
      <c r="S1152" t="s">
        <v>3581</v>
      </c>
      <c r="T1152" t="s">
        <v>3582</v>
      </c>
      <c r="U1152" t="s">
        <v>40</v>
      </c>
      <c r="V1152" t="s">
        <v>52</v>
      </c>
      <c r="W1152" t="s">
        <v>59</v>
      </c>
      <c r="X1152" t="s">
        <v>53</v>
      </c>
      <c r="Y1152" t="s">
        <v>45</v>
      </c>
      <c r="Z1152" t="s">
        <v>47</v>
      </c>
      <c r="AA1152" t="s">
        <v>54</v>
      </c>
      <c r="AB1152" t="s">
        <v>55</v>
      </c>
      <c r="AC1152" t="s">
        <v>128</v>
      </c>
      <c r="AD1152" t="s">
        <v>41</v>
      </c>
      <c r="AE1152" t="s">
        <v>45</v>
      </c>
      <c r="AF1152" t="s">
        <v>128</v>
      </c>
      <c r="AG1152" t="s">
        <v>79</v>
      </c>
      <c r="AH1152" t="s">
        <v>40</v>
      </c>
      <c r="AI1152" t="s">
        <v>70</v>
      </c>
    </row>
    <row r="1153" spans="1:35" x14ac:dyDescent="0.25">
      <c r="A1153" t="s">
        <v>149</v>
      </c>
      <c r="B1153" t="s">
        <v>59</v>
      </c>
      <c r="C1153" t="s">
        <v>37</v>
      </c>
      <c r="D1153" t="s">
        <v>1640</v>
      </c>
      <c r="E1153" t="s">
        <v>62</v>
      </c>
      <c r="F1153" t="s">
        <v>85</v>
      </c>
      <c r="G1153" t="s">
        <v>45</v>
      </c>
      <c r="H1153" t="s">
        <v>87</v>
      </c>
      <c r="I1153" t="s">
        <v>40</v>
      </c>
      <c r="J1153" t="s">
        <v>3583</v>
      </c>
      <c r="K1153" t="s">
        <v>41</v>
      </c>
      <c r="L1153" t="s">
        <v>43</v>
      </c>
      <c r="M1153" t="s">
        <v>218</v>
      </c>
      <c r="N1153" t="s">
        <v>40</v>
      </c>
      <c r="O1153" t="s">
        <v>41</v>
      </c>
      <c r="P1153" t="s">
        <v>116</v>
      </c>
      <c r="Q1153" t="s">
        <v>40</v>
      </c>
      <c r="R1153" t="s">
        <v>109</v>
      </c>
      <c r="S1153" t="s">
        <v>3584</v>
      </c>
      <c r="T1153" t="s">
        <v>3585</v>
      </c>
      <c r="U1153" t="s">
        <v>55</v>
      </c>
      <c r="V1153" t="s">
        <v>52</v>
      </c>
      <c r="W1153" t="s">
        <v>59</v>
      </c>
      <c r="X1153" t="s">
        <v>119</v>
      </c>
      <c r="Y1153" t="s">
        <v>47</v>
      </c>
      <c r="Z1153" t="s">
        <v>41</v>
      </c>
      <c r="AA1153" t="s">
        <v>54</v>
      </c>
      <c r="AB1153" t="s">
        <v>40</v>
      </c>
      <c r="AC1153" t="s">
        <v>56</v>
      </c>
      <c r="AD1153" t="s">
        <v>57</v>
      </c>
      <c r="AE1153" t="s">
        <v>41</v>
      </c>
      <c r="AF1153" t="s">
        <v>57</v>
      </c>
      <c r="AG1153" t="s">
        <v>45</v>
      </c>
      <c r="AH1153" t="s">
        <v>55</v>
      </c>
      <c r="AI1153" t="s">
        <v>55</v>
      </c>
    </row>
    <row r="1154" spans="1:35" x14ac:dyDescent="0.25">
      <c r="A1154" t="s">
        <v>119</v>
      </c>
      <c r="B1154" t="s">
        <v>59</v>
      </c>
      <c r="C1154" t="s">
        <v>37</v>
      </c>
      <c r="D1154" t="s">
        <v>1563</v>
      </c>
      <c r="E1154" t="s">
        <v>62</v>
      </c>
      <c r="F1154" t="s">
        <v>57</v>
      </c>
      <c r="G1154" t="s">
        <v>40</v>
      </c>
      <c r="H1154" t="s">
        <v>87</v>
      </c>
      <c r="I1154" t="s">
        <v>40</v>
      </c>
      <c r="J1154" t="s">
        <v>3586</v>
      </c>
      <c r="K1154" t="s">
        <v>45</v>
      </c>
      <c r="L1154" t="s">
        <v>63</v>
      </c>
      <c r="M1154" t="s">
        <v>244</v>
      </c>
      <c r="N1154" t="s">
        <v>45</v>
      </c>
      <c r="O1154" t="s">
        <v>40</v>
      </c>
      <c r="P1154" t="s">
        <v>65</v>
      </c>
      <c r="Q1154" t="s">
        <v>47</v>
      </c>
      <c r="R1154" t="s">
        <v>48</v>
      </c>
      <c r="S1154" t="s">
        <v>3587</v>
      </c>
      <c r="T1154" t="s">
        <v>3588</v>
      </c>
      <c r="U1154" t="s">
        <v>40</v>
      </c>
      <c r="V1154" t="s">
        <v>52</v>
      </c>
      <c r="W1154" t="s">
        <v>59</v>
      </c>
      <c r="X1154" t="s">
        <v>145</v>
      </c>
      <c r="Y1154" t="s">
        <v>45</v>
      </c>
      <c r="Z1154" t="s">
        <v>45</v>
      </c>
      <c r="AA1154" t="s">
        <v>54</v>
      </c>
      <c r="AB1154" t="s">
        <v>55</v>
      </c>
      <c r="AC1154" t="s">
        <v>45</v>
      </c>
      <c r="AD1154" t="s">
        <v>41</v>
      </c>
      <c r="AE1154" t="s">
        <v>45</v>
      </c>
      <c r="AF1154" t="s">
        <v>41</v>
      </c>
      <c r="AG1154" t="s">
        <v>41</v>
      </c>
      <c r="AH1154" t="s">
        <v>41</v>
      </c>
      <c r="AI1154" t="s">
        <v>41</v>
      </c>
    </row>
    <row r="1155" spans="1:35" x14ac:dyDescent="0.25">
      <c r="A1155" t="s">
        <v>145</v>
      </c>
      <c r="B1155" t="s">
        <v>36</v>
      </c>
      <c r="C1155" t="s">
        <v>60</v>
      </c>
      <c r="D1155" t="s">
        <v>1380</v>
      </c>
      <c r="E1155" t="s">
        <v>39</v>
      </c>
      <c r="F1155" t="s">
        <v>45</v>
      </c>
      <c r="G1155" t="s">
        <v>41</v>
      </c>
      <c r="H1155" t="s">
        <v>87</v>
      </c>
      <c r="I1155" t="s">
        <v>40</v>
      </c>
      <c r="J1155" t="s">
        <v>3589</v>
      </c>
      <c r="K1155" t="s">
        <v>41</v>
      </c>
      <c r="L1155" t="s">
        <v>43</v>
      </c>
      <c r="M1155" t="s">
        <v>304</v>
      </c>
      <c r="N1155" t="s">
        <v>45</v>
      </c>
      <c r="O1155" t="s">
        <v>40</v>
      </c>
      <c r="P1155" t="s">
        <v>182</v>
      </c>
      <c r="Q1155" t="s">
        <v>47</v>
      </c>
      <c r="R1155" t="s">
        <v>48</v>
      </c>
      <c r="S1155" t="s">
        <v>3472</v>
      </c>
      <c r="T1155" t="s">
        <v>3590</v>
      </c>
      <c r="U1155" t="s">
        <v>40</v>
      </c>
      <c r="V1155" t="s">
        <v>52</v>
      </c>
      <c r="W1155" t="s">
        <v>36</v>
      </c>
      <c r="X1155" t="s">
        <v>92</v>
      </c>
      <c r="Y1155" t="s">
        <v>45</v>
      </c>
      <c r="Z1155" t="s">
        <v>45</v>
      </c>
      <c r="AA1155" t="s">
        <v>54</v>
      </c>
      <c r="AB1155" t="s">
        <v>55</v>
      </c>
      <c r="AC1155" t="s">
        <v>55</v>
      </c>
      <c r="AD1155" t="s">
        <v>41</v>
      </c>
      <c r="AE1155" t="s">
        <v>47</v>
      </c>
      <c r="AF1155" t="s">
        <v>55</v>
      </c>
      <c r="AG1155" t="s">
        <v>55</v>
      </c>
      <c r="AH1155" t="s">
        <v>55</v>
      </c>
      <c r="AI1155" t="s">
        <v>55</v>
      </c>
    </row>
    <row r="1156" spans="1:35" x14ac:dyDescent="0.25">
      <c r="A1156" t="s">
        <v>239</v>
      </c>
      <c r="B1156" t="s">
        <v>59</v>
      </c>
      <c r="C1156" t="s">
        <v>37</v>
      </c>
      <c r="D1156" t="s">
        <v>1864</v>
      </c>
      <c r="E1156" t="s">
        <v>397</v>
      </c>
      <c r="F1156" t="s">
        <v>139</v>
      </c>
      <c r="G1156" t="s">
        <v>47</v>
      </c>
      <c r="H1156" t="s">
        <v>42</v>
      </c>
      <c r="I1156" t="s">
        <v>40</v>
      </c>
      <c r="J1156" t="s">
        <v>3591</v>
      </c>
      <c r="K1156" t="s">
        <v>47</v>
      </c>
      <c r="L1156" t="s">
        <v>43</v>
      </c>
      <c r="M1156" t="s">
        <v>284</v>
      </c>
      <c r="N1156" t="s">
        <v>45</v>
      </c>
      <c r="O1156" t="s">
        <v>57</v>
      </c>
      <c r="P1156" t="s">
        <v>169</v>
      </c>
      <c r="Q1156" t="s">
        <v>45</v>
      </c>
      <c r="R1156" t="s">
        <v>66</v>
      </c>
      <c r="S1156" t="s">
        <v>1678</v>
      </c>
      <c r="T1156" t="s">
        <v>2901</v>
      </c>
      <c r="U1156" t="s">
        <v>45</v>
      </c>
      <c r="V1156" t="s">
        <v>52</v>
      </c>
      <c r="W1156" t="s">
        <v>59</v>
      </c>
      <c r="X1156" t="s">
        <v>53</v>
      </c>
      <c r="Y1156" t="s">
        <v>45</v>
      </c>
      <c r="Z1156" t="s">
        <v>45</v>
      </c>
      <c r="AA1156" t="s">
        <v>54</v>
      </c>
      <c r="AB1156" t="s">
        <v>40</v>
      </c>
      <c r="AC1156" t="s">
        <v>85</v>
      </c>
      <c r="AD1156" t="s">
        <v>41</v>
      </c>
      <c r="AE1156" t="s">
        <v>45</v>
      </c>
      <c r="AF1156" t="s">
        <v>57</v>
      </c>
      <c r="AG1156" t="s">
        <v>41</v>
      </c>
      <c r="AH1156" t="s">
        <v>40</v>
      </c>
      <c r="AI1156" t="s">
        <v>55</v>
      </c>
    </row>
    <row r="1157" spans="1:35" x14ac:dyDescent="0.25">
      <c r="A1157" t="s">
        <v>218</v>
      </c>
      <c r="B1157" t="s">
        <v>59</v>
      </c>
      <c r="C1157" t="s">
        <v>37</v>
      </c>
      <c r="D1157" t="s">
        <v>589</v>
      </c>
      <c r="E1157" t="s">
        <v>62</v>
      </c>
      <c r="F1157" t="s">
        <v>45</v>
      </c>
      <c r="G1157" t="s">
        <v>41</v>
      </c>
      <c r="H1157" t="s">
        <v>87</v>
      </c>
      <c r="I1157" t="s">
        <v>40</v>
      </c>
      <c r="J1157" t="s">
        <v>3592</v>
      </c>
      <c r="K1157" t="s">
        <v>45</v>
      </c>
      <c r="L1157" t="s">
        <v>63</v>
      </c>
      <c r="M1157" t="s">
        <v>322</v>
      </c>
      <c r="N1157" t="s">
        <v>41</v>
      </c>
      <c r="O1157" t="s">
        <v>41</v>
      </c>
      <c r="P1157" t="s">
        <v>76</v>
      </c>
      <c r="Q1157" t="s">
        <v>45</v>
      </c>
      <c r="R1157" t="s">
        <v>109</v>
      </c>
      <c r="S1157" t="s">
        <v>3593</v>
      </c>
      <c r="T1157" t="s">
        <v>3594</v>
      </c>
      <c r="U1157" t="s">
        <v>55</v>
      </c>
      <c r="V1157" t="s">
        <v>52</v>
      </c>
      <c r="W1157" t="s">
        <v>59</v>
      </c>
      <c r="X1157" t="s">
        <v>79</v>
      </c>
      <c r="Y1157" t="s">
        <v>45</v>
      </c>
      <c r="Z1157" t="s">
        <v>47</v>
      </c>
      <c r="AA1157" t="s">
        <v>54</v>
      </c>
      <c r="AB1157" t="s">
        <v>40</v>
      </c>
      <c r="AC1157" t="s">
        <v>53</v>
      </c>
      <c r="AD1157" t="s">
        <v>45</v>
      </c>
      <c r="AE1157" t="s">
        <v>45</v>
      </c>
      <c r="AF1157" t="s">
        <v>70</v>
      </c>
      <c r="AG1157" t="s">
        <v>51</v>
      </c>
      <c r="AH1157" t="s">
        <v>55</v>
      </c>
      <c r="AI1157" t="s">
        <v>71</v>
      </c>
    </row>
    <row r="1158" spans="1:35" x14ac:dyDescent="0.25">
      <c r="A1158" t="s">
        <v>88</v>
      </c>
      <c r="B1158" t="s">
        <v>59</v>
      </c>
      <c r="C1158" t="s">
        <v>37</v>
      </c>
      <c r="D1158" t="s">
        <v>3503</v>
      </c>
      <c r="E1158" t="s">
        <v>62</v>
      </c>
      <c r="F1158" t="s">
        <v>79</v>
      </c>
      <c r="G1158" t="s">
        <v>45</v>
      </c>
      <c r="H1158" t="s">
        <v>42</v>
      </c>
      <c r="I1158" t="s">
        <v>40</v>
      </c>
      <c r="J1158" t="s">
        <v>3595</v>
      </c>
      <c r="K1158" t="s">
        <v>40</v>
      </c>
      <c r="L1158" t="s">
        <v>43</v>
      </c>
      <c r="M1158" t="s">
        <v>54</v>
      </c>
      <c r="N1158" t="s">
        <v>41</v>
      </c>
      <c r="O1158" t="s">
        <v>45</v>
      </c>
      <c r="P1158" t="s">
        <v>116</v>
      </c>
      <c r="Q1158" t="s">
        <v>45</v>
      </c>
      <c r="R1158" t="s">
        <v>66</v>
      </c>
      <c r="S1158" t="s">
        <v>3596</v>
      </c>
      <c r="T1158" t="s">
        <v>3597</v>
      </c>
      <c r="U1158" t="s">
        <v>40</v>
      </c>
      <c r="V1158" t="s">
        <v>52</v>
      </c>
      <c r="W1158" t="s">
        <v>59</v>
      </c>
      <c r="X1158" t="s">
        <v>98</v>
      </c>
      <c r="Y1158" t="s">
        <v>45</v>
      </c>
      <c r="Z1158" t="s">
        <v>47</v>
      </c>
      <c r="AA1158" t="s">
        <v>54</v>
      </c>
      <c r="AB1158" t="s">
        <v>41</v>
      </c>
      <c r="AC1158" t="s">
        <v>145</v>
      </c>
      <c r="AD1158" t="s">
        <v>41</v>
      </c>
      <c r="AE1158" t="s">
        <v>45</v>
      </c>
      <c r="AF1158" t="s">
        <v>145</v>
      </c>
      <c r="AG1158" t="s">
        <v>79</v>
      </c>
      <c r="AH1158" t="s">
        <v>129</v>
      </c>
      <c r="AI1158" t="s">
        <v>92</v>
      </c>
    </row>
    <row r="1159" spans="1:35" x14ac:dyDescent="0.25">
      <c r="A1159" t="s">
        <v>126</v>
      </c>
      <c r="B1159" t="s">
        <v>59</v>
      </c>
      <c r="C1159" t="s">
        <v>161</v>
      </c>
      <c r="D1159" t="s">
        <v>687</v>
      </c>
      <c r="E1159" t="s">
        <v>62</v>
      </c>
      <c r="F1159" t="s">
        <v>51</v>
      </c>
      <c r="G1159" t="s">
        <v>47</v>
      </c>
      <c r="H1159" t="s">
        <v>42</v>
      </c>
      <c r="I1159" t="s">
        <v>40</v>
      </c>
      <c r="J1159" t="s">
        <v>3598</v>
      </c>
      <c r="K1159" t="s">
        <v>45</v>
      </c>
      <c r="L1159" t="s">
        <v>43</v>
      </c>
      <c r="M1159" t="s">
        <v>251</v>
      </c>
      <c r="N1159" t="s">
        <v>45</v>
      </c>
      <c r="O1159" t="s">
        <v>41</v>
      </c>
      <c r="P1159" t="s">
        <v>122</v>
      </c>
      <c r="Q1159" t="s">
        <v>45</v>
      </c>
      <c r="R1159" t="s">
        <v>66</v>
      </c>
      <c r="S1159" t="s">
        <v>2502</v>
      </c>
      <c r="T1159" t="s">
        <v>3599</v>
      </c>
      <c r="U1159" t="s">
        <v>40</v>
      </c>
      <c r="V1159" t="s">
        <v>52</v>
      </c>
      <c r="W1159" t="s">
        <v>59</v>
      </c>
      <c r="X1159" t="s">
        <v>92</v>
      </c>
      <c r="Y1159" t="s">
        <v>45</v>
      </c>
      <c r="Z1159" t="s">
        <v>47</v>
      </c>
      <c r="AA1159" t="s">
        <v>54</v>
      </c>
      <c r="AB1159" t="s">
        <v>40</v>
      </c>
      <c r="AC1159" t="s">
        <v>79</v>
      </c>
      <c r="AD1159" t="s">
        <v>57</v>
      </c>
      <c r="AE1159" t="s">
        <v>45</v>
      </c>
      <c r="AF1159" t="s">
        <v>129</v>
      </c>
      <c r="AG1159" t="s">
        <v>53</v>
      </c>
      <c r="AH1159" t="s">
        <v>41</v>
      </c>
      <c r="AI1159" t="s">
        <v>91</v>
      </c>
    </row>
    <row r="1160" spans="1:35" x14ac:dyDescent="0.25">
      <c r="A1160" t="s">
        <v>72</v>
      </c>
      <c r="B1160" t="s">
        <v>59</v>
      </c>
      <c r="C1160" t="s">
        <v>37</v>
      </c>
      <c r="D1160" t="s">
        <v>1834</v>
      </c>
      <c r="E1160" t="s">
        <v>62</v>
      </c>
      <c r="F1160" t="s">
        <v>144</v>
      </c>
      <c r="G1160" t="s">
        <v>45</v>
      </c>
      <c r="H1160" t="s">
        <v>42</v>
      </c>
      <c r="I1160" t="s">
        <v>40</v>
      </c>
      <c r="J1160" t="s">
        <v>3600</v>
      </c>
      <c r="K1160" t="s">
        <v>45</v>
      </c>
      <c r="L1160" t="s">
        <v>63</v>
      </c>
      <c r="M1160" t="s">
        <v>348</v>
      </c>
      <c r="N1160" t="s">
        <v>45</v>
      </c>
      <c r="O1160" t="s">
        <v>41</v>
      </c>
      <c r="P1160" t="s">
        <v>116</v>
      </c>
      <c r="Q1160" t="s">
        <v>45</v>
      </c>
      <c r="R1160" t="s">
        <v>66</v>
      </c>
      <c r="S1160" t="s">
        <v>3601</v>
      </c>
      <c r="T1160" t="s">
        <v>3602</v>
      </c>
      <c r="U1160" t="s">
        <v>45</v>
      </c>
      <c r="V1160" t="s">
        <v>52</v>
      </c>
      <c r="W1160" t="s">
        <v>59</v>
      </c>
      <c r="X1160" t="s">
        <v>125</v>
      </c>
      <c r="Y1160" t="s">
        <v>45</v>
      </c>
      <c r="Z1160" t="s">
        <v>40</v>
      </c>
      <c r="AA1160" t="s">
        <v>54</v>
      </c>
      <c r="AB1160" t="s">
        <v>45</v>
      </c>
      <c r="AC1160" t="s">
        <v>91</v>
      </c>
      <c r="AD1160" t="s">
        <v>41</v>
      </c>
      <c r="AE1160" t="s">
        <v>41</v>
      </c>
      <c r="AF1160" t="s">
        <v>47</v>
      </c>
      <c r="AG1160" t="s">
        <v>45</v>
      </c>
      <c r="AH1160" t="s">
        <v>55</v>
      </c>
      <c r="AI1160" t="s">
        <v>41</v>
      </c>
    </row>
    <row r="1161" spans="1:35" x14ac:dyDescent="0.25">
      <c r="A1161" t="s">
        <v>218</v>
      </c>
      <c r="B1161" t="s">
        <v>59</v>
      </c>
      <c r="C1161" t="s">
        <v>60</v>
      </c>
      <c r="D1161" t="s">
        <v>3603</v>
      </c>
      <c r="E1161" t="s">
        <v>62</v>
      </c>
      <c r="F1161" t="s">
        <v>47</v>
      </c>
      <c r="G1161" t="s">
        <v>45</v>
      </c>
      <c r="H1161" t="s">
        <v>87</v>
      </c>
      <c r="I1161" t="s">
        <v>40</v>
      </c>
      <c r="J1161" t="s">
        <v>3604</v>
      </c>
      <c r="K1161" t="s">
        <v>40</v>
      </c>
      <c r="L1161" t="s">
        <v>43</v>
      </c>
      <c r="M1161" t="s">
        <v>101</v>
      </c>
      <c r="N1161" t="s">
        <v>45</v>
      </c>
      <c r="O1161" t="s">
        <v>41</v>
      </c>
      <c r="P1161" t="s">
        <v>116</v>
      </c>
      <c r="Q1161" t="s">
        <v>45</v>
      </c>
      <c r="R1161" t="s">
        <v>48</v>
      </c>
      <c r="S1161" t="s">
        <v>3605</v>
      </c>
      <c r="T1161" t="s">
        <v>783</v>
      </c>
      <c r="U1161" t="s">
        <v>55</v>
      </c>
      <c r="V1161" t="s">
        <v>52</v>
      </c>
      <c r="W1161" t="s">
        <v>59</v>
      </c>
      <c r="X1161" t="s">
        <v>98</v>
      </c>
      <c r="Y1161" t="s">
        <v>45</v>
      </c>
      <c r="Z1161" t="s">
        <v>47</v>
      </c>
      <c r="AA1161" t="s">
        <v>54</v>
      </c>
      <c r="AB1161" t="s">
        <v>55</v>
      </c>
      <c r="AC1161" t="s">
        <v>70</v>
      </c>
      <c r="AD1161" t="s">
        <v>41</v>
      </c>
      <c r="AE1161" t="s">
        <v>40</v>
      </c>
      <c r="AF1161" t="s">
        <v>91</v>
      </c>
      <c r="AG1161" t="s">
        <v>41</v>
      </c>
      <c r="AH1161" t="s">
        <v>45</v>
      </c>
      <c r="AI1161" t="s">
        <v>51</v>
      </c>
    </row>
    <row r="1162" spans="1:35" x14ac:dyDescent="0.25">
      <c r="A1162" t="s">
        <v>174</v>
      </c>
      <c r="B1162" t="s">
        <v>59</v>
      </c>
      <c r="C1162" t="s">
        <v>37</v>
      </c>
      <c r="D1162" t="s">
        <v>618</v>
      </c>
      <c r="E1162" t="s">
        <v>62</v>
      </c>
      <c r="F1162" t="s">
        <v>41</v>
      </c>
      <c r="G1162" t="s">
        <v>41</v>
      </c>
      <c r="H1162" t="s">
        <v>74</v>
      </c>
      <c r="I1162" t="s">
        <v>40</v>
      </c>
      <c r="J1162" t="s">
        <v>3606</v>
      </c>
      <c r="K1162" t="s">
        <v>47</v>
      </c>
      <c r="L1162" t="s">
        <v>43</v>
      </c>
      <c r="M1162" t="s">
        <v>99</v>
      </c>
      <c r="N1162" t="s">
        <v>41</v>
      </c>
      <c r="O1162" t="s">
        <v>41</v>
      </c>
      <c r="P1162" t="s">
        <v>116</v>
      </c>
      <c r="Q1162" t="s">
        <v>47</v>
      </c>
      <c r="R1162" t="s">
        <v>109</v>
      </c>
      <c r="S1162" t="s">
        <v>3607</v>
      </c>
      <c r="T1162" t="s">
        <v>3608</v>
      </c>
      <c r="U1162" t="s">
        <v>40</v>
      </c>
      <c r="V1162" t="s">
        <v>52</v>
      </c>
      <c r="W1162" t="s">
        <v>59</v>
      </c>
      <c r="X1162" t="s">
        <v>144</v>
      </c>
      <c r="Y1162" t="s">
        <v>45</v>
      </c>
      <c r="Z1162" t="s">
        <v>40</v>
      </c>
      <c r="AA1162" t="s">
        <v>54</v>
      </c>
      <c r="AB1162" t="s">
        <v>41</v>
      </c>
      <c r="AC1162" t="s">
        <v>70</v>
      </c>
      <c r="AD1162" t="s">
        <v>45</v>
      </c>
      <c r="AE1162" t="s">
        <v>45</v>
      </c>
      <c r="AF1162" t="s">
        <v>70</v>
      </c>
      <c r="AG1162" t="s">
        <v>71</v>
      </c>
      <c r="AH1162" t="s">
        <v>45</v>
      </c>
      <c r="AI1162" t="s">
        <v>91</v>
      </c>
    </row>
    <row r="1163" spans="1:35" x14ac:dyDescent="0.25">
      <c r="A1163" t="s">
        <v>113</v>
      </c>
      <c r="B1163" t="s">
        <v>59</v>
      </c>
      <c r="C1163" t="s">
        <v>37</v>
      </c>
      <c r="D1163" t="s">
        <v>392</v>
      </c>
      <c r="E1163" t="s">
        <v>62</v>
      </c>
      <c r="F1163" t="s">
        <v>41</v>
      </c>
      <c r="G1163" t="s">
        <v>41</v>
      </c>
      <c r="H1163" t="s">
        <v>87</v>
      </c>
      <c r="I1163" t="s">
        <v>40</v>
      </c>
      <c r="J1163" t="s">
        <v>3609</v>
      </c>
      <c r="K1163" t="s">
        <v>47</v>
      </c>
      <c r="L1163" t="s">
        <v>43</v>
      </c>
      <c r="M1163" t="s">
        <v>259</v>
      </c>
      <c r="N1163" t="s">
        <v>41</v>
      </c>
      <c r="O1163" t="s">
        <v>45</v>
      </c>
      <c r="P1163" t="s">
        <v>116</v>
      </c>
      <c r="Q1163" t="s">
        <v>45</v>
      </c>
      <c r="R1163" t="s">
        <v>66</v>
      </c>
      <c r="S1163" t="s">
        <v>2683</v>
      </c>
      <c r="T1163" t="s">
        <v>3610</v>
      </c>
      <c r="U1163" t="s">
        <v>45</v>
      </c>
      <c r="V1163" t="s">
        <v>52</v>
      </c>
      <c r="W1163" t="s">
        <v>36</v>
      </c>
      <c r="X1163" t="s">
        <v>144</v>
      </c>
      <c r="Y1163" t="s">
        <v>45</v>
      </c>
      <c r="Z1163" t="s">
        <v>47</v>
      </c>
      <c r="AA1163" t="s">
        <v>54</v>
      </c>
      <c r="AB1163" t="s">
        <v>40</v>
      </c>
      <c r="AC1163" t="s">
        <v>70</v>
      </c>
      <c r="AD1163" t="s">
        <v>56</v>
      </c>
      <c r="AE1163" t="s">
        <v>47</v>
      </c>
      <c r="AF1163" t="s">
        <v>57</v>
      </c>
      <c r="AG1163" t="s">
        <v>47</v>
      </c>
      <c r="AH1163" t="s">
        <v>55</v>
      </c>
      <c r="AI1163" t="s">
        <v>41</v>
      </c>
    </row>
    <row r="1164" spans="1:35" x14ac:dyDescent="0.25">
      <c r="A1164" t="s">
        <v>126</v>
      </c>
      <c r="B1164" t="s">
        <v>36</v>
      </c>
      <c r="C1164" t="s">
        <v>37</v>
      </c>
      <c r="D1164" t="s">
        <v>3611</v>
      </c>
      <c r="E1164" t="s">
        <v>39</v>
      </c>
      <c r="F1164" t="s">
        <v>70</v>
      </c>
      <c r="G1164" t="s">
        <v>45</v>
      </c>
      <c r="H1164" t="s">
        <v>87</v>
      </c>
      <c r="I1164" t="s">
        <v>40</v>
      </c>
      <c r="J1164" t="s">
        <v>3612</v>
      </c>
      <c r="K1164" t="s">
        <v>47</v>
      </c>
      <c r="L1164" t="s">
        <v>63</v>
      </c>
      <c r="M1164" t="s">
        <v>263</v>
      </c>
      <c r="N1164" t="s">
        <v>41</v>
      </c>
      <c r="O1164" t="s">
        <v>45</v>
      </c>
      <c r="P1164" t="s">
        <v>46</v>
      </c>
      <c r="Q1164" t="s">
        <v>40</v>
      </c>
      <c r="R1164" t="s">
        <v>66</v>
      </c>
      <c r="S1164" t="s">
        <v>3613</v>
      </c>
      <c r="T1164" t="s">
        <v>3614</v>
      </c>
      <c r="U1164" t="s">
        <v>91</v>
      </c>
      <c r="V1164" t="s">
        <v>52</v>
      </c>
      <c r="W1164" t="s">
        <v>59</v>
      </c>
      <c r="X1164" t="s">
        <v>125</v>
      </c>
      <c r="Y1164" t="s">
        <v>45</v>
      </c>
      <c r="Z1164" t="s">
        <v>45</v>
      </c>
      <c r="AA1164" t="s">
        <v>54</v>
      </c>
      <c r="AB1164" t="s">
        <v>55</v>
      </c>
      <c r="AC1164" t="s">
        <v>79</v>
      </c>
      <c r="AD1164" t="s">
        <v>45</v>
      </c>
      <c r="AE1164" t="s">
        <v>45</v>
      </c>
      <c r="AF1164" t="s">
        <v>98</v>
      </c>
      <c r="AG1164" t="s">
        <v>92</v>
      </c>
      <c r="AH1164" t="s">
        <v>56</v>
      </c>
      <c r="AI1164" t="s">
        <v>55</v>
      </c>
    </row>
    <row r="1165" spans="1:35" x14ac:dyDescent="0.25">
      <c r="A1165" t="s">
        <v>72</v>
      </c>
      <c r="B1165" t="s">
        <v>59</v>
      </c>
      <c r="C1165" t="s">
        <v>37</v>
      </c>
      <c r="D1165" t="s">
        <v>3615</v>
      </c>
      <c r="E1165" t="s">
        <v>62</v>
      </c>
      <c r="F1165" t="s">
        <v>70</v>
      </c>
      <c r="G1165" t="s">
        <v>45</v>
      </c>
      <c r="H1165" t="s">
        <v>87</v>
      </c>
      <c r="I1165" t="s">
        <v>40</v>
      </c>
      <c r="J1165" t="s">
        <v>3616</v>
      </c>
      <c r="K1165" t="s">
        <v>41</v>
      </c>
      <c r="L1165" t="s">
        <v>43</v>
      </c>
      <c r="M1165" t="s">
        <v>315</v>
      </c>
      <c r="N1165" t="s">
        <v>45</v>
      </c>
      <c r="O1165" t="s">
        <v>40</v>
      </c>
      <c r="P1165" t="s">
        <v>65</v>
      </c>
      <c r="Q1165" t="s">
        <v>41</v>
      </c>
      <c r="R1165" t="s">
        <v>66</v>
      </c>
      <c r="S1165" t="s">
        <v>3617</v>
      </c>
      <c r="T1165" t="s">
        <v>3618</v>
      </c>
      <c r="U1165" t="s">
        <v>40</v>
      </c>
      <c r="V1165" t="s">
        <v>52</v>
      </c>
      <c r="W1165" t="s">
        <v>59</v>
      </c>
      <c r="X1165" t="s">
        <v>53</v>
      </c>
      <c r="Y1165" t="s">
        <v>45</v>
      </c>
      <c r="Z1165" t="s">
        <v>40</v>
      </c>
      <c r="AA1165" t="s">
        <v>54</v>
      </c>
      <c r="AB1165" t="s">
        <v>40</v>
      </c>
      <c r="AC1165" t="s">
        <v>51</v>
      </c>
      <c r="AD1165" t="s">
        <v>41</v>
      </c>
      <c r="AE1165" t="s">
        <v>40</v>
      </c>
      <c r="AF1165" t="s">
        <v>51</v>
      </c>
      <c r="AG1165" t="s">
        <v>47</v>
      </c>
      <c r="AH1165" t="s">
        <v>71</v>
      </c>
      <c r="AI1165" t="s">
        <v>71</v>
      </c>
    </row>
    <row r="1166" spans="1:35" x14ac:dyDescent="0.25">
      <c r="A1166" t="s">
        <v>88</v>
      </c>
      <c r="B1166" t="s">
        <v>59</v>
      </c>
      <c r="C1166" t="s">
        <v>37</v>
      </c>
      <c r="D1166" t="s">
        <v>1312</v>
      </c>
      <c r="E1166" t="s">
        <v>62</v>
      </c>
      <c r="F1166" t="s">
        <v>128</v>
      </c>
      <c r="G1166" t="s">
        <v>45</v>
      </c>
      <c r="H1166" t="s">
        <v>42</v>
      </c>
      <c r="I1166" t="s">
        <v>40</v>
      </c>
      <c r="J1166" t="s">
        <v>3619</v>
      </c>
      <c r="K1166" t="s">
        <v>45</v>
      </c>
      <c r="L1166" t="s">
        <v>43</v>
      </c>
      <c r="M1166" t="s">
        <v>130</v>
      </c>
      <c r="N1166" t="s">
        <v>45</v>
      </c>
      <c r="O1166" t="s">
        <v>45</v>
      </c>
      <c r="P1166" t="s">
        <v>116</v>
      </c>
      <c r="Q1166" t="s">
        <v>47</v>
      </c>
      <c r="R1166" t="s">
        <v>48</v>
      </c>
      <c r="S1166" t="s">
        <v>3620</v>
      </c>
      <c r="T1166" t="s">
        <v>3621</v>
      </c>
      <c r="U1166" t="s">
        <v>56</v>
      </c>
      <c r="V1166" t="s">
        <v>52</v>
      </c>
      <c r="W1166" t="s">
        <v>36</v>
      </c>
      <c r="X1166" t="s">
        <v>79</v>
      </c>
      <c r="Y1166" t="s">
        <v>45</v>
      </c>
      <c r="Z1166" t="s">
        <v>47</v>
      </c>
      <c r="AA1166" t="s">
        <v>54</v>
      </c>
      <c r="AB1166" t="s">
        <v>55</v>
      </c>
      <c r="AC1166" t="s">
        <v>145</v>
      </c>
      <c r="AD1166" t="s">
        <v>41</v>
      </c>
      <c r="AE1166" t="s">
        <v>41</v>
      </c>
      <c r="AF1166" t="s">
        <v>47</v>
      </c>
      <c r="AG1166" t="s">
        <v>41</v>
      </c>
      <c r="AH1166" t="s">
        <v>45</v>
      </c>
      <c r="AI1166" t="s">
        <v>45</v>
      </c>
    </row>
    <row r="1167" spans="1:35" x14ac:dyDescent="0.25">
      <c r="A1167" t="s">
        <v>115</v>
      </c>
      <c r="B1167" t="s">
        <v>59</v>
      </c>
      <c r="C1167" t="s">
        <v>60</v>
      </c>
      <c r="D1167" t="s">
        <v>744</v>
      </c>
      <c r="E1167" t="s">
        <v>397</v>
      </c>
      <c r="F1167" t="s">
        <v>40</v>
      </c>
      <c r="G1167" t="s">
        <v>57</v>
      </c>
      <c r="H1167" t="s">
        <v>397</v>
      </c>
      <c r="I1167" t="s">
        <v>40</v>
      </c>
      <c r="J1167" t="s">
        <v>3622</v>
      </c>
      <c r="K1167" t="s">
        <v>40</v>
      </c>
      <c r="L1167" t="s">
        <v>63</v>
      </c>
      <c r="M1167" t="s">
        <v>72</v>
      </c>
      <c r="N1167" t="s">
        <v>45</v>
      </c>
      <c r="O1167" t="s">
        <v>41</v>
      </c>
      <c r="P1167" t="s">
        <v>397</v>
      </c>
      <c r="Q1167" t="s">
        <v>47</v>
      </c>
      <c r="R1167" t="s">
        <v>66</v>
      </c>
      <c r="S1167" t="s">
        <v>3623</v>
      </c>
      <c r="T1167" t="s">
        <v>3624</v>
      </c>
      <c r="U1167" t="s">
        <v>47</v>
      </c>
      <c r="V1167" t="s">
        <v>52</v>
      </c>
      <c r="W1167" t="s">
        <v>36</v>
      </c>
      <c r="X1167" t="s">
        <v>53</v>
      </c>
      <c r="Y1167" t="s">
        <v>45</v>
      </c>
      <c r="Z1167" t="s">
        <v>45</v>
      </c>
      <c r="AA1167" t="s">
        <v>54</v>
      </c>
      <c r="AB1167" t="s">
        <v>55</v>
      </c>
      <c r="AC1167" t="s">
        <v>129</v>
      </c>
      <c r="AD1167" t="s">
        <v>45</v>
      </c>
      <c r="AE1167" t="s">
        <v>45</v>
      </c>
      <c r="AF1167" t="s">
        <v>70</v>
      </c>
      <c r="AG1167" t="s">
        <v>71</v>
      </c>
      <c r="AH1167" t="s">
        <v>55</v>
      </c>
      <c r="AI1167" t="s">
        <v>41</v>
      </c>
    </row>
    <row r="1168" spans="1:35" x14ac:dyDescent="0.25">
      <c r="A1168" t="s">
        <v>207</v>
      </c>
      <c r="B1168" t="s">
        <v>59</v>
      </c>
      <c r="C1168" t="s">
        <v>60</v>
      </c>
      <c r="D1168" t="s">
        <v>3625</v>
      </c>
      <c r="E1168" t="s">
        <v>62</v>
      </c>
      <c r="F1168" t="s">
        <v>47</v>
      </c>
      <c r="G1168" t="s">
        <v>57</v>
      </c>
      <c r="H1168" t="s">
        <v>87</v>
      </c>
      <c r="I1168" t="s">
        <v>40</v>
      </c>
      <c r="J1168" t="s">
        <v>3626</v>
      </c>
      <c r="K1168" t="s">
        <v>45</v>
      </c>
      <c r="L1168" t="s">
        <v>63</v>
      </c>
      <c r="M1168" t="s">
        <v>959</v>
      </c>
      <c r="N1168" t="s">
        <v>41</v>
      </c>
      <c r="O1168" t="s">
        <v>47</v>
      </c>
      <c r="P1168" t="s">
        <v>169</v>
      </c>
      <c r="Q1168" t="s">
        <v>47</v>
      </c>
      <c r="R1168" t="s">
        <v>66</v>
      </c>
      <c r="S1168" t="s">
        <v>3627</v>
      </c>
      <c r="T1168" t="s">
        <v>3628</v>
      </c>
      <c r="U1168" t="s">
        <v>41</v>
      </c>
      <c r="V1168" t="s">
        <v>52</v>
      </c>
      <c r="W1168" t="s">
        <v>59</v>
      </c>
      <c r="X1168" t="s">
        <v>172</v>
      </c>
      <c r="Y1168" t="s">
        <v>47</v>
      </c>
      <c r="Z1168" t="s">
        <v>41</v>
      </c>
      <c r="AA1168" t="s">
        <v>54</v>
      </c>
      <c r="AB1168" t="s">
        <v>40</v>
      </c>
      <c r="AC1168" t="s">
        <v>69</v>
      </c>
      <c r="AD1168" t="s">
        <v>45</v>
      </c>
      <c r="AE1168" t="s">
        <v>45</v>
      </c>
      <c r="AF1168" t="s">
        <v>41</v>
      </c>
      <c r="AG1168" t="s">
        <v>41</v>
      </c>
      <c r="AH1168" t="s">
        <v>41</v>
      </c>
      <c r="AI1168" t="s">
        <v>41</v>
      </c>
    </row>
    <row r="1169" spans="1:35" x14ac:dyDescent="0.25">
      <c r="A1169" t="s">
        <v>126</v>
      </c>
      <c r="B1169" t="s">
        <v>36</v>
      </c>
      <c r="C1169" t="s">
        <v>37</v>
      </c>
      <c r="D1169" t="s">
        <v>2001</v>
      </c>
      <c r="E1169" t="s">
        <v>39</v>
      </c>
      <c r="F1169" t="s">
        <v>79</v>
      </c>
      <c r="G1169" t="s">
        <v>41</v>
      </c>
      <c r="H1169" t="s">
        <v>87</v>
      </c>
      <c r="I1169" t="s">
        <v>40</v>
      </c>
      <c r="J1169" t="s">
        <v>3629</v>
      </c>
      <c r="K1169" t="s">
        <v>40</v>
      </c>
      <c r="L1169" t="s">
        <v>63</v>
      </c>
      <c r="M1169" t="s">
        <v>99</v>
      </c>
      <c r="N1169" t="s">
        <v>40</v>
      </c>
      <c r="O1169" t="s">
        <v>41</v>
      </c>
      <c r="P1169" t="s">
        <v>46</v>
      </c>
      <c r="Q1169" t="s">
        <v>47</v>
      </c>
      <c r="R1169" t="s">
        <v>109</v>
      </c>
      <c r="S1169" t="s">
        <v>3630</v>
      </c>
      <c r="T1169" t="s">
        <v>3631</v>
      </c>
      <c r="U1169" t="s">
        <v>56</v>
      </c>
      <c r="V1169" t="s">
        <v>52</v>
      </c>
      <c r="W1169" t="s">
        <v>36</v>
      </c>
      <c r="X1169" t="s">
        <v>129</v>
      </c>
      <c r="Y1169" t="s">
        <v>45</v>
      </c>
      <c r="Z1169" t="s">
        <v>47</v>
      </c>
      <c r="AA1169" t="s">
        <v>54</v>
      </c>
      <c r="AB1169" t="s">
        <v>41</v>
      </c>
      <c r="AC1169" t="s">
        <v>71</v>
      </c>
      <c r="AD1169" t="s">
        <v>41</v>
      </c>
      <c r="AE1169" t="s">
        <v>41</v>
      </c>
      <c r="AF1169" t="s">
        <v>41</v>
      </c>
      <c r="AG1169" t="s">
        <v>41</v>
      </c>
      <c r="AH1169" t="s">
        <v>41</v>
      </c>
      <c r="AI1169" t="s">
        <v>41</v>
      </c>
    </row>
    <row r="1170" spans="1:35" x14ac:dyDescent="0.25">
      <c r="A1170" t="s">
        <v>107</v>
      </c>
      <c r="B1170" t="s">
        <v>59</v>
      </c>
      <c r="C1170" t="s">
        <v>60</v>
      </c>
      <c r="D1170" t="s">
        <v>1608</v>
      </c>
      <c r="E1170" t="s">
        <v>62</v>
      </c>
      <c r="F1170" t="s">
        <v>41</v>
      </c>
      <c r="G1170" t="s">
        <v>40</v>
      </c>
      <c r="H1170" t="s">
        <v>228</v>
      </c>
      <c r="I1170" t="s">
        <v>40</v>
      </c>
      <c r="J1170" t="s">
        <v>3632</v>
      </c>
      <c r="K1170" t="s">
        <v>40</v>
      </c>
      <c r="L1170" t="s">
        <v>43</v>
      </c>
      <c r="M1170" t="s">
        <v>93</v>
      </c>
      <c r="N1170" t="s">
        <v>45</v>
      </c>
      <c r="O1170" t="s">
        <v>40</v>
      </c>
      <c r="P1170" t="s">
        <v>65</v>
      </c>
      <c r="Q1170" t="s">
        <v>47</v>
      </c>
      <c r="R1170" t="s">
        <v>48</v>
      </c>
      <c r="S1170" t="s">
        <v>2936</v>
      </c>
      <c r="T1170" t="s">
        <v>3633</v>
      </c>
      <c r="U1170" t="s">
        <v>40</v>
      </c>
      <c r="V1170" t="s">
        <v>52</v>
      </c>
      <c r="W1170" t="s">
        <v>36</v>
      </c>
      <c r="X1170" t="s">
        <v>98</v>
      </c>
      <c r="Y1170" t="s">
        <v>45</v>
      </c>
      <c r="Z1170" t="s">
        <v>45</v>
      </c>
      <c r="AA1170" t="s">
        <v>54</v>
      </c>
      <c r="AB1170" t="s">
        <v>55</v>
      </c>
      <c r="AC1170" t="s">
        <v>56</v>
      </c>
      <c r="AD1170" t="s">
        <v>41</v>
      </c>
      <c r="AE1170" t="s">
        <v>45</v>
      </c>
      <c r="AF1170" t="s">
        <v>56</v>
      </c>
      <c r="AG1170" t="s">
        <v>45</v>
      </c>
      <c r="AH1170" t="s">
        <v>40</v>
      </c>
      <c r="AI1170" t="s">
        <v>45</v>
      </c>
    </row>
    <row r="1171" spans="1:35" x14ac:dyDescent="0.25">
      <c r="A1171" t="s">
        <v>85</v>
      </c>
      <c r="B1171" t="s">
        <v>59</v>
      </c>
      <c r="C1171" t="s">
        <v>37</v>
      </c>
      <c r="D1171" t="s">
        <v>1427</v>
      </c>
      <c r="E1171" t="s">
        <v>62</v>
      </c>
      <c r="F1171" t="s">
        <v>51</v>
      </c>
      <c r="G1171" t="s">
        <v>45</v>
      </c>
      <c r="H1171" t="s">
        <v>87</v>
      </c>
      <c r="I1171" t="s">
        <v>40</v>
      </c>
      <c r="J1171" t="s">
        <v>3634</v>
      </c>
      <c r="K1171" t="s">
        <v>41</v>
      </c>
      <c r="L1171" t="s">
        <v>43</v>
      </c>
      <c r="M1171" t="s">
        <v>240</v>
      </c>
      <c r="N1171" t="s">
        <v>47</v>
      </c>
      <c r="O1171" t="s">
        <v>40</v>
      </c>
      <c r="P1171" t="s">
        <v>65</v>
      </c>
      <c r="Q1171" t="s">
        <v>45</v>
      </c>
      <c r="R1171" t="s">
        <v>66</v>
      </c>
      <c r="S1171" t="s">
        <v>3635</v>
      </c>
      <c r="T1171" t="s">
        <v>3636</v>
      </c>
      <c r="U1171" t="s">
        <v>71</v>
      </c>
      <c r="V1171" t="s">
        <v>52</v>
      </c>
      <c r="W1171" t="s">
        <v>59</v>
      </c>
      <c r="X1171" t="s">
        <v>125</v>
      </c>
      <c r="Y1171" t="s">
        <v>45</v>
      </c>
      <c r="Z1171" t="s">
        <v>40</v>
      </c>
      <c r="AA1171" t="s">
        <v>54</v>
      </c>
      <c r="AB1171" t="s">
        <v>55</v>
      </c>
      <c r="AC1171" t="s">
        <v>57</v>
      </c>
      <c r="AD1171" t="s">
        <v>55</v>
      </c>
      <c r="AE1171" t="s">
        <v>45</v>
      </c>
      <c r="AF1171" t="s">
        <v>45</v>
      </c>
      <c r="AG1171" t="s">
        <v>41</v>
      </c>
      <c r="AH1171" t="s">
        <v>55</v>
      </c>
      <c r="AI1171" t="s">
        <v>41</v>
      </c>
    </row>
    <row r="1172" spans="1:35" x14ac:dyDescent="0.25">
      <c r="A1172" t="s">
        <v>85</v>
      </c>
      <c r="B1172" t="s">
        <v>59</v>
      </c>
      <c r="C1172" t="s">
        <v>60</v>
      </c>
      <c r="D1172" t="s">
        <v>86</v>
      </c>
      <c r="E1172" t="s">
        <v>62</v>
      </c>
      <c r="F1172" t="s">
        <v>41</v>
      </c>
      <c r="G1172" t="s">
        <v>45</v>
      </c>
      <c r="H1172" t="s">
        <v>87</v>
      </c>
      <c r="I1172" t="s">
        <v>40</v>
      </c>
      <c r="J1172" t="s">
        <v>3637</v>
      </c>
      <c r="K1172" t="s">
        <v>47</v>
      </c>
      <c r="L1172" t="s">
        <v>63</v>
      </c>
      <c r="M1172" t="s">
        <v>371</v>
      </c>
      <c r="N1172" t="s">
        <v>45</v>
      </c>
      <c r="O1172" t="s">
        <v>40</v>
      </c>
      <c r="P1172" t="s">
        <v>65</v>
      </c>
      <c r="Q1172" t="s">
        <v>47</v>
      </c>
      <c r="R1172" t="s">
        <v>48</v>
      </c>
      <c r="S1172" t="s">
        <v>3638</v>
      </c>
      <c r="T1172" t="s">
        <v>3639</v>
      </c>
      <c r="U1172" t="s">
        <v>41</v>
      </c>
      <c r="V1172" t="s">
        <v>52</v>
      </c>
      <c r="W1172" t="s">
        <v>59</v>
      </c>
      <c r="X1172" t="s">
        <v>98</v>
      </c>
      <c r="Y1172" t="s">
        <v>45</v>
      </c>
      <c r="Z1172" t="s">
        <v>45</v>
      </c>
      <c r="AA1172" t="s">
        <v>54</v>
      </c>
      <c r="AB1172" t="s">
        <v>55</v>
      </c>
      <c r="AC1172" t="s">
        <v>56</v>
      </c>
      <c r="AD1172" t="s">
        <v>55</v>
      </c>
      <c r="AE1172" t="s">
        <v>41</v>
      </c>
      <c r="AF1172" t="s">
        <v>47</v>
      </c>
      <c r="AG1172" t="s">
        <v>41</v>
      </c>
      <c r="AH1172" t="s">
        <v>40</v>
      </c>
      <c r="AI1172" t="s">
        <v>41</v>
      </c>
    </row>
    <row r="1173" spans="1:35" x14ac:dyDescent="0.25">
      <c r="A1173" t="s">
        <v>88</v>
      </c>
      <c r="B1173" t="s">
        <v>36</v>
      </c>
      <c r="C1173" t="s">
        <v>37</v>
      </c>
      <c r="D1173" t="s">
        <v>618</v>
      </c>
      <c r="E1173" t="s">
        <v>62</v>
      </c>
      <c r="F1173" t="s">
        <v>71</v>
      </c>
      <c r="G1173" t="s">
        <v>45</v>
      </c>
      <c r="H1173" t="s">
        <v>42</v>
      </c>
      <c r="I1173" t="s">
        <v>40</v>
      </c>
      <c r="J1173" t="s">
        <v>3640</v>
      </c>
      <c r="K1173" t="s">
        <v>40</v>
      </c>
      <c r="L1173" t="s">
        <v>63</v>
      </c>
      <c r="M1173" t="s">
        <v>279</v>
      </c>
      <c r="N1173" t="s">
        <v>45</v>
      </c>
      <c r="O1173" t="s">
        <v>40</v>
      </c>
      <c r="P1173" t="s">
        <v>76</v>
      </c>
      <c r="Q1173" t="s">
        <v>40</v>
      </c>
      <c r="R1173" t="s">
        <v>48</v>
      </c>
      <c r="S1173" t="s">
        <v>3641</v>
      </c>
      <c r="T1173" t="s">
        <v>2355</v>
      </c>
      <c r="U1173" t="s">
        <v>45</v>
      </c>
      <c r="V1173" t="s">
        <v>52</v>
      </c>
      <c r="W1173" t="s">
        <v>36</v>
      </c>
      <c r="X1173" t="s">
        <v>129</v>
      </c>
      <c r="Y1173" t="s">
        <v>45</v>
      </c>
      <c r="Z1173" t="s">
        <v>41</v>
      </c>
      <c r="AA1173" t="s">
        <v>54</v>
      </c>
      <c r="AB1173" t="s">
        <v>55</v>
      </c>
      <c r="AC1173" t="s">
        <v>70</v>
      </c>
      <c r="AD1173" t="s">
        <v>45</v>
      </c>
      <c r="AE1173" t="s">
        <v>40</v>
      </c>
      <c r="AF1173" t="s">
        <v>47</v>
      </c>
      <c r="AG1173" t="s">
        <v>41</v>
      </c>
      <c r="AH1173" t="s">
        <v>55</v>
      </c>
      <c r="AI1173" t="s">
        <v>45</v>
      </c>
    </row>
    <row r="1174" spans="1:35" x14ac:dyDescent="0.25">
      <c r="A1174" t="s">
        <v>133</v>
      </c>
      <c r="B1174" t="s">
        <v>59</v>
      </c>
      <c r="C1174" t="s">
        <v>37</v>
      </c>
      <c r="D1174" t="s">
        <v>1377</v>
      </c>
      <c r="E1174" t="s">
        <v>39</v>
      </c>
      <c r="F1174" t="s">
        <v>70</v>
      </c>
      <c r="G1174" t="s">
        <v>45</v>
      </c>
      <c r="H1174" t="s">
        <v>87</v>
      </c>
      <c r="I1174" t="s">
        <v>40</v>
      </c>
      <c r="J1174" t="s">
        <v>3642</v>
      </c>
      <c r="K1174" t="s">
        <v>45</v>
      </c>
      <c r="L1174" t="s">
        <v>63</v>
      </c>
      <c r="M1174" t="s">
        <v>204</v>
      </c>
      <c r="N1174" t="s">
        <v>41</v>
      </c>
      <c r="O1174" t="s">
        <v>41</v>
      </c>
      <c r="P1174" t="s">
        <v>46</v>
      </c>
      <c r="Q1174" t="s">
        <v>45</v>
      </c>
      <c r="R1174" t="s">
        <v>48</v>
      </c>
      <c r="S1174" t="s">
        <v>2663</v>
      </c>
      <c r="T1174" t="s">
        <v>3643</v>
      </c>
      <c r="U1174" t="s">
        <v>91</v>
      </c>
      <c r="V1174" t="s">
        <v>52</v>
      </c>
      <c r="W1174" t="s">
        <v>59</v>
      </c>
      <c r="X1174" t="s">
        <v>53</v>
      </c>
      <c r="Y1174" t="s">
        <v>45</v>
      </c>
      <c r="Z1174" t="s">
        <v>45</v>
      </c>
      <c r="AA1174" t="s">
        <v>54</v>
      </c>
      <c r="AB1174" t="s">
        <v>55</v>
      </c>
      <c r="AC1174" t="s">
        <v>51</v>
      </c>
      <c r="AD1174" t="s">
        <v>41</v>
      </c>
      <c r="AE1174" t="s">
        <v>45</v>
      </c>
      <c r="AF1174" t="s">
        <v>57</v>
      </c>
      <c r="AG1174" t="s">
        <v>41</v>
      </c>
      <c r="AH1174" t="s">
        <v>40</v>
      </c>
      <c r="AI1174" t="s">
        <v>47</v>
      </c>
    </row>
    <row r="1175" spans="1:35" x14ac:dyDescent="0.25">
      <c r="A1175" t="s">
        <v>120</v>
      </c>
      <c r="B1175" t="s">
        <v>59</v>
      </c>
      <c r="C1175" t="s">
        <v>37</v>
      </c>
      <c r="D1175" t="s">
        <v>3603</v>
      </c>
      <c r="E1175" t="s">
        <v>62</v>
      </c>
      <c r="F1175" t="s">
        <v>57</v>
      </c>
      <c r="G1175" t="s">
        <v>47</v>
      </c>
      <c r="H1175" t="s">
        <v>42</v>
      </c>
      <c r="I1175" t="s">
        <v>40</v>
      </c>
      <c r="J1175" t="s">
        <v>3644</v>
      </c>
      <c r="K1175" t="s">
        <v>41</v>
      </c>
      <c r="L1175" t="s">
        <v>43</v>
      </c>
      <c r="M1175" t="s">
        <v>204</v>
      </c>
      <c r="N1175" t="s">
        <v>45</v>
      </c>
      <c r="O1175" t="s">
        <v>45</v>
      </c>
      <c r="P1175" t="s">
        <v>122</v>
      </c>
      <c r="Q1175" t="s">
        <v>40</v>
      </c>
      <c r="R1175" t="s">
        <v>66</v>
      </c>
      <c r="S1175" t="s">
        <v>3645</v>
      </c>
      <c r="T1175" t="s">
        <v>3646</v>
      </c>
      <c r="U1175" t="s">
        <v>47</v>
      </c>
      <c r="V1175" t="s">
        <v>52</v>
      </c>
      <c r="W1175" t="s">
        <v>59</v>
      </c>
      <c r="X1175" t="s">
        <v>92</v>
      </c>
      <c r="Y1175" t="s">
        <v>45</v>
      </c>
      <c r="Z1175" t="s">
        <v>45</v>
      </c>
      <c r="AA1175" t="s">
        <v>54</v>
      </c>
      <c r="AB1175" t="s">
        <v>41</v>
      </c>
      <c r="AC1175" t="s">
        <v>91</v>
      </c>
      <c r="AD1175" t="s">
        <v>56</v>
      </c>
      <c r="AE1175" t="s">
        <v>45</v>
      </c>
      <c r="AF1175" t="s">
        <v>45</v>
      </c>
      <c r="AG1175" t="s">
        <v>41</v>
      </c>
      <c r="AH1175" t="s">
        <v>55</v>
      </c>
      <c r="AI1175" t="s">
        <v>41</v>
      </c>
    </row>
    <row r="1176" spans="1:35" x14ac:dyDescent="0.25">
      <c r="A1176" t="s">
        <v>172</v>
      </c>
      <c r="B1176" t="s">
        <v>59</v>
      </c>
      <c r="C1176" t="s">
        <v>60</v>
      </c>
      <c r="D1176" t="s">
        <v>2016</v>
      </c>
      <c r="E1176" t="s">
        <v>62</v>
      </c>
      <c r="F1176" t="s">
        <v>41</v>
      </c>
      <c r="G1176" t="s">
        <v>40</v>
      </c>
      <c r="H1176" t="s">
        <v>42</v>
      </c>
      <c r="I1176" t="s">
        <v>40</v>
      </c>
      <c r="J1176" t="s">
        <v>3647</v>
      </c>
      <c r="K1176" t="s">
        <v>47</v>
      </c>
      <c r="L1176" t="s">
        <v>63</v>
      </c>
      <c r="M1176" t="s">
        <v>326</v>
      </c>
      <c r="N1176" t="s">
        <v>47</v>
      </c>
      <c r="O1176" t="s">
        <v>41</v>
      </c>
      <c r="P1176" t="s">
        <v>116</v>
      </c>
      <c r="Q1176" t="s">
        <v>45</v>
      </c>
      <c r="R1176" t="s">
        <v>109</v>
      </c>
      <c r="S1176" t="s">
        <v>3648</v>
      </c>
      <c r="T1176" t="s">
        <v>3649</v>
      </c>
      <c r="U1176" t="s">
        <v>40</v>
      </c>
      <c r="V1176" t="s">
        <v>52</v>
      </c>
      <c r="W1176" t="s">
        <v>59</v>
      </c>
      <c r="X1176" t="s">
        <v>125</v>
      </c>
      <c r="Y1176" t="s">
        <v>45</v>
      </c>
      <c r="Z1176" t="s">
        <v>45</v>
      </c>
      <c r="AA1176" t="s">
        <v>54</v>
      </c>
      <c r="AB1176" t="s">
        <v>41</v>
      </c>
      <c r="AC1176" t="s">
        <v>71</v>
      </c>
      <c r="AD1176" t="s">
        <v>56</v>
      </c>
      <c r="AE1176" t="s">
        <v>45</v>
      </c>
      <c r="AF1176" t="s">
        <v>71</v>
      </c>
      <c r="AG1176" t="s">
        <v>71</v>
      </c>
      <c r="AH1176" t="s">
        <v>55</v>
      </c>
      <c r="AI1176" t="s">
        <v>71</v>
      </c>
    </row>
    <row r="1177" spans="1:35" x14ac:dyDescent="0.25">
      <c r="A1177" t="s">
        <v>218</v>
      </c>
      <c r="B1177" t="s">
        <v>59</v>
      </c>
      <c r="C1177" t="s">
        <v>37</v>
      </c>
      <c r="D1177" t="s">
        <v>1440</v>
      </c>
      <c r="E1177" t="s">
        <v>62</v>
      </c>
      <c r="F1177" t="s">
        <v>92</v>
      </c>
      <c r="G1177" t="s">
        <v>45</v>
      </c>
      <c r="H1177" t="s">
        <v>87</v>
      </c>
      <c r="I1177" t="s">
        <v>40</v>
      </c>
      <c r="J1177" t="s">
        <v>3650</v>
      </c>
      <c r="K1177" t="s">
        <v>47</v>
      </c>
      <c r="L1177" t="s">
        <v>63</v>
      </c>
      <c r="M1177" t="s">
        <v>375</v>
      </c>
      <c r="N1177" t="s">
        <v>45</v>
      </c>
      <c r="O1177" t="s">
        <v>41</v>
      </c>
      <c r="P1177" t="s">
        <v>116</v>
      </c>
      <c r="Q1177" t="s">
        <v>41</v>
      </c>
      <c r="R1177" t="s">
        <v>66</v>
      </c>
      <c r="S1177" t="s">
        <v>3651</v>
      </c>
      <c r="T1177" t="s">
        <v>3652</v>
      </c>
      <c r="U1177" t="s">
        <v>47</v>
      </c>
      <c r="V1177" t="s">
        <v>52</v>
      </c>
      <c r="W1177" t="s">
        <v>59</v>
      </c>
      <c r="X1177" t="s">
        <v>119</v>
      </c>
      <c r="Y1177" t="s">
        <v>47</v>
      </c>
      <c r="Z1177" t="s">
        <v>45</v>
      </c>
      <c r="AA1177" t="s">
        <v>54</v>
      </c>
      <c r="AB1177" t="s">
        <v>55</v>
      </c>
      <c r="AC1177" t="s">
        <v>71</v>
      </c>
      <c r="AD1177" t="s">
        <v>45</v>
      </c>
      <c r="AE1177" t="s">
        <v>45</v>
      </c>
      <c r="AF1177" t="s">
        <v>57</v>
      </c>
      <c r="AG1177" t="s">
        <v>47</v>
      </c>
      <c r="AH1177" t="s">
        <v>40</v>
      </c>
      <c r="AI1177" t="s">
        <v>55</v>
      </c>
    </row>
    <row r="1178" spans="1:35" x14ac:dyDescent="0.25">
      <c r="A1178" t="s">
        <v>58</v>
      </c>
      <c r="B1178" t="s">
        <v>59</v>
      </c>
      <c r="C1178" t="s">
        <v>37</v>
      </c>
      <c r="D1178" t="s">
        <v>3653</v>
      </c>
      <c r="E1178" t="s">
        <v>62</v>
      </c>
      <c r="F1178" t="s">
        <v>112</v>
      </c>
      <c r="G1178" t="s">
        <v>47</v>
      </c>
      <c r="H1178" t="s">
        <v>74</v>
      </c>
      <c r="I1178" t="s">
        <v>40</v>
      </c>
      <c r="J1178" t="s">
        <v>3654</v>
      </c>
      <c r="K1178" t="s">
        <v>40</v>
      </c>
      <c r="L1178" t="s">
        <v>43</v>
      </c>
      <c r="M1178" t="s">
        <v>201</v>
      </c>
      <c r="N1178" t="s">
        <v>45</v>
      </c>
      <c r="O1178" t="s">
        <v>47</v>
      </c>
      <c r="P1178" t="s">
        <v>186</v>
      </c>
      <c r="Q1178" t="s">
        <v>41</v>
      </c>
      <c r="R1178" t="s">
        <v>66</v>
      </c>
      <c r="S1178" t="s">
        <v>3655</v>
      </c>
      <c r="T1178" t="s">
        <v>3656</v>
      </c>
      <c r="U1178" t="s">
        <v>45</v>
      </c>
      <c r="V1178" t="s">
        <v>52</v>
      </c>
      <c r="W1178" t="s">
        <v>59</v>
      </c>
      <c r="X1178" t="s">
        <v>128</v>
      </c>
      <c r="Y1178" t="s">
        <v>45</v>
      </c>
      <c r="Z1178" t="s">
        <v>41</v>
      </c>
      <c r="AA1178" t="s">
        <v>54</v>
      </c>
      <c r="AB1178" t="s">
        <v>41</v>
      </c>
      <c r="AC1178" t="s">
        <v>85</v>
      </c>
      <c r="AD1178" t="s">
        <v>41</v>
      </c>
      <c r="AE1178" t="s">
        <v>45</v>
      </c>
      <c r="AF1178" t="s">
        <v>47</v>
      </c>
      <c r="AG1178" t="s">
        <v>41</v>
      </c>
      <c r="AH1178" t="s">
        <v>40</v>
      </c>
      <c r="AI1178" t="s">
        <v>41</v>
      </c>
    </row>
    <row r="1179" spans="1:35" x14ac:dyDescent="0.25">
      <c r="A1179" t="s">
        <v>151</v>
      </c>
      <c r="B1179" t="s">
        <v>59</v>
      </c>
      <c r="C1179" t="s">
        <v>37</v>
      </c>
      <c r="D1179" t="s">
        <v>231</v>
      </c>
      <c r="E1179" t="s">
        <v>62</v>
      </c>
      <c r="F1179" t="s">
        <v>125</v>
      </c>
      <c r="G1179" t="s">
        <v>57</v>
      </c>
      <c r="H1179" t="s">
        <v>42</v>
      </c>
      <c r="I1179" t="s">
        <v>40</v>
      </c>
      <c r="J1179" t="s">
        <v>3657</v>
      </c>
      <c r="K1179" t="s">
        <v>47</v>
      </c>
      <c r="L1179" t="s">
        <v>43</v>
      </c>
      <c r="M1179" t="s">
        <v>151</v>
      </c>
      <c r="N1179" t="s">
        <v>41</v>
      </c>
      <c r="O1179" t="s">
        <v>45</v>
      </c>
      <c r="P1179" t="s">
        <v>186</v>
      </c>
      <c r="Q1179" t="s">
        <v>40</v>
      </c>
      <c r="R1179" t="s">
        <v>109</v>
      </c>
      <c r="S1179" t="s">
        <v>3658</v>
      </c>
      <c r="T1179" t="s">
        <v>2745</v>
      </c>
      <c r="U1179" t="s">
        <v>57</v>
      </c>
      <c r="V1179" t="s">
        <v>52</v>
      </c>
      <c r="W1179" t="s">
        <v>59</v>
      </c>
      <c r="X1179" t="s">
        <v>79</v>
      </c>
      <c r="Y1179" t="s">
        <v>45</v>
      </c>
      <c r="Z1179" t="s">
        <v>45</v>
      </c>
      <c r="AA1179" t="s">
        <v>54</v>
      </c>
      <c r="AB1179" t="s">
        <v>45</v>
      </c>
      <c r="AC1179" t="s">
        <v>144</v>
      </c>
      <c r="AD1179" t="s">
        <v>45</v>
      </c>
      <c r="AE1179" t="s">
        <v>45</v>
      </c>
      <c r="AF1179" t="s">
        <v>129</v>
      </c>
      <c r="AG1179" t="s">
        <v>53</v>
      </c>
      <c r="AH1179" t="s">
        <v>40</v>
      </c>
      <c r="AI1179" t="s">
        <v>53</v>
      </c>
    </row>
    <row r="1180" spans="1:35" x14ac:dyDescent="0.25">
      <c r="A1180" t="s">
        <v>104</v>
      </c>
      <c r="B1180" t="s">
        <v>59</v>
      </c>
      <c r="C1180" t="s">
        <v>37</v>
      </c>
      <c r="D1180" t="s">
        <v>250</v>
      </c>
      <c r="E1180" t="s">
        <v>39</v>
      </c>
      <c r="F1180" t="s">
        <v>41</v>
      </c>
      <c r="G1180" t="s">
        <v>45</v>
      </c>
      <c r="H1180" t="s">
        <v>87</v>
      </c>
      <c r="I1180" t="s">
        <v>40</v>
      </c>
      <c r="J1180" t="s">
        <v>3659</v>
      </c>
      <c r="K1180" t="s">
        <v>45</v>
      </c>
      <c r="L1180" t="s">
        <v>43</v>
      </c>
      <c r="M1180" t="s">
        <v>137</v>
      </c>
      <c r="N1180" t="s">
        <v>45</v>
      </c>
      <c r="O1180" t="s">
        <v>40</v>
      </c>
      <c r="P1180" t="s">
        <v>182</v>
      </c>
      <c r="Q1180" t="s">
        <v>45</v>
      </c>
      <c r="R1180" t="s">
        <v>48</v>
      </c>
      <c r="S1180" t="s">
        <v>3660</v>
      </c>
      <c r="T1180" t="s">
        <v>3661</v>
      </c>
      <c r="U1180" t="s">
        <v>40</v>
      </c>
      <c r="V1180" t="s">
        <v>52</v>
      </c>
      <c r="W1180" t="s">
        <v>59</v>
      </c>
      <c r="X1180" t="s">
        <v>144</v>
      </c>
      <c r="Y1180" t="s">
        <v>45</v>
      </c>
      <c r="Z1180" t="s">
        <v>40</v>
      </c>
      <c r="AA1180" t="s">
        <v>54</v>
      </c>
      <c r="AB1180" t="s">
        <v>55</v>
      </c>
      <c r="AC1180" t="s">
        <v>41</v>
      </c>
      <c r="AD1180" t="s">
        <v>45</v>
      </c>
      <c r="AE1180" t="s">
        <v>45</v>
      </c>
      <c r="AF1180" t="s">
        <v>41</v>
      </c>
      <c r="AG1180" t="s">
        <v>41</v>
      </c>
      <c r="AH1180" t="s">
        <v>41</v>
      </c>
      <c r="AI1180" t="s">
        <v>41</v>
      </c>
    </row>
    <row r="1181" spans="1:35" x14ac:dyDescent="0.25">
      <c r="A1181" t="s">
        <v>142</v>
      </c>
      <c r="B1181" t="s">
        <v>59</v>
      </c>
      <c r="C1181" t="s">
        <v>37</v>
      </c>
      <c r="D1181" t="s">
        <v>1345</v>
      </c>
      <c r="E1181" t="s">
        <v>62</v>
      </c>
      <c r="F1181" t="s">
        <v>45</v>
      </c>
      <c r="G1181" t="s">
        <v>45</v>
      </c>
      <c r="H1181" t="s">
        <v>42</v>
      </c>
      <c r="I1181" t="s">
        <v>40</v>
      </c>
      <c r="J1181" t="s">
        <v>3662</v>
      </c>
      <c r="K1181" t="s">
        <v>47</v>
      </c>
      <c r="L1181" t="s">
        <v>43</v>
      </c>
      <c r="M1181" t="s">
        <v>375</v>
      </c>
      <c r="N1181" t="s">
        <v>45</v>
      </c>
      <c r="O1181" t="s">
        <v>41</v>
      </c>
      <c r="P1181" t="s">
        <v>65</v>
      </c>
      <c r="Q1181" t="s">
        <v>41</v>
      </c>
      <c r="R1181" t="s">
        <v>109</v>
      </c>
      <c r="S1181" t="s">
        <v>3663</v>
      </c>
      <c r="T1181" t="s">
        <v>3664</v>
      </c>
      <c r="U1181" t="s">
        <v>40</v>
      </c>
      <c r="V1181" t="s">
        <v>52</v>
      </c>
      <c r="W1181" t="s">
        <v>59</v>
      </c>
      <c r="X1181" t="s">
        <v>92</v>
      </c>
      <c r="Y1181" t="s">
        <v>45</v>
      </c>
      <c r="Z1181" t="s">
        <v>45</v>
      </c>
      <c r="AA1181" t="s">
        <v>54</v>
      </c>
      <c r="AB1181" t="s">
        <v>40</v>
      </c>
      <c r="AC1181" t="s">
        <v>53</v>
      </c>
      <c r="AD1181" t="s">
        <v>41</v>
      </c>
      <c r="AE1181" t="s">
        <v>45</v>
      </c>
      <c r="AF1181" t="s">
        <v>53</v>
      </c>
      <c r="AG1181" t="s">
        <v>51</v>
      </c>
      <c r="AH1181" t="s">
        <v>71</v>
      </c>
      <c r="AI1181" t="s">
        <v>91</v>
      </c>
    </row>
    <row r="1182" spans="1:35" x14ac:dyDescent="0.25">
      <c r="A1182" t="s">
        <v>120</v>
      </c>
      <c r="B1182" t="s">
        <v>59</v>
      </c>
      <c r="C1182" t="s">
        <v>37</v>
      </c>
      <c r="D1182" t="s">
        <v>943</v>
      </c>
      <c r="E1182" t="s">
        <v>62</v>
      </c>
      <c r="F1182" t="s">
        <v>71</v>
      </c>
      <c r="G1182" t="s">
        <v>45</v>
      </c>
      <c r="H1182" t="s">
        <v>42</v>
      </c>
      <c r="I1182" t="s">
        <v>40</v>
      </c>
      <c r="J1182" t="s">
        <v>3665</v>
      </c>
      <c r="K1182" t="s">
        <v>40</v>
      </c>
      <c r="L1182" t="s">
        <v>63</v>
      </c>
      <c r="M1182" t="s">
        <v>326</v>
      </c>
      <c r="N1182" t="s">
        <v>45</v>
      </c>
      <c r="O1182" t="s">
        <v>40</v>
      </c>
      <c r="P1182" t="s">
        <v>76</v>
      </c>
      <c r="Q1182" t="s">
        <v>41</v>
      </c>
      <c r="R1182" t="s">
        <v>48</v>
      </c>
      <c r="S1182" t="s">
        <v>3666</v>
      </c>
      <c r="T1182" t="s">
        <v>3667</v>
      </c>
      <c r="U1182" t="s">
        <v>41</v>
      </c>
      <c r="V1182" t="s">
        <v>52</v>
      </c>
      <c r="W1182" t="s">
        <v>59</v>
      </c>
      <c r="X1182" t="s">
        <v>53</v>
      </c>
      <c r="Y1182" t="s">
        <v>45</v>
      </c>
      <c r="Z1182" t="s">
        <v>45</v>
      </c>
      <c r="AA1182" t="s">
        <v>54</v>
      </c>
      <c r="AB1182" t="s">
        <v>55</v>
      </c>
      <c r="AC1182" t="s">
        <v>79</v>
      </c>
      <c r="AD1182" t="s">
        <v>47</v>
      </c>
      <c r="AE1182" t="s">
        <v>45</v>
      </c>
      <c r="AF1182" t="s">
        <v>47</v>
      </c>
      <c r="AG1182" t="s">
        <v>45</v>
      </c>
      <c r="AH1182" t="s">
        <v>40</v>
      </c>
      <c r="AI1182" t="s">
        <v>45</v>
      </c>
    </row>
    <row r="1183" spans="1:35" x14ac:dyDescent="0.25">
      <c r="A1183" t="s">
        <v>58</v>
      </c>
      <c r="B1183" t="s">
        <v>59</v>
      </c>
      <c r="C1183" t="s">
        <v>37</v>
      </c>
      <c r="D1183" t="s">
        <v>727</v>
      </c>
      <c r="E1183" t="s">
        <v>62</v>
      </c>
      <c r="F1183" t="s">
        <v>56</v>
      </c>
      <c r="G1183" t="s">
        <v>40</v>
      </c>
      <c r="H1183" t="s">
        <v>42</v>
      </c>
      <c r="I1183" t="s">
        <v>40</v>
      </c>
      <c r="J1183" t="s">
        <v>3668</v>
      </c>
      <c r="K1183" t="s">
        <v>45</v>
      </c>
      <c r="L1183" t="s">
        <v>43</v>
      </c>
      <c r="M1183" t="s">
        <v>35</v>
      </c>
      <c r="N1183" t="s">
        <v>41</v>
      </c>
      <c r="O1183" t="s">
        <v>47</v>
      </c>
      <c r="P1183" t="s">
        <v>122</v>
      </c>
      <c r="Q1183" t="s">
        <v>45</v>
      </c>
      <c r="R1183" t="s">
        <v>66</v>
      </c>
      <c r="S1183" t="s">
        <v>3669</v>
      </c>
      <c r="T1183" t="s">
        <v>1063</v>
      </c>
      <c r="U1183" t="s">
        <v>41</v>
      </c>
      <c r="V1183" t="s">
        <v>52</v>
      </c>
      <c r="W1183" t="s">
        <v>36</v>
      </c>
      <c r="X1183" t="s">
        <v>144</v>
      </c>
      <c r="Y1183" t="s">
        <v>45</v>
      </c>
      <c r="Z1183" t="s">
        <v>41</v>
      </c>
      <c r="AA1183" t="s">
        <v>54</v>
      </c>
      <c r="AB1183" t="s">
        <v>40</v>
      </c>
      <c r="AC1183" t="s">
        <v>105</v>
      </c>
      <c r="AD1183" t="s">
        <v>45</v>
      </c>
      <c r="AE1183" t="s">
        <v>45</v>
      </c>
      <c r="AF1183" t="s">
        <v>79</v>
      </c>
      <c r="AG1183" t="s">
        <v>53</v>
      </c>
      <c r="AH1183" t="s">
        <v>41</v>
      </c>
      <c r="AI1183" t="s">
        <v>92</v>
      </c>
    </row>
    <row r="1184" spans="1:35" x14ac:dyDescent="0.25">
      <c r="A1184" t="s">
        <v>120</v>
      </c>
      <c r="B1184" t="s">
        <v>59</v>
      </c>
      <c r="C1184" t="s">
        <v>161</v>
      </c>
      <c r="D1184" t="s">
        <v>813</v>
      </c>
      <c r="E1184" t="s">
        <v>62</v>
      </c>
      <c r="F1184" t="s">
        <v>40</v>
      </c>
      <c r="G1184" t="s">
        <v>47</v>
      </c>
      <c r="H1184" t="s">
        <v>87</v>
      </c>
      <c r="I1184" t="s">
        <v>40</v>
      </c>
      <c r="J1184" t="s">
        <v>3670</v>
      </c>
      <c r="K1184" t="s">
        <v>47</v>
      </c>
      <c r="L1184" t="s">
        <v>43</v>
      </c>
      <c r="M1184" t="s">
        <v>80</v>
      </c>
      <c r="N1184" t="s">
        <v>41</v>
      </c>
      <c r="O1184" t="s">
        <v>41</v>
      </c>
      <c r="P1184" t="s">
        <v>116</v>
      </c>
      <c r="Q1184" t="s">
        <v>45</v>
      </c>
      <c r="R1184" t="s">
        <v>66</v>
      </c>
      <c r="S1184" t="s">
        <v>3671</v>
      </c>
      <c r="T1184" t="s">
        <v>3672</v>
      </c>
      <c r="U1184" t="s">
        <v>55</v>
      </c>
      <c r="V1184" t="s">
        <v>52</v>
      </c>
      <c r="W1184" t="s">
        <v>59</v>
      </c>
      <c r="X1184" t="s">
        <v>79</v>
      </c>
      <c r="Y1184" t="s">
        <v>45</v>
      </c>
      <c r="Z1184" t="s">
        <v>45</v>
      </c>
      <c r="AA1184" t="s">
        <v>54</v>
      </c>
      <c r="AB1184" t="s">
        <v>55</v>
      </c>
      <c r="AC1184" t="s">
        <v>47</v>
      </c>
      <c r="AD1184" t="s">
        <v>56</v>
      </c>
      <c r="AE1184" t="s">
        <v>45</v>
      </c>
      <c r="AF1184" t="s">
        <v>45</v>
      </c>
      <c r="AG1184" t="s">
        <v>41</v>
      </c>
      <c r="AH1184" t="s">
        <v>40</v>
      </c>
      <c r="AI1184" t="s">
        <v>41</v>
      </c>
    </row>
    <row r="1185" spans="1:35" x14ac:dyDescent="0.25">
      <c r="A1185" t="s">
        <v>120</v>
      </c>
      <c r="B1185" t="s">
        <v>59</v>
      </c>
      <c r="C1185" t="s">
        <v>37</v>
      </c>
      <c r="D1185" t="s">
        <v>492</v>
      </c>
      <c r="E1185" t="s">
        <v>62</v>
      </c>
      <c r="F1185" t="s">
        <v>45</v>
      </c>
      <c r="G1185" t="s">
        <v>41</v>
      </c>
      <c r="H1185" t="s">
        <v>42</v>
      </c>
      <c r="I1185" t="s">
        <v>40</v>
      </c>
      <c r="J1185" t="s">
        <v>3673</v>
      </c>
      <c r="K1185" t="s">
        <v>47</v>
      </c>
      <c r="L1185" t="s">
        <v>63</v>
      </c>
      <c r="M1185" t="s">
        <v>95</v>
      </c>
      <c r="N1185" t="s">
        <v>47</v>
      </c>
      <c r="O1185" t="s">
        <v>41</v>
      </c>
      <c r="P1185" t="s">
        <v>122</v>
      </c>
      <c r="Q1185" t="s">
        <v>40</v>
      </c>
      <c r="R1185" t="s">
        <v>109</v>
      </c>
      <c r="S1185" t="s">
        <v>3009</v>
      </c>
      <c r="T1185" t="s">
        <v>3674</v>
      </c>
      <c r="U1185" t="s">
        <v>56</v>
      </c>
      <c r="V1185" t="s">
        <v>52</v>
      </c>
      <c r="W1185" t="s">
        <v>59</v>
      </c>
      <c r="X1185" t="s">
        <v>104</v>
      </c>
      <c r="Y1185" t="s">
        <v>47</v>
      </c>
      <c r="Z1185" t="s">
        <v>40</v>
      </c>
      <c r="AA1185" t="s">
        <v>54</v>
      </c>
      <c r="AB1185" t="s">
        <v>40</v>
      </c>
      <c r="AC1185" t="s">
        <v>98</v>
      </c>
      <c r="AD1185" t="s">
        <v>45</v>
      </c>
      <c r="AE1185" t="s">
        <v>45</v>
      </c>
      <c r="AF1185" t="s">
        <v>57</v>
      </c>
      <c r="AG1185" t="s">
        <v>47</v>
      </c>
      <c r="AH1185" t="s">
        <v>55</v>
      </c>
      <c r="AI1185" t="s">
        <v>47</v>
      </c>
    </row>
    <row r="1186" spans="1:35" x14ac:dyDescent="0.25">
      <c r="A1186" t="s">
        <v>259</v>
      </c>
      <c r="B1186" t="s">
        <v>59</v>
      </c>
      <c r="C1186" t="s">
        <v>37</v>
      </c>
      <c r="D1186" t="s">
        <v>1652</v>
      </c>
      <c r="E1186" t="s">
        <v>62</v>
      </c>
      <c r="F1186" t="s">
        <v>112</v>
      </c>
      <c r="G1186" t="s">
        <v>57</v>
      </c>
      <c r="H1186" t="s">
        <v>87</v>
      </c>
      <c r="I1186" t="s">
        <v>40</v>
      </c>
      <c r="J1186" t="s">
        <v>3675</v>
      </c>
      <c r="K1186" t="s">
        <v>41</v>
      </c>
      <c r="L1186" t="s">
        <v>43</v>
      </c>
      <c r="M1186" t="s">
        <v>364</v>
      </c>
      <c r="N1186" t="s">
        <v>45</v>
      </c>
      <c r="O1186" t="s">
        <v>47</v>
      </c>
      <c r="P1186" t="s">
        <v>169</v>
      </c>
      <c r="Q1186" t="s">
        <v>45</v>
      </c>
      <c r="R1186" t="s">
        <v>66</v>
      </c>
      <c r="S1186" t="s">
        <v>3676</v>
      </c>
      <c r="T1186" t="s">
        <v>3677</v>
      </c>
      <c r="U1186" t="s">
        <v>45</v>
      </c>
      <c r="V1186" t="s">
        <v>52</v>
      </c>
      <c r="W1186" t="s">
        <v>59</v>
      </c>
      <c r="X1186" t="s">
        <v>172</v>
      </c>
      <c r="Y1186" t="s">
        <v>47</v>
      </c>
      <c r="Z1186" t="s">
        <v>45</v>
      </c>
      <c r="AA1186" t="s">
        <v>54</v>
      </c>
      <c r="AB1186" t="s">
        <v>40</v>
      </c>
      <c r="AC1186" t="s">
        <v>120</v>
      </c>
      <c r="AD1186" t="s">
        <v>56</v>
      </c>
      <c r="AE1186" t="s">
        <v>45</v>
      </c>
      <c r="AF1186" t="s">
        <v>70</v>
      </c>
      <c r="AG1186" t="s">
        <v>51</v>
      </c>
      <c r="AH1186" t="s">
        <v>47</v>
      </c>
      <c r="AI1186" t="s">
        <v>71</v>
      </c>
    </row>
    <row r="1187" spans="1:35" x14ac:dyDescent="0.25">
      <c r="A1187" t="s">
        <v>234</v>
      </c>
      <c r="B1187" t="s">
        <v>59</v>
      </c>
      <c r="C1187" t="s">
        <v>37</v>
      </c>
      <c r="D1187" t="s">
        <v>3017</v>
      </c>
      <c r="E1187" t="s">
        <v>62</v>
      </c>
      <c r="F1187" t="s">
        <v>79</v>
      </c>
      <c r="G1187" t="s">
        <v>41</v>
      </c>
      <c r="H1187" t="s">
        <v>42</v>
      </c>
      <c r="I1187" t="s">
        <v>40</v>
      </c>
      <c r="J1187" t="s">
        <v>3678</v>
      </c>
      <c r="K1187" t="s">
        <v>45</v>
      </c>
      <c r="L1187" t="s">
        <v>63</v>
      </c>
      <c r="M1187" t="s">
        <v>296</v>
      </c>
      <c r="N1187" t="s">
        <v>41</v>
      </c>
      <c r="O1187" t="s">
        <v>47</v>
      </c>
      <c r="P1187" t="s">
        <v>186</v>
      </c>
      <c r="Q1187" t="s">
        <v>45</v>
      </c>
      <c r="R1187" t="s">
        <v>66</v>
      </c>
      <c r="S1187" t="s">
        <v>3679</v>
      </c>
      <c r="T1187" t="s">
        <v>3680</v>
      </c>
      <c r="U1187" t="s">
        <v>40</v>
      </c>
      <c r="V1187" t="s">
        <v>52</v>
      </c>
      <c r="W1187" t="s">
        <v>59</v>
      </c>
      <c r="X1187" t="s">
        <v>107</v>
      </c>
      <c r="Y1187" t="s">
        <v>47</v>
      </c>
      <c r="Z1187" t="s">
        <v>40</v>
      </c>
      <c r="AA1187" t="s">
        <v>54</v>
      </c>
      <c r="AB1187" t="s">
        <v>40</v>
      </c>
      <c r="AC1187" t="s">
        <v>129</v>
      </c>
      <c r="AD1187" t="s">
        <v>45</v>
      </c>
      <c r="AE1187" t="s">
        <v>45</v>
      </c>
      <c r="AF1187" t="s">
        <v>129</v>
      </c>
      <c r="AG1187" t="s">
        <v>70</v>
      </c>
      <c r="AH1187" t="s">
        <v>56</v>
      </c>
      <c r="AI1187" t="s">
        <v>53</v>
      </c>
    </row>
    <row r="1188" spans="1:35" x14ac:dyDescent="0.25">
      <c r="A1188" t="s">
        <v>126</v>
      </c>
      <c r="B1188" t="s">
        <v>36</v>
      </c>
      <c r="C1188" t="s">
        <v>60</v>
      </c>
      <c r="D1188" t="s">
        <v>2242</v>
      </c>
      <c r="E1188" t="s">
        <v>39</v>
      </c>
      <c r="F1188" t="s">
        <v>92</v>
      </c>
      <c r="G1188" t="s">
        <v>47</v>
      </c>
      <c r="H1188" t="s">
        <v>74</v>
      </c>
      <c r="I1188" t="s">
        <v>40</v>
      </c>
      <c r="J1188" t="s">
        <v>3681</v>
      </c>
      <c r="K1188" t="s">
        <v>47</v>
      </c>
      <c r="L1188" t="s">
        <v>63</v>
      </c>
      <c r="M1188" t="s">
        <v>120</v>
      </c>
      <c r="N1188" t="s">
        <v>45</v>
      </c>
      <c r="O1188" t="s">
        <v>41</v>
      </c>
      <c r="P1188" t="s">
        <v>46</v>
      </c>
      <c r="Q1188" t="s">
        <v>47</v>
      </c>
      <c r="R1188" t="s">
        <v>48</v>
      </c>
      <c r="S1188" t="s">
        <v>3682</v>
      </c>
      <c r="T1188" t="s">
        <v>3683</v>
      </c>
      <c r="U1188" t="s">
        <v>45</v>
      </c>
      <c r="V1188" t="s">
        <v>52</v>
      </c>
      <c r="W1188" t="s">
        <v>36</v>
      </c>
      <c r="X1188" t="s">
        <v>107</v>
      </c>
      <c r="Y1188" t="s">
        <v>47</v>
      </c>
      <c r="Z1188" t="s">
        <v>40</v>
      </c>
      <c r="AA1188" t="s">
        <v>54</v>
      </c>
      <c r="AB1188" t="s">
        <v>55</v>
      </c>
      <c r="AC1188" t="s">
        <v>98</v>
      </c>
      <c r="AD1188" t="s">
        <v>41</v>
      </c>
      <c r="AE1188" t="s">
        <v>47</v>
      </c>
      <c r="AF1188" t="s">
        <v>53</v>
      </c>
      <c r="AG1188" t="s">
        <v>91</v>
      </c>
      <c r="AH1188" t="s">
        <v>56</v>
      </c>
      <c r="AI1188" t="s">
        <v>71</v>
      </c>
    </row>
    <row r="1189" spans="1:35" x14ac:dyDescent="0.25">
      <c r="A1189" t="s">
        <v>113</v>
      </c>
      <c r="B1189" t="s">
        <v>59</v>
      </c>
      <c r="C1189" t="s">
        <v>60</v>
      </c>
      <c r="D1189" t="s">
        <v>534</v>
      </c>
      <c r="E1189" t="s">
        <v>62</v>
      </c>
      <c r="F1189" t="s">
        <v>40</v>
      </c>
      <c r="G1189" t="s">
        <v>45</v>
      </c>
      <c r="H1189" t="s">
        <v>42</v>
      </c>
      <c r="I1189" t="s">
        <v>40</v>
      </c>
      <c r="J1189" t="s">
        <v>3684</v>
      </c>
      <c r="K1189" t="s">
        <v>47</v>
      </c>
      <c r="L1189" t="s">
        <v>63</v>
      </c>
      <c r="M1189" t="s">
        <v>360</v>
      </c>
      <c r="N1189" t="s">
        <v>45</v>
      </c>
      <c r="O1189" t="s">
        <v>41</v>
      </c>
      <c r="P1189" t="s">
        <v>65</v>
      </c>
      <c r="Q1189" t="s">
        <v>47</v>
      </c>
      <c r="R1189" t="s">
        <v>66</v>
      </c>
      <c r="S1189" t="s">
        <v>3685</v>
      </c>
      <c r="T1189" t="s">
        <v>3686</v>
      </c>
      <c r="U1189" t="s">
        <v>71</v>
      </c>
      <c r="V1189" t="s">
        <v>52</v>
      </c>
      <c r="W1189" t="s">
        <v>59</v>
      </c>
      <c r="X1189" t="s">
        <v>79</v>
      </c>
      <c r="Y1189" t="s">
        <v>45</v>
      </c>
      <c r="Z1189" t="s">
        <v>47</v>
      </c>
      <c r="AA1189" t="s">
        <v>54</v>
      </c>
      <c r="AB1189" t="s">
        <v>41</v>
      </c>
      <c r="AC1189" t="s">
        <v>144</v>
      </c>
      <c r="AD1189" t="s">
        <v>47</v>
      </c>
      <c r="AE1189" t="s">
        <v>47</v>
      </c>
      <c r="AF1189" t="s">
        <v>98</v>
      </c>
      <c r="AG1189" t="s">
        <v>53</v>
      </c>
      <c r="AH1189" t="s">
        <v>41</v>
      </c>
      <c r="AI1189" t="s">
        <v>91</v>
      </c>
    </row>
    <row r="1190" spans="1:35" x14ac:dyDescent="0.25">
      <c r="A1190" t="s">
        <v>133</v>
      </c>
      <c r="B1190" t="s">
        <v>59</v>
      </c>
      <c r="C1190" t="s">
        <v>37</v>
      </c>
      <c r="D1190" t="s">
        <v>1858</v>
      </c>
      <c r="E1190" t="s">
        <v>39</v>
      </c>
      <c r="F1190" t="s">
        <v>57</v>
      </c>
      <c r="G1190" t="s">
        <v>45</v>
      </c>
      <c r="H1190" t="s">
        <v>87</v>
      </c>
      <c r="I1190" t="s">
        <v>40</v>
      </c>
      <c r="J1190" t="s">
        <v>3687</v>
      </c>
      <c r="K1190" t="s">
        <v>40</v>
      </c>
      <c r="L1190" t="s">
        <v>63</v>
      </c>
      <c r="M1190" t="s">
        <v>234</v>
      </c>
      <c r="N1190" t="s">
        <v>41</v>
      </c>
      <c r="O1190" t="s">
        <v>41</v>
      </c>
      <c r="P1190" t="s">
        <v>46</v>
      </c>
      <c r="Q1190" t="s">
        <v>41</v>
      </c>
      <c r="R1190" t="s">
        <v>109</v>
      </c>
      <c r="S1190" t="s">
        <v>2024</v>
      </c>
      <c r="T1190" t="s">
        <v>3688</v>
      </c>
      <c r="U1190" t="s">
        <v>40</v>
      </c>
      <c r="V1190" t="s">
        <v>52</v>
      </c>
      <c r="W1190" t="s">
        <v>36</v>
      </c>
      <c r="X1190" t="s">
        <v>98</v>
      </c>
      <c r="Y1190" t="s">
        <v>45</v>
      </c>
      <c r="Z1190" t="s">
        <v>41</v>
      </c>
      <c r="AA1190" t="s">
        <v>54</v>
      </c>
      <c r="AB1190" t="s">
        <v>40</v>
      </c>
      <c r="AC1190" t="s">
        <v>70</v>
      </c>
      <c r="AD1190" t="s">
        <v>45</v>
      </c>
      <c r="AE1190" t="s">
        <v>41</v>
      </c>
      <c r="AF1190" t="s">
        <v>70</v>
      </c>
      <c r="AG1190" t="s">
        <v>55</v>
      </c>
      <c r="AH1190" t="s">
        <v>55</v>
      </c>
      <c r="AI1190" t="s">
        <v>91</v>
      </c>
    </row>
    <row r="1191" spans="1:35" x14ac:dyDescent="0.25">
      <c r="A1191" t="s">
        <v>80</v>
      </c>
      <c r="B1191" t="s">
        <v>59</v>
      </c>
      <c r="C1191" t="s">
        <v>37</v>
      </c>
      <c r="D1191" t="s">
        <v>1160</v>
      </c>
      <c r="E1191" t="s">
        <v>39</v>
      </c>
      <c r="F1191" t="s">
        <v>41</v>
      </c>
      <c r="G1191" t="s">
        <v>47</v>
      </c>
      <c r="H1191" t="s">
        <v>87</v>
      </c>
      <c r="I1191" t="s">
        <v>40</v>
      </c>
      <c r="J1191" t="s">
        <v>3689</v>
      </c>
      <c r="K1191" t="s">
        <v>47</v>
      </c>
      <c r="L1191" t="s">
        <v>63</v>
      </c>
      <c r="M1191" t="s">
        <v>146</v>
      </c>
      <c r="N1191" t="s">
        <v>45</v>
      </c>
      <c r="O1191" t="s">
        <v>41</v>
      </c>
      <c r="P1191" t="s">
        <v>46</v>
      </c>
      <c r="Q1191" t="s">
        <v>47</v>
      </c>
      <c r="R1191" t="s">
        <v>109</v>
      </c>
      <c r="S1191" t="s">
        <v>3690</v>
      </c>
      <c r="T1191" t="s">
        <v>3691</v>
      </c>
      <c r="U1191" t="s">
        <v>40</v>
      </c>
      <c r="V1191" t="s">
        <v>52</v>
      </c>
      <c r="W1191" t="s">
        <v>59</v>
      </c>
      <c r="X1191" t="s">
        <v>129</v>
      </c>
      <c r="Y1191" t="s">
        <v>45</v>
      </c>
      <c r="Z1191" t="s">
        <v>45</v>
      </c>
      <c r="AA1191" t="s">
        <v>54</v>
      </c>
      <c r="AB1191" t="s">
        <v>41</v>
      </c>
      <c r="AC1191" t="s">
        <v>56</v>
      </c>
      <c r="AD1191" t="s">
        <v>57</v>
      </c>
      <c r="AE1191" t="s">
        <v>45</v>
      </c>
      <c r="AF1191" t="s">
        <v>56</v>
      </c>
      <c r="AG1191" t="s">
        <v>41</v>
      </c>
      <c r="AH1191" t="s">
        <v>55</v>
      </c>
      <c r="AI1191" t="s">
        <v>47</v>
      </c>
    </row>
    <row r="1192" spans="1:35" x14ac:dyDescent="0.25">
      <c r="A1192" t="s">
        <v>93</v>
      </c>
      <c r="B1192" t="s">
        <v>59</v>
      </c>
      <c r="C1192" t="s">
        <v>37</v>
      </c>
      <c r="D1192" t="s">
        <v>2430</v>
      </c>
      <c r="E1192" t="s">
        <v>62</v>
      </c>
      <c r="F1192" t="s">
        <v>41</v>
      </c>
      <c r="G1192" t="s">
        <v>45</v>
      </c>
      <c r="H1192" t="s">
        <v>87</v>
      </c>
      <c r="I1192" t="s">
        <v>40</v>
      </c>
      <c r="J1192" t="s">
        <v>3692</v>
      </c>
      <c r="K1192" t="s">
        <v>47</v>
      </c>
      <c r="L1192" t="s">
        <v>63</v>
      </c>
      <c r="M1192" t="s">
        <v>174</v>
      </c>
      <c r="N1192" t="s">
        <v>45</v>
      </c>
      <c r="O1192" t="s">
        <v>41</v>
      </c>
      <c r="P1192" t="s">
        <v>65</v>
      </c>
      <c r="Q1192" t="s">
        <v>41</v>
      </c>
      <c r="R1192" t="s">
        <v>109</v>
      </c>
      <c r="S1192" t="s">
        <v>3693</v>
      </c>
      <c r="T1192" t="s">
        <v>3694</v>
      </c>
      <c r="U1192" t="s">
        <v>55</v>
      </c>
      <c r="V1192" t="s">
        <v>52</v>
      </c>
      <c r="W1192" t="s">
        <v>59</v>
      </c>
      <c r="X1192" t="s">
        <v>98</v>
      </c>
      <c r="Y1192" t="s">
        <v>45</v>
      </c>
      <c r="Z1192" t="s">
        <v>45</v>
      </c>
      <c r="AA1192" t="s">
        <v>54</v>
      </c>
      <c r="AB1192" t="s">
        <v>41</v>
      </c>
      <c r="AC1192" t="s">
        <v>70</v>
      </c>
      <c r="AD1192" t="s">
        <v>47</v>
      </c>
      <c r="AE1192" t="s">
        <v>41</v>
      </c>
      <c r="AF1192" t="s">
        <v>91</v>
      </c>
      <c r="AG1192" t="s">
        <v>57</v>
      </c>
      <c r="AH1192" t="s">
        <v>40</v>
      </c>
      <c r="AI1192" t="s">
        <v>56</v>
      </c>
    </row>
    <row r="1193" spans="1:35" x14ac:dyDescent="0.25">
      <c r="A1193" t="s">
        <v>137</v>
      </c>
      <c r="B1193" t="s">
        <v>59</v>
      </c>
      <c r="C1193" t="s">
        <v>37</v>
      </c>
      <c r="D1193" t="s">
        <v>1823</v>
      </c>
      <c r="E1193" t="s">
        <v>39</v>
      </c>
      <c r="F1193" t="s">
        <v>57</v>
      </c>
      <c r="G1193" t="s">
        <v>47</v>
      </c>
      <c r="H1193" t="s">
        <v>42</v>
      </c>
      <c r="I1193" t="s">
        <v>40</v>
      </c>
      <c r="J1193" t="s">
        <v>3695</v>
      </c>
      <c r="K1193" t="s">
        <v>40</v>
      </c>
      <c r="L1193" t="s">
        <v>43</v>
      </c>
      <c r="M1193" t="s">
        <v>108</v>
      </c>
      <c r="N1193" t="s">
        <v>45</v>
      </c>
      <c r="O1193" t="s">
        <v>41</v>
      </c>
      <c r="P1193" t="s">
        <v>46</v>
      </c>
      <c r="Q1193" t="s">
        <v>47</v>
      </c>
      <c r="R1193" t="s">
        <v>66</v>
      </c>
      <c r="S1193" t="s">
        <v>3696</v>
      </c>
      <c r="T1193" t="s">
        <v>3697</v>
      </c>
      <c r="U1193" t="s">
        <v>40</v>
      </c>
      <c r="V1193" t="s">
        <v>52</v>
      </c>
      <c r="W1193" t="s">
        <v>59</v>
      </c>
      <c r="X1193" t="s">
        <v>53</v>
      </c>
      <c r="Y1193" t="s">
        <v>45</v>
      </c>
      <c r="Z1193" t="s">
        <v>40</v>
      </c>
      <c r="AA1193" t="s">
        <v>54</v>
      </c>
      <c r="AB1193" t="s">
        <v>41</v>
      </c>
      <c r="AC1193" t="s">
        <v>70</v>
      </c>
      <c r="AD1193" t="s">
        <v>41</v>
      </c>
      <c r="AE1193" t="s">
        <v>45</v>
      </c>
      <c r="AF1193" t="s">
        <v>70</v>
      </c>
      <c r="AG1193" t="s">
        <v>55</v>
      </c>
      <c r="AH1193" t="s">
        <v>55</v>
      </c>
      <c r="AI1193" t="s">
        <v>41</v>
      </c>
    </row>
    <row r="1194" spans="1:35" x14ac:dyDescent="0.25">
      <c r="A1194" t="s">
        <v>58</v>
      </c>
      <c r="B1194" t="s">
        <v>59</v>
      </c>
      <c r="C1194" t="s">
        <v>37</v>
      </c>
      <c r="D1194" t="s">
        <v>254</v>
      </c>
      <c r="E1194" t="s">
        <v>62</v>
      </c>
      <c r="F1194" t="s">
        <v>128</v>
      </c>
      <c r="G1194" t="s">
        <v>45</v>
      </c>
      <c r="H1194" t="s">
        <v>87</v>
      </c>
      <c r="I1194" t="s">
        <v>40</v>
      </c>
      <c r="J1194" t="s">
        <v>3698</v>
      </c>
      <c r="K1194" t="s">
        <v>47</v>
      </c>
      <c r="L1194" t="s">
        <v>43</v>
      </c>
      <c r="M1194" t="s">
        <v>314</v>
      </c>
      <c r="N1194" t="s">
        <v>45</v>
      </c>
      <c r="O1194" t="s">
        <v>40</v>
      </c>
      <c r="P1194" t="s">
        <v>76</v>
      </c>
      <c r="Q1194" t="s">
        <v>40</v>
      </c>
      <c r="R1194" t="s">
        <v>109</v>
      </c>
      <c r="S1194" t="s">
        <v>3699</v>
      </c>
      <c r="T1194" t="s">
        <v>3700</v>
      </c>
      <c r="U1194" t="s">
        <v>47</v>
      </c>
      <c r="V1194" t="s">
        <v>52</v>
      </c>
      <c r="W1194" t="s">
        <v>36</v>
      </c>
      <c r="X1194" t="s">
        <v>128</v>
      </c>
      <c r="Y1194" t="s">
        <v>45</v>
      </c>
      <c r="Z1194" t="s">
        <v>41</v>
      </c>
      <c r="AA1194" t="s">
        <v>54</v>
      </c>
      <c r="AB1194" t="s">
        <v>40</v>
      </c>
      <c r="AC1194" t="s">
        <v>125</v>
      </c>
      <c r="AD1194" t="s">
        <v>41</v>
      </c>
      <c r="AE1194" t="s">
        <v>41</v>
      </c>
      <c r="AF1194" t="s">
        <v>41</v>
      </c>
      <c r="AG1194" t="s">
        <v>41</v>
      </c>
      <c r="AH1194" t="s">
        <v>41</v>
      </c>
      <c r="AI1194" t="s">
        <v>41</v>
      </c>
    </row>
    <row r="1195" spans="1:35" x14ac:dyDescent="0.25">
      <c r="A1195" t="s">
        <v>113</v>
      </c>
      <c r="B1195" t="s">
        <v>59</v>
      </c>
      <c r="C1195" t="s">
        <v>60</v>
      </c>
      <c r="D1195" t="s">
        <v>523</v>
      </c>
      <c r="E1195" t="s">
        <v>62</v>
      </c>
      <c r="F1195" t="s">
        <v>41</v>
      </c>
      <c r="G1195" t="s">
        <v>45</v>
      </c>
      <c r="H1195" t="s">
        <v>87</v>
      </c>
      <c r="I1195" t="s">
        <v>40</v>
      </c>
      <c r="J1195" t="s">
        <v>582</v>
      </c>
      <c r="K1195" t="s">
        <v>47</v>
      </c>
      <c r="L1195" t="s">
        <v>43</v>
      </c>
      <c r="M1195" t="s">
        <v>204</v>
      </c>
      <c r="N1195" t="s">
        <v>41</v>
      </c>
      <c r="O1195" t="s">
        <v>40</v>
      </c>
      <c r="P1195" t="s">
        <v>76</v>
      </c>
      <c r="Q1195" t="s">
        <v>41</v>
      </c>
      <c r="R1195" t="s">
        <v>48</v>
      </c>
      <c r="S1195" t="s">
        <v>3701</v>
      </c>
      <c r="T1195" t="s">
        <v>3702</v>
      </c>
      <c r="U1195" t="s">
        <v>40</v>
      </c>
      <c r="V1195" t="s">
        <v>52</v>
      </c>
      <c r="W1195" t="s">
        <v>59</v>
      </c>
      <c r="X1195" t="s">
        <v>112</v>
      </c>
      <c r="Y1195" t="s">
        <v>47</v>
      </c>
      <c r="Z1195" t="s">
        <v>41</v>
      </c>
      <c r="AA1195" t="s">
        <v>54</v>
      </c>
      <c r="AB1195" t="s">
        <v>55</v>
      </c>
      <c r="AC1195" t="s">
        <v>47</v>
      </c>
      <c r="AD1195" t="s">
        <v>45</v>
      </c>
      <c r="AE1195" t="s">
        <v>45</v>
      </c>
      <c r="AF1195" t="s">
        <v>47</v>
      </c>
      <c r="AG1195" t="s">
        <v>45</v>
      </c>
      <c r="AH1195" t="s">
        <v>45</v>
      </c>
      <c r="AI1195" t="s">
        <v>45</v>
      </c>
    </row>
    <row r="1196" spans="1:35" x14ac:dyDescent="0.25">
      <c r="A1196" t="s">
        <v>239</v>
      </c>
      <c r="B1196" t="s">
        <v>59</v>
      </c>
      <c r="C1196" t="s">
        <v>37</v>
      </c>
      <c r="D1196" t="s">
        <v>363</v>
      </c>
      <c r="E1196" t="s">
        <v>39</v>
      </c>
      <c r="F1196" t="s">
        <v>41</v>
      </c>
      <c r="G1196" t="s">
        <v>47</v>
      </c>
      <c r="H1196" t="s">
        <v>42</v>
      </c>
      <c r="I1196" t="s">
        <v>40</v>
      </c>
      <c r="J1196" t="s">
        <v>3703</v>
      </c>
      <c r="K1196" t="s">
        <v>41</v>
      </c>
      <c r="L1196" t="s">
        <v>43</v>
      </c>
      <c r="M1196" t="s">
        <v>239</v>
      </c>
      <c r="N1196" t="s">
        <v>47</v>
      </c>
      <c r="O1196" t="s">
        <v>47</v>
      </c>
      <c r="P1196" t="s">
        <v>169</v>
      </c>
      <c r="Q1196" t="s">
        <v>41</v>
      </c>
      <c r="R1196" t="s">
        <v>109</v>
      </c>
      <c r="S1196" t="s">
        <v>1151</v>
      </c>
      <c r="T1196" t="s">
        <v>3704</v>
      </c>
      <c r="U1196" t="s">
        <v>56</v>
      </c>
      <c r="V1196" t="s">
        <v>52</v>
      </c>
      <c r="W1196" t="s">
        <v>59</v>
      </c>
      <c r="X1196" t="s">
        <v>129</v>
      </c>
      <c r="Y1196" t="s">
        <v>45</v>
      </c>
      <c r="Z1196" t="s">
        <v>45</v>
      </c>
      <c r="AA1196" t="s">
        <v>54</v>
      </c>
      <c r="AB1196" t="s">
        <v>45</v>
      </c>
      <c r="AC1196" t="s">
        <v>133</v>
      </c>
      <c r="AD1196" t="s">
        <v>41</v>
      </c>
      <c r="AE1196" t="s">
        <v>45</v>
      </c>
      <c r="AF1196" t="s">
        <v>45</v>
      </c>
      <c r="AG1196" t="s">
        <v>41</v>
      </c>
      <c r="AH1196" t="s">
        <v>40</v>
      </c>
      <c r="AI1196" t="s">
        <v>41</v>
      </c>
    </row>
    <row r="1197" spans="1:35" x14ac:dyDescent="0.25">
      <c r="A1197" t="s">
        <v>58</v>
      </c>
      <c r="B1197" t="s">
        <v>59</v>
      </c>
      <c r="C1197" t="s">
        <v>37</v>
      </c>
      <c r="D1197" t="s">
        <v>127</v>
      </c>
      <c r="E1197" t="s">
        <v>62</v>
      </c>
      <c r="F1197" t="s">
        <v>40</v>
      </c>
      <c r="G1197" t="s">
        <v>45</v>
      </c>
      <c r="H1197" t="s">
        <v>42</v>
      </c>
      <c r="I1197" t="s">
        <v>40</v>
      </c>
      <c r="J1197" t="s">
        <v>3705</v>
      </c>
      <c r="K1197" t="s">
        <v>45</v>
      </c>
      <c r="L1197" t="s">
        <v>63</v>
      </c>
      <c r="M1197" t="s">
        <v>120</v>
      </c>
      <c r="N1197" t="s">
        <v>45</v>
      </c>
      <c r="O1197" t="s">
        <v>47</v>
      </c>
      <c r="P1197" t="s">
        <v>169</v>
      </c>
      <c r="Q1197" t="s">
        <v>45</v>
      </c>
      <c r="R1197" t="s">
        <v>48</v>
      </c>
      <c r="S1197" t="s">
        <v>3706</v>
      </c>
      <c r="T1197" t="s">
        <v>3707</v>
      </c>
      <c r="U1197" t="s">
        <v>47</v>
      </c>
      <c r="V1197" t="s">
        <v>52</v>
      </c>
      <c r="W1197" t="s">
        <v>59</v>
      </c>
      <c r="X1197" t="s">
        <v>129</v>
      </c>
      <c r="Y1197" t="s">
        <v>45</v>
      </c>
      <c r="Z1197" t="s">
        <v>40</v>
      </c>
      <c r="AA1197" t="s">
        <v>54</v>
      </c>
      <c r="AB1197" t="s">
        <v>55</v>
      </c>
      <c r="AC1197" t="s">
        <v>69</v>
      </c>
      <c r="AD1197" t="s">
        <v>41</v>
      </c>
      <c r="AE1197" t="s">
        <v>45</v>
      </c>
      <c r="AF1197" t="s">
        <v>51</v>
      </c>
      <c r="AG1197" t="s">
        <v>71</v>
      </c>
      <c r="AH1197" t="s">
        <v>55</v>
      </c>
      <c r="AI1197" t="s">
        <v>55</v>
      </c>
    </row>
    <row r="1198" spans="1:35" x14ac:dyDescent="0.25">
      <c r="A1198" t="s">
        <v>35</v>
      </c>
      <c r="B1198" t="s">
        <v>59</v>
      </c>
      <c r="C1198" t="s">
        <v>37</v>
      </c>
      <c r="D1198" t="s">
        <v>2495</v>
      </c>
      <c r="E1198" t="s">
        <v>39</v>
      </c>
      <c r="F1198" t="s">
        <v>69</v>
      </c>
      <c r="G1198" t="s">
        <v>41</v>
      </c>
      <c r="H1198" t="s">
        <v>42</v>
      </c>
      <c r="I1198" t="s">
        <v>40</v>
      </c>
      <c r="J1198" t="s">
        <v>3708</v>
      </c>
      <c r="K1198" t="s">
        <v>47</v>
      </c>
      <c r="L1198" t="s">
        <v>63</v>
      </c>
      <c r="M1198" t="s">
        <v>54</v>
      </c>
      <c r="N1198" t="s">
        <v>45</v>
      </c>
      <c r="O1198" t="s">
        <v>45</v>
      </c>
      <c r="P1198" t="s">
        <v>46</v>
      </c>
      <c r="Q1198" t="s">
        <v>45</v>
      </c>
      <c r="R1198" t="s">
        <v>48</v>
      </c>
      <c r="S1198" t="s">
        <v>3709</v>
      </c>
      <c r="T1198" t="s">
        <v>2915</v>
      </c>
      <c r="U1198" t="s">
        <v>45</v>
      </c>
      <c r="V1198" t="s">
        <v>52</v>
      </c>
      <c r="W1198" t="s">
        <v>36</v>
      </c>
      <c r="X1198" t="s">
        <v>128</v>
      </c>
      <c r="Y1198" t="s">
        <v>45</v>
      </c>
      <c r="Z1198" t="s">
        <v>47</v>
      </c>
      <c r="AA1198" t="s">
        <v>54</v>
      </c>
      <c r="AB1198" t="s">
        <v>55</v>
      </c>
      <c r="AC1198" t="s">
        <v>119</v>
      </c>
      <c r="AD1198" t="s">
        <v>41</v>
      </c>
      <c r="AE1198" t="s">
        <v>45</v>
      </c>
      <c r="AF1198" t="s">
        <v>41</v>
      </c>
      <c r="AG1198" t="s">
        <v>55</v>
      </c>
      <c r="AH1198" t="s">
        <v>55</v>
      </c>
      <c r="AI1198" t="s">
        <v>41</v>
      </c>
    </row>
    <row r="1199" spans="1:35" x14ac:dyDescent="0.25">
      <c r="A1199" t="s">
        <v>104</v>
      </c>
      <c r="B1199" t="s">
        <v>59</v>
      </c>
      <c r="C1199" t="s">
        <v>37</v>
      </c>
      <c r="D1199" t="s">
        <v>1886</v>
      </c>
      <c r="E1199" t="s">
        <v>39</v>
      </c>
      <c r="F1199" t="s">
        <v>91</v>
      </c>
      <c r="G1199" t="s">
        <v>40</v>
      </c>
      <c r="H1199" t="s">
        <v>42</v>
      </c>
      <c r="I1199" t="s">
        <v>40</v>
      </c>
      <c r="J1199" t="s">
        <v>3710</v>
      </c>
      <c r="K1199" t="s">
        <v>47</v>
      </c>
      <c r="L1199" t="s">
        <v>63</v>
      </c>
      <c r="M1199" t="s">
        <v>259</v>
      </c>
      <c r="N1199" t="s">
        <v>45</v>
      </c>
      <c r="O1199" t="s">
        <v>40</v>
      </c>
      <c r="P1199" t="s">
        <v>182</v>
      </c>
      <c r="Q1199" t="s">
        <v>40</v>
      </c>
      <c r="R1199" t="s">
        <v>48</v>
      </c>
      <c r="S1199" t="s">
        <v>3711</v>
      </c>
      <c r="T1199" t="s">
        <v>3712</v>
      </c>
      <c r="U1199" t="s">
        <v>40</v>
      </c>
      <c r="V1199" t="s">
        <v>52</v>
      </c>
      <c r="W1199" t="s">
        <v>59</v>
      </c>
      <c r="X1199" t="s">
        <v>53</v>
      </c>
      <c r="Y1199" t="s">
        <v>45</v>
      </c>
      <c r="Z1199" t="s">
        <v>40</v>
      </c>
      <c r="AA1199" t="s">
        <v>54</v>
      </c>
      <c r="AB1199" t="s">
        <v>55</v>
      </c>
      <c r="AC1199" t="s">
        <v>41</v>
      </c>
      <c r="AD1199" t="s">
        <v>45</v>
      </c>
      <c r="AE1199" t="s">
        <v>45</v>
      </c>
      <c r="AF1199" t="s">
        <v>41</v>
      </c>
      <c r="AG1199" t="s">
        <v>41</v>
      </c>
      <c r="AH1199" t="s">
        <v>55</v>
      </c>
      <c r="AI1199" t="s">
        <v>41</v>
      </c>
    </row>
    <row r="1200" spans="1:35" x14ac:dyDescent="0.25">
      <c r="A1200" t="s">
        <v>80</v>
      </c>
      <c r="B1200" t="s">
        <v>59</v>
      </c>
      <c r="C1200" t="s">
        <v>161</v>
      </c>
      <c r="D1200" t="s">
        <v>439</v>
      </c>
      <c r="E1200" t="s">
        <v>39</v>
      </c>
      <c r="F1200" t="s">
        <v>128</v>
      </c>
      <c r="G1200" t="s">
        <v>45</v>
      </c>
      <c r="H1200" t="s">
        <v>42</v>
      </c>
      <c r="I1200" t="s">
        <v>40</v>
      </c>
      <c r="J1200" t="s">
        <v>3713</v>
      </c>
      <c r="K1200" t="s">
        <v>45</v>
      </c>
      <c r="L1200" t="s">
        <v>43</v>
      </c>
      <c r="M1200" t="s">
        <v>120</v>
      </c>
      <c r="N1200" t="s">
        <v>45</v>
      </c>
      <c r="O1200" t="s">
        <v>41</v>
      </c>
      <c r="P1200" t="s">
        <v>46</v>
      </c>
      <c r="Q1200" t="s">
        <v>47</v>
      </c>
      <c r="R1200" t="s">
        <v>109</v>
      </c>
      <c r="S1200" t="s">
        <v>3714</v>
      </c>
      <c r="T1200" t="s">
        <v>3715</v>
      </c>
      <c r="U1200" t="s">
        <v>40</v>
      </c>
      <c r="V1200" t="s">
        <v>52</v>
      </c>
      <c r="W1200" t="s">
        <v>36</v>
      </c>
      <c r="X1200" t="s">
        <v>172</v>
      </c>
      <c r="Y1200" t="s">
        <v>47</v>
      </c>
      <c r="Z1200" t="s">
        <v>45</v>
      </c>
      <c r="AA1200" t="s">
        <v>54</v>
      </c>
      <c r="AB1200" t="s">
        <v>40</v>
      </c>
      <c r="AC1200" t="s">
        <v>71</v>
      </c>
      <c r="AD1200" t="s">
        <v>41</v>
      </c>
      <c r="AE1200" t="s">
        <v>45</v>
      </c>
      <c r="AF1200" t="s">
        <v>56</v>
      </c>
      <c r="AG1200" t="s">
        <v>57</v>
      </c>
      <c r="AH1200" t="s">
        <v>40</v>
      </c>
      <c r="AI1200" t="s">
        <v>41</v>
      </c>
    </row>
    <row r="1201" spans="1:35" x14ac:dyDescent="0.25">
      <c r="A1201" t="s">
        <v>120</v>
      </c>
      <c r="B1201" t="s">
        <v>59</v>
      </c>
      <c r="C1201" t="s">
        <v>37</v>
      </c>
      <c r="D1201" t="s">
        <v>3493</v>
      </c>
      <c r="E1201" t="s">
        <v>62</v>
      </c>
      <c r="F1201" t="s">
        <v>139</v>
      </c>
      <c r="G1201" t="s">
        <v>47</v>
      </c>
      <c r="H1201" t="s">
        <v>42</v>
      </c>
      <c r="I1201" t="s">
        <v>40</v>
      </c>
      <c r="J1201" t="s">
        <v>3716</v>
      </c>
      <c r="K1201" t="s">
        <v>40</v>
      </c>
      <c r="L1201" t="s">
        <v>63</v>
      </c>
      <c r="M1201" t="s">
        <v>54</v>
      </c>
      <c r="N1201" t="s">
        <v>45</v>
      </c>
      <c r="O1201" t="s">
        <v>41</v>
      </c>
      <c r="P1201" t="s">
        <v>122</v>
      </c>
      <c r="Q1201" t="s">
        <v>45</v>
      </c>
      <c r="R1201" t="s">
        <v>66</v>
      </c>
      <c r="S1201" t="s">
        <v>3717</v>
      </c>
      <c r="T1201" t="s">
        <v>3718</v>
      </c>
      <c r="U1201" t="s">
        <v>56</v>
      </c>
      <c r="V1201" t="s">
        <v>52</v>
      </c>
      <c r="W1201" t="s">
        <v>59</v>
      </c>
      <c r="X1201" t="s">
        <v>129</v>
      </c>
      <c r="Y1201" t="s">
        <v>45</v>
      </c>
      <c r="Z1201" t="s">
        <v>41</v>
      </c>
      <c r="AA1201" t="s">
        <v>54</v>
      </c>
      <c r="AB1201" t="s">
        <v>41</v>
      </c>
      <c r="AC1201" t="s">
        <v>70</v>
      </c>
      <c r="AD1201" t="s">
        <v>41</v>
      </c>
      <c r="AE1201" t="s">
        <v>41</v>
      </c>
      <c r="AF1201" t="s">
        <v>45</v>
      </c>
      <c r="AG1201" t="s">
        <v>41</v>
      </c>
      <c r="AH1201" t="s">
        <v>55</v>
      </c>
      <c r="AI1201" t="s">
        <v>41</v>
      </c>
    </row>
    <row r="1202" spans="1:35" x14ac:dyDescent="0.25">
      <c r="A1202" t="s">
        <v>115</v>
      </c>
      <c r="B1202" t="s">
        <v>59</v>
      </c>
      <c r="C1202" t="s">
        <v>37</v>
      </c>
      <c r="D1202" t="s">
        <v>580</v>
      </c>
      <c r="E1202" t="s">
        <v>397</v>
      </c>
      <c r="F1202" t="s">
        <v>40</v>
      </c>
      <c r="G1202" t="s">
        <v>45</v>
      </c>
      <c r="H1202" t="s">
        <v>42</v>
      </c>
      <c r="I1202" t="s">
        <v>40</v>
      </c>
      <c r="J1202" t="s">
        <v>3719</v>
      </c>
      <c r="K1202" t="s">
        <v>45</v>
      </c>
      <c r="L1202" t="s">
        <v>43</v>
      </c>
      <c r="M1202" t="s">
        <v>115</v>
      </c>
      <c r="N1202" t="s">
        <v>45</v>
      </c>
      <c r="O1202" t="s">
        <v>40</v>
      </c>
      <c r="P1202" t="s">
        <v>397</v>
      </c>
      <c r="Q1202" t="s">
        <v>47</v>
      </c>
      <c r="R1202" t="s">
        <v>109</v>
      </c>
      <c r="S1202" t="s">
        <v>3720</v>
      </c>
      <c r="T1202" t="s">
        <v>3721</v>
      </c>
      <c r="U1202" t="s">
        <v>47</v>
      </c>
      <c r="V1202" t="s">
        <v>52</v>
      </c>
      <c r="W1202" t="s">
        <v>36</v>
      </c>
      <c r="X1202" t="s">
        <v>145</v>
      </c>
      <c r="Y1202" t="s">
        <v>45</v>
      </c>
      <c r="Z1202" t="s">
        <v>40</v>
      </c>
      <c r="AA1202" t="s">
        <v>54</v>
      </c>
      <c r="AB1202" t="s">
        <v>45</v>
      </c>
      <c r="AC1202" t="s">
        <v>51</v>
      </c>
      <c r="AD1202" t="s">
        <v>41</v>
      </c>
      <c r="AE1202" t="s">
        <v>45</v>
      </c>
      <c r="AF1202" t="s">
        <v>41</v>
      </c>
      <c r="AG1202" t="s">
        <v>41</v>
      </c>
      <c r="AH1202" t="s">
        <v>41</v>
      </c>
      <c r="AI1202" t="s">
        <v>41</v>
      </c>
    </row>
    <row r="1203" spans="1:35" x14ac:dyDescent="0.25">
      <c r="A1203" t="s">
        <v>69</v>
      </c>
      <c r="B1203" t="s">
        <v>36</v>
      </c>
      <c r="C1203" t="s">
        <v>37</v>
      </c>
      <c r="D1203" t="s">
        <v>2971</v>
      </c>
      <c r="E1203" t="s">
        <v>62</v>
      </c>
      <c r="F1203" t="s">
        <v>51</v>
      </c>
      <c r="G1203" t="s">
        <v>40</v>
      </c>
      <c r="H1203" t="s">
        <v>87</v>
      </c>
      <c r="I1203" t="s">
        <v>40</v>
      </c>
      <c r="J1203" t="s">
        <v>3722</v>
      </c>
      <c r="K1203" t="s">
        <v>47</v>
      </c>
      <c r="L1203" t="s">
        <v>63</v>
      </c>
      <c r="M1203" t="s">
        <v>146</v>
      </c>
      <c r="N1203" t="s">
        <v>41</v>
      </c>
      <c r="O1203" t="s">
        <v>40</v>
      </c>
      <c r="P1203" t="s">
        <v>76</v>
      </c>
      <c r="Q1203" t="s">
        <v>45</v>
      </c>
      <c r="R1203" t="s">
        <v>48</v>
      </c>
      <c r="S1203" t="s">
        <v>3723</v>
      </c>
      <c r="T1203" t="s">
        <v>3724</v>
      </c>
      <c r="U1203" t="s">
        <v>40</v>
      </c>
      <c r="V1203" t="s">
        <v>52</v>
      </c>
      <c r="W1203" t="s">
        <v>36</v>
      </c>
      <c r="X1203" t="s">
        <v>53</v>
      </c>
      <c r="Y1203" t="s">
        <v>45</v>
      </c>
      <c r="Z1203" t="s">
        <v>40</v>
      </c>
      <c r="AA1203" t="s">
        <v>54</v>
      </c>
      <c r="AB1203" t="s">
        <v>55</v>
      </c>
      <c r="AC1203" t="s">
        <v>57</v>
      </c>
      <c r="AD1203" t="s">
        <v>41</v>
      </c>
      <c r="AE1203" t="s">
        <v>45</v>
      </c>
      <c r="AF1203" t="s">
        <v>57</v>
      </c>
      <c r="AG1203" t="s">
        <v>47</v>
      </c>
      <c r="AH1203" t="s">
        <v>40</v>
      </c>
      <c r="AI1203" t="s">
        <v>41</v>
      </c>
    </row>
    <row r="1204" spans="1:35" x14ac:dyDescent="0.25">
      <c r="A1204" t="s">
        <v>113</v>
      </c>
      <c r="B1204" t="s">
        <v>59</v>
      </c>
      <c r="C1204" t="s">
        <v>37</v>
      </c>
      <c r="D1204" t="s">
        <v>1761</v>
      </c>
      <c r="E1204" t="s">
        <v>62</v>
      </c>
      <c r="F1204" t="s">
        <v>47</v>
      </c>
      <c r="G1204" t="s">
        <v>41</v>
      </c>
      <c r="H1204" t="s">
        <v>87</v>
      </c>
      <c r="I1204" t="s">
        <v>40</v>
      </c>
      <c r="J1204" t="s">
        <v>3725</v>
      </c>
      <c r="K1204" t="s">
        <v>47</v>
      </c>
      <c r="L1204" t="s">
        <v>43</v>
      </c>
      <c r="M1204" t="s">
        <v>371</v>
      </c>
      <c r="N1204" t="s">
        <v>45</v>
      </c>
      <c r="O1204" t="s">
        <v>40</v>
      </c>
      <c r="P1204" t="s">
        <v>76</v>
      </c>
      <c r="Q1204" t="s">
        <v>45</v>
      </c>
      <c r="R1204" t="s">
        <v>66</v>
      </c>
      <c r="S1204" t="s">
        <v>3726</v>
      </c>
      <c r="T1204" t="s">
        <v>3727</v>
      </c>
      <c r="U1204" t="s">
        <v>71</v>
      </c>
      <c r="V1204" t="s">
        <v>52</v>
      </c>
      <c r="W1204" t="s">
        <v>59</v>
      </c>
      <c r="X1204" t="s">
        <v>144</v>
      </c>
      <c r="Y1204" t="s">
        <v>45</v>
      </c>
      <c r="Z1204" t="s">
        <v>47</v>
      </c>
      <c r="AA1204" t="s">
        <v>54</v>
      </c>
      <c r="AB1204" t="s">
        <v>40</v>
      </c>
      <c r="AC1204" t="s">
        <v>71</v>
      </c>
      <c r="AD1204" t="s">
        <v>57</v>
      </c>
      <c r="AE1204" t="s">
        <v>41</v>
      </c>
      <c r="AF1204" t="s">
        <v>55</v>
      </c>
      <c r="AG1204" t="s">
        <v>55</v>
      </c>
      <c r="AH1204" t="s">
        <v>55</v>
      </c>
      <c r="AI1204" t="s">
        <v>55</v>
      </c>
    </row>
    <row r="1205" spans="1:35" x14ac:dyDescent="0.25">
      <c r="A1205" t="s">
        <v>166</v>
      </c>
      <c r="B1205" t="s">
        <v>59</v>
      </c>
      <c r="C1205" t="s">
        <v>37</v>
      </c>
      <c r="D1205" t="s">
        <v>667</v>
      </c>
      <c r="E1205" t="s">
        <v>62</v>
      </c>
      <c r="F1205" t="s">
        <v>107</v>
      </c>
      <c r="G1205" t="s">
        <v>47</v>
      </c>
      <c r="H1205" t="s">
        <v>87</v>
      </c>
      <c r="I1205" t="s">
        <v>40</v>
      </c>
      <c r="J1205" t="s">
        <v>3728</v>
      </c>
      <c r="K1205" t="s">
        <v>41</v>
      </c>
      <c r="L1205" t="s">
        <v>63</v>
      </c>
      <c r="M1205" t="s">
        <v>207</v>
      </c>
      <c r="N1205" t="s">
        <v>47</v>
      </c>
      <c r="O1205" t="s">
        <v>45</v>
      </c>
      <c r="P1205" t="s">
        <v>122</v>
      </c>
      <c r="Q1205" t="s">
        <v>47</v>
      </c>
      <c r="R1205" t="s">
        <v>66</v>
      </c>
      <c r="S1205" t="s">
        <v>3729</v>
      </c>
      <c r="T1205" t="s">
        <v>3730</v>
      </c>
      <c r="U1205" t="s">
        <v>45</v>
      </c>
      <c r="V1205" t="s">
        <v>52</v>
      </c>
      <c r="W1205" t="s">
        <v>59</v>
      </c>
      <c r="X1205" t="s">
        <v>79</v>
      </c>
      <c r="Y1205" t="s">
        <v>45</v>
      </c>
      <c r="Z1205" t="s">
        <v>45</v>
      </c>
      <c r="AA1205" t="s">
        <v>54</v>
      </c>
      <c r="AB1205" t="s">
        <v>55</v>
      </c>
      <c r="AC1205" t="s">
        <v>53</v>
      </c>
      <c r="AD1205" t="s">
        <v>41</v>
      </c>
      <c r="AE1205" t="s">
        <v>45</v>
      </c>
      <c r="AF1205" t="s">
        <v>47</v>
      </c>
      <c r="AG1205" t="s">
        <v>45</v>
      </c>
      <c r="AH1205" t="s">
        <v>40</v>
      </c>
      <c r="AI1205" t="s">
        <v>41</v>
      </c>
    </row>
    <row r="1206" spans="1:35" x14ac:dyDescent="0.25">
      <c r="A1206" t="s">
        <v>207</v>
      </c>
      <c r="B1206" t="s">
        <v>36</v>
      </c>
      <c r="C1206" t="s">
        <v>60</v>
      </c>
      <c r="D1206" t="s">
        <v>3731</v>
      </c>
      <c r="E1206" t="s">
        <v>39</v>
      </c>
      <c r="F1206" t="s">
        <v>71</v>
      </c>
      <c r="G1206" t="s">
        <v>41</v>
      </c>
      <c r="H1206" t="s">
        <v>87</v>
      </c>
      <c r="I1206" t="s">
        <v>40</v>
      </c>
      <c r="J1206" t="s">
        <v>3732</v>
      </c>
      <c r="K1206" t="s">
        <v>47</v>
      </c>
      <c r="L1206" t="s">
        <v>43</v>
      </c>
      <c r="M1206" t="s">
        <v>349</v>
      </c>
      <c r="N1206" t="s">
        <v>45</v>
      </c>
      <c r="O1206" t="s">
        <v>40</v>
      </c>
      <c r="P1206" t="s">
        <v>182</v>
      </c>
      <c r="Q1206" t="s">
        <v>45</v>
      </c>
      <c r="R1206" t="s">
        <v>66</v>
      </c>
      <c r="S1206" t="s">
        <v>3733</v>
      </c>
      <c r="T1206" t="s">
        <v>3734</v>
      </c>
      <c r="U1206" t="s">
        <v>41</v>
      </c>
      <c r="V1206" t="s">
        <v>52</v>
      </c>
      <c r="W1206" t="s">
        <v>36</v>
      </c>
      <c r="X1206" t="s">
        <v>53</v>
      </c>
      <c r="Y1206" t="s">
        <v>45</v>
      </c>
      <c r="Z1206" t="s">
        <v>45</v>
      </c>
      <c r="AA1206" t="s">
        <v>54</v>
      </c>
      <c r="AB1206" t="s">
        <v>41</v>
      </c>
      <c r="AC1206" t="s">
        <v>144</v>
      </c>
      <c r="AD1206" t="s">
        <v>45</v>
      </c>
      <c r="AE1206" t="s">
        <v>45</v>
      </c>
      <c r="AF1206" t="s">
        <v>91</v>
      </c>
      <c r="AG1206" t="s">
        <v>71</v>
      </c>
      <c r="AH1206" t="s">
        <v>71</v>
      </c>
      <c r="AI1206" t="s">
        <v>71</v>
      </c>
    </row>
    <row r="1207" spans="1:35" x14ac:dyDescent="0.25">
      <c r="A1207" t="s">
        <v>93</v>
      </c>
      <c r="B1207" t="s">
        <v>36</v>
      </c>
      <c r="C1207" t="s">
        <v>37</v>
      </c>
      <c r="D1207" t="s">
        <v>2958</v>
      </c>
      <c r="E1207" t="s">
        <v>62</v>
      </c>
      <c r="F1207" t="s">
        <v>41</v>
      </c>
      <c r="G1207" t="s">
        <v>47</v>
      </c>
      <c r="H1207" t="s">
        <v>42</v>
      </c>
      <c r="I1207" t="s">
        <v>40</v>
      </c>
      <c r="J1207" t="s">
        <v>3735</v>
      </c>
      <c r="K1207" t="s">
        <v>47</v>
      </c>
      <c r="L1207" t="s">
        <v>63</v>
      </c>
      <c r="M1207" t="s">
        <v>349</v>
      </c>
      <c r="N1207" t="s">
        <v>45</v>
      </c>
      <c r="O1207" t="s">
        <v>40</v>
      </c>
      <c r="P1207" t="s">
        <v>76</v>
      </c>
      <c r="Q1207" t="s">
        <v>41</v>
      </c>
      <c r="R1207" t="s">
        <v>48</v>
      </c>
      <c r="S1207" t="s">
        <v>3736</v>
      </c>
      <c r="T1207" t="s">
        <v>3737</v>
      </c>
      <c r="U1207" t="s">
        <v>40</v>
      </c>
      <c r="V1207" t="s">
        <v>52</v>
      </c>
      <c r="W1207" t="s">
        <v>59</v>
      </c>
      <c r="X1207" t="s">
        <v>92</v>
      </c>
      <c r="Y1207" t="s">
        <v>45</v>
      </c>
      <c r="Z1207" t="s">
        <v>40</v>
      </c>
      <c r="AA1207" t="s">
        <v>54</v>
      </c>
      <c r="AB1207" t="s">
        <v>55</v>
      </c>
      <c r="AC1207" t="s">
        <v>40</v>
      </c>
      <c r="AD1207" t="s">
        <v>41</v>
      </c>
      <c r="AE1207" t="s">
        <v>45</v>
      </c>
      <c r="AF1207" t="s">
        <v>40</v>
      </c>
      <c r="AG1207" t="s">
        <v>55</v>
      </c>
      <c r="AH1207" t="s">
        <v>55</v>
      </c>
      <c r="AI1207" t="s">
        <v>55</v>
      </c>
    </row>
    <row r="1208" spans="1:35" x14ac:dyDescent="0.25">
      <c r="A1208" t="s">
        <v>139</v>
      </c>
      <c r="B1208" t="s">
        <v>59</v>
      </c>
      <c r="C1208" t="s">
        <v>161</v>
      </c>
      <c r="D1208" t="s">
        <v>2045</v>
      </c>
      <c r="E1208" t="s">
        <v>62</v>
      </c>
      <c r="F1208" t="s">
        <v>71</v>
      </c>
      <c r="G1208" t="s">
        <v>45</v>
      </c>
      <c r="H1208" t="s">
        <v>87</v>
      </c>
      <c r="I1208" t="s">
        <v>40</v>
      </c>
      <c r="J1208" t="s">
        <v>3738</v>
      </c>
      <c r="K1208" t="s">
        <v>47</v>
      </c>
      <c r="L1208" t="s">
        <v>63</v>
      </c>
      <c r="M1208" t="s">
        <v>322</v>
      </c>
      <c r="N1208" t="s">
        <v>45</v>
      </c>
      <c r="O1208" t="s">
        <v>40</v>
      </c>
      <c r="P1208" t="s">
        <v>76</v>
      </c>
      <c r="Q1208" t="s">
        <v>47</v>
      </c>
      <c r="R1208" t="s">
        <v>48</v>
      </c>
      <c r="S1208" t="s">
        <v>3739</v>
      </c>
      <c r="T1208" t="s">
        <v>3740</v>
      </c>
      <c r="U1208" t="s">
        <v>40</v>
      </c>
      <c r="V1208" t="s">
        <v>52</v>
      </c>
      <c r="W1208" t="s">
        <v>59</v>
      </c>
      <c r="X1208" t="s">
        <v>104</v>
      </c>
      <c r="Y1208" t="s">
        <v>47</v>
      </c>
      <c r="Z1208" t="s">
        <v>45</v>
      </c>
      <c r="AA1208" t="s">
        <v>54</v>
      </c>
      <c r="AB1208" t="s">
        <v>55</v>
      </c>
      <c r="AC1208" t="s">
        <v>71</v>
      </c>
      <c r="AD1208" t="s">
        <v>57</v>
      </c>
      <c r="AE1208" t="s">
        <v>45</v>
      </c>
      <c r="AF1208" t="s">
        <v>71</v>
      </c>
      <c r="AG1208" t="s">
        <v>71</v>
      </c>
      <c r="AH1208" t="s">
        <v>57</v>
      </c>
      <c r="AI1208" t="s">
        <v>71</v>
      </c>
    </row>
    <row r="1209" spans="1:35" x14ac:dyDescent="0.25">
      <c r="A1209" t="s">
        <v>263</v>
      </c>
      <c r="B1209" t="s">
        <v>59</v>
      </c>
      <c r="C1209" t="s">
        <v>37</v>
      </c>
      <c r="D1209" t="s">
        <v>2506</v>
      </c>
      <c r="E1209" t="s">
        <v>62</v>
      </c>
      <c r="F1209" t="s">
        <v>112</v>
      </c>
      <c r="G1209" t="s">
        <v>45</v>
      </c>
      <c r="H1209" t="s">
        <v>228</v>
      </c>
      <c r="I1209" t="s">
        <v>40</v>
      </c>
      <c r="J1209" t="s">
        <v>3741</v>
      </c>
      <c r="K1209" t="s">
        <v>40</v>
      </c>
      <c r="L1209" t="s">
        <v>63</v>
      </c>
      <c r="M1209" t="s">
        <v>44</v>
      </c>
      <c r="N1209" t="s">
        <v>41</v>
      </c>
      <c r="O1209" t="s">
        <v>40</v>
      </c>
      <c r="P1209" t="s">
        <v>65</v>
      </c>
      <c r="Q1209" t="s">
        <v>41</v>
      </c>
      <c r="R1209" t="s">
        <v>109</v>
      </c>
      <c r="S1209" t="s">
        <v>3742</v>
      </c>
      <c r="T1209" t="s">
        <v>3743</v>
      </c>
      <c r="U1209" t="s">
        <v>57</v>
      </c>
      <c r="V1209" t="s">
        <v>52</v>
      </c>
      <c r="W1209" t="s">
        <v>59</v>
      </c>
      <c r="X1209" t="s">
        <v>92</v>
      </c>
      <c r="Y1209" t="s">
        <v>45</v>
      </c>
      <c r="Z1209" t="s">
        <v>47</v>
      </c>
      <c r="AA1209" t="s">
        <v>54</v>
      </c>
      <c r="AB1209" t="s">
        <v>40</v>
      </c>
      <c r="AC1209" t="s">
        <v>51</v>
      </c>
      <c r="AD1209" t="s">
        <v>40</v>
      </c>
      <c r="AE1209" t="s">
        <v>45</v>
      </c>
      <c r="AF1209" t="s">
        <v>47</v>
      </c>
      <c r="AG1209" t="s">
        <v>41</v>
      </c>
      <c r="AH1209" t="s">
        <v>40</v>
      </c>
      <c r="AI1209" t="s">
        <v>41</v>
      </c>
    </row>
    <row r="1210" spans="1:35" x14ac:dyDescent="0.25">
      <c r="A1210" t="s">
        <v>142</v>
      </c>
      <c r="B1210" t="s">
        <v>59</v>
      </c>
      <c r="C1210" t="s">
        <v>37</v>
      </c>
      <c r="D1210" t="s">
        <v>740</v>
      </c>
      <c r="E1210" t="s">
        <v>62</v>
      </c>
      <c r="F1210" t="s">
        <v>57</v>
      </c>
      <c r="G1210" t="s">
        <v>41</v>
      </c>
      <c r="H1210" t="s">
        <v>87</v>
      </c>
      <c r="I1210" t="s">
        <v>40</v>
      </c>
      <c r="J1210" t="s">
        <v>3744</v>
      </c>
      <c r="K1210" t="s">
        <v>41</v>
      </c>
      <c r="L1210" t="s">
        <v>63</v>
      </c>
      <c r="M1210" t="s">
        <v>269</v>
      </c>
      <c r="N1210" t="s">
        <v>41</v>
      </c>
      <c r="O1210" t="s">
        <v>41</v>
      </c>
      <c r="P1210" t="s">
        <v>76</v>
      </c>
      <c r="Q1210" t="s">
        <v>47</v>
      </c>
      <c r="R1210" t="s">
        <v>66</v>
      </c>
      <c r="S1210" t="s">
        <v>3745</v>
      </c>
      <c r="T1210" t="s">
        <v>3746</v>
      </c>
      <c r="U1210" t="s">
        <v>40</v>
      </c>
      <c r="V1210" t="s">
        <v>52</v>
      </c>
      <c r="W1210" t="s">
        <v>59</v>
      </c>
      <c r="X1210" t="s">
        <v>129</v>
      </c>
      <c r="Y1210" t="s">
        <v>45</v>
      </c>
      <c r="Z1210" t="s">
        <v>45</v>
      </c>
      <c r="AA1210" t="s">
        <v>54</v>
      </c>
      <c r="AB1210" t="s">
        <v>40</v>
      </c>
      <c r="AC1210" t="s">
        <v>79</v>
      </c>
      <c r="AD1210" t="s">
        <v>45</v>
      </c>
      <c r="AE1210" t="s">
        <v>47</v>
      </c>
      <c r="AF1210" t="s">
        <v>79</v>
      </c>
      <c r="AG1210" t="s">
        <v>70</v>
      </c>
      <c r="AH1210" t="s">
        <v>47</v>
      </c>
      <c r="AI1210" t="s">
        <v>98</v>
      </c>
    </row>
    <row r="1211" spans="1:35" x14ac:dyDescent="0.25">
      <c r="A1211" t="s">
        <v>275</v>
      </c>
      <c r="B1211" t="s">
        <v>59</v>
      </c>
      <c r="C1211" t="s">
        <v>37</v>
      </c>
      <c r="D1211" t="s">
        <v>3747</v>
      </c>
      <c r="E1211" t="s">
        <v>62</v>
      </c>
      <c r="F1211" t="s">
        <v>40</v>
      </c>
      <c r="G1211" t="s">
        <v>47</v>
      </c>
      <c r="H1211" t="s">
        <v>87</v>
      </c>
      <c r="I1211" t="s">
        <v>40</v>
      </c>
      <c r="J1211" t="s">
        <v>3748</v>
      </c>
      <c r="K1211" t="s">
        <v>45</v>
      </c>
      <c r="L1211" t="s">
        <v>63</v>
      </c>
      <c r="M1211" t="s">
        <v>75</v>
      </c>
      <c r="N1211" t="s">
        <v>40</v>
      </c>
      <c r="O1211" t="s">
        <v>45</v>
      </c>
      <c r="P1211" t="s">
        <v>122</v>
      </c>
      <c r="Q1211" t="s">
        <v>47</v>
      </c>
      <c r="R1211" t="s">
        <v>109</v>
      </c>
      <c r="S1211" t="s">
        <v>3749</v>
      </c>
      <c r="T1211" t="s">
        <v>3750</v>
      </c>
      <c r="U1211" t="s">
        <v>45</v>
      </c>
      <c r="V1211" t="s">
        <v>52</v>
      </c>
      <c r="W1211" t="s">
        <v>59</v>
      </c>
      <c r="X1211" t="s">
        <v>104</v>
      </c>
      <c r="Y1211" t="s">
        <v>47</v>
      </c>
      <c r="Z1211" t="s">
        <v>45</v>
      </c>
      <c r="AA1211" t="s">
        <v>54</v>
      </c>
      <c r="AB1211" t="s">
        <v>40</v>
      </c>
      <c r="AC1211" t="s">
        <v>144</v>
      </c>
      <c r="AD1211" t="s">
        <v>41</v>
      </c>
      <c r="AE1211" t="s">
        <v>47</v>
      </c>
      <c r="AF1211" t="s">
        <v>40</v>
      </c>
      <c r="AG1211" t="s">
        <v>55</v>
      </c>
      <c r="AH1211" t="s">
        <v>55</v>
      </c>
      <c r="AI1211" t="s">
        <v>55</v>
      </c>
    </row>
    <row r="1212" spans="1:35" x14ac:dyDescent="0.25">
      <c r="A1212" t="s">
        <v>80</v>
      </c>
      <c r="B1212" t="s">
        <v>59</v>
      </c>
      <c r="C1212" t="s">
        <v>37</v>
      </c>
      <c r="D1212" t="s">
        <v>829</v>
      </c>
      <c r="E1212" t="s">
        <v>62</v>
      </c>
      <c r="F1212" t="s">
        <v>119</v>
      </c>
      <c r="G1212" t="s">
        <v>45</v>
      </c>
      <c r="H1212" t="s">
        <v>87</v>
      </c>
      <c r="I1212" t="s">
        <v>40</v>
      </c>
      <c r="J1212" t="s">
        <v>3751</v>
      </c>
      <c r="K1212" t="s">
        <v>41</v>
      </c>
      <c r="L1212" t="s">
        <v>63</v>
      </c>
      <c r="M1212" t="s">
        <v>95</v>
      </c>
      <c r="N1212" t="s">
        <v>47</v>
      </c>
      <c r="O1212" t="s">
        <v>40</v>
      </c>
      <c r="P1212" t="s">
        <v>76</v>
      </c>
      <c r="Q1212" t="s">
        <v>41</v>
      </c>
      <c r="R1212" t="s">
        <v>66</v>
      </c>
      <c r="S1212" t="s">
        <v>152</v>
      </c>
      <c r="T1212" t="s">
        <v>3752</v>
      </c>
      <c r="U1212" t="s">
        <v>40</v>
      </c>
      <c r="V1212" t="s">
        <v>52</v>
      </c>
      <c r="W1212" t="s">
        <v>59</v>
      </c>
      <c r="X1212" t="s">
        <v>145</v>
      </c>
      <c r="Y1212" t="s">
        <v>45</v>
      </c>
      <c r="Z1212" t="s">
        <v>47</v>
      </c>
      <c r="AA1212" t="s">
        <v>54</v>
      </c>
      <c r="AB1212" t="s">
        <v>45</v>
      </c>
      <c r="AC1212" t="s">
        <v>129</v>
      </c>
      <c r="AD1212" t="s">
        <v>56</v>
      </c>
      <c r="AE1212" t="s">
        <v>45</v>
      </c>
      <c r="AF1212" t="s">
        <v>129</v>
      </c>
      <c r="AG1212" t="s">
        <v>53</v>
      </c>
      <c r="AH1212" t="s">
        <v>41</v>
      </c>
      <c r="AI1212" t="s">
        <v>98</v>
      </c>
    </row>
    <row r="1213" spans="1:35" x14ac:dyDescent="0.25">
      <c r="A1213" t="s">
        <v>72</v>
      </c>
      <c r="B1213" t="s">
        <v>59</v>
      </c>
      <c r="C1213" t="s">
        <v>60</v>
      </c>
      <c r="D1213" t="s">
        <v>2236</v>
      </c>
      <c r="E1213" t="s">
        <v>39</v>
      </c>
      <c r="F1213" t="s">
        <v>40</v>
      </c>
      <c r="G1213" t="s">
        <v>47</v>
      </c>
      <c r="H1213" t="s">
        <v>87</v>
      </c>
      <c r="I1213" t="s">
        <v>40</v>
      </c>
      <c r="J1213" t="s">
        <v>3753</v>
      </c>
      <c r="K1213" t="s">
        <v>45</v>
      </c>
      <c r="L1213" t="s">
        <v>63</v>
      </c>
      <c r="M1213" t="s">
        <v>137</v>
      </c>
      <c r="N1213" t="s">
        <v>40</v>
      </c>
      <c r="O1213" t="s">
        <v>41</v>
      </c>
      <c r="P1213" t="s">
        <v>46</v>
      </c>
      <c r="Q1213" t="s">
        <v>47</v>
      </c>
      <c r="R1213" t="s">
        <v>109</v>
      </c>
      <c r="S1213" t="s">
        <v>3754</v>
      </c>
      <c r="T1213" t="s">
        <v>3755</v>
      </c>
      <c r="U1213" t="s">
        <v>40</v>
      </c>
      <c r="V1213" t="s">
        <v>52</v>
      </c>
      <c r="W1213" t="s">
        <v>59</v>
      </c>
      <c r="X1213" t="s">
        <v>129</v>
      </c>
      <c r="Y1213" t="s">
        <v>45</v>
      </c>
      <c r="Z1213" t="s">
        <v>45</v>
      </c>
      <c r="AA1213" t="s">
        <v>54</v>
      </c>
      <c r="AB1213" t="s">
        <v>41</v>
      </c>
      <c r="AC1213" t="s">
        <v>56</v>
      </c>
      <c r="AD1213" t="s">
        <v>41</v>
      </c>
      <c r="AE1213" t="s">
        <v>41</v>
      </c>
      <c r="AF1213" t="s">
        <v>56</v>
      </c>
      <c r="AG1213" t="s">
        <v>45</v>
      </c>
      <c r="AH1213" t="s">
        <v>40</v>
      </c>
      <c r="AI1213" t="s">
        <v>45</v>
      </c>
    </row>
    <row r="1214" spans="1:35" x14ac:dyDescent="0.25">
      <c r="A1214" t="s">
        <v>142</v>
      </c>
      <c r="B1214" t="s">
        <v>59</v>
      </c>
      <c r="C1214" t="s">
        <v>37</v>
      </c>
      <c r="D1214" t="s">
        <v>3756</v>
      </c>
      <c r="E1214" t="s">
        <v>62</v>
      </c>
      <c r="F1214" t="s">
        <v>144</v>
      </c>
      <c r="G1214" t="s">
        <v>45</v>
      </c>
      <c r="H1214" t="s">
        <v>42</v>
      </c>
      <c r="I1214" t="s">
        <v>40</v>
      </c>
      <c r="J1214" t="s">
        <v>3757</v>
      </c>
      <c r="K1214" t="s">
        <v>41</v>
      </c>
      <c r="L1214" t="s">
        <v>43</v>
      </c>
      <c r="M1214" t="s">
        <v>126</v>
      </c>
      <c r="N1214" t="s">
        <v>41</v>
      </c>
      <c r="O1214" t="s">
        <v>40</v>
      </c>
      <c r="P1214" t="s">
        <v>65</v>
      </c>
      <c r="Q1214" t="s">
        <v>47</v>
      </c>
      <c r="R1214" t="s">
        <v>66</v>
      </c>
      <c r="S1214" t="s">
        <v>3758</v>
      </c>
      <c r="T1214" t="s">
        <v>3759</v>
      </c>
      <c r="U1214" t="s">
        <v>40</v>
      </c>
      <c r="V1214" t="s">
        <v>52</v>
      </c>
      <c r="W1214" t="s">
        <v>59</v>
      </c>
      <c r="X1214" t="s">
        <v>92</v>
      </c>
      <c r="Y1214" t="s">
        <v>45</v>
      </c>
      <c r="Z1214" t="s">
        <v>41</v>
      </c>
      <c r="AA1214" t="s">
        <v>54</v>
      </c>
      <c r="AB1214" t="s">
        <v>55</v>
      </c>
      <c r="AC1214" t="s">
        <v>70</v>
      </c>
      <c r="AD1214" t="s">
        <v>45</v>
      </c>
      <c r="AE1214" t="s">
        <v>45</v>
      </c>
      <c r="AF1214" t="s">
        <v>70</v>
      </c>
      <c r="AG1214" t="s">
        <v>91</v>
      </c>
      <c r="AH1214" t="s">
        <v>51</v>
      </c>
      <c r="AI1214" t="s">
        <v>71</v>
      </c>
    </row>
    <row r="1215" spans="1:35" x14ac:dyDescent="0.25">
      <c r="A1215" t="s">
        <v>69</v>
      </c>
      <c r="B1215" t="s">
        <v>36</v>
      </c>
      <c r="C1215" t="s">
        <v>37</v>
      </c>
      <c r="D1215" t="s">
        <v>328</v>
      </c>
      <c r="E1215" t="s">
        <v>39</v>
      </c>
      <c r="F1215" t="s">
        <v>71</v>
      </c>
      <c r="G1215" t="s">
        <v>45</v>
      </c>
      <c r="H1215" t="s">
        <v>42</v>
      </c>
      <c r="I1215" t="s">
        <v>40</v>
      </c>
      <c r="J1215" t="s">
        <v>1587</v>
      </c>
      <c r="K1215" t="s">
        <v>45</v>
      </c>
      <c r="L1215" t="s">
        <v>63</v>
      </c>
      <c r="M1215" t="s">
        <v>338</v>
      </c>
      <c r="N1215" t="s">
        <v>45</v>
      </c>
      <c r="O1215" t="s">
        <v>40</v>
      </c>
      <c r="P1215" t="s">
        <v>182</v>
      </c>
      <c r="Q1215" t="s">
        <v>47</v>
      </c>
      <c r="R1215" t="s">
        <v>109</v>
      </c>
      <c r="S1215" t="s">
        <v>3760</v>
      </c>
      <c r="T1215" t="s">
        <v>3761</v>
      </c>
      <c r="U1215" t="s">
        <v>40</v>
      </c>
      <c r="V1215" t="s">
        <v>52</v>
      </c>
      <c r="W1215" t="s">
        <v>36</v>
      </c>
      <c r="X1215" t="s">
        <v>119</v>
      </c>
      <c r="Y1215" t="s">
        <v>47</v>
      </c>
      <c r="Z1215" t="s">
        <v>41</v>
      </c>
      <c r="AA1215" t="s">
        <v>54</v>
      </c>
      <c r="AB1215" t="s">
        <v>40</v>
      </c>
      <c r="AC1215" t="s">
        <v>45</v>
      </c>
      <c r="AD1215" t="s">
        <v>41</v>
      </c>
      <c r="AE1215" t="s">
        <v>45</v>
      </c>
      <c r="AF1215" t="s">
        <v>45</v>
      </c>
      <c r="AG1215" t="s">
        <v>41</v>
      </c>
      <c r="AH1215" t="s">
        <v>55</v>
      </c>
      <c r="AI1215" t="s">
        <v>41</v>
      </c>
    </row>
    <row r="1216" spans="1:35" x14ac:dyDescent="0.25">
      <c r="A1216" t="s">
        <v>115</v>
      </c>
      <c r="B1216" t="s">
        <v>59</v>
      </c>
      <c r="C1216" t="s">
        <v>37</v>
      </c>
      <c r="D1216" t="s">
        <v>1426</v>
      </c>
      <c r="E1216" t="s">
        <v>62</v>
      </c>
      <c r="F1216" t="s">
        <v>41</v>
      </c>
      <c r="G1216" t="s">
        <v>45</v>
      </c>
      <c r="H1216" t="s">
        <v>42</v>
      </c>
      <c r="I1216" t="s">
        <v>40</v>
      </c>
      <c r="J1216" t="s">
        <v>3762</v>
      </c>
      <c r="K1216" t="s">
        <v>45</v>
      </c>
      <c r="L1216" t="s">
        <v>43</v>
      </c>
      <c r="M1216" t="s">
        <v>163</v>
      </c>
      <c r="N1216" t="s">
        <v>47</v>
      </c>
      <c r="O1216" t="s">
        <v>45</v>
      </c>
      <c r="P1216" t="s">
        <v>122</v>
      </c>
      <c r="Q1216" t="s">
        <v>47</v>
      </c>
      <c r="R1216" t="s">
        <v>66</v>
      </c>
      <c r="S1216" t="s">
        <v>3763</v>
      </c>
      <c r="T1216" t="s">
        <v>3764</v>
      </c>
      <c r="U1216" t="s">
        <v>40</v>
      </c>
      <c r="V1216" t="s">
        <v>52</v>
      </c>
      <c r="W1216" t="s">
        <v>36</v>
      </c>
      <c r="X1216" t="s">
        <v>144</v>
      </c>
      <c r="Y1216" t="s">
        <v>45</v>
      </c>
      <c r="Z1216" t="s">
        <v>41</v>
      </c>
      <c r="AA1216" t="s">
        <v>54</v>
      </c>
      <c r="AB1216" t="s">
        <v>40</v>
      </c>
      <c r="AC1216" t="s">
        <v>91</v>
      </c>
      <c r="AD1216" t="s">
        <v>41</v>
      </c>
      <c r="AE1216" t="s">
        <v>45</v>
      </c>
      <c r="AF1216" t="s">
        <v>51</v>
      </c>
      <c r="AG1216" t="s">
        <v>71</v>
      </c>
      <c r="AH1216" t="s">
        <v>56</v>
      </c>
      <c r="AI1216" t="s">
        <v>71</v>
      </c>
    </row>
    <row r="1217" spans="1:35" x14ac:dyDescent="0.25">
      <c r="A1217" t="s">
        <v>126</v>
      </c>
      <c r="B1217" t="s">
        <v>59</v>
      </c>
      <c r="C1217" t="s">
        <v>60</v>
      </c>
      <c r="D1217" t="s">
        <v>3765</v>
      </c>
      <c r="E1217" t="s">
        <v>62</v>
      </c>
      <c r="F1217" t="s">
        <v>41</v>
      </c>
      <c r="G1217" t="s">
        <v>47</v>
      </c>
      <c r="H1217" t="s">
        <v>87</v>
      </c>
      <c r="I1217" t="s">
        <v>40</v>
      </c>
      <c r="J1217" t="s">
        <v>3766</v>
      </c>
      <c r="K1217" t="s">
        <v>40</v>
      </c>
      <c r="L1217" t="s">
        <v>63</v>
      </c>
      <c r="M1217" t="s">
        <v>95</v>
      </c>
      <c r="N1217" t="s">
        <v>41</v>
      </c>
      <c r="O1217" t="s">
        <v>40</v>
      </c>
      <c r="P1217" t="s">
        <v>65</v>
      </c>
      <c r="Q1217" t="s">
        <v>47</v>
      </c>
      <c r="R1217" t="s">
        <v>48</v>
      </c>
      <c r="S1217" t="s">
        <v>3767</v>
      </c>
      <c r="T1217" t="s">
        <v>3768</v>
      </c>
      <c r="U1217" t="s">
        <v>55</v>
      </c>
      <c r="V1217" t="s">
        <v>52</v>
      </c>
      <c r="W1217" t="s">
        <v>36</v>
      </c>
      <c r="X1217" t="s">
        <v>129</v>
      </c>
      <c r="Y1217" t="s">
        <v>45</v>
      </c>
      <c r="Z1217" t="s">
        <v>45</v>
      </c>
      <c r="AA1217" t="s">
        <v>54</v>
      </c>
      <c r="AB1217" t="s">
        <v>55</v>
      </c>
      <c r="AC1217" t="s">
        <v>56</v>
      </c>
      <c r="AD1217" t="s">
        <v>41</v>
      </c>
      <c r="AE1217" t="s">
        <v>47</v>
      </c>
      <c r="AF1217" t="s">
        <v>57</v>
      </c>
      <c r="AG1217" t="s">
        <v>47</v>
      </c>
      <c r="AH1217" t="s">
        <v>40</v>
      </c>
      <c r="AI1217" t="s">
        <v>47</v>
      </c>
    </row>
    <row r="1218" spans="1:35" x14ac:dyDescent="0.25">
      <c r="A1218" t="s">
        <v>234</v>
      </c>
      <c r="B1218" t="s">
        <v>59</v>
      </c>
      <c r="C1218" t="s">
        <v>37</v>
      </c>
      <c r="D1218" t="s">
        <v>1952</v>
      </c>
      <c r="E1218" t="s">
        <v>39</v>
      </c>
      <c r="F1218" t="s">
        <v>41</v>
      </c>
      <c r="G1218" t="s">
        <v>45</v>
      </c>
      <c r="H1218" t="s">
        <v>87</v>
      </c>
      <c r="I1218" t="s">
        <v>40</v>
      </c>
      <c r="J1218" t="s">
        <v>2184</v>
      </c>
      <c r="K1218" t="s">
        <v>47</v>
      </c>
      <c r="L1218" t="s">
        <v>63</v>
      </c>
      <c r="M1218" t="s">
        <v>279</v>
      </c>
      <c r="N1218" t="s">
        <v>45</v>
      </c>
      <c r="O1218" t="s">
        <v>41</v>
      </c>
      <c r="P1218" t="s">
        <v>46</v>
      </c>
      <c r="Q1218" t="s">
        <v>47</v>
      </c>
      <c r="R1218" t="s">
        <v>66</v>
      </c>
      <c r="S1218" t="s">
        <v>3769</v>
      </c>
      <c r="T1218" t="s">
        <v>1397</v>
      </c>
      <c r="U1218" t="s">
        <v>40</v>
      </c>
      <c r="V1218" t="s">
        <v>52</v>
      </c>
      <c r="W1218" t="s">
        <v>36</v>
      </c>
      <c r="X1218" t="s">
        <v>125</v>
      </c>
      <c r="Y1218" t="s">
        <v>45</v>
      </c>
      <c r="Z1218" t="s">
        <v>40</v>
      </c>
      <c r="AA1218" t="s">
        <v>54</v>
      </c>
      <c r="AB1218" t="s">
        <v>40</v>
      </c>
      <c r="AC1218" t="s">
        <v>70</v>
      </c>
      <c r="AD1218" t="s">
        <v>45</v>
      </c>
      <c r="AE1218" t="s">
        <v>45</v>
      </c>
      <c r="AF1218" t="s">
        <v>70</v>
      </c>
      <c r="AG1218" t="s">
        <v>91</v>
      </c>
      <c r="AH1218" t="s">
        <v>51</v>
      </c>
      <c r="AI1218" t="s">
        <v>51</v>
      </c>
    </row>
    <row r="1219" spans="1:35" x14ac:dyDescent="0.25">
      <c r="A1219" t="s">
        <v>107</v>
      </c>
      <c r="B1219" t="s">
        <v>59</v>
      </c>
      <c r="C1219" t="s">
        <v>37</v>
      </c>
      <c r="D1219" t="s">
        <v>1644</v>
      </c>
      <c r="E1219" t="s">
        <v>62</v>
      </c>
      <c r="F1219" t="s">
        <v>91</v>
      </c>
      <c r="G1219" t="s">
        <v>45</v>
      </c>
      <c r="H1219" t="s">
        <v>87</v>
      </c>
      <c r="I1219" t="s">
        <v>40</v>
      </c>
      <c r="J1219" t="s">
        <v>3770</v>
      </c>
      <c r="K1219" t="s">
        <v>45</v>
      </c>
      <c r="L1219" t="s">
        <v>63</v>
      </c>
      <c r="M1219" t="s">
        <v>283</v>
      </c>
      <c r="N1219" t="s">
        <v>47</v>
      </c>
      <c r="O1219" t="s">
        <v>40</v>
      </c>
      <c r="P1219" t="s">
        <v>65</v>
      </c>
      <c r="Q1219" t="s">
        <v>45</v>
      </c>
      <c r="R1219" t="s">
        <v>66</v>
      </c>
      <c r="S1219" t="s">
        <v>3771</v>
      </c>
      <c r="T1219" t="s">
        <v>3772</v>
      </c>
      <c r="U1219" t="s">
        <v>40</v>
      </c>
      <c r="V1219" t="s">
        <v>52</v>
      </c>
      <c r="W1219" t="s">
        <v>59</v>
      </c>
      <c r="X1219" t="s">
        <v>128</v>
      </c>
      <c r="Y1219" t="s">
        <v>45</v>
      </c>
      <c r="Z1219" t="s">
        <v>47</v>
      </c>
      <c r="AA1219" t="s">
        <v>54</v>
      </c>
      <c r="AB1219" t="s">
        <v>40</v>
      </c>
      <c r="AC1219" t="s">
        <v>57</v>
      </c>
      <c r="AD1219" t="s">
        <v>40</v>
      </c>
      <c r="AE1219" t="s">
        <v>45</v>
      </c>
      <c r="AF1219" t="s">
        <v>57</v>
      </c>
      <c r="AG1219" t="s">
        <v>45</v>
      </c>
      <c r="AH1219" t="s">
        <v>55</v>
      </c>
      <c r="AI1219" t="s">
        <v>47</v>
      </c>
    </row>
    <row r="1220" spans="1:35" x14ac:dyDescent="0.25">
      <c r="A1220" t="s">
        <v>35</v>
      </c>
      <c r="B1220" t="s">
        <v>59</v>
      </c>
      <c r="C1220" t="s">
        <v>37</v>
      </c>
      <c r="D1220" t="s">
        <v>2316</v>
      </c>
      <c r="E1220" t="s">
        <v>39</v>
      </c>
      <c r="F1220" t="s">
        <v>56</v>
      </c>
      <c r="G1220" t="s">
        <v>45</v>
      </c>
      <c r="H1220" t="s">
        <v>206</v>
      </c>
      <c r="I1220" t="s">
        <v>40</v>
      </c>
      <c r="J1220" t="s">
        <v>3773</v>
      </c>
      <c r="K1220" t="s">
        <v>47</v>
      </c>
      <c r="L1220" t="s">
        <v>63</v>
      </c>
      <c r="M1220" t="s">
        <v>126</v>
      </c>
      <c r="N1220" t="s">
        <v>45</v>
      </c>
      <c r="O1220" t="s">
        <v>45</v>
      </c>
      <c r="P1220" t="s">
        <v>46</v>
      </c>
      <c r="Q1220" t="s">
        <v>45</v>
      </c>
      <c r="R1220" t="s">
        <v>48</v>
      </c>
      <c r="S1220" t="s">
        <v>766</v>
      </c>
      <c r="T1220" t="s">
        <v>3774</v>
      </c>
      <c r="U1220" t="s">
        <v>40</v>
      </c>
      <c r="V1220" t="s">
        <v>52</v>
      </c>
      <c r="W1220" t="s">
        <v>59</v>
      </c>
      <c r="X1220" t="s">
        <v>92</v>
      </c>
      <c r="Y1220" t="s">
        <v>45</v>
      </c>
      <c r="Z1220" t="s">
        <v>41</v>
      </c>
      <c r="AA1220" t="s">
        <v>54</v>
      </c>
      <c r="AB1220" t="s">
        <v>55</v>
      </c>
      <c r="AC1220" t="s">
        <v>70</v>
      </c>
      <c r="AD1220" t="s">
        <v>45</v>
      </c>
      <c r="AE1220" t="s">
        <v>45</v>
      </c>
      <c r="AF1220" t="s">
        <v>70</v>
      </c>
      <c r="AG1220" t="s">
        <v>51</v>
      </c>
      <c r="AH1220" t="s">
        <v>51</v>
      </c>
      <c r="AI1220" t="s">
        <v>71</v>
      </c>
    </row>
    <row r="1221" spans="1:35" x14ac:dyDescent="0.25">
      <c r="A1221" t="s">
        <v>133</v>
      </c>
      <c r="B1221" t="s">
        <v>59</v>
      </c>
      <c r="C1221" t="s">
        <v>37</v>
      </c>
      <c r="D1221" t="s">
        <v>370</v>
      </c>
      <c r="E1221" t="s">
        <v>62</v>
      </c>
      <c r="F1221" t="s">
        <v>91</v>
      </c>
      <c r="G1221" t="s">
        <v>47</v>
      </c>
      <c r="H1221" t="s">
        <v>87</v>
      </c>
      <c r="I1221" t="s">
        <v>40</v>
      </c>
      <c r="J1221" t="s">
        <v>3775</v>
      </c>
      <c r="K1221" t="s">
        <v>47</v>
      </c>
      <c r="L1221" t="s">
        <v>43</v>
      </c>
      <c r="M1221" t="s">
        <v>234</v>
      </c>
      <c r="N1221" t="s">
        <v>45</v>
      </c>
      <c r="O1221" t="s">
        <v>40</v>
      </c>
      <c r="P1221" t="s">
        <v>76</v>
      </c>
      <c r="Q1221" t="s">
        <v>45</v>
      </c>
      <c r="R1221" t="s">
        <v>66</v>
      </c>
      <c r="S1221" t="s">
        <v>3776</v>
      </c>
      <c r="T1221" t="s">
        <v>3777</v>
      </c>
      <c r="U1221" t="s">
        <v>91</v>
      </c>
      <c r="V1221" t="s">
        <v>52</v>
      </c>
      <c r="W1221" t="s">
        <v>59</v>
      </c>
      <c r="X1221" t="s">
        <v>125</v>
      </c>
      <c r="Y1221" t="s">
        <v>45</v>
      </c>
      <c r="Z1221" t="s">
        <v>45</v>
      </c>
      <c r="AA1221" t="s">
        <v>54</v>
      </c>
      <c r="AB1221" t="s">
        <v>40</v>
      </c>
      <c r="AC1221" t="s">
        <v>91</v>
      </c>
      <c r="AD1221" t="s">
        <v>41</v>
      </c>
      <c r="AE1221" t="s">
        <v>45</v>
      </c>
      <c r="AF1221" t="s">
        <v>57</v>
      </c>
      <c r="AG1221" t="s">
        <v>45</v>
      </c>
      <c r="AH1221" t="s">
        <v>40</v>
      </c>
      <c r="AI1221" t="s">
        <v>41</v>
      </c>
    </row>
    <row r="1222" spans="1:35" x14ac:dyDescent="0.25">
      <c r="A1222" t="s">
        <v>120</v>
      </c>
      <c r="B1222" t="s">
        <v>59</v>
      </c>
      <c r="C1222" t="s">
        <v>37</v>
      </c>
      <c r="D1222" t="s">
        <v>439</v>
      </c>
      <c r="E1222" t="s">
        <v>39</v>
      </c>
      <c r="F1222" t="s">
        <v>41</v>
      </c>
      <c r="G1222" t="s">
        <v>47</v>
      </c>
      <c r="H1222" t="s">
        <v>42</v>
      </c>
      <c r="I1222" t="s">
        <v>40</v>
      </c>
      <c r="J1222" t="s">
        <v>3778</v>
      </c>
      <c r="K1222" t="s">
        <v>45</v>
      </c>
      <c r="L1222" t="s">
        <v>43</v>
      </c>
      <c r="M1222" t="s">
        <v>155</v>
      </c>
      <c r="N1222" t="s">
        <v>45</v>
      </c>
      <c r="O1222" t="s">
        <v>41</v>
      </c>
      <c r="P1222" t="s">
        <v>182</v>
      </c>
      <c r="Q1222" t="s">
        <v>47</v>
      </c>
      <c r="R1222" t="s">
        <v>48</v>
      </c>
      <c r="S1222" t="s">
        <v>3779</v>
      </c>
      <c r="T1222" t="s">
        <v>3780</v>
      </c>
      <c r="U1222" t="s">
        <v>45</v>
      </c>
      <c r="V1222" t="s">
        <v>52</v>
      </c>
      <c r="W1222" t="s">
        <v>59</v>
      </c>
      <c r="X1222" t="s">
        <v>79</v>
      </c>
      <c r="Y1222" t="s">
        <v>45</v>
      </c>
      <c r="Z1222" t="s">
        <v>45</v>
      </c>
      <c r="AA1222" t="s">
        <v>54</v>
      </c>
      <c r="AB1222" t="s">
        <v>55</v>
      </c>
      <c r="AC1222" t="s">
        <v>125</v>
      </c>
      <c r="AD1222" t="s">
        <v>41</v>
      </c>
      <c r="AE1222" t="s">
        <v>41</v>
      </c>
      <c r="AF1222" t="s">
        <v>98</v>
      </c>
      <c r="AG1222" t="s">
        <v>71</v>
      </c>
      <c r="AH1222" t="s">
        <v>56</v>
      </c>
      <c r="AI1222" t="s">
        <v>71</v>
      </c>
    </row>
    <row r="1223" spans="1:35" x14ac:dyDescent="0.25">
      <c r="A1223" t="s">
        <v>174</v>
      </c>
      <c r="B1223" t="s">
        <v>59</v>
      </c>
      <c r="C1223" t="s">
        <v>161</v>
      </c>
      <c r="D1223" t="s">
        <v>2910</v>
      </c>
      <c r="E1223" t="s">
        <v>62</v>
      </c>
      <c r="F1223" t="s">
        <v>40</v>
      </c>
      <c r="G1223" t="s">
        <v>40</v>
      </c>
      <c r="H1223" t="s">
        <v>42</v>
      </c>
      <c r="I1223" t="s">
        <v>40</v>
      </c>
      <c r="J1223" t="s">
        <v>3781</v>
      </c>
      <c r="K1223" t="s">
        <v>45</v>
      </c>
      <c r="L1223" t="s">
        <v>63</v>
      </c>
      <c r="M1223" t="s">
        <v>314</v>
      </c>
      <c r="N1223" t="s">
        <v>41</v>
      </c>
      <c r="O1223" t="s">
        <v>45</v>
      </c>
      <c r="P1223" t="s">
        <v>122</v>
      </c>
      <c r="Q1223" t="s">
        <v>45</v>
      </c>
      <c r="R1223" t="s">
        <v>66</v>
      </c>
      <c r="S1223" t="s">
        <v>3782</v>
      </c>
      <c r="T1223" t="s">
        <v>3783</v>
      </c>
      <c r="U1223" t="s">
        <v>45</v>
      </c>
      <c r="V1223" t="s">
        <v>52</v>
      </c>
      <c r="W1223" t="s">
        <v>59</v>
      </c>
      <c r="X1223" t="s">
        <v>69</v>
      </c>
      <c r="Y1223" t="s">
        <v>47</v>
      </c>
      <c r="Z1223" t="s">
        <v>47</v>
      </c>
      <c r="AA1223" t="s">
        <v>54</v>
      </c>
      <c r="AB1223" t="s">
        <v>40</v>
      </c>
      <c r="AC1223" t="s">
        <v>172</v>
      </c>
      <c r="AD1223" t="s">
        <v>45</v>
      </c>
      <c r="AE1223" t="s">
        <v>41</v>
      </c>
      <c r="AF1223" t="s">
        <v>69</v>
      </c>
      <c r="AG1223" t="s">
        <v>79</v>
      </c>
      <c r="AH1223" t="s">
        <v>129</v>
      </c>
      <c r="AI1223" t="s">
        <v>47</v>
      </c>
    </row>
    <row r="1224" spans="1:35" x14ac:dyDescent="0.25">
      <c r="A1224" t="s">
        <v>107</v>
      </c>
      <c r="B1224" t="s">
        <v>36</v>
      </c>
      <c r="C1224" t="s">
        <v>37</v>
      </c>
      <c r="D1224" t="s">
        <v>503</v>
      </c>
      <c r="E1224" t="s">
        <v>397</v>
      </c>
      <c r="F1224" t="s">
        <v>112</v>
      </c>
      <c r="G1224" t="s">
        <v>40</v>
      </c>
      <c r="H1224" t="s">
        <v>397</v>
      </c>
      <c r="I1224" t="s">
        <v>40</v>
      </c>
      <c r="J1224" t="s">
        <v>3784</v>
      </c>
      <c r="K1224" t="s">
        <v>47</v>
      </c>
      <c r="L1224" t="s">
        <v>63</v>
      </c>
      <c r="M1224" t="s">
        <v>197</v>
      </c>
      <c r="N1224" t="s">
        <v>40</v>
      </c>
      <c r="O1224" t="s">
        <v>40</v>
      </c>
      <c r="P1224" t="s">
        <v>397</v>
      </c>
      <c r="Q1224" t="s">
        <v>45</v>
      </c>
      <c r="R1224" t="s">
        <v>66</v>
      </c>
      <c r="S1224" t="s">
        <v>3449</v>
      </c>
      <c r="T1224" t="s">
        <v>3785</v>
      </c>
      <c r="U1224" t="s">
        <v>40</v>
      </c>
      <c r="V1224" t="s">
        <v>52</v>
      </c>
      <c r="W1224" t="s">
        <v>59</v>
      </c>
      <c r="X1224" t="s">
        <v>53</v>
      </c>
      <c r="Y1224" t="s">
        <v>45</v>
      </c>
      <c r="Z1224" t="s">
        <v>45</v>
      </c>
      <c r="AA1224" t="s">
        <v>54</v>
      </c>
      <c r="AB1224" t="s">
        <v>40</v>
      </c>
      <c r="AC1224" t="s">
        <v>40</v>
      </c>
      <c r="AD1224" t="s">
        <v>41</v>
      </c>
      <c r="AE1224" t="s">
        <v>45</v>
      </c>
      <c r="AF1224" t="s">
        <v>40</v>
      </c>
      <c r="AG1224" t="s">
        <v>55</v>
      </c>
      <c r="AH1224" t="s">
        <v>55</v>
      </c>
      <c r="AI1224" t="s">
        <v>55</v>
      </c>
    </row>
    <row r="1225" spans="1:35" x14ac:dyDescent="0.25">
      <c r="A1225" t="s">
        <v>239</v>
      </c>
      <c r="B1225" t="s">
        <v>36</v>
      </c>
      <c r="C1225" t="s">
        <v>60</v>
      </c>
      <c r="D1225" t="s">
        <v>455</v>
      </c>
      <c r="E1225" t="s">
        <v>39</v>
      </c>
      <c r="F1225" t="s">
        <v>91</v>
      </c>
      <c r="G1225" t="s">
        <v>45</v>
      </c>
      <c r="H1225" t="s">
        <v>42</v>
      </c>
      <c r="I1225" t="s">
        <v>40</v>
      </c>
      <c r="J1225" t="s">
        <v>3786</v>
      </c>
      <c r="K1225" t="s">
        <v>45</v>
      </c>
      <c r="L1225" t="s">
        <v>63</v>
      </c>
      <c r="M1225" t="s">
        <v>181</v>
      </c>
      <c r="N1225" t="s">
        <v>40</v>
      </c>
      <c r="O1225" t="s">
        <v>47</v>
      </c>
      <c r="P1225" t="s">
        <v>46</v>
      </c>
      <c r="Q1225" t="s">
        <v>45</v>
      </c>
      <c r="R1225" t="s">
        <v>66</v>
      </c>
      <c r="S1225" t="s">
        <v>3787</v>
      </c>
      <c r="T1225" t="s">
        <v>3788</v>
      </c>
      <c r="U1225" t="s">
        <v>71</v>
      </c>
      <c r="V1225" t="s">
        <v>52</v>
      </c>
      <c r="W1225" t="s">
        <v>59</v>
      </c>
      <c r="X1225" t="s">
        <v>53</v>
      </c>
      <c r="Y1225" t="s">
        <v>45</v>
      </c>
      <c r="Z1225" t="s">
        <v>45</v>
      </c>
      <c r="AA1225" t="s">
        <v>54</v>
      </c>
      <c r="AB1225" t="s">
        <v>55</v>
      </c>
      <c r="AC1225" t="s">
        <v>172</v>
      </c>
      <c r="AD1225" t="s">
        <v>45</v>
      </c>
      <c r="AE1225" t="s">
        <v>40</v>
      </c>
      <c r="AF1225" t="s">
        <v>69</v>
      </c>
      <c r="AG1225" t="s">
        <v>57</v>
      </c>
      <c r="AH1225" t="s">
        <v>129</v>
      </c>
      <c r="AI1225" t="s">
        <v>70</v>
      </c>
    </row>
    <row r="1226" spans="1:35" x14ac:dyDescent="0.25">
      <c r="A1226" t="s">
        <v>139</v>
      </c>
      <c r="B1226" t="s">
        <v>59</v>
      </c>
      <c r="C1226" t="s">
        <v>37</v>
      </c>
      <c r="D1226" t="s">
        <v>1153</v>
      </c>
      <c r="E1226" t="s">
        <v>62</v>
      </c>
      <c r="F1226" t="s">
        <v>125</v>
      </c>
      <c r="G1226" t="s">
        <v>47</v>
      </c>
      <c r="H1226" t="s">
        <v>87</v>
      </c>
      <c r="I1226" t="s">
        <v>40</v>
      </c>
      <c r="J1226" t="s">
        <v>3789</v>
      </c>
      <c r="K1226" t="s">
        <v>47</v>
      </c>
      <c r="L1226" t="s">
        <v>63</v>
      </c>
      <c r="M1226" t="s">
        <v>283</v>
      </c>
      <c r="N1226" t="s">
        <v>40</v>
      </c>
      <c r="O1226" t="s">
        <v>40</v>
      </c>
      <c r="P1226" t="s">
        <v>76</v>
      </c>
      <c r="Q1226" t="s">
        <v>45</v>
      </c>
      <c r="R1226" t="s">
        <v>66</v>
      </c>
      <c r="S1226" t="s">
        <v>3790</v>
      </c>
      <c r="T1226" t="s">
        <v>3791</v>
      </c>
      <c r="U1226" t="s">
        <v>40</v>
      </c>
      <c r="V1226" t="s">
        <v>52</v>
      </c>
      <c r="W1226" t="s">
        <v>59</v>
      </c>
      <c r="X1226" t="s">
        <v>79</v>
      </c>
      <c r="Y1226" t="s">
        <v>45</v>
      </c>
      <c r="Z1226" t="s">
        <v>45</v>
      </c>
      <c r="AA1226" t="s">
        <v>54</v>
      </c>
      <c r="AB1226" t="s">
        <v>45</v>
      </c>
      <c r="AC1226" t="s">
        <v>45</v>
      </c>
      <c r="AD1226" t="s">
        <v>45</v>
      </c>
      <c r="AE1226" t="s">
        <v>47</v>
      </c>
      <c r="AF1226" t="s">
        <v>45</v>
      </c>
      <c r="AG1226" t="s">
        <v>41</v>
      </c>
      <c r="AH1226" t="s">
        <v>55</v>
      </c>
      <c r="AI1226" t="s">
        <v>41</v>
      </c>
    </row>
    <row r="1227" spans="1:35" x14ac:dyDescent="0.25">
      <c r="A1227" t="s">
        <v>174</v>
      </c>
      <c r="B1227" t="s">
        <v>59</v>
      </c>
      <c r="C1227" t="s">
        <v>37</v>
      </c>
      <c r="D1227" t="s">
        <v>94</v>
      </c>
      <c r="E1227" t="s">
        <v>62</v>
      </c>
      <c r="F1227" t="s">
        <v>149</v>
      </c>
      <c r="G1227" t="s">
        <v>41</v>
      </c>
      <c r="H1227" t="s">
        <v>228</v>
      </c>
      <c r="I1227" t="s">
        <v>40</v>
      </c>
      <c r="J1227" t="s">
        <v>3792</v>
      </c>
      <c r="K1227" t="s">
        <v>47</v>
      </c>
      <c r="L1227" t="s">
        <v>43</v>
      </c>
      <c r="M1227" t="s">
        <v>207</v>
      </c>
      <c r="N1227" t="s">
        <v>41</v>
      </c>
      <c r="O1227" t="s">
        <v>47</v>
      </c>
      <c r="P1227" t="s">
        <v>186</v>
      </c>
      <c r="Q1227" t="s">
        <v>41</v>
      </c>
      <c r="R1227" t="s">
        <v>48</v>
      </c>
      <c r="S1227" t="s">
        <v>3793</v>
      </c>
      <c r="T1227" t="s">
        <v>3794</v>
      </c>
      <c r="U1227" t="s">
        <v>40</v>
      </c>
      <c r="V1227" t="s">
        <v>52</v>
      </c>
      <c r="W1227" t="s">
        <v>59</v>
      </c>
      <c r="X1227" t="s">
        <v>53</v>
      </c>
      <c r="Y1227" t="s">
        <v>45</v>
      </c>
      <c r="Z1227" t="s">
        <v>45</v>
      </c>
      <c r="AA1227" t="s">
        <v>54</v>
      </c>
      <c r="AB1227" t="s">
        <v>55</v>
      </c>
      <c r="AC1227" t="s">
        <v>119</v>
      </c>
      <c r="AD1227" t="s">
        <v>41</v>
      </c>
      <c r="AE1227" t="s">
        <v>45</v>
      </c>
      <c r="AF1227" t="s">
        <v>119</v>
      </c>
      <c r="AG1227" t="s">
        <v>56</v>
      </c>
      <c r="AH1227" t="s">
        <v>51</v>
      </c>
      <c r="AI1227" t="s">
        <v>56</v>
      </c>
    </row>
    <row r="1228" spans="1:35" x14ac:dyDescent="0.25">
      <c r="A1228" t="s">
        <v>93</v>
      </c>
      <c r="B1228" t="s">
        <v>59</v>
      </c>
      <c r="C1228" t="s">
        <v>60</v>
      </c>
      <c r="D1228" t="s">
        <v>1656</v>
      </c>
      <c r="E1228" t="s">
        <v>62</v>
      </c>
      <c r="F1228" t="s">
        <v>70</v>
      </c>
      <c r="G1228" t="s">
        <v>45</v>
      </c>
      <c r="H1228" t="s">
        <v>42</v>
      </c>
      <c r="I1228" t="s">
        <v>40</v>
      </c>
      <c r="J1228" t="s">
        <v>3795</v>
      </c>
      <c r="K1228" t="s">
        <v>40</v>
      </c>
      <c r="L1228" t="s">
        <v>63</v>
      </c>
      <c r="M1228" t="s">
        <v>82</v>
      </c>
      <c r="N1228" t="s">
        <v>45</v>
      </c>
      <c r="O1228" t="s">
        <v>40</v>
      </c>
      <c r="P1228" t="s">
        <v>65</v>
      </c>
      <c r="Q1228" t="s">
        <v>45</v>
      </c>
      <c r="R1228" t="s">
        <v>66</v>
      </c>
      <c r="S1228" t="s">
        <v>3796</v>
      </c>
      <c r="T1228" t="s">
        <v>3797</v>
      </c>
      <c r="U1228" t="s">
        <v>56</v>
      </c>
      <c r="V1228" t="s">
        <v>52</v>
      </c>
      <c r="W1228" t="s">
        <v>59</v>
      </c>
      <c r="X1228" t="s">
        <v>98</v>
      </c>
      <c r="Y1228" t="s">
        <v>45</v>
      </c>
      <c r="Z1228" t="s">
        <v>40</v>
      </c>
      <c r="AA1228" t="s">
        <v>54</v>
      </c>
      <c r="AB1228" t="s">
        <v>40</v>
      </c>
      <c r="AC1228" t="s">
        <v>70</v>
      </c>
      <c r="AD1228" t="s">
        <v>45</v>
      </c>
      <c r="AE1228" t="s">
        <v>41</v>
      </c>
      <c r="AF1228" t="s">
        <v>57</v>
      </c>
      <c r="AG1228" t="s">
        <v>41</v>
      </c>
      <c r="AH1228" t="s">
        <v>40</v>
      </c>
      <c r="AI1228" t="s">
        <v>45</v>
      </c>
    </row>
    <row r="1229" spans="1:35" x14ac:dyDescent="0.25">
      <c r="A1229" t="s">
        <v>137</v>
      </c>
      <c r="B1229" t="s">
        <v>59</v>
      </c>
      <c r="C1229" t="s">
        <v>37</v>
      </c>
      <c r="D1229" t="s">
        <v>1965</v>
      </c>
      <c r="E1229" t="s">
        <v>62</v>
      </c>
      <c r="F1229" t="s">
        <v>41</v>
      </c>
      <c r="G1229" t="s">
        <v>47</v>
      </c>
      <c r="H1229" t="s">
        <v>42</v>
      </c>
      <c r="I1229" t="s">
        <v>40</v>
      </c>
      <c r="J1229" t="s">
        <v>3798</v>
      </c>
      <c r="K1229" t="s">
        <v>41</v>
      </c>
      <c r="L1229" t="s">
        <v>63</v>
      </c>
      <c r="M1229" t="s">
        <v>1214</v>
      </c>
      <c r="N1229" t="s">
        <v>45</v>
      </c>
      <c r="O1229" t="s">
        <v>40</v>
      </c>
      <c r="P1229" t="s">
        <v>76</v>
      </c>
      <c r="Q1229" t="s">
        <v>45</v>
      </c>
      <c r="R1229" t="s">
        <v>66</v>
      </c>
      <c r="S1229" t="s">
        <v>3799</v>
      </c>
      <c r="T1229" t="s">
        <v>3800</v>
      </c>
      <c r="U1229" t="s">
        <v>40</v>
      </c>
      <c r="V1229" t="s">
        <v>52</v>
      </c>
      <c r="W1229" t="s">
        <v>59</v>
      </c>
      <c r="X1229" t="s">
        <v>129</v>
      </c>
      <c r="Y1229" t="s">
        <v>45</v>
      </c>
      <c r="Z1229" t="s">
        <v>47</v>
      </c>
      <c r="AA1229" t="s">
        <v>54</v>
      </c>
      <c r="AB1229" t="s">
        <v>40</v>
      </c>
      <c r="AC1229" t="s">
        <v>56</v>
      </c>
      <c r="AD1229" t="s">
        <v>41</v>
      </c>
      <c r="AE1229" t="s">
        <v>47</v>
      </c>
      <c r="AF1229" t="s">
        <v>57</v>
      </c>
      <c r="AG1229" t="s">
        <v>41</v>
      </c>
      <c r="AH1229" t="s">
        <v>55</v>
      </c>
      <c r="AI1229" t="s">
        <v>45</v>
      </c>
    </row>
    <row r="1230" spans="1:35" x14ac:dyDescent="0.25">
      <c r="A1230" t="s">
        <v>35</v>
      </c>
      <c r="B1230" t="s">
        <v>59</v>
      </c>
      <c r="C1230" t="s">
        <v>161</v>
      </c>
      <c r="D1230" t="s">
        <v>3801</v>
      </c>
      <c r="E1230" t="s">
        <v>397</v>
      </c>
      <c r="F1230" t="s">
        <v>47</v>
      </c>
      <c r="G1230" t="s">
        <v>45</v>
      </c>
      <c r="H1230" t="s">
        <v>397</v>
      </c>
      <c r="I1230" t="s">
        <v>40</v>
      </c>
      <c r="J1230" t="s">
        <v>3802</v>
      </c>
      <c r="K1230" t="s">
        <v>45</v>
      </c>
      <c r="L1230" t="s">
        <v>63</v>
      </c>
      <c r="M1230" t="s">
        <v>275</v>
      </c>
      <c r="N1230" t="s">
        <v>40</v>
      </c>
      <c r="O1230" t="s">
        <v>41</v>
      </c>
      <c r="P1230" t="s">
        <v>397</v>
      </c>
      <c r="Q1230" t="s">
        <v>41</v>
      </c>
      <c r="R1230" t="s">
        <v>66</v>
      </c>
      <c r="S1230" t="s">
        <v>3803</v>
      </c>
      <c r="T1230" t="s">
        <v>3804</v>
      </c>
      <c r="U1230" t="s">
        <v>56</v>
      </c>
      <c r="V1230" t="s">
        <v>52</v>
      </c>
      <c r="W1230" t="s">
        <v>59</v>
      </c>
      <c r="X1230" t="s">
        <v>144</v>
      </c>
      <c r="Y1230" t="s">
        <v>45</v>
      </c>
      <c r="Z1230" t="s">
        <v>41</v>
      </c>
      <c r="AA1230" t="s">
        <v>54</v>
      </c>
      <c r="AB1230" t="s">
        <v>40</v>
      </c>
      <c r="AC1230" t="s">
        <v>70</v>
      </c>
      <c r="AD1230" t="s">
        <v>47</v>
      </c>
      <c r="AE1230" t="s">
        <v>45</v>
      </c>
      <c r="AF1230" t="s">
        <v>45</v>
      </c>
      <c r="AG1230" t="s">
        <v>41</v>
      </c>
      <c r="AH1230" t="s">
        <v>40</v>
      </c>
      <c r="AI1230" t="s">
        <v>41</v>
      </c>
    </row>
    <row r="1231" spans="1:35" x14ac:dyDescent="0.25">
      <c r="A1231" t="s">
        <v>88</v>
      </c>
      <c r="B1231" t="s">
        <v>59</v>
      </c>
      <c r="C1231" t="s">
        <v>37</v>
      </c>
      <c r="D1231" t="s">
        <v>1090</v>
      </c>
      <c r="E1231" t="s">
        <v>62</v>
      </c>
      <c r="F1231" t="s">
        <v>51</v>
      </c>
      <c r="G1231" t="s">
        <v>41</v>
      </c>
      <c r="H1231" t="s">
        <v>42</v>
      </c>
      <c r="I1231" t="s">
        <v>40</v>
      </c>
      <c r="J1231" t="s">
        <v>3805</v>
      </c>
      <c r="K1231" t="s">
        <v>41</v>
      </c>
      <c r="L1231" t="s">
        <v>43</v>
      </c>
      <c r="M1231" t="s">
        <v>75</v>
      </c>
      <c r="N1231" t="s">
        <v>45</v>
      </c>
      <c r="O1231" t="s">
        <v>41</v>
      </c>
      <c r="P1231" t="s">
        <v>116</v>
      </c>
      <c r="Q1231" t="s">
        <v>40</v>
      </c>
      <c r="R1231" t="s">
        <v>66</v>
      </c>
      <c r="S1231" t="s">
        <v>3806</v>
      </c>
      <c r="T1231" t="s">
        <v>3807</v>
      </c>
      <c r="U1231" t="s">
        <v>41</v>
      </c>
      <c r="V1231" t="s">
        <v>52</v>
      </c>
      <c r="W1231" t="s">
        <v>36</v>
      </c>
      <c r="X1231" t="s">
        <v>128</v>
      </c>
      <c r="Y1231" t="s">
        <v>45</v>
      </c>
      <c r="Z1231" t="s">
        <v>41</v>
      </c>
      <c r="AA1231" t="s">
        <v>54</v>
      </c>
      <c r="AB1231" t="s">
        <v>40</v>
      </c>
      <c r="AC1231" t="s">
        <v>145</v>
      </c>
      <c r="AD1231" t="s">
        <v>45</v>
      </c>
      <c r="AE1231" t="s">
        <v>45</v>
      </c>
      <c r="AF1231" t="s">
        <v>40</v>
      </c>
      <c r="AG1231" t="s">
        <v>55</v>
      </c>
      <c r="AH1231" t="s">
        <v>55</v>
      </c>
      <c r="AI1231" t="s">
        <v>55</v>
      </c>
    </row>
    <row r="1232" spans="1:35" x14ac:dyDescent="0.25">
      <c r="A1232" t="s">
        <v>107</v>
      </c>
      <c r="B1232" t="s">
        <v>59</v>
      </c>
      <c r="C1232" t="s">
        <v>37</v>
      </c>
      <c r="D1232" t="s">
        <v>1178</v>
      </c>
      <c r="E1232" t="s">
        <v>62</v>
      </c>
      <c r="F1232" t="s">
        <v>133</v>
      </c>
      <c r="G1232" t="s">
        <v>40</v>
      </c>
      <c r="H1232" t="s">
        <v>87</v>
      </c>
      <c r="I1232" t="s">
        <v>40</v>
      </c>
      <c r="J1232" t="s">
        <v>3808</v>
      </c>
      <c r="K1232" t="s">
        <v>41</v>
      </c>
      <c r="L1232" t="s">
        <v>63</v>
      </c>
      <c r="M1232" t="s">
        <v>364</v>
      </c>
      <c r="N1232" t="s">
        <v>45</v>
      </c>
      <c r="O1232" t="s">
        <v>40</v>
      </c>
      <c r="P1232" t="s">
        <v>76</v>
      </c>
      <c r="Q1232" t="s">
        <v>40</v>
      </c>
      <c r="R1232" t="s">
        <v>109</v>
      </c>
      <c r="S1232" t="s">
        <v>3809</v>
      </c>
      <c r="T1232" t="s">
        <v>1790</v>
      </c>
      <c r="U1232" t="s">
        <v>40</v>
      </c>
      <c r="V1232" t="s">
        <v>52</v>
      </c>
      <c r="W1232" t="s">
        <v>59</v>
      </c>
      <c r="X1232" t="s">
        <v>98</v>
      </c>
      <c r="Y1232" t="s">
        <v>45</v>
      </c>
      <c r="Z1232" t="s">
        <v>41</v>
      </c>
      <c r="AA1232" t="s">
        <v>54</v>
      </c>
      <c r="AB1232" t="s">
        <v>45</v>
      </c>
      <c r="AC1232" t="s">
        <v>56</v>
      </c>
      <c r="AD1232" t="s">
        <v>41</v>
      </c>
      <c r="AE1232" t="s">
        <v>47</v>
      </c>
      <c r="AF1232" t="s">
        <v>56</v>
      </c>
      <c r="AG1232" t="s">
        <v>41</v>
      </c>
      <c r="AH1232" t="s">
        <v>40</v>
      </c>
      <c r="AI1232" t="s">
        <v>41</v>
      </c>
    </row>
    <row r="1233" spans="1:35" x14ac:dyDescent="0.25">
      <c r="A1233" t="s">
        <v>213</v>
      </c>
      <c r="B1233" t="s">
        <v>59</v>
      </c>
      <c r="C1233" t="s">
        <v>37</v>
      </c>
      <c r="D1233" t="s">
        <v>1917</v>
      </c>
      <c r="E1233" t="s">
        <v>62</v>
      </c>
      <c r="F1233" t="s">
        <v>98</v>
      </c>
      <c r="G1233" t="s">
        <v>47</v>
      </c>
      <c r="H1233" t="s">
        <v>42</v>
      </c>
      <c r="I1233" t="s">
        <v>40</v>
      </c>
      <c r="J1233" t="s">
        <v>3810</v>
      </c>
      <c r="K1233" t="s">
        <v>45</v>
      </c>
      <c r="L1233" t="s">
        <v>63</v>
      </c>
      <c r="M1233" t="s">
        <v>142</v>
      </c>
      <c r="N1233" t="s">
        <v>45</v>
      </c>
      <c r="O1233" t="s">
        <v>41</v>
      </c>
      <c r="P1233" t="s">
        <v>122</v>
      </c>
      <c r="Q1233" t="s">
        <v>41</v>
      </c>
      <c r="R1233" t="s">
        <v>48</v>
      </c>
      <c r="S1233" t="s">
        <v>2288</v>
      </c>
      <c r="T1233" t="s">
        <v>3811</v>
      </c>
      <c r="U1233" t="s">
        <v>56</v>
      </c>
      <c r="V1233" t="s">
        <v>52</v>
      </c>
      <c r="W1233" t="s">
        <v>59</v>
      </c>
      <c r="X1233" t="s">
        <v>129</v>
      </c>
      <c r="Y1233" t="s">
        <v>45</v>
      </c>
      <c r="Z1233" t="s">
        <v>47</v>
      </c>
      <c r="AA1233" t="s">
        <v>54</v>
      </c>
      <c r="AB1233" t="s">
        <v>55</v>
      </c>
      <c r="AC1233" t="s">
        <v>144</v>
      </c>
      <c r="AD1233" t="s">
        <v>45</v>
      </c>
      <c r="AE1233" t="s">
        <v>45</v>
      </c>
      <c r="AF1233" t="s">
        <v>70</v>
      </c>
      <c r="AG1233" t="s">
        <v>71</v>
      </c>
      <c r="AH1233" t="s">
        <v>55</v>
      </c>
      <c r="AI1233" t="s">
        <v>91</v>
      </c>
    </row>
    <row r="1234" spans="1:35" x14ac:dyDescent="0.25">
      <c r="A1234" t="s">
        <v>126</v>
      </c>
      <c r="B1234" t="s">
        <v>59</v>
      </c>
      <c r="C1234" t="s">
        <v>37</v>
      </c>
      <c r="D1234" t="s">
        <v>3507</v>
      </c>
      <c r="E1234" t="s">
        <v>62</v>
      </c>
      <c r="F1234" t="s">
        <v>85</v>
      </c>
      <c r="G1234" t="s">
        <v>47</v>
      </c>
      <c r="H1234" t="s">
        <v>42</v>
      </c>
      <c r="I1234" t="s">
        <v>40</v>
      </c>
      <c r="J1234" t="s">
        <v>3812</v>
      </c>
      <c r="K1234" t="s">
        <v>47</v>
      </c>
      <c r="L1234" t="s">
        <v>63</v>
      </c>
      <c r="M1234" t="s">
        <v>58</v>
      </c>
      <c r="N1234" t="s">
        <v>45</v>
      </c>
      <c r="O1234" t="s">
        <v>41</v>
      </c>
      <c r="P1234" t="s">
        <v>116</v>
      </c>
      <c r="Q1234" t="s">
        <v>45</v>
      </c>
      <c r="R1234" t="s">
        <v>66</v>
      </c>
      <c r="S1234" t="s">
        <v>3813</v>
      </c>
      <c r="T1234" t="s">
        <v>3814</v>
      </c>
      <c r="U1234" t="s">
        <v>41</v>
      </c>
      <c r="V1234" t="s">
        <v>52</v>
      </c>
      <c r="W1234" t="s">
        <v>59</v>
      </c>
      <c r="X1234" t="s">
        <v>128</v>
      </c>
      <c r="Y1234" t="s">
        <v>45</v>
      </c>
      <c r="Z1234" t="s">
        <v>41</v>
      </c>
      <c r="AA1234" t="s">
        <v>54</v>
      </c>
      <c r="AB1234" t="s">
        <v>40</v>
      </c>
      <c r="AC1234" t="s">
        <v>125</v>
      </c>
      <c r="AD1234" t="s">
        <v>45</v>
      </c>
      <c r="AE1234" t="s">
        <v>45</v>
      </c>
      <c r="AF1234" t="s">
        <v>71</v>
      </c>
      <c r="AG1234" t="s">
        <v>71</v>
      </c>
      <c r="AH1234" t="s">
        <v>55</v>
      </c>
      <c r="AI1234" t="s">
        <v>71</v>
      </c>
    </row>
    <row r="1235" spans="1:35" x14ac:dyDescent="0.25">
      <c r="A1235" t="s">
        <v>105</v>
      </c>
      <c r="B1235" t="s">
        <v>59</v>
      </c>
      <c r="C1235" t="s">
        <v>37</v>
      </c>
      <c r="D1235" t="s">
        <v>2060</v>
      </c>
      <c r="E1235" t="s">
        <v>62</v>
      </c>
      <c r="F1235" t="s">
        <v>128</v>
      </c>
      <c r="G1235" t="s">
        <v>40</v>
      </c>
      <c r="H1235" t="s">
        <v>42</v>
      </c>
      <c r="I1235" t="s">
        <v>40</v>
      </c>
      <c r="J1235" t="s">
        <v>3815</v>
      </c>
      <c r="K1235" t="s">
        <v>41</v>
      </c>
      <c r="L1235" t="s">
        <v>63</v>
      </c>
      <c r="M1235" t="s">
        <v>80</v>
      </c>
      <c r="N1235" t="s">
        <v>45</v>
      </c>
      <c r="O1235" t="s">
        <v>40</v>
      </c>
      <c r="P1235" t="s">
        <v>65</v>
      </c>
      <c r="Q1235" t="s">
        <v>47</v>
      </c>
      <c r="R1235" t="s">
        <v>66</v>
      </c>
      <c r="S1235" t="s">
        <v>3816</v>
      </c>
      <c r="T1235" t="s">
        <v>3817</v>
      </c>
      <c r="U1235" t="s">
        <v>40</v>
      </c>
      <c r="V1235" t="s">
        <v>52</v>
      </c>
      <c r="W1235" t="s">
        <v>59</v>
      </c>
      <c r="X1235" t="s">
        <v>92</v>
      </c>
      <c r="Y1235" t="s">
        <v>45</v>
      </c>
      <c r="Z1235" t="s">
        <v>41</v>
      </c>
      <c r="AA1235" t="s">
        <v>54</v>
      </c>
      <c r="AB1235" t="s">
        <v>40</v>
      </c>
      <c r="AC1235" t="s">
        <v>70</v>
      </c>
      <c r="AD1235" t="s">
        <v>41</v>
      </c>
      <c r="AE1235" t="s">
        <v>41</v>
      </c>
      <c r="AF1235" t="s">
        <v>70</v>
      </c>
      <c r="AG1235" t="s">
        <v>55</v>
      </c>
      <c r="AH1235" t="s">
        <v>55</v>
      </c>
      <c r="AI1235" t="s">
        <v>51</v>
      </c>
    </row>
    <row r="1236" spans="1:35" x14ac:dyDescent="0.25">
      <c r="A1236" t="s">
        <v>239</v>
      </c>
      <c r="B1236" t="s">
        <v>59</v>
      </c>
      <c r="C1236" t="s">
        <v>161</v>
      </c>
      <c r="D1236" t="s">
        <v>1557</v>
      </c>
      <c r="E1236" t="s">
        <v>39</v>
      </c>
      <c r="F1236" t="s">
        <v>41</v>
      </c>
      <c r="G1236" t="s">
        <v>47</v>
      </c>
      <c r="H1236" t="s">
        <v>206</v>
      </c>
      <c r="I1236" t="s">
        <v>40</v>
      </c>
      <c r="J1236" t="s">
        <v>3818</v>
      </c>
      <c r="K1236" t="s">
        <v>45</v>
      </c>
      <c r="L1236" t="s">
        <v>63</v>
      </c>
      <c r="M1236" t="s">
        <v>371</v>
      </c>
      <c r="N1236" t="s">
        <v>45</v>
      </c>
      <c r="O1236" t="s">
        <v>41</v>
      </c>
      <c r="P1236" t="s">
        <v>46</v>
      </c>
      <c r="Q1236" t="s">
        <v>41</v>
      </c>
      <c r="R1236" t="s">
        <v>66</v>
      </c>
      <c r="S1236" t="s">
        <v>3819</v>
      </c>
      <c r="T1236" t="s">
        <v>3820</v>
      </c>
      <c r="U1236" t="s">
        <v>71</v>
      </c>
      <c r="V1236" t="s">
        <v>52</v>
      </c>
      <c r="W1236" t="s">
        <v>59</v>
      </c>
      <c r="X1236" t="s">
        <v>53</v>
      </c>
      <c r="Y1236" t="s">
        <v>45</v>
      </c>
      <c r="Z1236" t="s">
        <v>47</v>
      </c>
      <c r="AA1236" t="s">
        <v>54</v>
      </c>
      <c r="AB1236" t="s">
        <v>40</v>
      </c>
      <c r="AC1236" t="s">
        <v>47</v>
      </c>
      <c r="AD1236" t="s">
        <v>45</v>
      </c>
      <c r="AE1236" t="s">
        <v>40</v>
      </c>
      <c r="AF1236" t="s">
        <v>40</v>
      </c>
      <c r="AG1236" t="s">
        <v>55</v>
      </c>
      <c r="AH1236" t="s">
        <v>55</v>
      </c>
      <c r="AI1236" t="s">
        <v>55</v>
      </c>
    </row>
    <row r="1237" spans="1:35" x14ac:dyDescent="0.25">
      <c r="A1237" t="s">
        <v>213</v>
      </c>
      <c r="B1237" t="s">
        <v>59</v>
      </c>
      <c r="C1237" t="s">
        <v>37</v>
      </c>
      <c r="D1237" t="s">
        <v>1647</v>
      </c>
      <c r="E1237" t="s">
        <v>39</v>
      </c>
      <c r="F1237" t="s">
        <v>41</v>
      </c>
      <c r="G1237" t="s">
        <v>45</v>
      </c>
      <c r="H1237" t="s">
        <v>42</v>
      </c>
      <c r="I1237" t="s">
        <v>40</v>
      </c>
      <c r="J1237" t="s">
        <v>3821</v>
      </c>
      <c r="K1237" t="s">
        <v>45</v>
      </c>
      <c r="L1237" t="s">
        <v>63</v>
      </c>
      <c r="M1237" t="s">
        <v>314</v>
      </c>
      <c r="N1237" t="s">
        <v>45</v>
      </c>
      <c r="O1237" t="s">
        <v>45</v>
      </c>
      <c r="P1237" t="s">
        <v>46</v>
      </c>
      <c r="Q1237" t="s">
        <v>47</v>
      </c>
      <c r="R1237" t="s">
        <v>109</v>
      </c>
      <c r="S1237" t="s">
        <v>3822</v>
      </c>
      <c r="T1237" t="s">
        <v>3823</v>
      </c>
      <c r="U1237" t="s">
        <v>47</v>
      </c>
      <c r="V1237" t="s">
        <v>52</v>
      </c>
      <c r="W1237" t="s">
        <v>36</v>
      </c>
      <c r="X1237" t="s">
        <v>92</v>
      </c>
      <c r="Y1237" t="s">
        <v>45</v>
      </c>
      <c r="Z1237" t="s">
        <v>41</v>
      </c>
      <c r="AA1237" t="s">
        <v>54</v>
      </c>
      <c r="AB1237" t="s">
        <v>40</v>
      </c>
      <c r="AC1237" t="s">
        <v>98</v>
      </c>
      <c r="AD1237" t="s">
        <v>57</v>
      </c>
      <c r="AE1237" t="s">
        <v>41</v>
      </c>
      <c r="AF1237" t="s">
        <v>70</v>
      </c>
      <c r="AG1237" t="s">
        <v>56</v>
      </c>
      <c r="AH1237" t="s">
        <v>55</v>
      </c>
      <c r="AI1237" t="s">
        <v>45</v>
      </c>
    </row>
    <row r="1238" spans="1:35" x14ac:dyDescent="0.25">
      <c r="A1238" t="s">
        <v>120</v>
      </c>
      <c r="B1238" t="s">
        <v>36</v>
      </c>
      <c r="C1238" t="s">
        <v>37</v>
      </c>
      <c r="D1238" t="s">
        <v>515</v>
      </c>
      <c r="E1238" t="s">
        <v>39</v>
      </c>
      <c r="F1238" t="s">
        <v>98</v>
      </c>
      <c r="G1238" t="s">
        <v>57</v>
      </c>
      <c r="H1238" t="s">
        <v>206</v>
      </c>
      <c r="I1238" t="s">
        <v>40</v>
      </c>
      <c r="J1238" t="s">
        <v>3824</v>
      </c>
      <c r="K1238" t="s">
        <v>41</v>
      </c>
      <c r="L1238" t="s">
        <v>63</v>
      </c>
      <c r="M1238" t="s">
        <v>163</v>
      </c>
      <c r="N1238" t="s">
        <v>41</v>
      </c>
      <c r="O1238" t="s">
        <v>41</v>
      </c>
      <c r="P1238" t="s">
        <v>46</v>
      </c>
      <c r="Q1238" t="s">
        <v>40</v>
      </c>
      <c r="R1238" t="s">
        <v>109</v>
      </c>
      <c r="S1238" t="s">
        <v>3825</v>
      </c>
      <c r="T1238" t="s">
        <v>3826</v>
      </c>
      <c r="U1238" t="s">
        <v>57</v>
      </c>
      <c r="V1238" t="s">
        <v>52</v>
      </c>
      <c r="W1238" t="s">
        <v>36</v>
      </c>
      <c r="X1238" t="s">
        <v>98</v>
      </c>
      <c r="Y1238" t="s">
        <v>45</v>
      </c>
      <c r="Z1238" t="s">
        <v>41</v>
      </c>
      <c r="AA1238" t="s">
        <v>54</v>
      </c>
      <c r="AB1238" t="s">
        <v>45</v>
      </c>
      <c r="AC1238" t="s">
        <v>128</v>
      </c>
      <c r="AD1238" t="s">
        <v>45</v>
      </c>
      <c r="AE1238" t="s">
        <v>45</v>
      </c>
      <c r="AF1238" t="s">
        <v>41</v>
      </c>
      <c r="AG1238" t="s">
        <v>41</v>
      </c>
      <c r="AH1238" t="s">
        <v>41</v>
      </c>
      <c r="AI1238" t="s">
        <v>41</v>
      </c>
    </row>
    <row r="1239" spans="1:35" x14ac:dyDescent="0.25">
      <c r="A1239" t="s">
        <v>93</v>
      </c>
      <c r="B1239" t="s">
        <v>36</v>
      </c>
      <c r="C1239" t="s">
        <v>37</v>
      </c>
      <c r="D1239" t="s">
        <v>2405</v>
      </c>
      <c r="E1239" t="s">
        <v>39</v>
      </c>
      <c r="F1239" t="s">
        <v>40</v>
      </c>
      <c r="G1239" t="s">
        <v>41</v>
      </c>
      <c r="H1239" t="s">
        <v>42</v>
      </c>
      <c r="I1239" t="s">
        <v>40</v>
      </c>
      <c r="J1239" t="s">
        <v>3827</v>
      </c>
      <c r="K1239" t="s">
        <v>40</v>
      </c>
      <c r="L1239" t="s">
        <v>63</v>
      </c>
      <c r="M1239" t="s">
        <v>142</v>
      </c>
      <c r="N1239" t="s">
        <v>40</v>
      </c>
      <c r="O1239" t="s">
        <v>41</v>
      </c>
      <c r="P1239" t="s">
        <v>46</v>
      </c>
      <c r="Q1239" t="s">
        <v>41</v>
      </c>
      <c r="R1239" t="s">
        <v>48</v>
      </c>
      <c r="S1239" t="s">
        <v>3828</v>
      </c>
      <c r="T1239" t="s">
        <v>3829</v>
      </c>
      <c r="U1239" t="s">
        <v>56</v>
      </c>
      <c r="V1239" t="s">
        <v>52</v>
      </c>
      <c r="W1239" t="s">
        <v>59</v>
      </c>
      <c r="X1239" t="s">
        <v>79</v>
      </c>
      <c r="Y1239" t="s">
        <v>45</v>
      </c>
      <c r="Z1239" t="s">
        <v>41</v>
      </c>
      <c r="AA1239" t="s">
        <v>54</v>
      </c>
      <c r="AB1239" t="s">
        <v>55</v>
      </c>
      <c r="AC1239" t="s">
        <v>70</v>
      </c>
      <c r="AD1239" t="s">
        <v>41</v>
      </c>
      <c r="AE1239" t="s">
        <v>45</v>
      </c>
      <c r="AF1239" t="s">
        <v>55</v>
      </c>
      <c r="AG1239" t="s">
        <v>55</v>
      </c>
      <c r="AH1239" t="s">
        <v>55</v>
      </c>
      <c r="AI1239" t="s">
        <v>55</v>
      </c>
    </row>
    <row r="1240" spans="1:35" x14ac:dyDescent="0.25">
      <c r="A1240" t="s">
        <v>69</v>
      </c>
      <c r="B1240" t="s">
        <v>59</v>
      </c>
      <c r="C1240" t="s">
        <v>37</v>
      </c>
      <c r="D1240" t="s">
        <v>558</v>
      </c>
      <c r="E1240" t="s">
        <v>62</v>
      </c>
      <c r="F1240" t="s">
        <v>47</v>
      </c>
      <c r="G1240" t="s">
        <v>40</v>
      </c>
      <c r="H1240" t="s">
        <v>87</v>
      </c>
      <c r="I1240" t="s">
        <v>40</v>
      </c>
      <c r="J1240" t="s">
        <v>3830</v>
      </c>
      <c r="K1240" t="s">
        <v>45</v>
      </c>
      <c r="L1240" t="s">
        <v>43</v>
      </c>
      <c r="M1240" t="s">
        <v>155</v>
      </c>
      <c r="N1240" t="s">
        <v>45</v>
      </c>
      <c r="O1240" t="s">
        <v>40</v>
      </c>
      <c r="P1240" t="s">
        <v>76</v>
      </c>
      <c r="Q1240" t="s">
        <v>41</v>
      </c>
      <c r="R1240" t="s">
        <v>48</v>
      </c>
      <c r="S1240" t="s">
        <v>3831</v>
      </c>
      <c r="T1240" t="s">
        <v>3832</v>
      </c>
      <c r="U1240" t="s">
        <v>40</v>
      </c>
      <c r="V1240" t="s">
        <v>52</v>
      </c>
      <c r="W1240" t="s">
        <v>59</v>
      </c>
      <c r="X1240" t="s">
        <v>98</v>
      </c>
      <c r="Y1240" t="s">
        <v>45</v>
      </c>
      <c r="Z1240" t="s">
        <v>45</v>
      </c>
      <c r="AA1240" t="s">
        <v>54</v>
      </c>
      <c r="AB1240" t="s">
        <v>55</v>
      </c>
      <c r="AC1240" t="s">
        <v>45</v>
      </c>
      <c r="AD1240" t="s">
        <v>45</v>
      </c>
      <c r="AE1240" t="s">
        <v>40</v>
      </c>
      <c r="AF1240" t="s">
        <v>45</v>
      </c>
      <c r="AG1240" t="s">
        <v>41</v>
      </c>
      <c r="AH1240" t="s">
        <v>40</v>
      </c>
      <c r="AI1240" t="s">
        <v>41</v>
      </c>
    </row>
    <row r="1241" spans="1:35" x14ac:dyDescent="0.25">
      <c r="A1241" t="s">
        <v>137</v>
      </c>
      <c r="B1241" t="s">
        <v>59</v>
      </c>
      <c r="C1241" t="s">
        <v>60</v>
      </c>
      <c r="D1241" t="s">
        <v>570</v>
      </c>
      <c r="E1241" t="s">
        <v>62</v>
      </c>
      <c r="F1241" t="s">
        <v>107</v>
      </c>
      <c r="G1241" t="s">
        <v>40</v>
      </c>
      <c r="H1241" t="s">
        <v>228</v>
      </c>
      <c r="I1241" t="s">
        <v>40</v>
      </c>
      <c r="J1241" t="s">
        <v>3833</v>
      </c>
      <c r="K1241" t="s">
        <v>47</v>
      </c>
      <c r="L1241" t="s">
        <v>43</v>
      </c>
      <c r="M1241" t="s">
        <v>105</v>
      </c>
      <c r="N1241" t="s">
        <v>45</v>
      </c>
      <c r="O1241" t="s">
        <v>41</v>
      </c>
      <c r="P1241" t="s">
        <v>116</v>
      </c>
      <c r="Q1241" t="s">
        <v>47</v>
      </c>
      <c r="R1241" t="s">
        <v>48</v>
      </c>
      <c r="S1241" t="s">
        <v>1302</v>
      </c>
      <c r="T1241" t="s">
        <v>220</v>
      </c>
      <c r="U1241" t="s">
        <v>41</v>
      </c>
      <c r="V1241" t="s">
        <v>52</v>
      </c>
      <c r="W1241" t="s">
        <v>59</v>
      </c>
      <c r="X1241" t="s">
        <v>104</v>
      </c>
      <c r="Y1241" t="s">
        <v>47</v>
      </c>
      <c r="Z1241" t="s">
        <v>47</v>
      </c>
      <c r="AA1241" t="s">
        <v>54</v>
      </c>
      <c r="AB1241" t="s">
        <v>55</v>
      </c>
      <c r="AC1241" t="s">
        <v>91</v>
      </c>
      <c r="AD1241" t="s">
        <v>45</v>
      </c>
      <c r="AE1241" t="s">
        <v>41</v>
      </c>
      <c r="AF1241" t="s">
        <v>57</v>
      </c>
      <c r="AG1241" t="s">
        <v>47</v>
      </c>
      <c r="AH1241" t="s">
        <v>40</v>
      </c>
      <c r="AI1241" t="s">
        <v>47</v>
      </c>
    </row>
    <row r="1242" spans="1:35" x14ac:dyDescent="0.25">
      <c r="A1242" t="s">
        <v>218</v>
      </c>
      <c r="B1242" t="s">
        <v>59</v>
      </c>
      <c r="C1242" t="s">
        <v>161</v>
      </c>
      <c r="D1242" t="s">
        <v>2057</v>
      </c>
      <c r="E1242" t="s">
        <v>62</v>
      </c>
      <c r="F1242" t="s">
        <v>40</v>
      </c>
      <c r="G1242" t="s">
        <v>45</v>
      </c>
      <c r="H1242" t="s">
        <v>42</v>
      </c>
      <c r="I1242" t="s">
        <v>40</v>
      </c>
      <c r="J1242" t="s">
        <v>3834</v>
      </c>
      <c r="K1242" t="s">
        <v>47</v>
      </c>
      <c r="L1242" t="s">
        <v>63</v>
      </c>
      <c r="M1242" t="s">
        <v>326</v>
      </c>
      <c r="N1242" t="s">
        <v>45</v>
      </c>
      <c r="O1242" t="s">
        <v>41</v>
      </c>
      <c r="P1242" t="s">
        <v>76</v>
      </c>
      <c r="Q1242" t="s">
        <v>47</v>
      </c>
      <c r="R1242" t="s">
        <v>66</v>
      </c>
      <c r="S1242" t="s">
        <v>3835</v>
      </c>
      <c r="T1242" t="s">
        <v>3836</v>
      </c>
      <c r="U1242" t="s">
        <v>40</v>
      </c>
      <c r="V1242" t="s">
        <v>52</v>
      </c>
      <c r="W1242" t="s">
        <v>36</v>
      </c>
      <c r="X1242" t="s">
        <v>79</v>
      </c>
      <c r="Y1242" t="s">
        <v>45</v>
      </c>
      <c r="Z1242" t="s">
        <v>47</v>
      </c>
      <c r="AA1242" t="s">
        <v>54</v>
      </c>
      <c r="AB1242" t="s">
        <v>40</v>
      </c>
      <c r="AC1242" t="s">
        <v>91</v>
      </c>
      <c r="AD1242" t="s">
        <v>41</v>
      </c>
      <c r="AE1242" t="s">
        <v>45</v>
      </c>
      <c r="AF1242" t="s">
        <v>91</v>
      </c>
      <c r="AG1242" t="s">
        <v>51</v>
      </c>
      <c r="AH1242" t="s">
        <v>57</v>
      </c>
      <c r="AI1242" t="s">
        <v>51</v>
      </c>
    </row>
    <row r="1243" spans="1:35" x14ac:dyDescent="0.25">
      <c r="A1243" t="s">
        <v>93</v>
      </c>
      <c r="B1243" t="s">
        <v>59</v>
      </c>
      <c r="C1243" t="s">
        <v>37</v>
      </c>
      <c r="D1243" t="s">
        <v>173</v>
      </c>
      <c r="E1243" t="s">
        <v>39</v>
      </c>
      <c r="F1243" t="s">
        <v>144</v>
      </c>
      <c r="G1243" t="s">
        <v>45</v>
      </c>
      <c r="H1243" t="s">
        <v>42</v>
      </c>
      <c r="I1243" t="s">
        <v>40</v>
      </c>
      <c r="J1243" t="s">
        <v>3837</v>
      </c>
      <c r="K1243" t="s">
        <v>47</v>
      </c>
      <c r="L1243" t="s">
        <v>63</v>
      </c>
      <c r="M1243" t="s">
        <v>54</v>
      </c>
      <c r="N1243" t="s">
        <v>40</v>
      </c>
      <c r="O1243" t="s">
        <v>45</v>
      </c>
      <c r="P1243" t="s">
        <v>46</v>
      </c>
      <c r="Q1243" t="s">
        <v>45</v>
      </c>
      <c r="R1243" t="s">
        <v>66</v>
      </c>
      <c r="S1243" t="s">
        <v>3838</v>
      </c>
      <c r="T1243" t="s">
        <v>3839</v>
      </c>
      <c r="U1243" t="s">
        <v>45</v>
      </c>
      <c r="V1243" t="s">
        <v>52</v>
      </c>
      <c r="W1243" t="s">
        <v>59</v>
      </c>
      <c r="X1243" t="s">
        <v>98</v>
      </c>
      <c r="Y1243" t="s">
        <v>45</v>
      </c>
      <c r="Z1243" t="s">
        <v>45</v>
      </c>
      <c r="AA1243" t="s">
        <v>54</v>
      </c>
      <c r="AB1243" t="s">
        <v>40</v>
      </c>
      <c r="AC1243" t="s">
        <v>70</v>
      </c>
      <c r="AD1243" t="s">
        <v>41</v>
      </c>
      <c r="AE1243" t="s">
        <v>40</v>
      </c>
      <c r="AF1243" t="s">
        <v>47</v>
      </c>
      <c r="AG1243" t="s">
        <v>45</v>
      </c>
      <c r="AH1243" t="s">
        <v>55</v>
      </c>
      <c r="AI1243" t="s">
        <v>41</v>
      </c>
    </row>
    <row r="1244" spans="1:35" x14ac:dyDescent="0.25">
      <c r="A1244" t="s">
        <v>88</v>
      </c>
      <c r="B1244" t="s">
        <v>59</v>
      </c>
      <c r="C1244" t="s">
        <v>37</v>
      </c>
      <c r="D1244" t="s">
        <v>1708</v>
      </c>
      <c r="E1244" t="s">
        <v>39</v>
      </c>
      <c r="F1244" t="s">
        <v>71</v>
      </c>
      <c r="G1244" t="s">
        <v>47</v>
      </c>
      <c r="H1244" t="s">
        <v>87</v>
      </c>
      <c r="I1244" t="s">
        <v>40</v>
      </c>
      <c r="J1244" t="s">
        <v>3840</v>
      </c>
      <c r="K1244" t="s">
        <v>41</v>
      </c>
      <c r="L1244" t="s">
        <v>63</v>
      </c>
      <c r="M1244" t="s">
        <v>356</v>
      </c>
      <c r="N1244" t="s">
        <v>45</v>
      </c>
      <c r="O1244" t="s">
        <v>57</v>
      </c>
      <c r="P1244" t="s">
        <v>169</v>
      </c>
      <c r="Q1244" t="s">
        <v>41</v>
      </c>
      <c r="R1244" t="s">
        <v>48</v>
      </c>
      <c r="S1244" t="s">
        <v>3841</v>
      </c>
      <c r="T1244" t="s">
        <v>3842</v>
      </c>
      <c r="U1244" t="s">
        <v>40</v>
      </c>
      <c r="V1244" t="s">
        <v>52</v>
      </c>
      <c r="W1244" t="s">
        <v>59</v>
      </c>
      <c r="X1244" t="s">
        <v>129</v>
      </c>
      <c r="Y1244" t="s">
        <v>45</v>
      </c>
      <c r="Z1244" t="s">
        <v>41</v>
      </c>
      <c r="AA1244" t="s">
        <v>54</v>
      </c>
      <c r="AB1244" t="s">
        <v>55</v>
      </c>
      <c r="AC1244" t="s">
        <v>119</v>
      </c>
      <c r="AD1244" t="s">
        <v>45</v>
      </c>
      <c r="AE1244" t="s">
        <v>41</v>
      </c>
      <c r="AF1244" t="s">
        <v>119</v>
      </c>
      <c r="AG1244" t="s">
        <v>51</v>
      </c>
      <c r="AH1244" t="s">
        <v>92</v>
      </c>
      <c r="AI1244" t="s">
        <v>51</v>
      </c>
    </row>
    <row r="1245" spans="1:35" x14ac:dyDescent="0.25">
      <c r="A1245" t="s">
        <v>174</v>
      </c>
      <c r="B1245" t="s">
        <v>59</v>
      </c>
      <c r="C1245" t="s">
        <v>37</v>
      </c>
      <c r="D1245" t="s">
        <v>604</v>
      </c>
      <c r="E1245" t="s">
        <v>397</v>
      </c>
      <c r="F1245" t="s">
        <v>47</v>
      </c>
      <c r="G1245" t="s">
        <v>45</v>
      </c>
      <c r="H1245" t="s">
        <v>42</v>
      </c>
      <c r="I1245" t="s">
        <v>40</v>
      </c>
      <c r="J1245" t="s">
        <v>3843</v>
      </c>
      <c r="K1245" t="s">
        <v>45</v>
      </c>
      <c r="L1245" t="s">
        <v>43</v>
      </c>
      <c r="M1245" t="s">
        <v>82</v>
      </c>
      <c r="N1245" t="s">
        <v>40</v>
      </c>
      <c r="O1245" t="s">
        <v>45</v>
      </c>
      <c r="P1245" t="s">
        <v>397</v>
      </c>
      <c r="Q1245" t="s">
        <v>45</v>
      </c>
      <c r="R1245" t="s">
        <v>66</v>
      </c>
      <c r="S1245" t="s">
        <v>3844</v>
      </c>
      <c r="T1245" t="s">
        <v>3845</v>
      </c>
      <c r="U1245" t="s">
        <v>47</v>
      </c>
      <c r="V1245" t="s">
        <v>52</v>
      </c>
      <c r="W1245" t="s">
        <v>59</v>
      </c>
      <c r="X1245" t="s">
        <v>119</v>
      </c>
      <c r="Y1245" t="s">
        <v>47</v>
      </c>
      <c r="Z1245" t="s">
        <v>45</v>
      </c>
      <c r="AA1245" t="s">
        <v>54</v>
      </c>
      <c r="AB1245" t="s">
        <v>41</v>
      </c>
      <c r="AC1245" t="s">
        <v>91</v>
      </c>
      <c r="AD1245" t="s">
        <v>41</v>
      </c>
      <c r="AE1245" t="s">
        <v>47</v>
      </c>
      <c r="AF1245" t="s">
        <v>57</v>
      </c>
      <c r="AG1245" t="s">
        <v>55</v>
      </c>
      <c r="AH1245" t="s">
        <v>55</v>
      </c>
      <c r="AI1245" t="s">
        <v>45</v>
      </c>
    </row>
    <row r="1246" spans="1:35" x14ac:dyDescent="0.25">
      <c r="A1246" t="s">
        <v>105</v>
      </c>
      <c r="B1246" t="s">
        <v>59</v>
      </c>
      <c r="C1246" t="s">
        <v>60</v>
      </c>
      <c r="D1246" t="s">
        <v>553</v>
      </c>
      <c r="E1246" t="s">
        <v>62</v>
      </c>
      <c r="F1246" t="s">
        <v>41</v>
      </c>
      <c r="G1246" t="s">
        <v>47</v>
      </c>
      <c r="H1246" t="s">
        <v>228</v>
      </c>
      <c r="I1246" t="s">
        <v>40</v>
      </c>
      <c r="J1246" t="s">
        <v>3846</v>
      </c>
      <c r="K1246" t="s">
        <v>47</v>
      </c>
      <c r="L1246" t="s">
        <v>43</v>
      </c>
      <c r="M1246" t="s">
        <v>168</v>
      </c>
      <c r="N1246" t="s">
        <v>41</v>
      </c>
      <c r="O1246" t="s">
        <v>40</v>
      </c>
      <c r="P1246" t="s">
        <v>65</v>
      </c>
      <c r="Q1246" t="s">
        <v>40</v>
      </c>
      <c r="R1246" t="s">
        <v>48</v>
      </c>
      <c r="S1246" t="s">
        <v>2750</v>
      </c>
      <c r="T1246" t="s">
        <v>3847</v>
      </c>
      <c r="U1246" t="s">
        <v>55</v>
      </c>
      <c r="V1246" t="s">
        <v>52</v>
      </c>
      <c r="W1246" t="s">
        <v>59</v>
      </c>
      <c r="X1246" t="s">
        <v>128</v>
      </c>
      <c r="Y1246" t="s">
        <v>45</v>
      </c>
      <c r="Z1246" t="s">
        <v>47</v>
      </c>
      <c r="AA1246" t="s">
        <v>54</v>
      </c>
      <c r="AB1246" t="s">
        <v>55</v>
      </c>
      <c r="AC1246" t="s">
        <v>70</v>
      </c>
      <c r="AD1246" t="s">
        <v>41</v>
      </c>
      <c r="AE1246" t="s">
        <v>45</v>
      </c>
      <c r="AF1246" t="s">
        <v>91</v>
      </c>
      <c r="AG1246" t="s">
        <v>71</v>
      </c>
      <c r="AH1246" t="s">
        <v>55</v>
      </c>
      <c r="AI1246" t="s">
        <v>71</v>
      </c>
    </row>
    <row r="1247" spans="1:35" x14ac:dyDescent="0.25">
      <c r="A1247" t="s">
        <v>107</v>
      </c>
      <c r="B1247" t="s">
        <v>59</v>
      </c>
      <c r="C1247" t="s">
        <v>60</v>
      </c>
      <c r="D1247" t="s">
        <v>2275</v>
      </c>
      <c r="E1247" t="s">
        <v>397</v>
      </c>
      <c r="F1247" t="s">
        <v>70</v>
      </c>
      <c r="G1247" t="s">
        <v>45</v>
      </c>
      <c r="H1247" t="s">
        <v>87</v>
      </c>
      <c r="I1247" t="s">
        <v>40</v>
      </c>
      <c r="J1247" t="s">
        <v>3848</v>
      </c>
      <c r="K1247" t="s">
        <v>40</v>
      </c>
      <c r="L1247" t="s">
        <v>63</v>
      </c>
      <c r="M1247" t="s">
        <v>99</v>
      </c>
      <c r="N1247" t="s">
        <v>45</v>
      </c>
      <c r="O1247" t="s">
        <v>40</v>
      </c>
      <c r="P1247" t="s">
        <v>397</v>
      </c>
      <c r="Q1247" t="s">
        <v>47</v>
      </c>
      <c r="R1247" t="s">
        <v>66</v>
      </c>
      <c r="S1247" t="s">
        <v>3849</v>
      </c>
      <c r="T1247" t="s">
        <v>1598</v>
      </c>
      <c r="U1247" t="s">
        <v>55</v>
      </c>
      <c r="V1247" t="s">
        <v>52</v>
      </c>
      <c r="W1247" t="s">
        <v>59</v>
      </c>
      <c r="X1247" t="s">
        <v>129</v>
      </c>
      <c r="Y1247" t="s">
        <v>45</v>
      </c>
      <c r="Z1247" t="s">
        <v>47</v>
      </c>
      <c r="AA1247" t="s">
        <v>54</v>
      </c>
      <c r="AB1247" t="s">
        <v>40</v>
      </c>
      <c r="AC1247" t="s">
        <v>45</v>
      </c>
      <c r="AD1247" t="s">
        <v>41</v>
      </c>
      <c r="AE1247" t="s">
        <v>45</v>
      </c>
      <c r="AF1247" t="s">
        <v>41</v>
      </c>
      <c r="AG1247" t="s">
        <v>41</v>
      </c>
      <c r="AH1247" t="s">
        <v>41</v>
      </c>
      <c r="AI1247" t="s">
        <v>40</v>
      </c>
    </row>
    <row r="1248" spans="1:35" x14ac:dyDescent="0.25">
      <c r="A1248" t="s">
        <v>105</v>
      </c>
      <c r="B1248" t="s">
        <v>36</v>
      </c>
      <c r="C1248" t="s">
        <v>60</v>
      </c>
      <c r="D1248" t="s">
        <v>1686</v>
      </c>
      <c r="E1248" t="s">
        <v>397</v>
      </c>
      <c r="F1248" t="s">
        <v>51</v>
      </c>
      <c r="G1248" t="s">
        <v>45</v>
      </c>
      <c r="H1248" t="s">
        <v>397</v>
      </c>
      <c r="I1248" t="s">
        <v>40</v>
      </c>
      <c r="J1248" t="s">
        <v>3850</v>
      </c>
      <c r="K1248" t="s">
        <v>45</v>
      </c>
      <c r="L1248" t="s">
        <v>43</v>
      </c>
      <c r="M1248" t="s">
        <v>375</v>
      </c>
      <c r="N1248" t="s">
        <v>41</v>
      </c>
      <c r="O1248" t="s">
        <v>40</v>
      </c>
      <c r="P1248" t="s">
        <v>397</v>
      </c>
      <c r="Q1248" t="s">
        <v>47</v>
      </c>
      <c r="R1248" t="s">
        <v>109</v>
      </c>
      <c r="S1248" t="s">
        <v>3851</v>
      </c>
      <c r="T1248" t="s">
        <v>3852</v>
      </c>
      <c r="U1248" t="s">
        <v>56</v>
      </c>
      <c r="V1248" t="s">
        <v>52</v>
      </c>
      <c r="W1248" t="s">
        <v>59</v>
      </c>
      <c r="X1248" t="s">
        <v>53</v>
      </c>
      <c r="Y1248" t="s">
        <v>45</v>
      </c>
      <c r="Z1248" t="s">
        <v>45</v>
      </c>
      <c r="AA1248" t="s">
        <v>54</v>
      </c>
      <c r="AB1248" t="s">
        <v>40</v>
      </c>
      <c r="AC1248" t="s">
        <v>56</v>
      </c>
      <c r="AD1248" t="s">
        <v>55</v>
      </c>
      <c r="AE1248" t="s">
        <v>41</v>
      </c>
      <c r="AF1248" t="s">
        <v>47</v>
      </c>
      <c r="AG1248" t="s">
        <v>41</v>
      </c>
      <c r="AH1248" t="s">
        <v>40</v>
      </c>
      <c r="AI1248" t="s">
        <v>41</v>
      </c>
    </row>
    <row r="1249" spans="1:35" x14ac:dyDescent="0.25">
      <c r="A1249" t="s">
        <v>137</v>
      </c>
      <c r="B1249" t="s">
        <v>59</v>
      </c>
      <c r="C1249" t="s">
        <v>37</v>
      </c>
      <c r="D1249" t="s">
        <v>2480</v>
      </c>
      <c r="E1249" t="s">
        <v>39</v>
      </c>
      <c r="F1249" t="s">
        <v>57</v>
      </c>
      <c r="G1249" t="s">
        <v>45</v>
      </c>
      <c r="H1249" t="s">
        <v>228</v>
      </c>
      <c r="I1249" t="s">
        <v>40</v>
      </c>
      <c r="J1249" t="s">
        <v>3853</v>
      </c>
      <c r="K1249" t="s">
        <v>40</v>
      </c>
      <c r="L1249" t="s">
        <v>63</v>
      </c>
      <c r="M1249" t="s">
        <v>155</v>
      </c>
      <c r="N1249" t="s">
        <v>45</v>
      </c>
      <c r="O1249" t="s">
        <v>41</v>
      </c>
      <c r="P1249" t="s">
        <v>46</v>
      </c>
      <c r="Q1249" t="s">
        <v>45</v>
      </c>
      <c r="R1249" t="s">
        <v>66</v>
      </c>
      <c r="S1249" t="s">
        <v>1697</v>
      </c>
      <c r="T1249" t="s">
        <v>3854</v>
      </c>
      <c r="U1249" t="s">
        <v>40</v>
      </c>
      <c r="V1249" t="s">
        <v>52</v>
      </c>
      <c r="W1249" t="s">
        <v>59</v>
      </c>
      <c r="X1249" t="s">
        <v>144</v>
      </c>
      <c r="Y1249" t="s">
        <v>45</v>
      </c>
      <c r="Z1249" t="s">
        <v>45</v>
      </c>
      <c r="AA1249" t="s">
        <v>54</v>
      </c>
      <c r="AB1249" t="s">
        <v>40</v>
      </c>
      <c r="AC1249" t="s">
        <v>56</v>
      </c>
      <c r="AD1249" t="s">
        <v>45</v>
      </c>
      <c r="AE1249" t="s">
        <v>45</v>
      </c>
      <c r="AF1249" t="s">
        <v>57</v>
      </c>
      <c r="AG1249" t="s">
        <v>41</v>
      </c>
      <c r="AH1249" t="s">
        <v>55</v>
      </c>
      <c r="AI1249" t="s">
        <v>41</v>
      </c>
    </row>
    <row r="1250" spans="1:35" x14ac:dyDescent="0.25">
      <c r="A1250" t="s">
        <v>85</v>
      </c>
      <c r="B1250" t="s">
        <v>59</v>
      </c>
      <c r="C1250" t="s">
        <v>37</v>
      </c>
      <c r="D1250" t="s">
        <v>3855</v>
      </c>
      <c r="E1250" t="s">
        <v>62</v>
      </c>
      <c r="F1250" t="s">
        <v>51</v>
      </c>
      <c r="G1250" t="s">
        <v>45</v>
      </c>
      <c r="H1250" t="s">
        <v>87</v>
      </c>
      <c r="I1250" t="s">
        <v>40</v>
      </c>
      <c r="J1250" t="s">
        <v>3856</v>
      </c>
      <c r="K1250" t="s">
        <v>45</v>
      </c>
      <c r="L1250" t="s">
        <v>43</v>
      </c>
      <c r="M1250" t="s">
        <v>108</v>
      </c>
      <c r="N1250" t="s">
        <v>45</v>
      </c>
      <c r="O1250" t="s">
        <v>40</v>
      </c>
      <c r="P1250" t="s">
        <v>65</v>
      </c>
      <c r="Q1250" t="s">
        <v>47</v>
      </c>
      <c r="R1250" t="s">
        <v>48</v>
      </c>
      <c r="S1250" t="s">
        <v>2096</v>
      </c>
      <c r="T1250" t="s">
        <v>3857</v>
      </c>
      <c r="U1250" t="s">
        <v>40</v>
      </c>
      <c r="V1250" t="s">
        <v>52</v>
      </c>
      <c r="W1250" t="s">
        <v>59</v>
      </c>
      <c r="X1250" t="s">
        <v>53</v>
      </c>
      <c r="Y1250" t="s">
        <v>45</v>
      </c>
      <c r="Z1250" t="s">
        <v>45</v>
      </c>
      <c r="AA1250" t="s">
        <v>54</v>
      </c>
      <c r="AB1250" t="s">
        <v>55</v>
      </c>
      <c r="AC1250" t="s">
        <v>56</v>
      </c>
      <c r="AD1250" t="s">
        <v>57</v>
      </c>
      <c r="AE1250" t="s">
        <v>41</v>
      </c>
      <c r="AF1250" t="s">
        <v>56</v>
      </c>
      <c r="AG1250" t="s">
        <v>41</v>
      </c>
      <c r="AH1250" t="s">
        <v>40</v>
      </c>
      <c r="AI1250" t="s">
        <v>47</v>
      </c>
    </row>
    <row r="1251" spans="1:35" x14ac:dyDescent="0.25">
      <c r="A1251" t="s">
        <v>133</v>
      </c>
      <c r="B1251" t="s">
        <v>36</v>
      </c>
      <c r="C1251" t="s">
        <v>37</v>
      </c>
      <c r="D1251" t="s">
        <v>1255</v>
      </c>
      <c r="E1251" t="s">
        <v>39</v>
      </c>
      <c r="F1251" t="s">
        <v>91</v>
      </c>
      <c r="G1251" t="s">
        <v>45</v>
      </c>
      <c r="H1251" t="s">
        <v>206</v>
      </c>
      <c r="I1251" t="s">
        <v>40</v>
      </c>
      <c r="J1251" t="s">
        <v>3858</v>
      </c>
      <c r="K1251" t="s">
        <v>41</v>
      </c>
      <c r="L1251" t="s">
        <v>43</v>
      </c>
      <c r="M1251" t="s">
        <v>251</v>
      </c>
      <c r="N1251" t="s">
        <v>40</v>
      </c>
      <c r="O1251" t="s">
        <v>40</v>
      </c>
      <c r="P1251" t="s">
        <v>182</v>
      </c>
      <c r="Q1251" t="s">
        <v>41</v>
      </c>
      <c r="R1251" t="s">
        <v>48</v>
      </c>
      <c r="S1251" t="s">
        <v>3859</v>
      </c>
      <c r="T1251" t="s">
        <v>3860</v>
      </c>
      <c r="U1251" t="s">
        <v>40</v>
      </c>
      <c r="V1251" t="s">
        <v>52</v>
      </c>
      <c r="W1251" t="s">
        <v>59</v>
      </c>
      <c r="X1251" t="s">
        <v>98</v>
      </c>
      <c r="Y1251" t="s">
        <v>45</v>
      </c>
      <c r="Z1251" t="s">
        <v>45</v>
      </c>
      <c r="AA1251" t="s">
        <v>54</v>
      </c>
      <c r="AB1251" t="s">
        <v>55</v>
      </c>
      <c r="AC1251" t="s">
        <v>41</v>
      </c>
      <c r="AD1251" t="s">
        <v>45</v>
      </c>
      <c r="AE1251" t="s">
        <v>45</v>
      </c>
      <c r="AF1251" t="s">
        <v>41</v>
      </c>
      <c r="AG1251" t="s">
        <v>41</v>
      </c>
      <c r="AH1251" t="s">
        <v>41</v>
      </c>
      <c r="AI1251" t="s">
        <v>41</v>
      </c>
    </row>
    <row r="1252" spans="1:35" x14ac:dyDescent="0.25">
      <c r="A1252" t="s">
        <v>133</v>
      </c>
      <c r="B1252" t="s">
        <v>59</v>
      </c>
      <c r="C1252" t="s">
        <v>60</v>
      </c>
      <c r="D1252" t="s">
        <v>1352</v>
      </c>
      <c r="E1252" t="s">
        <v>62</v>
      </c>
      <c r="F1252" t="s">
        <v>40</v>
      </c>
      <c r="G1252" t="s">
        <v>45</v>
      </c>
      <c r="H1252" t="s">
        <v>42</v>
      </c>
      <c r="I1252" t="s">
        <v>40</v>
      </c>
      <c r="J1252" t="s">
        <v>3861</v>
      </c>
      <c r="K1252" t="s">
        <v>47</v>
      </c>
      <c r="L1252" t="s">
        <v>63</v>
      </c>
      <c r="M1252" t="s">
        <v>304</v>
      </c>
      <c r="N1252" t="s">
        <v>47</v>
      </c>
      <c r="O1252" t="s">
        <v>41</v>
      </c>
      <c r="P1252" t="s">
        <v>122</v>
      </c>
      <c r="Q1252" t="s">
        <v>45</v>
      </c>
      <c r="R1252" t="s">
        <v>48</v>
      </c>
      <c r="S1252" t="s">
        <v>3862</v>
      </c>
      <c r="T1252" t="s">
        <v>3863</v>
      </c>
      <c r="U1252" t="s">
        <v>51</v>
      </c>
      <c r="V1252" t="s">
        <v>52</v>
      </c>
      <c r="W1252" t="s">
        <v>36</v>
      </c>
      <c r="X1252" t="s">
        <v>92</v>
      </c>
      <c r="Y1252" t="s">
        <v>45</v>
      </c>
      <c r="Z1252" t="s">
        <v>47</v>
      </c>
      <c r="AA1252" t="s">
        <v>54</v>
      </c>
      <c r="AB1252" t="s">
        <v>55</v>
      </c>
      <c r="AC1252" t="s">
        <v>70</v>
      </c>
      <c r="AD1252" t="s">
        <v>57</v>
      </c>
      <c r="AE1252" t="s">
        <v>47</v>
      </c>
      <c r="AF1252" t="s">
        <v>45</v>
      </c>
      <c r="AG1252" t="s">
        <v>41</v>
      </c>
      <c r="AH1252" t="s">
        <v>55</v>
      </c>
      <c r="AI1252" t="s">
        <v>41</v>
      </c>
    </row>
    <row r="1253" spans="1:35" x14ac:dyDescent="0.25">
      <c r="A1253" t="s">
        <v>105</v>
      </c>
      <c r="B1253" t="s">
        <v>59</v>
      </c>
      <c r="C1253" t="s">
        <v>37</v>
      </c>
      <c r="D1253" t="s">
        <v>935</v>
      </c>
      <c r="E1253" t="s">
        <v>39</v>
      </c>
      <c r="F1253" t="s">
        <v>79</v>
      </c>
      <c r="G1253" t="s">
        <v>41</v>
      </c>
      <c r="H1253" t="s">
        <v>206</v>
      </c>
      <c r="I1253" t="s">
        <v>40</v>
      </c>
      <c r="J1253" t="s">
        <v>3864</v>
      </c>
      <c r="K1253" t="s">
        <v>45</v>
      </c>
      <c r="L1253" t="s">
        <v>63</v>
      </c>
      <c r="M1253" t="s">
        <v>44</v>
      </c>
      <c r="N1253" t="s">
        <v>41</v>
      </c>
      <c r="O1253" t="s">
        <v>45</v>
      </c>
      <c r="P1253" t="s">
        <v>46</v>
      </c>
      <c r="Q1253" t="s">
        <v>40</v>
      </c>
      <c r="R1253" t="s">
        <v>109</v>
      </c>
      <c r="S1253" t="s">
        <v>3865</v>
      </c>
      <c r="T1253" t="s">
        <v>3866</v>
      </c>
      <c r="U1253" t="s">
        <v>41</v>
      </c>
      <c r="V1253" t="s">
        <v>52</v>
      </c>
      <c r="W1253" t="s">
        <v>59</v>
      </c>
      <c r="X1253" t="s">
        <v>53</v>
      </c>
      <c r="Y1253" t="s">
        <v>45</v>
      </c>
      <c r="Z1253" t="s">
        <v>40</v>
      </c>
      <c r="AA1253" t="s">
        <v>54</v>
      </c>
      <c r="AB1253" t="s">
        <v>40</v>
      </c>
      <c r="AC1253" t="s">
        <v>92</v>
      </c>
      <c r="AD1253" t="s">
        <v>41</v>
      </c>
      <c r="AE1253" t="s">
        <v>45</v>
      </c>
      <c r="AF1253" t="s">
        <v>71</v>
      </c>
      <c r="AG1253" t="s">
        <v>71</v>
      </c>
      <c r="AH1253" t="s">
        <v>40</v>
      </c>
      <c r="AI1253" t="s">
        <v>71</v>
      </c>
    </row>
    <row r="1254" spans="1:35" x14ac:dyDescent="0.25">
      <c r="A1254" t="s">
        <v>142</v>
      </c>
      <c r="B1254" t="s">
        <v>59</v>
      </c>
      <c r="C1254" t="s">
        <v>37</v>
      </c>
      <c r="D1254" t="s">
        <v>3867</v>
      </c>
      <c r="E1254" t="s">
        <v>62</v>
      </c>
      <c r="F1254" t="s">
        <v>41</v>
      </c>
      <c r="G1254" t="s">
        <v>47</v>
      </c>
      <c r="H1254" t="s">
        <v>87</v>
      </c>
      <c r="I1254" t="s">
        <v>40</v>
      </c>
      <c r="J1254" t="s">
        <v>3868</v>
      </c>
      <c r="K1254" t="s">
        <v>47</v>
      </c>
      <c r="L1254" t="s">
        <v>63</v>
      </c>
      <c r="M1254" t="s">
        <v>244</v>
      </c>
      <c r="N1254" t="s">
        <v>47</v>
      </c>
      <c r="O1254" t="s">
        <v>40</v>
      </c>
      <c r="P1254" t="s">
        <v>65</v>
      </c>
      <c r="Q1254" t="s">
        <v>47</v>
      </c>
      <c r="R1254" t="s">
        <v>66</v>
      </c>
      <c r="S1254" t="s">
        <v>3869</v>
      </c>
      <c r="T1254" t="s">
        <v>3870</v>
      </c>
      <c r="U1254" t="s">
        <v>55</v>
      </c>
      <c r="V1254" t="s">
        <v>52</v>
      </c>
      <c r="W1254" t="s">
        <v>36</v>
      </c>
      <c r="X1254" t="s">
        <v>129</v>
      </c>
      <c r="Y1254" t="s">
        <v>45</v>
      </c>
      <c r="Z1254" t="s">
        <v>40</v>
      </c>
      <c r="AA1254" t="s">
        <v>54</v>
      </c>
      <c r="AB1254" t="s">
        <v>45</v>
      </c>
      <c r="AC1254" t="s">
        <v>56</v>
      </c>
      <c r="AD1254" t="s">
        <v>45</v>
      </c>
      <c r="AE1254" t="s">
        <v>45</v>
      </c>
      <c r="AF1254" t="s">
        <v>57</v>
      </c>
      <c r="AG1254" t="s">
        <v>55</v>
      </c>
      <c r="AH1254" t="s">
        <v>40</v>
      </c>
      <c r="AI1254" t="s">
        <v>41</v>
      </c>
    </row>
    <row r="1255" spans="1:35" x14ac:dyDescent="0.25">
      <c r="A1255" t="s">
        <v>80</v>
      </c>
      <c r="B1255" t="s">
        <v>59</v>
      </c>
      <c r="C1255" t="s">
        <v>161</v>
      </c>
      <c r="D1255" t="s">
        <v>1449</v>
      </c>
      <c r="E1255" t="s">
        <v>39</v>
      </c>
      <c r="F1255" t="s">
        <v>41</v>
      </c>
      <c r="G1255" t="s">
        <v>45</v>
      </c>
      <c r="H1255" t="s">
        <v>206</v>
      </c>
      <c r="I1255" t="s">
        <v>40</v>
      </c>
      <c r="J1255" t="s">
        <v>3871</v>
      </c>
      <c r="K1255" t="s">
        <v>47</v>
      </c>
      <c r="L1255" t="s">
        <v>43</v>
      </c>
      <c r="M1255" t="s">
        <v>283</v>
      </c>
      <c r="N1255" t="s">
        <v>45</v>
      </c>
      <c r="O1255" t="s">
        <v>41</v>
      </c>
      <c r="P1255" t="s">
        <v>46</v>
      </c>
      <c r="Q1255" t="s">
        <v>41</v>
      </c>
      <c r="R1255" t="s">
        <v>48</v>
      </c>
      <c r="S1255" t="s">
        <v>3872</v>
      </c>
      <c r="T1255" t="s">
        <v>3873</v>
      </c>
      <c r="U1255" t="s">
        <v>51</v>
      </c>
      <c r="V1255" t="s">
        <v>52</v>
      </c>
      <c r="W1255" t="s">
        <v>59</v>
      </c>
      <c r="X1255" t="s">
        <v>79</v>
      </c>
      <c r="Y1255" t="s">
        <v>45</v>
      </c>
      <c r="Z1255" t="s">
        <v>47</v>
      </c>
      <c r="AA1255" t="s">
        <v>54</v>
      </c>
      <c r="AB1255" t="s">
        <v>55</v>
      </c>
      <c r="AC1255" t="s">
        <v>98</v>
      </c>
      <c r="AD1255" t="s">
        <v>41</v>
      </c>
      <c r="AE1255" t="s">
        <v>41</v>
      </c>
      <c r="AF1255" t="s">
        <v>53</v>
      </c>
      <c r="AG1255" t="s">
        <v>71</v>
      </c>
      <c r="AH1255" t="s">
        <v>40</v>
      </c>
      <c r="AI1255" t="s">
        <v>71</v>
      </c>
    </row>
    <row r="1256" spans="1:35" x14ac:dyDescent="0.25">
      <c r="A1256" t="s">
        <v>58</v>
      </c>
      <c r="B1256" t="s">
        <v>59</v>
      </c>
      <c r="C1256" t="s">
        <v>37</v>
      </c>
      <c r="D1256" t="s">
        <v>3553</v>
      </c>
      <c r="E1256" t="s">
        <v>39</v>
      </c>
      <c r="F1256" t="s">
        <v>53</v>
      </c>
      <c r="G1256" t="s">
        <v>47</v>
      </c>
      <c r="H1256" t="s">
        <v>206</v>
      </c>
      <c r="I1256" t="s">
        <v>40</v>
      </c>
      <c r="J1256" t="s">
        <v>3874</v>
      </c>
      <c r="K1256" t="s">
        <v>47</v>
      </c>
      <c r="L1256" t="s">
        <v>43</v>
      </c>
      <c r="M1256" t="s">
        <v>54</v>
      </c>
      <c r="N1256" t="s">
        <v>45</v>
      </c>
      <c r="O1256" t="s">
        <v>41</v>
      </c>
      <c r="P1256" t="s">
        <v>46</v>
      </c>
      <c r="Q1256" t="s">
        <v>47</v>
      </c>
      <c r="R1256" t="s">
        <v>48</v>
      </c>
      <c r="S1256" t="s">
        <v>3875</v>
      </c>
      <c r="T1256" t="s">
        <v>3876</v>
      </c>
      <c r="U1256" t="s">
        <v>45</v>
      </c>
      <c r="V1256" t="s">
        <v>52</v>
      </c>
      <c r="W1256" t="s">
        <v>59</v>
      </c>
      <c r="X1256" t="s">
        <v>92</v>
      </c>
      <c r="Y1256" t="s">
        <v>45</v>
      </c>
      <c r="Z1256" t="s">
        <v>45</v>
      </c>
      <c r="AA1256" t="s">
        <v>54</v>
      </c>
      <c r="AB1256" t="s">
        <v>55</v>
      </c>
      <c r="AC1256" t="s">
        <v>51</v>
      </c>
      <c r="AD1256" t="s">
        <v>40</v>
      </c>
      <c r="AE1256" t="s">
        <v>47</v>
      </c>
      <c r="AF1256" t="s">
        <v>57</v>
      </c>
      <c r="AG1256" t="s">
        <v>40</v>
      </c>
      <c r="AH1256" t="s">
        <v>55</v>
      </c>
      <c r="AI1256" t="s">
        <v>47</v>
      </c>
    </row>
    <row r="1257" spans="1:35" x14ac:dyDescent="0.25">
      <c r="A1257" t="s">
        <v>80</v>
      </c>
      <c r="B1257" t="s">
        <v>36</v>
      </c>
      <c r="C1257" t="s">
        <v>37</v>
      </c>
      <c r="D1257" t="s">
        <v>691</v>
      </c>
      <c r="E1257" t="s">
        <v>39</v>
      </c>
      <c r="F1257" t="s">
        <v>128</v>
      </c>
      <c r="G1257" t="s">
        <v>45</v>
      </c>
      <c r="H1257" t="s">
        <v>42</v>
      </c>
      <c r="I1257" t="s">
        <v>40</v>
      </c>
      <c r="J1257" t="s">
        <v>3877</v>
      </c>
      <c r="K1257" t="s">
        <v>40</v>
      </c>
      <c r="L1257" t="s">
        <v>43</v>
      </c>
      <c r="M1257" t="s">
        <v>314</v>
      </c>
      <c r="N1257" t="s">
        <v>45</v>
      </c>
      <c r="O1257" t="s">
        <v>45</v>
      </c>
      <c r="P1257" t="s">
        <v>46</v>
      </c>
      <c r="Q1257" t="s">
        <v>40</v>
      </c>
      <c r="R1257" t="s">
        <v>48</v>
      </c>
      <c r="S1257" t="s">
        <v>3878</v>
      </c>
      <c r="T1257" t="s">
        <v>3879</v>
      </c>
      <c r="U1257" t="s">
        <v>41</v>
      </c>
      <c r="V1257" t="s">
        <v>52</v>
      </c>
      <c r="W1257" t="s">
        <v>36</v>
      </c>
      <c r="X1257" t="s">
        <v>104</v>
      </c>
      <c r="Y1257" t="s">
        <v>47</v>
      </c>
      <c r="Z1257" t="s">
        <v>45</v>
      </c>
      <c r="AA1257" t="s">
        <v>54</v>
      </c>
      <c r="AB1257" t="s">
        <v>55</v>
      </c>
      <c r="AC1257" t="s">
        <v>53</v>
      </c>
      <c r="AD1257" t="s">
        <v>41</v>
      </c>
      <c r="AE1257" t="s">
        <v>41</v>
      </c>
      <c r="AF1257" t="s">
        <v>55</v>
      </c>
      <c r="AG1257" t="s">
        <v>55</v>
      </c>
      <c r="AH1257" t="s">
        <v>55</v>
      </c>
      <c r="AI1257" t="s">
        <v>55</v>
      </c>
    </row>
    <row r="1258" spans="1:35" x14ac:dyDescent="0.25">
      <c r="A1258" t="s">
        <v>113</v>
      </c>
      <c r="B1258" t="s">
        <v>59</v>
      </c>
      <c r="C1258" t="s">
        <v>60</v>
      </c>
      <c r="D1258" t="s">
        <v>584</v>
      </c>
      <c r="E1258" t="s">
        <v>62</v>
      </c>
      <c r="F1258" t="s">
        <v>41</v>
      </c>
      <c r="G1258" t="s">
        <v>41</v>
      </c>
      <c r="H1258" t="s">
        <v>87</v>
      </c>
      <c r="I1258" t="s">
        <v>40</v>
      </c>
      <c r="J1258" t="s">
        <v>3880</v>
      </c>
      <c r="K1258" t="s">
        <v>45</v>
      </c>
      <c r="L1258" t="s">
        <v>43</v>
      </c>
      <c r="M1258" t="s">
        <v>255</v>
      </c>
      <c r="N1258" t="s">
        <v>41</v>
      </c>
      <c r="O1258" t="s">
        <v>40</v>
      </c>
      <c r="P1258" t="s">
        <v>76</v>
      </c>
      <c r="Q1258" t="s">
        <v>41</v>
      </c>
      <c r="R1258" t="s">
        <v>66</v>
      </c>
      <c r="S1258" t="s">
        <v>3881</v>
      </c>
      <c r="T1258" t="s">
        <v>3882</v>
      </c>
      <c r="U1258" t="s">
        <v>47</v>
      </c>
      <c r="V1258" t="s">
        <v>52</v>
      </c>
      <c r="W1258" t="s">
        <v>59</v>
      </c>
      <c r="X1258" t="s">
        <v>129</v>
      </c>
      <c r="Y1258" t="s">
        <v>45</v>
      </c>
      <c r="Z1258" t="s">
        <v>41</v>
      </c>
      <c r="AA1258" t="s">
        <v>54</v>
      </c>
      <c r="AB1258" t="s">
        <v>40</v>
      </c>
      <c r="AC1258" t="s">
        <v>91</v>
      </c>
      <c r="AD1258" t="s">
        <v>47</v>
      </c>
      <c r="AE1258" t="s">
        <v>41</v>
      </c>
      <c r="AF1258" t="s">
        <v>56</v>
      </c>
      <c r="AG1258" t="s">
        <v>40</v>
      </c>
      <c r="AH1258" t="s">
        <v>55</v>
      </c>
      <c r="AI1258" t="s">
        <v>57</v>
      </c>
    </row>
    <row r="1259" spans="1:35" x14ac:dyDescent="0.25">
      <c r="A1259" t="s">
        <v>137</v>
      </c>
      <c r="B1259" t="s">
        <v>36</v>
      </c>
      <c r="C1259" t="s">
        <v>37</v>
      </c>
      <c r="D1259" t="s">
        <v>2640</v>
      </c>
      <c r="E1259" t="s">
        <v>39</v>
      </c>
      <c r="F1259" t="s">
        <v>128</v>
      </c>
      <c r="G1259" t="s">
        <v>47</v>
      </c>
      <c r="H1259" t="s">
        <v>206</v>
      </c>
      <c r="I1259" t="s">
        <v>40</v>
      </c>
      <c r="J1259" t="s">
        <v>3883</v>
      </c>
      <c r="K1259" t="s">
        <v>40</v>
      </c>
      <c r="L1259" t="s">
        <v>63</v>
      </c>
      <c r="M1259" t="s">
        <v>304</v>
      </c>
      <c r="N1259" t="s">
        <v>45</v>
      </c>
      <c r="O1259" t="s">
        <v>45</v>
      </c>
      <c r="P1259" t="s">
        <v>46</v>
      </c>
      <c r="Q1259" t="s">
        <v>45</v>
      </c>
      <c r="R1259" t="s">
        <v>66</v>
      </c>
      <c r="S1259" t="s">
        <v>3884</v>
      </c>
      <c r="T1259" t="s">
        <v>3885</v>
      </c>
      <c r="U1259" t="s">
        <v>41</v>
      </c>
      <c r="V1259" t="s">
        <v>52</v>
      </c>
      <c r="W1259" t="s">
        <v>59</v>
      </c>
      <c r="X1259" t="s">
        <v>98</v>
      </c>
      <c r="Y1259" t="s">
        <v>45</v>
      </c>
      <c r="Z1259" t="s">
        <v>40</v>
      </c>
      <c r="AA1259" t="s">
        <v>54</v>
      </c>
      <c r="AB1259" t="s">
        <v>45</v>
      </c>
      <c r="AC1259" t="s">
        <v>70</v>
      </c>
      <c r="AD1259" t="s">
        <v>41</v>
      </c>
      <c r="AE1259" t="s">
        <v>45</v>
      </c>
      <c r="AF1259" t="s">
        <v>40</v>
      </c>
      <c r="AG1259" t="s">
        <v>55</v>
      </c>
      <c r="AH1259" t="s">
        <v>55</v>
      </c>
      <c r="AI1259" t="s">
        <v>55</v>
      </c>
    </row>
    <row r="1260" spans="1:35" x14ac:dyDescent="0.25">
      <c r="A1260" t="s">
        <v>133</v>
      </c>
      <c r="B1260" t="s">
        <v>59</v>
      </c>
      <c r="C1260" t="s">
        <v>37</v>
      </c>
      <c r="D1260" t="s">
        <v>1666</v>
      </c>
      <c r="E1260" t="s">
        <v>62</v>
      </c>
      <c r="F1260" t="s">
        <v>47</v>
      </c>
      <c r="G1260" t="s">
        <v>45</v>
      </c>
      <c r="H1260" t="s">
        <v>228</v>
      </c>
      <c r="I1260" t="s">
        <v>40</v>
      </c>
      <c r="J1260" t="s">
        <v>3886</v>
      </c>
      <c r="K1260" t="s">
        <v>47</v>
      </c>
      <c r="L1260" t="s">
        <v>43</v>
      </c>
      <c r="M1260" t="s">
        <v>364</v>
      </c>
      <c r="N1260" t="s">
        <v>41</v>
      </c>
      <c r="O1260" t="s">
        <v>40</v>
      </c>
      <c r="P1260" t="s">
        <v>65</v>
      </c>
      <c r="Q1260" t="s">
        <v>40</v>
      </c>
      <c r="R1260" t="s">
        <v>109</v>
      </c>
      <c r="S1260" t="s">
        <v>3280</v>
      </c>
      <c r="T1260" t="s">
        <v>3887</v>
      </c>
      <c r="U1260" t="s">
        <v>40</v>
      </c>
      <c r="V1260" t="s">
        <v>52</v>
      </c>
      <c r="W1260" t="s">
        <v>59</v>
      </c>
      <c r="X1260" t="s">
        <v>98</v>
      </c>
      <c r="Y1260" t="s">
        <v>45</v>
      </c>
      <c r="Z1260" t="s">
        <v>45</v>
      </c>
      <c r="AA1260" t="s">
        <v>54</v>
      </c>
      <c r="AB1260" t="s">
        <v>40</v>
      </c>
      <c r="AC1260" t="s">
        <v>40</v>
      </c>
      <c r="AD1260" t="s">
        <v>41</v>
      </c>
      <c r="AE1260" t="s">
        <v>45</v>
      </c>
      <c r="AF1260" t="s">
        <v>40</v>
      </c>
      <c r="AG1260" t="s">
        <v>55</v>
      </c>
      <c r="AH1260" t="s">
        <v>55</v>
      </c>
      <c r="AI1260" t="s">
        <v>55</v>
      </c>
    </row>
    <row r="1261" spans="1:35" x14ac:dyDescent="0.25">
      <c r="A1261" t="s">
        <v>105</v>
      </c>
      <c r="B1261" t="s">
        <v>59</v>
      </c>
      <c r="C1261" t="s">
        <v>37</v>
      </c>
      <c r="D1261" t="s">
        <v>925</v>
      </c>
      <c r="E1261" t="s">
        <v>62</v>
      </c>
      <c r="F1261" t="s">
        <v>128</v>
      </c>
      <c r="G1261" t="s">
        <v>45</v>
      </c>
      <c r="H1261" t="s">
        <v>42</v>
      </c>
      <c r="I1261" t="s">
        <v>40</v>
      </c>
      <c r="J1261" t="s">
        <v>3888</v>
      </c>
      <c r="K1261" t="s">
        <v>45</v>
      </c>
      <c r="L1261" t="s">
        <v>63</v>
      </c>
      <c r="M1261" t="s">
        <v>197</v>
      </c>
      <c r="N1261" t="s">
        <v>47</v>
      </c>
      <c r="O1261" t="s">
        <v>41</v>
      </c>
      <c r="P1261" t="s">
        <v>122</v>
      </c>
      <c r="Q1261" t="s">
        <v>45</v>
      </c>
      <c r="R1261" t="s">
        <v>66</v>
      </c>
      <c r="S1261" t="s">
        <v>3889</v>
      </c>
      <c r="T1261" t="s">
        <v>3890</v>
      </c>
      <c r="U1261" t="s">
        <v>45</v>
      </c>
      <c r="V1261" t="s">
        <v>52</v>
      </c>
      <c r="W1261" t="s">
        <v>59</v>
      </c>
      <c r="X1261" t="s">
        <v>128</v>
      </c>
      <c r="Y1261" t="s">
        <v>45</v>
      </c>
      <c r="Z1261" t="s">
        <v>45</v>
      </c>
      <c r="AA1261" t="s">
        <v>54</v>
      </c>
      <c r="AB1261" t="s">
        <v>40</v>
      </c>
      <c r="AC1261" t="s">
        <v>70</v>
      </c>
      <c r="AD1261" t="s">
        <v>45</v>
      </c>
      <c r="AE1261" t="s">
        <v>45</v>
      </c>
      <c r="AF1261" t="s">
        <v>71</v>
      </c>
      <c r="AG1261" t="s">
        <v>55</v>
      </c>
      <c r="AH1261" t="s">
        <v>40</v>
      </c>
      <c r="AI1261" t="s">
        <v>71</v>
      </c>
    </row>
    <row r="1262" spans="1:35" x14ac:dyDescent="0.25">
      <c r="A1262" t="s">
        <v>93</v>
      </c>
      <c r="B1262" t="s">
        <v>59</v>
      </c>
      <c r="C1262" t="s">
        <v>161</v>
      </c>
      <c r="D1262" t="s">
        <v>3891</v>
      </c>
      <c r="E1262" t="s">
        <v>62</v>
      </c>
      <c r="F1262" t="s">
        <v>57</v>
      </c>
      <c r="G1262" t="s">
        <v>47</v>
      </c>
      <c r="H1262" t="s">
        <v>228</v>
      </c>
      <c r="I1262" t="s">
        <v>40</v>
      </c>
      <c r="J1262" t="s">
        <v>3892</v>
      </c>
      <c r="K1262" t="s">
        <v>41</v>
      </c>
      <c r="L1262" t="s">
        <v>63</v>
      </c>
      <c r="M1262" t="s">
        <v>296</v>
      </c>
      <c r="N1262" t="s">
        <v>45</v>
      </c>
      <c r="O1262" t="s">
        <v>40</v>
      </c>
      <c r="P1262" t="s">
        <v>65</v>
      </c>
      <c r="Q1262" t="s">
        <v>41</v>
      </c>
      <c r="R1262" t="s">
        <v>48</v>
      </c>
      <c r="S1262" t="s">
        <v>3893</v>
      </c>
      <c r="T1262" t="s">
        <v>3894</v>
      </c>
      <c r="U1262" t="s">
        <v>41</v>
      </c>
      <c r="V1262" t="s">
        <v>52</v>
      </c>
      <c r="W1262" t="s">
        <v>59</v>
      </c>
      <c r="X1262" t="s">
        <v>129</v>
      </c>
      <c r="Y1262" t="s">
        <v>45</v>
      </c>
      <c r="Z1262" t="s">
        <v>41</v>
      </c>
      <c r="AA1262" t="s">
        <v>54</v>
      </c>
      <c r="AB1262" t="s">
        <v>55</v>
      </c>
      <c r="AC1262" t="s">
        <v>92</v>
      </c>
      <c r="AD1262" t="s">
        <v>45</v>
      </c>
      <c r="AE1262" t="s">
        <v>45</v>
      </c>
      <c r="AF1262" t="s">
        <v>71</v>
      </c>
      <c r="AG1262" t="s">
        <v>71</v>
      </c>
      <c r="AH1262" t="s">
        <v>55</v>
      </c>
      <c r="AI1262" t="s">
        <v>71</v>
      </c>
    </row>
    <row r="1263" spans="1:35" x14ac:dyDescent="0.25">
      <c r="A1263" t="s">
        <v>113</v>
      </c>
      <c r="B1263" t="s">
        <v>59</v>
      </c>
      <c r="C1263" t="s">
        <v>37</v>
      </c>
      <c r="D1263" t="s">
        <v>1057</v>
      </c>
      <c r="E1263" t="s">
        <v>62</v>
      </c>
      <c r="F1263" t="s">
        <v>145</v>
      </c>
      <c r="G1263" t="s">
        <v>45</v>
      </c>
      <c r="H1263" t="s">
        <v>87</v>
      </c>
      <c r="I1263" t="s">
        <v>40</v>
      </c>
      <c r="J1263" t="s">
        <v>3895</v>
      </c>
      <c r="K1263" t="s">
        <v>41</v>
      </c>
      <c r="L1263" t="s">
        <v>63</v>
      </c>
      <c r="M1263" t="s">
        <v>275</v>
      </c>
      <c r="N1263" t="s">
        <v>40</v>
      </c>
      <c r="O1263" t="s">
        <v>41</v>
      </c>
      <c r="P1263" t="s">
        <v>122</v>
      </c>
      <c r="Q1263" t="s">
        <v>47</v>
      </c>
      <c r="R1263" t="s">
        <v>66</v>
      </c>
      <c r="S1263" t="s">
        <v>3896</v>
      </c>
      <c r="T1263" t="s">
        <v>3897</v>
      </c>
      <c r="U1263" t="s">
        <v>45</v>
      </c>
      <c r="V1263" t="s">
        <v>52</v>
      </c>
      <c r="W1263" t="s">
        <v>36</v>
      </c>
      <c r="X1263" t="s">
        <v>128</v>
      </c>
      <c r="Y1263" t="s">
        <v>45</v>
      </c>
      <c r="Z1263" t="s">
        <v>45</v>
      </c>
      <c r="AA1263" t="s">
        <v>54</v>
      </c>
      <c r="AB1263" t="s">
        <v>40</v>
      </c>
      <c r="AC1263" t="s">
        <v>79</v>
      </c>
      <c r="AD1263" t="s">
        <v>41</v>
      </c>
      <c r="AE1263" t="s">
        <v>45</v>
      </c>
      <c r="AF1263" t="s">
        <v>40</v>
      </c>
      <c r="AG1263" t="s">
        <v>55</v>
      </c>
      <c r="AH1263" t="s">
        <v>40</v>
      </c>
      <c r="AI1263" t="s">
        <v>55</v>
      </c>
    </row>
    <row r="1264" spans="1:35" x14ac:dyDescent="0.25">
      <c r="A1264" t="s">
        <v>234</v>
      </c>
      <c r="B1264" t="s">
        <v>36</v>
      </c>
      <c r="C1264" t="s">
        <v>60</v>
      </c>
      <c r="D1264" t="s">
        <v>476</v>
      </c>
      <c r="E1264" t="s">
        <v>62</v>
      </c>
      <c r="F1264" t="s">
        <v>125</v>
      </c>
      <c r="G1264" t="s">
        <v>45</v>
      </c>
      <c r="H1264" t="s">
        <v>228</v>
      </c>
      <c r="I1264" t="s">
        <v>40</v>
      </c>
      <c r="J1264" t="s">
        <v>3898</v>
      </c>
      <c r="K1264" t="s">
        <v>45</v>
      </c>
      <c r="L1264" t="s">
        <v>63</v>
      </c>
      <c r="M1264" t="s">
        <v>113</v>
      </c>
      <c r="N1264" t="s">
        <v>41</v>
      </c>
      <c r="O1264" t="s">
        <v>40</v>
      </c>
      <c r="P1264" t="s">
        <v>65</v>
      </c>
      <c r="Q1264" t="s">
        <v>45</v>
      </c>
      <c r="R1264" t="s">
        <v>66</v>
      </c>
      <c r="S1264" t="s">
        <v>3899</v>
      </c>
      <c r="T1264" t="s">
        <v>3900</v>
      </c>
      <c r="U1264" t="s">
        <v>91</v>
      </c>
      <c r="V1264" t="s">
        <v>52</v>
      </c>
      <c r="W1264" t="s">
        <v>36</v>
      </c>
      <c r="X1264" t="s">
        <v>128</v>
      </c>
      <c r="Y1264" t="s">
        <v>45</v>
      </c>
      <c r="Z1264" t="s">
        <v>47</v>
      </c>
      <c r="AA1264" t="s">
        <v>54</v>
      </c>
      <c r="AB1264" t="s">
        <v>40</v>
      </c>
      <c r="AC1264" t="s">
        <v>56</v>
      </c>
      <c r="AD1264" t="s">
        <v>47</v>
      </c>
      <c r="AE1264" t="s">
        <v>45</v>
      </c>
      <c r="AF1264" t="s">
        <v>40</v>
      </c>
      <c r="AG1264" t="s">
        <v>55</v>
      </c>
      <c r="AH1264" t="s">
        <v>55</v>
      </c>
      <c r="AI1264" t="s">
        <v>55</v>
      </c>
    </row>
    <row r="1265" spans="1:35" x14ac:dyDescent="0.25">
      <c r="A1265" t="s">
        <v>204</v>
      </c>
      <c r="B1265" t="s">
        <v>59</v>
      </c>
      <c r="C1265" t="s">
        <v>37</v>
      </c>
      <c r="D1265" t="s">
        <v>2195</v>
      </c>
      <c r="E1265" t="s">
        <v>62</v>
      </c>
      <c r="F1265" t="s">
        <v>92</v>
      </c>
      <c r="G1265" t="s">
        <v>45</v>
      </c>
      <c r="H1265" t="s">
        <v>87</v>
      </c>
      <c r="I1265" t="s">
        <v>40</v>
      </c>
      <c r="J1265" t="s">
        <v>3901</v>
      </c>
      <c r="K1265" t="s">
        <v>41</v>
      </c>
      <c r="L1265" t="s">
        <v>63</v>
      </c>
      <c r="M1265" t="s">
        <v>269</v>
      </c>
      <c r="N1265" t="s">
        <v>45</v>
      </c>
      <c r="O1265" t="s">
        <v>40</v>
      </c>
      <c r="P1265" t="s">
        <v>76</v>
      </c>
      <c r="Q1265" t="s">
        <v>41</v>
      </c>
      <c r="R1265" t="s">
        <v>109</v>
      </c>
      <c r="S1265" t="s">
        <v>3902</v>
      </c>
      <c r="T1265" t="s">
        <v>3903</v>
      </c>
      <c r="U1265" t="s">
        <v>51</v>
      </c>
      <c r="V1265" t="s">
        <v>52</v>
      </c>
      <c r="W1265" t="s">
        <v>59</v>
      </c>
      <c r="X1265" t="s">
        <v>112</v>
      </c>
      <c r="Y1265" t="s">
        <v>47</v>
      </c>
      <c r="Z1265" t="s">
        <v>41</v>
      </c>
      <c r="AA1265" t="s">
        <v>54</v>
      </c>
      <c r="AB1265" t="s">
        <v>45</v>
      </c>
      <c r="AC1265" t="s">
        <v>71</v>
      </c>
      <c r="AD1265" t="s">
        <v>56</v>
      </c>
      <c r="AE1265" t="s">
        <v>41</v>
      </c>
      <c r="AF1265" t="s">
        <v>57</v>
      </c>
      <c r="AG1265" t="s">
        <v>45</v>
      </c>
      <c r="AH1265" t="s">
        <v>55</v>
      </c>
      <c r="AI1265" t="s">
        <v>47</v>
      </c>
    </row>
    <row r="1266" spans="1:35" x14ac:dyDescent="0.25">
      <c r="A1266" t="s">
        <v>263</v>
      </c>
      <c r="B1266" t="s">
        <v>59</v>
      </c>
      <c r="C1266" t="s">
        <v>37</v>
      </c>
      <c r="D1266" t="s">
        <v>1405</v>
      </c>
      <c r="E1266" t="s">
        <v>62</v>
      </c>
      <c r="F1266" t="s">
        <v>41</v>
      </c>
      <c r="G1266" t="s">
        <v>45</v>
      </c>
      <c r="H1266" t="s">
        <v>87</v>
      </c>
      <c r="I1266" t="s">
        <v>40</v>
      </c>
      <c r="J1266" t="s">
        <v>3904</v>
      </c>
      <c r="K1266" t="s">
        <v>45</v>
      </c>
      <c r="L1266" t="s">
        <v>63</v>
      </c>
      <c r="M1266" t="s">
        <v>275</v>
      </c>
      <c r="N1266" t="s">
        <v>41</v>
      </c>
      <c r="O1266" t="s">
        <v>57</v>
      </c>
      <c r="P1266" t="s">
        <v>186</v>
      </c>
      <c r="Q1266" t="s">
        <v>40</v>
      </c>
      <c r="R1266" t="s">
        <v>66</v>
      </c>
      <c r="S1266" t="s">
        <v>3905</v>
      </c>
      <c r="T1266" t="s">
        <v>3906</v>
      </c>
      <c r="U1266" t="s">
        <v>51</v>
      </c>
      <c r="V1266" t="s">
        <v>52</v>
      </c>
      <c r="W1266" t="s">
        <v>59</v>
      </c>
      <c r="X1266" t="s">
        <v>92</v>
      </c>
      <c r="Y1266" t="s">
        <v>45</v>
      </c>
      <c r="Z1266" t="s">
        <v>41</v>
      </c>
      <c r="AA1266" t="s">
        <v>54</v>
      </c>
      <c r="AB1266" t="s">
        <v>45</v>
      </c>
      <c r="AC1266" t="s">
        <v>142</v>
      </c>
      <c r="AD1266" t="s">
        <v>41</v>
      </c>
      <c r="AE1266" t="s">
        <v>45</v>
      </c>
      <c r="AF1266" t="s">
        <v>40</v>
      </c>
      <c r="AG1266" t="s">
        <v>55</v>
      </c>
      <c r="AH1266" t="s">
        <v>55</v>
      </c>
      <c r="AI1266" t="s">
        <v>55</v>
      </c>
    </row>
    <row r="1267" spans="1:35" x14ac:dyDescent="0.25">
      <c r="A1267" t="s">
        <v>80</v>
      </c>
      <c r="B1267" t="s">
        <v>59</v>
      </c>
      <c r="C1267" t="s">
        <v>161</v>
      </c>
      <c r="D1267" t="s">
        <v>1729</v>
      </c>
      <c r="E1267" t="s">
        <v>62</v>
      </c>
      <c r="F1267" t="s">
        <v>47</v>
      </c>
      <c r="G1267" t="s">
        <v>45</v>
      </c>
      <c r="H1267" t="s">
        <v>228</v>
      </c>
      <c r="I1267" t="s">
        <v>40</v>
      </c>
      <c r="J1267" t="s">
        <v>3907</v>
      </c>
      <c r="K1267" t="s">
        <v>47</v>
      </c>
      <c r="L1267" t="s">
        <v>63</v>
      </c>
      <c r="M1267" t="s">
        <v>360</v>
      </c>
      <c r="N1267" t="s">
        <v>45</v>
      </c>
      <c r="O1267" t="s">
        <v>41</v>
      </c>
      <c r="P1267" t="s">
        <v>65</v>
      </c>
      <c r="Q1267" t="s">
        <v>41</v>
      </c>
      <c r="R1267" t="s">
        <v>109</v>
      </c>
      <c r="S1267" t="s">
        <v>3908</v>
      </c>
      <c r="T1267" t="s">
        <v>3909</v>
      </c>
      <c r="U1267" t="s">
        <v>57</v>
      </c>
      <c r="V1267" t="s">
        <v>52</v>
      </c>
      <c r="W1267" t="s">
        <v>59</v>
      </c>
      <c r="X1267" t="s">
        <v>79</v>
      </c>
      <c r="Y1267" t="s">
        <v>45</v>
      </c>
      <c r="Z1267" t="s">
        <v>47</v>
      </c>
      <c r="AA1267" t="s">
        <v>54</v>
      </c>
      <c r="AB1267" t="s">
        <v>41</v>
      </c>
      <c r="AC1267" t="s">
        <v>53</v>
      </c>
      <c r="AD1267" t="s">
        <v>41</v>
      </c>
      <c r="AE1267" t="s">
        <v>41</v>
      </c>
      <c r="AF1267" t="s">
        <v>91</v>
      </c>
      <c r="AG1267" t="s">
        <v>51</v>
      </c>
      <c r="AH1267" t="s">
        <v>40</v>
      </c>
      <c r="AI1267" t="s">
        <v>71</v>
      </c>
    </row>
    <row r="1268" spans="1:35" x14ac:dyDescent="0.25">
      <c r="A1268" t="s">
        <v>35</v>
      </c>
      <c r="B1268" t="s">
        <v>59</v>
      </c>
      <c r="C1268" t="s">
        <v>37</v>
      </c>
      <c r="D1268" t="s">
        <v>374</v>
      </c>
      <c r="E1268" t="s">
        <v>62</v>
      </c>
      <c r="F1268" t="s">
        <v>91</v>
      </c>
      <c r="G1268" t="s">
        <v>47</v>
      </c>
      <c r="H1268" t="s">
        <v>42</v>
      </c>
      <c r="I1268" t="s">
        <v>40</v>
      </c>
      <c r="J1268" t="s">
        <v>3910</v>
      </c>
      <c r="K1268" t="s">
        <v>45</v>
      </c>
      <c r="L1268" t="s">
        <v>63</v>
      </c>
      <c r="M1268" t="s">
        <v>44</v>
      </c>
      <c r="N1268" t="s">
        <v>45</v>
      </c>
      <c r="O1268" t="s">
        <v>40</v>
      </c>
      <c r="P1268" t="s">
        <v>76</v>
      </c>
      <c r="Q1268" t="s">
        <v>40</v>
      </c>
      <c r="R1268" t="s">
        <v>109</v>
      </c>
      <c r="S1268" t="s">
        <v>3911</v>
      </c>
      <c r="T1268" t="s">
        <v>3912</v>
      </c>
      <c r="U1268" t="s">
        <v>40</v>
      </c>
      <c r="V1268" t="s">
        <v>52</v>
      </c>
      <c r="W1268" t="s">
        <v>59</v>
      </c>
      <c r="X1268" t="s">
        <v>104</v>
      </c>
      <c r="Y1268" t="s">
        <v>47</v>
      </c>
      <c r="Z1268" t="s">
        <v>41</v>
      </c>
      <c r="AA1268" t="s">
        <v>54</v>
      </c>
      <c r="AB1268" t="s">
        <v>41</v>
      </c>
      <c r="AC1268" t="s">
        <v>57</v>
      </c>
      <c r="AD1268" t="s">
        <v>41</v>
      </c>
      <c r="AE1268" t="s">
        <v>45</v>
      </c>
      <c r="AF1268" t="s">
        <v>57</v>
      </c>
      <c r="AG1268" t="s">
        <v>45</v>
      </c>
      <c r="AH1268" t="s">
        <v>55</v>
      </c>
      <c r="AI1268" t="s">
        <v>47</v>
      </c>
    </row>
    <row r="1269" spans="1:35" x14ac:dyDescent="0.25">
      <c r="A1269" t="s">
        <v>142</v>
      </c>
      <c r="B1269" t="s">
        <v>59</v>
      </c>
      <c r="C1269" t="s">
        <v>161</v>
      </c>
      <c r="D1269" t="s">
        <v>3147</v>
      </c>
      <c r="E1269" t="s">
        <v>39</v>
      </c>
      <c r="F1269" t="s">
        <v>70</v>
      </c>
      <c r="G1269" t="s">
        <v>45</v>
      </c>
      <c r="H1269" t="s">
        <v>42</v>
      </c>
      <c r="I1269" t="s">
        <v>40</v>
      </c>
      <c r="J1269" t="s">
        <v>3913</v>
      </c>
      <c r="K1269" t="s">
        <v>47</v>
      </c>
      <c r="L1269" t="s">
        <v>63</v>
      </c>
      <c r="M1269" t="s">
        <v>371</v>
      </c>
      <c r="N1269" t="s">
        <v>45</v>
      </c>
      <c r="O1269" t="s">
        <v>41</v>
      </c>
      <c r="P1269" t="s">
        <v>46</v>
      </c>
      <c r="Q1269" t="s">
        <v>45</v>
      </c>
      <c r="R1269" t="s">
        <v>109</v>
      </c>
      <c r="S1269" t="s">
        <v>3914</v>
      </c>
      <c r="T1269" t="s">
        <v>3915</v>
      </c>
      <c r="U1269" t="s">
        <v>40</v>
      </c>
      <c r="V1269" t="s">
        <v>52</v>
      </c>
      <c r="W1269" t="s">
        <v>36</v>
      </c>
      <c r="X1269" t="s">
        <v>129</v>
      </c>
      <c r="Y1269" t="s">
        <v>45</v>
      </c>
      <c r="Z1269" t="s">
        <v>45</v>
      </c>
      <c r="AA1269" t="s">
        <v>54</v>
      </c>
      <c r="AB1269" t="s">
        <v>40</v>
      </c>
      <c r="AC1269" t="s">
        <v>79</v>
      </c>
      <c r="AD1269" t="s">
        <v>45</v>
      </c>
      <c r="AE1269" t="s">
        <v>45</v>
      </c>
      <c r="AF1269" t="s">
        <v>79</v>
      </c>
      <c r="AG1269" t="s">
        <v>129</v>
      </c>
      <c r="AH1269" t="s">
        <v>55</v>
      </c>
      <c r="AI1269" t="s">
        <v>71</v>
      </c>
    </row>
    <row r="1270" spans="1:35" x14ac:dyDescent="0.25">
      <c r="A1270" t="s">
        <v>166</v>
      </c>
      <c r="B1270" t="s">
        <v>59</v>
      </c>
      <c r="C1270" t="s">
        <v>161</v>
      </c>
      <c r="D1270" t="s">
        <v>1813</v>
      </c>
      <c r="E1270" t="s">
        <v>62</v>
      </c>
      <c r="F1270" t="s">
        <v>40</v>
      </c>
      <c r="G1270" t="s">
        <v>47</v>
      </c>
      <c r="H1270" t="s">
        <v>87</v>
      </c>
      <c r="I1270" t="s">
        <v>40</v>
      </c>
      <c r="J1270" t="s">
        <v>3916</v>
      </c>
      <c r="K1270" t="s">
        <v>40</v>
      </c>
      <c r="L1270" t="s">
        <v>43</v>
      </c>
      <c r="M1270" t="s">
        <v>275</v>
      </c>
      <c r="N1270" t="s">
        <v>41</v>
      </c>
      <c r="O1270" t="s">
        <v>47</v>
      </c>
      <c r="P1270" t="s">
        <v>116</v>
      </c>
      <c r="Q1270" t="s">
        <v>45</v>
      </c>
      <c r="R1270" t="s">
        <v>66</v>
      </c>
      <c r="S1270" t="s">
        <v>3917</v>
      </c>
      <c r="T1270" t="s">
        <v>3918</v>
      </c>
      <c r="U1270" t="s">
        <v>47</v>
      </c>
      <c r="V1270" t="s">
        <v>52</v>
      </c>
      <c r="W1270" t="s">
        <v>36</v>
      </c>
      <c r="X1270" t="s">
        <v>104</v>
      </c>
      <c r="Y1270" t="s">
        <v>47</v>
      </c>
      <c r="Z1270" t="s">
        <v>47</v>
      </c>
      <c r="AA1270" t="s">
        <v>54</v>
      </c>
      <c r="AB1270" t="s">
        <v>45</v>
      </c>
      <c r="AC1270" t="s">
        <v>85</v>
      </c>
      <c r="AD1270" t="s">
        <v>41</v>
      </c>
      <c r="AE1270" t="s">
        <v>41</v>
      </c>
      <c r="AF1270" t="s">
        <v>45</v>
      </c>
      <c r="AG1270" t="s">
        <v>41</v>
      </c>
      <c r="AH1270" t="s">
        <v>55</v>
      </c>
      <c r="AI1270" t="s">
        <v>41</v>
      </c>
    </row>
    <row r="1271" spans="1:35" x14ac:dyDescent="0.25">
      <c r="A1271" t="s">
        <v>234</v>
      </c>
      <c r="B1271" t="s">
        <v>59</v>
      </c>
      <c r="C1271" t="s">
        <v>37</v>
      </c>
      <c r="D1271" t="s">
        <v>768</v>
      </c>
      <c r="E1271" t="s">
        <v>397</v>
      </c>
      <c r="F1271" t="s">
        <v>41</v>
      </c>
      <c r="G1271" t="s">
        <v>45</v>
      </c>
      <c r="H1271" t="s">
        <v>42</v>
      </c>
      <c r="I1271" t="s">
        <v>40</v>
      </c>
      <c r="J1271" t="s">
        <v>3919</v>
      </c>
      <c r="K1271" t="s">
        <v>41</v>
      </c>
      <c r="L1271" t="s">
        <v>63</v>
      </c>
      <c r="M1271" t="s">
        <v>244</v>
      </c>
      <c r="N1271" t="s">
        <v>45</v>
      </c>
      <c r="O1271" t="s">
        <v>40</v>
      </c>
      <c r="P1271" t="s">
        <v>397</v>
      </c>
      <c r="Q1271" t="s">
        <v>47</v>
      </c>
      <c r="R1271" t="s">
        <v>48</v>
      </c>
      <c r="S1271" t="s">
        <v>3920</v>
      </c>
      <c r="T1271" t="s">
        <v>3921</v>
      </c>
      <c r="U1271" t="s">
        <v>55</v>
      </c>
      <c r="V1271" t="s">
        <v>52</v>
      </c>
      <c r="W1271" t="s">
        <v>59</v>
      </c>
      <c r="X1271" t="s">
        <v>98</v>
      </c>
      <c r="Y1271" t="s">
        <v>45</v>
      </c>
      <c r="Z1271" t="s">
        <v>41</v>
      </c>
      <c r="AA1271" t="s">
        <v>54</v>
      </c>
      <c r="AB1271" t="s">
        <v>55</v>
      </c>
      <c r="AC1271" t="s">
        <v>70</v>
      </c>
      <c r="AD1271" t="s">
        <v>57</v>
      </c>
      <c r="AE1271" t="s">
        <v>45</v>
      </c>
      <c r="AF1271" t="s">
        <v>91</v>
      </c>
      <c r="AG1271" t="s">
        <v>71</v>
      </c>
      <c r="AH1271" t="s">
        <v>40</v>
      </c>
      <c r="AI1271" t="s">
        <v>51</v>
      </c>
    </row>
    <row r="1272" spans="1:35" x14ac:dyDescent="0.25">
      <c r="A1272" t="s">
        <v>142</v>
      </c>
      <c r="B1272" t="s">
        <v>59</v>
      </c>
      <c r="C1272" t="s">
        <v>37</v>
      </c>
      <c r="D1272" t="s">
        <v>1486</v>
      </c>
      <c r="E1272" t="s">
        <v>39</v>
      </c>
      <c r="F1272" t="s">
        <v>45</v>
      </c>
      <c r="G1272" t="s">
        <v>41</v>
      </c>
      <c r="H1272" t="s">
        <v>42</v>
      </c>
      <c r="I1272" t="s">
        <v>40</v>
      </c>
      <c r="J1272" t="s">
        <v>3922</v>
      </c>
      <c r="K1272" t="s">
        <v>47</v>
      </c>
      <c r="L1272" t="s">
        <v>43</v>
      </c>
      <c r="M1272" t="s">
        <v>93</v>
      </c>
      <c r="N1272" t="s">
        <v>40</v>
      </c>
      <c r="O1272" t="s">
        <v>41</v>
      </c>
      <c r="P1272" t="s">
        <v>46</v>
      </c>
      <c r="Q1272" t="s">
        <v>47</v>
      </c>
      <c r="R1272" t="s">
        <v>48</v>
      </c>
      <c r="S1272" t="s">
        <v>3923</v>
      </c>
      <c r="T1272" t="s">
        <v>3924</v>
      </c>
      <c r="U1272" t="s">
        <v>57</v>
      </c>
      <c r="V1272" t="s">
        <v>52</v>
      </c>
      <c r="W1272" t="s">
        <v>59</v>
      </c>
      <c r="X1272" t="s">
        <v>92</v>
      </c>
      <c r="Y1272" t="s">
        <v>45</v>
      </c>
      <c r="Z1272" t="s">
        <v>40</v>
      </c>
      <c r="AA1272" t="s">
        <v>54</v>
      </c>
      <c r="AB1272" t="s">
        <v>55</v>
      </c>
      <c r="AC1272" t="s">
        <v>56</v>
      </c>
      <c r="AD1272" t="s">
        <v>45</v>
      </c>
      <c r="AE1272" t="s">
        <v>45</v>
      </c>
      <c r="AF1272" t="s">
        <v>41</v>
      </c>
      <c r="AG1272" t="s">
        <v>41</v>
      </c>
      <c r="AH1272" t="s">
        <v>41</v>
      </c>
      <c r="AI1272" t="s">
        <v>41</v>
      </c>
    </row>
    <row r="1273" spans="1:35" x14ac:dyDescent="0.25">
      <c r="A1273" t="s">
        <v>119</v>
      </c>
      <c r="B1273" t="s">
        <v>36</v>
      </c>
      <c r="C1273" t="s">
        <v>37</v>
      </c>
      <c r="D1273" t="s">
        <v>1011</v>
      </c>
      <c r="E1273" t="s">
        <v>39</v>
      </c>
      <c r="F1273" t="s">
        <v>71</v>
      </c>
      <c r="G1273" t="s">
        <v>40</v>
      </c>
      <c r="H1273" t="s">
        <v>206</v>
      </c>
      <c r="I1273" t="s">
        <v>40</v>
      </c>
      <c r="J1273" t="s">
        <v>3925</v>
      </c>
      <c r="K1273" t="s">
        <v>41</v>
      </c>
      <c r="L1273" t="s">
        <v>63</v>
      </c>
      <c r="M1273" t="s">
        <v>137</v>
      </c>
      <c r="N1273" t="s">
        <v>45</v>
      </c>
      <c r="O1273" t="s">
        <v>40</v>
      </c>
      <c r="P1273" t="s">
        <v>182</v>
      </c>
      <c r="Q1273" t="s">
        <v>41</v>
      </c>
      <c r="R1273" t="s">
        <v>48</v>
      </c>
      <c r="S1273" t="s">
        <v>3926</v>
      </c>
      <c r="T1273" t="s">
        <v>3927</v>
      </c>
      <c r="U1273" t="s">
        <v>40</v>
      </c>
      <c r="V1273" t="s">
        <v>52</v>
      </c>
      <c r="W1273" t="s">
        <v>59</v>
      </c>
      <c r="X1273" t="s">
        <v>98</v>
      </c>
      <c r="Y1273" t="s">
        <v>45</v>
      </c>
      <c r="Z1273" t="s">
        <v>41</v>
      </c>
      <c r="AA1273" t="s">
        <v>54</v>
      </c>
      <c r="AB1273" t="s">
        <v>55</v>
      </c>
      <c r="AC1273" t="s">
        <v>40</v>
      </c>
      <c r="AD1273" t="s">
        <v>45</v>
      </c>
      <c r="AE1273" t="s">
        <v>45</v>
      </c>
      <c r="AF1273" t="s">
        <v>40</v>
      </c>
      <c r="AG1273" t="s">
        <v>55</v>
      </c>
      <c r="AH1273" t="s">
        <v>40</v>
      </c>
      <c r="AI1273" t="s">
        <v>55</v>
      </c>
    </row>
    <row r="1274" spans="1:35" x14ac:dyDescent="0.25">
      <c r="A1274" t="s">
        <v>113</v>
      </c>
      <c r="B1274" t="s">
        <v>59</v>
      </c>
      <c r="C1274" t="s">
        <v>37</v>
      </c>
      <c r="D1274" t="s">
        <v>415</v>
      </c>
      <c r="E1274" t="s">
        <v>62</v>
      </c>
      <c r="F1274" t="s">
        <v>56</v>
      </c>
      <c r="G1274" t="s">
        <v>41</v>
      </c>
      <c r="H1274" t="s">
        <v>74</v>
      </c>
      <c r="I1274" t="s">
        <v>40</v>
      </c>
      <c r="J1274" t="s">
        <v>3928</v>
      </c>
      <c r="K1274" t="s">
        <v>47</v>
      </c>
      <c r="L1274" t="s">
        <v>43</v>
      </c>
      <c r="M1274" t="s">
        <v>88</v>
      </c>
      <c r="N1274" t="s">
        <v>41</v>
      </c>
      <c r="O1274" t="s">
        <v>40</v>
      </c>
      <c r="P1274" t="s">
        <v>76</v>
      </c>
      <c r="Q1274" t="s">
        <v>45</v>
      </c>
      <c r="R1274" t="s">
        <v>66</v>
      </c>
      <c r="S1274" t="s">
        <v>3929</v>
      </c>
      <c r="T1274" t="s">
        <v>3930</v>
      </c>
      <c r="U1274" t="s">
        <v>40</v>
      </c>
      <c r="V1274" t="s">
        <v>52</v>
      </c>
      <c r="W1274" t="s">
        <v>59</v>
      </c>
      <c r="X1274" t="s">
        <v>53</v>
      </c>
      <c r="Y1274" t="s">
        <v>45</v>
      </c>
      <c r="Z1274" t="s">
        <v>41</v>
      </c>
      <c r="AA1274" t="s">
        <v>54</v>
      </c>
      <c r="AB1274" t="s">
        <v>40</v>
      </c>
      <c r="AC1274" t="s">
        <v>57</v>
      </c>
      <c r="AD1274" t="s">
        <v>45</v>
      </c>
      <c r="AE1274" t="s">
        <v>45</v>
      </c>
      <c r="AF1274" t="s">
        <v>57</v>
      </c>
      <c r="AG1274" t="s">
        <v>47</v>
      </c>
      <c r="AH1274" t="s">
        <v>55</v>
      </c>
      <c r="AI1274" t="s">
        <v>47</v>
      </c>
    </row>
    <row r="1275" spans="1:35" x14ac:dyDescent="0.25">
      <c r="A1275" t="s">
        <v>112</v>
      </c>
      <c r="B1275" t="s">
        <v>36</v>
      </c>
      <c r="C1275" t="s">
        <v>37</v>
      </c>
      <c r="D1275" t="s">
        <v>3025</v>
      </c>
      <c r="E1275" t="s">
        <v>62</v>
      </c>
      <c r="F1275" t="s">
        <v>51</v>
      </c>
      <c r="G1275" t="s">
        <v>40</v>
      </c>
      <c r="H1275" t="s">
        <v>87</v>
      </c>
      <c r="I1275" t="s">
        <v>40</v>
      </c>
      <c r="J1275" t="s">
        <v>3931</v>
      </c>
      <c r="K1275" t="s">
        <v>45</v>
      </c>
      <c r="L1275" t="s">
        <v>43</v>
      </c>
      <c r="M1275" t="s">
        <v>95</v>
      </c>
      <c r="N1275" t="s">
        <v>45</v>
      </c>
      <c r="O1275" t="s">
        <v>40</v>
      </c>
      <c r="P1275" t="s">
        <v>76</v>
      </c>
      <c r="Q1275" t="s">
        <v>40</v>
      </c>
      <c r="R1275" t="s">
        <v>66</v>
      </c>
      <c r="S1275" t="s">
        <v>3932</v>
      </c>
      <c r="T1275" t="s">
        <v>3933</v>
      </c>
      <c r="U1275" t="s">
        <v>40</v>
      </c>
      <c r="V1275" t="s">
        <v>52</v>
      </c>
      <c r="W1275" t="s">
        <v>36</v>
      </c>
      <c r="X1275" t="s">
        <v>125</v>
      </c>
      <c r="Y1275" t="s">
        <v>45</v>
      </c>
      <c r="Z1275" t="s">
        <v>45</v>
      </c>
      <c r="AA1275" t="s">
        <v>54</v>
      </c>
      <c r="AB1275" t="s">
        <v>55</v>
      </c>
      <c r="AC1275" t="s">
        <v>40</v>
      </c>
      <c r="AD1275" t="s">
        <v>56</v>
      </c>
      <c r="AE1275" t="s">
        <v>45</v>
      </c>
      <c r="AF1275" t="s">
        <v>40</v>
      </c>
      <c r="AG1275" t="s">
        <v>55</v>
      </c>
      <c r="AH1275" t="s">
        <v>55</v>
      </c>
      <c r="AI1275" t="s">
        <v>55</v>
      </c>
    </row>
    <row r="1276" spans="1:35" x14ac:dyDescent="0.25">
      <c r="A1276" t="s">
        <v>137</v>
      </c>
      <c r="B1276" t="s">
        <v>59</v>
      </c>
      <c r="C1276" t="s">
        <v>37</v>
      </c>
      <c r="D1276" t="s">
        <v>3934</v>
      </c>
      <c r="E1276" t="s">
        <v>39</v>
      </c>
      <c r="F1276" t="s">
        <v>133</v>
      </c>
      <c r="G1276" t="s">
        <v>47</v>
      </c>
      <c r="H1276" t="s">
        <v>206</v>
      </c>
      <c r="I1276" t="s">
        <v>40</v>
      </c>
      <c r="J1276" t="s">
        <v>3935</v>
      </c>
      <c r="K1276" t="s">
        <v>40</v>
      </c>
      <c r="L1276" t="s">
        <v>43</v>
      </c>
      <c r="M1276" t="s">
        <v>364</v>
      </c>
      <c r="N1276" t="s">
        <v>41</v>
      </c>
      <c r="O1276" t="s">
        <v>41</v>
      </c>
      <c r="P1276" t="s">
        <v>46</v>
      </c>
      <c r="Q1276" t="s">
        <v>47</v>
      </c>
      <c r="R1276" t="s">
        <v>66</v>
      </c>
      <c r="S1276" t="s">
        <v>3936</v>
      </c>
      <c r="T1276" t="s">
        <v>3142</v>
      </c>
      <c r="U1276" t="s">
        <v>40</v>
      </c>
      <c r="V1276" t="s">
        <v>52</v>
      </c>
      <c r="W1276" t="s">
        <v>59</v>
      </c>
      <c r="X1276" t="s">
        <v>129</v>
      </c>
      <c r="Y1276" t="s">
        <v>45</v>
      </c>
      <c r="Z1276" t="s">
        <v>40</v>
      </c>
      <c r="AA1276" t="s">
        <v>54</v>
      </c>
      <c r="AB1276" t="s">
        <v>41</v>
      </c>
      <c r="AC1276" t="s">
        <v>98</v>
      </c>
      <c r="AD1276" t="s">
        <v>45</v>
      </c>
      <c r="AE1276" t="s">
        <v>45</v>
      </c>
      <c r="AF1276" t="s">
        <v>92</v>
      </c>
      <c r="AG1276" t="s">
        <v>71</v>
      </c>
      <c r="AH1276" t="s">
        <v>57</v>
      </c>
      <c r="AI1276" t="s">
        <v>71</v>
      </c>
    </row>
    <row r="1277" spans="1:35" x14ac:dyDescent="0.25">
      <c r="A1277" t="s">
        <v>155</v>
      </c>
      <c r="B1277" t="s">
        <v>59</v>
      </c>
      <c r="C1277" t="s">
        <v>37</v>
      </c>
      <c r="D1277" t="s">
        <v>2364</v>
      </c>
      <c r="E1277" t="s">
        <v>62</v>
      </c>
      <c r="F1277" t="s">
        <v>45</v>
      </c>
      <c r="G1277" t="s">
        <v>45</v>
      </c>
      <c r="H1277" t="s">
        <v>228</v>
      </c>
      <c r="I1277" t="s">
        <v>40</v>
      </c>
      <c r="J1277" t="s">
        <v>3937</v>
      </c>
      <c r="K1277" t="s">
        <v>40</v>
      </c>
      <c r="L1277" t="s">
        <v>43</v>
      </c>
      <c r="M1277" t="s">
        <v>166</v>
      </c>
      <c r="N1277" t="s">
        <v>45</v>
      </c>
      <c r="O1277" t="s">
        <v>45</v>
      </c>
      <c r="P1277" t="s">
        <v>169</v>
      </c>
      <c r="Q1277" t="s">
        <v>45</v>
      </c>
      <c r="R1277" t="s">
        <v>66</v>
      </c>
      <c r="S1277" t="s">
        <v>3938</v>
      </c>
      <c r="T1277" t="s">
        <v>3939</v>
      </c>
      <c r="U1277" t="s">
        <v>41</v>
      </c>
      <c r="V1277" t="s">
        <v>52</v>
      </c>
      <c r="W1277" t="s">
        <v>59</v>
      </c>
      <c r="X1277" t="s">
        <v>53</v>
      </c>
      <c r="Y1277" t="s">
        <v>45</v>
      </c>
      <c r="Z1277" t="s">
        <v>47</v>
      </c>
      <c r="AA1277" t="s">
        <v>54</v>
      </c>
      <c r="AB1277" t="s">
        <v>55</v>
      </c>
      <c r="AC1277" t="s">
        <v>79</v>
      </c>
      <c r="AD1277" t="s">
        <v>41</v>
      </c>
      <c r="AE1277" t="s">
        <v>45</v>
      </c>
      <c r="AF1277" t="s">
        <v>41</v>
      </c>
      <c r="AG1277" t="s">
        <v>41</v>
      </c>
      <c r="AH1277" t="s">
        <v>41</v>
      </c>
      <c r="AI1277" t="s">
        <v>41</v>
      </c>
    </row>
    <row r="1278" spans="1:35" x14ac:dyDescent="0.25">
      <c r="A1278" t="s">
        <v>72</v>
      </c>
      <c r="B1278" t="s">
        <v>59</v>
      </c>
      <c r="C1278" t="s">
        <v>37</v>
      </c>
      <c r="D1278" t="s">
        <v>2164</v>
      </c>
      <c r="E1278" t="s">
        <v>39</v>
      </c>
      <c r="F1278" t="s">
        <v>91</v>
      </c>
      <c r="G1278" t="s">
        <v>41</v>
      </c>
      <c r="H1278" t="s">
        <v>206</v>
      </c>
      <c r="I1278" t="s">
        <v>40</v>
      </c>
      <c r="J1278" t="s">
        <v>3940</v>
      </c>
      <c r="K1278" t="s">
        <v>41</v>
      </c>
      <c r="L1278" t="s">
        <v>63</v>
      </c>
      <c r="M1278" t="s">
        <v>213</v>
      </c>
      <c r="N1278" t="s">
        <v>41</v>
      </c>
      <c r="O1278" t="s">
        <v>41</v>
      </c>
      <c r="P1278" t="s">
        <v>46</v>
      </c>
      <c r="Q1278" t="s">
        <v>41</v>
      </c>
      <c r="R1278" t="s">
        <v>66</v>
      </c>
      <c r="S1278" t="s">
        <v>3941</v>
      </c>
      <c r="T1278" t="s">
        <v>3942</v>
      </c>
      <c r="U1278" t="s">
        <v>40</v>
      </c>
      <c r="V1278" t="s">
        <v>52</v>
      </c>
      <c r="W1278" t="s">
        <v>59</v>
      </c>
      <c r="X1278" t="s">
        <v>129</v>
      </c>
      <c r="Y1278" t="s">
        <v>45</v>
      </c>
      <c r="Z1278" t="s">
        <v>40</v>
      </c>
      <c r="AA1278" t="s">
        <v>54</v>
      </c>
      <c r="AB1278" t="s">
        <v>41</v>
      </c>
      <c r="AC1278" t="s">
        <v>57</v>
      </c>
      <c r="AD1278" t="s">
        <v>41</v>
      </c>
      <c r="AE1278" t="s">
        <v>45</v>
      </c>
      <c r="AF1278" t="s">
        <v>57</v>
      </c>
      <c r="AG1278" t="s">
        <v>41</v>
      </c>
      <c r="AH1278" t="s">
        <v>55</v>
      </c>
      <c r="AI1278" t="s">
        <v>45</v>
      </c>
    </row>
    <row r="1279" spans="1:35" x14ac:dyDescent="0.25">
      <c r="A1279" t="s">
        <v>213</v>
      </c>
      <c r="B1279" t="s">
        <v>59</v>
      </c>
      <c r="C1279" t="s">
        <v>37</v>
      </c>
      <c r="D1279" t="s">
        <v>1959</v>
      </c>
      <c r="E1279" t="s">
        <v>62</v>
      </c>
      <c r="F1279" t="s">
        <v>41</v>
      </c>
      <c r="G1279" t="s">
        <v>47</v>
      </c>
      <c r="H1279" t="s">
        <v>87</v>
      </c>
      <c r="I1279" t="s">
        <v>40</v>
      </c>
      <c r="J1279" t="s">
        <v>3943</v>
      </c>
      <c r="K1279" t="s">
        <v>45</v>
      </c>
      <c r="L1279" t="s">
        <v>63</v>
      </c>
      <c r="M1279" t="s">
        <v>213</v>
      </c>
      <c r="N1279" t="s">
        <v>45</v>
      </c>
      <c r="O1279" t="s">
        <v>57</v>
      </c>
      <c r="P1279" t="s">
        <v>186</v>
      </c>
      <c r="Q1279" t="s">
        <v>47</v>
      </c>
      <c r="R1279" t="s">
        <v>109</v>
      </c>
      <c r="S1279" t="s">
        <v>3944</v>
      </c>
      <c r="T1279" t="s">
        <v>3945</v>
      </c>
      <c r="U1279" t="s">
        <v>71</v>
      </c>
      <c r="V1279" t="s">
        <v>52</v>
      </c>
      <c r="W1279" t="s">
        <v>36</v>
      </c>
      <c r="X1279" t="s">
        <v>125</v>
      </c>
      <c r="Y1279" t="s">
        <v>45</v>
      </c>
      <c r="Z1279" t="s">
        <v>45</v>
      </c>
      <c r="AA1279" t="s">
        <v>54</v>
      </c>
      <c r="AB1279" t="s">
        <v>40</v>
      </c>
      <c r="AC1279" t="s">
        <v>107</v>
      </c>
      <c r="AD1279" t="s">
        <v>45</v>
      </c>
      <c r="AE1279" t="s">
        <v>45</v>
      </c>
      <c r="AF1279" t="s">
        <v>41</v>
      </c>
      <c r="AG1279" t="s">
        <v>40</v>
      </c>
      <c r="AH1279" t="s">
        <v>41</v>
      </c>
      <c r="AI1279" t="s">
        <v>41</v>
      </c>
    </row>
    <row r="1280" spans="1:35" x14ac:dyDescent="0.25">
      <c r="A1280" t="s">
        <v>120</v>
      </c>
      <c r="B1280" t="s">
        <v>59</v>
      </c>
      <c r="C1280" t="s">
        <v>37</v>
      </c>
      <c r="D1280" t="s">
        <v>2298</v>
      </c>
      <c r="E1280" t="s">
        <v>62</v>
      </c>
      <c r="F1280" t="s">
        <v>70</v>
      </c>
      <c r="G1280" t="s">
        <v>45</v>
      </c>
      <c r="H1280" t="s">
        <v>42</v>
      </c>
      <c r="I1280" t="s">
        <v>40</v>
      </c>
      <c r="J1280" t="s">
        <v>3946</v>
      </c>
      <c r="K1280" t="s">
        <v>47</v>
      </c>
      <c r="L1280" t="s">
        <v>63</v>
      </c>
      <c r="M1280" t="s">
        <v>360</v>
      </c>
      <c r="N1280" t="s">
        <v>45</v>
      </c>
      <c r="O1280" t="s">
        <v>45</v>
      </c>
      <c r="P1280" t="s">
        <v>122</v>
      </c>
      <c r="Q1280" t="s">
        <v>40</v>
      </c>
      <c r="R1280" t="s">
        <v>66</v>
      </c>
      <c r="S1280" t="s">
        <v>3947</v>
      </c>
      <c r="T1280" t="s">
        <v>3948</v>
      </c>
      <c r="U1280" t="s">
        <v>71</v>
      </c>
      <c r="V1280" t="s">
        <v>52</v>
      </c>
      <c r="W1280" t="s">
        <v>36</v>
      </c>
      <c r="X1280" t="s">
        <v>98</v>
      </c>
      <c r="Y1280" t="s">
        <v>45</v>
      </c>
      <c r="Z1280" t="s">
        <v>47</v>
      </c>
      <c r="AA1280" t="s">
        <v>54</v>
      </c>
      <c r="AB1280" t="s">
        <v>40</v>
      </c>
      <c r="AC1280" t="s">
        <v>79</v>
      </c>
      <c r="AD1280" t="s">
        <v>40</v>
      </c>
      <c r="AE1280" t="s">
        <v>45</v>
      </c>
      <c r="AF1280" t="s">
        <v>92</v>
      </c>
      <c r="AG1280" t="s">
        <v>51</v>
      </c>
      <c r="AH1280" t="s">
        <v>57</v>
      </c>
      <c r="AI1280" t="s">
        <v>71</v>
      </c>
    </row>
    <row r="1281" spans="1:35" x14ac:dyDescent="0.25">
      <c r="A1281" t="s">
        <v>115</v>
      </c>
      <c r="B1281" t="s">
        <v>36</v>
      </c>
      <c r="C1281" t="s">
        <v>60</v>
      </c>
      <c r="D1281" t="s">
        <v>1258</v>
      </c>
      <c r="E1281" t="s">
        <v>62</v>
      </c>
      <c r="F1281" t="s">
        <v>40</v>
      </c>
      <c r="G1281" t="s">
        <v>41</v>
      </c>
      <c r="H1281" t="s">
        <v>87</v>
      </c>
      <c r="I1281" t="s">
        <v>40</v>
      </c>
      <c r="J1281" t="s">
        <v>3949</v>
      </c>
      <c r="K1281" t="s">
        <v>45</v>
      </c>
      <c r="L1281" t="s">
        <v>63</v>
      </c>
      <c r="M1281" t="s">
        <v>338</v>
      </c>
      <c r="N1281" t="s">
        <v>45</v>
      </c>
      <c r="O1281" t="s">
        <v>40</v>
      </c>
      <c r="P1281" t="s">
        <v>65</v>
      </c>
      <c r="Q1281" t="s">
        <v>41</v>
      </c>
      <c r="R1281" t="s">
        <v>109</v>
      </c>
      <c r="S1281" t="s">
        <v>2002</v>
      </c>
      <c r="T1281" t="s">
        <v>3950</v>
      </c>
      <c r="U1281" t="s">
        <v>40</v>
      </c>
      <c r="V1281" t="s">
        <v>52</v>
      </c>
      <c r="W1281" t="s">
        <v>36</v>
      </c>
      <c r="X1281" t="s">
        <v>92</v>
      </c>
      <c r="Y1281" t="s">
        <v>45</v>
      </c>
      <c r="Z1281" t="s">
        <v>45</v>
      </c>
      <c r="AA1281" t="s">
        <v>54</v>
      </c>
      <c r="AB1281" t="s">
        <v>45</v>
      </c>
      <c r="AC1281" t="s">
        <v>56</v>
      </c>
      <c r="AD1281" t="s">
        <v>41</v>
      </c>
      <c r="AE1281" t="s">
        <v>41</v>
      </c>
      <c r="AF1281" t="s">
        <v>57</v>
      </c>
      <c r="AG1281" t="s">
        <v>45</v>
      </c>
      <c r="AH1281" t="s">
        <v>41</v>
      </c>
      <c r="AI1281" t="s">
        <v>45</v>
      </c>
    </row>
    <row r="1282" spans="1:35" x14ac:dyDescent="0.25">
      <c r="A1282" t="s">
        <v>72</v>
      </c>
      <c r="B1282" t="s">
        <v>59</v>
      </c>
      <c r="C1282" t="s">
        <v>37</v>
      </c>
      <c r="D1282" t="s">
        <v>2913</v>
      </c>
      <c r="E1282" t="s">
        <v>397</v>
      </c>
      <c r="F1282" t="s">
        <v>51</v>
      </c>
      <c r="G1282" t="s">
        <v>41</v>
      </c>
      <c r="H1282" t="s">
        <v>74</v>
      </c>
      <c r="I1282" t="s">
        <v>40</v>
      </c>
      <c r="J1282" t="s">
        <v>3951</v>
      </c>
      <c r="K1282" t="s">
        <v>45</v>
      </c>
      <c r="L1282" t="s">
        <v>63</v>
      </c>
      <c r="M1282" t="s">
        <v>959</v>
      </c>
      <c r="N1282" t="s">
        <v>45</v>
      </c>
      <c r="O1282" t="s">
        <v>41</v>
      </c>
      <c r="P1282" t="s">
        <v>397</v>
      </c>
      <c r="Q1282" t="s">
        <v>41</v>
      </c>
      <c r="R1282" t="s">
        <v>109</v>
      </c>
      <c r="S1282" t="s">
        <v>3952</v>
      </c>
      <c r="T1282" t="s">
        <v>3953</v>
      </c>
      <c r="U1282" t="s">
        <v>41</v>
      </c>
      <c r="V1282" t="s">
        <v>52</v>
      </c>
      <c r="W1282" t="s">
        <v>59</v>
      </c>
      <c r="X1282" t="s">
        <v>98</v>
      </c>
      <c r="Y1282" t="s">
        <v>45</v>
      </c>
      <c r="Z1282" t="s">
        <v>45</v>
      </c>
      <c r="AA1282" t="s">
        <v>54</v>
      </c>
      <c r="AB1282" t="s">
        <v>55</v>
      </c>
      <c r="AC1282" t="s">
        <v>144</v>
      </c>
      <c r="AD1282" t="s">
        <v>47</v>
      </c>
      <c r="AE1282" t="s">
        <v>41</v>
      </c>
      <c r="AF1282" t="s">
        <v>70</v>
      </c>
      <c r="AG1282" t="s">
        <v>55</v>
      </c>
      <c r="AH1282" t="s">
        <v>47</v>
      </c>
      <c r="AI1282" t="s">
        <v>71</v>
      </c>
    </row>
    <row r="1283" spans="1:35" x14ac:dyDescent="0.25">
      <c r="A1283" t="s">
        <v>126</v>
      </c>
      <c r="B1283" t="s">
        <v>36</v>
      </c>
      <c r="C1283" t="s">
        <v>37</v>
      </c>
      <c r="D1283" t="s">
        <v>702</v>
      </c>
      <c r="E1283" t="s">
        <v>39</v>
      </c>
      <c r="F1283" t="s">
        <v>85</v>
      </c>
      <c r="G1283" t="s">
        <v>45</v>
      </c>
      <c r="H1283" t="s">
        <v>42</v>
      </c>
      <c r="I1283" t="s">
        <v>40</v>
      </c>
      <c r="J1283" t="s">
        <v>3954</v>
      </c>
      <c r="K1283" t="s">
        <v>45</v>
      </c>
      <c r="L1283" t="s">
        <v>63</v>
      </c>
      <c r="M1283" t="s">
        <v>130</v>
      </c>
      <c r="N1283" t="s">
        <v>45</v>
      </c>
      <c r="O1283" t="s">
        <v>41</v>
      </c>
      <c r="P1283" t="s">
        <v>46</v>
      </c>
      <c r="Q1283" t="s">
        <v>47</v>
      </c>
      <c r="R1283" t="s">
        <v>48</v>
      </c>
      <c r="S1283" t="s">
        <v>3955</v>
      </c>
      <c r="T1283" t="s">
        <v>3956</v>
      </c>
      <c r="U1283" t="s">
        <v>40</v>
      </c>
      <c r="V1283" t="s">
        <v>52</v>
      </c>
      <c r="W1283" t="s">
        <v>36</v>
      </c>
      <c r="X1283" t="s">
        <v>145</v>
      </c>
      <c r="Y1283" t="s">
        <v>45</v>
      </c>
      <c r="Z1283" t="s">
        <v>47</v>
      </c>
      <c r="AA1283" t="s">
        <v>54</v>
      </c>
      <c r="AB1283" t="s">
        <v>55</v>
      </c>
      <c r="AC1283" t="s">
        <v>70</v>
      </c>
      <c r="AD1283" t="s">
        <v>41</v>
      </c>
      <c r="AE1283" t="s">
        <v>45</v>
      </c>
      <c r="AF1283" t="s">
        <v>70</v>
      </c>
      <c r="AG1283" t="s">
        <v>71</v>
      </c>
      <c r="AH1283" t="s">
        <v>71</v>
      </c>
      <c r="AI1283" t="s">
        <v>71</v>
      </c>
    </row>
    <row r="1284" spans="1:35" x14ac:dyDescent="0.25">
      <c r="A1284" t="s">
        <v>80</v>
      </c>
      <c r="B1284" t="s">
        <v>59</v>
      </c>
      <c r="C1284" t="s">
        <v>37</v>
      </c>
      <c r="D1284" t="s">
        <v>2218</v>
      </c>
      <c r="E1284" t="s">
        <v>62</v>
      </c>
      <c r="F1284" t="s">
        <v>51</v>
      </c>
      <c r="G1284" t="s">
        <v>47</v>
      </c>
      <c r="H1284" t="s">
        <v>42</v>
      </c>
      <c r="I1284" t="s">
        <v>40</v>
      </c>
      <c r="J1284" t="s">
        <v>3957</v>
      </c>
      <c r="K1284" t="s">
        <v>47</v>
      </c>
      <c r="L1284" t="s">
        <v>63</v>
      </c>
      <c r="M1284" t="s">
        <v>360</v>
      </c>
      <c r="N1284" t="s">
        <v>47</v>
      </c>
      <c r="O1284" t="s">
        <v>40</v>
      </c>
      <c r="P1284" t="s">
        <v>65</v>
      </c>
      <c r="Q1284" t="s">
        <v>40</v>
      </c>
      <c r="R1284" t="s">
        <v>66</v>
      </c>
      <c r="S1284" t="s">
        <v>3958</v>
      </c>
      <c r="T1284" t="s">
        <v>3959</v>
      </c>
      <c r="U1284" t="s">
        <v>56</v>
      </c>
      <c r="V1284" t="s">
        <v>52</v>
      </c>
      <c r="W1284" t="s">
        <v>59</v>
      </c>
      <c r="X1284" t="s">
        <v>144</v>
      </c>
      <c r="Y1284" t="s">
        <v>45</v>
      </c>
      <c r="Z1284" t="s">
        <v>41</v>
      </c>
      <c r="AA1284" t="s">
        <v>54</v>
      </c>
      <c r="AB1284" t="s">
        <v>40</v>
      </c>
      <c r="AC1284" t="s">
        <v>129</v>
      </c>
      <c r="AD1284" t="s">
        <v>40</v>
      </c>
      <c r="AE1284" t="s">
        <v>45</v>
      </c>
      <c r="AF1284" t="s">
        <v>70</v>
      </c>
      <c r="AG1284" t="s">
        <v>51</v>
      </c>
      <c r="AH1284" t="s">
        <v>71</v>
      </c>
      <c r="AI1284" t="s">
        <v>56</v>
      </c>
    </row>
    <row r="1285" spans="1:35" x14ac:dyDescent="0.25">
      <c r="A1285" t="s">
        <v>149</v>
      </c>
      <c r="B1285" t="s">
        <v>59</v>
      </c>
      <c r="C1285" t="s">
        <v>37</v>
      </c>
      <c r="D1285" t="s">
        <v>664</v>
      </c>
      <c r="E1285" t="s">
        <v>62</v>
      </c>
      <c r="F1285" t="s">
        <v>40</v>
      </c>
      <c r="G1285" t="s">
        <v>45</v>
      </c>
      <c r="H1285" t="s">
        <v>42</v>
      </c>
      <c r="I1285" t="s">
        <v>40</v>
      </c>
      <c r="J1285" t="s">
        <v>3960</v>
      </c>
      <c r="K1285" t="s">
        <v>45</v>
      </c>
      <c r="L1285" t="s">
        <v>63</v>
      </c>
      <c r="M1285" t="s">
        <v>181</v>
      </c>
      <c r="N1285" t="s">
        <v>45</v>
      </c>
      <c r="O1285" t="s">
        <v>40</v>
      </c>
      <c r="P1285" t="s">
        <v>65</v>
      </c>
      <c r="Q1285" t="s">
        <v>47</v>
      </c>
      <c r="R1285" t="s">
        <v>66</v>
      </c>
      <c r="S1285" t="s">
        <v>2321</v>
      </c>
      <c r="T1285" t="s">
        <v>3961</v>
      </c>
      <c r="U1285" t="s">
        <v>40</v>
      </c>
      <c r="V1285" t="s">
        <v>52</v>
      </c>
      <c r="W1285" t="s">
        <v>59</v>
      </c>
      <c r="X1285" t="s">
        <v>53</v>
      </c>
      <c r="Y1285" t="s">
        <v>45</v>
      </c>
      <c r="Z1285" t="s">
        <v>45</v>
      </c>
      <c r="AA1285" t="s">
        <v>54</v>
      </c>
      <c r="AB1285" t="s">
        <v>40</v>
      </c>
      <c r="AC1285" t="s">
        <v>57</v>
      </c>
      <c r="AD1285" t="s">
        <v>56</v>
      </c>
      <c r="AE1285" t="s">
        <v>47</v>
      </c>
      <c r="AF1285" t="s">
        <v>57</v>
      </c>
      <c r="AG1285" t="s">
        <v>45</v>
      </c>
      <c r="AH1285" t="s">
        <v>55</v>
      </c>
      <c r="AI1285" t="s">
        <v>45</v>
      </c>
    </row>
    <row r="1286" spans="1:35" x14ac:dyDescent="0.25">
      <c r="A1286" t="s">
        <v>218</v>
      </c>
      <c r="B1286" t="s">
        <v>59</v>
      </c>
      <c r="C1286" t="s">
        <v>37</v>
      </c>
      <c r="D1286" t="s">
        <v>3962</v>
      </c>
      <c r="E1286" t="s">
        <v>62</v>
      </c>
      <c r="F1286" t="s">
        <v>70</v>
      </c>
      <c r="G1286" t="s">
        <v>40</v>
      </c>
      <c r="H1286" t="s">
        <v>87</v>
      </c>
      <c r="I1286" t="s">
        <v>40</v>
      </c>
      <c r="J1286" t="s">
        <v>3963</v>
      </c>
      <c r="K1286" t="s">
        <v>45</v>
      </c>
      <c r="L1286" t="s">
        <v>63</v>
      </c>
      <c r="M1286" t="s">
        <v>296</v>
      </c>
      <c r="N1286" t="s">
        <v>45</v>
      </c>
      <c r="O1286" t="s">
        <v>45</v>
      </c>
      <c r="P1286" t="s">
        <v>186</v>
      </c>
      <c r="Q1286" t="s">
        <v>45</v>
      </c>
      <c r="R1286" t="s">
        <v>48</v>
      </c>
      <c r="S1286" t="s">
        <v>3964</v>
      </c>
      <c r="T1286" t="s">
        <v>3965</v>
      </c>
      <c r="U1286" t="s">
        <v>71</v>
      </c>
      <c r="V1286" t="s">
        <v>52</v>
      </c>
      <c r="W1286" t="s">
        <v>59</v>
      </c>
      <c r="X1286" t="s">
        <v>119</v>
      </c>
      <c r="Y1286" t="s">
        <v>47</v>
      </c>
      <c r="Z1286" t="s">
        <v>45</v>
      </c>
      <c r="AA1286" t="s">
        <v>54</v>
      </c>
      <c r="AB1286" t="s">
        <v>55</v>
      </c>
      <c r="AC1286" t="s">
        <v>91</v>
      </c>
      <c r="AD1286" t="s">
        <v>45</v>
      </c>
      <c r="AE1286" t="s">
        <v>45</v>
      </c>
      <c r="AF1286" t="s">
        <v>47</v>
      </c>
      <c r="AG1286" t="s">
        <v>45</v>
      </c>
      <c r="AH1286" t="s">
        <v>41</v>
      </c>
      <c r="AI1286" t="s">
        <v>41</v>
      </c>
    </row>
    <row r="1287" spans="1:35" x14ac:dyDescent="0.25">
      <c r="A1287" t="s">
        <v>213</v>
      </c>
      <c r="B1287" t="s">
        <v>59</v>
      </c>
      <c r="C1287" t="s">
        <v>161</v>
      </c>
      <c r="D1287" t="s">
        <v>1234</v>
      </c>
      <c r="E1287" t="s">
        <v>39</v>
      </c>
      <c r="F1287" t="s">
        <v>139</v>
      </c>
      <c r="G1287" t="s">
        <v>41</v>
      </c>
      <c r="H1287" t="s">
        <v>42</v>
      </c>
      <c r="I1287" t="s">
        <v>40</v>
      </c>
      <c r="J1287" t="s">
        <v>3966</v>
      </c>
      <c r="K1287" t="s">
        <v>41</v>
      </c>
      <c r="L1287" t="s">
        <v>63</v>
      </c>
      <c r="M1287" t="s">
        <v>284</v>
      </c>
      <c r="N1287" t="s">
        <v>41</v>
      </c>
      <c r="O1287" t="s">
        <v>41</v>
      </c>
      <c r="P1287" t="s">
        <v>46</v>
      </c>
      <c r="Q1287" t="s">
        <v>41</v>
      </c>
      <c r="R1287" t="s">
        <v>48</v>
      </c>
      <c r="S1287" t="s">
        <v>3967</v>
      </c>
      <c r="T1287" t="s">
        <v>3968</v>
      </c>
      <c r="U1287" t="s">
        <v>51</v>
      </c>
      <c r="V1287" t="s">
        <v>52</v>
      </c>
      <c r="W1287" t="s">
        <v>59</v>
      </c>
      <c r="X1287" t="s">
        <v>79</v>
      </c>
      <c r="Y1287" t="s">
        <v>45</v>
      </c>
      <c r="Z1287" t="s">
        <v>45</v>
      </c>
      <c r="AA1287" t="s">
        <v>54</v>
      </c>
      <c r="AB1287" t="s">
        <v>55</v>
      </c>
      <c r="AC1287" t="s">
        <v>56</v>
      </c>
      <c r="AD1287" t="s">
        <v>45</v>
      </c>
      <c r="AE1287" t="s">
        <v>45</v>
      </c>
      <c r="AF1287" t="s">
        <v>41</v>
      </c>
      <c r="AG1287" t="s">
        <v>41</v>
      </c>
      <c r="AH1287" t="s">
        <v>41</v>
      </c>
      <c r="AI1287" t="s">
        <v>41</v>
      </c>
    </row>
    <row r="1288" spans="1:35" x14ac:dyDescent="0.25">
      <c r="A1288" t="s">
        <v>88</v>
      </c>
      <c r="B1288" t="s">
        <v>59</v>
      </c>
      <c r="C1288" t="s">
        <v>37</v>
      </c>
      <c r="D1288" t="s">
        <v>1726</v>
      </c>
      <c r="E1288" t="s">
        <v>62</v>
      </c>
      <c r="F1288" t="s">
        <v>41</v>
      </c>
      <c r="G1288" t="s">
        <v>41</v>
      </c>
      <c r="H1288" t="s">
        <v>42</v>
      </c>
      <c r="I1288" t="s">
        <v>40</v>
      </c>
      <c r="J1288" t="s">
        <v>3969</v>
      </c>
      <c r="K1288" t="s">
        <v>45</v>
      </c>
      <c r="L1288" t="s">
        <v>43</v>
      </c>
      <c r="M1288" t="s">
        <v>338</v>
      </c>
      <c r="N1288" t="s">
        <v>45</v>
      </c>
      <c r="O1288" t="s">
        <v>40</v>
      </c>
      <c r="P1288" t="s">
        <v>76</v>
      </c>
      <c r="Q1288" t="s">
        <v>40</v>
      </c>
      <c r="R1288" t="s">
        <v>66</v>
      </c>
      <c r="S1288" t="s">
        <v>3970</v>
      </c>
      <c r="T1288" t="s">
        <v>3971</v>
      </c>
      <c r="U1288" t="s">
        <v>47</v>
      </c>
      <c r="V1288" t="s">
        <v>52</v>
      </c>
      <c r="W1288" t="s">
        <v>59</v>
      </c>
      <c r="X1288" t="s">
        <v>125</v>
      </c>
      <c r="Y1288" t="s">
        <v>45</v>
      </c>
      <c r="Z1288" t="s">
        <v>47</v>
      </c>
      <c r="AA1288" t="s">
        <v>54</v>
      </c>
      <c r="AB1288" t="s">
        <v>40</v>
      </c>
      <c r="AC1288" t="s">
        <v>71</v>
      </c>
      <c r="AD1288" t="s">
        <v>57</v>
      </c>
      <c r="AE1288" t="s">
        <v>41</v>
      </c>
      <c r="AF1288" t="s">
        <v>47</v>
      </c>
      <c r="AG1288" t="s">
        <v>45</v>
      </c>
      <c r="AH1288" t="s">
        <v>55</v>
      </c>
      <c r="AI1288" t="s">
        <v>41</v>
      </c>
    </row>
    <row r="1289" spans="1:35" x14ac:dyDescent="0.25">
      <c r="A1289" t="s">
        <v>204</v>
      </c>
      <c r="B1289" t="s">
        <v>59</v>
      </c>
      <c r="C1289" t="s">
        <v>37</v>
      </c>
      <c r="D1289" t="s">
        <v>2734</v>
      </c>
      <c r="E1289" t="s">
        <v>62</v>
      </c>
      <c r="F1289" t="s">
        <v>98</v>
      </c>
      <c r="G1289" t="s">
        <v>45</v>
      </c>
      <c r="H1289" t="s">
        <v>87</v>
      </c>
      <c r="I1289" t="s">
        <v>40</v>
      </c>
      <c r="J1289" t="s">
        <v>3972</v>
      </c>
      <c r="K1289" t="s">
        <v>41</v>
      </c>
      <c r="L1289" t="s">
        <v>63</v>
      </c>
      <c r="M1289" t="s">
        <v>349</v>
      </c>
      <c r="N1289" t="s">
        <v>47</v>
      </c>
      <c r="O1289" t="s">
        <v>41</v>
      </c>
      <c r="P1289" t="s">
        <v>122</v>
      </c>
      <c r="Q1289" t="s">
        <v>40</v>
      </c>
      <c r="R1289" t="s">
        <v>66</v>
      </c>
      <c r="S1289" t="s">
        <v>3973</v>
      </c>
      <c r="T1289" t="s">
        <v>3974</v>
      </c>
      <c r="U1289" t="s">
        <v>57</v>
      </c>
      <c r="V1289" t="s">
        <v>52</v>
      </c>
      <c r="W1289" t="s">
        <v>59</v>
      </c>
      <c r="X1289" t="s">
        <v>145</v>
      </c>
      <c r="Y1289" t="s">
        <v>45</v>
      </c>
      <c r="Z1289" t="s">
        <v>45</v>
      </c>
      <c r="AA1289" t="s">
        <v>54</v>
      </c>
      <c r="AB1289" t="s">
        <v>41</v>
      </c>
      <c r="AC1289" t="s">
        <v>70</v>
      </c>
      <c r="AD1289" t="s">
        <v>41</v>
      </c>
      <c r="AE1289" t="s">
        <v>41</v>
      </c>
      <c r="AF1289" t="s">
        <v>55</v>
      </c>
      <c r="AG1289" t="s">
        <v>55</v>
      </c>
      <c r="AH1289" t="s">
        <v>55</v>
      </c>
      <c r="AI1289" t="s">
        <v>55</v>
      </c>
    </row>
    <row r="1290" spans="1:35" x14ac:dyDescent="0.25">
      <c r="A1290" t="s">
        <v>126</v>
      </c>
      <c r="B1290" t="s">
        <v>59</v>
      </c>
      <c r="C1290" t="s">
        <v>161</v>
      </c>
      <c r="D1290" t="s">
        <v>862</v>
      </c>
      <c r="E1290" t="s">
        <v>62</v>
      </c>
      <c r="F1290" t="s">
        <v>41</v>
      </c>
      <c r="G1290" t="s">
        <v>41</v>
      </c>
      <c r="H1290" t="s">
        <v>87</v>
      </c>
      <c r="I1290" t="s">
        <v>40</v>
      </c>
      <c r="J1290" t="s">
        <v>3975</v>
      </c>
      <c r="K1290" t="s">
        <v>41</v>
      </c>
      <c r="L1290" t="s">
        <v>63</v>
      </c>
      <c r="M1290" t="s">
        <v>360</v>
      </c>
      <c r="N1290" t="s">
        <v>45</v>
      </c>
      <c r="O1290" t="s">
        <v>41</v>
      </c>
      <c r="P1290" t="s">
        <v>116</v>
      </c>
      <c r="Q1290" t="s">
        <v>47</v>
      </c>
      <c r="R1290" t="s">
        <v>109</v>
      </c>
      <c r="S1290" t="s">
        <v>3976</v>
      </c>
      <c r="T1290" t="s">
        <v>3977</v>
      </c>
      <c r="U1290" t="s">
        <v>41</v>
      </c>
      <c r="V1290" t="s">
        <v>52</v>
      </c>
      <c r="W1290" t="s">
        <v>59</v>
      </c>
      <c r="X1290" t="s">
        <v>129</v>
      </c>
      <c r="Y1290" t="s">
        <v>45</v>
      </c>
      <c r="Z1290" t="s">
        <v>45</v>
      </c>
      <c r="AA1290" t="s">
        <v>54</v>
      </c>
      <c r="AB1290" t="s">
        <v>40</v>
      </c>
      <c r="AC1290" t="s">
        <v>79</v>
      </c>
      <c r="AD1290" t="s">
        <v>56</v>
      </c>
      <c r="AE1290" t="s">
        <v>45</v>
      </c>
      <c r="AF1290" t="s">
        <v>71</v>
      </c>
      <c r="AG1290" t="s">
        <v>71</v>
      </c>
      <c r="AH1290" t="s">
        <v>40</v>
      </c>
      <c r="AI1290" t="s">
        <v>71</v>
      </c>
    </row>
    <row r="1291" spans="1:35" x14ac:dyDescent="0.25">
      <c r="A1291" t="s">
        <v>113</v>
      </c>
      <c r="B1291" t="s">
        <v>59</v>
      </c>
      <c r="C1291" t="s">
        <v>161</v>
      </c>
      <c r="D1291" t="s">
        <v>3089</v>
      </c>
      <c r="E1291" t="s">
        <v>397</v>
      </c>
      <c r="F1291" t="s">
        <v>41</v>
      </c>
      <c r="G1291" t="s">
        <v>45</v>
      </c>
      <c r="H1291" t="s">
        <v>397</v>
      </c>
      <c r="I1291" t="s">
        <v>40</v>
      </c>
      <c r="J1291" t="s">
        <v>3978</v>
      </c>
      <c r="K1291" t="s">
        <v>40</v>
      </c>
      <c r="L1291" t="s">
        <v>63</v>
      </c>
      <c r="M1291" t="s">
        <v>385</v>
      </c>
      <c r="N1291" t="s">
        <v>45</v>
      </c>
      <c r="O1291" t="s">
        <v>40</v>
      </c>
      <c r="P1291" t="s">
        <v>397</v>
      </c>
      <c r="Q1291" t="s">
        <v>41</v>
      </c>
      <c r="R1291" t="s">
        <v>109</v>
      </c>
      <c r="S1291" t="s">
        <v>3979</v>
      </c>
      <c r="T1291" t="s">
        <v>3980</v>
      </c>
      <c r="U1291" t="s">
        <v>57</v>
      </c>
      <c r="V1291" t="s">
        <v>52</v>
      </c>
      <c r="W1291" t="s">
        <v>59</v>
      </c>
      <c r="X1291" t="s">
        <v>98</v>
      </c>
      <c r="Y1291" t="s">
        <v>45</v>
      </c>
      <c r="Z1291" t="s">
        <v>47</v>
      </c>
      <c r="AA1291" t="s">
        <v>54</v>
      </c>
      <c r="AB1291" t="s">
        <v>45</v>
      </c>
      <c r="AC1291" t="s">
        <v>98</v>
      </c>
      <c r="AD1291" t="s">
        <v>45</v>
      </c>
      <c r="AE1291" t="s">
        <v>45</v>
      </c>
      <c r="AF1291" t="s">
        <v>53</v>
      </c>
      <c r="AG1291" t="s">
        <v>70</v>
      </c>
      <c r="AH1291" t="s">
        <v>45</v>
      </c>
      <c r="AI1291" t="s">
        <v>51</v>
      </c>
    </row>
    <row r="1292" spans="1:35" x14ac:dyDescent="0.25">
      <c r="A1292" t="s">
        <v>142</v>
      </c>
      <c r="B1292" t="s">
        <v>36</v>
      </c>
      <c r="C1292" t="s">
        <v>60</v>
      </c>
      <c r="D1292" t="s">
        <v>3981</v>
      </c>
      <c r="E1292" t="s">
        <v>62</v>
      </c>
      <c r="F1292" t="s">
        <v>91</v>
      </c>
      <c r="G1292" t="s">
        <v>47</v>
      </c>
      <c r="H1292" t="s">
        <v>42</v>
      </c>
      <c r="I1292" t="s">
        <v>40</v>
      </c>
      <c r="J1292" t="s">
        <v>3982</v>
      </c>
      <c r="K1292" t="s">
        <v>47</v>
      </c>
      <c r="L1292" t="s">
        <v>63</v>
      </c>
      <c r="M1292" t="s">
        <v>146</v>
      </c>
      <c r="N1292" t="s">
        <v>45</v>
      </c>
      <c r="O1292" t="s">
        <v>41</v>
      </c>
      <c r="P1292" t="s">
        <v>76</v>
      </c>
      <c r="Q1292" t="s">
        <v>40</v>
      </c>
      <c r="R1292" t="s">
        <v>66</v>
      </c>
      <c r="S1292" t="s">
        <v>2824</v>
      </c>
      <c r="T1292" t="s">
        <v>3983</v>
      </c>
      <c r="U1292" t="s">
        <v>47</v>
      </c>
      <c r="V1292" t="s">
        <v>52</v>
      </c>
      <c r="W1292" t="s">
        <v>59</v>
      </c>
      <c r="X1292" t="s">
        <v>125</v>
      </c>
      <c r="Y1292" t="s">
        <v>45</v>
      </c>
      <c r="Z1292" t="s">
        <v>45</v>
      </c>
      <c r="AA1292" t="s">
        <v>54</v>
      </c>
      <c r="AB1292" t="s">
        <v>40</v>
      </c>
      <c r="AC1292" t="s">
        <v>53</v>
      </c>
      <c r="AD1292" t="s">
        <v>45</v>
      </c>
      <c r="AE1292" t="s">
        <v>41</v>
      </c>
      <c r="AF1292" t="s">
        <v>71</v>
      </c>
      <c r="AG1292" t="s">
        <v>40</v>
      </c>
      <c r="AH1292" t="s">
        <v>55</v>
      </c>
      <c r="AI1292" t="s">
        <v>71</v>
      </c>
    </row>
    <row r="1293" spans="1:35" x14ac:dyDescent="0.25">
      <c r="A1293" t="s">
        <v>72</v>
      </c>
      <c r="B1293" t="s">
        <v>36</v>
      </c>
      <c r="C1293" t="s">
        <v>37</v>
      </c>
      <c r="D1293" t="s">
        <v>3747</v>
      </c>
      <c r="E1293" t="s">
        <v>62</v>
      </c>
      <c r="F1293" t="s">
        <v>70</v>
      </c>
      <c r="G1293" t="s">
        <v>47</v>
      </c>
      <c r="H1293" t="s">
        <v>87</v>
      </c>
      <c r="I1293" t="s">
        <v>40</v>
      </c>
      <c r="J1293" t="s">
        <v>3984</v>
      </c>
      <c r="K1293" t="s">
        <v>47</v>
      </c>
      <c r="L1293" t="s">
        <v>63</v>
      </c>
      <c r="M1293" t="s">
        <v>197</v>
      </c>
      <c r="N1293" t="s">
        <v>45</v>
      </c>
      <c r="O1293" t="s">
        <v>41</v>
      </c>
      <c r="P1293" t="s">
        <v>116</v>
      </c>
      <c r="Q1293" t="s">
        <v>40</v>
      </c>
      <c r="R1293" t="s">
        <v>48</v>
      </c>
      <c r="S1293" t="s">
        <v>3985</v>
      </c>
      <c r="T1293" t="s">
        <v>3986</v>
      </c>
      <c r="U1293" t="s">
        <v>40</v>
      </c>
      <c r="V1293" t="s">
        <v>52</v>
      </c>
      <c r="W1293" t="s">
        <v>59</v>
      </c>
      <c r="X1293" t="s">
        <v>79</v>
      </c>
      <c r="Y1293" t="s">
        <v>45</v>
      </c>
      <c r="Z1293" t="s">
        <v>41</v>
      </c>
      <c r="AA1293" t="s">
        <v>54</v>
      </c>
      <c r="AB1293" t="s">
        <v>55</v>
      </c>
      <c r="AC1293" t="s">
        <v>70</v>
      </c>
      <c r="AD1293" t="s">
        <v>47</v>
      </c>
      <c r="AE1293" t="s">
        <v>40</v>
      </c>
      <c r="AF1293" t="s">
        <v>70</v>
      </c>
      <c r="AG1293" t="s">
        <v>45</v>
      </c>
      <c r="AH1293" t="s">
        <v>55</v>
      </c>
      <c r="AI1293" t="s">
        <v>51</v>
      </c>
    </row>
    <row r="1294" spans="1:35" x14ac:dyDescent="0.25">
      <c r="A1294" t="s">
        <v>218</v>
      </c>
      <c r="B1294" t="s">
        <v>59</v>
      </c>
      <c r="C1294" t="s">
        <v>60</v>
      </c>
      <c r="D1294" t="s">
        <v>2008</v>
      </c>
      <c r="E1294" t="s">
        <v>39</v>
      </c>
      <c r="F1294" t="s">
        <v>104</v>
      </c>
      <c r="G1294" t="s">
        <v>45</v>
      </c>
      <c r="H1294" t="s">
        <v>42</v>
      </c>
      <c r="I1294" t="s">
        <v>40</v>
      </c>
      <c r="J1294" t="s">
        <v>3987</v>
      </c>
      <c r="K1294" t="s">
        <v>45</v>
      </c>
      <c r="L1294" t="s">
        <v>63</v>
      </c>
      <c r="M1294" t="s">
        <v>193</v>
      </c>
      <c r="N1294" t="s">
        <v>45</v>
      </c>
      <c r="O1294" t="s">
        <v>41</v>
      </c>
      <c r="P1294" t="s">
        <v>46</v>
      </c>
      <c r="Q1294" t="s">
        <v>47</v>
      </c>
      <c r="R1294" t="s">
        <v>109</v>
      </c>
      <c r="S1294" t="s">
        <v>3988</v>
      </c>
      <c r="T1294" t="s">
        <v>3989</v>
      </c>
      <c r="U1294" t="s">
        <v>41</v>
      </c>
      <c r="V1294" t="s">
        <v>52</v>
      </c>
      <c r="W1294" t="s">
        <v>59</v>
      </c>
      <c r="X1294" t="s">
        <v>145</v>
      </c>
      <c r="Y1294" t="s">
        <v>45</v>
      </c>
      <c r="Z1294" t="s">
        <v>47</v>
      </c>
      <c r="AA1294" t="s">
        <v>54</v>
      </c>
      <c r="AB1294" t="s">
        <v>40</v>
      </c>
      <c r="AC1294" t="s">
        <v>71</v>
      </c>
      <c r="AD1294" t="s">
        <v>56</v>
      </c>
      <c r="AE1294" t="s">
        <v>45</v>
      </c>
      <c r="AF1294" t="s">
        <v>41</v>
      </c>
      <c r="AG1294" t="s">
        <v>40</v>
      </c>
      <c r="AH1294" t="s">
        <v>41</v>
      </c>
      <c r="AI1294" t="s">
        <v>41</v>
      </c>
    </row>
    <row r="1295" spans="1:35" x14ac:dyDescent="0.25">
      <c r="A1295" t="s">
        <v>234</v>
      </c>
      <c r="B1295" t="s">
        <v>59</v>
      </c>
      <c r="C1295" t="s">
        <v>161</v>
      </c>
      <c r="D1295" t="s">
        <v>1033</v>
      </c>
      <c r="E1295" t="s">
        <v>62</v>
      </c>
      <c r="F1295" t="s">
        <v>91</v>
      </c>
      <c r="G1295" t="s">
        <v>45</v>
      </c>
      <c r="H1295" t="s">
        <v>42</v>
      </c>
      <c r="I1295" t="s">
        <v>40</v>
      </c>
      <c r="J1295" t="s">
        <v>3990</v>
      </c>
      <c r="K1295" t="s">
        <v>40</v>
      </c>
      <c r="L1295" t="s">
        <v>63</v>
      </c>
      <c r="M1295" t="s">
        <v>251</v>
      </c>
      <c r="N1295" t="s">
        <v>45</v>
      </c>
      <c r="O1295" t="s">
        <v>40</v>
      </c>
      <c r="P1295" t="s">
        <v>65</v>
      </c>
      <c r="Q1295" t="s">
        <v>45</v>
      </c>
      <c r="R1295" t="s">
        <v>48</v>
      </c>
      <c r="S1295" t="s">
        <v>3991</v>
      </c>
      <c r="T1295" t="s">
        <v>3992</v>
      </c>
      <c r="U1295" t="s">
        <v>47</v>
      </c>
      <c r="V1295" t="s">
        <v>52</v>
      </c>
      <c r="W1295" t="s">
        <v>59</v>
      </c>
      <c r="X1295" t="s">
        <v>98</v>
      </c>
      <c r="Y1295" t="s">
        <v>45</v>
      </c>
      <c r="Z1295" t="s">
        <v>45</v>
      </c>
      <c r="AA1295" t="s">
        <v>54</v>
      </c>
      <c r="AB1295" t="s">
        <v>55</v>
      </c>
      <c r="AC1295" t="s">
        <v>71</v>
      </c>
      <c r="AD1295" t="s">
        <v>41</v>
      </c>
      <c r="AE1295" t="s">
        <v>41</v>
      </c>
      <c r="AF1295" t="s">
        <v>45</v>
      </c>
      <c r="AG1295" t="s">
        <v>41</v>
      </c>
      <c r="AH1295" t="s">
        <v>40</v>
      </c>
      <c r="AI1295" t="s">
        <v>41</v>
      </c>
    </row>
    <row r="1296" spans="1:35" x14ac:dyDescent="0.25">
      <c r="A1296" t="s">
        <v>35</v>
      </c>
      <c r="B1296" t="s">
        <v>59</v>
      </c>
      <c r="C1296" t="s">
        <v>37</v>
      </c>
      <c r="D1296" t="s">
        <v>1308</v>
      </c>
      <c r="E1296" t="s">
        <v>62</v>
      </c>
      <c r="F1296" t="s">
        <v>57</v>
      </c>
      <c r="G1296" t="s">
        <v>45</v>
      </c>
      <c r="H1296" t="s">
        <v>42</v>
      </c>
      <c r="I1296" t="s">
        <v>40</v>
      </c>
      <c r="J1296" t="s">
        <v>3993</v>
      </c>
      <c r="K1296" t="s">
        <v>41</v>
      </c>
      <c r="L1296" t="s">
        <v>63</v>
      </c>
      <c r="M1296" t="s">
        <v>348</v>
      </c>
      <c r="N1296" t="s">
        <v>47</v>
      </c>
      <c r="O1296" t="s">
        <v>41</v>
      </c>
      <c r="P1296" t="s">
        <v>122</v>
      </c>
      <c r="Q1296" t="s">
        <v>41</v>
      </c>
      <c r="R1296" t="s">
        <v>48</v>
      </c>
      <c r="S1296" t="s">
        <v>3994</v>
      </c>
      <c r="T1296" t="s">
        <v>3995</v>
      </c>
      <c r="U1296" t="s">
        <v>45</v>
      </c>
      <c r="V1296" t="s">
        <v>52</v>
      </c>
      <c r="W1296" t="s">
        <v>59</v>
      </c>
      <c r="X1296" t="s">
        <v>92</v>
      </c>
      <c r="Y1296" t="s">
        <v>45</v>
      </c>
      <c r="Z1296" t="s">
        <v>40</v>
      </c>
      <c r="AA1296" t="s">
        <v>54</v>
      </c>
      <c r="AB1296" t="s">
        <v>55</v>
      </c>
      <c r="AC1296" t="s">
        <v>53</v>
      </c>
      <c r="AD1296" t="s">
        <v>45</v>
      </c>
      <c r="AE1296" t="s">
        <v>40</v>
      </c>
      <c r="AF1296" t="s">
        <v>45</v>
      </c>
      <c r="AG1296" t="s">
        <v>41</v>
      </c>
      <c r="AH1296" t="s">
        <v>40</v>
      </c>
      <c r="AI1296" t="s">
        <v>41</v>
      </c>
    </row>
    <row r="1297" spans="1:35" x14ac:dyDescent="0.25">
      <c r="A1297" t="s">
        <v>35</v>
      </c>
      <c r="B1297" t="s">
        <v>59</v>
      </c>
      <c r="C1297" t="s">
        <v>37</v>
      </c>
      <c r="D1297" t="s">
        <v>2064</v>
      </c>
      <c r="E1297" t="s">
        <v>39</v>
      </c>
      <c r="F1297" t="s">
        <v>47</v>
      </c>
      <c r="G1297" t="s">
        <v>40</v>
      </c>
      <c r="H1297" t="s">
        <v>206</v>
      </c>
      <c r="I1297" t="s">
        <v>40</v>
      </c>
      <c r="J1297" t="s">
        <v>3996</v>
      </c>
      <c r="K1297" t="s">
        <v>45</v>
      </c>
      <c r="L1297" t="s">
        <v>43</v>
      </c>
      <c r="M1297" t="s">
        <v>101</v>
      </c>
      <c r="N1297" t="s">
        <v>45</v>
      </c>
      <c r="O1297" t="s">
        <v>45</v>
      </c>
      <c r="P1297" t="s">
        <v>46</v>
      </c>
      <c r="Q1297" t="s">
        <v>45</v>
      </c>
      <c r="R1297" t="s">
        <v>109</v>
      </c>
      <c r="S1297" t="s">
        <v>3997</v>
      </c>
      <c r="T1297" t="s">
        <v>3998</v>
      </c>
      <c r="U1297" t="s">
        <v>55</v>
      </c>
      <c r="V1297" t="s">
        <v>52</v>
      </c>
      <c r="W1297" t="s">
        <v>36</v>
      </c>
      <c r="X1297" t="s">
        <v>98</v>
      </c>
      <c r="Y1297" t="s">
        <v>45</v>
      </c>
      <c r="Z1297" t="s">
        <v>47</v>
      </c>
      <c r="AA1297" t="s">
        <v>54</v>
      </c>
      <c r="AB1297" t="s">
        <v>40</v>
      </c>
      <c r="AC1297" t="s">
        <v>69</v>
      </c>
      <c r="AD1297" t="s">
        <v>45</v>
      </c>
      <c r="AE1297" t="s">
        <v>47</v>
      </c>
      <c r="AF1297" t="s">
        <v>112</v>
      </c>
      <c r="AG1297" t="s">
        <v>129</v>
      </c>
      <c r="AH1297" t="s">
        <v>98</v>
      </c>
      <c r="AI1297" t="s">
        <v>57</v>
      </c>
    </row>
    <row r="1298" spans="1:35" x14ac:dyDescent="0.25">
      <c r="A1298" t="s">
        <v>105</v>
      </c>
      <c r="B1298" t="s">
        <v>59</v>
      </c>
      <c r="C1298" t="s">
        <v>37</v>
      </c>
      <c r="D1298" t="s">
        <v>2097</v>
      </c>
      <c r="E1298" t="s">
        <v>62</v>
      </c>
      <c r="F1298" t="s">
        <v>70</v>
      </c>
      <c r="G1298" t="s">
        <v>45</v>
      </c>
      <c r="H1298" t="s">
        <v>87</v>
      </c>
      <c r="I1298" t="s">
        <v>40</v>
      </c>
      <c r="J1298" t="s">
        <v>3999</v>
      </c>
      <c r="K1298" t="s">
        <v>40</v>
      </c>
      <c r="L1298" t="s">
        <v>43</v>
      </c>
      <c r="M1298" t="s">
        <v>292</v>
      </c>
      <c r="N1298" t="s">
        <v>45</v>
      </c>
      <c r="O1298" t="s">
        <v>45</v>
      </c>
      <c r="P1298" t="s">
        <v>116</v>
      </c>
      <c r="Q1298" t="s">
        <v>45</v>
      </c>
      <c r="R1298" t="s">
        <v>48</v>
      </c>
      <c r="S1298" t="s">
        <v>4000</v>
      </c>
      <c r="T1298" t="s">
        <v>4001</v>
      </c>
      <c r="U1298" t="s">
        <v>91</v>
      </c>
      <c r="V1298" t="s">
        <v>52</v>
      </c>
      <c r="W1298" t="s">
        <v>59</v>
      </c>
      <c r="X1298" t="s">
        <v>129</v>
      </c>
      <c r="Y1298" t="s">
        <v>45</v>
      </c>
      <c r="Z1298" t="s">
        <v>41</v>
      </c>
      <c r="AA1298" t="s">
        <v>54</v>
      </c>
      <c r="AB1298" t="s">
        <v>55</v>
      </c>
      <c r="AC1298" t="s">
        <v>91</v>
      </c>
      <c r="AD1298" t="s">
        <v>45</v>
      </c>
      <c r="AE1298" t="s">
        <v>45</v>
      </c>
      <c r="AF1298" t="s">
        <v>71</v>
      </c>
      <c r="AG1298" t="s">
        <v>71</v>
      </c>
      <c r="AH1298" t="s">
        <v>55</v>
      </c>
      <c r="AI1298" t="s">
        <v>41</v>
      </c>
    </row>
    <row r="1299" spans="1:35" x14ac:dyDescent="0.25">
      <c r="A1299" t="s">
        <v>139</v>
      </c>
      <c r="B1299" t="s">
        <v>36</v>
      </c>
      <c r="C1299" t="s">
        <v>37</v>
      </c>
      <c r="D1299" t="s">
        <v>1159</v>
      </c>
      <c r="E1299" t="s">
        <v>397</v>
      </c>
      <c r="F1299" t="s">
        <v>104</v>
      </c>
      <c r="G1299" t="s">
        <v>41</v>
      </c>
      <c r="H1299" t="s">
        <v>87</v>
      </c>
      <c r="I1299" t="s">
        <v>40</v>
      </c>
      <c r="J1299" t="s">
        <v>4002</v>
      </c>
      <c r="K1299" t="s">
        <v>47</v>
      </c>
      <c r="L1299" t="s">
        <v>43</v>
      </c>
      <c r="M1299" t="s">
        <v>1214</v>
      </c>
      <c r="N1299" t="s">
        <v>45</v>
      </c>
      <c r="O1299" t="s">
        <v>40</v>
      </c>
      <c r="P1299" t="s">
        <v>397</v>
      </c>
      <c r="Q1299" t="s">
        <v>41</v>
      </c>
      <c r="R1299" t="s">
        <v>66</v>
      </c>
      <c r="S1299" t="s">
        <v>4003</v>
      </c>
      <c r="T1299" t="s">
        <v>4004</v>
      </c>
      <c r="U1299" t="s">
        <v>55</v>
      </c>
      <c r="V1299" t="s">
        <v>52</v>
      </c>
      <c r="W1299" t="s">
        <v>36</v>
      </c>
      <c r="X1299" t="s">
        <v>53</v>
      </c>
      <c r="Y1299" t="s">
        <v>45</v>
      </c>
      <c r="Z1299" t="s">
        <v>45</v>
      </c>
      <c r="AA1299" t="s">
        <v>54</v>
      </c>
      <c r="AB1299" t="s">
        <v>55</v>
      </c>
      <c r="AC1299" t="s">
        <v>56</v>
      </c>
      <c r="AD1299" t="s">
        <v>45</v>
      </c>
      <c r="AE1299" t="s">
        <v>45</v>
      </c>
      <c r="AF1299" t="s">
        <v>57</v>
      </c>
      <c r="AG1299" t="s">
        <v>40</v>
      </c>
      <c r="AH1299" t="s">
        <v>40</v>
      </c>
      <c r="AI1299" t="s">
        <v>47</v>
      </c>
    </row>
    <row r="1300" spans="1:35" x14ac:dyDescent="0.25">
      <c r="A1300" t="s">
        <v>213</v>
      </c>
      <c r="B1300" t="s">
        <v>36</v>
      </c>
      <c r="C1300" t="s">
        <v>37</v>
      </c>
      <c r="D1300" t="s">
        <v>818</v>
      </c>
      <c r="E1300" t="s">
        <v>62</v>
      </c>
      <c r="F1300" t="s">
        <v>119</v>
      </c>
      <c r="G1300" t="s">
        <v>41</v>
      </c>
      <c r="H1300" t="s">
        <v>87</v>
      </c>
      <c r="I1300" t="s">
        <v>40</v>
      </c>
      <c r="J1300" t="s">
        <v>4005</v>
      </c>
      <c r="K1300" t="s">
        <v>47</v>
      </c>
      <c r="L1300" t="s">
        <v>43</v>
      </c>
      <c r="M1300" t="s">
        <v>375</v>
      </c>
      <c r="N1300" t="s">
        <v>45</v>
      </c>
      <c r="O1300" t="s">
        <v>41</v>
      </c>
      <c r="P1300" t="s">
        <v>122</v>
      </c>
      <c r="Q1300" t="s">
        <v>41</v>
      </c>
      <c r="R1300" t="s">
        <v>66</v>
      </c>
      <c r="S1300" t="s">
        <v>4006</v>
      </c>
      <c r="T1300" t="s">
        <v>4007</v>
      </c>
      <c r="U1300" t="s">
        <v>47</v>
      </c>
      <c r="V1300" t="s">
        <v>52</v>
      </c>
      <c r="W1300" t="s">
        <v>59</v>
      </c>
      <c r="X1300" t="s">
        <v>112</v>
      </c>
      <c r="Y1300" t="s">
        <v>47</v>
      </c>
      <c r="Z1300" t="s">
        <v>47</v>
      </c>
      <c r="AA1300" t="s">
        <v>54</v>
      </c>
      <c r="AB1300" t="s">
        <v>40</v>
      </c>
      <c r="AC1300" t="s">
        <v>98</v>
      </c>
      <c r="AD1300" t="s">
        <v>41</v>
      </c>
      <c r="AE1300" t="s">
        <v>47</v>
      </c>
      <c r="AF1300" t="s">
        <v>91</v>
      </c>
      <c r="AG1300" t="s">
        <v>71</v>
      </c>
      <c r="AH1300" t="s">
        <v>45</v>
      </c>
      <c r="AI1300" t="s">
        <v>71</v>
      </c>
    </row>
    <row r="1301" spans="1:35" x14ac:dyDescent="0.25">
      <c r="A1301" t="s">
        <v>88</v>
      </c>
      <c r="B1301" t="s">
        <v>59</v>
      </c>
      <c r="C1301" t="s">
        <v>37</v>
      </c>
      <c r="D1301" t="s">
        <v>4008</v>
      </c>
      <c r="E1301" t="s">
        <v>62</v>
      </c>
      <c r="F1301" t="s">
        <v>40</v>
      </c>
      <c r="G1301" t="s">
        <v>45</v>
      </c>
      <c r="H1301" t="s">
        <v>42</v>
      </c>
      <c r="I1301" t="s">
        <v>40</v>
      </c>
      <c r="J1301" t="s">
        <v>4009</v>
      </c>
      <c r="K1301" t="s">
        <v>45</v>
      </c>
      <c r="L1301" t="s">
        <v>43</v>
      </c>
      <c r="M1301" t="s">
        <v>251</v>
      </c>
      <c r="N1301" t="s">
        <v>45</v>
      </c>
      <c r="O1301" t="s">
        <v>41</v>
      </c>
      <c r="P1301" t="s">
        <v>122</v>
      </c>
      <c r="Q1301" t="s">
        <v>47</v>
      </c>
      <c r="R1301" t="s">
        <v>109</v>
      </c>
      <c r="S1301" t="s">
        <v>4010</v>
      </c>
      <c r="T1301" t="s">
        <v>4011</v>
      </c>
      <c r="U1301" t="s">
        <v>47</v>
      </c>
      <c r="V1301" t="s">
        <v>52</v>
      </c>
      <c r="W1301" t="s">
        <v>59</v>
      </c>
      <c r="X1301" t="s">
        <v>125</v>
      </c>
      <c r="Y1301" t="s">
        <v>45</v>
      </c>
      <c r="Z1301" t="s">
        <v>47</v>
      </c>
      <c r="AA1301" t="s">
        <v>54</v>
      </c>
      <c r="AB1301" t="s">
        <v>40</v>
      </c>
      <c r="AC1301" t="s">
        <v>92</v>
      </c>
      <c r="AD1301" t="s">
        <v>45</v>
      </c>
      <c r="AE1301" t="s">
        <v>45</v>
      </c>
      <c r="AF1301" t="s">
        <v>57</v>
      </c>
      <c r="AG1301" t="s">
        <v>45</v>
      </c>
      <c r="AH1301" t="s">
        <v>55</v>
      </c>
      <c r="AI1301" t="s">
        <v>45</v>
      </c>
    </row>
    <row r="1302" spans="1:35" x14ac:dyDescent="0.25">
      <c r="A1302" t="s">
        <v>142</v>
      </c>
      <c r="B1302" t="s">
        <v>59</v>
      </c>
      <c r="C1302" t="s">
        <v>37</v>
      </c>
      <c r="D1302" t="s">
        <v>1373</v>
      </c>
      <c r="E1302" t="s">
        <v>39</v>
      </c>
      <c r="F1302" t="s">
        <v>51</v>
      </c>
      <c r="G1302" t="s">
        <v>41</v>
      </c>
      <c r="H1302" t="s">
        <v>228</v>
      </c>
      <c r="I1302" t="s">
        <v>40</v>
      </c>
      <c r="J1302" t="s">
        <v>4012</v>
      </c>
      <c r="K1302" t="s">
        <v>41</v>
      </c>
      <c r="L1302" t="s">
        <v>63</v>
      </c>
      <c r="M1302" t="s">
        <v>75</v>
      </c>
      <c r="N1302" t="s">
        <v>47</v>
      </c>
      <c r="O1302" t="s">
        <v>41</v>
      </c>
      <c r="P1302" t="s">
        <v>46</v>
      </c>
      <c r="Q1302" t="s">
        <v>45</v>
      </c>
      <c r="R1302" t="s">
        <v>66</v>
      </c>
      <c r="S1302" t="s">
        <v>4013</v>
      </c>
      <c r="T1302" t="s">
        <v>4014</v>
      </c>
      <c r="U1302" t="s">
        <v>40</v>
      </c>
      <c r="V1302" t="s">
        <v>52</v>
      </c>
      <c r="W1302" t="s">
        <v>59</v>
      </c>
      <c r="X1302" t="s">
        <v>119</v>
      </c>
      <c r="Y1302" t="s">
        <v>47</v>
      </c>
      <c r="Z1302" t="s">
        <v>45</v>
      </c>
      <c r="AA1302" t="s">
        <v>54</v>
      </c>
      <c r="AB1302" t="s">
        <v>41</v>
      </c>
      <c r="AC1302" t="s">
        <v>70</v>
      </c>
      <c r="AD1302" t="s">
        <v>57</v>
      </c>
      <c r="AE1302" t="s">
        <v>45</v>
      </c>
      <c r="AF1302" t="s">
        <v>70</v>
      </c>
      <c r="AG1302" t="s">
        <v>51</v>
      </c>
      <c r="AH1302" t="s">
        <v>47</v>
      </c>
      <c r="AI1302" t="s">
        <v>51</v>
      </c>
    </row>
    <row r="1303" spans="1:35" x14ac:dyDescent="0.25">
      <c r="A1303" t="s">
        <v>197</v>
      </c>
      <c r="B1303" t="s">
        <v>59</v>
      </c>
      <c r="C1303" t="s">
        <v>161</v>
      </c>
      <c r="D1303" t="s">
        <v>1047</v>
      </c>
      <c r="E1303" t="s">
        <v>39</v>
      </c>
      <c r="F1303" t="s">
        <v>41</v>
      </c>
      <c r="G1303" t="s">
        <v>45</v>
      </c>
      <c r="H1303" t="s">
        <v>87</v>
      </c>
      <c r="I1303" t="s">
        <v>40</v>
      </c>
      <c r="J1303" t="s">
        <v>4015</v>
      </c>
      <c r="K1303" t="s">
        <v>41</v>
      </c>
      <c r="L1303" t="s">
        <v>63</v>
      </c>
      <c r="M1303" t="s">
        <v>251</v>
      </c>
      <c r="N1303" t="s">
        <v>45</v>
      </c>
      <c r="O1303" t="s">
        <v>47</v>
      </c>
      <c r="P1303" t="s">
        <v>169</v>
      </c>
      <c r="Q1303" t="s">
        <v>41</v>
      </c>
      <c r="R1303" t="s">
        <v>109</v>
      </c>
      <c r="S1303" t="s">
        <v>4016</v>
      </c>
      <c r="T1303" t="s">
        <v>4017</v>
      </c>
      <c r="U1303" t="s">
        <v>47</v>
      </c>
      <c r="V1303" t="s">
        <v>52</v>
      </c>
      <c r="W1303" t="s">
        <v>59</v>
      </c>
      <c r="X1303" t="s">
        <v>112</v>
      </c>
      <c r="Y1303" t="s">
        <v>47</v>
      </c>
      <c r="Z1303" t="s">
        <v>47</v>
      </c>
      <c r="AA1303" t="s">
        <v>54</v>
      </c>
      <c r="AB1303" t="s">
        <v>40</v>
      </c>
      <c r="AC1303" t="s">
        <v>72</v>
      </c>
      <c r="AD1303" t="s">
        <v>55</v>
      </c>
      <c r="AE1303" t="s">
        <v>41</v>
      </c>
      <c r="AF1303" t="s">
        <v>128</v>
      </c>
      <c r="AG1303" t="s">
        <v>91</v>
      </c>
      <c r="AH1303" t="s">
        <v>129</v>
      </c>
      <c r="AI1303" t="s">
        <v>129</v>
      </c>
    </row>
    <row r="1304" spans="1:35" x14ac:dyDescent="0.25">
      <c r="A1304" t="s">
        <v>126</v>
      </c>
      <c r="B1304" t="s">
        <v>59</v>
      </c>
      <c r="C1304" t="s">
        <v>37</v>
      </c>
      <c r="D1304" t="s">
        <v>1261</v>
      </c>
      <c r="E1304" t="s">
        <v>62</v>
      </c>
      <c r="F1304" t="s">
        <v>69</v>
      </c>
      <c r="G1304" t="s">
        <v>47</v>
      </c>
      <c r="H1304" t="s">
        <v>87</v>
      </c>
      <c r="I1304" t="s">
        <v>40</v>
      </c>
      <c r="J1304" t="s">
        <v>4018</v>
      </c>
      <c r="K1304" t="s">
        <v>41</v>
      </c>
      <c r="L1304" t="s">
        <v>63</v>
      </c>
      <c r="M1304" t="s">
        <v>364</v>
      </c>
      <c r="N1304" t="s">
        <v>40</v>
      </c>
      <c r="O1304" t="s">
        <v>40</v>
      </c>
      <c r="P1304" t="s">
        <v>76</v>
      </c>
      <c r="Q1304" t="s">
        <v>45</v>
      </c>
      <c r="R1304" t="s">
        <v>66</v>
      </c>
      <c r="S1304" t="s">
        <v>4019</v>
      </c>
      <c r="T1304" t="s">
        <v>4020</v>
      </c>
      <c r="U1304" t="s">
        <v>55</v>
      </c>
      <c r="V1304" t="s">
        <v>52</v>
      </c>
      <c r="W1304" t="s">
        <v>59</v>
      </c>
      <c r="X1304" t="s">
        <v>128</v>
      </c>
      <c r="Y1304" t="s">
        <v>45</v>
      </c>
      <c r="Z1304" t="s">
        <v>41</v>
      </c>
      <c r="AA1304" t="s">
        <v>54</v>
      </c>
      <c r="AB1304" t="s">
        <v>40</v>
      </c>
      <c r="AC1304" t="s">
        <v>56</v>
      </c>
      <c r="AD1304" t="s">
        <v>41</v>
      </c>
      <c r="AE1304" t="s">
        <v>47</v>
      </c>
      <c r="AF1304" t="s">
        <v>57</v>
      </c>
      <c r="AG1304" t="s">
        <v>47</v>
      </c>
      <c r="AH1304" t="s">
        <v>55</v>
      </c>
      <c r="AI1304" t="s">
        <v>45</v>
      </c>
    </row>
    <row r="1305" spans="1:35" x14ac:dyDescent="0.25">
      <c r="A1305" t="s">
        <v>239</v>
      </c>
      <c r="B1305" t="s">
        <v>59</v>
      </c>
      <c r="C1305" t="s">
        <v>37</v>
      </c>
      <c r="D1305" t="s">
        <v>1323</v>
      </c>
      <c r="E1305" t="s">
        <v>62</v>
      </c>
      <c r="F1305" t="s">
        <v>47</v>
      </c>
      <c r="G1305" t="s">
        <v>45</v>
      </c>
      <c r="H1305" t="s">
        <v>42</v>
      </c>
      <c r="I1305" t="s">
        <v>40</v>
      </c>
      <c r="J1305" t="s">
        <v>4021</v>
      </c>
      <c r="K1305" t="s">
        <v>45</v>
      </c>
      <c r="L1305" t="s">
        <v>43</v>
      </c>
      <c r="M1305" t="s">
        <v>75</v>
      </c>
      <c r="N1305" t="s">
        <v>41</v>
      </c>
      <c r="O1305" t="s">
        <v>45</v>
      </c>
      <c r="P1305" t="s">
        <v>116</v>
      </c>
      <c r="Q1305" t="s">
        <v>41</v>
      </c>
      <c r="R1305" t="s">
        <v>109</v>
      </c>
      <c r="S1305" t="s">
        <v>2676</v>
      </c>
      <c r="T1305" t="s">
        <v>4022</v>
      </c>
      <c r="U1305" t="s">
        <v>51</v>
      </c>
      <c r="V1305" t="s">
        <v>52</v>
      </c>
      <c r="W1305" t="s">
        <v>36</v>
      </c>
      <c r="X1305" t="s">
        <v>92</v>
      </c>
      <c r="Y1305" t="s">
        <v>45</v>
      </c>
      <c r="Z1305" t="s">
        <v>45</v>
      </c>
      <c r="AA1305" t="s">
        <v>54</v>
      </c>
      <c r="AB1305" t="s">
        <v>40</v>
      </c>
      <c r="AC1305" t="s">
        <v>149</v>
      </c>
      <c r="AD1305" t="s">
        <v>47</v>
      </c>
      <c r="AE1305" t="s">
        <v>45</v>
      </c>
      <c r="AF1305" t="s">
        <v>112</v>
      </c>
      <c r="AG1305" t="s">
        <v>53</v>
      </c>
      <c r="AH1305" t="s">
        <v>129</v>
      </c>
      <c r="AI1305" t="s">
        <v>70</v>
      </c>
    </row>
    <row r="1306" spans="1:35" x14ac:dyDescent="0.25">
      <c r="A1306" t="s">
        <v>88</v>
      </c>
      <c r="B1306" t="s">
        <v>59</v>
      </c>
      <c r="C1306" t="s">
        <v>37</v>
      </c>
      <c r="D1306" t="s">
        <v>557</v>
      </c>
      <c r="E1306" t="s">
        <v>62</v>
      </c>
      <c r="F1306" t="s">
        <v>92</v>
      </c>
      <c r="G1306" t="s">
        <v>45</v>
      </c>
      <c r="H1306" t="s">
        <v>42</v>
      </c>
      <c r="I1306" t="s">
        <v>40</v>
      </c>
      <c r="J1306" t="s">
        <v>4023</v>
      </c>
      <c r="K1306" t="s">
        <v>41</v>
      </c>
      <c r="L1306" t="s">
        <v>43</v>
      </c>
      <c r="M1306" t="s">
        <v>239</v>
      </c>
      <c r="N1306" t="s">
        <v>45</v>
      </c>
      <c r="O1306" t="s">
        <v>41</v>
      </c>
      <c r="P1306" t="s">
        <v>122</v>
      </c>
      <c r="Q1306" t="s">
        <v>40</v>
      </c>
      <c r="R1306" t="s">
        <v>109</v>
      </c>
      <c r="S1306" t="s">
        <v>4024</v>
      </c>
      <c r="T1306" t="s">
        <v>3782</v>
      </c>
      <c r="U1306" t="s">
        <v>41</v>
      </c>
      <c r="V1306" t="s">
        <v>52</v>
      </c>
      <c r="W1306" t="s">
        <v>59</v>
      </c>
      <c r="X1306" t="s">
        <v>92</v>
      </c>
      <c r="Y1306" t="s">
        <v>45</v>
      </c>
      <c r="Z1306" t="s">
        <v>41</v>
      </c>
      <c r="AA1306" t="s">
        <v>54</v>
      </c>
      <c r="AB1306" t="s">
        <v>40</v>
      </c>
      <c r="AC1306" t="s">
        <v>79</v>
      </c>
      <c r="AD1306" t="s">
        <v>45</v>
      </c>
      <c r="AE1306" t="s">
        <v>45</v>
      </c>
      <c r="AF1306" t="s">
        <v>71</v>
      </c>
      <c r="AG1306" t="s">
        <v>47</v>
      </c>
      <c r="AH1306" t="s">
        <v>71</v>
      </c>
      <c r="AI1306" t="s">
        <v>71</v>
      </c>
    </row>
    <row r="1307" spans="1:35" x14ac:dyDescent="0.25">
      <c r="A1307" t="s">
        <v>259</v>
      </c>
      <c r="B1307" t="s">
        <v>59</v>
      </c>
      <c r="C1307" t="s">
        <v>37</v>
      </c>
      <c r="D1307" t="s">
        <v>1266</v>
      </c>
      <c r="E1307" t="s">
        <v>62</v>
      </c>
      <c r="F1307" t="s">
        <v>71</v>
      </c>
      <c r="G1307" t="s">
        <v>47</v>
      </c>
      <c r="H1307" t="s">
        <v>87</v>
      </c>
      <c r="I1307" t="s">
        <v>40</v>
      </c>
      <c r="J1307" t="s">
        <v>4025</v>
      </c>
      <c r="K1307" t="s">
        <v>47</v>
      </c>
      <c r="L1307" t="s">
        <v>43</v>
      </c>
      <c r="M1307" t="s">
        <v>300</v>
      </c>
      <c r="N1307" t="s">
        <v>45</v>
      </c>
      <c r="O1307" t="s">
        <v>41</v>
      </c>
      <c r="P1307" t="s">
        <v>65</v>
      </c>
      <c r="Q1307" t="s">
        <v>47</v>
      </c>
      <c r="R1307" t="s">
        <v>66</v>
      </c>
      <c r="S1307" t="s">
        <v>4026</v>
      </c>
      <c r="T1307" t="s">
        <v>4027</v>
      </c>
      <c r="U1307" t="s">
        <v>47</v>
      </c>
      <c r="V1307" t="s">
        <v>52</v>
      </c>
      <c r="W1307" t="s">
        <v>59</v>
      </c>
      <c r="X1307" t="s">
        <v>79</v>
      </c>
      <c r="Y1307" t="s">
        <v>45</v>
      </c>
      <c r="Z1307" t="s">
        <v>41</v>
      </c>
      <c r="AA1307" t="s">
        <v>54</v>
      </c>
      <c r="AB1307" t="s">
        <v>40</v>
      </c>
      <c r="AC1307" t="s">
        <v>129</v>
      </c>
      <c r="AD1307" t="s">
        <v>41</v>
      </c>
      <c r="AE1307" t="s">
        <v>41</v>
      </c>
      <c r="AF1307" t="s">
        <v>71</v>
      </c>
      <c r="AG1307" t="s">
        <v>40</v>
      </c>
      <c r="AH1307" t="s">
        <v>40</v>
      </c>
      <c r="AI1307" t="s">
        <v>71</v>
      </c>
    </row>
    <row r="1308" spans="1:35" x14ac:dyDescent="0.25">
      <c r="A1308" t="s">
        <v>137</v>
      </c>
      <c r="B1308" t="s">
        <v>59</v>
      </c>
      <c r="C1308" t="s">
        <v>60</v>
      </c>
      <c r="D1308" t="s">
        <v>200</v>
      </c>
      <c r="E1308" t="s">
        <v>39</v>
      </c>
      <c r="F1308" t="s">
        <v>71</v>
      </c>
      <c r="G1308" t="s">
        <v>47</v>
      </c>
      <c r="H1308" t="s">
        <v>206</v>
      </c>
      <c r="I1308" t="s">
        <v>40</v>
      </c>
      <c r="J1308" t="s">
        <v>4028</v>
      </c>
      <c r="K1308" t="s">
        <v>40</v>
      </c>
      <c r="L1308" t="s">
        <v>43</v>
      </c>
      <c r="M1308" t="s">
        <v>300</v>
      </c>
      <c r="N1308" t="s">
        <v>45</v>
      </c>
      <c r="O1308" t="s">
        <v>45</v>
      </c>
      <c r="P1308" t="s">
        <v>46</v>
      </c>
      <c r="Q1308" t="s">
        <v>40</v>
      </c>
      <c r="R1308" t="s">
        <v>66</v>
      </c>
      <c r="S1308" t="s">
        <v>4029</v>
      </c>
      <c r="T1308" t="s">
        <v>4030</v>
      </c>
      <c r="U1308" t="s">
        <v>41</v>
      </c>
      <c r="V1308" t="s">
        <v>52</v>
      </c>
      <c r="W1308" t="s">
        <v>59</v>
      </c>
      <c r="X1308" t="s">
        <v>129</v>
      </c>
      <c r="Y1308" t="s">
        <v>45</v>
      </c>
      <c r="Z1308" t="s">
        <v>47</v>
      </c>
      <c r="AA1308" t="s">
        <v>54</v>
      </c>
      <c r="AB1308" t="s">
        <v>41</v>
      </c>
      <c r="AC1308" t="s">
        <v>91</v>
      </c>
      <c r="AD1308" t="s">
        <v>45</v>
      </c>
      <c r="AE1308" t="s">
        <v>45</v>
      </c>
      <c r="AF1308" t="s">
        <v>45</v>
      </c>
      <c r="AG1308" t="s">
        <v>41</v>
      </c>
      <c r="AH1308" t="s">
        <v>41</v>
      </c>
      <c r="AI1308" t="s">
        <v>41</v>
      </c>
    </row>
    <row r="1309" spans="1:35" x14ac:dyDescent="0.25">
      <c r="A1309" t="s">
        <v>149</v>
      </c>
      <c r="B1309" t="s">
        <v>59</v>
      </c>
      <c r="C1309" t="s">
        <v>37</v>
      </c>
      <c r="D1309" t="s">
        <v>458</v>
      </c>
      <c r="E1309" t="s">
        <v>62</v>
      </c>
      <c r="F1309" t="s">
        <v>40</v>
      </c>
      <c r="G1309" t="s">
        <v>45</v>
      </c>
      <c r="H1309" t="s">
        <v>87</v>
      </c>
      <c r="I1309" t="s">
        <v>40</v>
      </c>
      <c r="J1309" t="s">
        <v>4031</v>
      </c>
      <c r="K1309" t="s">
        <v>45</v>
      </c>
      <c r="L1309" t="s">
        <v>43</v>
      </c>
      <c r="M1309" t="s">
        <v>108</v>
      </c>
      <c r="N1309" t="s">
        <v>45</v>
      </c>
      <c r="O1309" t="s">
        <v>40</v>
      </c>
      <c r="P1309" t="s">
        <v>65</v>
      </c>
      <c r="Q1309" t="s">
        <v>40</v>
      </c>
      <c r="R1309" t="s">
        <v>66</v>
      </c>
      <c r="S1309" t="s">
        <v>4032</v>
      </c>
      <c r="T1309" t="s">
        <v>4033</v>
      </c>
      <c r="U1309" t="s">
        <v>40</v>
      </c>
      <c r="V1309" t="s">
        <v>52</v>
      </c>
      <c r="W1309" t="s">
        <v>59</v>
      </c>
      <c r="X1309" t="s">
        <v>172</v>
      </c>
      <c r="Y1309" t="s">
        <v>47</v>
      </c>
      <c r="Z1309" t="s">
        <v>45</v>
      </c>
      <c r="AA1309" t="s">
        <v>54</v>
      </c>
      <c r="AB1309" t="s">
        <v>40</v>
      </c>
      <c r="AC1309" t="s">
        <v>45</v>
      </c>
      <c r="AD1309" t="s">
        <v>45</v>
      </c>
      <c r="AE1309" t="s">
        <v>45</v>
      </c>
      <c r="AF1309" t="s">
        <v>45</v>
      </c>
      <c r="AG1309" t="s">
        <v>41</v>
      </c>
      <c r="AH1309" t="s">
        <v>40</v>
      </c>
      <c r="AI1309" t="s">
        <v>41</v>
      </c>
    </row>
    <row r="1310" spans="1:35" x14ac:dyDescent="0.25">
      <c r="A1310" t="s">
        <v>113</v>
      </c>
      <c r="B1310" t="s">
        <v>59</v>
      </c>
      <c r="C1310" t="s">
        <v>37</v>
      </c>
      <c r="D1310" t="s">
        <v>1269</v>
      </c>
      <c r="E1310" t="s">
        <v>39</v>
      </c>
      <c r="F1310" t="s">
        <v>41</v>
      </c>
      <c r="G1310" t="s">
        <v>47</v>
      </c>
      <c r="H1310" t="s">
        <v>206</v>
      </c>
      <c r="I1310" t="s">
        <v>40</v>
      </c>
      <c r="J1310" t="s">
        <v>4034</v>
      </c>
      <c r="K1310" t="s">
        <v>41</v>
      </c>
      <c r="L1310" t="s">
        <v>43</v>
      </c>
      <c r="M1310" t="s">
        <v>326</v>
      </c>
      <c r="N1310" t="s">
        <v>40</v>
      </c>
      <c r="O1310" t="s">
        <v>41</v>
      </c>
      <c r="P1310" t="s">
        <v>182</v>
      </c>
      <c r="Q1310" t="s">
        <v>47</v>
      </c>
      <c r="R1310" t="s">
        <v>66</v>
      </c>
      <c r="S1310" t="s">
        <v>1954</v>
      </c>
      <c r="T1310" t="s">
        <v>2085</v>
      </c>
      <c r="U1310" t="s">
        <v>41</v>
      </c>
      <c r="V1310" t="s">
        <v>52</v>
      </c>
      <c r="W1310" t="s">
        <v>36</v>
      </c>
      <c r="X1310" t="s">
        <v>104</v>
      </c>
      <c r="Y1310" t="s">
        <v>47</v>
      </c>
      <c r="Z1310" t="s">
        <v>40</v>
      </c>
      <c r="AA1310" t="s">
        <v>54</v>
      </c>
      <c r="AB1310" t="s">
        <v>41</v>
      </c>
      <c r="AC1310" t="s">
        <v>104</v>
      </c>
      <c r="AD1310" t="s">
        <v>47</v>
      </c>
      <c r="AE1310" t="s">
        <v>41</v>
      </c>
      <c r="AF1310" t="s">
        <v>47</v>
      </c>
      <c r="AG1310" t="s">
        <v>41</v>
      </c>
      <c r="AH1310" t="s">
        <v>55</v>
      </c>
      <c r="AI1310" t="s">
        <v>45</v>
      </c>
    </row>
    <row r="1311" spans="1:35" x14ac:dyDescent="0.25">
      <c r="A1311" t="s">
        <v>139</v>
      </c>
      <c r="B1311" t="s">
        <v>59</v>
      </c>
      <c r="C1311" t="s">
        <v>37</v>
      </c>
      <c r="D1311" t="s">
        <v>4035</v>
      </c>
      <c r="E1311" t="s">
        <v>39</v>
      </c>
      <c r="F1311" t="s">
        <v>70</v>
      </c>
      <c r="G1311" t="s">
        <v>45</v>
      </c>
      <c r="H1311" t="s">
        <v>87</v>
      </c>
      <c r="I1311" t="s">
        <v>40</v>
      </c>
      <c r="J1311" t="s">
        <v>4036</v>
      </c>
      <c r="K1311" t="s">
        <v>45</v>
      </c>
      <c r="L1311" t="s">
        <v>63</v>
      </c>
      <c r="M1311" t="s">
        <v>213</v>
      </c>
      <c r="N1311" t="s">
        <v>45</v>
      </c>
      <c r="O1311" t="s">
        <v>41</v>
      </c>
      <c r="P1311" t="s">
        <v>46</v>
      </c>
      <c r="Q1311" t="s">
        <v>47</v>
      </c>
      <c r="R1311" t="s">
        <v>48</v>
      </c>
      <c r="S1311" t="s">
        <v>4037</v>
      </c>
      <c r="T1311" t="s">
        <v>4038</v>
      </c>
      <c r="U1311" t="s">
        <v>40</v>
      </c>
      <c r="V1311" t="s">
        <v>52</v>
      </c>
      <c r="W1311" t="s">
        <v>59</v>
      </c>
      <c r="X1311" t="s">
        <v>98</v>
      </c>
      <c r="Y1311" t="s">
        <v>45</v>
      </c>
      <c r="Z1311" t="s">
        <v>40</v>
      </c>
      <c r="AA1311" t="s">
        <v>54</v>
      </c>
      <c r="AB1311" t="s">
        <v>55</v>
      </c>
      <c r="AC1311" t="s">
        <v>57</v>
      </c>
      <c r="AD1311" t="s">
        <v>47</v>
      </c>
      <c r="AE1311" t="s">
        <v>45</v>
      </c>
      <c r="AF1311" t="s">
        <v>57</v>
      </c>
      <c r="AG1311" t="s">
        <v>45</v>
      </c>
      <c r="AH1311" t="s">
        <v>40</v>
      </c>
      <c r="AI1311" t="s">
        <v>41</v>
      </c>
    </row>
    <row r="1312" spans="1:35" x14ac:dyDescent="0.25">
      <c r="A1312" t="s">
        <v>197</v>
      </c>
      <c r="B1312" t="s">
        <v>59</v>
      </c>
      <c r="C1312" t="s">
        <v>60</v>
      </c>
      <c r="D1312" t="s">
        <v>1839</v>
      </c>
      <c r="E1312" t="s">
        <v>62</v>
      </c>
      <c r="F1312" t="s">
        <v>79</v>
      </c>
      <c r="G1312" t="s">
        <v>47</v>
      </c>
      <c r="H1312" t="s">
        <v>42</v>
      </c>
      <c r="I1312" t="s">
        <v>40</v>
      </c>
      <c r="J1312" t="s">
        <v>4039</v>
      </c>
      <c r="K1312" t="s">
        <v>40</v>
      </c>
      <c r="L1312" t="s">
        <v>63</v>
      </c>
      <c r="M1312" t="s">
        <v>371</v>
      </c>
      <c r="N1312" t="s">
        <v>45</v>
      </c>
      <c r="O1312" t="s">
        <v>47</v>
      </c>
      <c r="P1312" t="s">
        <v>186</v>
      </c>
      <c r="Q1312" t="s">
        <v>45</v>
      </c>
      <c r="R1312" t="s">
        <v>66</v>
      </c>
      <c r="S1312" t="s">
        <v>4040</v>
      </c>
      <c r="T1312" t="s">
        <v>4041</v>
      </c>
      <c r="U1312" t="s">
        <v>41</v>
      </c>
      <c r="V1312" t="s">
        <v>52</v>
      </c>
      <c r="W1312" t="s">
        <v>36</v>
      </c>
      <c r="X1312" t="s">
        <v>129</v>
      </c>
      <c r="Y1312" t="s">
        <v>45</v>
      </c>
      <c r="Z1312" t="s">
        <v>41</v>
      </c>
      <c r="AA1312" t="s">
        <v>54</v>
      </c>
      <c r="AB1312" t="s">
        <v>55</v>
      </c>
      <c r="AC1312" t="s">
        <v>69</v>
      </c>
      <c r="AD1312" t="s">
        <v>45</v>
      </c>
      <c r="AE1312" t="s">
        <v>45</v>
      </c>
      <c r="AF1312" t="s">
        <v>41</v>
      </c>
      <c r="AG1312" t="s">
        <v>41</v>
      </c>
      <c r="AH1312" t="s">
        <v>41</v>
      </c>
      <c r="AI1312" t="s">
        <v>41</v>
      </c>
    </row>
    <row r="1313" spans="1:35" x14ac:dyDescent="0.25">
      <c r="A1313" t="s">
        <v>145</v>
      </c>
      <c r="B1313" t="s">
        <v>59</v>
      </c>
      <c r="C1313" t="s">
        <v>161</v>
      </c>
      <c r="D1313" t="s">
        <v>993</v>
      </c>
      <c r="E1313" t="s">
        <v>62</v>
      </c>
      <c r="F1313" t="s">
        <v>129</v>
      </c>
      <c r="G1313" t="s">
        <v>45</v>
      </c>
      <c r="H1313" t="s">
        <v>87</v>
      </c>
      <c r="I1313" t="s">
        <v>40</v>
      </c>
      <c r="J1313" t="s">
        <v>4042</v>
      </c>
      <c r="K1313" t="s">
        <v>41</v>
      </c>
      <c r="L1313" t="s">
        <v>43</v>
      </c>
      <c r="M1313" t="s">
        <v>80</v>
      </c>
      <c r="N1313" t="s">
        <v>45</v>
      </c>
      <c r="O1313" t="s">
        <v>40</v>
      </c>
      <c r="P1313" t="s">
        <v>65</v>
      </c>
      <c r="Q1313" t="s">
        <v>45</v>
      </c>
      <c r="R1313" t="s">
        <v>48</v>
      </c>
      <c r="S1313" t="s">
        <v>3368</v>
      </c>
      <c r="T1313" t="s">
        <v>4043</v>
      </c>
      <c r="U1313" t="s">
        <v>40</v>
      </c>
      <c r="V1313" t="s">
        <v>52</v>
      </c>
      <c r="W1313" t="s">
        <v>59</v>
      </c>
      <c r="X1313" t="s">
        <v>128</v>
      </c>
      <c r="Y1313" t="s">
        <v>45</v>
      </c>
      <c r="Z1313" t="s">
        <v>45</v>
      </c>
      <c r="AA1313" t="s">
        <v>54</v>
      </c>
      <c r="AB1313" t="s">
        <v>55</v>
      </c>
      <c r="AC1313" t="s">
        <v>55</v>
      </c>
      <c r="AD1313" t="s">
        <v>47</v>
      </c>
      <c r="AE1313" t="s">
        <v>40</v>
      </c>
      <c r="AF1313" t="s">
        <v>55</v>
      </c>
      <c r="AG1313" t="s">
        <v>55</v>
      </c>
      <c r="AH1313" t="s">
        <v>55</v>
      </c>
      <c r="AI1313" t="s">
        <v>55</v>
      </c>
    </row>
    <row r="1314" spans="1:35" x14ac:dyDescent="0.25">
      <c r="A1314" t="s">
        <v>137</v>
      </c>
      <c r="B1314" t="s">
        <v>36</v>
      </c>
      <c r="C1314" t="s">
        <v>37</v>
      </c>
      <c r="D1314" t="s">
        <v>1065</v>
      </c>
      <c r="E1314" t="s">
        <v>397</v>
      </c>
      <c r="F1314" t="s">
        <v>145</v>
      </c>
      <c r="G1314" t="s">
        <v>57</v>
      </c>
      <c r="H1314" t="s">
        <v>397</v>
      </c>
      <c r="I1314" t="s">
        <v>40</v>
      </c>
      <c r="J1314" t="s">
        <v>4044</v>
      </c>
      <c r="K1314" t="s">
        <v>47</v>
      </c>
      <c r="L1314" t="s">
        <v>63</v>
      </c>
      <c r="M1314" t="s">
        <v>959</v>
      </c>
      <c r="N1314" t="s">
        <v>47</v>
      </c>
      <c r="O1314" t="s">
        <v>40</v>
      </c>
      <c r="P1314" t="s">
        <v>397</v>
      </c>
      <c r="Q1314" t="s">
        <v>40</v>
      </c>
      <c r="R1314" t="s">
        <v>66</v>
      </c>
      <c r="S1314" t="s">
        <v>482</v>
      </c>
      <c r="T1314" t="s">
        <v>4045</v>
      </c>
      <c r="U1314" t="s">
        <v>55</v>
      </c>
      <c r="V1314" t="s">
        <v>52</v>
      </c>
      <c r="W1314" t="s">
        <v>59</v>
      </c>
      <c r="X1314" t="s">
        <v>125</v>
      </c>
      <c r="Y1314" t="s">
        <v>45</v>
      </c>
      <c r="Z1314" t="s">
        <v>45</v>
      </c>
      <c r="AA1314" t="s">
        <v>54</v>
      </c>
      <c r="AB1314" t="s">
        <v>55</v>
      </c>
      <c r="AC1314" t="s">
        <v>41</v>
      </c>
      <c r="AD1314" t="s">
        <v>47</v>
      </c>
      <c r="AE1314" t="s">
        <v>45</v>
      </c>
      <c r="AF1314" t="s">
        <v>40</v>
      </c>
      <c r="AG1314" t="s">
        <v>55</v>
      </c>
      <c r="AH1314" t="s">
        <v>55</v>
      </c>
      <c r="AI1314" t="s">
        <v>55</v>
      </c>
    </row>
    <row r="1315" spans="1:35" x14ac:dyDescent="0.25">
      <c r="A1315" t="s">
        <v>133</v>
      </c>
      <c r="B1315" t="s">
        <v>36</v>
      </c>
      <c r="C1315" t="s">
        <v>37</v>
      </c>
      <c r="D1315" t="s">
        <v>1047</v>
      </c>
      <c r="E1315" t="s">
        <v>397</v>
      </c>
      <c r="F1315" t="s">
        <v>98</v>
      </c>
      <c r="G1315" t="s">
        <v>45</v>
      </c>
      <c r="H1315" t="s">
        <v>397</v>
      </c>
      <c r="I1315" t="s">
        <v>40</v>
      </c>
      <c r="J1315" t="s">
        <v>4046</v>
      </c>
      <c r="K1315" t="s">
        <v>40</v>
      </c>
      <c r="L1315" t="s">
        <v>63</v>
      </c>
      <c r="M1315" t="s">
        <v>82</v>
      </c>
      <c r="N1315" t="s">
        <v>41</v>
      </c>
      <c r="O1315" t="s">
        <v>40</v>
      </c>
      <c r="P1315" t="s">
        <v>397</v>
      </c>
      <c r="Q1315" t="s">
        <v>40</v>
      </c>
      <c r="R1315" t="s">
        <v>109</v>
      </c>
      <c r="S1315" t="s">
        <v>4047</v>
      </c>
      <c r="T1315" t="s">
        <v>4048</v>
      </c>
      <c r="U1315" t="s">
        <v>47</v>
      </c>
      <c r="V1315" t="s">
        <v>52</v>
      </c>
      <c r="W1315" t="s">
        <v>36</v>
      </c>
      <c r="X1315" t="s">
        <v>79</v>
      </c>
      <c r="Y1315" t="s">
        <v>45</v>
      </c>
      <c r="Z1315" t="s">
        <v>47</v>
      </c>
      <c r="AA1315" t="s">
        <v>54</v>
      </c>
      <c r="AB1315" t="s">
        <v>45</v>
      </c>
      <c r="AC1315" t="s">
        <v>47</v>
      </c>
      <c r="AD1315" t="s">
        <v>45</v>
      </c>
      <c r="AE1315" t="s">
        <v>45</v>
      </c>
      <c r="AF1315" t="s">
        <v>41</v>
      </c>
      <c r="AG1315" t="s">
        <v>41</v>
      </c>
      <c r="AH1315" t="s">
        <v>41</v>
      </c>
      <c r="AI1315" t="s">
        <v>55</v>
      </c>
    </row>
    <row r="1316" spans="1:35" x14ac:dyDescent="0.25">
      <c r="A1316" t="s">
        <v>174</v>
      </c>
      <c r="B1316" t="s">
        <v>59</v>
      </c>
      <c r="C1316" t="s">
        <v>161</v>
      </c>
      <c r="D1316" t="s">
        <v>2164</v>
      </c>
      <c r="E1316" t="s">
        <v>39</v>
      </c>
      <c r="F1316" t="s">
        <v>41</v>
      </c>
      <c r="G1316" t="s">
        <v>47</v>
      </c>
      <c r="H1316" t="s">
        <v>42</v>
      </c>
      <c r="I1316" t="s">
        <v>40</v>
      </c>
      <c r="J1316" t="s">
        <v>4049</v>
      </c>
      <c r="K1316" t="s">
        <v>45</v>
      </c>
      <c r="L1316" t="s">
        <v>43</v>
      </c>
      <c r="M1316" t="s">
        <v>108</v>
      </c>
      <c r="N1316" t="s">
        <v>45</v>
      </c>
      <c r="O1316" t="s">
        <v>41</v>
      </c>
      <c r="P1316" t="s">
        <v>46</v>
      </c>
      <c r="Q1316" t="s">
        <v>45</v>
      </c>
      <c r="R1316" t="s">
        <v>66</v>
      </c>
      <c r="S1316" t="s">
        <v>4050</v>
      </c>
      <c r="T1316" t="s">
        <v>4051</v>
      </c>
      <c r="U1316" t="s">
        <v>47</v>
      </c>
      <c r="V1316" t="s">
        <v>52</v>
      </c>
      <c r="W1316" t="s">
        <v>59</v>
      </c>
      <c r="X1316" t="s">
        <v>112</v>
      </c>
      <c r="Y1316" t="s">
        <v>47</v>
      </c>
      <c r="Z1316" t="s">
        <v>41</v>
      </c>
      <c r="AA1316" t="s">
        <v>54</v>
      </c>
      <c r="AB1316" t="s">
        <v>41</v>
      </c>
      <c r="AC1316" t="s">
        <v>70</v>
      </c>
      <c r="AD1316" t="s">
        <v>45</v>
      </c>
      <c r="AE1316" t="s">
        <v>47</v>
      </c>
      <c r="AF1316" t="s">
        <v>51</v>
      </c>
      <c r="AG1316" t="s">
        <v>71</v>
      </c>
      <c r="AH1316" t="s">
        <v>57</v>
      </c>
      <c r="AI1316" t="s">
        <v>71</v>
      </c>
    </row>
    <row r="1317" spans="1:35" x14ac:dyDescent="0.25">
      <c r="A1317" t="s">
        <v>120</v>
      </c>
      <c r="B1317" t="s">
        <v>59</v>
      </c>
      <c r="C1317" t="s">
        <v>37</v>
      </c>
      <c r="D1317" t="s">
        <v>1262</v>
      </c>
      <c r="E1317" t="s">
        <v>62</v>
      </c>
      <c r="F1317" t="s">
        <v>41</v>
      </c>
      <c r="G1317" t="s">
        <v>47</v>
      </c>
      <c r="H1317" t="s">
        <v>74</v>
      </c>
      <c r="I1317" t="s">
        <v>40</v>
      </c>
      <c r="J1317" t="s">
        <v>4052</v>
      </c>
      <c r="K1317" t="s">
        <v>47</v>
      </c>
      <c r="L1317" t="s">
        <v>43</v>
      </c>
      <c r="M1317" t="s">
        <v>279</v>
      </c>
      <c r="N1317" t="s">
        <v>45</v>
      </c>
      <c r="O1317" t="s">
        <v>41</v>
      </c>
      <c r="P1317" t="s">
        <v>65</v>
      </c>
      <c r="Q1317" t="s">
        <v>41</v>
      </c>
      <c r="R1317" t="s">
        <v>66</v>
      </c>
      <c r="S1317" t="s">
        <v>4053</v>
      </c>
      <c r="T1317" t="s">
        <v>4054</v>
      </c>
      <c r="U1317" t="s">
        <v>47</v>
      </c>
      <c r="V1317" t="s">
        <v>52</v>
      </c>
      <c r="W1317" t="s">
        <v>36</v>
      </c>
      <c r="X1317" t="s">
        <v>112</v>
      </c>
      <c r="Y1317" t="s">
        <v>47</v>
      </c>
      <c r="Z1317" t="s">
        <v>47</v>
      </c>
      <c r="AA1317" t="s">
        <v>54</v>
      </c>
      <c r="AB1317" t="s">
        <v>40</v>
      </c>
      <c r="AC1317" t="s">
        <v>79</v>
      </c>
      <c r="AD1317" t="s">
        <v>41</v>
      </c>
      <c r="AE1317" t="s">
        <v>45</v>
      </c>
      <c r="AF1317" t="s">
        <v>40</v>
      </c>
      <c r="AG1317" t="s">
        <v>55</v>
      </c>
      <c r="AH1317" t="s">
        <v>55</v>
      </c>
      <c r="AI1317" t="s">
        <v>55</v>
      </c>
    </row>
    <row r="1318" spans="1:35" x14ac:dyDescent="0.25">
      <c r="A1318" t="s">
        <v>234</v>
      </c>
      <c r="B1318" t="s">
        <v>59</v>
      </c>
      <c r="C1318" t="s">
        <v>60</v>
      </c>
      <c r="D1318" t="s">
        <v>3223</v>
      </c>
      <c r="E1318" t="s">
        <v>39</v>
      </c>
      <c r="F1318" t="s">
        <v>41</v>
      </c>
      <c r="G1318" t="s">
        <v>47</v>
      </c>
      <c r="H1318" t="s">
        <v>42</v>
      </c>
      <c r="I1318" t="s">
        <v>40</v>
      </c>
      <c r="J1318" t="s">
        <v>4055</v>
      </c>
      <c r="K1318" t="s">
        <v>40</v>
      </c>
      <c r="L1318" t="s">
        <v>63</v>
      </c>
      <c r="M1318" t="s">
        <v>75</v>
      </c>
      <c r="N1318" t="s">
        <v>45</v>
      </c>
      <c r="O1318" t="s">
        <v>41</v>
      </c>
      <c r="P1318" t="s">
        <v>46</v>
      </c>
      <c r="Q1318" t="s">
        <v>47</v>
      </c>
      <c r="R1318" t="s">
        <v>66</v>
      </c>
      <c r="S1318" t="s">
        <v>4056</v>
      </c>
      <c r="T1318" t="s">
        <v>2125</v>
      </c>
      <c r="U1318" t="s">
        <v>40</v>
      </c>
      <c r="V1318" t="s">
        <v>52</v>
      </c>
      <c r="W1318" t="s">
        <v>59</v>
      </c>
      <c r="X1318" t="s">
        <v>104</v>
      </c>
      <c r="Y1318" t="s">
        <v>47</v>
      </c>
      <c r="Z1318" t="s">
        <v>45</v>
      </c>
      <c r="AA1318" t="s">
        <v>54</v>
      </c>
      <c r="AB1318" t="s">
        <v>40</v>
      </c>
      <c r="AC1318" t="s">
        <v>71</v>
      </c>
      <c r="AD1318" t="s">
        <v>57</v>
      </c>
      <c r="AE1318" t="s">
        <v>45</v>
      </c>
      <c r="AF1318" t="s">
        <v>71</v>
      </c>
      <c r="AG1318" t="s">
        <v>71</v>
      </c>
      <c r="AH1318" t="s">
        <v>71</v>
      </c>
      <c r="AI1318" t="s">
        <v>71</v>
      </c>
    </row>
    <row r="1319" spans="1:35" x14ac:dyDescent="0.25">
      <c r="A1319" t="s">
        <v>85</v>
      </c>
      <c r="B1319" t="s">
        <v>59</v>
      </c>
      <c r="C1319" t="s">
        <v>60</v>
      </c>
      <c r="D1319" t="s">
        <v>3033</v>
      </c>
      <c r="E1319" t="s">
        <v>62</v>
      </c>
      <c r="F1319" t="s">
        <v>57</v>
      </c>
      <c r="G1319" t="s">
        <v>41</v>
      </c>
      <c r="H1319" t="s">
        <v>42</v>
      </c>
      <c r="I1319" t="s">
        <v>40</v>
      </c>
      <c r="J1319" t="s">
        <v>4057</v>
      </c>
      <c r="K1319" t="s">
        <v>47</v>
      </c>
      <c r="L1319" t="s">
        <v>43</v>
      </c>
      <c r="M1319" t="s">
        <v>166</v>
      </c>
      <c r="N1319" t="s">
        <v>45</v>
      </c>
      <c r="O1319" t="s">
        <v>40</v>
      </c>
      <c r="P1319" t="s">
        <v>76</v>
      </c>
      <c r="Q1319" t="s">
        <v>47</v>
      </c>
      <c r="R1319" t="s">
        <v>48</v>
      </c>
      <c r="S1319" t="s">
        <v>4058</v>
      </c>
      <c r="T1319" t="s">
        <v>4059</v>
      </c>
      <c r="U1319" t="s">
        <v>55</v>
      </c>
      <c r="V1319" t="s">
        <v>52</v>
      </c>
      <c r="W1319" t="s">
        <v>36</v>
      </c>
      <c r="X1319" t="s">
        <v>129</v>
      </c>
      <c r="Y1319" t="s">
        <v>45</v>
      </c>
      <c r="Z1319" t="s">
        <v>45</v>
      </c>
      <c r="AA1319" t="s">
        <v>54</v>
      </c>
      <c r="AB1319" t="s">
        <v>55</v>
      </c>
      <c r="AC1319" t="s">
        <v>56</v>
      </c>
      <c r="AD1319" t="s">
        <v>45</v>
      </c>
      <c r="AE1319" t="s">
        <v>41</v>
      </c>
      <c r="AF1319" t="s">
        <v>57</v>
      </c>
      <c r="AG1319" t="s">
        <v>47</v>
      </c>
      <c r="AH1319" t="s">
        <v>55</v>
      </c>
      <c r="AI1319" t="s">
        <v>41</v>
      </c>
    </row>
    <row r="1320" spans="1:35" x14ac:dyDescent="0.25">
      <c r="A1320" t="s">
        <v>133</v>
      </c>
      <c r="B1320" t="s">
        <v>59</v>
      </c>
      <c r="C1320" t="s">
        <v>60</v>
      </c>
      <c r="D1320" t="s">
        <v>1625</v>
      </c>
      <c r="E1320" t="s">
        <v>62</v>
      </c>
      <c r="F1320" t="s">
        <v>104</v>
      </c>
      <c r="G1320" t="s">
        <v>40</v>
      </c>
      <c r="H1320" t="s">
        <v>87</v>
      </c>
      <c r="I1320" t="s">
        <v>40</v>
      </c>
      <c r="J1320" t="s">
        <v>4060</v>
      </c>
      <c r="K1320" t="s">
        <v>47</v>
      </c>
      <c r="L1320" t="s">
        <v>63</v>
      </c>
      <c r="M1320" t="s">
        <v>88</v>
      </c>
      <c r="N1320" t="s">
        <v>45</v>
      </c>
      <c r="O1320" t="s">
        <v>40</v>
      </c>
      <c r="P1320" t="s">
        <v>76</v>
      </c>
      <c r="Q1320" t="s">
        <v>47</v>
      </c>
      <c r="R1320" t="s">
        <v>66</v>
      </c>
      <c r="S1320" t="s">
        <v>4061</v>
      </c>
      <c r="T1320" t="s">
        <v>4062</v>
      </c>
      <c r="U1320" t="s">
        <v>40</v>
      </c>
      <c r="V1320" t="s">
        <v>52</v>
      </c>
      <c r="W1320" t="s">
        <v>59</v>
      </c>
      <c r="X1320" t="s">
        <v>98</v>
      </c>
      <c r="Y1320" t="s">
        <v>45</v>
      </c>
      <c r="Z1320" t="s">
        <v>41</v>
      </c>
      <c r="AA1320" t="s">
        <v>54</v>
      </c>
      <c r="AB1320" t="s">
        <v>55</v>
      </c>
      <c r="AC1320" t="s">
        <v>53</v>
      </c>
      <c r="AD1320" t="s">
        <v>45</v>
      </c>
      <c r="AE1320" t="s">
        <v>47</v>
      </c>
      <c r="AF1320" t="s">
        <v>53</v>
      </c>
      <c r="AG1320" t="s">
        <v>51</v>
      </c>
      <c r="AH1320" t="s">
        <v>45</v>
      </c>
      <c r="AI1320" t="s">
        <v>70</v>
      </c>
    </row>
    <row r="1321" spans="1:35" x14ac:dyDescent="0.25">
      <c r="A1321" t="s">
        <v>93</v>
      </c>
      <c r="B1321" t="s">
        <v>59</v>
      </c>
      <c r="C1321" t="s">
        <v>60</v>
      </c>
      <c r="D1321" t="s">
        <v>2186</v>
      </c>
      <c r="E1321" t="s">
        <v>39</v>
      </c>
      <c r="F1321" t="s">
        <v>70</v>
      </c>
      <c r="G1321" t="s">
        <v>47</v>
      </c>
      <c r="H1321" t="s">
        <v>206</v>
      </c>
      <c r="I1321" t="s">
        <v>40</v>
      </c>
      <c r="J1321" t="s">
        <v>4063</v>
      </c>
      <c r="K1321" t="s">
        <v>47</v>
      </c>
      <c r="L1321" t="s">
        <v>63</v>
      </c>
      <c r="M1321" t="s">
        <v>95</v>
      </c>
      <c r="N1321" t="s">
        <v>45</v>
      </c>
      <c r="O1321" t="s">
        <v>41</v>
      </c>
      <c r="P1321" t="s">
        <v>46</v>
      </c>
      <c r="Q1321" t="s">
        <v>47</v>
      </c>
      <c r="R1321" t="s">
        <v>48</v>
      </c>
      <c r="S1321" t="s">
        <v>4064</v>
      </c>
      <c r="T1321" t="s">
        <v>4065</v>
      </c>
      <c r="U1321" t="s">
        <v>51</v>
      </c>
      <c r="V1321" t="s">
        <v>52</v>
      </c>
      <c r="W1321" t="s">
        <v>59</v>
      </c>
      <c r="X1321" t="s">
        <v>98</v>
      </c>
      <c r="Y1321" t="s">
        <v>45</v>
      </c>
      <c r="Z1321" t="s">
        <v>45</v>
      </c>
      <c r="AA1321" t="s">
        <v>54</v>
      </c>
      <c r="AB1321" t="s">
        <v>55</v>
      </c>
      <c r="AC1321" t="s">
        <v>47</v>
      </c>
      <c r="AD1321" t="s">
        <v>41</v>
      </c>
      <c r="AE1321" t="s">
        <v>47</v>
      </c>
      <c r="AF1321" t="s">
        <v>55</v>
      </c>
      <c r="AG1321" t="s">
        <v>55</v>
      </c>
      <c r="AH1321" t="s">
        <v>55</v>
      </c>
      <c r="AI1321" t="s">
        <v>55</v>
      </c>
    </row>
    <row r="1322" spans="1:35" x14ac:dyDescent="0.25">
      <c r="A1322" t="s">
        <v>204</v>
      </c>
      <c r="B1322" t="s">
        <v>59</v>
      </c>
      <c r="C1322" t="s">
        <v>161</v>
      </c>
      <c r="D1322" t="s">
        <v>1061</v>
      </c>
      <c r="E1322" t="s">
        <v>62</v>
      </c>
      <c r="F1322" t="s">
        <v>70</v>
      </c>
      <c r="G1322" t="s">
        <v>47</v>
      </c>
      <c r="H1322" t="s">
        <v>228</v>
      </c>
      <c r="I1322" t="s">
        <v>40</v>
      </c>
      <c r="J1322" t="s">
        <v>4066</v>
      </c>
      <c r="K1322" t="s">
        <v>45</v>
      </c>
      <c r="L1322" t="s">
        <v>63</v>
      </c>
      <c r="M1322" t="s">
        <v>113</v>
      </c>
      <c r="N1322" t="s">
        <v>45</v>
      </c>
      <c r="O1322" t="s">
        <v>40</v>
      </c>
      <c r="P1322" t="s">
        <v>65</v>
      </c>
      <c r="Q1322" t="s">
        <v>45</v>
      </c>
      <c r="R1322" t="s">
        <v>66</v>
      </c>
      <c r="S1322" t="s">
        <v>2845</v>
      </c>
      <c r="T1322" t="s">
        <v>4067</v>
      </c>
      <c r="U1322" t="s">
        <v>45</v>
      </c>
      <c r="V1322" t="s">
        <v>52</v>
      </c>
      <c r="W1322" t="s">
        <v>59</v>
      </c>
      <c r="X1322" t="s">
        <v>112</v>
      </c>
      <c r="Y1322" t="s">
        <v>47</v>
      </c>
      <c r="Z1322" t="s">
        <v>41</v>
      </c>
      <c r="AA1322" t="s">
        <v>54</v>
      </c>
      <c r="AB1322" t="s">
        <v>41</v>
      </c>
      <c r="AC1322" t="s">
        <v>70</v>
      </c>
      <c r="AD1322" t="s">
        <v>40</v>
      </c>
      <c r="AE1322" t="s">
        <v>41</v>
      </c>
      <c r="AF1322" t="s">
        <v>56</v>
      </c>
      <c r="AG1322" t="s">
        <v>45</v>
      </c>
      <c r="AH1322" t="s">
        <v>45</v>
      </c>
      <c r="AI1322" t="s">
        <v>45</v>
      </c>
    </row>
    <row r="1323" spans="1:35" x14ac:dyDescent="0.25">
      <c r="A1323" t="s">
        <v>239</v>
      </c>
      <c r="B1323" t="s">
        <v>59</v>
      </c>
      <c r="C1323" t="s">
        <v>37</v>
      </c>
      <c r="D1323" t="s">
        <v>683</v>
      </c>
      <c r="E1323" t="s">
        <v>62</v>
      </c>
      <c r="F1323" t="s">
        <v>91</v>
      </c>
      <c r="G1323" t="s">
        <v>47</v>
      </c>
      <c r="H1323" t="s">
        <v>42</v>
      </c>
      <c r="I1323" t="s">
        <v>40</v>
      </c>
      <c r="J1323" t="s">
        <v>4068</v>
      </c>
      <c r="K1323" t="s">
        <v>41</v>
      </c>
      <c r="L1323" t="s">
        <v>43</v>
      </c>
      <c r="M1323" t="s">
        <v>292</v>
      </c>
      <c r="N1323" t="s">
        <v>45</v>
      </c>
      <c r="O1323" t="s">
        <v>40</v>
      </c>
      <c r="P1323" t="s">
        <v>76</v>
      </c>
      <c r="Q1323" t="s">
        <v>45</v>
      </c>
      <c r="R1323" t="s">
        <v>48</v>
      </c>
      <c r="S1323" t="s">
        <v>4069</v>
      </c>
      <c r="T1323" t="s">
        <v>4070</v>
      </c>
      <c r="U1323" t="s">
        <v>47</v>
      </c>
      <c r="V1323" t="s">
        <v>52</v>
      </c>
      <c r="W1323" t="s">
        <v>59</v>
      </c>
      <c r="X1323" t="s">
        <v>92</v>
      </c>
      <c r="Y1323" t="s">
        <v>45</v>
      </c>
      <c r="Z1323" t="s">
        <v>45</v>
      </c>
      <c r="AA1323" t="s">
        <v>54</v>
      </c>
      <c r="AB1323" t="s">
        <v>55</v>
      </c>
      <c r="AC1323" t="s">
        <v>71</v>
      </c>
      <c r="AD1323" t="s">
        <v>41</v>
      </c>
      <c r="AE1323" t="s">
        <v>45</v>
      </c>
      <c r="AF1323" t="s">
        <v>41</v>
      </c>
      <c r="AG1323" t="s">
        <v>41</v>
      </c>
      <c r="AH1323" t="s">
        <v>41</v>
      </c>
      <c r="AI1323" t="s">
        <v>55</v>
      </c>
    </row>
    <row r="1324" spans="1:35" x14ac:dyDescent="0.25">
      <c r="A1324" t="s">
        <v>213</v>
      </c>
      <c r="B1324" t="s">
        <v>59</v>
      </c>
      <c r="C1324" t="s">
        <v>37</v>
      </c>
      <c r="D1324" t="s">
        <v>4071</v>
      </c>
      <c r="E1324" t="s">
        <v>62</v>
      </c>
      <c r="F1324" t="s">
        <v>41</v>
      </c>
      <c r="G1324" t="s">
        <v>41</v>
      </c>
      <c r="H1324" t="s">
        <v>42</v>
      </c>
      <c r="I1324" t="s">
        <v>40</v>
      </c>
      <c r="J1324" t="s">
        <v>4072</v>
      </c>
      <c r="K1324" t="s">
        <v>47</v>
      </c>
      <c r="L1324" t="s">
        <v>63</v>
      </c>
      <c r="M1324" t="s">
        <v>181</v>
      </c>
      <c r="N1324" t="s">
        <v>45</v>
      </c>
      <c r="O1324" t="s">
        <v>45</v>
      </c>
      <c r="P1324" t="s">
        <v>116</v>
      </c>
      <c r="Q1324" t="s">
        <v>47</v>
      </c>
      <c r="R1324" t="s">
        <v>109</v>
      </c>
      <c r="S1324" t="s">
        <v>4073</v>
      </c>
      <c r="T1324" t="s">
        <v>4074</v>
      </c>
      <c r="U1324" t="s">
        <v>45</v>
      </c>
      <c r="V1324" t="s">
        <v>52</v>
      </c>
      <c r="W1324" t="s">
        <v>59</v>
      </c>
      <c r="X1324" t="s">
        <v>129</v>
      </c>
      <c r="Y1324" t="s">
        <v>45</v>
      </c>
      <c r="Z1324" t="s">
        <v>45</v>
      </c>
      <c r="AA1324" t="s">
        <v>54</v>
      </c>
      <c r="AB1324" t="s">
        <v>40</v>
      </c>
      <c r="AC1324" t="s">
        <v>92</v>
      </c>
      <c r="AD1324" t="s">
        <v>47</v>
      </c>
      <c r="AE1324" t="s">
        <v>41</v>
      </c>
      <c r="AF1324" t="s">
        <v>91</v>
      </c>
      <c r="AG1324" t="s">
        <v>51</v>
      </c>
      <c r="AH1324" t="s">
        <v>47</v>
      </c>
      <c r="AI1324" t="s">
        <v>71</v>
      </c>
    </row>
    <row r="1325" spans="1:35" x14ac:dyDescent="0.25">
      <c r="A1325" t="s">
        <v>149</v>
      </c>
      <c r="B1325" t="s">
        <v>59</v>
      </c>
      <c r="C1325" t="s">
        <v>161</v>
      </c>
      <c r="D1325" t="s">
        <v>4075</v>
      </c>
      <c r="E1325" t="s">
        <v>397</v>
      </c>
      <c r="F1325" t="s">
        <v>40</v>
      </c>
      <c r="G1325" t="s">
        <v>41</v>
      </c>
      <c r="H1325" t="s">
        <v>42</v>
      </c>
      <c r="I1325" t="s">
        <v>40</v>
      </c>
      <c r="J1325" t="s">
        <v>4076</v>
      </c>
      <c r="K1325" t="s">
        <v>45</v>
      </c>
      <c r="L1325" t="s">
        <v>63</v>
      </c>
      <c r="M1325" t="s">
        <v>234</v>
      </c>
      <c r="N1325" t="s">
        <v>45</v>
      </c>
      <c r="O1325" t="s">
        <v>40</v>
      </c>
      <c r="P1325" t="s">
        <v>397</v>
      </c>
      <c r="Q1325" t="s">
        <v>47</v>
      </c>
      <c r="R1325" t="s">
        <v>109</v>
      </c>
      <c r="S1325" t="s">
        <v>2814</v>
      </c>
      <c r="T1325" t="s">
        <v>3257</v>
      </c>
      <c r="U1325" t="s">
        <v>40</v>
      </c>
      <c r="V1325" t="s">
        <v>52</v>
      </c>
      <c r="W1325" t="s">
        <v>59</v>
      </c>
      <c r="X1325" t="s">
        <v>79</v>
      </c>
      <c r="Y1325" t="s">
        <v>45</v>
      </c>
      <c r="Z1325" t="s">
        <v>41</v>
      </c>
      <c r="AA1325" t="s">
        <v>54</v>
      </c>
      <c r="AB1325" t="s">
        <v>40</v>
      </c>
      <c r="AC1325" t="s">
        <v>45</v>
      </c>
      <c r="AD1325" t="s">
        <v>41</v>
      </c>
      <c r="AE1325" t="s">
        <v>45</v>
      </c>
      <c r="AF1325" t="s">
        <v>45</v>
      </c>
      <c r="AG1325" t="s">
        <v>41</v>
      </c>
      <c r="AH1325" t="s">
        <v>41</v>
      </c>
      <c r="AI1325" t="s">
        <v>41</v>
      </c>
    </row>
    <row r="1326" spans="1:35" x14ac:dyDescent="0.25">
      <c r="A1326" t="s">
        <v>133</v>
      </c>
      <c r="B1326" t="s">
        <v>59</v>
      </c>
      <c r="C1326" t="s">
        <v>37</v>
      </c>
      <c r="D1326" t="s">
        <v>4077</v>
      </c>
      <c r="E1326" t="s">
        <v>62</v>
      </c>
      <c r="F1326" t="s">
        <v>133</v>
      </c>
      <c r="G1326" t="s">
        <v>40</v>
      </c>
      <c r="H1326" t="s">
        <v>42</v>
      </c>
      <c r="I1326" t="s">
        <v>40</v>
      </c>
      <c r="J1326" t="s">
        <v>2934</v>
      </c>
      <c r="K1326" t="s">
        <v>47</v>
      </c>
      <c r="L1326" t="s">
        <v>63</v>
      </c>
      <c r="M1326" t="s">
        <v>146</v>
      </c>
      <c r="N1326" t="s">
        <v>40</v>
      </c>
      <c r="O1326" t="s">
        <v>41</v>
      </c>
      <c r="P1326" t="s">
        <v>122</v>
      </c>
      <c r="Q1326" t="s">
        <v>45</v>
      </c>
      <c r="R1326" t="s">
        <v>109</v>
      </c>
      <c r="S1326" t="s">
        <v>4078</v>
      </c>
      <c r="T1326" t="s">
        <v>4079</v>
      </c>
      <c r="U1326" t="s">
        <v>51</v>
      </c>
      <c r="V1326" t="s">
        <v>52</v>
      </c>
      <c r="W1326" t="s">
        <v>59</v>
      </c>
      <c r="X1326" t="s">
        <v>125</v>
      </c>
      <c r="Y1326" t="s">
        <v>45</v>
      </c>
      <c r="Z1326" t="s">
        <v>47</v>
      </c>
      <c r="AA1326" t="s">
        <v>54</v>
      </c>
      <c r="AB1326" t="s">
        <v>41</v>
      </c>
      <c r="AC1326" t="s">
        <v>53</v>
      </c>
      <c r="AD1326" t="s">
        <v>45</v>
      </c>
      <c r="AE1326" t="s">
        <v>45</v>
      </c>
      <c r="AF1326" t="s">
        <v>71</v>
      </c>
      <c r="AG1326" t="s">
        <v>55</v>
      </c>
      <c r="AH1326" t="s">
        <v>40</v>
      </c>
      <c r="AI1326" t="s">
        <v>56</v>
      </c>
    </row>
    <row r="1327" spans="1:35" x14ac:dyDescent="0.25">
      <c r="A1327" t="s">
        <v>204</v>
      </c>
      <c r="B1327" t="s">
        <v>59</v>
      </c>
      <c r="C1327" t="s">
        <v>37</v>
      </c>
      <c r="D1327" t="s">
        <v>318</v>
      </c>
      <c r="E1327" t="s">
        <v>62</v>
      </c>
      <c r="F1327" t="s">
        <v>51</v>
      </c>
      <c r="G1327" t="s">
        <v>45</v>
      </c>
      <c r="H1327" t="s">
        <v>42</v>
      </c>
      <c r="I1327" t="s">
        <v>40</v>
      </c>
      <c r="J1327" t="s">
        <v>4080</v>
      </c>
      <c r="K1327" t="s">
        <v>47</v>
      </c>
      <c r="L1327" t="s">
        <v>63</v>
      </c>
      <c r="M1327" t="s">
        <v>101</v>
      </c>
      <c r="N1327" t="s">
        <v>45</v>
      </c>
      <c r="O1327" t="s">
        <v>40</v>
      </c>
      <c r="P1327" t="s">
        <v>76</v>
      </c>
      <c r="Q1327" t="s">
        <v>45</v>
      </c>
      <c r="R1327" t="s">
        <v>48</v>
      </c>
      <c r="S1327" t="s">
        <v>4081</v>
      </c>
      <c r="T1327" t="s">
        <v>4082</v>
      </c>
      <c r="U1327" t="s">
        <v>47</v>
      </c>
      <c r="V1327" t="s">
        <v>52</v>
      </c>
      <c r="W1327" t="s">
        <v>59</v>
      </c>
      <c r="X1327" t="s">
        <v>98</v>
      </c>
      <c r="Y1327" t="s">
        <v>45</v>
      </c>
      <c r="Z1327" t="s">
        <v>47</v>
      </c>
      <c r="AA1327" t="s">
        <v>54</v>
      </c>
      <c r="AB1327" t="s">
        <v>55</v>
      </c>
      <c r="AC1327" t="s">
        <v>51</v>
      </c>
      <c r="AD1327" t="s">
        <v>45</v>
      </c>
      <c r="AE1327" t="s">
        <v>45</v>
      </c>
      <c r="AF1327" t="s">
        <v>55</v>
      </c>
      <c r="AG1327" t="s">
        <v>55</v>
      </c>
      <c r="AH1327" t="s">
        <v>55</v>
      </c>
      <c r="AI1327" t="s">
        <v>55</v>
      </c>
    </row>
    <row r="1328" spans="1:35" x14ac:dyDescent="0.25">
      <c r="A1328" t="s">
        <v>93</v>
      </c>
      <c r="B1328" t="s">
        <v>36</v>
      </c>
      <c r="C1328" t="s">
        <v>37</v>
      </c>
      <c r="D1328" t="s">
        <v>4083</v>
      </c>
      <c r="E1328" t="s">
        <v>39</v>
      </c>
      <c r="F1328" t="s">
        <v>41</v>
      </c>
      <c r="G1328" t="s">
        <v>47</v>
      </c>
      <c r="H1328" t="s">
        <v>206</v>
      </c>
      <c r="I1328" t="s">
        <v>40</v>
      </c>
      <c r="J1328" t="s">
        <v>4084</v>
      </c>
      <c r="K1328" t="s">
        <v>45</v>
      </c>
      <c r="L1328" t="s">
        <v>63</v>
      </c>
      <c r="M1328" t="s">
        <v>181</v>
      </c>
      <c r="N1328" t="s">
        <v>41</v>
      </c>
      <c r="O1328" t="s">
        <v>41</v>
      </c>
      <c r="P1328" t="s">
        <v>46</v>
      </c>
      <c r="Q1328" t="s">
        <v>41</v>
      </c>
      <c r="R1328" t="s">
        <v>48</v>
      </c>
      <c r="S1328" t="s">
        <v>4085</v>
      </c>
      <c r="T1328" t="s">
        <v>4086</v>
      </c>
      <c r="U1328" t="s">
        <v>71</v>
      </c>
      <c r="V1328" t="s">
        <v>52</v>
      </c>
      <c r="W1328" t="s">
        <v>36</v>
      </c>
      <c r="X1328" t="s">
        <v>92</v>
      </c>
      <c r="Y1328" t="s">
        <v>45</v>
      </c>
      <c r="Z1328" t="s">
        <v>45</v>
      </c>
      <c r="AA1328" t="s">
        <v>54</v>
      </c>
      <c r="AB1328" t="s">
        <v>55</v>
      </c>
      <c r="AC1328" t="s">
        <v>71</v>
      </c>
      <c r="AD1328" t="s">
        <v>45</v>
      </c>
      <c r="AE1328" t="s">
        <v>41</v>
      </c>
      <c r="AF1328" t="s">
        <v>41</v>
      </c>
      <c r="AG1328" t="s">
        <v>41</v>
      </c>
      <c r="AH1328" t="s">
        <v>41</v>
      </c>
      <c r="AI1328" t="s">
        <v>41</v>
      </c>
    </row>
    <row r="1329" spans="1:35" x14ac:dyDescent="0.25">
      <c r="A1329" t="s">
        <v>213</v>
      </c>
      <c r="B1329" t="s">
        <v>59</v>
      </c>
      <c r="C1329" t="s">
        <v>37</v>
      </c>
      <c r="D1329" t="s">
        <v>1390</v>
      </c>
      <c r="E1329" t="s">
        <v>39</v>
      </c>
      <c r="F1329" t="s">
        <v>45</v>
      </c>
      <c r="G1329" t="s">
        <v>45</v>
      </c>
      <c r="H1329" t="s">
        <v>228</v>
      </c>
      <c r="I1329" t="s">
        <v>40</v>
      </c>
      <c r="J1329" t="s">
        <v>4087</v>
      </c>
      <c r="K1329" t="s">
        <v>40</v>
      </c>
      <c r="L1329" t="s">
        <v>43</v>
      </c>
      <c r="M1329" t="s">
        <v>174</v>
      </c>
      <c r="N1329" t="s">
        <v>47</v>
      </c>
      <c r="O1329" t="s">
        <v>47</v>
      </c>
      <c r="P1329" t="s">
        <v>46</v>
      </c>
      <c r="Q1329" t="s">
        <v>40</v>
      </c>
      <c r="R1329" t="s">
        <v>109</v>
      </c>
      <c r="S1329" t="s">
        <v>4088</v>
      </c>
      <c r="T1329" t="s">
        <v>4089</v>
      </c>
      <c r="U1329" t="s">
        <v>41</v>
      </c>
      <c r="V1329" t="s">
        <v>52</v>
      </c>
      <c r="W1329" t="s">
        <v>59</v>
      </c>
      <c r="X1329" t="s">
        <v>92</v>
      </c>
      <c r="Y1329" t="s">
        <v>45</v>
      </c>
      <c r="Z1329" t="s">
        <v>47</v>
      </c>
      <c r="AA1329" t="s">
        <v>54</v>
      </c>
      <c r="AB1329" t="s">
        <v>40</v>
      </c>
      <c r="AC1329" t="s">
        <v>172</v>
      </c>
      <c r="AD1329" t="s">
        <v>57</v>
      </c>
      <c r="AE1329" t="s">
        <v>45</v>
      </c>
      <c r="AF1329" t="s">
        <v>144</v>
      </c>
      <c r="AG1329" t="s">
        <v>125</v>
      </c>
      <c r="AH1329" t="s">
        <v>41</v>
      </c>
      <c r="AI1329" t="s">
        <v>51</v>
      </c>
    </row>
    <row r="1330" spans="1:35" x14ac:dyDescent="0.25">
      <c r="A1330" t="s">
        <v>85</v>
      </c>
      <c r="B1330" t="s">
        <v>59</v>
      </c>
      <c r="C1330" t="s">
        <v>37</v>
      </c>
      <c r="D1330" t="s">
        <v>1119</v>
      </c>
      <c r="E1330" t="s">
        <v>39</v>
      </c>
      <c r="F1330" t="s">
        <v>69</v>
      </c>
      <c r="G1330" t="s">
        <v>40</v>
      </c>
      <c r="H1330" t="s">
        <v>87</v>
      </c>
      <c r="I1330" t="s">
        <v>40</v>
      </c>
      <c r="J1330" t="s">
        <v>4090</v>
      </c>
      <c r="K1330" t="s">
        <v>41</v>
      </c>
      <c r="L1330" t="s">
        <v>43</v>
      </c>
      <c r="M1330" t="s">
        <v>120</v>
      </c>
      <c r="N1330" t="s">
        <v>41</v>
      </c>
      <c r="O1330" t="s">
        <v>41</v>
      </c>
      <c r="P1330" t="s">
        <v>182</v>
      </c>
      <c r="Q1330" t="s">
        <v>45</v>
      </c>
      <c r="R1330" t="s">
        <v>66</v>
      </c>
      <c r="S1330" t="s">
        <v>4091</v>
      </c>
      <c r="T1330" t="s">
        <v>4092</v>
      </c>
      <c r="U1330" t="s">
        <v>40</v>
      </c>
      <c r="V1330" t="s">
        <v>52</v>
      </c>
      <c r="W1330" t="s">
        <v>59</v>
      </c>
      <c r="X1330" t="s">
        <v>119</v>
      </c>
      <c r="Y1330" t="s">
        <v>47</v>
      </c>
      <c r="Z1330" t="s">
        <v>47</v>
      </c>
      <c r="AA1330" t="s">
        <v>54</v>
      </c>
      <c r="AB1330" t="s">
        <v>40</v>
      </c>
      <c r="AC1330" t="s">
        <v>91</v>
      </c>
      <c r="AD1330" t="s">
        <v>57</v>
      </c>
      <c r="AE1330" t="s">
        <v>45</v>
      </c>
      <c r="AF1330" t="s">
        <v>91</v>
      </c>
      <c r="AG1330" t="s">
        <v>51</v>
      </c>
      <c r="AH1330" t="s">
        <v>57</v>
      </c>
      <c r="AI1330" t="s">
        <v>51</v>
      </c>
    </row>
    <row r="1331" spans="1:35" x14ac:dyDescent="0.25">
      <c r="A1331" t="s">
        <v>133</v>
      </c>
      <c r="B1331" t="s">
        <v>59</v>
      </c>
      <c r="C1331" t="s">
        <v>37</v>
      </c>
      <c r="D1331" t="s">
        <v>1054</v>
      </c>
      <c r="E1331" t="s">
        <v>397</v>
      </c>
      <c r="F1331" t="s">
        <v>56</v>
      </c>
      <c r="G1331" t="s">
        <v>40</v>
      </c>
      <c r="H1331" t="s">
        <v>87</v>
      </c>
      <c r="I1331" t="s">
        <v>40</v>
      </c>
      <c r="J1331" t="s">
        <v>4093</v>
      </c>
      <c r="K1331" t="s">
        <v>47</v>
      </c>
      <c r="L1331" t="s">
        <v>63</v>
      </c>
      <c r="M1331" t="s">
        <v>371</v>
      </c>
      <c r="N1331" t="s">
        <v>41</v>
      </c>
      <c r="O1331" t="s">
        <v>40</v>
      </c>
      <c r="P1331" t="s">
        <v>397</v>
      </c>
      <c r="Q1331" t="s">
        <v>41</v>
      </c>
      <c r="R1331" t="s">
        <v>66</v>
      </c>
      <c r="S1331" t="s">
        <v>4094</v>
      </c>
      <c r="T1331" t="s">
        <v>4095</v>
      </c>
      <c r="U1331" t="s">
        <v>40</v>
      </c>
      <c r="V1331" t="s">
        <v>52</v>
      </c>
      <c r="W1331" t="s">
        <v>59</v>
      </c>
      <c r="X1331" t="s">
        <v>53</v>
      </c>
      <c r="Y1331" t="s">
        <v>45</v>
      </c>
      <c r="Z1331" t="s">
        <v>47</v>
      </c>
      <c r="AA1331" t="s">
        <v>54</v>
      </c>
      <c r="AB1331" t="s">
        <v>55</v>
      </c>
      <c r="AC1331" t="s">
        <v>40</v>
      </c>
      <c r="AD1331" t="s">
        <v>45</v>
      </c>
      <c r="AE1331" t="s">
        <v>45</v>
      </c>
      <c r="AF1331" t="s">
        <v>40</v>
      </c>
      <c r="AG1331" t="s">
        <v>55</v>
      </c>
      <c r="AH1331" t="s">
        <v>55</v>
      </c>
      <c r="AI1331" t="s">
        <v>55</v>
      </c>
    </row>
    <row r="1332" spans="1:35" x14ac:dyDescent="0.25">
      <c r="A1332" t="s">
        <v>234</v>
      </c>
      <c r="B1332" t="s">
        <v>59</v>
      </c>
      <c r="C1332" t="s">
        <v>37</v>
      </c>
      <c r="D1332" t="s">
        <v>1774</v>
      </c>
      <c r="E1332" t="s">
        <v>62</v>
      </c>
      <c r="F1332" t="s">
        <v>56</v>
      </c>
      <c r="G1332" t="s">
        <v>45</v>
      </c>
      <c r="H1332" t="s">
        <v>87</v>
      </c>
      <c r="I1332" t="s">
        <v>40</v>
      </c>
      <c r="J1332" t="s">
        <v>4096</v>
      </c>
      <c r="K1332" t="s">
        <v>40</v>
      </c>
      <c r="L1332" t="s">
        <v>43</v>
      </c>
      <c r="M1332" t="s">
        <v>101</v>
      </c>
      <c r="N1332" t="s">
        <v>41</v>
      </c>
      <c r="O1332" t="s">
        <v>57</v>
      </c>
      <c r="P1332" t="s">
        <v>169</v>
      </c>
      <c r="Q1332" t="s">
        <v>45</v>
      </c>
      <c r="R1332" t="s">
        <v>66</v>
      </c>
      <c r="S1332" t="s">
        <v>4097</v>
      </c>
      <c r="T1332" t="s">
        <v>4098</v>
      </c>
      <c r="U1332" t="s">
        <v>71</v>
      </c>
      <c r="V1332" t="s">
        <v>52</v>
      </c>
      <c r="W1332" t="s">
        <v>59</v>
      </c>
      <c r="X1332" t="s">
        <v>98</v>
      </c>
      <c r="Y1332" t="s">
        <v>45</v>
      </c>
      <c r="Z1332" t="s">
        <v>47</v>
      </c>
      <c r="AA1332" t="s">
        <v>54</v>
      </c>
      <c r="AB1332" t="s">
        <v>55</v>
      </c>
      <c r="AC1332" t="s">
        <v>119</v>
      </c>
      <c r="AD1332" t="s">
        <v>41</v>
      </c>
      <c r="AE1332" t="s">
        <v>45</v>
      </c>
      <c r="AF1332" t="s">
        <v>128</v>
      </c>
      <c r="AG1332" t="s">
        <v>92</v>
      </c>
      <c r="AH1332" t="s">
        <v>56</v>
      </c>
      <c r="AI1332" t="s">
        <v>129</v>
      </c>
    </row>
    <row r="1333" spans="1:35" x14ac:dyDescent="0.25">
      <c r="A1333" t="s">
        <v>207</v>
      </c>
      <c r="B1333" t="s">
        <v>59</v>
      </c>
      <c r="C1333" t="s">
        <v>37</v>
      </c>
      <c r="D1333" t="s">
        <v>2888</v>
      </c>
      <c r="E1333" t="s">
        <v>62</v>
      </c>
      <c r="F1333" t="s">
        <v>70</v>
      </c>
      <c r="G1333" t="s">
        <v>45</v>
      </c>
      <c r="H1333" t="s">
        <v>42</v>
      </c>
      <c r="I1333" t="s">
        <v>40</v>
      </c>
      <c r="J1333" t="s">
        <v>4099</v>
      </c>
      <c r="K1333" t="s">
        <v>47</v>
      </c>
      <c r="L1333" t="s">
        <v>63</v>
      </c>
      <c r="M1333" t="s">
        <v>364</v>
      </c>
      <c r="N1333" t="s">
        <v>41</v>
      </c>
      <c r="O1333" t="s">
        <v>57</v>
      </c>
      <c r="P1333" t="s">
        <v>186</v>
      </c>
      <c r="Q1333" t="s">
        <v>41</v>
      </c>
      <c r="R1333" t="s">
        <v>66</v>
      </c>
      <c r="S1333" t="s">
        <v>4051</v>
      </c>
      <c r="T1333" t="s">
        <v>4100</v>
      </c>
      <c r="U1333" t="s">
        <v>47</v>
      </c>
      <c r="V1333" t="s">
        <v>52</v>
      </c>
      <c r="W1333" t="s">
        <v>59</v>
      </c>
      <c r="X1333" t="s">
        <v>92</v>
      </c>
      <c r="Y1333" t="s">
        <v>45</v>
      </c>
      <c r="Z1333" t="s">
        <v>47</v>
      </c>
      <c r="AA1333" t="s">
        <v>54</v>
      </c>
      <c r="AB1333" t="s">
        <v>55</v>
      </c>
      <c r="AC1333" t="s">
        <v>133</v>
      </c>
      <c r="AD1333" t="s">
        <v>45</v>
      </c>
      <c r="AE1333" t="s">
        <v>45</v>
      </c>
      <c r="AF1333" t="s">
        <v>112</v>
      </c>
      <c r="AG1333" t="s">
        <v>70</v>
      </c>
      <c r="AH1333" t="s">
        <v>92</v>
      </c>
      <c r="AI1333" t="s">
        <v>91</v>
      </c>
    </row>
    <row r="1334" spans="1:35" x14ac:dyDescent="0.25">
      <c r="A1334" t="s">
        <v>133</v>
      </c>
      <c r="B1334" t="s">
        <v>36</v>
      </c>
      <c r="C1334" t="s">
        <v>60</v>
      </c>
      <c r="D1334" t="s">
        <v>4101</v>
      </c>
      <c r="E1334" t="s">
        <v>62</v>
      </c>
      <c r="F1334" t="s">
        <v>107</v>
      </c>
      <c r="G1334" t="s">
        <v>41</v>
      </c>
      <c r="H1334" t="s">
        <v>42</v>
      </c>
      <c r="I1334" t="s">
        <v>40</v>
      </c>
      <c r="J1334" t="s">
        <v>4102</v>
      </c>
      <c r="K1334" t="s">
        <v>47</v>
      </c>
      <c r="L1334" t="s">
        <v>63</v>
      </c>
      <c r="M1334" t="s">
        <v>279</v>
      </c>
      <c r="N1334" t="s">
        <v>41</v>
      </c>
      <c r="O1334" t="s">
        <v>40</v>
      </c>
      <c r="P1334" t="s">
        <v>65</v>
      </c>
      <c r="Q1334" t="s">
        <v>47</v>
      </c>
      <c r="R1334" t="s">
        <v>48</v>
      </c>
      <c r="S1334" t="s">
        <v>4103</v>
      </c>
      <c r="T1334" t="s">
        <v>4104</v>
      </c>
      <c r="U1334" t="s">
        <v>40</v>
      </c>
      <c r="V1334" t="s">
        <v>52</v>
      </c>
      <c r="W1334" t="s">
        <v>36</v>
      </c>
      <c r="X1334" t="s">
        <v>107</v>
      </c>
      <c r="Y1334" t="s">
        <v>47</v>
      </c>
      <c r="Z1334" t="s">
        <v>41</v>
      </c>
      <c r="AA1334" t="s">
        <v>54</v>
      </c>
      <c r="AB1334" t="s">
        <v>55</v>
      </c>
      <c r="AC1334" t="s">
        <v>40</v>
      </c>
      <c r="AD1334" t="s">
        <v>45</v>
      </c>
      <c r="AE1334" t="s">
        <v>41</v>
      </c>
      <c r="AF1334" t="s">
        <v>40</v>
      </c>
      <c r="AG1334" t="s">
        <v>55</v>
      </c>
      <c r="AH1334" t="s">
        <v>40</v>
      </c>
      <c r="AI1334" t="s">
        <v>55</v>
      </c>
    </row>
    <row r="1335" spans="1:35" x14ac:dyDescent="0.25">
      <c r="A1335" t="s">
        <v>213</v>
      </c>
      <c r="B1335" t="s">
        <v>36</v>
      </c>
      <c r="C1335" t="s">
        <v>37</v>
      </c>
      <c r="D1335" t="s">
        <v>2946</v>
      </c>
      <c r="E1335" t="s">
        <v>39</v>
      </c>
      <c r="F1335" t="s">
        <v>70</v>
      </c>
      <c r="G1335" t="s">
        <v>45</v>
      </c>
      <c r="H1335" t="s">
        <v>42</v>
      </c>
      <c r="I1335" t="s">
        <v>40</v>
      </c>
      <c r="J1335" t="s">
        <v>4105</v>
      </c>
      <c r="K1335" t="s">
        <v>45</v>
      </c>
      <c r="L1335" t="s">
        <v>43</v>
      </c>
      <c r="M1335" t="s">
        <v>292</v>
      </c>
      <c r="N1335" t="s">
        <v>45</v>
      </c>
      <c r="O1335" t="s">
        <v>45</v>
      </c>
      <c r="P1335" t="s">
        <v>46</v>
      </c>
      <c r="Q1335" t="s">
        <v>41</v>
      </c>
      <c r="R1335" t="s">
        <v>66</v>
      </c>
      <c r="S1335" t="s">
        <v>4106</v>
      </c>
      <c r="T1335" t="s">
        <v>4107</v>
      </c>
      <c r="U1335" t="s">
        <v>57</v>
      </c>
      <c r="V1335" t="s">
        <v>52</v>
      </c>
      <c r="W1335" t="s">
        <v>59</v>
      </c>
      <c r="X1335" t="s">
        <v>119</v>
      </c>
      <c r="Y1335" t="s">
        <v>47</v>
      </c>
      <c r="Z1335" t="s">
        <v>45</v>
      </c>
      <c r="AA1335" t="s">
        <v>54</v>
      </c>
      <c r="AB1335" t="s">
        <v>45</v>
      </c>
      <c r="AC1335" t="s">
        <v>129</v>
      </c>
      <c r="AD1335" t="s">
        <v>41</v>
      </c>
      <c r="AE1335" t="s">
        <v>45</v>
      </c>
      <c r="AF1335" t="s">
        <v>51</v>
      </c>
      <c r="AG1335" t="s">
        <v>71</v>
      </c>
      <c r="AH1335" t="s">
        <v>55</v>
      </c>
      <c r="AI1335" t="s">
        <v>71</v>
      </c>
    </row>
    <row r="1336" spans="1:35" x14ac:dyDescent="0.25">
      <c r="A1336" t="s">
        <v>85</v>
      </c>
      <c r="B1336" t="s">
        <v>59</v>
      </c>
      <c r="C1336" t="s">
        <v>60</v>
      </c>
      <c r="D1336" t="s">
        <v>2737</v>
      </c>
      <c r="E1336" t="s">
        <v>62</v>
      </c>
      <c r="F1336" t="s">
        <v>79</v>
      </c>
      <c r="G1336" t="s">
        <v>45</v>
      </c>
      <c r="H1336" t="s">
        <v>42</v>
      </c>
      <c r="I1336" t="s">
        <v>40</v>
      </c>
      <c r="J1336" t="s">
        <v>4108</v>
      </c>
      <c r="K1336" t="s">
        <v>47</v>
      </c>
      <c r="L1336" t="s">
        <v>43</v>
      </c>
      <c r="M1336" t="s">
        <v>326</v>
      </c>
      <c r="N1336" t="s">
        <v>41</v>
      </c>
      <c r="O1336" t="s">
        <v>40</v>
      </c>
      <c r="P1336" t="s">
        <v>65</v>
      </c>
      <c r="Q1336" t="s">
        <v>40</v>
      </c>
      <c r="R1336" t="s">
        <v>66</v>
      </c>
      <c r="S1336" t="s">
        <v>4109</v>
      </c>
      <c r="T1336" t="s">
        <v>4110</v>
      </c>
      <c r="U1336" t="s">
        <v>55</v>
      </c>
      <c r="V1336" t="s">
        <v>52</v>
      </c>
      <c r="W1336" t="s">
        <v>59</v>
      </c>
      <c r="X1336" t="s">
        <v>144</v>
      </c>
      <c r="Y1336" t="s">
        <v>45</v>
      </c>
      <c r="Z1336" t="s">
        <v>47</v>
      </c>
      <c r="AA1336" t="s">
        <v>54</v>
      </c>
      <c r="AB1336" t="s">
        <v>40</v>
      </c>
      <c r="AC1336" t="s">
        <v>51</v>
      </c>
      <c r="AD1336" t="s">
        <v>41</v>
      </c>
      <c r="AE1336" t="s">
        <v>41</v>
      </c>
      <c r="AF1336" t="s">
        <v>71</v>
      </c>
      <c r="AG1336" t="s">
        <v>56</v>
      </c>
      <c r="AH1336" t="s">
        <v>71</v>
      </c>
      <c r="AI1336" t="s">
        <v>45</v>
      </c>
    </row>
    <row r="1337" spans="1:35" x14ac:dyDescent="0.25">
      <c r="A1337" t="s">
        <v>218</v>
      </c>
      <c r="B1337" t="s">
        <v>59</v>
      </c>
      <c r="C1337" t="s">
        <v>37</v>
      </c>
      <c r="D1337" t="s">
        <v>4111</v>
      </c>
      <c r="E1337" t="s">
        <v>62</v>
      </c>
      <c r="F1337" t="s">
        <v>144</v>
      </c>
      <c r="G1337" t="s">
        <v>47</v>
      </c>
      <c r="H1337" t="s">
        <v>74</v>
      </c>
      <c r="I1337" t="s">
        <v>40</v>
      </c>
      <c r="J1337" t="s">
        <v>4112</v>
      </c>
      <c r="K1337" t="s">
        <v>47</v>
      </c>
      <c r="L1337" t="s">
        <v>63</v>
      </c>
      <c r="M1337" t="s">
        <v>35</v>
      </c>
      <c r="N1337" t="s">
        <v>45</v>
      </c>
      <c r="O1337" t="s">
        <v>41</v>
      </c>
      <c r="P1337" t="s">
        <v>65</v>
      </c>
      <c r="Q1337" t="s">
        <v>47</v>
      </c>
      <c r="R1337" t="s">
        <v>109</v>
      </c>
      <c r="S1337" t="s">
        <v>4113</v>
      </c>
      <c r="T1337" t="s">
        <v>4114</v>
      </c>
      <c r="U1337" t="s">
        <v>51</v>
      </c>
      <c r="V1337" t="s">
        <v>52</v>
      </c>
      <c r="W1337" t="s">
        <v>59</v>
      </c>
      <c r="X1337" t="s">
        <v>129</v>
      </c>
      <c r="Y1337" t="s">
        <v>45</v>
      </c>
      <c r="Z1337" t="s">
        <v>41</v>
      </c>
      <c r="AA1337" t="s">
        <v>54</v>
      </c>
      <c r="AB1337" t="s">
        <v>45</v>
      </c>
      <c r="AC1337" t="s">
        <v>71</v>
      </c>
      <c r="AD1337" t="s">
        <v>41</v>
      </c>
      <c r="AE1337" t="s">
        <v>45</v>
      </c>
      <c r="AF1337" t="s">
        <v>41</v>
      </c>
      <c r="AG1337" t="s">
        <v>41</v>
      </c>
      <c r="AH1337" t="s">
        <v>41</v>
      </c>
      <c r="AI1337" t="s">
        <v>41</v>
      </c>
    </row>
    <row r="1338" spans="1:35" x14ac:dyDescent="0.25">
      <c r="A1338" t="s">
        <v>263</v>
      </c>
      <c r="B1338" t="s">
        <v>59</v>
      </c>
      <c r="C1338" t="s">
        <v>37</v>
      </c>
      <c r="D1338" t="s">
        <v>344</v>
      </c>
      <c r="E1338" t="s">
        <v>62</v>
      </c>
      <c r="F1338" t="s">
        <v>41</v>
      </c>
      <c r="G1338" t="s">
        <v>47</v>
      </c>
      <c r="H1338" t="s">
        <v>228</v>
      </c>
      <c r="I1338" t="s">
        <v>40</v>
      </c>
      <c r="J1338" t="s">
        <v>4115</v>
      </c>
      <c r="K1338" t="s">
        <v>41</v>
      </c>
      <c r="L1338" t="s">
        <v>63</v>
      </c>
      <c r="M1338" t="s">
        <v>284</v>
      </c>
      <c r="N1338" t="s">
        <v>41</v>
      </c>
      <c r="O1338" t="s">
        <v>40</v>
      </c>
      <c r="P1338" t="s">
        <v>65</v>
      </c>
      <c r="Q1338" t="s">
        <v>47</v>
      </c>
      <c r="R1338" t="s">
        <v>66</v>
      </c>
      <c r="S1338" t="s">
        <v>4116</v>
      </c>
      <c r="T1338" t="s">
        <v>4117</v>
      </c>
      <c r="U1338" t="s">
        <v>51</v>
      </c>
      <c r="V1338" t="s">
        <v>52</v>
      </c>
      <c r="W1338" t="s">
        <v>59</v>
      </c>
      <c r="X1338" t="s">
        <v>104</v>
      </c>
      <c r="Y1338" t="s">
        <v>47</v>
      </c>
      <c r="Z1338" t="s">
        <v>41</v>
      </c>
      <c r="AA1338" t="s">
        <v>54</v>
      </c>
      <c r="AB1338" t="s">
        <v>40</v>
      </c>
      <c r="AC1338" t="s">
        <v>144</v>
      </c>
      <c r="AD1338" t="s">
        <v>41</v>
      </c>
      <c r="AE1338" t="s">
        <v>47</v>
      </c>
      <c r="AF1338" t="s">
        <v>57</v>
      </c>
      <c r="AG1338" t="s">
        <v>41</v>
      </c>
      <c r="AH1338" t="s">
        <v>55</v>
      </c>
      <c r="AI1338" t="s">
        <v>47</v>
      </c>
    </row>
    <row r="1339" spans="1:35" x14ac:dyDescent="0.25">
      <c r="A1339" t="s">
        <v>149</v>
      </c>
      <c r="B1339" t="s">
        <v>59</v>
      </c>
      <c r="C1339" t="s">
        <v>37</v>
      </c>
      <c r="D1339" t="s">
        <v>2802</v>
      </c>
      <c r="E1339" t="s">
        <v>39</v>
      </c>
      <c r="F1339" t="s">
        <v>45</v>
      </c>
      <c r="G1339" t="s">
        <v>45</v>
      </c>
      <c r="H1339" t="s">
        <v>87</v>
      </c>
      <c r="I1339" t="s">
        <v>40</v>
      </c>
      <c r="J1339" t="s">
        <v>4118</v>
      </c>
      <c r="K1339" t="s">
        <v>41</v>
      </c>
      <c r="L1339" t="s">
        <v>43</v>
      </c>
      <c r="M1339" t="s">
        <v>168</v>
      </c>
      <c r="N1339" t="s">
        <v>45</v>
      </c>
      <c r="O1339" t="s">
        <v>40</v>
      </c>
      <c r="P1339" t="s">
        <v>182</v>
      </c>
      <c r="Q1339" t="s">
        <v>41</v>
      </c>
      <c r="R1339" t="s">
        <v>66</v>
      </c>
      <c r="S1339" t="s">
        <v>4119</v>
      </c>
      <c r="T1339" t="s">
        <v>2955</v>
      </c>
      <c r="U1339" t="s">
        <v>40</v>
      </c>
      <c r="V1339" t="s">
        <v>52</v>
      </c>
      <c r="W1339" t="s">
        <v>59</v>
      </c>
      <c r="X1339" t="s">
        <v>144</v>
      </c>
      <c r="Y1339" t="s">
        <v>45</v>
      </c>
      <c r="Z1339" t="s">
        <v>47</v>
      </c>
      <c r="AA1339" t="s">
        <v>54</v>
      </c>
      <c r="AB1339" t="s">
        <v>40</v>
      </c>
      <c r="AC1339" t="s">
        <v>40</v>
      </c>
      <c r="AD1339" t="s">
        <v>45</v>
      </c>
      <c r="AE1339" t="s">
        <v>45</v>
      </c>
      <c r="AF1339" t="s">
        <v>40</v>
      </c>
      <c r="AG1339" t="s">
        <v>55</v>
      </c>
      <c r="AH1339" t="s">
        <v>55</v>
      </c>
      <c r="AI1339" t="s">
        <v>55</v>
      </c>
    </row>
    <row r="1340" spans="1:35" x14ac:dyDescent="0.25">
      <c r="A1340" t="s">
        <v>105</v>
      </c>
      <c r="B1340" t="s">
        <v>36</v>
      </c>
      <c r="C1340" t="s">
        <v>37</v>
      </c>
      <c r="D1340" t="s">
        <v>396</v>
      </c>
      <c r="E1340" t="s">
        <v>39</v>
      </c>
      <c r="F1340" t="s">
        <v>91</v>
      </c>
      <c r="G1340" t="s">
        <v>45</v>
      </c>
      <c r="H1340" t="s">
        <v>87</v>
      </c>
      <c r="I1340" t="s">
        <v>40</v>
      </c>
      <c r="J1340" t="s">
        <v>4120</v>
      </c>
      <c r="K1340" t="s">
        <v>41</v>
      </c>
      <c r="L1340" t="s">
        <v>63</v>
      </c>
      <c r="M1340" t="s">
        <v>959</v>
      </c>
      <c r="N1340" t="s">
        <v>45</v>
      </c>
      <c r="O1340" t="s">
        <v>40</v>
      </c>
      <c r="P1340" t="s">
        <v>182</v>
      </c>
      <c r="Q1340" t="s">
        <v>47</v>
      </c>
      <c r="R1340" t="s">
        <v>48</v>
      </c>
      <c r="S1340" t="s">
        <v>2645</v>
      </c>
      <c r="T1340" t="s">
        <v>4121</v>
      </c>
      <c r="U1340" t="s">
        <v>40</v>
      </c>
      <c r="V1340" t="s">
        <v>52</v>
      </c>
      <c r="W1340" t="s">
        <v>59</v>
      </c>
      <c r="X1340" t="s">
        <v>98</v>
      </c>
      <c r="Y1340" t="s">
        <v>45</v>
      </c>
      <c r="Z1340" t="s">
        <v>45</v>
      </c>
      <c r="AA1340" t="s">
        <v>54</v>
      </c>
      <c r="AB1340" t="s">
        <v>55</v>
      </c>
      <c r="AC1340" t="s">
        <v>40</v>
      </c>
      <c r="AD1340" t="s">
        <v>45</v>
      </c>
      <c r="AE1340" t="s">
        <v>41</v>
      </c>
      <c r="AF1340" t="s">
        <v>40</v>
      </c>
      <c r="AG1340" t="s">
        <v>55</v>
      </c>
      <c r="AH1340" t="s">
        <v>55</v>
      </c>
      <c r="AI1340" t="s">
        <v>55</v>
      </c>
    </row>
    <row r="1341" spans="1:35" x14ac:dyDescent="0.25">
      <c r="A1341" t="s">
        <v>112</v>
      </c>
      <c r="B1341" t="s">
        <v>36</v>
      </c>
      <c r="C1341" t="s">
        <v>37</v>
      </c>
      <c r="D1341" t="s">
        <v>189</v>
      </c>
      <c r="E1341" t="s">
        <v>62</v>
      </c>
      <c r="F1341" t="s">
        <v>71</v>
      </c>
      <c r="G1341" t="s">
        <v>40</v>
      </c>
      <c r="H1341" t="s">
        <v>42</v>
      </c>
      <c r="I1341" t="s">
        <v>40</v>
      </c>
      <c r="J1341" t="s">
        <v>1719</v>
      </c>
      <c r="K1341" t="s">
        <v>47</v>
      </c>
      <c r="L1341" t="s">
        <v>63</v>
      </c>
      <c r="M1341" t="s">
        <v>255</v>
      </c>
      <c r="N1341" t="s">
        <v>45</v>
      </c>
      <c r="O1341" t="s">
        <v>40</v>
      </c>
      <c r="P1341" t="s">
        <v>65</v>
      </c>
      <c r="Q1341" t="s">
        <v>41</v>
      </c>
      <c r="R1341" t="s">
        <v>48</v>
      </c>
      <c r="S1341" t="s">
        <v>4122</v>
      </c>
      <c r="T1341" t="s">
        <v>4123</v>
      </c>
      <c r="U1341" t="s">
        <v>40</v>
      </c>
      <c r="V1341" t="s">
        <v>52</v>
      </c>
      <c r="W1341" t="s">
        <v>36</v>
      </c>
      <c r="X1341" t="s">
        <v>69</v>
      </c>
      <c r="Y1341" t="s">
        <v>47</v>
      </c>
      <c r="Z1341" t="s">
        <v>40</v>
      </c>
      <c r="AA1341" t="s">
        <v>54</v>
      </c>
      <c r="AB1341" t="s">
        <v>55</v>
      </c>
      <c r="AC1341" t="s">
        <v>40</v>
      </c>
      <c r="AD1341" t="s">
        <v>41</v>
      </c>
      <c r="AE1341" t="s">
        <v>45</v>
      </c>
      <c r="AF1341" t="s">
        <v>40</v>
      </c>
      <c r="AG1341" t="s">
        <v>55</v>
      </c>
      <c r="AH1341" t="s">
        <v>55</v>
      </c>
      <c r="AI1341" t="s">
        <v>55</v>
      </c>
    </row>
    <row r="1342" spans="1:35" x14ac:dyDescent="0.25">
      <c r="A1342" t="s">
        <v>120</v>
      </c>
      <c r="B1342" t="s">
        <v>59</v>
      </c>
      <c r="C1342" t="s">
        <v>37</v>
      </c>
      <c r="D1342" t="s">
        <v>4124</v>
      </c>
      <c r="E1342" t="s">
        <v>39</v>
      </c>
      <c r="F1342" t="s">
        <v>70</v>
      </c>
      <c r="G1342" t="s">
        <v>47</v>
      </c>
      <c r="H1342" t="s">
        <v>228</v>
      </c>
      <c r="I1342" t="s">
        <v>40</v>
      </c>
      <c r="J1342" t="s">
        <v>4125</v>
      </c>
      <c r="K1342" t="s">
        <v>41</v>
      </c>
      <c r="L1342" t="s">
        <v>43</v>
      </c>
      <c r="M1342" t="s">
        <v>288</v>
      </c>
      <c r="N1342" t="s">
        <v>41</v>
      </c>
      <c r="O1342" t="s">
        <v>41</v>
      </c>
      <c r="P1342" t="s">
        <v>46</v>
      </c>
      <c r="Q1342" t="s">
        <v>45</v>
      </c>
      <c r="R1342" t="s">
        <v>66</v>
      </c>
      <c r="S1342" t="s">
        <v>4126</v>
      </c>
      <c r="T1342" t="s">
        <v>4127</v>
      </c>
      <c r="U1342" t="s">
        <v>40</v>
      </c>
      <c r="V1342" t="s">
        <v>52</v>
      </c>
      <c r="W1342" t="s">
        <v>36</v>
      </c>
      <c r="X1342" t="s">
        <v>98</v>
      </c>
      <c r="Y1342" t="s">
        <v>45</v>
      </c>
      <c r="Z1342" t="s">
        <v>40</v>
      </c>
      <c r="AA1342" t="s">
        <v>54</v>
      </c>
      <c r="AB1342" t="s">
        <v>40</v>
      </c>
      <c r="AC1342" t="s">
        <v>70</v>
      </c>
      <c r="AD1342" t="s">
        <v>47</v>
      </c>
      <c r="AE1342" t="s">
        <v>45</v>
      </c>
      <c r="AF1342" t="s">
        <v>70</v>
      </c>
      <c r="AG1342" t="s">
        <v>91</v>
      </c>
      <c r="AH1342" t="s">
        <v>40</v>
      </c>
      <c r="AI1342" t="s">
        <v>71</v>
      </c>
    </row>
    <row r="1343" spans="1:35" x14ac:dyDescent="0.25">
      <c r="A1343" t="s">
        <v>137</v>
      </c>
      <c r="B1343" t="s">
        <v>59</v>
      </c>
      <c r="C1343" t="s">
        <v>37</v>
      </c>
      <c r="D1343" t="s">
        <v>943</v>
      </c>
      <c r="E1343" t="s">
        <v>62</v>
      </c>
      <c r="F1343" t="s">
        <v>104</v>
      </c>
      <c r="G1343" t="s">
        <v>45</v>
      </c>
      <c r="H1343" t="s">
        <v>42</v>
      </c>
      <c r="I1343" t="s">
        <v>40</v>
      </c>
      <c r="J1343" t="s">
        <v>4128</v>
      </c>
      <c r="K1343" t="s">
        <v>41</v>
      </c>
      <c r="L1343" t="s">
        <v>63</v>
      </c>
      <c r="M1343" t="s">
        <v>959</v>
      </c>
      <c r="N1343" t="s">
        <v>45</v>
      </c>
      <c r="O1343" t="s">
        <v>41</v>
      </c>
      <c r="P1343" t="s">
        <v>76</v>
      </c>
      <c r="Q1343" t="s">
        <v>45</v>
      </c>
      <c r="R1343" t="s">
        <v>109</v>
      </c>
      <c r="S1343" t="s">
        <v>1507</v>
      </c>
      <c r="T1343" t="s">
        <v>4129</v>
      </c>
      <c r="U1343" t="s">
        <v>40</v>
      </c>
      <c r="V1343" t="s">
        <v>52</v>
      </c>
      <c r="W1343" t="s">
        <v>59</v>
      </c>
      <c r="X1343" t="s">
        <v>53</v>
      </c>
      <c r="Y1343" t="s">
        <v>45</v>
      </c>
      <c r="Z1343" t="s">
        <v>40</v>
      </c>
      <c r="AA1343" t="s">
        <v>54</v>
      </c>
      <c r="AB1343" t="s">
        <v>40</v>
      </c>
      <c r="AC1343" t="s">
        <v>70</v>
      </c>
      <c r="AD1343" t="s">
        <v>41</v>
      </c>
      <c r="AE1343" t="s">
        <v>45</v>
      </c>
      <c r="AF1343" t="s">
        <v>70</v>
      </c>
      <c r="AG1343" t="s">
        <v>51</v>
      </c>
      <c r="AH1343" t="s">
        <v>55</v>
      </c>
      <c r="AI1343" t="s">
        <v>41</v>
      </c>
    </row>
    <row r="1344" spans="1:35" x14ac:dyDescent="0.25">
      <c r="A1344" t="s">
        <v>142</v>
      </c>
      <c r="B1344" t="s">
        <v>59</v>
      </c>
      <c r="C1344" t="s">
        <v>37</v>
      </c>
      <c r="D1344" t="s">
        <v>748</v>
      </c>
      <c r="E1344" t="s">
        <v>39</v>
      </c>
      <c r="F1344" t="s">
        <v>47</v>
      </c>
      <c r="G1344" t="s">
        <v>45</v>
      </c>
      <c r="H1344" t="s">
        <v>42</v>
      </c>
      <c r="I1344" t="s">
        <v>40</v>
      </c>
      <c r="J1344" t="s">
        <v>4130</v>
      </c>
      <c r="K1344" t="s">
        <v>45</v>
      </c>
      <c r="L1344" t="s">
        <v>63</v>
      </c>
      <c r="M1344" t="s">
        <v>292</v>
      </c>
      <c r="N1344" t="s">
        <v>45</v>
      </c>
      <c r="O1344" t="s">
        <v>45</v>
      </c>
      <c r="P1344" t="s">
        <v>46</v>
      </c>
      <c r="Q1344" t="s">
        <v>47</v>
      </c>
      <c r="R1344" t="s">
        <v>66</v>
      </c>
      <c r="S1344" t="s">
        <v>4131</v>
      </c>
      <c r="T1344" t="s">
        <v>1833</v>
      </c>
      <c r="U1344" t="s">
        <v>41</v>
      </c>
      <c r="V1344" t="s">
        <v>52</v>
      </c>
      <c r="W1344" t="s">
        <v>36</v>
      </c>
      <c r="X1344" t="s">
        <v>98</v>
      </c>
      <c r="Y1344" t="s">
        <v>45</v>
      </c>
      <c r="Z1344" t="s">
        <v>47</v>
      </c>
      <c r="AA1344" t="s">
        <v>54</v>
      </c>
      <c r="AB1344" t="s">
        <v>45</v>
      </c>
      <c r="AC1344" t="s">
        <v>91</v>
      </c>
      <c r="AD1344" t="s">
        <v>45</v>
      </c>
      <c r="AE1344" t="s">
        <v>45</v>
      </c>
      <c r="AF1344" t="s">
        <v>57</v>
      </c>
      <c r="AG1344" t="s">
        <v>45</v>
      </c>
      <c r="AH1344" t="s">
        <v>40</v>
      </c>
      <c r="AI1344" t="s">
        <v>55</v>
      </c>
    </row>
    <row r="1345" spans="1:35" x14ac:dyDescent="0.25">
      <c r="A1345" t="s">
        <v>133</v>
      </c>
      <c r="B1345" t="s">
        <v>59</v>
      </c>
      <c r="C1345" t="s">
        <v>37</v>
      </c>
      <c r="D1345" t="s">
        <v>1672</v>
      </c>
      <c r="E1345" t="s">
        <v>62</v>
      </c>
      <c r="F1345" t="s">
        <v>71</v>
      </c>
      <c r="G1345" t="s">
        <v>45</v>
      </c>
      <c r="H1345" t="s">
        <v>42</v>
      </c>
      <c r="I1345" t="s">
        <v>40</v>
      </c>
      <c r="J1345" t="s">
        <v>4132</v>
      </c>
      <c r="K1345" t="s">
        <v>47</v>
      </c>
      <c r="L1345" t="s">
        <v>63</v>
      </c>
      <c r="M1345" t="s">
        <v>99</v>
      </c>
      <c r="N1345" t="s">
        <v>45</v>
      </c>
      <c r="O1345" t="s">
        <v>40</v>
      </c>
      <c r="P1345" t="s">
        <v>76</v>
      </c>
      <c r="Q1345" t="s">
        <v>40</v>
      </c>
      <c r="R1345" t="s">
        <v>48</v>
      </c>
      <c r="S1345" t="s">
        <v>4133</v>
      </c>
      <c r="T1345" t="s">
        <v>4134</v>
      </c>
      <c r="U1345" t="s">
        <v>45</v>
      </c>
      <c r="V1345" t="s">
        <v>52</v>
      </c>
      <c r="W1345" t="s">
        <v>59</v>
      </c>
      <c r="X1345" t="s">
        <v>129</v>
      </c>
      <c r="Y1345" t="s">
        <v>45</v>
      </c>
      <c r="Z1345" t="s">
        <v>41</v>
      </c>
      <c r="AA1345" t="s">
        <v>54</v>
      </c>
      <c r="AB1345" t="s">
        <v>55</v>
      </c>
      <c r="AC1345" t="s">
        <v>53</v>
      </c>
      <c r="AD1345" t="s">
        <v>41</v>
      </c>
      <c r="AE1345" t="s">
        <v>45</v>
      </c>
      <c r="AF1345" t="s">
        <v>45</v>
      </c>
      <c r="AG1345" t="s">
        <v>41</v>
      </c>
      <c r="AH1345" t="s">
        <v>40</v>
      </c>
      <c r="AI1345" t="s">
        <v>41</v>
      </c>
    </row>
    <row r="1346" spans="1:35" x14ac:dyDescent="0.25">
      <c r="A1346" t="s">
        <v>72</v>
      </c>
      <c r="B1346" t="s">
        <v>59</v>
      </c>
      <c r="C1346" t="s">
        <v>37</v>
      </c>
      <c r="D1346" t="s">
        <v>2035</v>
      </c>
      <c r="E1346" t="s">
        <v>62</v>
      </c>
      <c r="F1346" t="s">
        <v>71</v>
      </c>
      <c r="G1346" t="s">
        <v>47</v>
      </c>
      <c r="H1346" t="s">
        <v>87</v>
      </c>
      <c r="I1346" t="s">
        <v>40</v>
      </c>
      <c r="J1346" t="s">
        <v>4135</v>
      </c>
      <c r="K1346" t="s">
        <v>47</v>
      </c>
      <c r="L1346" t="s">
        <v>63</v>
      </c>
      <c r="M1346" t="s">
        <v>168</v>
      </c>
      <c r="N1346" t="s">
        <v>45</v>
      </c>
      <c r="O1346" t="s">
        <v>41</v>
      </c>
      <c r="P1346" t="s">
        <v>65</v>
      </c>
      <c r="Q1346" t="s">
        <v>40</v>
      </c>
      <c r="R1346" t="s">
        <v>66</v>
      </c>
      <c r="S1346" t="s">
        <v>2153</v>
      </c>
      <c r="T1346" t="s">
        <v>4136</v>
      </c>
      <c r="U1346" t="s">
        <v>57</v>
      </c>
      <c r="V1346" t="s">
        <v>52</v>
      </c>
      <c r="W1346" t="s">
        <v>36</v>
      </c>
      <c r="X1346" t="s">
        <v>112</v>
      </c>
      <c r="Y1346" t="s">
        <v>47</v>
      </c>
      <c r="Z1346" t="s">
        <v>45</v>
      </c>
      <c r="AA1346" t="s">
        <v>54</v>
      </c>
      <c r="AB1346" t="s">
        <v>40</v>
      </c>
      <c r="AC1346" t="s">
        <v>128</v>
      </c>
      <c r="AD1346" t="s">
        <v>41</v>
      </c>
      <c r="AE1346" t="s">
        <v>45</v>
      </c>
      <c r="AF1346" t="s">
        <v>57</v>
      </c>
      <c r="AG1346" t="s">
        <v>45</v>
      </c>
      <c r="AH1346" t="s">
        <v>55</v>
      </c>
      <c r="AI1346" t="s">
        <v>47</v>
      </c>
    </row>
    <row r="1347" spans="1:35" x14ac:dyDescent="0.25">
      <c r="A1347" t="s">
        <v>126</v>
      </c>
      <c r="B1347" t="s">
        <v>59</v>
      </c>
      <c r="C1347" t="s">
        <v>37</v>
      </c>
      <c r="D1347" t="s">
        <v>4137</v>
      </c>
      <c r="E1347" t="s">
        <v>62</v>
      </c>
      <c r="F1347" t="s">
        <v>128</v>
      </c>
      <c r="G1347" t="s">
        <v>41</v>
      </c>
      <c r="H1347" t="s">
        <v>74</v>
      </c>
      <c r="I1347" t="s">
        <v>40</v>
      </c>
      <c r="J1347" t="s">
        <v>4138</v>
      </c>
      <c r="K1347" t="s">
        <v>47</v>
      </c>
      <c r="L1347" t="s">
        <v>43</v>
      </c>
      <c r="M1347" t="s">
        <v>115</v>
      </c>
      <c r="N1347" t="s">
        <v>41</v>
      </c>
      <c r="O1347" t="s">
        <v>41</v>
      </c>
      <c r="P1347" t="s">
        <v>116</v>
      </c>
      <c r="Q1347" t="s">
        <v>41</v>
      </c>
      <c r="R1347" t="s">
        <v>66</v>
      </c>
      <c r="S1347" t="s">
        <v>4139</v>
      </c>
      <c r="T1347" t="s">
        <v>4140</v>
      </c>
      <c r="U1347" t="s">
        <v>55</v>
      </c>
      <c r="V1347" t="s">
        <v>52</v>
      </c>
      <c r="W1347" t="s">
        <v>36</v>
      </c>
      <c r="X1347" t="s">
        <v>53</v>
      </c>
      <c r="Y1347" t="s">
        <v>45</v>
      </c>
      <c r="Z1347" t="s">
        <v>47</v>
      </c>
      <c r="AA1347" t="s">
        <v>54</v>
      </c>
      <c r="AB1347" t="s">
        <v>55</v>
      </c>
      <c r="AC1347" t="s">
        <v>47</v>
      </c>
      <c r="AD1347" t="s">
        <v>41</v>
      </c>
      <c r="AE1347" t="s">
        <v>45</v>
      </c>
      <c r="AF1347" t="s">
        <v>45</v>
      </c>
      <c r="AG1347" t="s">
        <v>41</v>
      </c>
      <c r="AH1347" t="s">
        <v>55</v>
      </c>
      <c r="AI1347" t="s">
        <v>41</v>
      </c>
    </row>
    <row r="1348" spans="1:35" x14ac:dyDescent="0.25">
      <c r="A1348" t="s">
        <v>174</v>
      </c>
      <c r="B1348" t="s">
        <v>59</v>
      </c>
      <c r="C1348" t="s">
        <v>37</v>
      </c>
      <c r="D1348" t="s">
        <v>817</v>
      </c>
      <c r="E1348" t="s">
        <v>62</v>
      </c>
      <c r="F1348" t="s">
        <v>172</v>
      </c>
      <c r="G1348" t="s">
        <v>41</v>
      </c>
      <c r="H1348" t="s">
        <v>42</v>
      </c>
      <c r="I1348" t="s">
        <v>40</v>
      </c>
      <c r="J1348" t="s">
        <v>4141</v>
      </c>
      <c r="K1348" t="s">
        <v>41</v>
      </c>
      <c r="L1348" t="s">
        <v>43</v>
      </c>
      <c r="M1348" t="s">
        <v>146</v>
      </c>
      <c r="N1348" t="s">
        <v>41</v>
      </c>
      <c r="O1348" t="s">
        <v>41</v>
      </c>
      <c r="P1348" t="s">
        <v>116</v>
      </c>
      <c r="Q1348" t="s">
        <v>47</v>
      </c>
      <c r="R1348" t="s">
        <v>66</v>
      </c>
      <c r="S1348" t="s">
        <v>4142</v>
      </c>
      <c r="T1348" t="s">
        <v>4143</v>
      </c>
      <c r="U1348" t="s">
        <v>55</v>
      </c>
      <c r="V1348" t="s">
        <v>52</v>
      </c>
      <c r="W1348" t="s">
        <v>59</v>
      </c>
      <c r="X1348" t="s">
        <v>98</v>
      </c>
      <c r="Y1348" t="s">
        <v>45</v>
      </c>
      <c r="Z1348" t="s">
        <v>47</v>
      </c>
      <c r="AA1348" t="s">
        <v>54</v>
      </c>
      <c r="AB1348" t="s">
        <v>41</v>
      </c>
      <c r="AC1348" t="s">
        <v>70</v>
      </c>
      <c r="AD1348" t="s">
        <v>41</v>
      </c>
      <c r="AE1348" t="s">
        <v>41</v>
      </c>
      <c r="AF1348" t="s">
        <v>91</v>
      </c>
      <c r="AG1348" t="s">
        <v>51</v>
      </c>
      <c r="AH1348" t="s">
        <v>45</v>
      </c>
      <c r="AI1348" t="s">
        <v>51</v>
      </c>
    </row>
    <row r="1349" spans="1:35" x14ac:dyDescent="0.25">
      <c r="A1349" t="s">
        <v>120</v>
      </c>
      <c r="B1349" t="s">
        <v>59</v>
      </c>
      <c r="C1349" t="s">
        <v>60</v>
      </c>
      <c r="D1349" t="s">
        <v>4144</v>
      </c>
      <c r="E1349" t="s">
        <v>397</v>
      </c>
      <c r="F1349" t="s">
        <v>41</v>
      </c>
      <c r="G1349" t="s">
        <v>40</v>
      </c>
      <c r="H1349" t="s">
        <v>397</v>
      </c>
      <c r="I1349" t="s">
        <v>40</v>
      </c>
      <c r="J1349" t="s">
        <v>4145</v>
      </c>
      <c r="K1349" t="s">
        <v>41</v>
      </c>
      <c r="L1349" t="s">
        <v>63</v>
      </c>
      <c r="M1349" t="s">
        <v>44</v>
      </c>
      <c r="N1349" t="s">
        <v>41</v>
      </c>
      <c r="O1349" t="s">
        <v>41</v>
      </c>
      <c r="P1349" t="s">
        <v>397</v>
      </c>
      <c r="Q1349" t="s">
        <v>47</v>
      </c>
      <c r="R1349" t="s">
        <v>48</v>
      </c>
      <c r="S1349" t="s">
        <v>4146</v>
      </c>
      <c r="T1349" t="s">
        <v>2855</v>
      </c>
      <c r="U1349" t="s">
        <v>40</v>
      </c>
      <c r="V1349" t="s">
        <v>52</v>
      </c>
      <c r="W1349" t="s">
        <v>59</v>
      </c>
      <c r="X1349" t="s">
        <v>119</v>
      </c>
      <c r="Y1349" t="s">
        <v>47</v>
      </c>
      <c r="Z1349" t="s">
        <v>47</v>
      </c>
      <c r="AA1349" t="s">
        <v>54</v>
      </c>
      <c r="AB1349" t="s">
        <v>55</v>
      </c>
      <c r="AC1349" t="s">
        <v>70</v>
      </c>
      <c r="AD1349" t="s">
        <v>41</v>
      </c>
      <c r="AE1349" t="s">
        <v>41</v>
      </c>
      <c r="AF1349" t="s">
        <v>70</v>
      </c>
      <c r="AG1349" t="s">
        <v>40</v>
      </c>
      <c r="AH1349" t="s">
        <v>55</v>
      </c>
      <c r="AI1349" t="s">
        <v>51</v>
      </c>
    </row>
    <row r="1350" spans="1:35" x14ac:dyDescent="0.25">
      <c r="A1350" t="s">
        <v>88</v>
      </c>
      <c r="B1350" t="s">
        <v>59</v>
      </c>
      <c r="C1350" t="s">
        <v>37</v>
      </c>
      <c r="D1350" t="s">
        <v>2363</v>
      </c>
      <c r="E1350" t="s">
        <v>62</v>
      </c>
      <c r="F1350" t="s">
        <v>40</v>
      </c>
      <c r="G1350" t="s">
        <v>47</v>
      </c>
      <c r="H1350" t="s">
        <v>42</v>
      </c>
      <c r="I1350" t="s">
        <v>40</v>
      </c>
      <c r="J1350" t="s">
        <v>4147</v>
      </c>
      <c r="K1350" t="s">
        <v>40</v>
      </c>
      <c r="L1350" t="s">
        <v>63</v>
      </c>
      <c r="M1350" t="s">
        <v>284</v>
      </c>
      <c r="N1350" t="s">
        <v>45</v>
      </c>
      <c r="O1350" t="s">
        <v>47</v>
      </c>
      <c r="P1350" t="s">
        <v>169</v>
      </c>
      <c r="Q1350" t="s">
        <v>40</v>
      </c>
      <c r="R1350" t="s">
        <v>109</v>
      </c>
      <c r="S1350" t="s">
        <v>4148</v>
      </c>
      <c r="T1350" t="s">
        <v>4149</v>
      </c>
      <c r="U1350" t="s">
        <v>41</v>
      </c>
      <c r="V1350" t="s">
        <v>52</v>
      </c>
      <c r="W1350" t="s">
        <v>59</v>
      </c>
      <c r="X1350" t="s">
        <v>53</v>
      </c>
      <c r="Y1350" t="s">
        <v>45</v>
      </c>
      <c r="Z1350" t="s">
        <v>40</v>
      </c>
      <c r="AA1350" t="s">
        <v>54</v>
      </c>
      <c r="AB1350" t="s">
        <v>40</v>
      </c>
      <c r="AC1350" t="s">
        <v>112</v>
      </c>
      <c r="AD1350" t="s">
        <v>45</v>
      </c>
      <c r="AE1350" t="s">
        <v>45</v>
      </c>
      <c r="AF1350" t="s">
        <v>144</v>
      </c>
      <c r="AG1350" t="s">
        <v>71</v>
      </c>
      <c r="AH1350" t="s">
        <v>53</v>
      </c>
      <c r="AI1350" t="s">
        <v>128</v>
      </c>
    </row>
    <row r="1351" spans="1:35" x14ac:dyDescent="0.25">
      <c r="A1351" t="s">
        <v>139</v>
      </c>
      <c r="B1351" t="s">
        <v>59</v>
      </c>
      <c r="C1351" t="s">
        <v>37</v>
      </c>
      <c r="D1351" t="s">
        <v>1416</v>
      </c>
      <c r="E1351" t="s">
        <v>62</v>
      </c>
      <c r="F1351" t="s">
        <v>40</v>
      </c>
      <c r="G1351" t="s">
        <v>41</v>
      </c>
      <c r="H1351" t="s">
        <v>42</v>
      </c>
      <c r="I1351" t="s">
        <v>40</v>
      </c>
      <c r="J1351" t="s">
        <v>4150</v>
      </c>
      <c r="K1351" t="s">
        <v>41</v>
      </c>
      <c r="L1351" t="s">
        <v>43</v>
      </c>
      <c r="M1351" t="s">
        <v>360</v>
      </c>
      <c r="N1351" t="s">
        <v>41</v>
      </c>
      <c r="O1351" t="s">
        <v>40</v>
      </c>
      <c r="P1351" t="s">
        <v>65</v>
      </c>
      <c r="Q1351" t="s">
        <v>45</v>
      </c>
      <c r="R1351" t="s">
        <v>66</v>
      </c>
      <c r="S1351" t="s">
        <v>4151</v>
      </c>
      <c r="T1351" t="s">
        <v>4152</v>
      </c>
      <c r="U1351" t="s">
        <v>40</v>
      </c>
      <c r="V1351" t="s">
        <v>52</v>
      </c>
      <c r="W1351" t="s">
        <v>36</v>
      </c>
      <c r="X1351" t="s">
        <v>98</v>
      </c>
      <c r="Y1351" t="s">
        <v>45</v>
      </c>
      <c r="Z1351" t="s">
        <v>45</v>
      </c>
      <c r="AA1351" t="s">
        <v>54</v>
      </c>
      <c r="AB1351" t="s">
        <v>40</v>
      </c>
      <c r="AC1351" t="s">
        <v>40</v>
      </c>
      <c r="AD1351" t="s">
        <v>45</v>
      </c>
      <c r="AE1351" t="s">
        <v>41</v>
      </c>
      <c r="AF1351" t="s">
        <v>40</v>
      </c>
      <c r="AG1351" t="s">
        <v>55</v>
      </c>
      <c r="AH1351" t="s">
        <v>40</v>
      </c>
      <c r="AI1351" t="s">
        <v>55</v>
      </c>
    </row>
    <row r="1352" spans="1:35" x14ac:dyDescent="0.25">
      <c r="A1352" t="s">
        <v>85</v>
      </c>
      <c r="B1352" t="s">
        <v>59</v>
      </c>
      <c r="C1352" t="s">
        <v>37</v>
      </c>
      <c r="D1352" t="s">
        <v>1486</v>
      </c>
      <c r="E1352" t="s">
        <v>39</v>
      </c>
      <c r="F1352" t="s">
        <v>41</v>
      </c>
      <c r="G1352" t="s">
        <v>41</v>
      </c>
      <c r="H1352" t="s">
        <v>87</v>
      </c>
      <c r="I1352" t="s">
        <v>40</v>
      </c>
      <c r="J1352" t="s">
        <v>4153</v>
      </c>
      <c r="K1352" t="s">
        <v>40</v>
      </c>
      <c r="L1352" t="s">
        <v>43</v>
      </c>
      <c r="M1352" t="s">
        <v>959</v>
      </c>
      <c r="N1352" t="s">
        <v>47</v>
      </c>
      <c r="O1352" t="s">
        <v>41</v>
      </c>
      <c r="P1352" t="s">
        <v>46</v>
      </c>
      <c r="Q1352" t="s">
        <v>45</v>
      </c>
      <c r="R1352" t="s">
        <v>48</v>
      </c>
      <c r="S1352" t="s">
        <v>2089</v>
      </c>
      <c r="T1352" t="s">
        <v>4154</v>
      </c>
      <c r="U1352" t="s">
        <v>55</v>
      </c>
      <c r="V1352" t="s">
        <v>52</v>
      </c>
      <c r="W1352" t="s">
        <v>59</v>
      </c>
      <c r="X1352" t="s">
        <v>129</v>
      </c>
      <c r="Y1352" t="s">
        <v>45</v>
      </c>
      <c r="Z1352" t="s">
        <v>41</v>
      </c>
      <c r="AA1352" t="s">
        <v>54</v>
      </c>
      <c r="AB1352" t="s">
        <v>55</v>
      </c>
      <c r="AC1352" t="s">
        <v>91</v>
      </c>
      <c r="AD1352" t="s">
        <v>57</v>
      </c>
      <c r="AE1352" t="s">
        <v>41</v>
      </c>
      <c r="AF1352" t="s">
        <v>51</v>
      </c>
      <c r="AG1352" t="s">
        <v>71</v>
      </c>
      <c r="AH1352" t="s">
        <v>55</v>
      </c>
      <c r="AI1352" t="s">
        <v>71</v>
      </c>
    </row>
    <row r="1353" spans="1:35" x14ac:dyDescent="0.25">
      <c r="A1353" t="s">
        <v>207</v>
      </c>
      <c r="B1353" t="s">
        <v>59</v>
      </c>
      <c r="C1353" t="s">
        <v>60</v>
      </c>
      <c r="D1353" t="s">
        <v>432</v>
      </c>
      <c r="E1353" t="s">
        <v>62</v>
      </c>
      <c r="F1353" t="s">
        <v>112</v>
      </c>
      <c r="G1353" t="s">
        <v>45</v>
      </c>
      <c r="H1353" t="s">
        <v>87</v>
      </c>
      <c r="I1353" t="s">
        <v>40</v>
      </c>
      <c r="J1353" t="s">
        <v>4155</v>
      </c>
      <c r="K1353" t="s">
        <v>47</v>
      </c>
      <c r="L1353" t="s">
        <v>43</v>
      </c>
      <c r="M1353" t="s">
        <v>197</v>
      </c>
      <c r="N1353" t="s">
        <v>45</v>
      </c>
      <c r="O1353" t="s">
        <v>47</v>
      </c>
      <c r="P1353" t="s">
        <v>169</v>
      </c>
      <c r="Q1353" t="s">
        <v>47</v>
      </c>
      <c r="R1353" t="s">
        <v>109</v>
      </c>
      <c r="S1353" t="s">
        <v>4156</v>
      </c>
      <c r="T1353" t="s">
        <v>3899</v>
      </c>
      <c r="U1353" t="s">
        <v>45</v>
      </c>
      <c r="V1353" t="s">
        <v>52</v>
      </c>
      <c r="W1353" t="s">
        <v>59</v>
      </c>
      <c r="X1353" t="s">
        <v>53</v>
      </c>
      <c r="Y1353" t="s">
        <v>45</v>
      </c>
      <c r="Z1353" t="s">
        <v>41</v>
      </c>
      <c r="AA1353" t="s">
        <v>54</v>
      </c>
      <c r="AB1353" t="s">
        <v>40</v>
      </c>
      <c r="AC1353" t="s">
        <v>107</v>
      </c>
      <c r="AD1353" t="s">
        <v>45</v>
      </c>
      <c r="AE1353" t="s">
        <v>45</v>
      </c>
      <c r="AF1353" t="s">
        <v>112</v>
      </c>
      <c r="AG1353" t="s">
        <v>125</v>
      </c>
      <c r="AH1353" t="s">
        <v>47</v>
      </c>
      <c r="AI1353" t="s">
        <v>71</v>
      </c>
    </row>
    <row r="1354" spans="1:35" x14ac:dyDescent="0.25">
      <c r="A1354" t="s">
        <v>115</v>
      </c>
      <c r="B1354" t="s">
        <v>59</v>
      </c>
      <c r="C1354" t="s">
        <v>37</v>
      </c>
      <c r="D1354" t="s">
        <v>589</v>
      </c>
      <c r="E1354" t="s">
        <v>62</v>
      </c>
      <c r="F1354" t="s">
        <v>40</v>
      </c>
      <c r="G1354" t="s">
        <v>47</v>
      </c>
      <c r="H1354" t="s">
        <v>42</v>
      </c>
      <c r="I1354" t="s">
        <v>40</v>
      </c>
      <c r="J1354" t="s">
        <v>4157</v>
      </c>
      <c r="K1354" t="s">
        <v>41</v>
      </c>
      <c r="L1354" t="s">
        <v>63</v>
      </c>
      <c r="M1354" t="s">
        <v>168</v>
      </c>
      <c r="N1354" t="s">
        <v>47</v>
      </c>
      <c r="O1354" t="s">
        <v>41</v>
      </c>
      <c r="P1354" t="s">
        <v>122</v>
      </c>
      <c r="Q1354" t="s">
        <v>40</v>
      </c>
      <c r="R1354" t="s">
        <v>66</v>
      </c>
      <c r="S1354" t="s">
        <v>3921</v>
      </c>
      <c r="T1354" t="s">
        <v>4158</v>
      </c>
      <c r="U1354" t="s">
        <v>41</v>
      </c>
      <c r="V1354" t="s">
        <v>52</v>
      </c>
      <c r="W1354" t="s">
        <v>59</v>
      </c>
      <c r="X1354" t="s">
        <v>79</v>
      </c>
      <c r="Y1354" t="s">
        <v>45</v>
      </c>
      <c r="Z1354" t="s">
        <v>47</v>
      </c>
      <c r="AA1354" t="s">
        <v>54</v>
      </c>
      <c r="AB1354" t="s">
        <v>40</v>
      </c>
      <c r="AC1354" t="s">
        <v>70</v>
      </c>
      <c r="AD1354" t="s">
        <v>57</v>
      </c>
      <c r="AE1354" t="s">
        <v>45</v>
      </c>
      <c r="AF1354" t="s">
        <v>41</v>
      </c>
      <c r="AG1354" t="s">
        <v>55</v>
      </c>
      <c r="AH1354" t="s">
        <v>41</v>
      </c>
      <c r="AI1354" t="s">
        <v>41</v>
      </c>
    </row>
    <row r="1355" spans="1:35" x14ac:dyDescent="0.25">
      <c r="A1355" t="s">
        <v>142</v>
      </c>
      <c r="B1355" t="s">
        <v>36</v>
      </c>
      <c r="C1355" t="s">
        <v>161</v>
      </c>
      <c r="D1355" t="s">
        <v>682</v>
      </c>
      <c r="E1355" t="s">
        <v>62</v>
      </c>
      <c r="F1355" t="s">
        <v>128</v>
      </c>
      <c r="G1355" t="s">
        <v>47</v>
      </c>
      <c r="H1355" t="s">
        <v>228</v>
      </c>
      <c r="I1355" t="s">
        <v>40</v>
      </c>
      <c r="J1355" t="s">
        <v>4159</v>
      </c>
      <c r="K1355" t="s">
        <v>47</v>
      </c>
      <c r="L1355" t="s">
        <v>63</v>
      </c>
      <c r="M1355" t="s">
        <v>348</v>
      </c>
      <c r="N1355" t="s">
        <v>40</v>
      </c>
      <c r="O1355" t="s">
        <v>40</v>
      </c>
      <c r="P1355" t="s">
        <v>65</v>
      </c>
      <c r="Q1355" t="s">
        <v>40</v>
      </c>
      <c r="R1355" t="s">
        <v>66</v>
      </c>
      <c r="S1355" t="s">
        <v>4160</v>
      </c>
      <c r="T1355" t="s">
        <v>4161</v>
      </c>
      <c r="U1355" t="s">
        <v>40</v>
      </c>
      <c r="V1355" t="s">
        <v>52</v>
      </c>
      <c r="W1355" t="s">
        <v>36</v>
      </c>
      <c r="X1355" t="s">
        <v>69</v>
      </c>
      <c r="Y1355" t="s">
        <v>47</v>
      </c>
      <c r="Z1355" t="s">
        <v>41</v>
      </c>
      <c r="AA1355" t="s">
        <v>54</v>
      </c>
      <c r="AB1355" t="s">
        <v>40</v>
      </c>
      <c r="AC1355" t="s">
        <v>57</v>
      </c>
      <c r="AD1355" t="s">
        <v>41</v>
      </c>
      <c r="AE1355" t="s">
        <v>45</v>
      </c>
      <c r="AF1355" t="s">
        <v>57</v>
      </c>
      <c r="AG1355" t="s">
        <v>41</v>
      </c>
      <c r="AH1355" t="s">
        <v>45</v>
      </c>
      <c r="AI1355" t="s">
        <v>55</v>
      </c>
    </row>
    <row r="1356" spans="1:35" x14ac:dyDescent="0.25">
      <c r="A1356" t="s">
        <v>82</v>
      </c>
      <c r="B1356" t="s">
        <v>36</v>
      </c>
      <c r="C1356" t="s">
        <v>37</v>
      </c>
      <c r="D1356" t="s">
        <v>1300</v>
      </c>
      <c r="E1356" t="s">
        <v>62</v>
      </c>
      <c r="F1356" t="s">
        <v>107</v>
      </c>
      <c r="G1356" t="s">
        <v>41</v>
      </c>
      <c r="H1356" t="s">
        <v>42</v>
      </c>
      <c r="I1356" t="s">
        <v>40</v>
      </c>
      <c r="J1356" t="s">
        <v>4162</v>
      </c>
      <c r="K1356" t="s">
        <v>40</v>
      </c>
      <c r="L1356" t="s">
        <v>63</v>
      </c>
      <c r="M1356" t="s">
        <v>244</v>
      </c>
      <c r="N1356" t="s">
        <v>45</v>
      </c>
      <c r="O1356" t="s">
        <v>40</v>
      </c>
      <c r="P1356" t="s">
        <v>76</v>
      </c>
      <c r="Q1356" t="s">
        <v>47</v>
      </c>
      <c r="R1356" t="s">
        <v>48</v>
      </c>
      <c r="S1356" t="s">
        <v>3699</v>
      </c>
      <c r="T1356" t="s">
        <v>4163</v>
      </c>
      <c r="U1356" t="s">
        <v>40</v>
      </c>
      <c r="V1356" t="s">
        <v>52</v>
      </c>
      <c r="W1356" t="s">
        <v>59</v>
      </c>
      <c r="X1356" t="s">
        <v>128</v>
      </c>
      <c r="Y1356" t="s">
        <v>45</v>
      </c>
      <c r="Z1356" t="s">
        <v>47</v>
      </c>
      <c r="AA1356" t="s">
        <v>54</v>
      </c>
      <c r="AB1356" t="s">
        <v>55</v>
      </c>
      <c r="AC1356" t="s">
        <v>57</v>
      </c>
      <c r="AD1356" t="s">
        <v>45</v>
      </c>
      <c r="AE1356" t="s">
        <v>45</v>
      </c>
      <c r="AF1356" t="s">
        <v>47</v>
      </c>
      <c r="AG1356" t="s">
        <v>41</v>
      </c>
      <c r="AH1356" t="s">
        <v>40</v>
      </c>
      <c r="AI1356" t="s">
        <v>55</v>
      </c>
    </row>
    <row r="1357" spans="1:35" x14ac:dyDescent="0.25">
      <c r="A1357" t="s">
        <v>120</v>
      </c>
      <c r="B1357" t="s">
        <v>59</v>
      </c>
      <c r="C1357" t="s">
        <v>37</v>
      </c>
      <c r="D1357" t="s">
        <v>1004</v>
      </c>
      <c r="E1357" t="s">
        <v>39</v>
      </c>
      <c r="F1357" t="s">
        <v>125</v>
      </c>
      <c r="G1357" t="s">
        <v>41</v>
      </c>
      <c r="H1357" t="s">
        <v>206</v>
      </c>
      <c r="I1357" t="s">
        <v>40</v>
      </c>
      <c r="J1357" t="s">
        <v>4164</v>
      </c>
      <c r="K1357" t="s">
        <v>45</v>
      </c>
      <c r="L1357" t="s">
        <v>63</v>
      </c>
      <c r="M1357" t="s">
        <v>80</v>
      </c>
      <c r="N1357" t="s">
        <v>41</v>
      </c>
      <c r="O1357" t="s">
        <v>41</v>
      </c>
      <c r="P1357" t="s">
        <v>46</v>
      </c>
      <c r="Q1357" t="s">
        <v>41</v>
      </c>
      <c r="R1357" t="s">
        <v>66</v>
      </c>
      <c r="S1357" t="s">
        <v>4165</v>
      </c>
      <c r="T1357" t="s">
        <v>4166</v>
      </c>
      <c r="U1357" t="s">
        <v>41</v>
      </c>
      <c r="V1357" t="s">
        <v>52</v>
      </c>
      <c r="W1357" t="s">
        <v>59</v>
      </c>
      <c r="X1357" t="s">
        <v>128</v>
      </c>
      <c r="Y1357" t="s">
        <v>45</v>
      </c>
      <c r="Z1357" t="s">
        <v>45</v>
      </c>
      <c r="AA1357" t="s">
        <v>54</v>
      </c>
      <c r="AB1357" t="s">
        <v>41</v>
      </c>
      <c r="AC1357" t="s">
        <v>92</v>
      </c>
      <c r="AD1357" t="s">
        <v>40</v>
      </c>
      <c r="AE1357" t="s">
        <v>40</v>
      </c>
      <c r="AF1357" t="s">
        <v>47</v>
      </c>
      <c r="AG1357" t="s">
        <v>41</v>
      </c>
      <c r="AH1357" t="s">
        <v>40</v>
      </c>
      <c r="AI1357" t="s">
        <v>45</v>
      </c>
    </row>
    <row r="1358" spans="1:35" x14ac:dyDescent="0.25">
      <c r="A1358" t="s">
        <v>35</v>
      </c>
      <c r="B1358" t="s">
        <v>59</v>
      </c>
      <c r="C1358" t="s">
        <v>37</v>
      </c>
      <c r="D1358" t="s">
        <v>1011</v>
      </c>
      <c r="E1358" t="s">
        <v>39</v>
      </c>
      <c r="F1358" t="s">
        <v>51</v>
      </c>
      <c r="G1358" t="s">
        <v>45</v>
      </c>
      <c r="H1358" t="s">
        <v>206</v>
      </c>
      <c r="I1358" t="s">
        <v>40</v>
      </c>
      <c r="J1358" t="s">
        <v>4167</v>
      </c>
      <c r="K1358" t="s">
        <v>45</v>
      </c>
      <c r="L1358" t="s">
        <v>43</v>
      </c>
      <c r="M1358" t="s">
        <v>259</v>
      </c>
      <c r="N1358" t="s">
        <v>45</v>
      </c>
      <c r="O1358" t="s">
        <v>41</v>
      </c>
      <c r="P1358" t="s">
        <v>46</v>
      </c>
      <c r="Q1358" t="s">
        <v>41</v>
      </c>
      <c r="R1358" t="s">
        <v>66</v>
      </c>
      <c r="S1358" t="s">
        <v>4168</v>
      </c>
      <c r="T1358" t="s">
        <v>4169</v>
      </c>
      <c r="U1358" t="s">
        <v>57</v>
      </c>
      <c r="V1358" t="s">
        <v>52</v>
      </c>
      <c r="W1358" t="s">
        <v>59</v>
      </c>
      <c r="X1358" t="s">
        <v>119</v>
      </c>
      <c r="Y1358" t="s">
        <v>47</v>
      </c>
      <c r="Z1358" t="s">
        <v>45</v>
      </c>
      <c r="AA1358" t="s">
        <v>54</v>
      </c>
      <c r="AB1358" t="s">
        <v>40</v>
      </c>
      <c r="AC1358" t="s">
        <v>129</v>
      </c>
      <c r="AD1358" t="s">
        <v>45</v>
      </c>
      <c r="AE1358" t="s">
        <v>45</v>
      </c>
      <c r="AF1358" t="s">
        <v>57</v>
      </c>
      <c r="AG1358" t="s">
        <v>47</v>
      </c>
      <c r="AH1358" t="s">
        <v>40</v>
      </c>
      <c r="AI1358" t="s">
        <v>47</v>
      </c>
    </row>
    <row r="1359" spans="1:35" x14ac:dyDescent="0.25">
      <c r="A1359" t="s">
        <v>204</v>
      </c>
      <c r="B1359" t="s">
        <v>59</v>
      </c>
      <c r="C1359" t="s">
        <v>37</v>
      </c>
      <c r="D1359" t="s">
        <v>921</v>
      </c>
      <c r="E1359" t="s">
        <v>62</v>
      </c>
      <c r="F1359" t="s">
        <v>56</v>
      </c>
      <c r="G1359" t="s">
        <v>45</v>
      </c>
      <c r="H1359" t="s">
        <v>87</v>
      </c>
      <c r="I1359" t="s">
        <v>40</v>
      </c>
      <c r="J1359" t="s">
        <v>4170</v>
      </c>
      <c r="K1359" t="s">
        <v>45</v>
      </c>
      <c r="L1359" t="s">
        <v>63</v>
      </c>
      <c r="M1359" t="s">
        <v>193</v>
      </c>
      <c r="N1359" t="s">
        <v>45</v>
      </c>
      <c r="O1359" t="s">
        <v>45</v>
      </c>
      <c r="P1359" t="s">
        <v>186</v>
      </c>
      <c r="Q1359" t="s">
        <v>40</v>
      </c>
      <c r="R1359" t="s">
        <v>66</v>
      </c>
      <c r="S1359" t="s">
        <v>4171</v>
      </c>
      <c r="T1359" t="s">
        <v>4172</v>
      </c>
      <c r="U1359" t="s">
        <v>91</v>
      </c>
      <c r="V1359" t="s">
        <v>52</v>
      </c>
      <c r="W1359" t="s">
        <v>59</v>
      </c>
      <c r="X1359" t="s">
        <v>98</v>
      </c>
      <c r="Y1359" t="s">
        <v>45</v>
      </c>
      <c r="Z1359" t="s">
        <v>41</v>
      </c>
      <c r="AA1359" t="s">
        <v>54</v>
      </c>
      <c r="AB1359" t="s">
        <v>40</v>
      </c>
      <c r="AC1359" t="s">
        <v>145</v>
      </c>
      <c r="AD1359" t="s">
        <v>45</v>
      </c>
      <c r="AE1359" t="s">
        <v>47</v>
      </c>
      <c r="AF1359" t="s">
        <v>98</v>
      </c>
      <c r="AG1359" t="s">
        <v>71</v>
      </c>
      <c r="AH1359" t="s">
        <v>57</v>
      </c>
      <c r="AI1359" t="s">
        <v>71</v>
      </c>
    </row>
    <row r="1360" spans="1:35" x14ac:dyDescent="0.25">
      <c r="A1360" t="s">
        <v>137</v>
      </c>
      <c r="B1360" t="s">
        <v>59</v>
      </c>
      <c r="C1360" t="s">
        <v>37</v>
      </c>
      <c r="D1360" t="s">
        <v>2640</v>
      </c>
      <c r="E1360" t="s">
        <v>39</v>
      </c>
      <c r="F1360" t="s">
        <v>70</v>
      </c>
      <c r="G1360" t="s">
        <v>41</v>
      </c>
      <c r="H1360" t="s">
        <v>87</v>
      </c>
      <c r="I1360" t="s">
        <v>40</v>
      </c>
      <c r="J1360" t="s">
        <v>4173</v>
      </c>
      <c r="K1360" t="s">
        <v>45</v>
      </c>
      <c r="L1360" t="s">
        <v>43</v>
      </c>
      <c r="M1360" t="s">
        <v>240</v>
      </c>
      <c r="N1360" t="s">
        <v>45</v>
      </c>
      <c r="O1360" t="s">
        <v>41</v>
      </c>
      <c r="P1360" t="s">
        <v>46</v>
      </c>
      <c r="Q1360" t="s">
        <v>47</v>
      </c>
      <c r="R1360" t="s">
        <v>109</v>
      </c>
      <c r="S1360" t="s">
        <v>4174</v>
      </c>
      <c r="T1360" t="s">
        <v>4175</v>
      </c>
      <c r="U1360" t="s">
        <v>41</v>
      </c>
      <c r="V1360" t="s">
        <v>52</v>
      </c>
      <c r="W1360" t="s">
        <v>36</v>
      </c>
      <c r="X1360" t="s">
        <v>53</v>
      </c>
      <c r="Y1360" t="s">
        <v>45</v>
      </c>
      <c r="Z1360" t="s">
        <v>47</v>
      </c>
      <c r="AA1360" t="s">
        <v>54</v>
      </c>
      <c r="AB1360" t="s">
        <v>40</v>
      </c>
      <c r="AC1360" t="s">
        <v>51</v>
      </c>
      <c r="AD1360" t="s">
        <v>41</v>
      </c>
      <c r="AE1360" t="s">
        <v>45</v>
      </c>
      <c r="AF1360" t="s">
        <v>57</v>
      </c>
      <c r="AG1360" t="s">
        <v>41</v>
      </c>
      <c r="AH1360" t="s">
        <v>40</v>
      </c>
      <c r="AI1360" t="s">
        <v>47</v>
      </c>
    </row>
    <row r="1361" spans="1:35" x14ac:dyDescent="0.25">
      <c r="A1361" t="s">
        <v>142</v>
      </c>
      <c r="B1361" t="s">
        <v>59</v>
      </c>
      <c r="C1361" t="s">
        <v>37</v>
      </c>
      <c r="D1361" t="s">
        <v>3016</v>
      </c>
      <c r="E1361" t="s">
        <v>39</v>
      </c>
      <c r="F1361" t="s">
        <v>45</v>
      </c>
      <c r="G1361" t="s">
        <v>40</v>
      </c>
      <c r="H1361" t="s">
        <v>87</v>
      </c>
      <c r="I1361" t="s">
        <v>40</v>
      </c>
      <c r="J1361" t="s">
        <v>4176</v>
      </c>
      <c r="K1361" t="s">
        <v>47</v>
      </c>
      <c r="L1361" t="s">
        <v>43</v>
      </c>
      <c r="M1361" t="s">
        <v>255</v>
      </c>
      <c r="N1361" t="s">
        <v>41</v>
      </c>
      <c r="O1361" t="s">
        <v>41</v>
      </c>
      <c r="P1361" t="s">
        <v>46</v>
      </c>
      <c r="Q1361" t="s">
        <v>47</v>
      </c>
      <c r="R1361" t="s">
        <v>66</v>
      </c>
      <c r="S1361" t="s">
        <v>4177</v>
      </c>
      <c r="T1361" t="s">
        <v>4178</v>
      </c>
      <c r="U1361" t="s">
        <v>45</v>
      </c>
      <c r="V1361" t="s">
        <v>52</v>
      </c>
      <c r="W1361" t="s">
        <v>36</v>
      </c>
      <c r="X1361" t="s">
        <v>92</v>
      </c>
      <c r="Y1361" t="s">
        <v>45</v>
      </c>
      <c r="Z1361" t="s">
        <v>45</v>
      </c>
      <c r="AA1361" t="s">
        <v>54</v>
      </c>
      <c r="AB1361" t="s">
        <v>55</v>
      </c>
      <c r="AC1361" t="s">
        <v>91</v>
      </c>
      <c r="AD1361" t="s">
        <v>45</v>
      </c>
      <c r="AE1361" t="s">
        <v>41</v>
      </c>
      <c r="AF1361" t="s">
        <v>47</v>
      </c>
      <c r="AG1361" t="s">
        <v>41</v>
      </c>
      <c r="AH1361" t="s">
        <v>55</v>
      </c>
      <c r="AI1361" t="s">
        <v>40</v>
      </c>
    </row>
    <row r="1362" spans="1:35" x14ac:dyDescent="0.25">
      <c r="A1362" t="s">
        <v>137</v>
      </c>
      <c r="B1362" t="s">
        <v>59</v>
      </c>
      <c r="C1362" t="s">
        <v>37</v>
      </c>
      <c r="D1362" t="s">
        <v>1384</v>
      </c>
      <c r="E1362" t="s">
        <v>62</v>
      </c>
      <c r="F1362" t="s">
        <v>47</v>
      </c>
      <c r="G1362" t="s">
        <v>45</v>
      </c>
      <c r="H1362" t="s">
        <v>87</v>
      </c>
      <c r="I1362" t="s">
        <v>40</v>
      </c>
      <c r="J1362" t="s">
        <v>4179</v>
      </c>
      <c r="K1362" t="s">
        <v>40</v>
      </c>
      <c r="L1362" t="s">
        <v>43</v>
      </c>
      <c r="M1362" t="s">
        <v>283</v>
      </c>
      <c r="N1362" t="s">
        <v>47</v>
      </c>
      <c r="O1362" t="s">
        <v>40</v>
      </c>
      <c r="P1362" t="s">
        <v>76</v>
      </c>
      <c r="Q1362" t="s">
        <v>45</v>
      </c>
      <c r="R1362" t="s">
        <v>109</v>
      </c>
      <c r="S1362" t="s">
        <v>4180</v>
      </c>
      <c r="T1362" t="s">
        <v>4181</v>
      </c>
      <c r="U1362" t="s">
        <v>51</v>
      </c>
      <c r="V1362" t="s">
        <v>52</v>
      </c>
      <c r="W1362" t="s">
        <v>59</v>
      </c>
      <c r="X1362" t="s">
        <v>92</v>
      </c>
      <c r="Y1362" t="s">
        <v>45</v>
      </c>
      <c r="Z1362" t="s">
        <v>41</v>
      </c>
      <c r="AA1362" t="s">
        <v>54</v>
      </c>
      <c r="AB1362" t="s">
        <v>40</v>
      </c>
      <c r="AC1362" t="s">
        <v>47</v>
      </c>
      <c r="AD1362" t="s">
        <v>55</v>
      </c>
      <c r="AE1362" t="s">
        <v>41</v>
      </c>
      <c r="AF1362" t="s">
        <v>41</v>
      </c>
      <c r="AG1362" t="s">
        <v>41</v>
      </c>
      <c r="AH1362" t="s">
        <v>41</v>
      </c>
      <c r="AI1362" t="s">
        <v>41</v>
      </c>
    </row>
    <row r="1363" spans="1:35" x14ac:dyDescent="0.25">
      <c r="A1363" t="s">
        <v>139</v>
      </c>
      <c r="B1363" t="s">
        <v>59</v>
      </c>
      <c r="C1363" t="s">
        <v>60</v>
      </c>
      <c r="D1363" t="s">
        <v>2664</v>
      </c>
      <c r="E1363" t="s">
        <v>62</v>
      </c>
      <c r="F1363" t="s">
        <v>56</v>
      </c>
      <c r="G1363" t="s">
        <v>45</v>
      </c>
      <c r="H1363" t="s">
        <v>74</v>
      </c>
      <c r="I1363" t="s">
        <v>40</v>
      </c>
      <c r="J1363" t="s">
        <v>4182</v>
      </c>
      <c r="K1363" t="s">
        <v>45</v>
      </c>
      <c r="L1363" t="s">
        <v>63</v>
      </c>
      <c r="M1363" t="s">
        <v>64</v>
      </c>
      <c r="N1363" t="s">
        <v>47</v>
      </c>
      <c r="O1363" t="s">
        <v>40</v>
      </c>
      <c r="P1363" t="s">
        <v>76</v>
      </c>
      <c r="Q1363" t="s">
        <v>47</v>
      </c>
      <c r="R1363" t="s">
        <v>66</v>
      </c>
      <c r="S1363" t="s">
        <v>4183</v>
      </c>
      <c r="T1363" t="s">
        <v>4184</v>
      </c>
      <c r="U1363" t="s">
        <v>55</v>
      </c>
      <c r="V1363" t="s">
        <v>52</v>
      </c>
      <c r="W1363" t="s">
        <v>59</v>
      </c>
      <c r="X1363" t="s">
        <v>145</v>
      </c>
      <c r="Y1363" t="s">
        <v>45</v>
      </c>
      <c r="Z1363" t="s">
        <v>40</v>
      </c>
      <c r="AA1363" t="s">
        <v>54</v>
      </c>
      <c r="AB1363" t="s">
        <v>40</v>
      </c>
      <c r="AC1363" t="s">
        <v>51</v>
      </c>
      <c r="AD1363" t="s">
        <v>45</v>
      </c>
      <c r="AE1363" t="s">
        <v>45</v>
      </c>
      <c r="AF1363" t="s">
        <v>71</v>
      </c>
      <c r="AG1363" t="s">
        <v>71</v>
      </c>
      <c r="AH1363" t="s">
        <v>71</v>
      </c>
      <c r="AI1363" t="s">
        <v>71</v>
      </c>
    </row>
    <row r="1364" spans="1:35" x14ac:dyDescent="0.25">
      <c r="A1364" t="s">
        <v>174</v>
      </c>
      <c r="B1364" t="s">
        <v>59</v>
      </c>
      <c r="C1364" t="s">
        <v>60</v>
      </c>
      <c r="D1364" t="s">
        <v>3033</v>
      </c>
      <c r="E1364" t="s">
        <v>62</v>
      </c>
      <c r="F1364" t="s">
        <v>40</v>
      </c>
      <c r="G1364" t="s">
        <v>47</v>
      </c>
      <c r="H1364" t="s">
        <v>87</v>
      </c>
      <c r="I1364" t="s">
        <v>40</v>
      </c>
      <c r="J1364" t="s">
        <v>4185</v>
      </c>
      <c r="K1364" t="s">
        <v>41</v>
      </c>
      <c r="L1364" t="s">
        <v>63</v>
      </c>
      <c r="M1364" t="s">
        <v>115</v>
      </c>
      <c r="N1364" t="s">
        <v>45</v>
      </c>
      <c r="O1364" t="s">
        <v>41</v>
      </c>
      <c r="P1364" t="s">
        <v>122</v>
      </c>
      <c r="Q1364" t="s">
        <v>45</v>
      </c>
      <c r="R1364" t="s">
        <v>48</v>
      </c>
      <c r="S1364" t="s">
        <v>4186</v>
      </c>
      <c r="T1364" t="s">
        <v>4187</v>
      </c>
      <c r="U1364" t="s">
        <v>47</v>
      </c>
      <c r="V1364" t="s">
        <v>52</v>
      </c>
      <c r="W1364" t="s">
        <v>59</v>
      </c>
      <c r="X1364" t="s">
        <v>92</v>
      </c>
      <c r="Y1364" t="s">
        <v>45</v>
      </c>
      <c r="Z1364" t="s">
        <v>45</v>
      </c>
      <c r="AA1364" t="s">
        <v>54</v>
      </c>
      <c r="AB1364" t="s">
        <v>55</v>
      </c>
      <c r="AC1364" t="s">
        <v>92</v>
      </c>
      <c r="AD1364" t="s">
        <v>45</v>
      </c>
      <c r="AE1364" t="s">
        <v>45</v>
      </c>
      <c r="AF1364" t="s">
        <v>47</v>
      </c>
      <c r="AG1364" t="s">
        <v>41</v>
      </c>
      <c r="AH1364" t="s">
        <v>55</v>
      </c>
      <c r="AI1364" t="s">
        <v>45</v>
      </c>
    </row>
    <row r="1365" spans="1:35" x14ac:dyDescent="0.25">
      <c r="A1365" t="s">
        <v>80</v>
      </c>
      <c r="B1365" t="s">
        <v>59</v>
      </c>
      <c r="C1365" t="s">
        <v>37</v>
      </c>
      <c r="D1365" t="s">
        <v>706</v>
      </c>
      <c r="E1365" t="s">
        <v>39</v>
      </c>
      <c r="F1365" t="s">
        <v>70</v>
      </c>
      <c r="G1365" t="s">
        <v>47</v>
      </c>
      <c r="H1365" t="s">
        <v>206</v>
      </c>
      <c r="I1365" t="s">
        <v>40</v>
      </c>
      <c r="J1365" t="s">
        <v>4188</v>
      </c>
      <c r="K1365" t="s">
        <v>41</v>
      </c>
      <c r="L1365" t="s">
        <v>63</v>
      </c>
      <c r="M1365" t="s">
        <v>234</v>
      </c>
      <c r="N1365" t="s">
        <v>45</v>
      </c>
      <c r="O1365" t="s">
        <v>41</v>
      </c>
      <c r="P1365" t="s">
        <v>46</v>
      </c>
      <c r="Q1365" t="s">
        <v>45</v>
      </c>
      <c r="R1365" t="s">
        <v>48</v>
      </c>
      <c r="S1365" t="s">
        <v>4189</v>
      </c>
      <c r="T1365" t="s">
        <v>4190</v>
      </c>
      <c r="U1365" t="s">
        <v>40</v>
      </c>
      <c r="V1365" t="s">
        <v>52</v>
      </c>
      <c r="W1365" t="s">
        <v>59</v>
      </c>
      <c r="X1365" t="s">
        <v>129</v>
      </c>
      <c r="Y1365" t="s">
        <v>45</v>
      </c>
      <c r="Z1365" t="s">
        <v>41</v>
      </c>
      <c r="AA1365" t="s">
        <v>54</v>
      </c>
      <c r="AB1365" t="s">
        <v>55</v>
      </c>
      <c r="AC1365" t="s">
        <v>70</v>
      </c>
      <c r="AD1365" t="s">
        <v>41</v>
      </c>
      <c r="AE1365" t="s">
        <v>41</v>
      </c>
      <c r="AF1365" t="s">
        <v>70</v>
      </c>
      <c r="AG1365" t="s">
        <v>47</v>
      </c>
      <c r="AH1365" t="s">
        <v>55</v>
      </c>
      <c r="AI1365" t="s">
        <v>91</v>
      </c>
    </row>
    <row r="1366" spans="1:35" x14ac:dyDescent="0.25">
      <c r="A1366" t="s">
        <v>149</v>
      </c>
      <c r="B1366" t="s">
        <v>59</v>
      </c>
      <c r="C1366" t="s">
        <v>60</v>
      </c>
      <c r="D1366" t="s">
        <v>2035</v>
      </c>
      <c r="E1366" t="s">
        <v>39</v>
      </c>
      <c r="F1366" t="s">
        <v>40</v>
      </c>
      <c r="G1366" t="s">
        <v>41</v>
      </c>
      <c r="H1366" t="s">
        <v>42</v>
      </c>
      <c r="I1366" t="s">
        <v>40</v>
      </c>
      <c r="J1366" t="s">
        <v>4191</v>
      </c>
      <c r="K1366" t="s">
        <v>45</v>
      </c>
      <c r="L1366" t="s">
        <v>63</v>
      </c>
      <c r="M1366" t="s">
        <v>204</v>
      </c>
      <c r="N1366" t="s">
        <v>41</v>
      </c>
      <c r="O1366" t="s">
        <v>41</v>
      </c>
      <c r="P1366" t="s">
        <v>46</v>
      </c>
      <c r="Q1366" t="s">
        <v>47</v>
      </c>
      <c r="R1366" t="s">
        <v>66</v>
      </c>
      <c r="S1366" t="s">
        <v>4192</v>
      </c>
      <c r="T1366" t="s">
        <v>4193</v>
      </c>
      <c r="U1366" t="s">
        <v>40</v>
      </c>
      <c r="V1366" t="s">
        <v>52</v>
      </c>
      <c r="W1366" t="s">
        <v>36</v>
      </c>
      <c r="X1366" t="s">
        <v>92</v>
      </c>
      <c r="Y1366" t="s">
        <v>45</v>
      </c>
      <c r="Z1366" t="s">
        <v>45</v>
      </c>
      <c r="AA1366" t="s">
        <v>54</v>
      </c>
      <c r="AB1366" t="s">
        <v>40</v>
      </c>
      <c r="AC1366" t="s">
        <v>71</v>
      </c>
      <c r="AD1366" t="s">
        <v>41</v>
      </c>
      <c r="AE1366" t="s">
        <v>45</v>
      </c>
      <c r="AF1366" t="s">
        <v>71</v>
      </c>
      <c r="AG1366" t="s">
        <v>71</v>
      </c>
      <c r="AH1366" t="s">
        <v>55</v>
      </c>
      <c r="AI1366" t="s">
        <v>71</v>
      </c>
    </row>
    <row r="1367" spans="1:35" x14ac:dyDescent="0.25">
      <c r="A1367" t="s">
        <v>133</v>
      </c>
      <c r="B1367" t="s">
        <v>36</v>
      </c>
      <c r="C1367" t="s">
        <v>60</v>
      </c>
      <c r="D1367" t="s">
        <v>381</v>
      </c>
      <c r="E1367" t="s">
        <v>39</v>
      </c>
      <c r="F1367" t="s">
        <v>107</v>
      </c>
      <c r="G1367" t="s">
        <v>45</v>
      </c>
      <c r="H1367" t="s">
        <v>228</v>
      </c>
      <c r="I1367" t="s">
        <v>40</v>
      </c>
      <c r="J1367" t="s">
        <v>4194</v>
      </c>
      <c r="K1367" t="s">
        <v>45</v>
      </c>
      <c r="L1367" t="s">
        <v>63</v>
      </c>
      <c r="M1367" t="s">
        <v>174</v>
      </c>
      <c r="N1367" t="s">
        <v>47</v>
      </c>
      <c r="O1367" t="s">
        <v>40</v>
      </c>
      <c r="P1367" t="s">
        <v>182</v>
      </c>
      <c r="Q1367" t="s">
        <v>40</v>
      </c>
      <c r="R1367" t="s">
        <v>48</v>
      </c>
      <c r="S1367" t="s">
        <v>1265</v>
      </c>
      <c r="T1367" t="s">
        <v>4195</v>
      </c>
      <c r="U1367" t="s">
        <v>40</v>
      </c>
      <c r="V1367" t="s">
        <v>52</v>
      </c>
      <c r="W1367" t="s">
        <v>59</v>
      </c>
      <c r="X1367" t="s">
        <v>125</v>
      </c>
      <c r="Y1367" t="s">
        <v>45</v>
      </c>
      <c r="Z1367" t="s">
        <v>47</v>
      </c>
      <c r="AA1367" t="s">
        <v>54</v>
      </c>
      <c r="AB1367" t="s">
        <v>55</v>
      </c>
      <c r="AC1367" t="s">
        <v>40</v>
      </c>
      <c r="AD1367" t="s">
        <v>45</v>
      </c>
      <c r="AE1367" t="s">
        <v>45</v>
      </c>
      <c r="AF1367" t="s">
        <v>40</v>
      </c>
      <c r="AG1367" t="s">
        <v>55</v>
      </c>
      <c r="AH1367" t="s">
        <v>55</v>
      </c>
      <c r="AI1367" t="s">
        <v>55</v>
      </c>
    </row>
    <row r="1368" spans="1:35" x14ac:dyDescent="0.25">
      <c r="A1368" t="s">
        <v>218</v>
      </c>
      <c r="B1368" t="s">
        <v>59</v>
      </c>
      <c r="C1368" t="s">
        <v>161</v>
      </c>
      <c r="D1368" t="s">
        <v>2941</v>
      </c>
      <c r="E1368" t="s">
        <v>39</v>
      </c>
      <c r="F1368" t="s">
        <v>119</v>
      </c>
      <c r="G1368" t="s">
        <v>47</v>
      </c>
      <c r="H1368" t="s">
        <v>42</v>
      </c>
      <c r="I1368" t="s">
        <v>40</v>
      </c>
      <c r="J1368" t="s">
        <v>4196</v>
      </c>
      <c r="K1368" t="s">
        <v>40</v>
      </c>
      <c r="L1368" t="s">
        <v>43</v>
      </c>
      <c r="M1368" t="s">
        <v>93</v>
      </c>
      <c r="N1368" t="s">
        <v>40</v>
      </c>
      <c r="O1368" t="s">
        <v>41</v>
      </c>
      <c r="P1368" t="s">
        <v>46</v>
      </c>
      <c r="Q1368" t="s">
        <v>45</v>
      </c>
      <c r="R1368" t="s">
        <v>66</v>
      </c>
      <c r="S1368" t="s">
        <v>4197</v>
      </c>
      <c r="T1368" t="s">
        <v>4198</v>
      </c>
      <c r="U1368" t="s">
        <v>56</v>
      </c>
      <c r="V1368" t="s">
        <v>52</v>
      </c>
      <c r="W1368" t="s">
        <v>59</v>
      </c>
      <c r="X1368" t="s">
        <v>144</v>
      </c>
      <c r="Y1368" t="s">
        <v>45</v>
      </c>
      <c r="Z1368" t="s">
        <v>45</v>
      </c>
      <c r="AA1368" t="s">
        <v>54</v>
      </c>
      <c r="AB1368" t="s">
        <v>40</v>
      </c>
      <c r="AC1368" t="s">
        <v>70</v>
      </c>
      <c r="AD1368" t="s">
        <v>40</v>
      </c>
      <c r="AE1368" t="s">
        <v>45</v>
      </c>
      <c r="AF1368" t="s">
        <v>45</v>
      </c>
      <c r="AG1368" t="s">
        <v>41</v>
      </c>
      <c r="AH1368" t="s">
        <v>40</v>
      </c>
      <c r="AI1368" t="s">
        <v>41</v>
      </c>
    </row>
    <row r="1369" spans="1:35" x14ac:dyDescent="0.25">
      <c r="A1369" t="s">
        <v>85</v>
      </c>
      <c r="B1369" t="s">
        <v>59</v>
      </c>
      <c r="C1369" t="s">
        <v>37</v>
      </c>
      <c r="D1369" t="s">
        <v>538</v>
      </c>
      <c r="E1369" t="s">
        <v>62</v>
      </c>
      <c r="F1369" t="s">
        <v>41</v>
      </c>
      <c r="G1369" t="s">
        <v>47</v>
      </c>
      <c r="H1369" t="s">
        <v>228</v>
      </c>
      <c r="I1369" t="s">
        <v>40</v>
      </c>
      <c r="J1369" t="s">
        <v>4199</v>
      </c>
      <c r="K1369" t="s">
        <v>41</v>
      </c>
      <c r="L1369" t="s">
        <v>63</v>
      </c>
      <c r="M1369" t="s">
        <v>35</v>
      </c>
      <c r="N1369" t="s">
        <v>45</v>
      </c>
      <c r="O1369" t="s">
        <v>40</v>
      </c>
      <c r="P1369" t="s">
        <v>65</v>
      </c>
      <c r="Q1369" t="s">
        <v>41</v>
      </c>
      <c r="R1369" t="s">
        <v>66</v>
      </c>
      <c r="S1369" t="s">
        <v>4200</v>
      </c>
      <c r="T1369" t="s">
        <v>4201</v>
      </c>
      <c r="U1369" t="s">
        <v>40</v>
      </c>
      <c r="V1369" t="s">
        <v>52</v>
      </c>
      <c r="W1369" t="s">
        <v>59</v>
      </c>
      <c r="X1369" t="s">
        <v>53</v>
      </c>
      <c r="Y1369" t="s">
        <v>45</v>
      </c>
      <c r="Z1369" t="s">
        <v>45</v>
      </c>
      <c r="AA1369" t="s">
        <v>54</v>
      </c>
      <c r="AB1369" t="s">
        <v>40</v>
      </c>
      <c r="AC1369" t="s">
        <v>56</v>
      </c>
      <c r="AD1369" t="s">
        <v>45</v>
      </c>
      <c r="AE1369" t="s">
        <v>41</v>
      </c>
      <c r="AF1369" t="s">
        <v>57</v>
      </c>
      <c r="AG1369" t="s">
        <v>45</v>
      </c>
      <c r="AH1369" t="s">
        <v>40</v>
      </c>
      <c r="AI1369" t="s">
        <v>41</v>
      </c>
    </row>
    <row r="1370" spans="1:35" x14ac:dyDescent="0.25">
      <c r="A1370" t="s">
        <v>142</v>
      </c>
      <c r="B1370" t="s">
        <v>59</v>
      </c>
      <c r="C1370" t="s">
        <v>60</v>
      </c>
      <c r="D1370" t="s">
        <v>3016</v>
      </c>
      <c r="E1370" t="s">
        <v>62</v>
      </c>
      <c r="F1370" t="s">
        <v>112</v>
      </c>
      <c r="G1370" t="s">
        <v>47</v>
      </c>
      <c r="H1370" t="s">
        <v>74</v>
      </c>
      <c r="I1370" t="s">
        <v>40</v>
      </c>
      <c r="J1370" t="s">
        <v>4202</v>
      </c>
      <c r="K1370" t="s">
        <v>45</v>
      </c>
      <c r="L1370" t="s">
        <v>63</v>
      </c>
      <c r="M1370" t="s">
        <v>240</v>
      </c>
      <c r="N1370" t="s">
        <v>41</v>
      </c>
      <c r="O1370" t="s">
        <v>41</v>
      </c>
      <c r="P1370" t="s">
        <v>65</v>
      </c>
      <c r="Q1370" t="s">
        <v>47</v>
      </c>
      <c r="R1370" t="s">
        <v>66</v>
      </c>
      <c r="S1370" t="s">
        <v>3061</v>
      </c>
      <c r="T1370" t="s">
        <v>4203</v>
      </c>
      <c r="U1370" t="s">
        <v>40</v>
      </c>
      <c r="V1370" t="s">
        <v>52</v>
      </c>
      <c r="W1370" t="s">
        <v>36</v>
      </c>
      <c r="X1370" t="s">
        <v>79</v>
      </c>
      <c r="Y1370" t="s">
        <v>45</v>
      </c>
      <c r="Z1370" t="s">
        <v>41</v>
      </c>
      <c r="AA1370" t="s">
        <v>54</v>
      </c>
      <c r="AB1370" t="s">
        <v>55</v>
      </c>
      <c r="AC1370" t="s">
        <v>128</v>
      </c>
      <c r="AD1370" t="s">
        <v>45</v>
      </c>
      <c r="AE1370" t="s">
        <v>45</v>
      </c>
      <c r="AF1370" t="s">
        <v>79</v>
      </c>
      <c r="AG1370" t="s">
        <v>70</v>
      </c>
      <c r="AH1370" t="s">
        <v>56</v>
      </c>
      <c r="AI1370" t="s">
        <v>53</v>
      </c>
    </row>
    <row r="1371" spans="1:35" x14ac:dyDescent="0.25">
      <c r="A1371" t="s">
        <v>149</v>
      </c>
      <c r="B1371" t="s">
        <v>36</v>
      </c>
      <c r="C1371" t="s">
        <v>37</v>
      </c>
      <c r="D1371" t="s">
        <v>3218</v>
      </c>
      <c r="E1371" t="s">
        <v>39</v>
      </c>
      <c r="F1371" t="s">
        <v>98</v>
      </c>
      <c r="G1371" t="s">
        <v>41</v>
      </c>
      <c r="H1371" t="s">
        <v>206</v>
      </c>
      <c r="I1371" t="s">
        <v>40</v>
      </c>
      <c r="J1371" t="s">
        <v>4204</v>
      </c>
      <c r="K1371" t="s">
        <v>47</v>
      </c>
      <c r="L1371" t="s">
        <v>43</v>
      </c>
      <c r="M1371" t="s">
        <v>130</v>
      </c>
      <c r="N1371" t="s">
        <v>45</v>
      </c>
      <c r="O1371" t="s">
        <v>41</v>
      </c>
      <c r="P1371" t="s">
        <v>46</v>
      </c>
      <c r="Q1371" t="s">
        <v>45</v>
      </c>
      <c r="R1371" t="s">
        <v>48</v>
      </c>
      <c r="S1371" t="s">
        <v>4205</v>
      </c>
      <c r="T1371" t="s">
        <v>4206</v>
      </c>
      <c r="U1371" t="s">
        <v>45</v>
      </c>
      <c r="V1371" t="s">
        <v>52</v>
      </c>
      <c r="W1371" t="s">
        <v>36</v>
      </c>
      <c r="X1371" t="s">
        <v>53</v>
      </c>
      <c r="Y1371" t="s">
        <v>45</v>
      </c>
      <c r="Z1371" t="s">
        <v>47</v>
      </c>
      <c r="AA1371" t="s">
        <v>54</v>
      </c>
      <c r="AB1371" t="s">
        <v>55</v>
      </c>
      <c r="AC1371" t="s">
        <v>56</v>
      </c>
      <c r="AD1371" t="s">
        <v>55</v>
      </c>
      <c r="AE1371" t="s">
        <v>45</v>
      </c>
      <c r="AF1371" t="s">
        <v>41</v>
      </c>
      <c r="AG1371" t="s">
        <v>55</v>
      </c>
      <c r="AH1371" t="s">
        <v>41</v>
      </c>
      <c r="AI1371" t="s">
        <v>41</v>
      </c>
    </row>
    <row r="1372" spans="1:35" x14ac:dyDescent="0.25">
      <c r="A1372" t="s">
        <v>239</v>
      </c>
      <c r="B1372" t="s">
        <v>59</v>
      </c>
      <c r="C1372" t="s">
        <v>161</v>
      </c>
      <c r="D1372" t="s">
        <v>690</v>
      </c>
      <c r="E1372" t="s">
        <v>62</v>
      </c>
      <c r="F1372" t="s">
        <v>129</v>
      </c>
      <c r="G1372" t="s">
        <v>47</v>
      </c>
      <c r="H1372" t="s">
        <v>228</v>
      </c>
      <c r="I1372" t="s">
        <v>40</v>
      </c>
      <c r="J1372" t="s">
        <v>4207</v>
      </c>
      <c r="K1372" t="s">
        <v>45</v>
      </c>
      <c r="L1372" t="s">
        <v>63</v>
      </c>
      <c r="M1372" t="s">
        <v>292</v>
      </c>
      <c r="N1372" t="s">
        <v>45</v>
      </c>
      <c r="O1372" t="s">
        <v>41</v>
      </c>
      <c r="P1372" t="s">
        <v>65</v>
      </c>
      <c r="Q1372" t="s">
        <v>41</v>
      </c>
      <c r="R1372" t="s">
        <v>66</v>
      </c>
      <c r="S1372" t="s">
        <v>3172</v>
      </c>
      <c r="T1372" t="s">
        <v>1768</v>
      </c>
      <c r="U1372" t="s">
        <v>51</v>
      </c>
      <c r="V1372" t="s">
        <v>52</v>
      </c>
      <c r="W1372" t="s">
        <v>59</v>
      </c>
      <c r="X1372" t="s">
        <v>145</v>
      </c>
      <c r="Y1372" t="s">
        <v>45</v>
      </c>
      <c r="Z1372" t="s">
        <v>45</v>
      </c>
      <c r="AA1372" t="s">
        <v>54</v>
      </c>
      <c r="AB1372" t="s">
        <v>40</v>
      </c>
      <c r="AC1372" t="s">
        <v>128</v>
      </c>
      <c r="AD1372" t="s">
        <v>47</v>
      </c>
      <c r="AE1372" t="s">
        <v>47</v>
      </c>
      <c r="AF1372" t="s">
        <v>51</v>
      </c>
      <c r="AG1372" t="s">
        <v>71</v>
      </c>
      <c r="AH1372" t="s">
        <v>40</v>
      </c>
      <c r="AI1372" t="s">
        <v>71</v>
      </c>
    </row>
    <row r="1373" spans="1:35" x14ac:dyDescent="0.25">
      <c r="A1373" t="s">
        <v>82</v>
      </c>
      <c r="B1373" t="s">
        <v>59</v>
      </c>
      <c r="C1373" t="s">
        <v>37</v>
      </c>
      <c r="D1373" t="s">
        <v>307</v>
      </c>
      <c r="E1373" t="s">
        <v>39</v>
      </c>
      <c r="F1373" t="s">
        <v>53</v>
      </c>
      <c r="G1373" t="s">
        <v>57</v>
      </c>
      <c r="H1373" t="s">
        <v>206</v>
      </c>
      <c r="I1373" t="s">
        <v>40</v>
      </c>
      <c r="J1373" t="s">
        <v>4208</v>
      </c>
      <c r="K1373" t="s">
        <v>47</v>
      </c>
      <c r="L1373" t="s">
        <v>43</v>
      </c>
      <c r="M1373" t="s">
        <v>959</v>
      </c>
      <c r="N1373" t="s">
        <v>41</v>
      </c>
      <c r="O1373" t="s">
        <v>41</v>
      </c>
      <c r="P1373" t="s">
        <v>46</v>
      </c>
      <c r="Q1373" t="s">
        <v>40</v>
      </c>
      <c r="R1373" t="s">
        <v>66</v>
      </c>
      <c r="S1373" t="s">
        <v>4209</v>
      </c>
      <c r="T1373" t="s">
        <v>4210</v>
      </c>
      <c r="U1373" t="s">
        <v>47</v>
      </c>
      <c r="V1373" t="s">
        <v>52</v>
      </c>
      <c r="W1373" t="s">
        <v>59</v>
      </c>
      <c r="X1373" t="s">
        <v>128</v>
      </c>
      <c r="Y1373" t="s">
        <v>45</v>
      </c>
      <c r="Z1373" t="s">
        <v>45</v>
      </c>
      <c r="AA1373" t="s">
        <v>54</v>
      </c>
      <c r="AB1373" t="s">
        <v>40</v>
      </c>
      <c r="AC1373" t="s">
        <v>56</v>
      </c>
      <c r="AD1373" t="s">
        <v>45</v>
      </c>
      <c r="AE1373" t="s">
        <v>45</v>
      </c>
      <c r="AF1373" t="s">
        <v>55</v>
      </c>
      <c r="AG1373" t="s">
        <v>55</v>
      </c>
      <c r="AH1373" t="s">
        <v>55</v>
      </c>
      <c r="AI1373" t="s">
        <v>55</v>
      </c>
    </row>
    <row r="1374" spans="1:35" x14ac:dyDescent="0.25">
      <c r="A1374" t="s">
        <v>218</v>
      </c>
      <c r="B1374" t="s">
        <v>59</v>
      </c>
      <c r="C1374" t="s">
        <v>37</v>
      </c>
      <c r="D1374" t="s">
        <v>2218</v>
      </c>
      <c r="E1374" t="s">
        <v>62</v>
      </c>
      <c r="F1374" t="s">
        <v>91</v>
      </c>
      <c r="G1374" t="s">
        <v>41</v>
      </c>
      <c r="H1374" t="s">
        <v>87</v>
      </c>
      <c r="I1374" t="s">
        <v>40</v>
      </c>
      <c r="J1374" t="s">
        <v>4211</v>
      </c>
      <c r="K1374" t="s">
        <v>40</v>
      </c>
      <c r="L1374" t="s">
        <v>63</v>
      </c>
      <c r="M1374" t="s">
        <v>371</v>
      </c>
      <c r="N1374" t="s">
        <v>45</v>
      </c>
      <c r="O1374" t="s">
        <v>41</v>
      </c>
      <c r="P1374" t="s">
        <v>116</v>
      </c>
      <c r="Q1374" t="s">
        <v>40</v>
      </c>
      <c r="R1374" t="s">
        <v>66</v>
      </c>
      <c r="S1374" t="s">
        <v>3814</v>
      </c>
      <c r="T1374" t="s">
        <v>4212</v>
      </c>
      <c r="U1374" t="s">
        <v>40</v>
      </c>
      <c r="V1374" t="s">
        <v>52</v>
      </c>
      <c r="W1374" t="s">
        <v>59</v>
      </c>
      <c r="X1374" t="s">
        <v>172</v>
      </c>
      <c r="Y1374" t="s">
        <v>47</v>
      </c>
      <c r="Z1374" t="s">
        <v>47</v>
      </c>
      <c r="AA1374" t="s">
        <v>54</v>
      </c>
      <c r="AB1374" t="s">
        <v>40</v>
      </c>
      <c r="AC1374" t="s">
        <v>70</v>
      </c>
      <c r="AD1374" t="s">
        <v>45</v>
      </c>
      <c r="AE1374" t="s">
        <v>45</v>
      </c>
      <c r="AF1374" t="s">
        <v>70</v>
      </c>
      <c r="AG1374" t="s">
        <v>55</v>
      </c>
      <c r="AH1374" t="s">
        <v>71</v>
      </c>
      <c r="AI1374" t="s">
        <v>91</v>
      </c>
    </row>
    <row r="1375" spans="1:35" x14ac:dyDescent="0.25">
      <c r="A1375" t="s">
        <v>113</v>
      </c>
      <c r="B1375" t="s">
        <v>59</v>
      </c>
      <c r="C1375" t="s">
        <v>60</v>
      </c>
      <c r="D1375" t="s">
        <v>3175</v>
      </c>
      <c r="E1375" t="s">
        <v>62</v>
      </c>
      <c r="F1375" t="s">
        <v>51</v>
      </c>
      <c r="G1375" t="s">
        <v>45</v>
      </c>
      <c r="H1375" t="s">
        <v>87</v>
      </c>
      <c r="I1375" t="s">
        <v>40</v>
      </c>
      <c r="J1375" t="s">
        <v>4213</v>
      </c>
      <c r="K1375" t="s">
        <v>47</v>
      </c>
      <c r="L1375" t="s">
        <v>43</v>
      </c>
      <c r="M1375" t="s">
        <v>197</v>
      </c>
      <c r="N1375" t="s">
        <v>41</v>
      </c>
      <c r="O1375" t="s">
        <v>41</v>
      </c>
      <c r="P1375" t="s">
        <v>65</v>
      </c>
      <c r="Q1375" t="s">
        <v>41</v>
      </c>
      <c r="R1375" t="s">
        <v>109</v>
      </c>
      <c r="S1375" t="s">
        <v>4214</v>
      </c>
      <c r="T1375" t="s">
        <v>4215</v>
      </c>
      <c r="U1375" t="s">
        <v>40</v>
      </c>
      <c r="V1375" t="s">
        <v>52</v>
      </c>
      <c r="W1375" t="s">
        <v>36</v>
      </c>
      <c r="X1375" t="s">
        <v>128</v>
      </c>
      <c r="Y1375" t="s">
        <v>45</v>
      </c>
      <c r="Z1375" t="s">
        <v>45</v>
      </c>
      <c r="AA1375" t="s">
        <v>54</v>
      </c>
      <c r="AB1375" t="s">
        <v>40</v>
      </c>
      <c r="AC1375" t="s">
        <v>104</v>
      </c>
      <c r="AD1375" t="s">
        <v>45</v>
      </c>
      <c r="AE1375" t="s">
        <v>45</v>
      </c>
      <c r="AF1375" t="s">
        <v>104</v>
      </c>
      <c r="AG1375" t="s">
        <v>53</v>
      </c>
      <c r="AH1375" t="s">
        <v>55</v>
      </c>
      <c r="AI1375" t="s">
        <v>71</v>
      </c>
    </row>
    <row r="1376" spans="1:35" x14ac:dyDescent="0.25">
      <c r="A1376" t="s">
        <v>197</v>
      </c>
      <c r="B1376" t="s">
        <v>59</v>
      </c>
      <c r="C1376" t="s">
        <v>37</v>
      </c>
      <c r="D1376" t="s">
        <v>1698</v>
      </c>
      <c r="E1376" t="s">
        <v>39</v>
      </c>
      <c r="F1376" t="s">
        <v>119</v>
      </c>
      <c r="G1376" t="s">
        <v>45</v>
      </c>
      <c r="H1376" t="s">
        <v>42</v>
      </c>
      <c r="I1376" t="s">
        <v>40</v>
      </c>
      <c r="J1376" t="s">
        <v>4216</v>
      </c>
      <c r="K1376" t="s">
        <v>47</v>
      </c>
      <c r="L1376" t="s">
        <v>43</v>
      </c>
      <c r="M1376" t="s">
        <v>201</v>
      </c>
      <c r="N1376" t="s">
        <v>45</v>
      </c>
      <c r="O1376" t="s">
        <v>47</v>
      </c>
      <c r="P1376" t="s">
        <v>169</v>
      </c>
      <c r="Q1376" t="s">
        <v>47</v>
      </c>
      <c r="R1376" t="s">
        <v>66</v>
      </c>
      <c r="S1376" t="s">
        <v>4217</v>
      </c>
      <c r="T1376" t="s">
        <v>4218</v>
      </c>
      <c r="U1376" t="s">
        <v>47</v>
      </c>
      <c r="V1376" t="s">
        <v>52</v>
      </c>
      <c r="W1376" t="s">
        <v>36</v>
      </c>
      <c r="X1376" t="s">
        <v>98</v>
      </c>
      <c r="Y1376" t="s">
        <v>45</v>
      </c>
      <c r="Z1376" t="s">
        <v>45</v>
      </c>
      <c r="AA1376" t="s">
        <v>54</v>
      </c>
      <c r="AB1376" t="s">
        <v>40</v>
      </c>
      <c r="AC1376" t="s">
        <v>133</v>
      </c>
      <c r="AD1376" t="s">
        <v>41</v>
      </c>
      <c r="AE1376" t="s">
        <v>41</v>
      </c>
      <c r="AF1376" t="s">
        <v>40</v>
      </c>
      <c r="AG1376" t="s">
        <v>55</v>
      </c>
      <c r="AH1376" t="s">
        <v>55</v>
      </c>
      <c r="AI1376" t="s">
        <v>55</v>
      </c>
    </row>
    <row r="1377" spans="1:35" x14ac:dyDescent="0.25">
      <c r="A1377" t="s">
        <v>93</v>
      </c>
      <c r="B1377" t="s">
        <v>36</v>
      </c>
      <c r="C1377" t="s">
        <v>60</v>
      </c>
      <c r="D1377" t="s">
        <v>749</v>
      </c>
      <c r="E1377" t="s">
        <v>62</v>
      </c>
      <c r="F1377" t="s">
        <v>57</v>
      </c>
      <c r="G1377" t="s">
        <v>41</v>
      </c>
      <c r="H1377" t="s">
        <v>42</v>
      </c>
      <c r="I1377" t="s">
        <v>40</v>
      </c>
      <c r="J1377" t="s">
        <v>4219</v>
      </c>
      <c r="K1377" t="s">
        <v>40</v>
      </c>
      <c r="L1377" t="s">
        <v>43</v>
      </c>
      <c r="M1377" t="s">
        <v>239</v>
      </c>
      <c r="N1377" t="s">
        <v>47</v>
      </c>
      <c r="O1377" t="s">
        <v>40</v>
      </c>
      <c r="P1377" t="s">
        <v>65</v>
      </c>
      <c r="Q1377" t="s">
        <v>45</v>
      </c>
      <c r="R1377" t="s">
        <v>48</v>
      </c>
      <c r="S1377" t="s">
        <v>4220</v>
      </c>
      <c r="T1377" t="s">
        <v>1673</v>
      </c>
      <c r="U1377" t="s">
        <v>45</v>
      </c>
      <c r="V1377" t="s">
        <v>52</v>
      </c>
      <c r="W1377" t="s">
        <v>36</v>
      </c>
      <c r="X1377" t="s">
        <v>129</v>
      </c>
      <c r="Y1377" t="s">
        <v>45</v>
      </c>
      <c r="Z1377" t="s">
        <v>40</v>
      </c>
      <c r="AA1377" t="s">
        <v>54</v>
      </c>
      <c r="AB1377" t="s">
        <v>55</v>
      </c>
      <c r="AC1377" t="s">
        <v>51</v>
      </c>
      <c r="AD1377" t="s">
        <v>41</v>
      </c>
      <c r="AE1377" t="s">
        <v>45</v>
      </c>
      <c r="AF1377" t="s">
        <v>47</v>
      </c>
      <c r="AG1377" t="s">
        <v>40</v>
      </c>
      <c r="AH1377" t="s">
        <v>55</v>
      </c>
      <c r="AI1377" t="s">
        <v>45</v>
      </c>
    </row>
    <row r="1378" spans="1:35" x14ac:dyDescent="0.25">
      <c r="A1378" t="s">
        <v>113</v>
      </c>
      <c r="B1378" t="s">
        <v>59</v>
      </c>
      <c r="C1378" t="s">
        <v>37</v>
      </c>
      <c r="D1378" t="s">
        <v>2495</v>
      </c>
      <c r="E1378" t="s">
        <v>62</v>
      </c>
      <c r="F1378" t="s">
        <v>91</v>
      </c>
      <c r="G1378" t="s">
        <v>41</v>
      </c>
      <c r="H1378" t="s">
        <v>42</v>
      </c>
      <c r="I1378" t="s">
        <v>40</v>
      </c>
      <c r="J1378" t="s">
        <v>4221</v>
      </c>
      <c r="K1378" t="s">
        <v>41</v>
      </c>
      <c r="L1378" t="s">
        <v>63</v>
      </c>
      <c r="M1378" t="s">
        <v>315</v>
      </c>
      <c r="N1378" t="s">
        <v>45</v>
      </c>
      <c r="O1378" t="s">
        <v>40</v>
      </c>
      <c r="P1378" t="s">
        <v>65</v>
      </c>
      <c r="Q1378" t="s">
        <v>47</v>
      </c>
      <c r="R1378" t="s">
        <v>109</v>
      </c>
      <c r="S1378" t="s">
        <v>4222</v>
      </c>
      <c r="T1378" t="s">
        <v>4223</v>
      </c>
      <c r="U1378" t="s">
        <v>41</v>
      </c>
      <c r="V1378" t="s">
        <v>52</v>
      </c>
      <c r="W1378" t="s">
        <v>59</v>
      </c>
      <c r="X1378" t="s">
        <v>144</v>
      </c>
      <c r="Y1378" t="s">
        <v>45</v>
      </c>
      <c r="Z1378" t="s">
        <v>47</v>
      </c>
      <c r="AA1378" t="s">
        <v>54</v>
      </c>
      <c r="AB1378" t="s">
        <v>41</v>
      </c>
      <c r="AC1378" t="s">
        <v>70</v>
      </c>
      <c r="AD1378" t="s">
        <v>55</v>
      </c>
      <c r="AE1378" t="s">
        <v>47</v>
      </c>
      <c r="AF1378" t="s">
        <v>57</v>
      </c>
      <c r="AG1378" t="s">
        <v>41</v>
      </c>
      <c r="AH1378" t="s">
        <v>55</v>
      </c>
      <c r="AI1378" t="s">
        <v>45</v>
      </c>
    </row>
    <row r="1379" spans="1:35" x14ac:dyDescent="0.25">
      <c r="A1379" t="s">
        <v>58</v>
      </c>
      <c r="B1379" t="s">
        <v>59</v>
      </c>
      <c r="C1379" t="s">
        <v>60</v>
      </c>
      <c r="D1379" t="s">
        <v>4224</v>
      </c>
      <c r="E1379" t="s">
        <v>62</v>
      </c>
      <c r="F1379" t="s">
        <v>41</v>
      </c>
      <c r="G1379" t="s">
        <v>40</v>
      </c>
      <c r="H1379" t="s">
        <v>42</v>
      </c>
      <c r="I1379" t="s">
        <v>40</v>
      </c>
      <c r="J1379" t="s">
        <v>4225</v>
      </c>
      <c r="K1379" t="s">
        <v>41</v>
      </c>
      <c r="L1379" t="s">
        <v>63</v>
      </c>
      <c r="M1379" t="s">
        <v>204</v>
      </c>
      <c r="N1379" t="s">
        <v>45</v>
      </c>
      <c r="O1379" t="s">
        <v>57</v>
      </c>
      <c r="P1379" t="s">
        <v>186</v>
      </c>
      <c r="Q1379" t="s">
        <v>47</v>
      </c>
      <c r="R1379" t="s">
        <v>66</v>
      </c>
      <c r="S1379" t="s">
        <v>4226</v>
      </c>
      <c r="T1379" t="s">
        <v>4227</v>
      </c>
      <c r="U1379" t="s">
        <v>45</v>
      </c>
      <c r="V1379" t="s">
        <v>52</v>
      </c>
      <c r="W1379" t="s">
        <v>59</v>
      </c>
      <c r="X1379" t="s">
        <v>79</v>
      </c>
      <c r="Y1379" t="s">
        <v>45</v>
      </c>
      <c r="Z1379" t="s">
        <v>47</v>
      </c>
      <c r="AA1379" t="s">
        <v>54</v>
      </c>
      <c r="AB1379" t="s">
        <v>55</v>
      </c>
      <c r="AC1379" t="s">
        <v>149</v>
      </c>
      <c r="AD1379" t="s">
        <v>45</v>
      </c>
      <c r="AE1379" t="s">
        <v>45</v>
      </c>
      <c r="AF1379" t="s">
        <v>57</v>
      </c>
      <c r="AG1379" t="s">
        <v>47</v>
      </c>
      <c r="AH1379" t="s">
        <v>47</v>
      </c>
      <c r="AI1379" t="s">
        <v>45</v>
      </c>
    </row>
    <row r="1380" spans="1:35" x14ac:dyDescent="0.25">
      <c r="A1380" t="s">
        <v>204</v>
      </c>
      <c r="B1380" t="s">
        <v>59</v>
      </c>
      <c r="C1380" t="s">
        <v>37</v>
      </c>
      <c r="D1380" t="s">
        <v>185</v>
      </c>
      <c r="E1380" t="s">
        <v>39</v>
      </c>
      <c r="F1380" t="s">
        <v>92</v>
      </c>
      <c r="G1380" t="s">
        <v>47</v>
      </c>
      <c r="H1380" t="s">
        <v>206</v>
      </c>
      <c r="I1380" t="s">
        <v>40</v>
      </c>
      <c r="J1380" t="s">
        <v>4228</v>
      </c>
      <c r="K1380" t="s">
        <v>41</v>
      </c>
      <c r="L1380" t="s">
        <v>63</v>
      </c>
      <c r="M1380" t="s">
        <v>326</v>
      </c>
      <c r="N1380" t="s">
        <v>45</v>
      </c>
      <c r="O1380" t="s">
        <v>41</v>
      </c>
      <c r="P1380" t="s">
        <v>46</v>
      </c>
      <c r="Q1380" t="s">
        <v>47</v>
      </c>
      <c r="R1380" t="s">
        <v>109</v>
      </c>
      <c r="S1380" t="s">
        <v>4229</v>
      </c>
      <c r="T1380" t="s">
        <v>4230</v>
      </c>
      <c r="U1380" t="s">
        <v>45</v>
      </c>
      <c r="V1380" t="s">
        <v>52</v>
      </c>
      <c r="W1380" t="s">
        <v>36</v>
      </c>
      <c r="X1380" t="s">
        <v>92</v>
      </c>
      <c r="Y1380" t="s">
        <v>45</v>
      </c>
      <c r="Z1380" t="s">
        <v>45</v>
      </c>
      <c r="AA1380" t="s">
        <v>54</v>
      </c>
      <c r="AB1380" t="s">
        <v>41</v>
      </c>
      <c r="AC1380" t="s">
        <v>129</v>
      </c>
      <c r="AD1380" t="s">
        <v>47</v>
      </c>
      <c r="AE1380" t="s">
        <v>45</v>
      </c>
      <c r="AF1380" t="s">
        <v>55</v>
      </c>
      <c r="AG1380" t="s">
        <v>55</v>
      </c>
      <c r="AH1380" t="s">
        <v>55</v>
      </c>
      <c r="AI1380" t="s">
        <v>55</v>
      </c>
    </row>
    <row r="1381" spans="1:35" x14ac:dyDescent="0.25">
      <c r="A1381" t="s">
        <v>85</v>
      </c>
      <c r="B1381" t="s">
        <v>36</v>
      </c>
      <c r="C1381" t="s">
        <v>60</v>
      </c>
      <c r="D1381" t="s">
        <v>4231</v>
      </c>
      <c r="E1381" t="s">
        <v>397</v>
      </c>
      <c r="F1381" t="s">
        <v>112</v>
      </c>
      <c r="G1381" t="s">
        <v>45</v>
      </c>
      <c r="H1381" t="s">
        <v>397</v>
      </c>
      <c r="I1381" t="s">
        <v>40</v>
      </c>
      <c r="J1381" t="s">
        <v>4232</v>
      </c>
      <c r="K1381" t="s">
        <v>40</v>
      </c>
      <c r="L1381" t="s">
        <v>43</v>
      </c>
      <c r="M1381" t="s">
        <v>197</v>
      </c>
      <c r="N1381" t="s">
        <v>41</v>
      </c>
      <c r="O1381" t="s">
        <v>40</v>
      </c>
      <c r="P1381" t="s">
        <v>397</v>
      </c>
      <c r="Q1381" t="s">
        <v>41</v>
      </c>
      <c r="R1381" t="s">
        <v>66</v>
      </c>
      <c r="S1381" t="s">
        <v>4233</v>
      </c>
      <c r="T1381" t="s">
        <v>4234</v>
      </c>
      <c r="U1381" t="s">
        <v>40</v>
      </c>
      <c r="V1381" t="s">
        <v>52</v>
      </c>
      <c r="W1381" t="s">
        <v>59</v>
      </c>
      <c r="X1381" t="s">
        <v>92</v>
      </c>
      <c r="Y1381" t="s">
        <v>45</v>
      </c>
      <c r="Z1381" t="s">
        <v>40</v>
      </c>
      <c r="AA1381" t="s">
        <v>54</v>
      </c>
      <c r="AB1381" t="s">
        <v>55</v>
      </c>
      <c r="AC1381" t="s">
        <v>40</v>
      </c>
      <c r="AD1381" t="s">
        <v>41</v>
      </c>
      <c r="AE1381" t="s">
        <v>45</v>
      </c>
      <c r="AF1381" t="s">
        <v>40</v>
      </c>
      <c r="AG1381" t="s">
        <v>55</v>
      </c>
      <c r="AH1381" t="s">
        <v>55</v>
      </c>
      <c r="AI1381" t="s">
        <v>55</v>
      </c>
    </row>
    <row r="1382" spans="1:35" x14ac:dyDescent="0.25">
      <c r="A1382" t="s">
        <v>126</v>
      </c>
      <c r="B1382" t="s">
        <v>59</v>
      </c>
      <c r="C1382" t="s">
        <v>37</v>
      </c>
      <c r="D1382" t="s">
        <v>469</v>
      </c>
      <c r="E1382" t="s">
        <v>39</v>
      </c>
      <c r="F1382" t="s">
        <v>145</v>
      </c>
      <c r="G1382" t="s">
        <v>47</v>
      </c>
      <c r="H1382" t="s">
        <v>87</v>
      </c>
      <c r="I1382" t="s">
        <v>40</v>
      </c>
      <c r="J1382" t="s">
        <v>4235</v>
      </c>
      <c r="K1382" t="s">
        <v>41</v>
      </c>
      <c r="L1382" t="s">
        <v>63</v>
      </c>
      <c r="M1382" t="s">
        <v>315</v>
      </c>
      <c r="N1382" t="s">
        <v>45</v>
      </c>
      <c r="O1382" t="s">
        <v>41</v>
      </c>
      <c r="P1382" t="s">
        <v>46</v>
      </c>
      <c r="Q1382" t="s">
        <v>40</v>
      </c>
      <c r="R1382" t="s">
        <v>66</v>
      </c>
      <c r="S1382" t="s">
        <v>1866</v>
      </c>
      <c r="T1382" t="s">
        <v>4236</v>
      </c>
      <c r="U1382" t="s">
        <v>55</v>
      </c>
      <c r="V1382" t="s">
        <v>52</v>
      </c>
      <c r="W1382" t="s">
        <v>59</v>
      </c>
      <c r="X1382" t="s">
        <v>128</v>
      </c>
      <c r="Y1382" t="s">
        <v>45</v>
      </c>
      <c r="Z1382" t="s">
        <v>47</v>
      </c>
      <c r="AA1382" t="s">
        <v>54</v>
      </c>
      <c r="AB1382" t="s">
        <v>40</v>
      </c>
      <c r="AC1382" t="s">
        <v>56</v>
      </c>
      <c r="AD1382" t="s">
        <v>41</v>
      </c>
      <c r="AE1382" t="s">
        <v>40</v>
      </c>
      <c r="AF1382" t="s">
        <v>57</v>
      </c>
      <c r="AG1382" t="s">
        <v>45</v>
      </c>
      <c r="AH1382" t="s">
        <v>55</v>
      </c>
      <c r="AI1382" t="s">
        <v>47</v>
      </c>
    </row>
    <row r="1383" spans="1:35" x14ac:dyDescent="0.25">
      <c r="A1383" t="s">
        <v>149</v>
      </c>
      <c r="B1383" t="s">
        <v>59</v>
      </c>
      <c r="C1383" t="s">
        <v>161</v>
      </c>
      <c r="D1383" t="s">
        <v>2682</v>
      </c>
      <c r="E1383" t="s">
        <v>62</v>
      </c>
      <c r="F1383" t="s">
        <v>128</v>
      </c>
      <c r="G1383" t="s">
        <v>45</v>
      </c>
      <c r="H1383" t="s">
        <v>87</v>
      </c>
      <c r="I1383" t="s">
        <v>40</v>
      </c>
      <c r="J1383" t="s">
        <v>4237</v>
      </c>
      <c r="K1383" t="s">
        <v>45</v>
      </c>
      <c r="L1383" t="s">
        <v>63</v>
      </c>
      <c r="M1383" t="s">
        <v>58</v>
      </c>
      <c r="N1383" t="s">
        <v>45</v>
      </c>
      <c r="O1383" t="s">
        <v>40</v>
      </c>
      <c r="P1383" t="s">
        <v>65</v>
      </c>
      <c r="Q1383" t="s">
        <v>45</v>
      </c>
      <c r="R1383" t="s">
        <v>48</v>
      </c>
      <c r="S1383" t="s">
        <v>4238</v>
      </c>
      <c r="T1383" t="s">
        <v>4239</v>
      </c>
      <c r="U1383" t="s">
        <v>40</v>
      </c>
      <c r="V1383" t="s">
        <v>52</v>
      </c>
      <c r="W1383" t="s">
        <v>59</v>
      </c>
      <c r="X1383" t="s">
        <v>129</v>
      </c>
      <c r="Y1383" t="s">
        <v>45</v>
      </c>
      <c r="Z1383" t="s">
        <v>45</v>
      </c>
      <c r="AA1383" t="s">
        <v>54</v>
      </c>
      <c r="AB1383" t="s">
        <v>55</v>
      </c>
      <c r="AC1383" t="s">
        <v>57</v>
      </c>
      <c r="AD1383" t="s">
        <v>45</v>
      </c>
      <c r="AE1383" t="s">
        <v>41</v>
      </c>
      <c r="AF1383" t="s">
        <v>57</v>
      </c>
      <c r="AG1383" t="s">
        <v>45</v>
      </c>
      <c r="AH1383" t="s">
        <v>40</v>
      </c>
      <c r="AI1383" t="s">
        <v>47</v>
      </c>
    </row>
    <row r="1384" spans="1:35" x14ac:dyDescent="0.25">
      <c r="A1384" t="s">
        <v>137</v>
      </c>
      <c r="B1384" t="s">
        <v>59</v>
      </c>
      <c r="C1384" t="s">
        <v>161</v>
      </c>
      <c r="D1384" t="s">
        <v>997</v>
      </c>
      <c r="E1384" t="s">
        <v>62</v>
      </c>
      <c r="F1384" t="s">
        <v>45</v>
      </c>
      <c r="G1384" t="s">
        <v>41</v>
      </c>
      <c r="H1384" t="s">
        <v>87</v>
      </c>
      <c r="I1384" t="s">
        <v>40</v>
      </c>
      <c r="J1384" t="s">
        <v>4240</v>
      </c>
      <c r="K1384" t="s">
        <v>45</v>
      </c>
      <c r="L1384" t="s">
        <v>63</v>
      </c>
      <c r="M1384" t="s">
        <v>207</v>
      </c>
      <c r="N1384" t="s">
        <v>45</v>
      </c>
      <c r="O1384" t="s">
        <v>40</v>
      </c>
      <c r="P1384" t="s">
        <v>65</v>
      </c>
      <c r="Q1384" t="s">
        <v>40</v>
      </c>
      <c r="R1384" t="s">
        <v>109</v>
      </c>
      <c r="S1384" t="s">
        <v>4241</v>
      </c>
      <c r="T1384" t="s">
        <v>4242</v>
      </c>
      <c r="U1384" t="s">
        <v>40</v>
      </c>
      <c r="V1384" t="s">
        <v>52</v>
      </c>
      <c r="W1384" t="s">
        <v>36</v>
      </c>
      <c r="X1384" t="s">
        <v>98</v>
      </c>
      <c r="Y1384" t="s">
        <v>45</v>
      </c>
      <c r="Z1384" t="s">
        <v>47</v>
      </c>
      <c r="AA1384" t="s">
        <v>54</v>
      </c>
      <c r="AB1384" t="s">
        <v>40</v>
      </c>
      <c r="AC1384" t="s">
        <v>47</v>
      </c>
      <c r="AD1384" t="s">
        <v>45</v>
      </c>
      <c r="AE1384" t="s">
        <v>47</v>
      </c>
      <c r="AF1384" t="s">
        <v>47</v>
      </c>
      <c r="AG1384" t="s">
        <v>41</v>
      </c>
      <c r="AH1384" t="s">
        <v>41</v>
      </c>
      <c r="AI1384" t="s">
        <v>45</v>
      </c>
    </row>
    <row r="1385" spans="1:35" x14ac:dyDescent="0.25">
      <c r="A1385" t="s">
        <v>120</v>
      </c>
      <c r="B1385" t="s">
        <v>59</v>
      </c>
      <c r="C1385" t="s">
        <v>161</v>
      </c>
      <c r="D1385" t="s">
        <v>3493</v>
      </c>
      <c r="E1385" t="s">
        <v>62</v>
      </c>
      <c r="F1385" t="s">
        <v>91</v>
      </c>
      <c r="G1385" t="s">
        <v>47</v>
      </c>
      <c r="H1385" t="s">
        <v>42</v>
      </c>
      <c r="I1385" t="s">
        <v>40</v>
      </c>
      <c r="J1385" t="s">
        <v>4243</v>
      </c>
      <c r="K1385" t="s">
        <v>40</v>
      </c>
      <c r="L1385" t="s">
        <v>63</v>
      </c>
      <c r="M1385" t="s">
        <v>375</v>
      </c>
      <c r="N1385" t="s">
        <v>47</v>
      </c>
      <c r="O1385" t="s">
        <v>40</v>
      </c>
      <c r="P1385" t="s">
        <v>76</v>
      </c>
      <c r="Q1385" t="s">
        <v>41</v>
      </c>
      <c r="R1385" t="s">
        <v>66</v>
      </c>
      <c r="S1385" t="s">
        <v>4244</v>
      </c>
      <c r="T1385" t="s">
        <v>4245</v>
      </c>
      <c r="U1385" t="s">
        <v>40</v>
      </c>
      <c r="V1385" t="s">
        <v>52</v>
      </c>
      <c r="W1385" t="s">
        <v>59</v>
      </c>
      <c r="X1385" t="s">
        <v>112</v>
      </c>
      <c r="Y1385" t="s">
        <v>47</v>
      </c>
      <c r="Z1385" t="s">
        <v>41</v>
      </c>
      <c r="AA1385" t="s">
        <v>54</v>
      </c>
      <c r="AB1385" t="s">
        <v>55</v>
      </c>
      <c r="AC1385" t="s">
        <v>57</v>
      </c>
      <c r="AD1385" t="s">
        <v>45</v>
      </c>
      <c r="AE1385" t="s">
        <v>45</v>
      </c>
      <c r="AF1385" t="s">
        <v>57</v>
      </c>
      <c r="AG1385" t="s">
        <v>47</v>
      </c>
      <c r="AH1385" t="s">
        <v>55</v>
      </c>
      <c r="AI1385" t="s">
        <v>41</v>
      </c>
    </row>
    <row r="1386" spans="1:35" x14ac:dyDescent="0.25">
      <c r="A1386" t="s">
        <v>142</v>
      </c>
      <c r="B1386" t="s">
        <v>59</v>
      </c>
      <c r="C1386" t="s">
        <v>37</v>
      </c>
      <c r="D1386" t="s">
        <v>4246</v>
      </c>
      <c r="E1386" t="s">
        <v>39</v>
      </c>
      <c r="F1386" t="s">
        <v>40</v>
      </c>
      <c r="G1386" t="s">
        <v>45</v>
      </c>
      <c r="H1386" t="s">
        <v>206</v>
      </c>
      <c r="I1386" t="s">
        <v>40</v>
      </c>
      <c r="J1386" t="s">
        <v>4247</v>
      </c>
      <c r="K1386" t="s">
        <v>40</v>
      </c>
      <c r="L1386" t="s">
        <v>63</v>
      </c>
      <c r="M1386" t="s">
        <v>93</v>
      </c>
      <c r="N1386" t="s">
        <v>45</v>
      </c>
      <c r="O1386" t="s">
        <v>45</v>
      </c>
      <c r="P1386" t="s">
        <v>46</v>
      </c>
      <c r="Q1386" t="s">
        <v>47</v>
      </c>
      <c r="R1386" t="s">
        <v>48</v>
      </c>
      <c r="S1386" t="s">
        <v>4248</v>
      </c>
      <c r="T1386" t="s">
        <v>4249</v>
      </c>
      <c r="U1386" t="s">
        <v>40</v>
      </c>
      <c r="V1386" t="s">
        <v>52</v>
      </c>
      <c r="W1386" t="s">
        <v>59</v>
      </c>
      <c r="X1386" t="s">
        <v>119</v>
      </c>
      <c r="Y1386" t="s">
        <v>47</v>
      </c>
      <c r="Z1386" t="s">
        <v>40</v>
      </c>
      <c r="AA1386" t="s">
        <v>54</v>
      </c>
      <c r="AB1386" t="s">
        <v>55</v>
      </c>
      <c r="AC1386" t="s">
        <v>129</v>
      </c>
      <c r="AD1386" t="s">
        <v>45</v>
      </c>
      <c r="AE1386" t="s">
        <v>41</v>
      </c>
      <c r="AF1386" t="s">
        <v>129</v>
      </c>
      <c r="AG1386" t="s">
        <v>51</v>
      </c>
      <c r="AH1386" t="s">
        <v>41</v>
      </c>
      <c r="AI1386" t="s">
        <v>40</v>
      </c>
    </row>
    <row r="1387" spans="1:35" x14ac:dyDescent="0.25">
      <c r="A1387" t="s">
        <v>142</v>
      </c>
      <c r="B1387" t="s">
        <v>59</v>
      </c>
      <c r="C1387" t="s">
        <v>37</v>
      </c>
      <c r="D1387" t="s">
        <v>2913</v>
      </c>
      <c r="E1387" t="s">
        <v>39</v>
      </c>
      <c r="F1387" t="s">
        <v>98</v>
      </c>
      <c r="G1387" t="s">
        <v>47</v>
      </c>
      <c r="H1387" t="s">
        <v>87</v>
      </c>
      <c r="I1387" t="s">
        <v>40</v>
      </c>
      <c r="J1387" t="s">
        <v>256</v>
      </c>
      <c r="K1387" t="s">
        <v>47</v>
      </c>
      <c r="L1387" t="s">
        <v>63</v>
      </c>
      <c r="M1387" t="s">
        <v>218</v>
      </c>
      <c r="N1387" t="s">
        <v>45</v>
      </c>
      <c r="O1387" t="s">
        <v>45</v>
      </c>
      <c r="P1387" t="s">
        <v>46</v>
      </c>
      <c r="Q1387" t="s">
        <v>45</v>
      </c>
      <c r="R1387" t="s">
        <v>109</v>
      </c>
      <c r="S1387" t="s">
        <v>4250</v>
      </c>
      <c r="T1387" t="s">
        <v>4251</v>
      </c>
      <c r="U1387" t="s">
        <v>40</v>
      </c>
      <c r="V1387" t="s">
        <v>52</v>
      </c>
      <c r="W1387" t="s">
        <v>59</v>
      </c>
      <c r="X1387" t="s">
        <v>145</v>
      </c>
      <c r="Y1387" t="s">
        <v>45</v>
      </c>
      <c r="Z1387" t="s">
        <v>45</v>
      </c>
      <c r="AA1387" t="s">
        <v>54</v>
      </c>
      <c r="AB1387" t="s">
        <v>40</v>
      </c>
      <c r="AC1387" t="s">
        <v>91</v>
      </c>
      <c r="AD1387" t="s">
        <v>41</v>
      </c>
      <c r="AE1387" t="s">
        <v>41</v>
      </c>
      <c r="AF1387" t="s">
        <v>51</v>
      </c>
      <c r="AG1387" t="s">
        <v>71</v>
      </c>
      <c r="AH1387" t="s">
        <v>40</v>
      </c>
      <c r="AI1387" t="s">
        <v>40</v>
      </c>
    </row>
    <row r="1388" spans="1:35" x14ac:dyDescent="0.25">
      <c r="A1388" t="s">
        <v>139</v>
      </c>
      <c r="B1388" t="s">
        <v>59</v>
      </c>
      <c r="C1388" t="s">
        <v>37</v>
      </c>
      <c r="D1388" t="s">
        <v>4252</v>
      </c>
      <c r="E1388" t="s">
        <v>62</v>
      </c>
      <c r="F1388" t="s">
        <v>40</v>
      </c>
      <c r="G1388" t="s">
        <v>45</v>
      </c>
      <c r="H1388" t="s">
        <v>87</v>
      </c>
      <c r="I1388" t="s">
        <v>40</v>
      </c>
      <c r="J1388" t="s">
        <v>4253</v>
      </c>
      <c r="K1388" t="s">
        <v>45</v>
      </c>
      <c r="L1388" t="s">
        <v>63</v>
      </c>
      <c r="M1388" t="s">
        <v>349</v>
      </c>
      <c r="N1388" t="s">
        <v>45</v>
      </c>
      <c r="O1388" t="s">
        <v>40</v>
      </c>
      <c r="P1388" t="s">
        <v>76</v>
      </c>
      <c r="Q1388" t="s">
        <v>40</v>
      </c>
      <c r="R1388" t="s">
        <v>48</v>
      </c>
      <c r="S1388" t="s">
        <v>4254</v>
      </c>
      <c r="T1388" t="s">
        <v>4255</v>
      </c>
      <c r="U1388" t="s">
        <v>55</v>
      </c>
      <c r="V1388" t="s">
        <v>52</v>
      </c>
      <c r="W1388" t="s">
        <v>59</v>
      </c>
      <c r="X1388" t="s">
        <v>98</v>
      </c>
      <c r="Y1388" t="s">
        <v>45</v>
      </c>
      <c r="Z1388" t="s">
        <v>47</v>
      </c>
      <c r="AA1388" t="s">
        <v>54</v>
      </c>
      <c r="AB1388" t="s">
        <v>55</v>
      </c>
      <c r="AC1388" t="s">
        <v>51</v>
      </c>
      <c r="AD1388" t="s">
        <v>56</v>
      </c>
      <c r="AE1388" t="s">
        <v>41</v>
      </c>
      <c r="AF1388" t="s">
        <v>71</v>
      </c>
      <c r="AG1388" t="s">
        <v>71</v>
      </c>
      <c r="AH1388" t="s">
        <v>71</v>
      </c>
      <c r="AI1388" t="s">
        <v>56</v>
      </c>
    </row>
    <row r="1389" spans="1:35" x14ac:dyDescent="0.25">
      <c r="A1389" t="s">
        <v>133</v>
      </c>
      <c r="B1389" t="s">
        <v>59</v>
      </c>
      <c r="C1389" t="s">
        <v>37</v>
      </c>
      <c r="D1389" t="s">
        <v>3382</v>
      </c>
      <c r="E1389" t="s">
        <v>62</v>
      </c>
      <c r="F1389" t="s">
        <v>40</v>
      </c>
      <c r="G1389" t="s">
        <v>45</v>
      </c>
      <c r="H1389" t="s">
        <v>42</v>
      </c>
      <c r="I1389" t="s">
        <v>40</v>
      </c>
      <c r="J1389" t="s">
        <v>4256</v>
      </c>
      <c r="K1389" t="s">
        <v>40</v>
      </c>
      <c r="L1389" t="s">
        <v>63</v>
      </c>
      <c r="M1389" t="s">
        <v>959</v>
      </c>
      <c r="N1389" t="s">
        <v>45</v>
      </c>
      <c r="O1389" t="s">
        <v>41</v>
      </c>
      <c r="P1389" t="s">
        <v>122</v>
      </c>
      <c r="Q1389" t="s">
        <v>40</v>
      </c>
      <c r="R1389" t="s">
        <v>66</v>
      </c>
      <c r="S1389" t="s">
        <v>4257</v>
      </c>
      <c r="T1389" t="s">
        <v>4258</v>
      </c>
      <c r="U1389" t="s">
        <v>55</v>
      </c>
      <c r="V1389" t="s">
        <v>52</v>
      </c>
      <c r="W1389" t="s">
        <v>59</v>
      </c>
      <c r="X1389" t="s">
        <v>92</v>
      </c>
      <c r="Y1389" t="s">
        <v>45</v>
      </c>
      <c r="Z1389" t="s">
        <v>40</v>
      </c>
      <c r="AA1389" t="s">
        <v>54</v>
      </c>
      <c r="AB1389" t="s">
        <v>40</v>
      </c>
      <c r="AC1389" t="s">
        <v>56</v>
      </c>
      <c r="AD1389" t="s">
        <v>57</v>
      </c>
      <c r="AE1389" t="s">
        <v>41</v>
      </c>
      <c r="AF1389" t="s">
        <v>57</v>
      </c>
      <c r="AG1389" t="s">
        <v>45</v>
      </c>
      <c r="AH1389" t="s">
        <v>55</v>
      </c>
      <c r="AI1389" t="s">
        <v>41</v>
      </c>
    </row>
    <row r="1390" spans="1:35" x14ac:dyDescent="0.25">
      <c r="A1390" t="s">
        <v>93</v>
      </c>
      <c r="B1390" t="s">
        <v>59</v>
      </c>
      <c r="C1390" t="s">
        <v>161</v>
      </c>
      <c r="D1390" t="s">
        <v>2063</v>
      </c>
      <c r="E1390" t="s">
        <v>62</v>
      </c>
      <c r="F1390" t="s">
        <v>79</v>
      </c>
      <c r="G1390" t="s">
        <v>47</v>
      </c>
      <c r="H1390" t="s">
        <v>87</v>
      </c>
      <c r="I1390" t="s">
        <v>40</v>
      </c>
      <c r="J1390" t="s">
        <v>4259</v>
      </c>
      <c r="K1390" t="s">
        <v>45</v>
      </c>
      <c r="L1390" t="s">
        <v>43</v>
      </c>
      <c r="M1390" t="s">
        <v>142</v>
      </c>
      <c r="N1390" t="s">
        <v>45</v>
      </c>
      <c r="O1390" t="s">
        <v>41</v>
      </c>
      <c r="P1390" t="s">
        <v>122</v>
      </c>
      <c r="Q1390" t="s">
        <v>47</v>
      </c>
      <c r="R1390" t="s">
        <v>109</v>
      </c>
      <c r="S1390" t="s">
        <v>4260</v>
      </c>
      <c r="T1390" t="s">
        <v>4261</v>
      </c>
      <c r="U1390" t="s">
        <v>57</v>
      </c>
      <c r="V1390" t="s">
        <v>52</v>
      </c>
      <c r="W1390" t="s">
        <v>59</v>
      </c>
      <c r="X1390" t="s">
        <v>145</v>
      </c>
      <c r="Y1390" t="s">
        <v>45</v>
      </c>
      <c r="Z1390" t="s">
        <v>41</v>
      </c>
      <c r="AA1390" t="s">
        <v>54</v>
      </c>
      <c r="AB1390" t="s">
        <v>40</v>
      </c>
      <c r="AC1390" t="s">
        <v>91</v>
      </c>
      <c r="AD1390" t="s">
        <v>56</v>
      </c>
      <c r="AE1390" t="s">
        <v>45</v>
      </c>
      <c r="AF1390" t="s">
        <v>57</v>
      </c>
      <c r="AG1390" t="s">
        <v>40</v>
      </c>
      <c r="AH1390" t="s">
        <v>40</v>
      </c>
      <c r="AI1390" t="s">
        <v>41</v>
      </c>
    </row>
    <row r="1391" spans="1:35" x14ac:dyDescent="0.25">
      <c r="A1391" t="s">
        <v>137</v>
      </c>
      <c r="B1391" t="s">
        <v>59</v>
      </c>
      <c r="C1391" t="s">
        <v>60</v>
      </c>
      <c r="D1391" t="s">
        <v>200</v>
      </c>
      <c r="E1391" t="s">
        <v>62</v>
      </c>
      <c r="F1391" t="s">
        <v>40</v>
      </c>
      <c r="G1391" t="s">
        <v>45</v>
      </c>
      <c r="H1391" t="s">
        <v>42</v>
      </c>
      <c r="I1391" t="s">
        <v>40</v>
      </c>
      <c r="J1391" t="s">
        <v>4262</v>
      </c>
      <c r="K1391" t="s">
        <v>47</v>
      </c>
      <c r="L1391" t="s">
        <v>63</v>
      </c>
      <c r="M1391" t="s">
        <v>207</v>
      </c>
      <c r="N1391" t="s">
        <v>40</v>
      </c>
      <c r="O1391" t="s">
        <v>41</v>
      </c>
      <c r="P1391" t="s">
        <v>65</v>
      </c>
      <c r="Q1391" t="s">
        <v>40</v>
      </c>
      <c r="R1391" t="s">
        <v>66</v>
      </c>
      <c r="S1391" t="s">
        <v>2533</v>
      </c>
      <c r="T1391" t="s">
        <v>4263</v>
      </c>
      <c r="U1391" t="s">
        <v>40</v>
      </c>
      <c r="V1391" t="s">
        <v>52</v>
      </c>
      <c r="W1391" t="s">
        <v>59</v>
      </c>
      <c r="X1391" t="s">
        <v>119</v>
      </c>
      <c r="Y1391" t="s">
        <v>47</v>
      </c>
      <c r="Z1391" t="s">
        <v>41</v>
      </c>
      <c r="AA1391" t="s">
        <v>54</v>
      </c>
      <c r="AB1391" t="s">
        <v>55</v>
      </c>
      <c r="AC1391" t="s">
        <v>70</v>
      </c>
      <c r="AD1391" t="s">
        <v>56</v>
      </c>
      <c r="AE1391" t="s">
        <v>45</v>
      </c>
      <c r="AF1391" t="s">
        <v>70</v>
      </c>
      <c r="AG1391" t="s">
        <v>51</v>
      </c>
      <c r="AH1391" t="s">
        <v>51</v>
      </c>
      <c r="AI1391" t="s">
        <v>71</v>
      </c>
    </row>
    <row r="1392" spans="1:35" x14ac:dyDescent="0.25">
      <c r="A1392" t="s">
        <v>149</v>
      </c>
      <c r="B1392" t="s">
        <v>36</v>
      </c>
      <c r="C1392" t="s">
        <v>37</v>
      </c>
      <c r="D1392" t="s">
        <v>2420</v>
      </c>
      <c r="E1392" t="s">
        <v>62</v>
      </c>
      <c r="F1392" t="s">
        <v>125</v>
      </c>
      <c r="G1392" t="s">
        <v>45</v>
      </c>
      <c r="H1392" t="s">
        <v>228</v>
      </c>
      <c r="I1392" t="s">
        <v>40</v>
      </c>
      <c r="J1392" t="s">
        <v>4264</v>
      </c>
      <c r="K1392" t="s">
        <v>45</v>
      </c>
      <c r="L1392" t="s">
        <v>63</v>
      </c>
      <c r="M1392" t="s">
        <v>93</v>
      </c>
      <c r="N1392" t="s">
        <v>41</v>
      </c>
      <c r="O1392" t="s">
        <v>40</v>
      </c>
      <c r="P1392" t="s">
        <v>76</v>
      </c>
      <c r="Q1392" t="s">
        <v>47</v>
      </c>
      <c r="R1392" t="s">
        <v>109</v>
      </c>
      <c r="S1392" t="s">
        <v>3485</v>
      </c>
      <c r="T1392" t="s">
        <v>4265</v>
      </c>
      <c r="U1392" t="s">
        <v>57</v>
      </c>
      <c r="V1392" t="s">
        <v>52</v>
      </c>
      <c r="W1392" t="s">
        <v>59</v>
      </c>
      <c r="X1392" t="s">
        <v>92</v>
      </c>
      <c r="Y1392" t="s">
        <v>45</v>
      </c>
      <c r="Z1392" t="s">
        <v>40</v>
      </c>
      <c r="AA1392" t="s">
        <v>54</v>
      </c>
      <c r="AB1392" t="s">
        <v>40</v>
      </c>
      <c r="AC1392" t="s">
        <v>56</v>
      </c>
      <c r="AD1392" t="s">
        <v>41</v>
      </c>
      <c r="AE1392" t="s">
        <v>41</v>
      </c>
      <c r="AF1392" t="s">
        <v>47</v>
      </c>
      <c r="AG1392" t="s">
        <v>40</v>
      </c>
      <c r="AH1392" t="s">
        <v>55</v>
      </c>
      <c r="AI1392" t="s">
        <v>45</v>
      </c>
    </row>
    <row r="1393" spans="1:35" x14ac:dyDescent="0.25">
      <c r="A1393" t="s">
        <v>113</v>
      </c>
      <c r="B1393" t="s">
        <v>59</v>
      </c>
      <c r="C1393" t="s">
        <v>37</v>
      </c>
      <c r="D1393" t="s">
        <v>2420</v>
      </c>
      <c r="E1393" t="s">
        <v>39</v>
      </c>
      <c r="F1393" t="s">
        <v>40</v>
      </c>
      <c r="G1393" t="s">
        <v>45</v>
      </c>
      <c r="H1393" t="s">
        <v>42</v>
      </c>
      <c r="I1393" t="s">
        <v>40</v>
      </c>
      <c r="J1393" t="s">
        <v>4266</v>
      </c>
      <c r="K1393" t="s">
        <v>40</v>
      </c>
      <c r="L1393" t="s">
        <v>63</v>
      </c>
      <c r="M1393" t="s">
        <v>99</v>
      </c>
      <c r="N1393" t="s">
        <v>41</v>
      </c>
      <c r="O1393" t="s">
        <v>40</v>
      </c>
      <c r="P1393" t="s">
        <v>182</v>
      </c>
      <c r="Q1393" t="s">
        <v>40</v>
      </c>
      <c r="R1393" t="s">
        <v>48</v>
      </c>
      <c r="S1393" t="s">
        <v>4267</v>
      </c>
      <c r="T1393" t="s">
        <v>4268</v>
      </c>
      <c r="U1393" t="s">
        <v>47</v>
      </c>
      <c r="V1393" t="s">
        <v>52</v>
      </c>
      <c r="W1393" t="s">
        <v>59</v>
      </c>
      <c r="X1393" t="s">
        <v>129</v>
      </c>
      <c r="Y1393" t="s">
        <v>45</v>
      </c>
      <c r="Z1393" t="s">
        <v>40</v>
      </c>
      <c r="AA1393" t="s">
        <v>54</v>
      </c>
      <c r="AB1393" t="s">
        <v>55</v>
      </c>
      <c r="AC1393" t="s">
        <v>104</v>
      </c>
      <c r="AD1393" t="s">
        <v>45</v>
      </c>
      <c r="AE1393" t="s">
        <v>41</v>
      </c>
      <c r="AF1393" t="s">
        <v>40</v>
      </c>
      <c r="AG1393" t="s">
        <v>55</v>
      </c>
      <c r="AH1393" t="s">
        <v>55</v>
      </c>
      <c r="AI1393" t="s">
        <v>55</v>
      </c>
    </row>
    <row r="1394" spans="1:35" x14ac:dyDescent="0.25">
      <c r="A1394" t="s">
        <v>126</v>
      </c>
      <c r="B1394" t="s">
        <v>59</v>
      </c>
      <c r="C1394" t="s">
        <v>37</v>
      </c>
      <c r="D1394" t="s">
        <v>2888</v>
      </c>
      <c r="E1394" t="s">
        <v>39</v>
      </c>
      <c r="F1394" t="s">
        <v>71</v>
      </c>
      <c r="G1394" t="s">
        <v>47</v>
      </c>
      <c r="H1394" t="s">
        <v>42</v>
      </c>
      <c r="I1394" t="s">
        <v>40</v>
      </c>
      <c r="J1394" t="s">
        <v>4269</v>
      </c>
      <c r="K1394" t="s">
        <v>45</v>
      </c>
      <c r="L1394" t="s">
        <v>43</v>
      </c>
      <c r="M1394" t="s">
        <v>263</v>
      </c>
      <c r="N1394" t="s">
        <v>45</v>
      </c>
      <c r="O1394" t="s">
        <v>41</v>
      </c>
      <c r="P1394" t="s">
        <v>46</v>
      </c>
      <c r="Q1394" t="s">
        <v>47</v>
      </c>
      <c r="R1394" t="s">
        <v>66</v>
      </c>
      <c r="S1394" t="s">
        <v>2300</v>
      </c>
      <c r="T1394" t="s">
        <v>4270</v>
      </c>
      <c r="U1394" t="s">
        <v>40</v>
      </c>
      <c r="V1394" t="s">
        <v>52</v>
      </c>
      <c r="W1394" t="s">
        <v>36</v>
      </c>
      <c r="X1394" t="s">
        <v>53</v>
      </c>
      <c r="Y1394" t="s">
        <v>45</v>
      </c>
      <c r="Z1394" t="s">
        <v>47</v>
      </c>
      <c r="AA1394" t="s">
        <v>54</v>
      </c>
      <c r="AB1394" t="s">
        <v>55</v>
      </c>
      <c r="AC1394" t="s">
        <v>70</v>
      </c>
      <c r="AD1394" t="s">
        <v>41</v>
      </c>
      <c r="AE1394" t="s">
        <v>45</v>
      </c>
      <c r="AF1394" t="s">
        <v>70</v>
      </c>
      <c r="AG1394" t="s">
        <v>51</v>
      </c>
      <c r="AH1394" t="s">
        <v>55</v>
      </c>
      <c r="AI1394" t="s">
        <v>91</v>
      </c>
    </row>
    <row r="1395" spans="1:35" x14ac:dyDescent="0.25">
      <c r="A1395" t="s">
        <v>85</v>
      </c>
      <c r="B1395" t="s">
        <v>59</v>
      </c>
      <c r="C1395" t="s">
        <v>37</v>
      </c>
      <c r="D1395" t="s">
        <v>2034</v>
      </c>
      <c r="E1395" t="s">
        <v>39</v>
      </c>
      <c r="F1395" t="s">
        <v>91</v>
      </c>
      <c r="G1395" t="s">
        <v>45</v>
      </c>
      <c r="H1395" t="s">
        <v>206</v>
      </c>
      <c r="I1395" t="s">
        <v>40</v>
      </c>
      <c r="J1395" t="s">
        <v>4271</v>
      </c>
      <c r="K1395" t="s">
        <v>47</v>
      </c>
      <c r="L1395" t="s">
        <v>63</v>
      </c>
      <c r="M1395" t="s">
        <v>115</v>
      </c>
      <c r="N1395" t="s">
        <v>45</v>
      </c>
      <c r="O1395" t="s">
        <v>41</v>
      </c>
      <c r="P1395" t="s">
        <v>46</v>
      </c>
      <c r="Q1395" t="s">
        <v>47</v>
      </c>
      <c r="R1395" t="s">
        <v>48</v>
      </c>
      <c r="S1395" t="s">
        <v>4272</v>
      </c>
      <c r="T1395" t="s">
        <v>4273</v>
      </c>
      <c r="U1395" t="s">
        <v>40</v>
      </c>
      <c r="V1395" t="s">
        <v>52</v>
      </c>
      <c r="W1395" t="s">
        <v>59</v>
      </c>
      <c r="X1395" t="s">
        <v>129</v>
      </c>
      <c r="Y1395" t="s">
        <v>45</v>
      </c>
      <c r="Z1395" t="s">
        <v>40</v>
      </c>
      <c r="AA1395" t="s">
        <v>54</v>
      </c>
      <c r="AB1395" t="s">
        <v>55</v>
      </c>
      <c r="AC1395" t="s">
        <v>71</v>
      </c>
      <c r="AD1395" t="s">
        <v>57</v>
      </c>
      <c r="AE1395" t="s">
        <v>45</v>
      </c>
      <c r="AF1395" t="s">
        <v>71</v>
      </c>
      <c r="AG1395" t="s">
        <v>71</v>
      </c>
      <c r="AH1395" t="s">
        <v>55</v>
      </c>
      <c r="AI1395" t="s">
        <v>71</v>
      </c>
    </row>
    <row r="1396" spans="1:35" x14ac:dyDescent="0.25">
      <c r="A1396" t="s">
        <v>93</v>
      </c>
      <c r="B1396" t="s">
        <v>59</v>
      </c>
      <c r="C1396" t="s">
        <v>37</v>
      </c>
      <c r="D1396" t="s">
        <v>73</v>
      </c>
      <c r="E1396" t="s">
        <v>62</v>
      </c>
      <c r="F1396" t="s">
        <v>57</v>
      </c>
      <c r="G1396" t="s">
        <v>47</v>
      </c>
      <c r="H1396" t="s">
        <v>42</v>
      </c>
      <c r="I1396" t="s">
        <v>40</v>
      </c>
      <c r="J1396" t="s">
        <v>4274</v>
      </c>
      <c r="K1396" t="s">
        <v>47</v>
      </c>
      <c r="L1396" t="s">
        <v>63</v>
      </c>
      <c r="M1396" t="s">
        <v>82</v>
      </c>
      <c r="N1396" t="s">
        <v>41</v>
      </c>
      <c r="O1396" t="s">
        <v>41</v>
      </c>
      <c r="P1396" t="s">
        <v>116</v>
      </c>
      <c r="Q1396" t="s">
        <v>47</v>
      </c>
      <c r="R1396" t="s">
        <v>48</v>
      </c>
      <c r="S1396" t="s">
        <v>849</v>
      </c>
      <c r="T1396" t="s">
        <v>4275</v>
      </c>
      <c r="U1396" t="s">
        <v>51</v>
      </c>
      <c r="V1396" t="s">
        <v>52</v>
      </c>
      <c r="W1396" t="s">
        <v>59</v>
      </c>
      <c r="X1396" t="s">
        <v>107</v>
      </c>
      <c r="Y1396" t="s">
        <v>47</v>
      </c>
      <c r="Z1396" t="s">
        <v>41</v>
      </c>
      <c r="AA1396" t="s">
        <v>54</v>
      </c>
      <c r="AB1396" t="s">
        <v>55</v>
      </c>
      <c r="AC1396" t="s">
        <v>51</v>
      </c>
      <c r="AD1396" t="s">
        <v>40</v>
      </c>
      <c r="AE1396" t="s">
        <v>45</v>
      </c>
      <c r="AF1396" t="s">
        <v>40</v>
      </c>
      <c r="AG1396" t="s">
        <v>55</v>
      </c>
      <c r="AH1396" t="s">
        <v>55</v>
      </c>
      <c r="AI1396" t="s">
        <v>55</v>
      </c>
    </row>
    <row r="1397" spans="1:35" x14ac:dyDescent="0.25">
      <c r="A1397" t="s">
        <v>137</v>
      </c>
      <c r="B1397" t="s">
        <v>36</v>
      </c>
      <c r="C1397" t="s">
        <v>60</v>
      </c>
      <c r="D1397" t="s">
        <v>1987</v>
      </c>
      <c r="E1397" t="s">
        <v>39</v>
      </c>
      <c r="F1397" t="s">
        <v>139</v>
      </c>
      <c r="G1397" t="s">
        <v>47</v>
      </c>
      <c r="H1397" t="s">
        <v>206</v>
      </c>
      <c r="I1397" t="s">
        <v>40</v>
      </c>
      <c r="J1397" t="s">
        <v>4276</v>
      </c>
      <c r="K1397" t="s">
        <v>40</v>
      </c>
      <c r="L1397" t="s">
        <v>63</v>
      </c>
      <c r="M1397" t="s">
        <v>288</v>
      </c>
      <c r="N1397" t="s">
        <v>45</v>
      </c>
      <c r="O1397" t="s">
        <v>41</v>
      </c>
      <c r="P1397" t="s">
        <v>46</v>
      </c>
      <c r="Q1397" t="s">
        <v>47</v>
      </c>
      <c r="R1397" t="s">
        <v>66</v>
      </c>
      <c r="S1397" t="s">
        <v>4277</v>
      </c>
      <c r="T1397" t="s">
        <v>4278</v>
      </c>
      <c r="U1397" t="s">
        <v>40</v>
      </c>
      <c r="V1397" t="s">
        <v>52</v>
      </c>
      <c r="W1397" t="s">
        <v>36</v>
      </c>
      <c r="X1397" t="s">
        <v>53</v>
      </c>
      <c r="Y1397" t="s">
        <v>45</v>
      </c>
      <c r="Z1397" t="s">
        <v>45</v>
      </c>
      <c r="AA1397" t="s">
        <v>54</v>
      </c>
      <c r="AB1397" t="s">
        <v>55</v>
      </c>
      <c r="AC1397" t="s">
        <v>70</v>
      </c>
      <c r="AD1397" t="s">
        <v>47</v>
      </c>
      <c r="AE1397" t="s">
        <v>45</v>
      </c>
      <c r="AF1397" t="s">
        <v>70</v>
      </c>
      <c r="AG1397" t="s">
        <v>71</v>
      </c>
      <c r="AH1397" t="s">
        <v>55</v>
      </c>
      <c r="AI1397" t="s">
        <v>51</v>
      </c>
    </row>
    <row r="1398" spans="1:35" x14ac:dyDescent="0.25">
      <c r="A1398" t="s">
        <v>166</v>
      </c>
      <c r="B1398" t="s">
        <v>36</v>
      </c>
      <c r="C1398" t="s">
        <v>37</v>
      </c>
      <c r="D1398" t="s">
        <v>4279</v>
      </c>
      <c r="E1398" t="s">
        <v>39</v>
      </c>
      <c r="F1398" t="s">
        <v>107</v>
      </c>
      <c r="G1398" t="s">
        <v>47</v>
      </c>
      <c r="H1398" t="s">
        <v>42</v>
      </c>
      <c r="I1398" t="s">
        <v>40</v>
      </c>
      <c r="J1398" t="s">
        <v>4280</v>
      </c>
      <c r="K1398" t="s">
        <v>40</v>
      </c>
      <c r="L1398" t="s">
        <v>63</v>
      </c>
      <c r="M1398" t="s">
        <v>375</v>
      </c>
      <c r="N1398" t="s">
        <v>45</v>
      </c>
      <c r="O1398" t="s">
        <v>45</v>
      </c>
      <c r="P1398" t="s">
        <v>46</v>
      </c>
      <c r="Q1398" t="s">
        <v>40</v>
      </c>
      <c r="R1398" t="s">
        <v>48</v>
      </c>
      <c r="S1398" t="s">
        <v>4281</v>
      </c>
      <c r="T1398" t="s">
        <v>4282</v>
      </c>
      <c r="U1398" t="s">
        <v>56</v>
      </c>
      <c r="V1398" t="s">
        <v>52</v>
      </c>
      <c r="W1398" t="s">
        <v>36</v>
      </c>
      <c r="X1398" t="s">
        <v>98</v>
      </c>
      <c r="Y1398" t="s">
        <v>45</v>
      </c>
      <c r="Z1398" t="s">
        <v>41</v>
      </c>
      <c r="AA1398" t="s">
        <v>54</v>
      </c>
      <c r="AB1398" t="s">
        <v>55</v>
      </c>
      <c r="AC1398" t="s">
        <v>79</v>
      </c>
      <c r="AD1398" t="s">
        <v>41</v>
      </c>
      <c r="AE1398" t="s">
        <v>41</v>
      </c>
      <c r="AF1398" t="s">
        <v>41</v>
      </c>
      <c r="AG1398" t="s">
        <v>41</v>
      </c>
      <c r="AH1398" t="s">
        <v>41</v>
      </c>
      <c r="AI1398" t="s">
        <v>41</v>
      </c>
    </row>
    <row r="1399" spans="1:35" x14ac:dyDescent="0.25">
      <c r="A1399" t="s">
        <v>259</v>
      </c>
      <c r="B1399" t="s">
        <v>59</v>
      </c>
      <c r="C1399" t="s">
        <v>37</v>
      </c>
      <c r="D1399" t="s">
        <v>546</v>
      </c>
      <c r="E1399" t="s">
        <v>62</v>
      </c>
      <c r="F1399" t="s">
        <v>91</v>
      </c>
      <c r="G1399" t="s">
        <v>41</v>
      </c>
      <c r="H1399" t="s">
        <v>42</v>
      </c>
      <c r="I1399" t="s">
        <v>40</v>
      </c>
      <c r="J1399" t="s">
        <v>4283</v>
      </c>
      <c r="K1399" t="s">
        <v>40</v>
      </c>
      <c r="L1399" t="s">
        <v>43</v>
      </c>
      <c r="M1399" t="s">
        <v>108</v>
      </c>
      <c r="N1399" t="s">
        <v>45</v>
      </c>
      <c r="O1399" t="s">
        <v>41</v>
      </c>
      <c r="P1399" t="s">
        <v>65</v>
      </c>
      <c r="Q1399" t="s">
        <v>45</v>
      </c>
      <c r="R1399" t="s">
        <v>66</v>
      </c>
      <c r="S1399" t="s">
        <v>4284</v>
      </c>
      <c r="T1399" t="s">
        <v>4285</v>
      </c>
      <c r="U1399" t="s">
        <v>45</v>
      </c>
      <c r="V1399" t="s">
        <v>52</v>
      </c>
      <c r="W1399" t="s">
        <v>59</v>
      </c>
      <c r="X1399" t="s">
        <v>53</v>
      </c>
      <c r="Y1399" t="s">
        <v>45</v>
      </c>
      <c r="Z1399" t="s">
        <v>45</v>
      </c>
      <c r="AA1399" t="s">
        <v>54</v>
      </c>
      <c r="AB1399" t="s">
        <v>41</v>
      </c>
      <c r="AC1399" t="s">
        <v>91</v>
      </c>
      <c r="AD1399" t="s">
        <v>56</v>
      </c>
      <c r="AE1399" t="s">
        <v>41</v>
      </c>
      <c r="AF1399" t="s">
        <v>47</v>
      </c>
      <c r="AG1399" t="s">
        <v>45</v>
      </c>
      <c r="AH1399" t="s">
        <v>41</v>
      </c>
      <c r="AI1399" t="s">
        <v>45</v>
      </c>
    </row>
    <row r="1400" spans="1:35" x14ac:dyDescent="0.25">
      <c r="A1400" t="s">
        <v>80</v>
      </c>
      <c r="B1400" t="s">
        <v>59</v>
      </c>
      <c r="C1400" t="s">
        <v>60</v>
      </c>
      <c r="D1400" t="s">
        <v>1636</v>
      </c>
      <c r="E1400" t="s">
        <v>62</v>
      </c>
      <c r="F1400" t="s">
        <v>71</v>
      </c>
      <c r="G1400" t="s">
        <v>41</v>
      </c>
      <c r="H1400" t="s">
        <v>42</v>
      </c>
      <c r="I1400" t="s">
        <v>40</v>
      </c>
      <c r="J1400" t="s">
        <v>4286</v>
      </c>
      <c r="K1400" t="s">
        <v>47</v>
      </c>
      <c r="L1400" t="s">
        <v>63</v>
      </c>
      <c r="M1400" t="s">
        <v>120</v>
      </c>
      <c r="N1400" t="s">
        <v>45</v>
      </c>
      <c r="O1400" t="s">
        <v>41</v>
      </c>
      <c r="P1400" t="s">
        <v>122</v>
      </c>
      <c r="Q1400" t="s">
        <v>45</v>
      </c>
      <c r="R1400" t="s">
        <v>109</v>
      </c>
      <c r="S1400" t="s">
        <v>4287</v>
      </c>
      <c r="T1400" t="s">
        <v>4288</v>
      </c>
      <c r="U1400" t="s">
        <v>40</v>
      </c>
      <c r="V1400" t="s">
        <v>52</v>
      </c>
      <c r="W1400" t="s">
        <v>59</v>
      </c>
      <c r="X1400" t="s">
        <v>104</v>
      </c>
      <c r="Y1400" t="s">
        <v>47</v>
      </c>
      <c r="Z1400" t="s">
        <v>45</v>
      </c>
      <c r="AA1400" t="s">
        <v>54</v>
      </c>
      <c r="AB1400" t="s">
        <v>45</v>
      </c>
      <c r="AC1400" t="s">
        <v>91</v>
      </c>
      <c r="AD1400" t="s">
        <v>41</v>
      </c>
      <c r="AE1400" t="s">
        <v>45</v>
      </c>
      <c r="AF1400" t="s">
        <v>91</v>
      </c>
      <c r="AG1400" t="s">
        <v>71</v>
      </c>
      <c r="AH1400" t="s">
        <v>41</v>
      </c>
      <c r="AI1400" t="s">
        <v>51</v>
      </c>
    </row>
    <row r="1401" spans="1:35" x14ac:dyDescent="0.25">
      <c r="A1401" t="s">
        <v>234</v>
      </c>
      <c r="B1401" t="s">
        <v>59</v>
      </c>
      <c r="C1401" t="s">
        <v>37</v>
      </c>
      <c r="D1401" t="s">
        <v>1625</v>
      </c>
      <c r="E1401" t="s">
        <v>62</v>
      </c>
      <c r="F1401" t="s">
        <v>53</v>
      </c>
      <c r="G1401" t="s">
        <v>45</v>
      </c>
      <c r="H1401" t="s">
        <v>42</v>
      </c>
      <c r="I1401" t="s">
        <v>40</v>
      </c>
      <c r="J1401" t="s">
        <v>4289</v>
      </c>
      <c r="K1401" t="s">
        <v>40</v>
      </c>
      <c r="L1401" t="s">
        <v>63</v>
      </c>
      <c r="M1401" t="s">
        <v>105</v>
      </c>
      <c r="N1401" t="s">
        <v>45</v>
      </c>
      <c r="O1401" t="s">
        <v>45</v>
      </c>
      <c r="P1401" t="s">
        <v>122</v>
      </c>
      <c r="Q1401" t="s">
        <v>45</v>
      </c>
      <c r="R1401" t="s">
        <v>66</v>
      </c>
      <c r="S1401" t="s">
        <v>4290</v>
      </c>
      <c r="T1401" t="s">
        <v>4291</v>
      </c>
      <c r="U1401" t="s">
        <v>40</v>
      </c>
      <c r="V1401" t="s">
        <v>52</v>
      </c>
      <c r="W1401" t="s">
        <v>59</v>
      </c>
      <c r="X1401" t="s">
        <v>125</v>
      </c>
      <c r="Y1401" t="s">
        <v>45</v>
      </c>
      <c r="Z1401" t="s">
        <v>41</v>
      </c>
      <c r="AA1401" t="s">
        <v>54</v>
      </c>
      <c r="AB1401" t="s">
        <v>40</v>
      </c>
      <c r="AC1401" t="s">
        <v>70</v>
      </c>
      <c r="AD1401" t="s">
        <v>40</v>
      </c>
      <c r="AE1401" t="s">
        <v>45</v>
      </c>
      <c r="AF1401" t="s">
        <v>70</v>
      </c>
      <c r="AG1401" t="s">
        <v>91</v>
      </c>
      <c r="AH1401" t="s">
        <v>55</v>
      </c>
      <c r="AI1401" t="s">
        <v>91</v>
      </c>
    </row>
    <row r="1402" spans="1:35" x14ac:dyDescent="0.25">
      <c r="A1402" t="s">
        <v>113</v>
      </c>
      <c r="B1402" t="s">
        <v>59</v>
      </c>
      <c r="C1402" t="s">
        <v>60</v>
      </c>
      <c r="D1402" t="s">
        <v>4292</v>
      </c>
      <c r="E1402" t="s">
        <v>397</v>
      </c>
      <c r="F1402" t="s">
        <v>40</v>
      </c>
      <c r="G1402" t="s">
        <v>47</v>
      </c>
      <c r="H1402" t="s">
        <v>74</v>
      </c>
      <c r="I1402" t="s">
        <v>40</v>
      </c>
      <c r="J1402" t="s">
        <v>4293</v>
      </c>
      <c r="K1402" t="s">
        <v>47</v>
      </c>
      <c r="L1402" t="s">
        <v>63</v>
      </c>
      <c r="M1402" t="s">
        <v>356</v>
      </c>
      <c r="N1402" t="s">
        <v>45</v>
      </c>
      <c r="O1402" t="s">
        <v>40</v>
      </c>
      <c r="P1402" t="s">
        <v>397</v>
      </c>
      <c r="Q1402" t="s">
        <v>41</v>
      </c>
      <c r="R1402" t="s">
        <v>66</v>
      </c>
      <c r="S1402" t="s">
        <v>4294</v>
      </c>
      <c r="T1402" t="s">
        <v>4295</v>
      </c>
      <c r="U1402" t="s">
        <v>55</v>
      </c>
      <c r="V1402" t="s">
        <v>52</v>
      </c>
      <c r="W1402" t="s">
        <v>36</v>
      </c>
      <c r="X1402" t="s">
        <v>53</v>
      </c>
      <c r="Y1402" t="s">
        <v>45</v>
      </c>
      <c r="Z1402" t="s">
        <v>41</v>
      </c>
      <c r="AA1402" t="s">
        <v>54</v>
      </c>
      <c r="AB1402" t="s">
        <v>40</v>
      </c>
      <c r="AC1402" t="s">
        <v>71</v>
      </c>
      <c r="AD1402" t="s">
        <v>41</v>
      </c>
      <c r="AE1402" t="s">
        <v>45</v>
      </c>
      <c r="AF1402" t="s">
        <v>56</v>
      </c>
      <c r="AG1402" t="s">
        <v>41</v>
      </c>
      <c r="AH1402" t="s">
        <v>40</v>
      </c>
      <c r="AI1402" t="s">
        <v>41</v>
      </c>
    </row>
    <row r="1403" spans="1:35" x14ac:dyDescent="0.25">
      <c r="A1403" t="s">
        <v>263</v>
      </c>
      <c r="B1403" t="s">
        <v>59</v>
      </c>
      <c r="C1403" t="s">
        <v>37</v>
      </c>
      <c r="D1403" t="s">
        <v>4296</v>
      </c>
      <c r="E1403" t="s">
        <v>397</v>
      </c>
      <c r="F1403" t="s">
        <v>139</v>
      </c>
      <c r="G1403" t="s">
        <v>47</v>
      </c>
      <c r="H1403" t="s">
        <v>397</v>
      </c>
      <c r="I1403" t="s">
        <v>40</v>
      </c>
      <c r="J1403" t="s">
        <v>4297</v>
      </c>
      <c r="K1403" t="s">
        <v>45</v>
      </c>
      <c r="L1403" t="s">
        <v>63</v>
      </c>
      <c r="M1403" t="s">
        <v>315</v>
      </c>
      <c r="N1403" t="s">
        <v>47</v>
      </c>
      <c r="O1403" t="s">
        <v>57</v>
      </c>
      <c r="P1403" t="s">
        <v>169</v>
      </c>
      <c r="Q1403" t="s">
        <v>41</v>
      </c>
      <c r="R1403" t="s">
        <v>66</v>
      </c>
      <c r="S1403" t="s">
        <v>4298</v>
      </c>
      <c r="T1403" t="s">
        <v>4299</v>
      </c>
      <c r="U1403" t="s">
        <v>47</v>
      </c>
      <c r="V1403" t="s">
        <v>52</v>
      </c>
      <c r="W1403" t="s">
        <v>36</v>
      </c>
      <c r="X1403" t="s">
        <v>145</v>
      </c>
      <c r="Y1403" t="s">
        <v>45</v>
      </c>
      <c r="Z1403" t="s">
        <v>40</v>
      </c>
      <c r="AA1403" t="s">
        <v>54</v>
      </c>
      <c r="AB1403" t="s">
        <v>40</v>
      </c>
      <c r="AC1403" t="s">
        <v>126</v>
      </c>
      <c r="AD1403" t="s">
        <v>55</v>
      </c>
      <c r="AE1403" t="s">
        <v>45</v>
      </c>
      <c r="AF1403" t="s">
        <v>70</v>
      </c>
      <c r="AG1403" t="s">
        <v>91</v>
      </c>
      <c r="AH1403" t="s">
        <v>40</v>
      </c>
      <c r="AI1403" t="s">
        <v>47</v>
      </c>
    </row>
    <row r="1404" spans="1:35" x14ac:dyDescent="0.25">
      <c r="A1404" t="s">
        <v>137</v>
      </c>
      <c r="B1404" t="s">
        <v>59</v>
      </c>
      <c r="C1404" t="s">
        <v>37</v>
      </c>
      <c r="D1404" t="s">
        <v>1659</v>
      </c>
      <c r="E1404" t="s">
        <v>62</v>
      </c>
      <c r="F1404" t="s">
        <v>41</v>
      </c>
      <c r="G1404" t="s">
        <v>40</v>
      </c>
      <c r="H1404" t="s">
        <v>87</v>
      </c>
      <c r="I1404" t="s">
        <v>40</v>
      </c>
      <c r="J1404" t="s">
        <v>4300</v>
      </c>
      <c r="K1404" t="s">
        <v>47</v>
      </c>
      <c r="L1404" t="s">
        <v>43</v>
      </c>
      <c r="M1404" t="s">
        <v>99</v>
      </c>
      <c r="N1404" t="s">
        <v>40</v>
      </c>
      <c r="O1404" t="s">
        <v>40</v>
      </c>
      <c r="P1404" t="s">
        <v>76</v>
      </c>
      <c r="Q1404" t="s">
        <v>47</v>
      </c>
      <c r="R1404" t="s">
        <v>109</v>
      </c>
      <c r="S1404" t="s">
        <v>4301</v>
      </c>
      <c r="T1404" t="s">
        <v>4302</v>
      </c>
      <c r="U1404" t="s">
        <v>40</v>
      </c>
      <c r="V1404" t="s">
        <v>52</v>
      </c>
      <c r="W1404" t="s">
        <v>36</v>
      </c>
      <c r="X1404" t="s">
        <v>53</v>
      </c>
      <c r="Y1404" t="s">
        <v>45</v>
      </c>
      <c r="Z1404" t="s">
        <v>45</v>
      </c>
      <c r="AA1404" t="s">
        <v>54</v>
      </c>
      <c r="AB1404" t="s">
        <v>45</v>
      </c>
      <c r="AC1404" t="s">
        <v>40</v>
      </c>
      <c r="AD1404" t="s">
        <v>47</v>
      </c>
      <c r="AE1404" t="s">
        <v>45</v>
      </c>
      <c r="AF1404" t="s">
        <v>40</v>
      </c>
      <c r="AG1404" t="s">
        <v>55</v>
      </c>
      <c r="AH1404" t="s">
        <v>55</v>
      </c>
      <c r="AI1404" t="s">
        <v>55</v>
      </c>
    </row>
    <row r="1405" spans="1:35" x14ac:dyDescent="0.25">
      <c r="A1405" t="s">
        <v>218</v>
      </c>
      <c r="B1405" t="s">
        <v>59</v>
      </c>
      <c r="C1405" t="s">
        <v>37</v>
      </c>
      <c r="D1405" t="s">
        <v>440</v>
      </c>
      <c r="E1405" t="s">
        <v>39</v>
      </c>
      <c r="F1405" t="s">
        <v>79</v>
      </c>
      <c r="G1405" t="s">
        <v>47</v>
      </c>
      <c r="H1405" t="s">
        <v>206</v>
      </c>
      <c r="I1405" t="s">
        <v>40</v>
      </c>
      <c r="J1405" t="s">
        <v>4303</v>
      </c>
      <c r="K1405" t="s">
        <v>41</v>
      </c>
      <c r="L1405" t="s">
        <v>63</v>
      </c>
      <c r="M1405" t="s">
        <v>326</v>
      </c>
      <c r="N1405" t="s">
        <v>45</v>
      </c>
      <c r="O1405" t="s">
        <v>47</v>
      </c>
      <c r="P1405" t="s">
        <v>46</v>
      </c>
      <c r="Q1405" t="s">
        <v>40</v>
      </c>
      <c r="R1405" t="s">
        <v>48</v>
      </c>
      <c r="S1405" t="s">
        <v>4304</v>
      </c>
      <c r="T1405" t="s">
        <v>4305</v>
      </c>
      <c r="U1405" t="s">
        <v>55</v>
      </c>
      <c r="V1405" t="s">
        <v>52</v>
      </c>
      <c r="W1405" t="s">
        <v>59</v>
      </c>
      <c r="X1405" t="s">
        <v>92</v>
      </c>
      <c r="Y1405" t="s">
        <v>45</v>
      </c>
      <c r="Z1405" t="s">
        <v>40</v>
      </c>
      <c r="AA1405" t="s">
        <v>54</v>
      </c>
      <c r="AB1405" t="s">
        <v>55</v>
      </c>
      <c r="AC1405" t="s">
        <v>119</v>
      </c>
      <c r="AD1405" t="s">
        <v>45</v>
      </c>
      <c r="AE1405" t="s">
        <v>45</v>
      </c>
      <c r="AF1405" t="s">
        <v>104</v>
      </c>
      <c r="AG1405" t="s">
        <v>51</v>
      </c>
      <c r="AH1405" t="s">
        <v>53</v>
      </c>
      <c r="AI1405" t="s">
        <v>70</v>
      </c>
    </row>
    <row r="1406" spans="1:35" x14ac:dyDescent="0.25">
      <c r="A1406" t="s">
        <v>204</v>
      </c>
      <c r="B1406" t="s">
        <v>59</v>
      </c>
      <c r="C1406" t="s">
        <v>161</v>
      </c>
      <c r="D1406" t="s">
        <v>1004</v>
      </c>
      <c r="E1406" t="s">
        <v>62</v>
      </c>
      <c r="F1406" t="s">
        <v>69</v>
      </c>
      <c r="G1406" t="s">
        <v>41</v>
      </c>
      <c r="H1406" t="s">
        <v>42</v>
      </c>
      <c r="I1406" t="s">
        <v>40</v>
      </c>
      <c r="J1406" t="s">
        <v>4306</v>
      </c>
      <c r="K1406" t="s">
        <v>47</v>
      </c>
      <c r="L1406" t="s">
        <v>63</v>
      </c>
      <c r="M1406" t="s">
        <v>72</v>
      </c>
      <c r="N1406" t="s">
        <v>41</v>
      </c>
      <c r="O1406" t="s">
        <v>41</v>
      </c>
      <c r="P1406" t="s">
        <v>65</v>
      </c>
      <c r="Q1406" t="s">
        <v>45</v>
      </c>
      <c r="R1406" t="s">
        <v>48</v>
      </c>
      <c r="S1406" t="s">
        <v>4307</v>
      </c>
      <c r="T1406" t="s">
        <v>4308</v>
      </c>
      <c r="U1406" t="s">
        <v>40</v>
      </c>
      <c r="V1406" t="s">
        <v>52</v>
      </c>
      <c r="W1406" t="s">
        <v>59</v>
      </c>
      <c r="X1406" t="s">
        <v>92</v>
      </c>
      <c r="Y1406" t="s">
        <v>45</v>
      </c>
      <c r="Z1406" t="s">
        <v>47</v>
      </c>
      <c r="AA1406" t="s">
        <v>54</v>
      </c>
      <c r="AB1406" t="s">
        <v>55</v>
      </c>
      <c r="AC1406" t="s">
        <v>104</v>
      </c>
      <c r="AD1406" t="s">
        <v>41</v>
      </c>
      <c r="AE1406" t="s">
        <v>45</v>
      </c>
      <c r="AF1406" t="s">
        <v>104</v>
      </c>
      <c r="AG1406" t="s">
        <v>91</v>
      </c>
      <c r="AH1406" t="s">
        <v>45</v>
      </c>
      <c r="AI1406" t="s">
        <v>71</v>
      </c>
    </row>
    <row r="1407" spans="1:35" x14ac:dyDescent="0.25">
      <c r="A1407" t="s">
        <v>137</v>
      </c>
      <c r="B1407" t="s">
        <v>59</v>
      </c>
      <c r="C1407" t="s">
        <v>161</v>
      </c>
      <c r="D1407" t="s">
        <v>2704</v>
      </c>
      <c r="E1407" t="s">
        <v>62</v>
      </c>
      <c r="F1407" t="s">
        <v>70</v>
      </c>
      <c r="G1407" t="s">
        <v>45</v>
      </c>
      <c r="H1407" t="s">
        <v>87</v>
      </c>
      <c r="I1407" t="s">
        <v>40</v>
      </c>
      <c r="J1407" t="s">
        <v>4309</v>
      </c>
      <c r="K1407" t="s">
        <v>45</v>
      </c>
      <c r="L1407" t="s">
        <v>43</v>
      </c>
      <c r="M1407" t="s">
        <v>88</v>
      </c>
      <c r="N1407" t="s">
        <v>45</v>
      </c>
      <c r="O1407" t="s">
        <v>45</v>
      </c>
      <c r="P1407" t="s">
        <v>186</v>
      </c>
      <c r="Q1407" t="s">
        <v>45</v>
      </c>
      <c r="R1407" t="s">
        <v>66</v>
      </c>
      <c r="S1407" t="s">
        <v>317</v>
      </c>
      <c r="T1407" t="s">
        <v>4310</v>
      </c>
      <c r="U1407" t="s">
        <v>47</v>
      </c>
      <c r="V1407" t="s">
        <v>52</v>
      </c>
      <c r="W1407" t="s">
        <v>59</v>
      </c>
      <c r="X1407" t="s">
        <v>104</v>
      </c>
      <c r="Y1407" t="s">
        <v>47</v>
      </c>
      <c r="Z1407" t="s">
        <v>45</v>
      </c>
      <c r="AA1407" t="s">
        <v>54</v>
      </c>
      <c r="AB1407" t="s">
        <v>40</v>
      </c>
      <c r="AC1407" t="s">
        <v>98</v>
      </c>
      <c r="AD1407" t="s">
        <v>41</v>
      </c>
      <c r="AE1407" t="s">
        <v>47</v>
      </c>
      <c r="AF1407" t="s">
        <v>53</v>
      </c>
      <c r="AG1407" t="s">
        <v>71</v>
      </c>
      <c r="AH1407" t="s">
        <v>47</v>
      </c>
      <c r="AI1407" t="s">
        <v>51</v>
      </c>
    </row>
    <row r="1408" spans="1:35" x14ac:dyDescent="0.25">
      <c r="A1408" t="s">
        <v>259</v>
      </c>
      <c r="B1408" t="s">
        <v>59</v>
      </c>
      <c r="C1408" t="s">
        <v>37</v>
      </c>
      <c r="D1408" t="s">
        <v>4252</v>
      </c>
      <c r="E1408" t="s">
        <v>62</v>
      </c>
      <c r="F1408" t="s">
        <v>70</v>
      </c>
      <c r="G1408" t="s">
        <v>45</v>
      </c>
      <c r="H1408" t="s">
        <v>87</v>
      </c>
      <c r="I1408" t="s">
        <v>40</v>
      </c>
      <c r="J1408" t="s">
        <v>4311</v>
      </c>
      <c r="K1408" t="s">
        <v>45</v>
      </c>
      <c r="L1408" t="s">
        <v>43</v>
      </c>
      <c r="M1408" t="s">
        <v>326</v>
      </c>
      <c r="N1408" t="s">
        <v>45</v>
      </c>
      <c r="O1408" t="s">
        <v>41</v>
      </c>
      <c r="P1408" t="s">
        <v>116</v>
      </c>
      <c r="Q1408" t="s">
        <v>40</v>
      </c>
      <c r="R1408" t="s">
        <v>48</v>
      </c>
      <c r="S1408" t="s">
        <v>4312</v>
      </c>
      <c r="T1408" t="s">
        <v>4313</v>
      </c>
      <c r="U1408" t="s">
        <v>56</v>
      </c>
      <c r="V1408" t="s">
        <v>52</v>
      </c>
      <c r="W1408" t="s">
        <v>36</v>
      </c>
      <c r="X1408" t="s">
        <v>144</v>
      </c>
      <c r="Y1408" t="s">
        <v>45</v>
      </c>
      <c r="Z1408" t="s">
        <v>47</v>
      </c>
      <c r="AA1408" t="s">
        <v>54</v>
      </c>
      <c r="AB1408" t="s">
        <v>55</v>
      </c>
      <c r="AC1408" t="s">
        <v>91</v>
      </c>
      <c r="AD1408" t="s">
        <v>45</v>
      </c>
      <c r="AE1408" t="s">
        <v>45</v>
      </c>
      <c r="AF1408" t="s">
        <v>57</v>
      </c>
      <c r="AG1408" t="s">
        <v>41</v>
      </c>
      <c r="AH1408" t="s">
        <v>40</v>
      </c>
      <c r="AI1408" t="s">
        <v>47</v>
      </c>
    </row>
    <row r="1409" spans="1:35" x14ac:dyDescent="0.25">
      <c r="A1409" t="s">
        <v>107</v>
      </c>
      <c r="B1409" t="s">
        <v>59</v>
      </c>
      <c r="C1409" t="s">
        <v>37</v>
      </c>
      <c r="D1409" t="s">
        <v>982</v>
      </c>
      <c r="E1409" t="s">
        <v>62</v>
      </c>
      <c r="F1409" t="s">
        <v>40</v>
      </c>
      <c r="G1409" t="s">
        <v>41</v>
      </c>
      <c r="H1409" t="s">
        <v>42</v>
      </c>
      <c r="I1409" t="s">
        <v>40</v>
      </c>
      <c r="J1409" t="s">
        <v>4314</v>
      </c>
      <c r="K1409" t="s">
        <v>41</v>
      </c>
      <c r="L1409" t="s">
        <v>63</v>
      </c>
      <c r="M1409" t="s">
        <v>174</v>
      </c>
      <c r="N1409" t="s">
        <v>41</v>
      </c>
      <c r="O1409" t="s">
        <v>41</v>
      </c>
      <c r="P1409" t="s">
        <v>122</v>
      </c>
      <c r="Q1409" t="s">
        <v>45</v>
      </c>
      <c r="R1409" t="s">
        <v>48</v>
      </c>
      <c r="S1409" t="s">
        <v>4315</v>
      </c>
      <c r="T1409" t="s">
        <v>4316</v>
      </c>
      <c r="U1409" t="s">
        <v>40</v>
      </c>
      <c r="V1409" t="s">
        <v>52</v>
      </c>
      <c r="W1409" t="s">
        <v>59</v>
      </c>
      <c r="X1409" t="s">
        <v>92</v>
      </c>
      <c r="Y1409" t="s">
        <v>45</v>
      </c>
      <c r="Z1409" t="s">
        <v>41</v>
      </c>
      <c r="AA1409" t="s">
        <v>54</v>
      </c>
      <c r="AB1409" t="s">
        <v>55</v>
      </c>
      <c r="AC1409" t="s">
        <v>47</v>
      </c>
      <c r="AD1409" t="s">
        <v>41</v>
      </c>
      <c r="AE1409" t="s">
        <v>41</v>
      </c>
      <c r="AF1409" t="s">
        <v>47</v>
      </c>
      <c r="AG1409" t="s">
        <v>45</v>
      </c>
      <c r="AH1409" t="s">
        <v>40</v>
      </c>
      <c r="AI1409" t="s">
        <v>41</v>
      </c>
    </row>
    <row r="1410" spans="1:35" x14ac:dyDescent="0.25">
      <c r="A1410" t="s">
        <v>69</v>
      </c>
      <c r="B1410" t="s">
        <v>59</v>
      </c>
      <c r="C1410" t="s">
        <v>37</v>
      </c>
      <c r="D1410" t="s">
        <v>1619</v>
      </c>
      <c r="E1410" t="s">
        <v>62</v>
      </c>
      <c r="F1410" t="s">
        <v>92</v>
      </c>
      <c r="G1410" t="s">
        <v>41</v>
      </c>
      <c r="H1410" t="s">
        <v>74</v>
      </c>
      <c r="I1410" t="s">
        <v>40</v>
      </c>
      <c r="J1410" t="s">
        <v>4317</v>
      </c>
      <c r="K1410" t="s">
        <v>47</v>
      </c>
      <c r="L1410" t="s">
        <v>63</v>
      </c>
      <c r="M1410" t="s">
        <v>168</v>
      </c>
      <c r="N1410" t="s">
        <v>45</v>
      </c>
      <c r="O1410" t="s">
        <v>40</v>
      </c>
      <c r="P1410" t="s">
        <v>76</v>
      </c>
      <c r="Q1410" t="s">
        <v>47</v>
      </c>
      <c r="R1410" t="s">
        <v>48</v>
      </c>
      <c r="S1410" t="s">
        <v>4318</v>
      </c>
      <c r="T1410" t="s">
        <v>4319</v>
      </c>
      <c r="U1410" t="s">
        <v>40</v>
      </c>
      <c r="V1410" t="s">
        <v>52</v>
      </c>
      <c r="W1410" t="s">
        <v>59</v>
      </c>
      <c r="X1410" t="s">
        <v>98</v>
      </c>
      <c r="Y1410" t="s">
        <v>45</v>
      </c>
      <c r="Z1410" t="s">
        <v>45</v>
      </c>
      <c r="AA1410" t="s">
        <v>54</v>
      </c>
      <c r="AB1410" t="s">
        <v>55</v>
      </c>
      <c r="AC1410" t="s">
        <v>57</v>
      </c>
      <c r="AD1410" t="s">
        <v>56</v>
      </c>
      <c r="AE1410" t="s">
        <v>47</v>
      </c>
      <c r="AF1410" t="s">
        <v>57</v>
      </c>
      <c r="AG1410" t="s">
        <v>41</v>
      </c>
      <c r="AH1410" t="s">
        <v>40</v>
      </c>
      <c r="AI1410" t="s">
        <v>47</v>
      </c>
    </row>
    <row r="1411" spans="1:35" x14ac:dyDescent="0.25">
      <c r="A1411" t="s">
        <v>88</v>
      </c>
      <c r="B1411" t="s">
        <v>59</v>
      </c>
      <c r="C1411" t="s">
        <v>60</v>
      </c>
      <c r="D1411" t="s">
        <v>798</v>
      </c>
      <c r="E1411" t="s">
        <v>62</v>
      </c>
      <c r="F1411" t="s">
        <v>53</v>
      </c>
      <c r="G1411" t="s">
        <v>45</v>
      </c>
      <c r="H1411" t="s">
        <v>228</v>
      </c>
      <c r="I1411" t="s">
        <v>40</v>
      </c>
      <c r="J1411" t="s">
        <v>4320</v>
      </c>
      <c r="K1411" t="s">
        <v>47</v>
      </c>
      <c r="L1411" t="s">
        <v>43</v>
      </c>
      <c r="M1411" t="s">
        <v>279</v>
      </c>
      <c r="N1411" t="s">
        <v>45</v>
      </c>
      <c r="O1411" t="s">
        <v>41</v>
      </c>
      <c r="P1411" t="s">
        <v>76</v>
      </c>
      <c r="Q1411" t="s">
        <v>45</v>
      </c>
      <c r="R1411" t="s">
        <v>66</v>
      </c>
      <c r="S1411" t="s">
        <v>4321</v>
      </c>
      <c r="T1411" t="s">
        <v>4322</v>
      </c>
      <c r="U1411" t="s">
        <v>40</v>
      </c>
      <c r="V1411" t="s">
        <v>52</v>
      </c>
      <c r="W1411" t="s">
        <v>59</v>
      </c>
      <c r="X1411" t="s">
        <v>53</v>
      </c>
      <c r="Y1411" t="s">
        <v>45</v>
      </c>
      <c r="Z1411" t="s">
        <v>40</v>
      </c>
      <c r="AA1411" t="s">
        <v>54</v>
      </c>
      <c r="AB1411" t="s">
        <v>40</v>
      </c>
      <c r="AC1411" t="s">
        <v>70</v>
      </c>
      <c r="AD1411" t="s">
        <v>41</v>
      </c>
      <c r="AE1411" t="s">
        <v>47</v>
      </c>
      <c r="AF1411" t="s">
        <v>70</v>
      </c>
      <c r="AG1411" t="s">
        <v>91</v>
      </c>
      <c r="AH1411" t="s">
        <v>91</v>
      </c>
      <c r="AI1411" t="s">
        <v>47</v>
      </c>
    </row>
    <row r="1412" spans="1:35" x14ac:dyDescent="0.25">
      <c r="A1412" t="s">
        <v>88</v>
      </c>
      <c r="B1412" t="s">
        <v>59</v>
      </c>
      <c r="C1412" t="s">
        <v>37</v>
      </c>
      <c r="D1412" t="s">
        <v>1181</v>
      </c>
      <c r="E1412" t="s">
        <v>39</v>
      </c>
      <c r="F1412" t="s">
        <v>41</v>
      </c>
      <c r="G1412" t="s">
        <v>41</v>
      </c>
      <c r="H1412" t="s">
        <v>206</v>
      </c>
      <c r="I1412" t="s">
        <v>40</v>
      </c>
      <c r="J1412" t="s">
        <v>4323</v>
      </c>
      <c r="K1412" t="s">
        <v>41</v>
      </c>
      <c r="L1412" t="s">
        <v>43</v>
      </c>
      <c r="M1412" t="s">
        <v>75</v>
      </c>
      <c r="N1412" t="s">
        <v>45</v>
      </c>
      <c r="O1412" t="s">
        <v>41</v>
      </c>
      <c r="P1412" t="s">
        <v>46</v>
      </c>
      <c r="Q1412" t="s">
        <v>41</v>
      </c>
      <c r="R1412" t="s">
        <v>66</v>
      </c>
      <c r="S1412" t="s">
        <v>4324</v>
      </c>
      <c r="T1412" t="s">
        <v>2055</v>
      </c>
      <c r="U1412" t="s">
        <v>45</v>
      </c>
      <c r="V1412" t="s">
        <v>52</v>
      </c>
      <c r="W1412" t="s">
        <v>59</v>
      </c>
      <c r="X1412" t="s">
        <v>129</v>
      </c>
      <c r="Y1412" t="s">
        <v>45</v>
      </c>
      <c r="Z1412" t="s">
        <v>45</v>
      </c>
      <c r="AA1412" t="s">
        <v>54</v>
      </c>
      <c r="AB1412" t="s">
        <v>40</v>
      </c>
      <c r="AC1412" t="s">
        <v>79</v>
      </c>
      <c r="AD1412" t="s">
        <v>47</v>
      </c>
      <c r="AE1412" t="s">
        <v>45</v>
      </c>
      <c r="AF1412" t="s">
        <v>53</v>
      </c>
      <c r="AG1412" t="s">
        <v>51</v>
      </c>
      <c r="AH1412" t="s">
        <v>57</v>
      </c>
      <c r="AI1412" t="s">
        <v>70</v>
      </c>
    </row>
    <row r="1413" spans="1:35" x14ac:dyDescent="0.25">
      <c r="A1413" t="s">
        <v>172</v>
      </c>
      <c r="B1413" t="s">
        <v>59</v>
      </c>
      <c r="C1413" t="s">
        <v>37</v>
      </c>
      <c r="D1413" t="s">
        <v>939</v>
      </c>
      <c r="E1413" t="s">
        <v>397</v>
      </c>
      <c r="F1413" t="s">
        <v>41</v>
      </c>
      <c r="G1413" t="s">
        <v>45</v>
      </c>
      <c r="H1413" t="s">
        <v>397</v>
      </c>
      <c r="I1413" t="s">
        <v>40</v>
      </c>
      <c r="J1413" t="s">
        <v>4325</v>
      </c>
      <c r="K1413" t="s">
        <v>45</v>
      </c>
      <c r="L1413" t="s">
        <v>43</v>
      </c>
      <c r="M1413" t="s">
        <v>181</v>
      </c>
      <c r="N1413" t="s">
        <v>45</v>
      </c>
      <c r="O1413" t="s">
        <v>40</v>
      </c>
      <c r="P1413" t="s">
        <v>397</v>
      </c>
      <c r="Q1413" t="s">
        <v>41</v>
      </c>
      <c r="R1413" t="s">
        <v>66</v>
      </c>
      <c r="S1413" t="s">
        <v>1801</v>
      </c>
      <c r="T1413" t="s">
        <v>4326</v>
      </c>
      <c r="U1413" t="s">
        <v>47</v>
      </c>
      <c r="V1413" t="s">
        <v>52</v>
      </c>
      <c r="W1413" t="s">
        <v>59</v>
      </c>
      <c r="X1413" t="s">
        <v>129</v>
      </c>
      <c r="Y1413" t="s">
        <v>45</v>
      </c>
      <c r="Z1413" t="s">
        <v>45</v>
      </c>
      <c r="AA1413" t="s">
        <v>54</v>
      </c>
      <c r="AB1413" t="s">
        <v>55</v>
      </c>
      <c r="AC1413" t="s">
        <v>56</v>
      </c>
      <c r="AD1413" t="s">
        <v>45</v>
      </c>
      <c r="AE1413" t="s">
        <v>45</v>
      </c>
      <c r="AF1413" t="s">
        <v>41</v>
      </c>
      <c r="AG1413" t="s">
        <v>55</v>
      </c>
      <c r="AH1413" t="s">
        <v>40</v>
      </c>
      <c r="AI1413" t="s">
        <v>41</v>
      </c>
    </row>
    <row r="1414" spans="1:35" x14ac:dyDescent="0.25">
      <c r="A1414" t="s">
        <v>105</v>
      </c>
      <c r="B1414" t="s">
        <v>59</v>
      </c>
      <c r="C1414" t="s">
        <v>37</v>
      </c>
      <c r="D1414" t="s">
        <v>2306</v>
      </c>
      <c r="E1414" t="s">
        <v>62</v>
      </c>
      <c r="F1414" t="s">
        <v>40</v>
      </c>
      <c r="G1414" t="s">
        <v>41</v>
      </c>
      <c r="H1414" t="s">
        <v>87</v>
      </c>
      <c r="I1414" t="s">
        <v>40</v>
      </c>
      <c r="J1414" t="s">
        <v>4327</v>
      </c>
      <c r="K1414" t="s">
        <v>47</v>
      </c>
      <c r="L1414" t="s">
        <v>63</v>
      </c>
      <c r="M1414" t="s">
        <v>322</v>
      </c>
      <c r="N1414" t="s">
        <v>45</v>
      </c>
      <c r="O1414" t="s">
        <v>40</v>
      </c>
      <c r="P1414" t="s">
        <v>76</v>
      </c>
      <c r="Q1414" t="s">
        <v>41</v>
      </c>
      <c r="R1414" t="s">
        <v>66</v>
      </c>
      <c r="S1414" t="s">
        <v>4328</v>
      </c>
      <c r="T1414" t="s">
        <v>4329</v>
      </c>
      <c r="U1414" t="s">
        <v>40</v>
      </c>
      <c r="V1414" t="s">
        <v>52</v>
      </c>
      <c r="W1414" t="s">
        <v>59</v>
      </c>
      <c r="X1414" t="s">
        <v>98</v>
      </c>
      <c r="Y1414" t="s">
        <v>45</v>
      </c>
      <c r="Z1414" t="s">
        <v>45</v>
      </c>
      <c r="AA1414" t="s">
        <v>54</v>
      </c>
      <c r="AB1414" t="s">
        <v>55</v>
      </c>
      <c r="AC1414" t="s">
        <v>92</v>
      </c>
      <c r="AD1414" t="s">
        <v>56</v>
      </c>
      <c r="AE1414" t="s">
        <v>41</v>
      </c>
      <c r="AF1414" t="s">
        <v>92</v>
      </c>
      <c r="AG1414" t="s">
        <v>51</v>
      </c>
      <c r="AH1414" t="s">
        <v>40</v>
      </c>
      <c r="AI1414" t="s">
        <v>71</v>
      </c>
    </row>
    <row r="1415" spans="1:35" x14ac:dyDescent="0.25">
      <c r="A1415" t="s">
        <v>172</v>
      </c>
      <c r="B1415" t="s">
        <v>59</v>
      </c>
      <c r="C1415" t="s">
        <v>37</v>
      </c>
      <c r="D1415" t="s">
        <v>2430</v>
      </c>
      <c r="E1415" t="s">
        <v>62</v>
      </c>
      <c r="F1415" t="s">
        <v>41</v>
      </c>
      <c r="G1415" t="s">
        <v>40</v>
      </c>
      <c r="H1415" t="s">
        <v>74</v>
      </c>
      <c r="I1415" t="s">
        <v>40</v>
      </c>
      <c r="J1415" t="s">
        <v>4330</v>
      </c>
      <c r="K1415" t="s">
        <v>47</v>
      </c>
      <c r="L1415" t="s">
        <v>63</v>
      </c>
      <c r="M1415" t="s">
        <v>269</v>
      </c>
      <c r="N1415" t="s">
        <v>45</v>
      </c>
      <c r="O1415" t="s">
        <v>40</v>
      </c>
      <c r="P1415" t="s">
        <v>76</v>
      </c>
      <c r="Q1415" t="s">
        <v>45</v>
      </c>
      <c r="R1415" t="s">
        <v>109</v>
      </c>
      <c r="S1415" t="s">
        <v>4331</v>
      </c>
      <c r="T1415" t="s">
        <v>4332</v>
      </c>
      <c r="U1415" t="s">
        <v>56</v>
      </c>
      <c r="V1415" t="s">
        <v>52</v>
      </c>
      <c r="W1415" t="s">
        <v>36</v>
      </c>
      <c r="X1415" t="s">
        <v>144</v>
      </c>
      <c r="Y1415" t="s">
        <v>45</v>
      </c>
      <c r="Z1415" t="s">
        <v>45</v>
      </c>
      <c r="AA1415" t="s">
        <v>54</v>
      </c>
      <c r="AB1415" t="s">
        <v>40</v>
      </c>
      <c r="AC1415" t="s">
        <v>71</v>
      </c>
      <c r="AD1415" t="s">
        <v>41</v>
      </c>
      <c r="AE1415" t="s">
        <v>41</v>
      </c>
      <c r="AF1415" t="s">
        <v>41</v>
      </c>
      <c r="AG1415" t="s">
        <v>41</v>
      </c>
      <c r="AH1415" t="s">
        <v>55</v>
      </c>
      <c r="AI1415" t="s">
        <v>41</v>
      </c>
    </row>
    <row r="1416" spans="1:35" x14ac:dyDescent="0.25">
      <c r="A1416" t="s">
        <v>239</v>
      </c>
      <c r="B1416" t="s">
        <v>59</v>
      </c>
      <c r="C1416" t="s">
        <v>37</v>
      </c>
      <c r="D1416" t="s">
        <v>862</v>
      </c>
      <c r="E1416" t="s">
        <v>62</v>
      </c>
      <c r="F1416" t="s">
        <v>172</v>
      </c>
      <c r="G1416" t="s">
        <v>45</v>
      </c>
      <c r="H1416" t="s">
        <v>87</v>
      </c>
      <c r="I1416" t="s">
        <v>40</v>
      </c>
      <c r="J1416" t="s">
        <v>4333</v>
      </c>
      <c r="K1416" t="s">
        <v>40</v>
      </c>
      <c r="L1416" t="s">
        <v>63</v>
      </c>
      <c r="M1416" t="s">
        <v>130</v>
      </c>
      <c r="N1416" t="s">
        <v>45</v>
      </c>
      <c r="O1416" t="s">
        <v>45</v>
      </c>
      <c r="P1416" t="s">
        <v>122</v>
      </c>
      <c r="Q1416" t="s">
        <v>45</v>
      </c>
      <c r="R1416" t="s">
        <v>48</v>
      </c>
      <c r="S1416" t="s">
        <v>4334</v>
      </c>
      <c r="T1416" t="s">
        <v>4335</v>
      </c>
      <c r="U1416" t="s">
        <v>41</v>
      </c>
      <c r="V1416" t="s">
        <v>52</v>
      </c>
      <c r="W1416" t="s">
        <v>59</v>
      </c>
      <c r="X1416" t="s">
        <v>69</v>
      </c>
      <c r="Y1416" t="s">
        <v>47</v>
      </c>
      <c r="Z1416" t="s">
        <v>41</v>
      </c>
      <c r="AA1416" t="s">
        <v>54</v>
      </c>
      <c r="AB1416" t="s">
        <v>55</v>
      </c>
      <c r="AC1416" t="s">
        <v>172</v>
      </c>
      <c r="AD1416" t="s">
        <v>45</v>
      </c>
      <c r="AE1416" t="s">
        <v>45</v>
      </c>
      <c r="AF1416" t="s">
        <v>125</v>
      </c>
      <c r="AG1416" t="s">
        <v>129</v>
      </c>
      <c r="AH1416" t="s">
        <v>92</v>
      </c>
      <c r="AI1416" t="s">
        <v>53</v>
      </c>
    </row>
    <row r="1417" spans="1:35" x14ac:dyDescent="0.25">
      <c r="A1417" t="s">
        <v>80</v>
      </c>
      <c r="B1417" t="s">
        <v>59</v>
      </c>
      <c r="C1417" t="s">
        <v>161</v>
      </c>
      <c r="D1417" t="s">
        <v>3553</v>
      </c>
      <c r="E1417" t="s">
        <v>62</v>
      </c>
      <c r="F1417" t="s">
        <v>40</v>
      </c>
      <c r="G1417" t="s">
        <v>41</v>
      </c>
      <c r="H1417" t="s">
        <v>87</v>
      </c>
      <c r="I1417" t="s">
        <v>40</v>
      </c>
      <c r="J1417" t="s">
        <v>4336</v>
      </c>
      <c r="K1417" t="s">
        <v>41</v>
      </c>
      <c r="L1417" t="s">
        <v>63</v>
      </c>
      <c r="M1417" t="s">
        <v>99</v>
      </c>
      <c r="N1417" t="s">
        <v>41</v>
      </c>
      <c r="O1417" t="s">
        <v>40</v>
      </c>
      <c r="P1417" t="s">
        <v>76</v>
      </c>
      <c r="Q1417" t="s">
        <v>45</v>
      </c>
      <c r="R1417" t="s">
        <v>109</v>
      </c>
      <c r="S1417" t="s">
        <v>2347</v>
      </c>
      <c r="T1417" t="s">
        <v>4337</v>
      </c>
      <c r="U1417" t="s">
        <v>40</v>
      </c>
      <c r="V1417" t="s">
        <v>52</v>
      </c>
      <c r="W1417" t="s">
        <v>59</v>
      </c>
      <c r="X1417" t="s">
        <v>92</v>
      </c>
      <c r="Y1417" t="s">
        <v>45</v>
      </c>
      <c r="Z1417" t="s">
        <v>45</v>
      </c>
      <c r="AA1417" t="s">
        <v>54</v>
      </c>
      <c r="AB1417" t="s">
        <v>45</v>
      </c>
      <c r="AC1417" t="s">
        <v>40</v>
      </c>
      <c r="AD1417" t="s">
        <v>41</v>
      </c>
      <c r="AE1417" t="s">
        <v>41</v>
      </c>
      <c r="AF1417" t="s">
        <v>40</v>
      </c>
      <c r="AG1417" t="s">
        <v>40</v>
      </c>
      <c r="AH1417" t="s">
        <v>55</v>
      </c>
      <c r="AI1417" t="s">
        <v>55</v>
      </c>
    </row>
    <row r="1418" spans="1:35" x14ac:dyDescent="0.25">
      <c r="A1418" t="s">
        <v>113</v>
      </c>
      <c r="B1418" t="s">
        <v>59</v>
      </c>
      <c r="C1418" t="s">
        <v>37</v>
      </c>
      <c r="D1418" t="s">
        <v>3074</v>
      </c>
      <c r="E1418" t="s">
        <v>39</v>
      </c>
      <c r="F1418" t="s">
        <v>40</v>
      </c>
      <c r="G1418" t="s">
        <v>47</v>
      </c>
      <c r="H1418" t="s">
        <v>42</v>
      </c>
      <c r="I1418" t="s">
        <v>40</v>
      </c>
      <c r="J1418" t="s">
        <v>4338</v>
      </c>
      <c r="K1418" t="s">
        <v>47</v>
      </c>
      <c r="L1418" t="s">
        <v>63</v>
      </c>
      <c r="M1418" t="s">
        <v>240</v>
      </c>
      <c r="N1418" t="s">
        <v>45</v>
      </c>
      <c r="O1418" t="s">
        <v>41</v>
      </c>
      <c r="P1418" t="s">
        <v>46</v>
      </c>
      <c r="Q1418" t="s">
        <v>41</v>
      </c>
      <c r="R1418" t="s">
        <v>66</v>
      </c>
      <c r="S1418" t="s">
        <v>4312</v>
      </c>
      <c r="T1418" t="s">
        <v>4339</v>
      </c>
      <c r="U1418" t="s">
        <v>55</v>
      </c>
      <c r="V1418" t="s">
        <v>52</v>
      </c>
      <c r="W1418" t="s">
        <v>59</v>
      </c>
      <c r="X1418" t="s">
        <v>79</v>
      </c>
      <c r="Y1418" t="s">
        <v>45</v>
      </c>
      <c r="Z1418" t="s">
        <v>40</v>
      </c>
      <c r="AA1418" t="s">
        <v>54</v>
      </c>
      <c r="AB1418" t="s">
        <v>41</v>
      </c>
      <c r="AC1418" t="s">
        <v>128</v>
      </c>
      <c r="AD1418" t="s">
        <v>45</v>
      </c>
      <c r="AE1418" t="s">
        <v>45</v>
      </c>
      <c r="AF1418" t="s">
        <v>79</v>
      </c>
      <c r="AG1418" t="s">
        <v>98</v>
      </c>
      <c r="AH1418" t="s">
        <v>57</v>
      </c>
      <c r="AI1418" t="s">
        <v>51</v>
      </c>
    </row>
    <row r="1419" spans="1:35" x14ac:dyDescent="0.25">
      <c r="A1419" t="s">
        <v>137</v>
      </c>
      <c r="B1419" t="s">
        <v>59</v>
      </c>
      <c r="C1419" t="s">
        <v>37</v>
      </c>
      <c r="D1419" t="s">
        <v>2770</v>
      </c>
      <c r="E1419" t="s">
        <v>39</v>
      </c>
      <c r="F1419" t="s">
        <v>41</v>
      </c>
      <c r="G1419" t="s">
        <v>41</v>
      </c>
      <c r="H1419" t="s">
        <v>42</v>
      </c>
      <c r="I1419" t="s">
        <v>40</v>
      </c>
      <c r="J1419" t="s">
        <v>4340</v>
      </c>
      <c r="K1419" t="s">
        <v>40</v>
      </c>
      <c r="L1419" t="s">
        <v>63</v>
      </c>
      <c r="M1419" t="s">
        <v>259</v>
      </c>
      <c r="N1419" t="s">
        <v>45</v>
      </c>
      <c r="O1419" t="s">
        <v>40</v>
      </c>
      <c r="P1419" t="s">
        <v>182</v>
      </c>
      <c r="Q1419" t="s">
        <v>45</v>
      </c>
      <c r="R1419" t="s">
        <v>66</v>
      </c>
      <c r="S1419" t="s">
        <v>4341</v>
      </c>
      <c r="T1419" t="s">
        <v>4342</v>
      </c>
      <c r="U1419" t="s">
        <v>55</v>
      </c>
      <c r="V1419" t="s">
        <v>52</v>
      </c>
      <c r="W1419" t="s">
        <v>59</v>
      </c>
      <c r="X1419" t="s">
        <v>144</v>
      </c>
      <c r="Y1419" t="s">
        <v>45</v>
      </c>
      <c r="Z1419" t="s">
        <v>45</v>
      </c>
      <c r="AA1419" t="s">
        <v>54</v>
      </c>
      <c r="AB1419" t="s">
        <v>40</v>
      </c>
      <c r="AC1419" t="s">
        <v>45</v>
      </c>
      <c r="AD1419" t="s">
        <v>40</v>
      </c>
      <c r="AE1419" t="s">
        <v>45</v>
      </c>
      <c r="AF1419" t="s">
        <v>41</v>
      </c>
      <c r="AG1419" t="s">
        <v>41</v>
      </c>
      <c r="AH1419" t="s">
        <v>40</v>
      </c>
      <c r="AI1419" t="s">
        <v>41</v>
      </c>
    </row>
    <row r="1420" spans="1:35" x14ac:dyDescent="0.25">
      <c r="A1420" t="s">
        <v>113</v>
      </c>
      <c r="B1420" t="s">
        <v>59</v>
      </c>
      <c r="C1420" t="s">
        <v>60</v>
      </c>
      <c r="D1420" t="s">
        <v>1304</v>
      </c>
      <c r="E1420" t="s">
        <v>62</v>
      </c>
      <c r="F1420" t="s">
        <v>56</v>
      </c>
      <c r="G1420" t="s">
        <v>47</v>
      </c>
      <c r="H1420" t="s">
        <v>42</v>
      </c>
      <c r="I1420" t="s">
        <v>40</v>
      </c>
      <c r="J1420" t="s">
        <v>4343</v>
      </c>
      <c r="K1420" t="s">
        <v>40</v>
      </c>
      <c r="L1420" t="s">
        <v>63</v>
      </c>
      <c r="M1420" t="s">
        <v>201</v>
      </c>
      <c r="N1420" t="s">
        <v>41</v>
      </c>
      <c r="O1420" t="s">
        <v>41</v>
      </c>
      <c r="P1420" t="s">
        <v>116</v>
      </c>
      <c r="Q1420" t="s">
        <v>45</v>
      </c>
      <c r="R1420" t="s">
        <v>66</v>
      </c>
      <c r="S1420" t="s">
        <v>4344</v>
      </c>
      <c r="T1420" t="s">
        <v>4345</v>
      </c>
      <c r="U1420" t="s">
        <v>41</v>
      </c>
      <c r="V1420" t="s">
        <v>52</v>
      </c>
      <c r="W1420" t="s">
        <v>59</v>
      </c>
      <c r="X1420" t="s">
        <v>53</v>
      </c>
      <c r="Y1420" t="s">
        <v>45</v>
      </c>
      <c r="Z1420" t="s">
        <v>47</v>
      </c>
      <c r="AA1420" t="s">
        <v>54</v>
      </c>
      <c r="AB1420" t="s">
        <v>40</v>
      </c>
      <c r="AC1420" t="s">
        <v>70</v>
      </c>
      <c r="AD1420" t="s">
        <v>40</v>
      </c>
      <c r="AE1420" t="s">
        <v>45</v>
      </c>
      <c r="AF1420" t="s">
        <v>51</v>
      </c>
      <c r="AG1420" t="s">
        <v>45</v>
      </c>
      <c r="AH1420" t="s">
        <v>71</v>
      </c>
      <c r="AI1420" t="s">
        <v>71</v>
      </c>
    </row>
    <row r="1421" spans="1:35" x14ac:dyDescent="0.25">
      <c r="A1421" t="s">
        <v>204</v>
      </c>
      <c r="B1421" t="s">
        <v>59</v>
      </c>
      <c r="C1421" t="s">
        <v>37</v>
      </c>
      <c r="D1421" t="s">
        <v>4346</v>
      </c>
      <c r="E1421" t="s">
        <v>62</v>
      </c>
      <c r="F1421" t="s">
        <v>145</v>
      </c>
      <c r="G1421" t="s">
        <v>47</v>
      </c>
      <c r="H1421" t="s">
        <v>42</v>
      </c>
      <c r="I1421" t="s">
        <v>40</v>
      </c>
      <c r="J1421" t="s">
        <v>4347</v>
      </c>
      <c r="K1421" t="s">
        <v>47</v>
      </c>
      <c r="L1421" t="s">
        <v>63</v>
      </c>
      <c r="M1421" t="s">
        <v>126</v>
      </c>
      <c r="N1421" t="s">
        <v>45</v>
      </c>
      <c r="O1421" t="s">
        <v>41</v>
      </c>
      <c r="P1421" t="s">
        <v>65</v>
      </c>
      <c r="Q1421" t="s">
        <v>40</v>
      </c>
      <c r="R1421" t="s">
        <v>109</v>
      </c>
      <c r="S1421" t="s">
        <v>3026</v>
      </c>
      <c r="T1421" t="s">
        <v>4348</v>
      </c>
      <c r="U1421" t="s">
        <v>56</v>
      </c>
      <c r="V1421" t="s">
        <v>52</v>
      </c>
      <c r="W1421" t="s">
        <v>36</v>
      </c>
      <c r="X1421" t="s">
        <v>125</v>
      </c>
      <c r="Y1421" t="s">
        <v>45</v>
      </c>
      <c r="Z1421" t="s">
        <v>45</v>
      </c>
      <c r="AA1421" t="s">
        <v>54</v>
      </c>
      <c r="AB1421" t="s">
        <v>40</v>
      </c>
      <c r="AC1421" t="s">
        <v>91</v>
      </c>
      <c r="AD1421" t="s">
        <v>45</v>
      </c>
      <c r="AE1421" t="s">
        <v>41</v>
      </c>
      <c r="AF1421" t="s">
        <v>47</v>
      </c>
      <c r="AG1421" t="s">
        <v>45</v>
      </c>
      <c r="AH1421" t="s">
        <v>40</v>
      </c>
      <c r="AI1421" t="s">
        <v>41</v>
      </c>
    </row>
    <row r="1422" spans="1:35" x14ac:dyDescent="0.25">
      <c r="A1422" t="s">
        <v>35</v>
      </c>
      <c r="B1422" t="s">
        <v>59</v>
      </c>
      <c r="C1422" t="s">
        <v>37</v>
      </c>
      <c r="D1422" t="s">
        <v>4349</v>
      </c>
      <c r="E1422" t="s">
        <v>62</v>
      </c>
      <c r="F1422" t="s">
        <v>40</v>
      </c>
      <c r="G1422" t="s">
        <v>45</v>
      </c>
      <c r="H1422" t="s">
        <v>42</v>
      </c>
      <c r="I1422" t="s">
        <v>40</v>
      </c>
      <c r="J1422" t="s">
        <v>4350</v>
      </c>
      <c r="K1422" t="s">
        <v>47</v>
      </c>
      <c r="L1422" t="s">
        <v>63</v>
      </c>
      <c r="M1422" t="s">
        <v>322</v>
      </c>
      <c r="N1422" t="s">
        <v>45</v>
      </c>
      <c r="O1422" t="s">
        <v>40</v>
      </c>
      <c r="P1422" t="s">
        <v>65</v>
      </c>
      <c r="Q1422" t="s">
        <v>47</v>
      </c>
      <c r="R1422" t="s">
        <v>66</v>
      </c>
      <c r="S1422" t="s">
        <v>2074</v>
      </c>
      <c r="T1422" t="s">
        <v>4351</v>
      </c>
      <c r="U1422" t="s">
        <v>45</v>
      </c>
      <c r="V1422" t="s">
        <v>52</v>
      </c>
      <c r="W1422" t="s">
        <v>59</v>
      </c>
      <c r="X1422" t="s">
        <v>112</v>
      </c>
      <c r="Y1422" t="s">
        <v>47</v>
      </c>
      <c r="Z1422" t="s">
        <v>40</v>
      </c>
      <c r="AA1422" t="s">
        <v>54</v>
      </c>
      <c r="AB1422" t="s">
        <v>40</v>
      </c>
      <c r="AC1422" t="s">
        <v>92</v>
      </c>
      <c r="AD1422" t="s">
        <v>45</v>
      </c>
      <c r="AE1422" t="s">
        <v>45</v>
      </c>
      <c r="AF1422" t="s">
        <v>57</v>
      </c>
      <c r="AG1422" t="s">
        <v>45</v>
      </c>
      <c r="AH1422" t="s">
        <v>40</v>
      </c>
      <c r="AI1422" t="s">
        <v>55</v>
      </c>
    </row>
    <row r="1423" spans="1:35" x14ac:dyDescent="0.25">
      <c r="A1423" t="s">
        <v>239</v>
      </c>
      <c r="B1423" t="s">
        <v>59</v>
      </c>
      <c r="C1423" t="s">
        <v>161</v>
      </c>
      <c r="D1423" t="s">
        <v>1300</v>
      </c>
      <c r="E1423" t="s">
        <v>62</v>
      </c>
      <c r="F1423" t="s">
        <v>40</v>
      </c>
      <c r="G1423" t="s">
        <v>40</v>
      </c>
      <c r="H1423" t="s">
        <v>87</v>
      </c>
      <c r="I1423" t="s">
        <v>40</v>
      </c>
      <c r="J1423" t="s">
        <v>4352</v>
      </c>
      <c r="K1423" t="s">
        <v>45</v>
      </c>
      <c r="L1423" t="s">
        <v>43</v>
      </c>
      <c r="M1423" t="s">
        <v>284</v>
      </c>
      <c r="N1423" t="s">
        <v>45</v>
      </c>
      <c r="O1423" t="s">
        <v>45</v>
      </c>
      <c r="P1423" t="s">
        <v>186</v>
      </c>
      <c r="Q1423" t="s">
        <v>41</v>
      </c>
      <c r="R1423" t="s">
        <v>66</v>
      </c>
      <c r="S1423" t="s">
        <v>4353</v>
      </c>
      <c r="T1423" t="s">
        <v>4354</v>
      </c>
      <c r="U1423" t="s">
        <v>55</v>
      </c>
      <c r="V1423" t="s">
        <v>52</v>
      </c>
      <c r="W1423" t="s">
        <v>59</v>
      </c>
      <c r="X1423" t="s">
        <v>145</v>
      </c>
      <c r="Y1423" t="s">
        <v>45</v>
      </c>
      <c r="Z1423" t="s">
        <v>40</v>
      </c>
      <c r="AA1423" t="s">
        <v>54</v>
      </c>
      <c r="AB1423" t="s">
        <v>41</v>
      </c>
      <c r="AC1423" t="s">
        <v>129</v>
      </c>
      <c r="AD1423" t="s">
        <v>45</v>
      </c>
      <c r="AE1423" t="s">
        <v>40</v>
      </c>
      <c r="AF1423" t="s">
        <v>98</v>
      </c>
      <c r="AG1423" t="s">
        <v>51</v>
      </c>
      <c r="AH1423" t="s">
        <v>57</v>
      </c>
      <c r="AI1423" t="s">
        <v>92</v>
      </c>
    </row>
    <row r="1424" spans="1:35" x14ac:dyDescent="0.25">
      <c r="A1424" t="s">
        <v>126</v>
      </c>
      <c r="B1424" t="s">
        <v>59</v>
      </c>
      <c r="C1424" t="s">
        <v>37</v>
      </c>
      <c r="D1424" t="s">
        <v>1562</v>
      </c>
      <c r="E1424" t="s">
        <v>62</v>
      </c>
      <c r="F1424" t="s">
        <v>53</v>
      </c>
      <c r="G1424" t="s">
        <v>47</v>
      </c>
      <c r="H1424" t="s">
        <v>87</v>
      </c>
      <c r="I1424" t="s">
        <v>40</v>
      </c>
      <c r="J1424" t="s">
        <v>4355</v>
      </c>
      <c r="K1424" t="s">
        <v>47</v>
      </c>
      <c r="L1424" t="s">
        <v>63</v>
      </c>
      <c r="M1424" t="s">
        <v>234</v>
      </c>
      <c r="N1424" t="s">
        <v>45</v>
      </c>
      <c r="O1424" t="s">
        <v>40</v>
      </c>
      <c r="P1424" t="s">
        <v>76</v>
      </c>
      <c r="Q1424" t="s">
        <v>45</v>
      </c>
      <c r="R1424" t="s">
        <v>66</v>
      </c>
      <c r="S1424" t="s">
        <v>4356</v>
      </c>
      <c r="T1424" t="s">
        <v>4357</v>
      </c>
      <c r="U1424" t="s">
        <v>71</v>
      </c>
      <c r="V1424" t="s">
        <v>52</v>
      </c>
      <c r="W1424" t="s">
        <v>36</v>
      </c>
      <c r="X1424" t="s">
        <v>53</v>
      </c>
      <c r="Y1424" t="s">
        <v>45</v>
      </c>
      <c r="Z1424" t="s">
        <v>45</v>
      </c>
      <c r="AA1424" t="s">
        <v>54</v>
      </c>
      <c r="AB1424" t="s">
        <v>40</v>
      </c>
      <c r="AC1424" t="s">
        <v>57</v>
      </c>
      <c r="AD1424" t="s">
        <v>45</v>
      </c>
      <c r="AE1424" t="s">
        <v>45</v>
      </c>
      <c r="AF1424" t="s">
        <v>41</v>
      </c>
      <c r="AG1424" t="s">
        <v>41</v>
      </c>
      <c r="AH1424" t="s">
        <v>41</v>
      </c>
      <c r="AI1424" t="s">
        <v>41</v>
      </c>
    </row>
    <row r="1425" spans="1:35" x14ac:dyDescent="0.25">
      <c r="A1425" t="s">
        <v>112</v>
      </c>
      <c r="B1425" t="s">
        <v>59</v>
      </c>
      <c r="C1425" t="s">
        <v>37</v>
      </c>
      <c r="D1425" t="s">
        <v>1644</v>
      </c>
      <c r="E1425" t="s">
        <v>62</v>
      </c>
      <c r="F1425" t="s">
        <v>40</v>
      </c>
      <c r="G1425" t="s">
        <v>41</v>
      </c>
      <c r="H1425" t="s">
        <v>42</v>
      </c>
      <c r="I1425" t="s">
        <v>40</v>
      </c>
      <c r="J1425" t="s">
        <v>2623</v>
      </c>
      <c r="K1425" t="s">
        <v>47</v>
      </c>
      <c r="L1425" t="s">
        <v>63</v>
      </c>
      <c r="M1425" t="s">
        <v>288</v>
      </c>
      <c r="N1425" t="s">
        <v>45</v>
      </c>
      <c r="O1425" t="s">
        <v>40</v>
      </c>
      <c r="P1425" t="s">
        <v>65</v>
      </c>
      <c r="Q1425" t="s">
        <v>45</v>
      </c>
      <c r="R1425" t="s">
        <v>48</v>
      </c>
      <c r="S1425" t="s">
        <v>4358</v>
      </c>
      <c r="T1425" t="s">
        <v>4359</v>
      </c>
      <c r="U1425" t="s">
        <v>55</v>
      </c>
      <c r="V1425" t="s">
        <v>52</v>
      </c>
      <c r="W1425" t="s">
        <v>59</v>
      </c>
      <c r="X1425" t="s">
        <v>92</v>
      </c>
      <c r="Y1425" t="s">
        <v>45</v>
      </c>
      <c r="Z1425" t="s">
        <v>47</v>
      </c>
      <c r="AA1425" t="s">
        <v>54</v>
      </c>
      <c r="AB1425" t="s">
        <v>55</v>
      </c>
      <c r="AC1425" t="s">
        <v>47</v>
      </c>
      <c r="AD1425" t="s">
        <v>41</v>
      </c>
      <c r="AE1425" t="s">
        <v>47</v>
      </c>
      <c r="AF1425" t="s">
        <v>45</v>
      </c>
      <c r="AG1425" t="s">
        <v>41</v>
      </c>
      <c r="AH1425" t="s">
        <v>40</v>
      </c>
      <c r="AI1425" t="s">
        <v>41</v>
      </c>
    </row>
    <row r="1426" spans="1:35" x14ac:dyDescent="0.25">
      <c r="A1426" t="s">
        <v>126</v>
      </c>
      <c r="B1426" t="s">
        <v>59</v>
      </c>
      <c r="C1426" t="s">
        <v>37</v>
      </c>
      <c r="D1426" t="s">
        <v>667</v>
      </c>
      <c r="E1426" t="s">
        <v>62</v>
      </c>
      <c r="F1426" t="s">
        <v>91</v>
      </c>
      <c r="G1426" t="s">
        <v>47</v>
      </c>
      <c r="H1426" t="s">
        <v>87</v>
      </c>
      <c r="I1426" t="s">
        <v>40</v>
      </c>
      <c r="J1426" t="s">
        <v>2347</v>
      </c>
      <c r="K1426" t="s">
        <v>41</v>
      </c>
      <c r="L1426" t="s">
        <v>63</v>
      </c>
      <c r="M1426" t="s">
        <v>207</v>
      </c>
      <c r="N1426" t="s">
        <v>45</v>
      </c>
      <c r="O1426" t="s">
        <v>41</v>
      </c>
      <c r="P1426" t="s">
        <v>65</v>
      </c>
      <c r="Q1426" t="s">
        <v>45</v>
      </c>
      <c r="R1426" t="s">
        <v>48</v>
      </c>
      <c r="S1426" t="s">
        <v>4360</v>
      </c>
      <c r="T1426" t="s">
        <v>4361</v>
      </c>
      <c r="U1426" t="s">
        <v>40</v>
      </c>
      <c r="V1426" t="s">
        <v>52</v>
      </c>
      <c r="W1426" t="s">
        <v>59</v>
      </c>
      <c r="X1426" t="s">
        <v>144</v>
      </c>
      <c r="Y1426" t="s">
        <v>45</v>
      </c>
      <c r="Z1426" t="s">
        <v>41</v>
      </c>
      <c r="AA1426" t="s">
        <v>54</v>
      </c>
      <c r="AB1426" t="s">
        <v>55</v>
      </c>
      <c r="AC1426" t="s">
        <v>70</v>
      </c>
      <c r="AD1426" t="s">
        <v>57</v>
      </c>
      <c r="AE1426" t="s">
        <v>45</v>
      </c>
      <c r="AF1426" t="s">
        <v>70</v>
      </c>
      <c r="AG1426" t="s">
        <v>71</v>
      </c>
      <c r="AH1426" t="s">
        <v>55</v>
      </c>
      <c r="AI1426" t="s">
        <v>51</v>
      </c>
    </row>
    <row r="1427" spans="1:35" x14ac:dyDescent="0.25">
      <c r="A1427" t="s">
        <v>80</v>
      </c>
      <c r="B1427" t="s">
        <v>59</v>
      </c>
      <c r="C1427" t="s">
        <v>37</v>
      </c>
      <c r="D1427" t="s">
        <v>1469</v>
      </c>
      <c r="E1427" t="s">
        <v>62</v>
      </c>
      <c r="F1427" t="s">
        <v>79</v>
      </c>
      <c r="G1427" t="s">
        <v>41</v>
      </c>
      <c r="H1427" t="s">
        <v>87</v>
      </c>
      <c r="I1427" t="s">
        <v>40</v>
      </c>
      <c r="J1427" t="s">
        <v>4362</v>
      </c>
      <c r="K1427" t="s">
        <v>41</v>
      </c>
      <c r="L1427" t="s">
        <v>43</v>
      </c>
      <c r="M1427" t="s">
        <v>349</v>
      </c>
      <c r="N1427" t="s">
        <v>45</v>
      </c>
      <c r="O1427" t="s">
        <v>41</v>
      </c>
      <c r="P1427" t="s">
        <v>122</v>
      </c>
      <c r="Q1427" t="s">
        <v>47</v>
      </c>
      <c r="R1427" t="s">
        <v>66</v>
      </c>
      <c r="S1427" t="s">
        <v>4363</v>
      </c>
      <c r="T1427" t="s">
        <v>4364</v>
      </c>
      <c r="U1427" t="s">
        <v>55</v>
      </c>
      <c r="V1427" t="s">
        <v>52</v>
      </c>
      <c r="W1427" t="s">
        <v>36</v>
      </c>
      <c r="X1427" t="s">
        <v>98</v>
      </c>
      <c r="Y1427" t="s">
        <v>45</v>
      </c>
      <c r="Z1427" t="s">
        <v>40</v>
      </c>
      <c r="AA1427" t="s">
        <v>54</v>
      </c>
      <c r="AB1427" t="s">
        <v>40</v>
      </c>
      <c r="AC1427" t="s">
        <v>70</v>
      </c>
      <c r="AD1427" t="s">
        <v>56</v>
      </c>
      <c r="AE1427" t="s">
        <v>45</v>
      </c>
      <c r="AF1427" t="s">
        <v>91</v>
      </c>
      <c r="AG1427" t="s">
        <v>71</v>
      </c>
      <c r="AH1427" t="s">
        <v>51</v>
      </c>
      <c r="AI1427" t="s">
        <v>40</v>
      </c>
    </row>
    <row r="1428" spans="1:35" x14ac:dyDescent="0.25">
      <c r="A1428" t="s">
        <v>93</v>
      </c>
      <c r="B1428" t="s">
        <v>59</v>
      </c>
      <c r="C1428" t="s">
        <v>37</v>
      </c>
      <c r="D1428" t="s">
        <v>829</v>
      </c>
      <c r="E1428" t="s">
        <v>62</v>
      </c>
      <c r="F1428" t="s">
        <v>133</v>
      </c>
      <c r="G1428" t="s">
        <v>47</v>
      </c>
      <c r="H1428" t="s">
        <v>42</v>
      </c>
      <c r="I1428" t="s">
        <v>40</v>
      </c>
      <c r="J1428" t="s">
        <v>4365</v>
      </c>
      <c r="K1428" t="s">
        <v>45</v>
      </c>
      <c r="L1428" t="s">
        <v>43</v>
      </c>
      <c r="M1428" t="s">
        <v>58</v>
      </c>
      <c r="N1428" t="s">
        <v>41</v>
      </c>
      <c r="O1428" t="s">
        <v>40</v>
      </c>
      <c r="P1428" t="s">
        <v>76</v>
      </c>
      <c r="Q1428" t="s">
        <v>41</v>
      </c>
      <c r="R1428" t="s">
        <v>48</v>
      </c>
      <c r="S1428" t="s">
        <v>4366</v>
      </c>
      <c r="T1428" t="s">
        <v>4367</v>
      </c>
      <c r="U1428" t="s">
        <v>40</v>
      </c>
      <c r="V1428" t="s">
        <v>52</v>
      </c>
      <c r="W1428" t="s">
        <v>59</v>
      </c>
      <c r="X1428" t="s">
        <v>98</v>
      </c>
      <c r="Y1428" t="s">
        <v>45</v>
      </c>
      <c r="Z1428" t="s">
        <v>45</v>
      </c>
      <c r="AA1428" t="s">
        <v>54</v>
      </c>
      <c r="AB1428" t="s">
        <v>55</v>
      </c>
      <c r="AC1428" t="s">
        <v>56</v>
      </c>
      <c r="AD1428" t="s">
        <v>45</v>
      </c>
      <c r="AE1428" t="s">
        <v>45</v>
      </c>
      <c r="AF1428" t="s">
        <v>56</v>
      </c>
      <c r="AG1428" t="s">
        <v>41</v>
      </c>
      <c r="AH1428" t="s">
        <v>47</v>
      </c>
      <c r="AI1428" t="s">
        <v>40</v>
      </c>
    </row>
    <row r="1429" spans="1:35" x14ac:dyDescent="0.25">
      <c r="A1429" t="s">
        <v>88</v>
      </c>
      <c r="B1429" t="s">
        <v>59</v>
      </c>
      <c r="C1429" t="s">
        <v>37</v>
      </c>
      <c r="D1429" t="s">
        <v>1557</v>
      </c>
      <c r="E1429" t="s">
        <v>62</v>
      </c>
      <c r="F1429" t="s">
        <v>40</v>
      </c>
      <c r="G1429" t="s">
        <v>47</v>
      </c>
      <c r="H1429" t="s">
        <v>42</v>
      </c>
      <c r="I1429" t="s">
        <v>40</v>
      </c>
      <c r="J1429" t="s">
        <v>4368</v>
      </c>
      <c r="K1429" t="s">
        <v>40</v>
      </c>
      <c r="L1429" t="s">
        <v>63</v>
      </c>
      <c r="M1429" t="s">
        <v>193</v>
      </c>
      <c r="N1429" t="s">
        <v>45</v>
      </c>
      <c r="O1429" t="s">
        <v>40</v>
      </c>
      <c r="P1429" t="s">
        <v>76</v>
      </c>
      <c r="Q1429" t="s">
        <v>47</v>
      </c>
      <c r="R1429" t="s">
        <v>66</v>
      </c>
      <c r="S1429" t="s">
        <v>332</v>
      </c>
      <c r="T1429" t="s">
        <v>4369</v>
      </c>
      <c r="U1429" t="s">
        <v>51</v>
      </c>
      <c r="V1429" t="s">
        <v>52</v>
      </c>
      <c r="W1429" t="s">
        <v>59</v>
      </c>
      <c r="X1429" t="s">
        <v>144</v>
      </c>
      <c r="Y1429" t="s">
        <v>45</v>
      </c>
      <c r="Z1429" t="s">
        <v>45</v>
      </c>
      <c r="AA1429" t="s">
        <v>54</v>
      </c>
      <c r="AB1429" t="s">
        <v>41</v>
      </c>
      <c r="AC1429" t="s">
        <v>51</v>
      </c>
      <c r="AD1429" t="s">
        <v>45</v>
      </c>
      <c r="AE1429" t="s">
        <v>41</v>
      </c>
      <c r="AF1429" t="s">
        <v>40</v>
      </c>
      <c r="AG1429" t="s">
        <v>55</v>
      </c>
      <c r="AH1429" t="s">
        <v>55</v>
      </c>
      <c r="AI1429" t="s">
        <v>55</v>
      </c>
    </row>
    <row r="1430" spans="1:35" x14ac:dyDescent="0.25">
      <c r="A1430" t="s">
        <v>93</v>
      </c>
      <c r="B1430" t="s">
        <v>59</v>
      </c>
      <c r="C1430" t="s">
        <v>37</v>
      </c>
      <c r="D1430" t="s">
        <v>3981</v>
      </c>
      <c r="E1430" t="s">
        <v>39</v>
      </c>
      <c r="F1430" t="s">
        <v>40</v>
      </c>
      <c r="G1430" t="s">
        <v>47</v>
      </c>
      <c r="H1430" t="s">
        <v>87</v>
      </c>
      <c r="I1430" t="s">
        <v>40</v>
      </c>
      <c r="J1430" t="s">
        <v>3666</v>
      </c>
      <c r="K1430" t="s">
        <v>41</v>
      </c>
      <c r="L1430" t="s">
        <v>63</v>
      </c>
      <c r="M1430" t="s">
        <v>300</v>
      </c>
      <c r="N1430" t="s">
        <v>41</v>
      </c>
      <c r="O1430" t="s">
        <v>40</v>
      </c>
      <c r="P1430" t="s">
        <v>182</v>
      </c>
      <c r="Q1430" t="s">
        <v>41</v>
      </c>
      <c r="R1430" t="s">
        <v>66</v>
      </c>
      <c r="S1430" t="s">
        <v>289</v>
      </c>
      <c r="T1430" t="s">
        <v>4370</v>
      </c>
      <c r="U1430" t="s">
        <v>55</v>
      </c>
      <c r="V1430" t="s">
        <v>52</v>
      </c>
      <c r="W1430" t="s">
        <v>59</v>
      </c>
      <c r="X1430" t="s">
        <v>129</v>
      </c>
      <c r="Y1430" t="s">
        <v>45</v>
      </c>
      <c r="Z1430" t="s">
        <v>41</v>
      </c>
      <c r="AA1430" t="s">
        <v>54</v>
      </c>
      <c r="AB1430" t="s">
        <v>40</v>
      </c>
      <c r="AC1430" t="s">
        <v>45</v>
      </c>
      <c r="AD1430" t="s">
        <v>41</v>
      </c>
      <c r="AE1430" t="s">
        <v>45</v>
      </c>
      <c r="AF1430" t="s">
        <v>41</v>
      </c>
      <c r="AG1430" t="s">
        <v>41</v>
      </c>
      <c r="AH1430" t="s">
        <v>41</v>
      </c>
      <c r="AI1430" t="s">
        <v>41</v>
      </c>
    </row>
    <row r="1431" spans="1:35" x14ac:dyDescent="0.25">
      <c r="A1431" t="s">
        <v>218</v>
      </c>
      <c r="B1431" t="s">
        <v>59</v>
      </c>
      <c r="C1431" t="s">
        <v>37</v>
      </c>
      <c r="D1431" t="s">
        <v>428</v>
      </c>
      <c r="E1431" t="s">
        <v>62</v>
      </c>
      <c r="F1431" t="s">
        <v>107</v>
      </c>
      <c r="G1431" t="s">
        <v>40</v>
      </c>
      <c r="H1431" t="s">
        <v>42</v>
      </c>
      <c r="I1431" t="s">
        <v>40</v>
      </c>
      <c r="J1431" t="s">
        <v>245</v>
      </c>
      <c r="K1431" t="s">
        <v>40</v>
      </c>
      <c r="L1431" t="s">
        <v>63</v>
      </c>
      <c r="M1431" t="s">
        <v>251</v>
      </c>
      <c r="N1431" t="s">
        <v>45</v>
      </c>
      <c r="O1431" t="s">
        <v>41</v>
      </c>
      <c r="P1431" t="s">
        <v>65</v>
      </c>
      <c r="Q1431" t="s">
        <v>47</v>
      </c>
      <c r="R1431" t="s">
        <v>48</v>
      </c>
      <c r="S1431" t="s">
        <v>4371</v>
      </c>
      <c r="T1431" t="s">
        <v>4372</v>
      </c>
      <c r="U1431" t="s">
        <v>71</v>
      </c>
      <c r="V1431" t="s">
        <v>52</v>
      </c>
      <c r="W1431" t="s">
        <v>59</v>
      </c>
      <c r="X1431" t="s">
        <v>98</v>
      </c>
      <c r="Y1431" t="s">
        <v>45</v>
      </c>
      <c r="Z1431" t="s">
        <v>40</v>
      </c>
      <c r="AA1431" t="s">
        <v>54</v>
      </c>
      <c r="AB1431" t="s">
        <v>55</v>
      </c>
      <c r="AC1431" t="s">
        <v>145</v>
      </c>
      <c r="AD1431" t="s">
        <v>41</v>
      </c>
      <c r="AE1431" t="s">
        <v>45</v>
      </c>
      <c r="AF1431" t="s">
        <v>71</v>
      </c>
      <c r="AG1431" t="s">
        <v>71</v>
      </c>
      <c r="AH1431" t="s">
        <v>40</v>
      </c>
      <c r="AI1431" t="s">
        <v>71</v>
      </c>
    </row>
    <row r="1432" spans="1:35" x14ac:dyDescent="0.25">
      <c r="A1432" t="s">
        <v>113</v>
      </c>
      <c r="B1432" t="s">
        <v>59</v>
      </c>
      <c r="C1432" t="s">
        <v>37</v>
      </c>
      <c r="D1432" t="s">
        <v>648</v>
      </c>
      <c r="E1432" t="s">
        <v>62</v>
      </c>
      <c r="F1432" t="s">
        <v>70</v>
      </c>
      <c r="G1432" t="s">
        <v>45</v>
      </c>
      <c r="H1432" t="s">
        <v>87</v>
      </c>
      <c r="I1432" t="s">
        <v>40</v>
      </c>
      <c r="J1432" t="s">
        <v>4373</v>
      </c>
      <c r="K1432" t="s">
        <v>41</v>
      </c>
      <c r="L1432" t="s">
        <v>43</v>
      </c>
      <c r="M1432" t="s">
        <v>338</v>
      </c>
      <c r="N1432" t="s">
        <v>40</v>
      </c>
      <c r="O1432" t="s">
        <v>45</v>
      </c>
      <c r="P1432" t="s">
        <v>186</v>
      </c>
      <c r="Q1432" t="s">
        <v>45</v>
      </c>
      <c r="R1432" t="s">
        <v>66</v>
      </c>
      <c r="S1432" t="s">
        <v>4374</v>
      </c>
      <c r="T1432" t="s">
        <v>2655</v>
      </c>
      <c r="U1432" t="s">
        <v>45</v>
      </c>
      <c r="V1432" t="s">
        <v>52</v>
      </c>
      <c r="W1432" t="s">
        <v>59</v>
      </c>
      <c r="X1432" t="s">
        <v>92</v>
      </c>
      <c r="Y1432" t="s">
        <v>45</v>
      </c>
      <c r="Z1432" t="s">
        <v>40</v>
      </c>
      <c r="AA1432" t="s">
        <v>54</v>
      </c>
      <c r="AB1432" t="s">
        <v>40</v>
      </c>
      <c r="AC1432" t="s">
        <v>104</v>
      </c>
      <c r="AD1432" t="s">
        <v>45</v>
      </c>
      <c r="AE1432" t="s">
        <v>45</v>
      </c>
      <c r="AF1432" t="s">
        <v>145</v>
      </c>
      <c r="AG1432" t="s">
        <v>128</v>
      </c>
      <c r="AH1432" t="s">
        <v>40</v>
      </c>
      <c r="AI1432" t="s">
        <v>53</v>
      </c>
    </row>
    <row r="1433" spans="1:35" x14ac:dyDescent="0.25">
      <c r="A1433" t="s">
        <v>93</v>
      </c>
      <c r="B1433" t="s">
        <v>59</v>
      </c>
      <c r="C1433" t="s">
        <v>37</v>
      </c>
      <c r="D1433" t="s">
        <v>4375</v>
      </c>
      <c r="E1433" t="s">
        <v>39</v>
      </c>
      <c r="F1433" t="s">
        <v>40</v>
      </c>
      <c r="G1433" t="s">
        <v>47</v>
      </c>
      <c r="H1433" t="s">
        <v>206</v>
      </c>
      <c r="I1433" t="s">
        <v>40</v>
      </c>
      <c r="J1433" t="s">
        <v>4376</v>
      </c>
      <c r="K1433" t="s">
        <v>45</v>
      </c>
      <c r="L1433" t="s">
        <v>43</v>
      </c>
      <c r="M1433" t="s">
        <v>207</v>
      </c>
      <c r="N1433" t="s">
        <v>45</v>
      </c>
      <c r="O1433" t="s">
        <v>45</v>
      </c>
      <c r="P1433" t="s">
        <v>46</v>
      </c>
      <c r="Q1433" t="s">
        <v>47</v>
      </c>
      <c r="R1433" t="s">
        <v>66</v>
      </c>
      <c r="S1433" t="s">
        <v>4377</v>
      </c>
      <c r="T1433" t="s">
        <v>4378</v>
      </c>
      <c r="U1433" t="s">
        <v>40</v>
      </c>
      <c r="V1433" t="s">
        <v>52</v>
      </c>
      <c r="W1433" t="s">
        <v>59</v>
      </c>
      <c r="X1433" t="s">
        <v>144</v>
      </c>
      <c r="Y1433" t="s">
        <v>45</v>
      </c>
      <c r="Z1433" t="s">
        <v>45</v>
      </c>
      <c r="AA1433" t="s">
        <v>54</v>
      </c>
      <c r="AB1433" t="s">
        <v>41</v>
      </c>
      <c r="AC1433" t="s">
        <v>129</v>
      </c>
      <c r="AD1433" t="s">
        <v>45</v>
      </c>
      <c r="AE1433" t="s">
        <v>45</v>
      </c>
      <c r="AF1433" t="s">
        <v>129</v>
      </c>
      <c r="AG1433" t="s">
        <v>70</v>
      </c>
      <c r="AH1433" t="s">
        <v>57</v>
      </c>
      <c r="AI1433" t="s">
        <v>71</v>
      </c>
    </row>
    <row r="1434" spans="1:35" x14ac:dyDescent="0.25">
      <c r="A1434" t="s">
        <v>72</v>
      </c>
      <c r="B1434" t="s">
        <v>59</v>
      </c>
      <c r="C1434" t="s">
        <v>37</v>
      </c>
      <c r="D1434" t="s">
        <v>562</v>
      </c>
      <c r="E1434" t="s">
        <v>62</v>
      </c>
      <c r="F1434" t="s">
        <v>70</v>
      </c>
      <c r="G1434" t="s">
        <v>45</v>
      </c>
      <c r="H1434" t="s">
        <v>42</v>
      </c>
      <c r="I1434" t="s">
        <v>40</v>
      </c>
      <c r="J1434" t="s">
        <v>4379</v>
      </c>
      <c r="K1434" t="s">
        <v>45</v>
      </c>
      <c r="L1434" t="s">
        <v>43</v>
      </c>
      <c r="M1434" t="s">
        <v>204</v>
      </c>
      <c r="N1434" t="s">
        <v>47</v>
      </c>
      <c r="O1434" t="s">
        <v>45</v>
      </c>
      <c r="P1434" t="s">
        <v>186</v>
      </c>
      <c r="Q1434" t="s">
        <v>47</v>
      </c>
      <c r="R1434" t="s">
        <v>66</v>
      </c>
      <c r="S1434" t="s">
        <v>4380</v>
      </c>
      <c r="T1434" t="s">
        <v>4381</v>
      </c>
      <c r="U1434" t="s">
        <v>40</v>
      </c>
      <c r="V1434" t="s">
        <v>52</v>
      </c>
      <c r="W1434" t="s">
        <v>36</v>
      </c>
      <c r="X1434" t="s">
        <v>172</v>
      </c>
      <c r="Y1434" t="s">
        <v>47</v>
      </c>
      <c r="Z1434" t="s">
        <v>40</v>
      </c>
      <c r="AA1434" t="s">
        <v>54</v>
      </c>
      <c r="AB1434" t="s">
        <v>40</v>
      </c>
      <c r="AC1434" t="s">
        <v>128</v>
      </c>
      <c r="AD1434" t="s">
        <v>41</v>
      </c>
      <c r="AE1434" t="s">
        <v>45</v>
      </c>
      <c r="AF1434" t="s">
        <v>128</v>
      </c>
      <c r="AG1434" t="s">
        <v>53</v>
      </c>
      <c r="AH1434" t="s">
        <v>56</v>
      </c>
      <c r="AI1434" t="s">
        <v>51</v>
      </c>
    </row>
    <row r="1435" spans="1:35" x14ac:dyDescent="0.25">
      <c r="A1435" t="s">
        <v>172</v>
      </c>
      <c r="B1435" t="s">
        <v>59</v>
      </c>
      <c r="C1435" t="s">
        <v>37</v>
      </c>
      <c r="D1435" t="s">
        <v>3157</v>
      </c>
      <c r="E1435" t="s">
        <v>39</v>
      </c>
      <c r="F1435" t="s">
        <v>51</v>
      </c>
      <c r="G1435" t="s">
        <v>41</v>
      </c>
      <c r="H1435" t="s">
        <v>74</v>
      </c>
      <c r="I1435" t="s">
        <v>40</v>
      </c>
      <c r="J1435" t="s">
        <v>3397</v>
      </c>
      <c r="K1435" t="s">
        <v>40</v>
      </c>
      <c r="L1435" t="s">
        <v>43</v>
      </c>
      <c r="M1435" t="s">
        <v>348</v>
      </c>
      <c r="N1435" t="s">
        <v>45</v>
      </c>
      <c r="O1435" t="s">
        <v>41</v>
      </c>
      <c r="P1435" t="s">
        <v>46</v>
      </c>
      <c r="Q1435" t="s">
        <v>45</v>
      </c>
      <c r="R1435" t="s">
        <v>109</v>
      </c>
      <c r="S1435" t="s">
        <v>1143</v>
      </c>
      <c r="T1435" t="s">
        <v>4382</v>
      </c>
      <c r="U1435" t="s">
        <v>55</v>
      </c>
      <c r="V1435" t="s">
        <v>52</v>
      </c>
      <c r="W1435" t="s">
        <v>36</v>
      </c>
      <c r="X1435" t="s">
        <v>112</v>
      </c>
      <c r="Y1435" t="s">
        <v>47</v>
      </c>
      <c r="Z1435" t="s">
        <v>41</v>
      </c>
      <c r="AA1435" t="s">
        <v>54</v>
      </c>
      <c r="AB1435" t="s">
        <v>40</v>
      </c>
      <c r="AC1435" t="s">
        <v>56</v>
      </c>
      <c r="AD1435" t="s">
        <v>45</v>
      </c>
      <c r="AE1435" t="s">
        <v>41</v>
      </c>
      <c r="AF1435" t="s">
        <v>57</v>
      </c>
      <c r="AG1435" t="s">
        <v>45</v>
      </c>
      <c r="AH1435" t="s">
        <v>55</v>
      </c>
      <c r="AI1435" t="s">
        <v>47</v>
      </c>
    </row>
    <row r="1436" spans="1:35" x14ac:dyDescent="0.25">
      <c r="A1436" t="s">
        <v>251</v>
      </c>
      <c r="B1436" t="s">
        <v>59</v>
      </c>
      <c r="C1436" t="s">
        <v>161</v>
      </c>
      <c r="D1436" t="s">
        <v>1656</v>
      </c>
      <c r="E1436" t="s">
        <v>39</v>
      </c>
      <c r="F1436" t="s">
        <v>133</v>
      </c>
      <c r="G1436" t="s">
        <v>47</v>
      </c>
      <c r="H1436" t="s">
        <v>42</v>
      </c>
      <c r="I1436" t="s">
        <v>40</v>
      </c>
      <c r="J1436" t="s">
        <v>4383</v>
      </c>
      <c r="K1436" t="s">
        <v>40</v>
      </c>
      <c r="L1436" t="s">
        <v>63</v>
      </c>
      <c r="M1436" t="s">
        <v>88</v>
      </c>
      <c r="N1436" t="s">
        <v>45</v>
      </c>
      <c r="O1436" t="s">
        <v>40</v>
      </c>
      <c r="P1436" t="s">
        <v>182</v>
      </c>
      <c r="Q1436" t="s">
        <v>47</v>
      </c>
      <c r="R1436" t="s">
        <v>109</v>
      </c>
      <c r="S1436" t="s">
        <v>4384</v>
      </c>
      <c r="T1436" t="s">
        <v>4385</v>
      </c>
      <c r="U1436" t="s">
        <v>41</v>
      </c>
      <c r="V1436" t="s">
        <v>52</v>
      </c>
      <c r="W1436" t="s">
        <v>59</v>
      </c>
      <c r="X1436" t="s">
        <v>79</v>
      </c>
      <c r="Y1436" t="s">
        <v>45</v>
      </c>
      <c r="Z1436" t="s">
        <v>41</v>
      </c>
      <c r="AA1436" t="s">
        <v>54</v>
      </c>
      <c r="AB1436" t="s">
        <v>41</v>
      </c>
      <c r="AC1436" t="s">
        <v>128</v>
      </c>
      <c r="AD1436" t="s">
        <v>45</v>
      </c>
      <c r="AE1436" t="s">
        <v>41</v>
      </c>
      <c r="AF1436" t="s">
        <v>91</v>
      </c>
      <c r="AG1436" t="s">
        <v>51</v>
      </c>
      <c r="AH1436" t="s">
        <v>55</v>
      </c>
      <c r="AI1436" t="s">
        <v>55</v>
      </c>
    </row>
    <row r="1437" spans="1:35" x14ac:dyDescent="0.25">
      <c r="A1437" t="s">
        <v>115</v>
      </c>
      <c r="B1437" t="s">
        <v>59</v>
      </c>
      <c r="C1437" t="s">
        <v>37</v>
      </c>
      <c r="D1437" t="s">
        <v>2565</v>
      </c>
      <c r="E1437" t="s">
        <v>62</v>
      </c>
      <c r="F1437" t="s">
        <v>40</v>
      </c>
      <c r="G1437" t="s">
        <v>45</v>
      </c>
      <c r="H1437" t="s">
        <v>87</v>
      </c>
      <c r="I1437" t="s">
        <v>40</v>
      </c>
      <c r="J1437" t="s">
        <v>4386</v>
      </c>
      <c r="K1437" t="s">
        <v>41</v>
      </c>
      <c r="L1437" t="s">
        <v>63</v>
      </c>
      <c r="M1437" t="s">
        <v>204</v>
      </c>
      <c r="N1437" t="s">
        <v>45</v>
      </c>
      <c r="O1437" t="s">
        <v>40</v>
      </c>
      <c r="P1437" t="s">
        <v>65</v>
      </c>
      <c r="Q1437" t="s">
        <v>47</v>
      </c>
      <c r="R1437" t="s">
        <v>48</v>
      </c>
      <c r="S1437" t="s">
        <v>974</v>
      </c>
      <c r="T1437" t="s">
        <v>4387</v>
      </c>
      <c r="U1437" t="s">
        <v>56</v>
      </c>
      <c r="V1437" t="s">
        <v>52</v>
      </c>
      <c r="W1437" t="s">
        <v>36</v>
      </c>
      <c r="X1437" t="s">
        <v>92</v>
      </c>
      <c r="Y1437" t="s">
        <v>45</v>
      </c>
      <c r="Z1437" t="s">
        <v>45</v>
      </c>
      <c r="AA1437" t="s">
        <v>54</v>
      </c>
      <c r="AB1437" t="s">
        <v>55</v>
      </c>
      <c r="AC1437" t="s">
        <v>56</v>
      </c>
      <c r="AD1437" t="s">
        <v>41</v>
      </c>
      <c r="AE1437" t="s">
        <v>45</v>
      </c>
      <c r="AF1437" t="s">
        <v>47</v>
      </c>
      <c r="AG1437" t="s">
        <v>45</v>
      </c>
      <c r="AH1437" t="s">
        <v>40</v>
      </c>
      <c r="AI1437" t="s">
        <v>41</v>
      </c>
    </row>
    <row r="1438" spans="1:35" x14ac:dyDescent="0.25">
      <c r="A1438" t="s">
        <v>119</v>
      </c>
      <c r="B1438" t="s">
        <v>59</v>
      </c>
      <c r="C1438" t="s">
        <v>37</v>
      </c>
      <c r="D1438" t="s">
        <v>1469</v>
      </c>
      <c r="E1438" t="s">
        <v>39</v>
      </c>
      <c r="F1438" t="s">
        <v>57</v>
      </c>
      <c r="G1438" t="s">
        <v>40</v>
      </c>
      <c r="H1438" t="s">
        <v>87</v>
      </c>
      <c r="I1438" t="s">
        <v>40</v>
      </c>
      <c r="J1438" t="s">
        <v>4388</v>
      </c>
      <c r="K1438" t="s">
        <v>45</v>
      </c>
      <c r="L1438" t="s">
        <v>63</v>
      </c>
      <c r="M1438" t="s">
        <v>197</v>
      </c>
      <c r="N1438" t="s">
        <v>45</v>
      </c>
      <c r="O1438" t="s">
        <v>40</v>
      </c>
      <c r="P1438" t="s">
        <v>182</v>
      </c>
      <c r="Q1438" t="s">
        <v>40</v>
      </c>
      <c r="R1438" t="s">
        <v>48</v>
      </c>
      <c r="S1438" t="s">
        <v>2317</v>
      </c>
      <c r="T1438" t="s">
        <v>4389</v>
      </c>
      <c r="U1438" t="s">
        <v>40</v>
      </c>
      <c r="V1438" t="s">
        <v>52</v>
      </c>
      <c r="W1438" t="s">
        <v>36</v>
      </c>
      <c r="X1438" t="s">
        <v>53</v>
      </c>
      <c r="Y1438" t="s">
        <v>45</v>
      </c>
      <c r="Z1438" t="s">
        <v>47</v>
      </c>
      <c r="AA1438" t="s">
        <v>54</v>
      </c>
      <c r="AB1438" t="s">
        <v>55</v>
      </c>
      <c r="AC1438" t="s">
        <v>41</v>
      </c>
      <c r="AD1438" t="s">
        <v>56</v>
      </c>
      <c r="AE1438" t="s">
        <v>45</v>
      </c>
      <c r="AF1438" t="s">
        <v>41</v>
      </c>
      <c r="AG1438" t="s">
        <v>41</v>
      </c>
      <c r="AH1438" t="s">
        <v>40</v>
      </c>
      <c r="AI1438" t="s">
        <v>41</v>
      </c>
    </row>
    <row r="1439" spans="1:35" x14ac:dyDescent="0.25">
      <c r="A1439" t="s">
        <v>218</v>
      </c>
      <c r="B1439" t="s">
        <v>59</v>
      </c>
      <c r="C1439" t="s">
        <v>161</v>
      </c>
      <c r="D1439" t="s">
        <v>404</v>
      </c>
      <c r="E1439" t="s">
        <v>62</v>
      </c>
      <c r="F1439" t="s">
        <v>91</v>
      </c>
      <c r="G1439" t="s">
        <v>45</v>
      </c>
      <c r="H1439" t="s">
        <v>42</v>
      </c>
      <c r="I1439" t="s">
        <v>40</v>
      </c>
      <c r="J1439" t="s">
        <v>2247</v>
      </c>
      <c r="K1439" t="s">
        <v>47</v>
      </c>
      <c r="L1439" t="s">
        <v>63</v>
      </c>
      <c r="M1439" t="s">
        <v>371</v>
      </c>
      <c r="N1439" t="s">
        <v>45</v>
      </c>
      <c r="O1439" t="s">
        <v>57</v>
      </c>
      <c r="P1439" t="s">
        <v>169</v>
      </c>
      <c r="Q1439" t="s">
        <v>47</v>
      </c>
      <c r="R1439" t="s">
        <v>48</v>
      </c>
      <c r="S1439" t="s">
        <v>4390</v>
      </c>
      <c r="T1439" t="s">
        <v>4391</v>
      </c>
      <c r="U1439" t="s">
        <v>41</v>
      </c>
      <c r="V1439" t="s">
        <v>52</v>
      </c>
      <c r="W1439" t="s">
        <v>59</v>
      </c>
      <c r="X1439" t="s">
        <v>98</v>
      </c>
      <c r="Y1439" t="s">
        <v>45</v>
      </c>
      <c r="Z1439" t="s">
        <v>45</v>
      </c>
      <c r="AA1439" t="s">
        <v>54</v>
      </c>
      <c r="AB1439" t="s">
        <v>55</v>
      </c>
      <c r="AC1439" t="s">
        <v>119</v>
      </c>
      <c r="AD1439" t="s">
        <v>45</v>
      </c>
      <c r="AE1439" t="s">
        <v>41</v>
      </c>
      <c r="AF1439" t="s">
        <v>56</v>
      </c>
      <c r="AG1439" t="s">
        <v>55</v>
      </c>
      <c r="AH1439" t="s">
        <v>40</v>
      </c>
      <c r="AI1439" t="s">
        <v>45</v>
      </c>
    </row>
    <row r="1440" spans="1:35" x14ac:dyDescent="0.25">
      <c r="A1440" t="s">
        <v>69</v>
      </c>
      <c r="B1440" t="s">
        <v>36</v>
      </c>
      <c r="C1440" t="s">
        <v>60</v>
      </c>
      <c r="D1440" t="s">
        <v>451</v>
      </c>
      <c r="E1440" t="s">
        <v>39</v>
      </c>
      <c r="F1440" t="s">
        <v>91</v>
      </c>
      <c r="G1440" t="s">
        <v>45</v>
      </c>
      <c r="H1440" t="s">
        <v>206</v>
      </c>
      <c r="I1440" t="s">
        <v>40</v>
      </c>
      <c r="J1440" t="s">
        <v>4392</v>
      </c>
      <c r="K1440" t="s">
        <v>47</v>
      </c>
      <c r="L1440" t="s">
        <v>63</v>
      </c>
      <c r="M1440" t="s">
        <v>80</v>
      </c>
      <c r="N1440" t="s">
        <v>45</v>
      </c>
      <c r="O1440" t="s">
        <v>40</v>
      </c>
      <c r="P1440" t="s">
        <v>182</v>
      </c>
      <c r="Q1440" t="s">
        <v>40</v>
      </c>
      <c r="R1440" t="s">
        <v>66</v>
      </c>
      <c r="S1440" t="s">
        <v>3946</v>
      </c>
      <c r="T1440" t="s">
        <v>4393</v>
      </c>
      <c r="U1440" t="s">
        <v>40</v>
      </c>
      <c r="V1440" t="s">
        <v>52</v>
      </c>
      <c r="W1440" t="s">
        <v>59</v>
      </c>
      <c r="X1440" t="s">
        <v>144</v>
      </c>
      <c r="Y1440" t="s">
        <v>45</v>
      </c>
      <c r="Z1440" t="s">
        <v>40</v>
      </c>
      <c r="AA1440" t="s">
        <v>54</v>
      </c>
      <c r="AB1440" t="s">
        <v>40</v>
      </c>
      <c r="AC1440" t="s">
        <v>40</v>
      </c>
      <c r="AD1440" t="s">
        <v>45</v>
      </c>
      <c r="AE1440" t="s">
        <v>41</v>
      </c>
      <c r="AF1440" t="s">
        <v>40</v>
      </c>
      <c r="AG1440" t="s">
        <v>55</v>
      </c>
      <c r="AH1440" t="s">
        <v>40</v>
      </c>
      <c r="AI1440" t="s">
        <v>55</v>
      </c>
    </row>
    <row r="1441" spans="1:35" x14ac:dyDescent="0.25">
      <c r="A1441" t="s">
        <v>120</v>
      </c>
      <c r="B1441" t="s">
        <v>59</v>
      </c>
      <c r="C1441" t="s">
        <v>37</v>
      </c>
      <c r="D1441" t="s">
        <v>4346</v>
      </c>
      <c r="E1441" t="s">
        <v>39</v>
      </c>
      <c r="F1441" t="s">
        <v>45</v>
      </c>
      <c r="G1441" t="s">
        <v>45</v>
      </c>
      <c r="H1441" t="s">
        <v>87</v>
      </c>
      <c r="I1441" t="s">
        <v>40</v>
      </c>
      <c r="J1441" t="s">
        <v>710</v>
      </c>
      <c r="K1441" t="s">
        <v>40</v>
      </c>
      <c r="L1441" t="s">
        <v>43</v>
      </c>
      <c r="M1441" t="s">
        <v>44</v>
      </c>
      <c r="N1441" t="s">
        <v>41</v>
      </c>
      <c r="O1441" t="s">
        <v>45</v>
      </c>
      <c r="P1441" t="s">
        <v>46</v>
      </c>
      <c r="Q1441" t="s">
        <v>47</v>
      </c>
      <c r="R1441" t="s">
        <v>66</v>
      </c>
      <c r="S1441" t="s">
        <v>4394</v>
      </c>
      <c r="T1441" t="s">
        <v>4395</v>
      </c>
      <c r="U1441" t="s">
        <v>55</v>
      </c>
      <c r="V1441" t="s">
        <v>52</v>
      </c>
      <c r="W1441" t="s">
        <v>59</v>
      </c>
      <c r="X1441" t="s">
        <v>144</v>
      </c>
      <c r="Y1441" t="s">
        <v>45</v>
      </c>
      <c r="Z1441" t="s">
        <v>45</v>
      </c>
      <c r="AA1441" t="s">
        <v>54</v>
      </c>
      <c r="AB1441" t="s">
        <v>41</v>
      </c>
      <c r="AC1441" t="s">
        <v>70</v>
      </c>
      <c r="AD1441" t="s">
        <v>41</v>
      </c>
      <c r="AE1441" t="s">
        <v>45</v>
      </c>
      <c r="AF1441" t="s">
        <v>91</v>
      </c>
      <c r="AG1441" t="s">
        <v>71</v>
      </c>
      <c r="AH1441" t="s">
        <v>45</v>
      </c>
      <c r="AI1441" t="s">
        <v>47</v>
      </c>
    </row>
    <row r="1442" spans="1:35" x14ac:dyDescent="0.25">
      <c r="A1442" t="s">
        <v>120</v>
      </c>
      <c r="B1442" t="s">
        <v>59</v>
      </c>
      <c r="C1442" t="s">
        <v>60</v>
      </c>
      <c r="D1442" t="s">
        <v>1163</v>
      </c>
      <c r="E1442" t="s">
        <v>62</v>
      </c>
      <c r="F1442" t="s">
        <v>47</v>
      </c>
      <c r="G1442" t="s">
        <v>41</v>
      </c>
      <c r="H1442" t="s">
        <v>42</v>
      </c>
      <c r="I1442" t="s">
        <v>40</v>
      </c>
      <c r="J1442" t="s">
        <v>4396</v>
      </c>
      <c r="K1442" t="s">
        <v>47</v>
      </c>
      <c r="L1442" t="s">
        <v>43</v>
      </c>
      <c r="M1442" t="s">
        <v>244</v>
      </c>
      <c r="N1442" t="s">
        <v>45</v>
      </c>
      <c r="O1442" t="s">
        <v>41</v>
      </c>
      <c r="P1442" t="s">
        <v>116</v>
      </c>
      <c r="Q1442" t="s">
        <v>41</v>
      </c>
      <c r="R1442" t="s">
        <v>109</v>
      </c>
      <c r="S1442" t="s">
        <v>4397</v>
      </c>
      <c r="T1442" t="s">
        <v>4398</v>
      </c>
      <c r="U1442" t="s">
        <v>71</v>
      </c>
      <c r="V1442" t="s">
        <v>52</v>
      </c>
      <c r="W1442" t="s">
        <v>59</v>
      </c>
      <c r="X1442" t="s">
        <v>98</v>
      </c>
      <c r="Y1442" t="s">
        <v>45</v>
      </c>
      <c r="Z1442" t="s">
        <v>41</v>
      </c>
      <c r="AA1442" t="s">
        <v>54</v>
      </c>
      <c r="AB1442" t="s">
        <v>45</v>
      </c>
      <c r="AC1442" t="s">
        <v>145</v>
      </c>
      <c r="AD1442" t="s">
        <v>45</v>
      </c>
      <c r="AE1442" t="s">
        <v>45</v>
      </c>
      <c r="AF1442" t="s">
        <v>47</v>
      </c>
      <c r="AG1442" t="s">
        <v>41</v>
      </c>
      <c r="AH1442" t="s">
        <v>55</v>
      </c>
      <c r="AI1442" t="s">
        <v>41</v>
      </c>
    </row>
    <row r="1443" spans="1:35" x14ac:dyDescent="0.25">
      <c r="A1443" t="s">
        <v>82</v>
      </c>
      <c r="B1443" t="s">
        <v>59</v>
      </c>
      <c r="C1443" t="s">
        <v>161</v>
      </c>
      <c r="D1443" t="s">
        <v>1828</v>
      </c>
      <c r="E1443" t="s">
        <v>62</v>
      </c>
      <c r="F1443" t="s">
        <v>40</v>
      </c>
      <c r="G1443" t="s">
        <v>47</v>
      </c>
      <c r="H1443" t="s">
        <v>42</v>
      </c>
      <c r="I1443" t="s">
        <v>40</v>
      </c>
      <c r="J1443" t="s">
        <v>4399</v>
      </c>
      <c r="K1443" t="s">
        <v>45</v>
      </c>
      <c r="L1443" t="s">
        <v>63</v>
      </c>
      <c r="M1443" t="s">
        <v>269</v>
      </c>
      <c r="N1443" t="s">
        <v>45</v>
      </c>
      <c r="O1443" t="s">
        <v>41</v>
      </c>
      <c r="P1443" t="s">
        <v>122</v>
      </c>
      <c r="Q1443" t="s">
        <v>45</v>
      </c>
      <c r="R1443" t="s">
        <v>109</v>
      </c>
      <c r="S1443" t="s">
        <v>4400</v>
      </c>
      <c r="T1443" t="s">
        <v>4401</v>
      </c>
      <c r="U1443" t="s">
        <v>40</v>
      </c>
      <c r="V1443" t="s">
        <v>52</v>
      </c>
      <c r="W1443" t="s">
        <v>59</v>
      </c>
      <c r="X1443" t="s">
        <v>119</v>
      </c>
      <c r="Y1443" t="s">
        <v>47</v>
      </c>
      <c r="Z1443" t="s">
        <v>40</v>
      </c>
      <c r="AA1443" t="s">
        <v>54</v>
      </c>
      <c r="AB1443" t="s">
        <v>40</v>
      </c>
      <c r="AC1443" t="s">
        <v>98</v>
      </c>
      <c r="AD1443" t="s">
        <v>41</v>
      </c>
      <c r="AE1443" t="s">
        <v>41</v>
      </c>
      <c r="AF1443" t="s">
        <v>98</v>
      </c>
      <c r="AG1443" t="s">
        <v>92</v>
      </c>
      <c r="AH1443" t="s">
        <v>40</v>
      </c>
      <c r="AI1443" t="s">
        <v>91</v>
      </c>
    </row>
    <row r="1444" spans="1:35" x14ac:dyDescent="0.25">
      <c r="A1444" t="s">
        <v>133</v>
      </c>
      <c r="B1444" t="s">
        <v>36</v>
      </c>
      <c r="C1444" t="s">
        <v>37</v>
      </c>
      <c r="D1444" t="s">
        <v>2097</v>
      </c>
      <c r="E1444" t="s">
        <v>62</v>
      </c>
      <c r="F1444" t="s">
        <v>40</v>
      </c>
      <c r="G1444" t="s">
        <v>47</v>
      </c>
      <c r="H1444" t="s">
        <v>87</v>
      </c>
      <c r="I1444" t="s">
        <v>40</v>
      </c>
      <c r="J1444" t="s">
        <v>4402</v>
      </c>
      <c r="K1444" t="s">
        <v>40</v>
      </c>
      <c r="L1444" t="s">
        <v>63</v>
      </c>
      <c r="M1444" t="s">
        <v>120</v>
      </c>
      <c r="N1444" t="s">
        <v>45</v>
      </c>
      <c r="O1444" t="s">
        <v>40</v>
      </c>
      <c r="P1444" t="s">
        <v>65</v>
      </c>
      <c r="Q1444" t="s">
        <v>47</v>
      </c>
      <c r="R1444" t="s">
        <v>66</v>
      </c>
      <c r="S1444" t="s">
        <v>4403</v>
      </c>
      <c r="T1444" t="s">
        <v>4404</v>
      </c>
      <c r="U1444" t="s">
        <v>91</v>
      </c>
      <c r="V1444" t="s">
        <v>52</v>
      </c>
      <c r="W1444" t="s">
        <v>36</v>
      </c>
      <c r="X1444" t="s">
        <v>129</v>
      </c>
      <c r="Y1444" t="s">
        <v>45</v>
      </c>
      <c r="Z1444" t="s">
        <v>41</v>
      </c>
      <c r="AA1444" t="s">
        <v>54</v>
      </c>
      <c r="AB1444" t="s">
        <v>45</v>
      </c>
      <c r="AC1444" t="s">
        <v>47</v>
      </c>
      <c r="AD1444" t="s">
        <v>45</v>
      </c>
      <c r="AE1444" t="s">
        <v>47</v>
      </c>
      <c r="AF1444" t="s">
        <v>41</v>
      </c>
      <c r="AG1444" t="s">
        <v>41</v>
      </c>
      <c r="AH1444" t="s">
        <v>41</v>
      </c>
      <c r="AI1444" t="s">
        <v>41</v>
      </c>
    </row>
    <row r="1445" spans="1:35" x14ac:dyDescent="0.25">
      <c r="A1445" t="s">
        <v>204</v>
      </c>
      <c r="B1445" t="s">
        <v>59</v>
      </c>
      <c r="C1445" t="s">
        <v>37</v>
      </c>
      <c r="D1445" t="s">
        <v>911</v>
      </c>
      <c r="E1445" t="s">
        <v>62</v>
      </c>
      <c r="F1445" t="s">
        <v>41</v>
      </c>
      <c r="G1445" t="s">
        <v>45</v>
      </c>
      <c r="H1445" t="s">
        <v>42</v>
      </c>
      <c r="I1445" t="s">
        <v>40</v>
      </c>
      <c r="J1445" t="s">
        <v>4405</v>
      </c>
      <c r="K1445" t="s">
        <v>40</v>
      </c>
      <c r="L1445" t="s">
        <v>63</v>
      </c>
      <c r="M1445" t="s">
        <v>82</v>
      </c>
      <c r="N1445" t="s">
        <v>45</v>
      </c>
      <c r="O1445" t="s">
        <v>57</v>
      </c>
      <c r="P1445" t="s">
        <v>169</v>
      </c>
      <c r="Q1445" t="s">
        <v>45</v>
      </c>
      <c r="R1445" t="s">
        <v>66</v>
      </c>
      <c r="S1445" t="s">
        <v>4406</v>
      </c>
      <c r="T1445" t="s">
        <v>4407</v>
      </c>
      <c r="U1445" t="s">
        <v>57</v>
      </c>
      <c r="V1445" t="s">
        <v>52</v>
      </c>
      <c r="W1445" t="s">
        <v>59</v>
      </c>
      <c r="X1445" t="s">
        <v>53</v>
      </c>
      <c r="Y1445" t="s">
        <v>45</v>
      </c>
      <c r="Z1445" t="s">
        <v>40</v>
      </c>
      <c r="AA1445" t="s">
        <v>54</v>
      </c>
      <c r="AB1445" t="s">
        <v>55</v>
      </c>
      <c r="AC1445" t="s">
        <v>107</v>
      </c>
      <c r="AD1445" t="s">
        <v>41</v>
      </c>
      <c r="AE1445" t="s">
        <v>41</v>
      </c>
      <c r="AF1445" t="s">
        <v>112</v>
      </c>
      <c r="AG1445" t="s">
        <v>56</v>
      </c>
      <c r="AH1445" t="s">
        <v>47</v>
      </c>
      <c r="AI1445" t="s">
        <v>129</v>
      </c>
    </row>
    <row r="1446" spans="1:35" x14ac:dyDescent="0.25">
      <c r="A1446" t="s">
        <v>82</v>
      </c>
      <c r="B1446" t="s">
        <v>36</v>
      </c>
      <c r="C1446" t="s">
        <v>37</v>
      </c>
      <c r="D1446" t="s">
        <v>2038</v>
      </c>
      <c r="E1446" t="s">
        <v>62</v>
      </c>
      <c r="F1446" t="s">
        <v>71</v>
      </c>
      <c r="G1446" t="s">
        <v>41</v>
      </c>
      <c r="H1446" t="s">
        <v>228</v>
      </c>
      <c r="I1446" t="s">
        <v>40</v>
      </c>
      <c r="J1446" t="s">
        <v>4408</v>
      </c>
      <c r="K1446" t="s">
        <v>47</v>
      </c>
      <c r="L1446" t="s">
        <v>63</v>
      </c>
      <c r="M1446" t="s">
        <v>201</v>
      </c>
      <c r="N1446" t="s">
        <v>45</v>
      </c>
      <c r="O1446" t="s">
        <v>40</v>
      </c>
      <c r="P1446" t="s">
        <v>76</v>
      </c>
      <c r="Q1446" t="s">
        <v>45</v>
      </c>
      <c r="R1446" t="s">
        <v>66</v>
      </c>
      <c r="S1446" t="s">
        <v>4409</v>
      </c>
      <c r="T1446" t="s">
        <v>4410</v>
      </c>
      <c r="U1446" t="s">
        <v>51</v>
      </c>
      <c r="V1446" t="s">
        <v>52</v>
      </c>
      <c r="W1446" t="s">
        <v>59</v>
      </c>
      <c r="X1446" t="s">
        <v>53</v>
      </c>
      <c r="Y1446" t="s">
        <v>45</v>
      </c>
      <c r="Z1446" t="s">
        <v>47</v>
      </c>
      <c r="AA1446" t="s">
        <v>54</v>
      </c>
      <c r="AB1446" t="s">
        <v>40</v>
      </c>
      <c r="AC1446" t="s">
        <v>129</v>
      </c>
      <c r="AD1446" t="s">
        <v>47</v>
      </c>
      <c r="AE1446" t="s">
        <v>40</v>
      </c>
      <c r="AF1446" t="s">
        <v>70</v>
      </c>
      <c r="AG1446" t="s">
        <v>91</v>
      </c>
      <c r="AH1446" t="s">
        <v>91</v>
      </c>
      <c r="AI1446" t="s">
        <v>51</v>
      </c>
    </row>
    <row r="1447" spans="1:35" x14ac:dyDescent="0.25">
      <c r="A1447" t="s">
        <v>35</v>
      </c>
      <c r="B1447" t="s">
        <v>59</v>
      </c>
      <c r="C1447" t="s">
        <v>37</v>
      </c>
      <c r="D1447" t="s">
        <v>1648</v>
      </c>
      <c r="E1447" t="s">
        <v>62</v>
      </c>
      <c r="F1447" t="s">
        <v>149</v>
      </c>
      <c r="G1447" t="s">
        <v>47</v>
      </c>
      <c r="H1447" t="s">
        <v>42</v>
      </c>
      <c r="I1447" t="s">
        <v>40</v>
      </c>
      <c r="J1447" t="s">
        <v>4411</v>
      </c>
      <c r="K1447" t="s">
        <v>40</v>
      </c>
      <c r="L1447" t="s">
        <v>43</v>
      </c>
      <c r="M1447" t="s">
        <v>275</v>
      </c>
      <c r="N1447" t="s">
        <v>41</v>
      </c>
      <c r="O1447" t="s">
        <v>47</v>
      </c>
      <c r="P1447" t="s">
        <v>116</v>
      </c>
      <c r="Q1447" t="s">
        <v>41</v>
      </c>
      <c r="R1447" t="s">
        <v>66</v>
      </c>
      <c r="S1447" t="s">
        <v>4412</v>
      </c>
      <c r="T1447" t="s">
        <v>4413</v>
      </c>
      <c r="U1447" t="s">
        <v>55</v>
      </c>
      <c r="V1447" t="s">
        <v>52</v>
      </c>
      <c r="W1447" t="s">
        <v>59</v>
      </c>
      <c r="X1447" t="s">
        <v>69</v>
      </c>
      <c r="Y1447" t="s">
        <v>47</v>
      </c>
      <c r="Z1447" t="s">
        <v>45</v>
      </c>
      <c r="AA1447" t="s">
        <v>54</v>
      </c>
      <c r="AB1447" t="s">
        <v>40</v>
      </c>
      <c r="AC1447" t="s">
        <v>119</v>
      </c>
      <c r="AD1447" t="s">
        <v>45</v>
      </c>
      <c r="AE1447" t="s">
        <v>45</v>
      </c>
      <c r="AF1447" t="s">
        <v>104</v>
      </c>
      <c r="AG1447" t="s">
        <v>71</v>
      </c>
      <c r="AH1447" t="s">
        <v>55</v>
      </c>
      <c r="AI1447" t="s">
        <v>70</v>
      </c>
    </row>
    <row r="1448" spans="1:35" x14ac:dyDescent="0.25">
      <c r="A1448" t="s">
        <v>142</v>
      </c>
      <c r="B1448" t="s">
        <v>59</v>
      </c>
      <c r="C1448" t="s">
        <v>37</v>
      </c>
      <c r="D1448" t="s">
        <v>1887</v>
      </c>
      <c r="E1448" t="s">
        <v>39</v>
      </c>
      <c r="F1448" t="s">
        <v>149</v>
      </c>
      <c r="G1448" t="s">
        <v>45</v>
      </c>
      <c r="H1448" t="s">
        <v>206</v>
      </c>
      <c r="I1448" t="s">
        <v>40</v>
      </c>
      <c r="J1448" t="s">
        <v>4414</v>
      </c>
      <c r="K1448" t="s">
        <v>47</v>
      </c>
      <c r="L1448" t="s">
        <v>43</v>
      </c>
      <c r="M1448" t="s">
        <v>349</v>
      </c>
      <c r="N1448" t="s">
        <v>41</v>
      </c>
      <c r="O1448" t="s">
        <v>41</v>
      </c>
      <c r="P1448" t="s">
        <v>46</v>
      </c>
      <c r="Q1448" t="s">
        <v>45</v>
      </c>
      <c r="R1448" t="s">
        <v>66</v>
      </c>
      <c r="S1448" t="s">
        <v>4415</v>
      </c>
      <c r="T1448" t="s">
        <v>4416</v>
      </c>
      <c r="U1448" t="s">
        <v>40</v>
      </c>
      <c r="V1448" t="s">
        <v>52</v>
      </c>
      <c r="W1448" t="s">
        <v>59</v>
      </c>
      <c r="X1448" t="s">
        <v>119</v>
      </c>
      <c r="Y1448" t="s">
        <v>47</v>
      </c>
      <c r="Z1448" t="s">
        <v>47</v>
      </c>
      <c r="AA1448" t="s">
        <v>54</v>
      </c>
      <c r="AB1448" t="s">
        <v>41</v>
      </c>
      <c r="AC1448" t="s">
        <v>51</v>
      </c>
      <c r="AD1448" t="s">
        <v>41</v>
      </c>
      <c r="AE1448" t="s">
        <v>45</v>
      </c>
      <c r="AF1448" t="s">
        <v>51</v>
      </c>
      <c r="AG1448" t="s">
        <v>71</v>
      </c>
      <c r="AH1448" t="s">
        <v>40</v>
      </c>
      <c r="AI1448" t="s">
        <v>71</v>
      </c>
    </row>
    <row r="1449" spans="1:35" x14ac:dyDescent="0.25">
      <c r="A1449" t="s">
        <v>120</v>
      </c>
      <c r="B1449" t="s">
        <v>59</v>
      </c>
      <c r="C1449" t="s">
        <v>161</v>
      </c>
      <c r="D1449" t="s">
        <v>3653</v>
      </c>
      <c r="E1449" t="s">
        <v>39</v>
      </c>
      <c r="F1449" t="s">
        <v>79</v>
      </c>
      <c r="G1449" t="s">
        <v>47</v>
      </c>
      <c r="H1449" t="s">
        <v>206</v>
      </c>
      <c r="I1449" t="s">
        <v>40</v>
      </c>
      <c r="J1449" t="s">
        <v>4417</v>
      </c>
      <c r="K1449" t="s">
        <v>47</v>
      </c>
      <c r="L1449" t="s">
        <v>63</v>
      </c>
      <c r="M1449" t="s">
        <v>356</v>
      </c>
      <c r="N1449" t="s">
        <v>40</v>
      </c>
      <c r="O1449" t="s">
        <v>41</v>
      </c>
      <c r="P1449" t="s">
        <v>46</v>
      </c>
      <c r="Q1449" t="s">
        <v>47</v>
      </c>
      <c r="R1449" t="s">
        <v>109</v>
      </c>
      <c r="S1449" t="s">
        <v>4418</v>
      </c>
      <c r="T1449" t="s">
        <v>4419</v>
      </c>
      <c r="U1449" t="s">
        <v>40</v>
      </c>
      <c r="V1449" t="s">
        <v>52</v>
      </c>
      <c r="W1449" t="s">
        <v>59</v>
      </c>
      <c r="X1449" t="s">
        <v>107</v>
      </c>
      <c r="Y1449" t="s">
        <v>47</v>
      </c>
      <c r="Z1449" t="s">
        <v>40</v>
      </c>
      <c r="AA1449" t="s">
        <v>54</v>
      </c>
      <c r="AB1449" t="s">
        <v>40</v>
      </c>
      <c r="AC1449" t="s">
        <v>79</v>
      </c>
      <c r="AD1449" t="s">
        <v>47</v>
      </c>
      <c r="AE1449" t="s">
        <v>41</v>
      </c>
      <c r="AF1449" t="s">
        <v>79</v>
      </c>
      <c r="AG1449" t="s">
        <v>92</v>
      </c>
      <c r="AH1449" t="s">
        <v>53</v>
      </c>
      <c r="AI1449" t="s">
        <v>53</v>
      </c>
    </row>
    <row r="1450" spans="1:35" x14ac:dyDescent="0.25">
      <c r="A1450" t="s">
        <v>35</v>
      </c>
      <c r="B1450" t="s">
        <v>59</v>
      </c>
      <c r="C1450" t="s">
        <v>37</v>
      </c>
      <c r="D1450" t="s">
        <v>2211</v>
      </c>
      <c r="E1450" t="s">
        <v>39</v>
      </c>
      <c r="F1450" t="s">
        <v>45</v>
      </c>
      <c r="G1450" t="s">
        <v>45</v>
      </c>
      <c r="H1450" t="s">
        <v>42</v>
      </c>
      <c r="I1450" t="s">
        <v>40</v>
      </c>
      <c r="J1450" t="s">
        <v>4420</v>
      </c>
      <c r="K1450" t="s">
        <v>45</v>
      </c>
      <c r="L1450" t="s">
        <v>63</v>
      </c>
      <c r="M1450" t="s">
        <v>269</v>
      </c>
      <c r="N1450" t="s">
        <v>41</v>
      </c>
      <c r="O1450" t="s">
        <v>41</v>
      </c>
      <c r="P1450" t="s">
        <v>46</v>
      </c>
      <c r="Q1450" t="s">
        <v>41</v>
      </c>
      <c r="R1450" t="s">
        <v>109</v>
      </c>
      <c r="S1450" t="s">
        <v>4421</v>
      </c>
      <c r="T1450" t="s">
        <v>4422</v>
      </c>
      <c r="U1450" t="s">
        <v>41</v>
      </c>
      <c r="V1450" t="s">
        <v>52</v>
      </c>
      <c r="W1450" t="s">
        <v>59</v>
      </c>
      <c r="X1450" t="s">
        <v>53</v>
      </c>
      <c r="Y1450" t="s">
        <v>45</v>
      </c>
      <c r="Z1450" t="s">
        <v>45</v>
      </c>
      <c r="AA1450" t="s">
        <v>54</v>
      </c>
      <c r="AB1450" t="s">
        <v>40</v>
      </c>
      <c r="AC1450" t="s">
        <v>129</v>
      </c>
      <c r="AD1450" t="s">
        <v>57</v>
      </c>
      <c r="AE1450" t="s">
        <v>45</v>
      </c>
      <c r="AF1450" t="s">
        <v>57</v>
      </c>
      <c r="AG1450" t="s">
        <v>47</v>
      </c>
      <c r="AH1450" t="s">
        <v>55</v>
      </c>
      <c r="AI1450" t="s">
        <v>47</v>
      </c>
    </row>
    <row r="1451" spans="1:35" x14ac:dyDescent="0.25">
      <c r="A1451" t="s">
        <v>93</v>
      </c>
      <c r="B1451" t="s">
        <v>59</v>
      </c>
      <c r="C1451" t="s">
        <v>37</v>
      </c>
      <c r="D1451" t="s">
        <v>1078</v>
      </c>
      <c r="E1451" t="s">
        <v>62</v>
      </c>
      <c r="F1451" t="s">
        <v>41</v>
      </c>
      <c r="G1451" t="s">
        <v>45</v>
      </c>
      <c r="H1451" t="s">
        <v>228</v>
      </c>
      <c r="I1451" t="s">
        <v>40</v>
      </c>
      <c r="J1451" t="s">
        <v>4423</v>
      </c>
      <c r="K1451" t="s">
        <v>47</v>
      </c>
      <c r="L1451" t="s">
        <v>63</v>
      </c>
      <c r="M1451" t="s">
        <v>168</v>
      </c>
      <c r="N1451" t="s">
        <v>45</v>
      </c>
      <c r="O1451" t="s">
        <v>40</v>
      </c>
      <c r="P1451" t="s">
        <v>65</v>
      </c>
      <c r="Q1451" t="s">
        <v>40</v>
      </c>
      <c r="R1451" t="s">
        <v>48</v>
      </c>
      <c r="S1451" t="s">
        <v>4103</v>
      </c>
      <c r="T1451" t="s">
        <v>4424</v>
      </c>
      <c r="U1451" t="s">
        <v>40</v>
      </c>
      <c r="V1451" t="s">
        <v>52</v>
      </c>
      <c r="W1451" t="s">
        <v>59</v>
      </c>
      <c r="X1451" t="s">
        <v>129</v>
      </c>
      <c r="Y1451" t="s">
        <v>45</v>
      </c>
      <c r="Z1451" t="s">
        <v>47</v>
      </c>
      <c r="AA1451" t="s">
        <v>54</v>
      </c>
      <c r="AB1451" t="s">
        <v>55</v>
      </c>
      <c r="AC1451" t="s">
        <v>47</v>
      </c>
      <c r="AD1451" t="s">
        <v>47</v>
      </c>
      <c r="AE1451" t="s">
        <v>45</v>
      </c>
      <c r="AF1451" t="s">
        <v>47</v>
      </c>
      <c r="AG1451" t="s">
        <v>41</v>
      </c>
      <c r="AH1451" t="s">
        <v>40</v>
      </c>
      <c r="AI1451" t="s">
        <v>41</v>
      </c>
    </row>
    <row r="1452" spans="1:35" x14ac:dyDescent="0.25">
      <c r="A1452" t="s">
        <v>126</v>
      </c>
      <c r="B1452" t="s">
        <v>59</v>
      </c>
      <c r="C1452" t="s">
        <v>37</v>
      </c>
      <c r="D1452" t="s">
        <v>2063</v>
      </c>
      <c r="E1452" t="s">
        <v>397</v>
      </c>
      <c r="F1452" t="s">
        <v>139</v>
      </c>
      <c r="G1452" t="s">
        <v>47</v>
      </c>
      <c r="H1452" t="s">
        <v>42</v>
      </c>
      <c r="I1452" t="s">
        <v>40</v>
      </c>
      <c r="J1452" t="s">
        <v>4425</v>
      </c>
      <c r="K1452" t="s">
        <v>45</v>
      </c>
      <c r="L1452" t="s">
        <v>43</v>
      </c>
      <c r="M1452" t="s">
        <v>137</v>
      </c>
      <c r="N1452" t="s">
        <v>45</v>
      </c>
      <c r="O1452" t="s">
        <v>45</v>
      </c>
      <c r="P1452" t="s">
        <v>397</v>
      </c>
      <c r="Q1452" t="s">
        <v>47</v>
      </c>
      <c r="R1452" t="s">
        <v>48</v>
      </c>
      <c r="S1452" t="s">
        <v>4426</v>
      </c>
      <c r="T1452" t="s">
        <v>4427</v>
      </c>
      <c r="U1452" t="s">
        <v>40</v>
      </c>
      <c r="V1452" t="s">
        <v>52</v>
      </c>
      <c r="W1452" t="s">
        <v>36</v>
      </c>
      <c r="X1452" t="s">
        <v>128</v>
      </c>
      <c r="Y1452" t="s">
        <v>45</v>
      </c>
      <c r="Z1452" t="s">
        <v>45</v>
      </c>
      <c r="AA1452" t="s">
        <v>54</v>
      </c>
      <c r="AB1452" t="s">
        <v>55</v>
      </c>
      <c r="AC1452" t="s">
        <v>91</v>
      </c>
      <c r="AD1452" t="s">
        <v>41</v>
      </c>
      <c r="AE1452" t="s">
        <v>45</v>
      </c>
      <c r="AF1452" t="s">
        <v>91</v>
      </c>
      <c r="AG1452" t="s">
        <v>55</v>
      </c>
      <c r="AH1452" t="s">
        <v>40</v>
      </c>
      <c r="AI1452" t="s">
        <v>71</v>
      </c>
    </row>
    <row r="1453" spans="1:35" x14ac:dyDescent="0.25">
      <c r="A1453" t="s">
        <v>113</v>
      </c>
      <c r="B1453" t="s">
        <v>59</v>
      </c>
      <c r="C1453" t="s">
        <v>37</v>
      </c>
      <c r="D1453" t="s">
        <v>4428</v>
      </c>
      <c r="E1453" t="s">
        <v>39</v>
      </c>
      <c r="F1453" t="s">
        <v>70</v>
      </c>
      <c r="G1453" t="s">
        <v>41</v>
      </c>
      <c r="H1453" t="s">
        <v>42</v>
      </c>
      <c r="I1453" t="s">
        <v>40</v>
      </c>
      <c r="J1453" t="s">
        <v>4429</v>
      </c>
      <c r="K1453" t="s">
        <v>40</v>
      </c>
      <c r="L1453" t="s">
        <v>43</v>
      </c>
      <c r="M1453" t="s">
        <v>385</v>
      </c>
      <c r="N1453" t="s">
        <v>45</v>
      </c>
      <c r="O1453" t="s">
        <v>41</v>
      </c>
      <c r="P1453" t="s">
        <v>46</v>
      </c>
      <c r="Q1453" t="s">
        <v>47</v>
      </c>
      <c r="R1453" t="s">
        <v>66</v>
      </c>
      <c r="S1453" t="s">
        <v>2819</v>
      </c>
      <c r="T1453" t="s">
        <v>4430</v>
      </c>
      <c r="U1453" t="s">
        <v>40</v>
      </c>
      <c r="V1453" t="s">
        <v>52</v>
      </c>
      <c r="W1453" t="s">
        <v>59</v>
      </c>
      <c r="X1453" t="s">
        <v>53</v>
      </c>
      <c r="Y1453" t="s">
        <v>45</v>
      </c>
      <c r="Z1453" t="s">
        <v>45</v>
      </c>
      <c r="AA1453" t="s">
        <v>54</v>
      </c>
      <c r="AB1453" t="s">
        <v>40</v>
      </c>
      <c r="AC1453" t="s">
        <v>70</v>
      </c>
      <c r="AD1453" t="s">
        <v>40</v>
      </c>
      <c r="AE1453" t="s">
        <v>45</v>
      </c>
      <c r="AF1453" t="s">
        <v>70</v>
      </c>
      <c r="AG1453" t="s">
        <v>71</v>
      </c>
      <c r="AH1453" t="s">
        <v>40</v>
      </c>
      <c r="AI1453" t="s">
        <v>91</v>
      </c>
    </row>
    <row r="1454" spans="1:35" x14ac:dyDescent="0.25">
      <c r="A1454" t="s">
        <v>151</v>
      </c>
      <c r="B1454" t="s">
        <v>36</v>
      </c>
      <c r="C1454" t="s">
        <v>60</v>
      </c>
      <c r="D1454" t="s">
        <v>854</v>
      </c>
      <c r="E1454" t="s">
        <v>39</v>
      </c>
      <c r="F1454" t="s">
        <v>40</v>
      </c>
      <c r="G1454" t="s">
        <v>47</v>
      </c>
      <c r="H1454" t="s">
        <v>42</v>
      </c>
      <c r="I1454" t="s">
        <v>40</v>
      </c>
      <c r="J1454" t="s">
        <v>2321</v>
      </c>
      <c r="K1454" t="s">
        <v>41</v>
      </c>
      <c r="L1454" t="s">
        <v>63</v>
      </c>
      <c r="M1454" t="s">
        <v>44</v>
      </c>
      <c r="N1454" t="s">
        <v>45</v>
      </c>
      <c r="O1454" t="s">
        <v>41</v>
      </c>
      <c r="P1454" t="s">
        <v>46</v>
      </c>
      <c r="Q1454" t="s">
        <v>45</v>
      </c>
      <c r="R1454" t="s">
        <v>109</v>
      </c>
      <c r="S1454" t="s">
        <v>4431</v>
      </c>
      <c r="T1454" t="s">
        <v>4432</v>
      </c>
      <c r="U1454" t="s">
        <v>71</v>
      </c>
      <c r="V1454" t="s">
        <v>52</v>
      </c>
      <c r="W1454" t="s">
        <v>59</v>
      </c>
      <c r="X1454" t="s">
        <v>92</v>
      </c>
      <c r="Y1454" t="s">
        <v>45</v>
      </c>
      <c r="Z1454" t="s">
        <v>47</v>
      </c>
      <c r="AA1454" t="s">
        <v>54</v>
      </c>
      <c r="AB1454" t="s">
        <v>41</v>
      </c>
      <c r="AC1454" t="s">
        <v>92</v>
      </c>
      <c r="AD1454" t="s">
        <v>45</v>
      </c>
      <c r="AE1454" t="s">
        <v>45</v>
      </c>
      <c r="AF1454" t="s">
        <v>56</v>
      </c>
      <c r="AG1454" t="s">
        <v>45</v>
      </c>
      <c r="AH1454" t="s">
        <v>55</v>
      </c>
      <c r="AI1454" t="s">
        <v>40</v>
      </c>
    </row>
    <row r="1455" spans="1:35" x14ac:dyDescent="0.25">
      <c r="A1455" t="s">
        <v>120</v>
      </c>
      <c r="B1455" t="s">
        <v>59</v>
      </c>
      <c r="C1455" t="s">
        <v>37</v>
      </c>
      <c r="D1455" t="s">
        <v>2718</v>
      </c>
      <c r="E1455" t="s">
        <v>39</v>
      </c>
      <c r="F1455" t="s">
        <v>53</v>
      </c>
      <c r="G1455" t="s">
        <v>47</v>
      </c>
      <c r="H1455" t="s">
        <v>206</v>
      </c>
      <c r="I1455" t="s">
        <v>40</v>
      </c>
      <c r="J1455" t="s">
        <v>1879</v>
      </c>
      <c r="K1455" t="s">
        <v>41</v>
      </c>
      <c r="L1455" t="s">
        <v>43</v>
      </c>
      <c r="M1455" t="s">
        <v>385</v>
      </c>
      <c r="N1455" t="s">
        <v>41</v>
      </c>
      <c r="O1455" t="s">
        <v>41</v>
      </c>
      <c r="P1455" t="s">
        <v>46</v>
      </c>
      <c r="Q1455" t="s">
        <v>47</v>
      </c>
      <c r="R1455" t="s">
        <v>66</v>
      </c>
      <c r="S1455" t="s">
        <v>4433</v>
      </c>
      <c r="T1455" t="s">
        <v>4434</v>
      </c>
      <c r="U1455" t="s">
        <v>47</v>
      </c>
      <c r="V1455" t="s">
        <v>52</v>
      </c>
      <c r="W1455" t="s">
        <v>59</v>
      </c>
      <c r="X1455" t="s">
        <v>98</v>
      </c>
      <c r="Y1455" t="s">
        <v>45</v>
      </c>
      <c r="Z1455" t="s">
        <v>40</v>
      </c>
      <c r="AA1455" t="s">
        <v>54</v>
      </c>
      <c r="AB1455" t="s">
        <v>40</v>
      </c>
      <c r="AC1455" t="s">
        <v>51</v>
      </c>
      <c r="AD1455" t="s">
        <v>41</v>
      </c>
      <c r="AE1455" t="s">
        <v>41</v>
      </c>
      <c r="AF1455" t="s">
        <v>56</v>
      </c>
      <c r="AG1455" t="s">
        <v>45</v>
      </c>
      <c r="AH1455" t="s">
        <v>55</v>
      </c>
      <c r="AI1455" t="s">
        <v>55</v>
      </c>
    </row>
    <row r="1456" spans="1:35" x14ac:dyDescent="0.25">
      <c r="A1456" t="s">
        <v>174</v>
      </c>
      <c r="B1456" t="s">
        <v>59</v>
      </c>
      <c r="C1456" t="s">
        <v>37</v>
      </c>
      <c r="D1456" t="s">
        <v>1102</v>
      </c>
      <c r="E1456" t="s">
        <v>39</v>
      </c>
      <c r="F1456" t="s">
        <v>104</v>
      </c>
      <c r="G1456" t="s">
        <v>45</v>
      </c>
      <c r="H1456" t="s">
        <v>42</v>
      </c>
      <c r="I1456" t="s">
        <v>40</v>
      </c>
      <c r="J1456" t="s">
        <v>4435</v>
      </c>
      <c r="K1456" t="s">
        <v>47</v>
      </c>
      <c r="L1456" t="s">
        <v>43</v>
      </c>
      <c r="M1456" t="s">
        <v>151</v>
      </c>
      <c r="N1456" t="s">
        <v>45</v>
      </c>
      <c r="O1456" t="s">
        <v>41</v>
      </c>
      <c r="P1456" t="s">
        <v>46</v>
      </c>
      <c r="Q1456" t="s">
        <v>45</v>
      </c>
      <c r="R1456" t="s">
        <v>48</v>
      </c>
      <c r="S1456" t="s">
        <v>4436</v>
      </c>
      <c r="T1456" t="s">
        <v>4437</v>
      </c>
      <c r="U1456" t="s">
        <v>51</v>
      </c>
      <c r="V1456" t="s">
        <v>52</v>
      </c>
      <c r="W1456" t="s">
        <v>59</v>
      </c>
      <c r="X1456" t="s">
        <v>79</v>
      </c>
      <c r="Y1456" t="s">
        <v>45</v>
      </c>
      <c r="Z1456" t="s">
        <v>45</v>
      </c>
      <c r="AA1456" t="s">
        <v>54</v>
      </c>
      <c r="AB1456" t="s">
        <v>55</v>
      </c>
      <c r="AC1456" t="s">
        <v>51</v>
      </c>
      <c r="AD1456" t="s">
        <v>45</v>
      </c>
      <c r="AE1456" t="s">
        <v>45</v>
      </c>
      <c r="AF1456" t="s">
        <v>57</v>
      </c>
      <c r="AG1456" t="s">
        <v>45</v>
      </c>
      <c r="AH1456" t="s">
        <v>55</v>
      </c>
      <c r="AI1456" t="s">
        <v>40</v>
      </c>
    </row>
    <row r="1457" spans="1:35" x14ac:dyDescent="0.25">
      <c r="A1457" t="s">
        <v>88</v>
      </c>
      <c r="B1457" t="s">
        <v>59</v>
      </c>
      <c r="C1457" t="s">
        <v>37</v>
      </c>
      <c r="D1457" t="s">
        <v>3066</v>
      </c>
      <c r="E1457" t="s">
        <v>62</v>
      </c>
      <c r="F1457" t="s">
        <v>41</v>
      </c>
      <c r="G1457" t="s">
        <v>47</v>
      </c>
      <c r="H1457" t="s">
        <v>42</v>
      </c>
      <c r="I1457" t="s">
        <v>40</v>
      </c>
      <c r="J1457" t="s">
        <v>4438</v>
      </c>
      <c r="K1457" t="s">
        <v>45</v>
      </c>
      <c r="L1457" t="s">
        <v>63</v>
      </c>
      <c r="M1457" t="s">
        <v>251</v>
      </c>
      <c r="N1457" t="s">
        <v>41</v>
      </c>
      <c r="O1457" t="s">
        <v>40</v>
      </c>
      <c r="P1457" t="s">
        <v>65</v>
      </c>
      <c r="Q1457" t="s">
        <v>45</v>
      </c>
      <c r="R1457" t="s">
        <v>48</v>
      </c>
      <c r="S1457" t="s">
        <v>4439</v>
      </c>
      <c r="T1457" t="s">
        <v>1770</v>
      </c>
      <c r="U1457" t="s">
        <v>41</v>
      </c>
      <c r="V1457" t="s">
        <v>52</v>
      </c>
      <c r="W1457" t="s">
        <v>59</v>
      </c>
      <c r="X1457" t="s">
        <v>129</v>
      </c>
      <c r="Y1457" t="s">
        <v>45</v>
      </c>
      <c r="Z1457" t="s">
        <v>47</v>
      </c>
      <c r="AA1457" t="s">
        <v>54</v>
      </c>
      <c r="AB1457" t="s">
        <v>55</v>
      </c>
      <c r="AC1457" t="s">
        <v>51</v>
      </c>
      <c r="AD1457" t="s">
        <v>41</v>
      </c>
      <c r="AE1457" t="s">
        <v>45</v>
      </c>
      <c r="AF1457" t="s">
        <v>41</v>
      </c>
      <c r="AG1457" t="s">
        <v>41</v>
      </c>
      <c r="AH1457" t="s">
        <v>41</v>
      </c>
      <c r="AI1457" t="s">
        <v>41</v>
      </c>
    </row>
    <row r="1458" spans="1:35" x14ac:dyDescent="0.25">
      <c r="A1458" t="s">
        <v>126</v>
      </c>
      <c r="B1458" t="s">
        <v>59</v>
      </c>
      <c r="C1458" t="s">
        <v>60</v>
      </c>
      <c r="D1458" t="s">
        <v>1024</v>
      </c>
      <c r="E1458" t="s">
        <v>62</v>
      </c>
      <c r="F1458" t="s">
        <v>145</v>
      </c>
      <c r="G1458" t="s">
        <v>47</v>
      </c>
      <c r="H1458" t="s">
        <v>42</v>
      </c>
      <c r="I1458" t="s">
        <v>40</v>
      </c>
      <c r="J1458" t="s">
        <v>4440</v>
      </c>
      <c r="K1458" t="s">
        <v>45</v>
      </c>
      <c r="L1458" t="s">
        <v>63</v>
      </c>
      <c r="M1458" t="s">
        <v>54</v>
      </c>
      <c r="N1458" t="s">
        <v>45</v>
      </c>
      <c r="O1458" t="s">
        <v>41</v>
      </c>
      <c r="P1458" t="s">
        <v>122</v>
      </c>
      <c r="Q1458" t="s">
        <v>45</v>
      </c>
      <c r="R1458" t="s">
        <v>66</v>
      </c>
      <c r="S1458" t="s">
        <v>4441</v>
      </c>
      <c r="T1458" t="s">
        <v>4442</v>
      </c>
      <c r="U1458" t="s">
        <v>40</v>
      </c>
      <c r="V1458" t="s">
        <v>52</v>
      </c>
      <c r="W1458" t="s">
        <v>36</v>
      </c>
      <c r="X1458" t="s">
        <v>129</v>
      </c>
      <c r="Y1458" t="s">
        <v>45</v>
      </c>
      <c r="Z1458" t="s">
        <v>47</v>
      </c>
      <c r="AA1458" t="s">
        <v>54</v>
      </c>
      <c r="AB1458" t="s">
        <v>41</v>
      </c>
      <c r="AC1458" t="s">
        <v>70</v>
      </c>
      <c r="AD1458" t="s">
        <v>41</v>
      </c>
      <c r="AE1458" t="s">
        <v>47</v>
      </c>
      <c r="AF1458" t="s">
        <v>70</v>
      </c>
      <c r="AG1458" t="s">
        <v>41</v>
      </c>
      <c r="AH1458" t="s">
        <v>55</v>
      </c>
      <c r="AI1458" t="s">
        <v>41</v>
      </c>
    </row>
    <row r="1459" spans="1:35" x14ac:dyDescent="0.25">
      <c r="A1459" t="s">
        <v>88</v>
      </c>
      <c r="B1459" t="s">
        <v>59</v>
      </c>
      <c r="C1459" t="s">
        <v>37</v>
      </c>
      <c r="D1459" t="s">
        <v>4008</v>
      </c>
      <c r="E1459" t="s">
        <v>62</v>
      </c>
      <c r="F1459" t="s">
        <v>41</v>
      </c>
      <c r="G1459" t="s">
        <v>47</v>
      </c>
      <c r="H1459" t="s">
        <v>87</v>
      </c>
      <c r="I1459" t="s">
        <v>40</v>
      </c>
      <c r="J1459" t="s">
        <v>4443</v>
      </c>
      <c r="K1459" t="s">
        <v>45</v>
      </c>
      <c r="L1459" t="s">
        <v>43</v>
      </c>
      <c r="M1459" t="s">
        <v>284</v>
      </c>
      <c r="N1459" t="s">
        <v>45</v>
      </c>
      <c r="O1459" t="s">
        <v>40</v>
      </c>
      <c r="P1459" t="s">
        <v>65</v>
      </c>
      <c r="Q1459" t="s">
        <v>45</v>
      </c>
      <c r="R1459" t="s">
        <v>66</v>
      </c>
      <c r="S1459" t="s">
        <v>4444</v>
      </c>
      <c r="T1459" t="s">
        <v>4445</v>
      </c>
      <c r="U1459" t="s">
        <v>41</v>
      </c>
      <c r="V1459" t="s">
        <v>52</v>
      </c>
      <c r="W1459" t="s">
        <v>59</v>
      </c>
      <c r="X1459" t="s">
        <v>129</v>
      </c>
      <c r="Y1459" t="s">
        <v>45</v>
      </c>
      <c r="Z1459" t="s">
        <v>41</v>
      </c>
      <c r="AA1459" t="s">
        <v>54</v>
      </c>
      <c r="AB1459" t="s">
        <v>45</v>
      </c>
      <c r="AC1459" t="s">
        <v>104</v>
      </c>
      <c r="AD1459" t="s">
        <v>41</v>
      </c>
      <c r="AE1459" t="s">
        <v>45</v>
      </c>
      <c r="AF1459" t="s">
        <v>57</v>
      </c>
      <c r="AG1459" t="s">
        <v>45</v>
      </c>
      <c r="AH1459" t="s">
        <v>55</v>
      </c>
      <c r="AI1459" t="s">
        <v>41</v>
      </c>
    </row>
    <row r="1460" spans="1:35" x14ac:dyDescent="0.25">
      <c r="A1460" t="s">
        <v>126</v>
      </c>
      <c r="B1460" t="s">
        <v>59</v>
      </c>
      <c r="C1460" t="s">
        <v>37</v>
      </c>
      <c r="D1460" t="s">
        <v>878</v>
      </c>
      <c r="E1460" t="s">
        <v>62</v>
      </c>
      <c r="F1460" t="s">
        <v>40</v>
      </c>
      <c r="G1460" t="s">
        <v>47</v>
      </c>
      <c r="H1460" t="s">
        <v>42</v>
      </c>
      <c r="I1460" t="s">
        <v>40</v>
      </c>
      <c r="J1460" t="s">
        <v>4446</v>
      </c>
      <c r="K1460" t="s">
        <v>45</v>
      </c>
      <c r="L1460" t="s">
        <v>43</v>
      </c>
      <c r="M1460" t="s">
        <v>283</v>
      </c>
      <c r="N1460" t="s">
        <v>40</v>
      </c>
      <c r="O1460" t="s">
        <v>40</v>
      </c>
      <c r="P1460" t="s">
        <v>65</v>
      </c>
      <c r="Q1460" t="s">
        <v>47</v>
      </c>
      <c r="R1460" t="s">
        <v>66</v>
      </c>
      <c r="S1460" t="s">
        <v>4447</v>
      </c>
      <c r="T1460" t="s">
        <v>3903</v>
      </c>
      <c r="U1460" t="s">
        <v>40</v>
      </c>
      <c r="V1460" t="s">
        <v>52</v>
      </c>
      <c r="W1460" t="s">
        <v>59</v>
      </c>
      <c r="X1460" t="s">
        <v>92</v>
      </c>
      <c r="Y1460" t="s">
        <v>45</v>
      </c>
      <c r="Z1460" t="s">
        <v>47</v>
      </c>
      <c r="AA1460" t="s">
        <v>54</v>
      </c>
      <c r="AB1460" t="s">
        <v>40</v>
      </c>
      <c r="AC1460" t="s">
        <v>47</v>
      </c>
      <c r="AD1460" t="s">
        <v>57</v>
      </c>
      <c r="AE1460" t="s">
        <v>45</v>
      </c>
      <c r="AF1460" t="s">
        <v>47</v>
      </c>
      <c r="AG1460" t="s">
        <v>45</v>
      </c>
      <c r="AH1460" t="s">
        <v>40</v>
      </c>
      <c r="AI1460" t="s">
        <v>40</v>
      </c>
    </row>
    <row r="1461" spans="1:35" x14ac:dyDescent="0.25">
      <c r="A1461" t="s">
        <v>133</v>
      </c>
      <c r="B1461" t="s">
        <v>59</v>
      </c>
      <c r="C1461" t="s">
        <v>37</v>
      </c>
      <c r="D1461" t="s">
        <v>4448</v>
      </c>
      <c r="E1461" t="s">
        <v>62</v>
      </c>
      <c r="F1461" t="s">
        <v>98</v>
      </c>
      <c r="G1461" t="s">
        <v>41</v>
      </c>
      <c r="H1461" t="s">
        <v>74</v>
      </c>
      <c r="I1461" t="s">
        <v>40</v>
      </c>
      <c r="J1461" t="s">
        <v>4449</v>
      </c>
      <c r="K1461" t="s">
        <v>47</v>
      </c>
      <c r="L1461" t="s">
        <v>63</v>
      </c>
      <c r="M1461" t="s">
        <v>213</v>
      </c>
      <c r="N1461" t="s">
        <v>41</v>
      </c>
      <c r="O1461" t="s">
        <v>41</v>
      </c>
      <c r="P1461" t="s">
        <v>76</v>
      </c>
      <c r="Q1461" t="s">
        <v>41</v>
      </c>
      <c r="R1461" t="s">
        <v>66</v>
      </c>
      <c r="S1461" t="s">
        <v>2587</v>
      </c>
      <c r="T1461" t="s">
        <v>4450</v>
      </c>
      <c r="U1461" t="s">
        <v>47</v>
      </c>
      <c r="V1461" t="s">
        <v>52</v>
      </c>
      <c r="W1461" t="s">
        <v>36</v>
      </c>
      <c r="X1461" t="s">
        <v>98</v>
      </c>
      <c r="Y1461" t="s">
        <v>45</v>
      </c>
      <c r="Z1461" t="s">
        <v>40</v>
      </c>
      <c r="AA1461" t="s">
        <v>54</v>
      </c>
      <c r="AB1461" t="s">
        <v>40</v>
      </c>
      <c r="AC1461" t="s">
        <v>70</v>
      </c>
      <c r="AD1461" t="s">
        <v>41</v>
      </c>
      <c r="AE1461" t="s">
        <v>45</v>
      </c>
      <c r="AF1461" t="s">
        <v>47</v>
      </c>
      <c r="AG1461" t="s">
        <v>45</v>
      </c>
      <c r="AH1461" t="s">
        <v>55</v>
      </c>
      <c r="AI1461" t="s">
        <v>45</v>
      </c>
    </row>
    <row r="1462" spans="1:35" x14ac:dyDescent="0.25">
      <c r="A1462" t="s">
        <v>133</v>
      </c>
      <c r="B1462" t="s">
        <v>59</v>
      </c>
      <c r="C1462" t="s">
        <v>37</v>
      </c>
      <c r="D1462" t="s">
        <v>1374</v>
      </c>
      <c r="E1462" t="s">
        <v>62</v>
      </c>
      <c r="F1462" t="s">
        <v>149</v>
      </c>
      <c r="G1462" t="s">
        <v>47</v>
      </c>
      <c r="H1462" t="s">
        <v>87</v>
      </c>
      <c r="I1462" t="s">
        <v>40</v>
      </c>
      <c r="J1462" t="s">
        <v>4451</v>
      </c>
      <c r="K1462" t="s">
        <v>47</v>
      </c>
      <c r="L1462" t="s">
        <v>43</v>
      </c>
      <c r="M1462" t="s">
        <v>279</v>
      </c>
      <c r="N1462" t="s">
        <v>41</v>
      </c>
      <c r="O1462" t="s">
        <v>40</v>
      </c>
      <c r="P1462" t="s">
        <v>65</v>
      </c>
      <c r="Q1462" t="s">
        <v>40</v>
      </c>
      <c r="R1462" t="s">
        <v>48</v>
      </c>
      <c r="S1462" t="s">
        <v>4452</v>
      </c>
      <c r="T1462" t="s">
        <v>4453</v>
      </c>
      <c r="U1462" t="s">
        <v>40</v>
      </c>
      <c r="V1462" t="s">
        <v>52</v>
      </c>
      <c r="W1462" t="s">
        <v>59</v>
      </c>
      <c r="X1462" t="s">
        <v>129</v>
      </c>
      <c r="Y1462" t="s">
        <v>45</v>
      </c>
      <c r="Z1462" t="s">
        <v>41</v>
      </c>
      <c r="AA1462" t="s">
        <v>54</v>
      </c>
      <c r="AB1462" t="s">
        <v>55</v>
      </c>
      <c r="AC1462" t="s">
        <v>57</v>
      </c>
      <c r="AD1462" t="s">
        <v>45</v>
      </c>
      <c r="AE1462" t="s">
        <v>40</v>
      </c>
      <c r="AF1462" t="s">
        <v>57</v>
      </c>
      <c r="AG1462" t="s">
        <v>47</v>
      </c>
      <c r="AH1462" t="s">
        <v>55</v>
      </c>
      <c r="AI1462" t="s">
        <v>47</v>
      </c>
    </row>
    <row r="1463" spans="1:35" x14ac:dyDescent="0.25">
      <c r="A1463" t="s">
        <v>151</v>
      </c>
      <c r="B1463" t="s">
        <v>36</v>
      </c>
      <c r="C1463" t="s">
        <v>37</v>
      </c>
      <c r="D1463" t="s">
        <v>1209</v>
      </c>
      <c r="E1463" t="s">
        <v>39</v>
      </c>
      <c r="F1463" t="s">
        <v>149</v>
      </c>
      <c r="G1463" t="s">
        <v>45</v>
      </c>
      <c r="H1463" t="s">
        <v>206</v>
      </c>
      <c r="I1463" t="s">
        <v>40</v>
      </c>
      <c r="J1463" t="s">
        <v>4454</v>
      </c>
      <c r="K1463" t="s">
        <v>47</v>
      </c>
      <c r="L1463" t="s">
        <v>63</v>
      </c>
      <c r="M1463" t="s">
        <v>218</v>
      </c>
      <c r="N1463" t="s">
        <v>41</v>
      </c>
      <c r="O1463" t="s">
        <v>45</v>
      </c>
      <c r="P1463" t="s">
        <v>46</v>
      </c>
      <c r="Q1463" t="s">
        <v>40</v>
      </c>
      <c r="R1463" t="s">
        <v>109</v>
      </c>
      <c r="S1463" t="s">
        <v>4455</v>
      </c>
      <c r="T1463" t="s">
        <v>4456</v>
      </c>
      <c r="U1463" t="s">
        <v>47</v>
      </c>
      <c r="V1463" t="s">
        <v>52</v>
      </c>
      <c r="W1463" t="s">
        <v>36</v>
      </c>
      <c r="X1463" t="s">
        <v>98</v>
      </c>
      <c r="Y1463" t="s">
        <v>45</v>
      </c>
      <c r="Z1463" t="s">
        <v>41</v>
      </c>
      <c r="AA1463" t="s">
        <v>54</v>
      </c>
      <c r="AB1463" t="s">
        <v>40</v>
      </c>
      <c r="AC1463" t="s">
        <v>104</v>
      </c>
      <c r="AD1463" t="s">
        <v>45</v>
      </c>
      <c r="AE1463" t="s">
        <v>45</v>
      </c>
      <c r="AF1463" t="s">
        <v>45</v>
      </c>
      <c r="AG1463" t="s">
        <v>41</v>
      </c>
      <c r="AH1463" t="s">
        <v>41</v>
      </c>
      <c r="AI1463" t="s">
        <v>55</v>
      </c>
    </row>
    <row r="1464" spans="1:35" x14ac:dyDescent="0.25">
      <c r="A1464" t="s">
        <v>218</v>
      </c>
      <c r="B1464" t="s">
        <v>59</v>
      </c>
      <c r="C1464" t="s">
        <v>37</v>
      </c>
      <c r="D1464" t="s">
        <v>1927</v>
      </c>
      <c r="E1464" t="s">
        <v>39</v>
      </c>
      <c r="F1464" t="s">
        <v>107</v>
      </c>
      <c r="G1464" t="s">
        <v>40</v>
      </c>
      <c r="H1464" t="s">
        <v>206</v>
      </c>
      <c r="I1464" t="s">
        <v>40</v>
      </c>
      <c r="J1464" t="s">
        <v>4457</v>
      </c>
      <c r="K1464" t="s">
        <v>41</v>
      </c>
      <c r="L1464" t="s">
        <v>43</v>
      </c>
      <c r="M1464" t="s">
        <v>275</v>
      </c>
      <c r="N1464" t="s">
        <v>41</v>
      </c>
      <c r="O1464" t="s">
        <v>47</v>
      </c>
      <c r="P1464" t="s">
        <v>46</v>
      </c>
      <c r="Q1464" t="s">
        <v>47</v>
      </c>
      <c r="R1464" t="s">
        <v>66</v>
      </c>
      <c r="S1464" t="s">
        <v>4458</v>
      </c>
      <c r="T1464" t="s">
        <v>4459</v>
      </c>
      <c r="U1464" t="s">
        <v>55</v>
      </c>
      <c r="V1464" t="s">
        <v>52</v>
      </c>
      <c r="W1464" t="s">
        <v>59</v>
      </c>
      <c r="X1464" t="s">
        <v>53</v>
      </c>
      <c r="Y1464" t="s">
        <v>45</v>
      </c>
      <c r="Z1464" t="s">
        <v>40</v>
      </c>
      <c r="AA1464" t="s">
        <v>54</v>
      </c>
      <c r="AB1464" t="s">
        <v>40</v>
      </c>
      <c r="AC1464" t="s">
        <v>119</v>
      </c>
      <c r="AD1464" t="s">
        <v>41</v>
      </c>
      <c r="AE1464" t="s">
        <v>41</v>
      </c>
      <c r="AF1464" t="s">
        <v>104</v>
      </c>
      <c r="AG1464" t="s">
        <v>91</v>
      </c>
      <c r="AH1464" t="s">
        <v>91</v>
      </c>
      <c r="AI1464" t="s">
        <v>56</v>
      </c>
    </row>
    <row r="1465" spans="1:35" x14ac:dyDescent="0.25">
      <c r="A1465" t="s">
        <v>137</v>
      </c>
      <c r="B1465" t="s">
        <v>59</v>
      </c>
      <c r="C1465" t="s">
        <v>161</v>
      </c>
      <c r="D1465" t="s">
        <v>973</v>
      </c>
      <c r="E1465" t="s">
        <v>62</v>
      </c>
      <c r="F1465" t="s">
        <v>57</v>
      </c>
      <c r="G1465" t="s">
        <v>45</v>
      </c>
      <c r="H1465" t="s">
        <v>87</v>
      </c>
      <c r="I1465" t="s">
        <v>40</v>
      </c>
      <c r="J1465" t="s">
        <v>4460</v>
      </c>
      <c r="K1465" t="s">
        <v>41</v>
      </c>
      <c r="L1465" t="s">
        <v>63</v>
      </c>
      <c r="M1465" t="s">
        <v>314</v>
      </c>
      <c r="N1465" t="s">
        <v>45</v>
      </c>
      <c r="O1465" t="s">
        <v>41</v>
      </c>
      <c r="P1465" t="s">
        <v>116</v>
      </c>
      <c r="Q1465" t="s">
        <v>40</v>
      </c>
      <c r="R1465" t="s">
        <v>48</v>
      </c>
      <c r="S1465" t="s">
        <v>4461</v>
      </c>
      <c r="T1465" t="s">
        <v>4462</v>
      </c>
      <c r="U1465" t="s">
        <v>55</v>
      </c>
      <c r="V1465" t="s">
        <v>52</v>
      </c>
      <c r="W1465" t="s">
        <v>59</v>
      </c>
      <c r="X1465" t="s">
        <v>144</v>
      </c>
      <c r="Y1465" t="s">
        <v>45</v>
      </c>
      <c r="Z1465" t="s">
        <v>41</v>
      </c>
      <c r="AA1465" t="s">
        <v>54</v>
      </c>
      <c r="AB1465" t="s">
        <v>55</v>
      </c>
      <c r="AC1465" t="s">
        <v>70</v>
      </c>
      <c r="AD1465" t="s">
        <v>41</v>
      </c>
      <c r="AE1465" t="s">
        <v>45</v>
      </c>
      <c r="AF1465" t="s">
        <v>91</v>
      </c>
      <c r="AG1465" t="s">
        <v>47</v>
      </c>
      <c r="AH1465" t="s">
        <v>40</v>
      </c>
      <c r="AI1465" t="s">
        <v>71</v>
      </c>
    </row>
    <row r="1466" spans="1:35" x14ac:dyDescent="0.25">
      <c r="A1466" t="s">
        <v>139</v>
      </c>
      <c r="B1466" t="s">
        <v>59</v>
      </c>
      <c r="C1466" t="s">
        <v>37</v>
      </c>
      <c r="D1466" t="s">
        <v>2797</v>
      </c>
      <c r="E1466" t="s">
        <v>39</v>
      </c>
      <c r="F1466" t="s">
        <v>57</v>
      </c>
      <c r="G1466" t="s">
        <v>45</v>
      </c>
      <c r="H1466" t="s">
        <v>74</v>
      </c>
      <c r="I1466" t="s">
        <v>40</v>
      </c>
      <c r="J1466" t="s">
        <v>4463</v>
      </c>
      <c r="K1466" t="s">
        <v>47</v>
      </c>
      <c r="L1466" t="s">
        <v>43</v>
      </c>
      <c r="M1466" t="s">
        <v>105</v>
      </c>
      <c r="N1466" t="s">
        <v>41</v>
      </c>
      <c r="O1466" t="s">
        <v>40</v>
      </c>
      <c r="P1466" t="s">
        <v>182</v>
      </c>
      <c r="Q1466" t="s">
        <v>45</v>
      </c>
      <c r="R1466" t="s">
        <v>48</v>
      </c>
      <c r="S1466" t="s">
        <v>4464</v>
      </c>
      <c r="T1466" t="s">
        <v>4465</v>
      </c>
      <c r="U1466" t="s">
        <v>55</v>
      </c>
      <c r="V1466" t="s">
        <v>52</v>
      </c>
      <c r="W1466" t="s">
        <v>59</v>
      </c>
      <c r="X1466" t="s">
        <v>145</v>
      </c>
      <c r="Y1466" t="s">
        <v>45</v>
      </c>
      <c r="Z1466" t="s">
        <v>47</v>
      </c>
      <c r="AA1466" t="s">
        <v>54</v>
      </c>
      <c r="AB1466" t="s">
        <v>55</v>
      </c>
      <c r="AC1466" t="s">
        <v>57</v>
      </c>
      <c r="AD1466" t="s">
        <v>41</v>
      </c>
      <c r="AE1466" t="s">
        <v>45</v>
      </c>
      <c r="AF1466" t="s">
        <v>47</v>
      </c>
      <c r="AG1466" t="s">
        <v>41</v>
      </c>
      <c r="AH1466" t="s">
        <v>55</v>
      </c>
      <c r="AI1466" t="s">
        <v>55</v>
      </c>
    </row>
    <row r="1467" spans="1:35" x14ac:dyDescent="0.25">
      <c r="A1467" t="s">
        <v>120</v>
      </c>
      <c r="B1467" t="s">
        <v>59</v>
      </c>
      <c r="C1467" t="s">
        <v>60</v>
      </c>
      <c r="D1467" t="s">
        <v>3503</v>
      </c>
      <c r="E1467" t="s">
        <v>62</v>
      </c>
      <c r="F1467" t="s">
        <v>69</v>
      </c>
      <c r="G1467" t="s">
        <v>41</v>
      </c>
      <c r="H1467" t="s">
        <v>87</v>
      </c>
      <c r="I1467" t="s">
        <v>40</v>
      </c>
      <c r="J1467" t="s">
        <v>3496</v>
      </c>
      <c r="K1467" t="s">
        <v>45</v>
      </c>
      <c r="L1467" t="s">
        <v>63</v>
      </c>
      <c r="M1467" t="s">
        <v>35</v>
      </c>
      <c r="N1467" t="s">
        <v>47</v>
      </c>
      <c r="O1467" t="s">
        <v>41</v>
      </c>
      <c r="P1467" t="s">
        <v>76</v>
      </c>
      <c r="Q1467" t="s">
        <v>47</v>
      </c>
      <c r="R1467" t="s">
        <v>66</v>
      </c>
      <c r="S1467" t="s">
        <v>4466</v>
      </c>
      <c r="T1467" t="s">
        <v>4467</v>
      </c>
      <c r="U1467" t="s">
        <v>47</v>
      </c>
      <c r="V1467" t="s">
        <v>52</v>
      </c>
      <c r="W1467" t="s">
        <v>59</v>
      </c>
      <c r="X1467" t="s">
        <v>125</v>
      </c>
      <c r="Y1467" t="s">
        <v>45</v>
      </c>
      <c r="Z1467" t="s">
        <v>45</v>
      </c>
      <c r="AA1467" t="s">
        <v>54</v>
      </c>
      <c r="AB1467" t="s">
        <v>40</v>
      </c>
      <c r="AC1467" t="s">
        <v>125</v>
      </c>
      <c r="AD1467" t="s">
        <v>45</v>
      </c>
      <c r="AE1467" t="s">
        <v>45</v>
      </c>
      <c r="AF1467" t="s">
        <v>57</v>
      </c>
      <c r="AG1467" t="s">
        <v>41</v>
      </c>
      <c r="AH1467" t="s">
        <v>55</v>
      </c>
      <c r="AI1467" t="s">
        <v>45</v>
      </c>
    </row>
    <row r="1468" spans="1:35" x14ac:dyDescent="0.25">
      <c r="A1468" t="s">
        <v>218</v>
      </c>
      <c r="B1468" t="s">
        <v>59</v>
      </c>
      <c r="C1468" t="s">
        <v>37</v>
      </c>
      <c r="D1468" t="s">
        <v>1714</v>
      </c>
      <c r="E1468" t="s">
        <v>62</v>
      </c>
      <c r="F1468" t="s">
        <v>56</v>
      </c>
      <c r="G1468" t="s">
        <v>40</v>
      </c>
      <c r="H1468" t="s">
        <v>87</v>
      </c>
      <c r="I1468" t="s">
        <v>40</v>
      </c>
      <c r="J1468" t="s">
        <v>4133</v>
      </c>
      <c r="K1468" t="s">
        <v>47</v>
      </c>
      <c r="L1468" t="s">
        <v>63</v>
      </c>
      <c r="M1468" t="s">
        <v>204</v>
      </c>
      <c r="N1468" t="s">
        <v>41</v>
      </c>
      <c r="O1468" t="s">
        <v>45</v>
      </c>
      <c r="P1468" t="s">
        <v>122</v>
      </c>
      <c r="Q1468" t="s">
        <v>40</v>
      </c>
      <c r="R1468" t="s">
        <v>66</v>
      </c>
      <c r="S1468" t="s">
        <v>4468</v>
      </c>
      <c r="T1468" t="s">
        <v>4469</v>
      </c>
      <c r="U1468" t="s">
        <v>47</v>
      </c>
      <c r="V1468" t="s">
        <v>52</v>
      </c>
      <c r="W1468" t="s">
        <v>59</v>
      </c>
      <c r="X1468" t="s">
        <v>79</v>
      </c>
      <c r="Y1468" t="s">
        <v>45</v>
      </c>
      <c r="Z1468" t="s">
        <v>40</v>
      </c>
      <c r="AA1468" t="s">
        <v>54</v>
      </c>
      <c r="AB1468" t="s">
        <v>40</v>
      </c>
      <c r="AC1468" t="s">
        <v>91</v>
      </c>
      <c r="AD1468" t="s">
        <v>57</v>
      </c>
      <c r="AE1468" t="s">
        <v>45</v>
      </c>
      <c r="AF1468" t="s">
        <v>71</v>
      </c>
      <c r="AG1468" t="s">
        <v>71</v>
      </c>
      <c r="AH1468" t="s">
        <v>40</v>
      </c>
      <c r="AI1468" t="s">
        <v>71</v>
      </c>
    </row>
    <row r="1469" spans="1:35" x14ac:dyDescent="0.25">
      <c r="A1469" t="s">
        <v>85</v>
      </c>
      <c r="B1469" t="s">
        <v>59</v>
      </c>
      <c r="C1469" t="s">
        <v>37</v>
      </c>
      <c r="D1469" t="s">
        <v>546</v>
      </c>
      <c r="E1469" t="s">
        <v>62</v>
      </c>
      <c r="F1469" t="s">
        <v>47</v>
      </c>
      <c r="G1469" t="s">
        <v>45</v>
      </c>
      <c r="H1469" t="s">
        <v>42</v>
      </c>
      <c r="I1469" t="s">
        <v>40</v>
      </c>
      <c r="J1469" t="s">
        <v>3346</v>
      </c>
      <c r="K1469" t="s">
        <v>41</v>
      </c>
      <c r="L1469" t="s">
        <v>63</v>
      </c>
      <c r="M1469" t="s">
        <v>371</v>
      </c>
      <c r="N1469" t="s">
        <v>47</v>
      </c>
      <c r="O1469" t="s">
        <v>41</v>
      </c>
      <c r="P1469" t="s">
        <v>116</v>
      </c>
      <c r="Q1469" t="s">
        <v>41</v>
      </c>
      <c r="R1469" t="s">
        <v>66</v>
      </c>
      <c r="S1469" t="s">
        <v>1990</v>
      </c>
      <c r="T1469" t="s">
        <v>4470</v>
      </c>
      <c r="U1469" t="s">
        <v>40</v>
      </c>
      <c r="V1469" t="s">
        <v>52</v>
      </c>
      <c r="W1469" t="s">
        <v>36</v>
      </c>
      <c r="X1469" t="s">
        <v>104</v>
      </c>
      <c r="Y1469" t="s">
        <v>47</v>
      </c>
      <c r="Z1469" t="s">
        <v>41</v>
      </c>
      <c r="AA1469" t="s">
        <v>54</v>
      </c>
      <c r="AB1469" t="s">
        <v>40</v>
      </c>
      <c r="AC1469" t="s">
        <v>56</v>
      </c>
      <c r="AD1469" t="s">
        <v>55</v>
      </c>
      <c r="AE1469" t="s">
        <v>45</v>
      </c>
      <c r="AF1469" t="s">
        <v>56</v>
      </c>
      <c r="AG1469" t="s">
        <v>41</v>
      </c>
      <c r="AH1469" t="s">
        <v>55</v>
      </c>
      <c r="AI1469" t="s">
        <v>45</v>
      </c>
    </row>
    <row r="1470" spans="1:35" x14ac:dyDescent="0.25">
      <c r="A1470" t="s">
        <v>58</v>
      </c>
      <c r="B1470" t="s">
        <v>59</v>
      </c>
      <c r="C1470" t="s">
        <v>60</v>
      </c>
      <c r="D1470" t="s">
        <v>4471</v>
      </c>
      <c r="E1470" t="s">
        <v>39</v>
      </c>
      <c r="F1470" t="s">
        <v>41</v>
      </c>
      <c r="G1470" t="s">
        <v>45</v>
      </c>
      <c r="H1470" t="s">
        <v>87</v>
      </c>
      <c r="I1470" t="s">
        <v>40</v>
      </c>
      <c r="J1470" t="s">
        <v>4472</v>
      </c>
      <c r="K1470" t="s">
        <v>47</v>
      </c>
      <c r="L1470" t="s">
        <v>63</v>
      </c>
      <c r="M1470" t="s">
        <v>288</v>
      </c>
      <c r="N1470" t="s">
        <v>41</v>
      </c>
      <c r="O1470" t="s">
        <v>41</v>
      </c>
      <c r="P1470" t="s">
        <v>46</v>
      </c>
      <c r="Q1470" t="s">
        <v>41</v>
      </c>
      <c r="R1470" t="s">
        <v>66</v>
      </c>
      <c r="S1470" t="s">
        <v>4473</v>
      </c>
      <c r="T1470" t="s">
        <v>4474</v>
      </c>
      <c r="U1470" t="s">
        <v>41</v>
      </c>
      <c r="V1470" t="s">
        <v>52</v>
      </c>
      <c r="W1470" t="s">
        <v>59</v>
      </c>
      <c r="X1470" t="s">
        <v>129</v>
      </c>
      <c r="Y1470" t="s">
        <v>45</v>
      </c>
      <c r="Z1470" t="s">
        <v>47</v>
      </c>
      <c r="AA1470" t="s">
        <v>54</v>
      </c>
      <c r="AB1470" t="s">
        <v>55</v>
      </c>
      <c r="AC1470" t="s">
        <v>125</v>
      </c>
      <c r="AD1470" t="s">
        <v>45</v>
      </c>
      <c r="AE1470" t="s">
        <v>41</v>
      </c>
      <c r="AF1470" t="s">
        <v>91</v>
      </c>
      <c r="AG1470" t="s">
        <v>56</v>
      </c>
      <c r="AH1470" t="s">
        <v>55</v>
      </c>
      <c r="AI1470" t="s">
        <v>51</v>
      </c>
    </row>
    <row r="1471" spans="1:35" x14ac:dyDescent="0.25">
      <c r="A1471" t="s">
        <v>142</v>
      </c>
      <c r="B1471" t="s">
        <v>59</v>
      </c>
      <c r="C1471" t="s">
        <v>37</v>
      </c>
      <c r="D1471" t="s">
        <v>4475</v>
      </c>
      <c r="E1471" t="s">
        <v>62</v>
      </c>
      <c r="F1471" t="s">
        <v>51</v>
      </c>
      <c r="G1471" t="s">
        <v>45</v>
      </c>
      <c r="H1471" t="s">
        <v>87</v>
      </c>
      <c r="I1471" t="s">
        <v>40</v>
      </c>
      <c r="J1471" t="s">
        <v>4476</v>
      </c>
      <c r="K1471" t="s">
        <v>41</v>
      </c>
      <c r="L1471" t="s">
        <v>63</v>
      </c>
      <c r="M1471" t="s">
        <v>181</v>
      </c>
      <c r="N1471" t="s">
        <v>47</v>
      </c>
      <c r="O1471" t="s">
        <v>41</v>
      </c>
      <c r="P1471" t="s">
        <v>76</v>
      </c>
      <c r="Q1471" t="s">
        <v>45</v>
      </c>
      <c r="R1471" t="s">
        <v>66</v>
      </c>
      <c r="S1471" t="s">
        <v>4477</v>
      </c>
      <c r="T1471" t="s">
        <v>4478</v>
      </c>
      <c r="U1471" t="s">
        <v>41</v>
      </c>
      <c r="V1471" t="s">
        <v>52</v>
      </c>
      <c r="W1471" t="s">
        <v>59</v>
      </c>
      <c r="X1471" t="s">
        <v>92</v>
      </c>
      <c r="Y1471" t="s">
        <v>45</v>
      </c>
      <c r="Z1471" t="s">
        <v>40</v>
      </c>
      <c r="AA1471" t="s">
        <v>54</v>
      </c>
      <c r="AB1471" t="s">
        <v>55</v>
      </c>
      <c r="AC1471" t="s">
        <v>56</v>
      </c>
      <c r="AD1471" t="s">
        <v>45</v>
      </c>
      <c r="AE1471" t="s">
        <v>47</v>
      </c>
      <c r="AF1471" t="s">
        <v>47</v>
      </c>
      <c r="AG1471" t="s">
        <v>45</v>
      </c>
      <c r="AH1471" t="s">
        <v>40</v>
      </c>
      <c r="AI1471" t="s">
        <v>41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471"/>
  <sheetViews>
    <sheetView topLeftCell="AC1" workbookViewId="0">
      <pane ySplit="1" topLeftCell="A1454" activePane="bottomLeft" state="frozen"/>
      <selection pane="bottomLeft" activeCell="AD1456" sqref="AD1456"/>
    </sheetView>
  </sheetViews>
  <sheetFormatPr defaultRowHeight="15" x14ac:dyDescent="0.25"/>
  <cols>
    <col min="1" max="5" width="14" customWidth="1"/>
    <col min="6" max="6" width="22.28515625" bestFit="1" customWidth="1"/>
    <col min="7" max="8" width="14" customWidth="1"/>
    <col min="9" max="9" width="17.7109375" bestFit="1" customWidth="1"/>
    <col min="10" max="10" width="18.5703125" bestFit="1" customWidth="1"/>
    <col min="11" max="11" width="26.42578125" bestFit="1" customWidth="1"/>
    <col min="12" max="13" width="14" customWidth="1"/>
    <col min="14" max="14" width="18" bestFit="1" customWidth="1"/>
    <col min="15" max="16" width="14" customWidth="1"/>
    <col min="17" max="17" width="18" bestFit="1" customWidth="1"/>
    <col min="18" max="18" width="14" customWidth="1"/>
    <col min="19" max="19" width="18.5703125" style="21" bestFit="1" customWidth="1"/>
    <col min="20" max="20" width="14" customWidth="1"/>
    <col min="21" max="21" width="21.5703125" bestFit="1" customWidth="1"/>
    <col min="22" max="23" width="14" customWidth="1"/>
    <col min="24" max="24" width="17.42578125" bestFit="1" customWidth="1"/>
    <col min="25" max="25" width="18" bestFit="1" customWidth="1"/>
    <col min="26" max="26" width="17.7109375" bestFit="1" customWidth="1"/>
    <col min="27" max="31" width="14" customWidth="1"/>
    <col min="32" max="32" width="14" style="10" customWidth="1"/>
    <col min="33" max="35" width="14" customWidth="1"/>
    <col min="37" max="37" width="14.7109375" customWidth="1"/>
    <col min="40" max="40" width="13.42578125" customWidth="1"/>
    <col min="41" max="41" width="14" customWidth="1"/>
  </cols>
  <sheetData>
    <row r="1" spans="1:42" ht="28.5" x14ac:dyDescent="0.2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9" t="s">
        <v>18</v>
      </c>
      <c r="T1" s="11" t="s">
        <v>19</v>
      </c>
      <c r="U1" s="11" t="s">
        <v>20</v>
      </c>
      <c r="V1" s="11" t="s">
        <v>21</v>
      </c>
      <c r="W1" s="11" t="s">
        <v>22</v>
      </c>
      <c r="X1" s="11" t="s">
        <v>23</v>
      </c>
      <c r="Y1" s="11" t="s">
        <v>24</v>
      </c>
      <c r="Z1" s="11" t="s">
        <v>25</v>
      </c>
      <c r="AA1" s="11" t="s">
        <v>26</v>
      </c>
      <c r="AB1" s="11" t="s">
        <v>27</v>
      </c>
      <c r="AC1" s="11" t="s">
        <v>28</v>
      </c>
      <c r="AD1" s="11" t="s">
        <v>29</v>
      </c>
      <c r="AE1" s="11" t="s">
        <v>30</v>
      </c>
      <c r="AF1" s="12" t="s">
        <v>31</v>
      </c>
      <c r="AG1" s="11" t="s">
        <v>32</v>
      </c>
      <c r="AH1" s="11" t="s">
        <v>33</v>
      </c>
      <c r="AI1" s="11" t="s">
        <v>34</v>
      </c>
      <c r="AJ1" s="13" t="s">
        <v>4480</v>
      </c>
      <c r="AK1" s="13" t="s">
        <v>4481</v>
      </c>
      <c r="AL1" s="13" t="s">
        <v>4482</v>
      </c>
      <c r="AM1" s="13" t="s">
        <v>4483</v>
      </c>
      <c r="AN1" s="13" t="s">
        <v>4484</v>
      </c>
      <c r="AO1" s="13" t="s">
        <v>4493</v>
      </c>
      <c r="AP1" s="13" t="s">
        <v>4492</v>
      </c>
    </row>
    <row r="2" spans="1:42" x14ac:dyDescent="0.25">
      <c r="A2" s="13">
        <v>41</v>
      </c>
      <c r="B2" s="13" t="s">
        <v>36</v>
      </c>
      <c r="C2" s="13" t="s">
        <v>37</v>
      </c>
      <c r="D2" s="13">
        <v>1102</v>
      </c>
      <c r="E2" s="13" t="s">
        <v>39</v>
      </c>
      <c r="F2" s="13">
        <v>1</v>
      </c>
      <c r="G2" s="13">
        <v>2</v>
      </c>
      <c r="H2" s="13" t="s">
        <v>42</v>
      </c>
      <c r="I2" s="13">
        <v>1</v>
      </c>
      <c r="J2" s="13">
        <v>1</v>
      </c>
      <c r="K2" s="13">
        <v>2</v>
      </c>
      <c r="L2" s="13" t="s">
        <v>43</v>
      </c>
      <c r="M2" s="13">
        <v>94</v>
      </c>
      <c r="N2" s="13">
        <v>3</v>
      </c>
      <c r="O2" s="13">
        <v>2</v>
      </c>
      <c r="P2" s="13" t="s">
        <v>46</v>
      </c>
      <c r="Q2" s="13">
        <v>4</v>
      </c>
      <c r="R2" s="13" t="s">
        <v>48</v>
      </c>
      <c r="S2" s="20">
        <v>5993</v>
      </c>
      <c r="T2" s="13">
        <v>19479</v>
      </c>
      <c r="U2" s="13">
        <v>8</v>
      </c>
      <c r="V2" s="13" t="s">
        <v>52</v>
      </c>
      <c r="W2" s="13" t="s">
        <v>36</v>
      </c>
      <c r="X2" s="13">
        <v>11</v>
      </c>
      <c r="Y2" s="13">
        <v>3</v>
      </c>
      <c r="Z2" s="13">
        <v>1</v>
      </c>
      <c r="AA2" s="13">
        <v>80</v>
      </c>
      <c r="AB2" s="13">
        <v>0</v>
      </c>
      <c r="AC2" s="13">
        <v>8</v>
      </c>
      <c r="AD2" s="13">
        <v>0</v>
      </c>
      <c r="AE2" s="13">
        <v>1</v>
      </c>
      <c r="AF2" s="14">
        <v>6</v>
      </c>
      <c r="AG2" s="13">
        <v>4</v>
      </c>
      <c r="AH2" s="13">
        <v>0</v>
      </c>
      <c r="AI2" s="13">
        <v>5</v>
      </c>
      <c r="AJ2" s="13" t="str">
        <f t="shared" ref="AJ2:AJ65" si="0">IF(A2&lt;30,"Under 30", IF(A2&lt;40,"30-39", IF(A2&lt;50,"40-49", "50+")))</f>
        <v>40-49</v>
      </c>
      <c r="AK2" s="13" t="str">
        <f>IF(tblCleanData[[#This Row],[MonthlyIncome]]&lt;5000, "Low Income", IF(tblCleanData[[#This Row],[MonthlyIncome]]&lt;15000, "Medium Income", "High Income"))</f>
        <v>Medium Income</v>
      </c>
      <c r="AL2" s="13">
        <f>IF(tblCleanData[[#This Row],[Attrition]]="No", 0,1)</f>
        <v>1</v>
      </c>
      <c r="AM2" s="13">
        <f>IF(tblCleanData[[#This Row],[OverTime]] = "No", 0, 1)</f>
        <v>1</v>
      </c>
      <c r="AN2" s="13" t="str">
        <f>CHOOSE(tblCleanData[[#This Row],[Education]], "Below College","College","Bachelor","Master","Doctor")</f>
        <v>College</v>
      </c>
      <c r="AO2" s="13" t="str">
        <f>VLOOKUP(tblCleanData[[#This Row],[EmployeeNumber]],tblHelpers[],15,TRUE)</f>
        <v>Medium Risk</v>
      </c>
      <c r="AP2" s="13">
        <f>VLOOKUP(tblCleanData[[#This Row],[EmployeeNumber]],tblHelpers[],14,0)</f>
        <v>54</v>
      </c>
    </row>
    <row r="3" spans="1:42" x14ac:dyDescent="0.25">
      <c r="A3" s="13">
        <v>49</v>
      </c>
      <c r="B3" s="13" t="s">
        <v>59</v>
      </c>
      <c r="C3" s="13" t="s">
        <v>60</v>
      </c>
      <c r="D3" s="13">
        <v>279</v>
      </c>
      <c r="E3" s="13" t="s">
        <v>62</v>
      </c>
      <c r="F3" s="13">
        <v>8</v>
      </c>
      <c r="G3" s="13">
        <v>1</v>
      </c>
      <c r="H3" s="13" t="s">
        <v>42</v>
      </c>
      <c r="I3" s="13">
        <v>1</v>
      </c>
      <c r="J3" s="13">
        <v>2</v>
      </c>
      <c r="K3" s="13">
        <v>3</v>
      </c>
      <c r="L3" s="13" t="s">
        <v>63</v>
      </c>
      <c r="M3" s="13">
        <v>61</v>
      </c>
      <c r="N3" s="13">
        <v>2</v>
      </c>
      <c r="O3" s="13">
        <v>2</v>
      </c>
      <c r="P3" s="13" t="s">
        <v>65</v>
      </c>
      <c r="Q3" s="13">
        <v>2</v>
      </c>
      <c r="R3" s="13" t="s">
        <v>66</v>
      </c>
      <c r="S3" s="20">
        <v>5130</v>
      </c>
      <c r="T3" s="13">
        <v>24907</v>
      </c>
      <c r="U3" s="13">
        <v>1</v>
      </c>
      <c r="V3" s="13" t="s">
        <v>52</v>
      </c>
      <c r="W3" s="13" t="s">
        <v>59</v>
      </c>
      <c r="X3" s="13">
        <v>23</v>
      </c>
      <c r="Y3" s="13">
        <v>4</v>
      </c>
      <c r="Z3" s="13">
        <v>4</v>
      </c>
      <c r="AA3" s="13">
        <v>80</v>
      </c>
      <c r="AB3" s="13">
        <v>1</v>
      </c>
      <c r="AC3" s="13">
        <v>10</v>
      </c>
      <c r="AD3" s="13">
        <v>3</v>
      </c>
      <c r="AE3" s="13">
        <v>3</v>
      </c>
      <c r="AF3" s="14">
        <v>10</v>
      </c>
      <c r="AG3" s="13">
        <v>7</v>
      </c>
      <c r="AH3" s="13">
        <v>1</v>
      </c>
      <c r="AI3" s="13">
        <v>7</v>
      </c>
      <c r="AJ3" s="13" t="str">
        <f t="shared" si="0"/>
        <v>40-49</v>
      </c>
      <c r="AK3" s="13" t="str">
        <f>IF(tblCleanData[[#This Row],[MonthlyIncome]]&lt;5000, "Low Income", IF(tblCleanData[[#This Row],[MonthlyIncome]]&lt;15000, "Medium Income", "High Income"))</f>
        <v>Medium Income</v>
      </c>
      <c r="AL3" s="13">
        <f>IF(tblCleanData[[#This Row],[Attrition]]="No", 0,1)</f>
        <v>0</v>
      </c>
      <c r="AM3" s="13">
        <f>IF(tblCleanData[[#This Row],[OverTime]] = "No", 0, 1)</f>
        <v>0</v>
      </c>
      <c r="AN3" s="13" t="str">
        <f>CHOOSE(tblCleanData[[#This Row],[Education]], "Below College","College","Bachelor","Master","Doctor")</f>
        <v>Below College</v>
      </c>
      <c r="AO3" s="13" t="str">
        <f>VLOOKUP(tblCleanData[[#This Row],[EmployeeNumber]],tblHelpers[],15,TRUE)</f>
        <v>Medium Risk</v>
      </c>
      <c r="AP3" s="13">
        <f>VLOOKUP(tblCleanData[[#This Row],[EmployeeNumber]],tblHelpers[],14,0)</f>
        <v>42</v>
      </c>
    </row>
    <row r="4" spans="1:42" x14ac:dyDescent="0.25">
      <c r="A4" s="13">
        <v>37</v>
      </c>
      <c r="B4" s="13" t="s">
        <v>36</v>
      </c>
      <c r="C4" s="13" t="s">
        <v>37</v>
      </c>
      <c r="D4" s="13">
        <v>1373</v>
      </c>
      <c r="E4" s="13" t="s">
        <v>62</v>
      </c>
      <c r="F4" s="13">
        <v>2</v>
      </c>
      <c r="G4" s="13">
        <v>2</v>
      </c>
      <c r="H4" s="13" t="s">
        <v>74</v>
      </c>
      <c r="I4" s="13">
        <v>1</v>
      </c>
      <c r="J4" s="13">
        <v>4</v>
      </c>
      <c r="K4" s="13">
        <v>4</v>
      </c>
      <c r="L4" s="13" t="s">
        <v>63</v>
      </c>
      <c r="M4" s="13">
        <v>92</v>
      </c>
      <c r="N4" s="13">
        <v>2</v>
      </c>
      <c r="O4" s="13">
        <v>1</v>
      </c>
      <c r="P4" s="13" t="s">
        <v>76</v>
      </c>
      <c r="Q4" s="13">
        <v>3</v>
      </c>
      <c r="R4" s="13" t="s">
        <v>48</v>
      </c>
      <c r="S4" s="20">
        <v>2090</v>
      </c>
      <c r="T4" s="13">
        <v>2396</v>
      </c>
      <c r="U4" s="13">
        <v>6</v>
      </c>
      <c r="V4" s="13" t="s">
        <v>52</v>
      </c>
      <c r="W4" s="13" t="s">
        <v>36</v>
      </c>
      <c r="X4" s="13">
        <v>15</v>
      </c>
      <c r="Y4" s="13">
        <v>3</v>
      </c>
      <c r="Z4" s="13">
        <v>2</v>
      </c>
      <c r="AA4" s="13">
        <v>80</v>
      </c>
      <c r="AB4" s="13">
        <v>0</v>
      </c>
      <c r="AC4" s="13">
        <v>7</v>
      </c>
      <c r="AD4" s="13">
        <v>3</v>
      </c>
      <c r="AE4" s="13">
        <v>3</v>
      </c>
      <c r="AF4" s="14">
        <v>0</v>
      </c>
      <c r="AG4" s="13">
        <v>0</v>
      </c>
      <c r="AH4" s="13">
        <v>0</v>
      </c>
      <c r="AI4" s="13">
        <v>0</v>
      </c>
      <c r="AJ4" s="13" t="str">
        <f t="shared" si="0"/>
        <v>30-39</v>
      </c>
      <c r="AK4" s="13" t="str">
        <f>IF(tblCleanData[[#This Row],[MonthlyIncome]]&lt;5000, "Low Income", IF(tblCleanData[[#This Row],[MonthlyIncome]]&lt;15000, "Medium Income", "High Income"))</f>
        <v>Low Income</v>
      </c>
      <c r="AL4" s="13">
        <f>IF(tblCleanData[[#This Row],[Attrition]]="No", 0,1)</f>
        <v>1</v>
      </c>
      <c r="AM4" s="13">
        <f>IF(tblCleanData[[#This Row],[OverTime]] = "No", 0, 1)</f>
        <v>1</v>
      </c>
      <c r="AN4" s="13" t="str">
        <f>CHOOSE(tblCleanData[[#This Row],[Education]], "Below College","College","Bachelor","Master","Doctor")</f>
        <v>College</v>
      </c>
      <c r="AO4" s="13" t="str">
        <f>VLOOKUP(tblCleanData[[#This Row],[EmployeeNumber]],tblHelpers[],15,TRUE)</f>
        <v>High Risk</v>
      </c>
      <c r="AP4" s="13">
        <f>VLOOKUP(tblCleanData[[#This Row],[EmployeeNumber]],tblHelpers[],14,0)</f>
        <v>88</v>
      </c>
    </row>
    <row r="5" spans="1:42" x14ac:dyDescent="0.25">
      <c r="A5" s="13">
        <v>33</v>
      </c>
      <c r="B5" s="13" t="s">
        <v>59</v>
      </c>
      <c r="C5" s="13" t="s">
        <v>60</v>
      </c>
      <c r="D5" s="13">
        <v>1392</v>
      </c>
      <c r="E5" s="13" t="s">
        <v>62</v>
      </c>
      <c r="F5" s="13">
        <v>3</v>
      </c>
      <c r="G5" s="13">
        <v>4</v>
      </c>
      <c r="H5" s="13" t="s">
        <v>42</v>
      </c>
      <c r="I5" s="13">
        <v>1</v>
      </c>
      <c r="J5" s="13">
        <v>5</v>
      </c>
      <c r="K5" s="13">
        <v>4</v>
      </c>
      <c r="L5" s="13" t="s">
        <v>43</v>
      </c>
      <c r="M5" s="13">
        <v>56</v>
      </c>
      <c r="N5" s="13">
        <v>3</v>
      </c>
      <c r="O5" s="13">
        <v>1</v>
      </c>
      <c r="P5" s="13" t="s">
        <v>65</v>
      </c>
      <c r="Q5" s="13">
        <v>3</v>
      </c>
      <c r="R5" s="13" t="s">
        <v>66</v>
      </c>
      <c r="S5" s="20">
        <v>2909</v>
      </c>
      <c r="T5" s="13">
        <v>23159</v>
      </c>
      <c r="U5" s="13">
        <v>1</v>
      </c>
      <c r="V5" s="13" t="s">
        <v>52</v>
      </c>
      <c r="W5" s="13" t="s">
        <v>36</v>
      </c>
      <c r="X5" s="13">
        <v>11</v>
      </c>
      <c r="Y5" s="13">
        <v>3</v>
      </c>
      <c r="Z5" s="13">
        <v>3</v>
      </c>
      <c r="AA5" s="13">
        <v>80</v>
      </c>
      <c r="AB5" s="13">
        <v>0</v>
      </c>
      <c r="AC5" s="13">
        <v>8</v>
      </c>
      <c r="AD5" s="13">
        <v>3</v>
      </c>
      <c r="AE5" s="13">
        <v>3</v>
      </c>
      <c r="AF5" s="14">
        <v>8</v>
      </c>
      <c r="AG5" s="13">
        <v>7</v>
      </c>
      <c r="AH5" s="13">
        <v>3</v>
      </c>
      <c r="AI5" s="13">
        <v>0</v>
      </c>
      <c r="AJ5" s="13" t="str">
        <f t="shared" si="0"/>
        <v>30-39</v>
      </c>
      <c r="AK5" s="13" t="str">
        <f>IF(tblCleanData[[#This Row],[MonthlyIncome]]&lt;5000, "Low Income", IF(tblCleanData[[#This Row],[MonthlyIncome]]&lt;15000, "Medium Income", "High Income"))</f>
        <v>Low Income</v>
      </c>
      <c r="AL5" s="13">
        <f>IF(tblCleanData[[#This Row],[Attrition]]="No", 0,1)</f>
        <v>0</v>
      </c>
      <c r="AM5" s="13">
        <f>IF(tblCleanData[[#This Row],[OverTime]] = "No", 0, 1)</f>
        <v>1</v>
      </c>
      <c r="AN5" s="13" t="str">
        <f>CHOOSE(tblCleanData[[#This Row],[Education]], "Below College","College","Bachelor","Master","Doctor")</f>
        <v>Master</v>
      </c>
      <c r="AO5" s="13" t="str">
        <f>VLOOKUP(tblCleanData[[#This Row],[EmployeeNumber]],tblHelpers[],15,TRUE)</f>
        <v>High Risk</v>
      </c>
      <c r="AP5" s="13">
        <f>VLOOKUP(tblCleanData[[#This Row],[EmployeeNumber]],tblHelpers[],14,0)</f>
        <v>71</v>
      </c>
    </row>
    <row r="6" spans="1:42" x14ac:dyDescent="0.25">
      <c r="A6" s="13">
        <v>27</v>
      </c>
      <c r="B6" s="13" t="s">
        <v>59</v>
      </c>
      <c r="C6" s="13" t="s">
        <v>37</v>
      </c>
      <c r="D6" s="13">
        <v>591</v>
      </c>
      <c r="E6" s="13" t="s">
        <v>62</v>
      </c>
      <c r="F6" s="13">
        <v>2</v>
      </c>
      <c r="G6" s="13">
        <v>1</v>
      </c>
      <c r="H6" s="13" t="s">
        <v>87</v>
      </c>
      <c r="I6" s="13">
        <v>1</v>
      </c>
      <c r="J6" s="13">
        <v>7</v>
      </c>
      <c r="K6" s="13">
        <v>1</v>
      </c>
      <c r="L6" s="13" t="s">
        <v>63</v>
      </c>
      <c r="M6" s="13">
        <v>40</v>
      </c>
      <c r="N6" s="13">
        <v>3</v>
      </c>
      <c r="O6" s="13">
        <v>1</v>
      </c>
      <c r="P6" s="13" t="s">
        <v>76</v>
      </c>
      <c r="Q6" s="13">
        <v>2</v>
      </c>
      <c r="R6" s="13" t="s">
        <v>66</v>
      </c>
      <c r="S6" s="20">
        <v>3468</v>
      </c>
      <c r="T6" s="13">
        <v>16632</v>
      </c>
      <c r="U6" s="13">
        <v>9</v>
      </c>
      <c r="V6" s="13" t="s">
        <v>52</v>
      </c>
      <c r="W6" s="13" t="s">
        <v>59</v>
      </c>
      <c r="X6" s="13">
        <v>12</v>
      </c>
      <c r="Y6" s="13">
        <v>3</v>
      </c>
      <c r="Z6" s="13">
        <v>4</v>
      </c>
      <c r="AA6" s="13">
        <v>80</v>
      </c>
      <c r="AB6" s="13">
        <v>1</v>
      </c>
      <c r="AC6" s="13">
        <v>6</v>
      </c>
      <c r="AD6" s="13">
        <v>3</v>
      </c>
      <c r="AE6" s="13">
        <v>3</v>
      </c>
      <c r="AF6" s="14">
        <v>2</v>
      </c>
      <c r="AG6" s="13">
        <v>2</v>
      </c>
      <c r="AH6" s="13">
        <v>2</v>
      </c>
      <c r="AI6" s="13">
        <v>2</v>
      </c>
      <c r="AJ6" s="13" t="str">
        <f t="shared" si="0"/>
        <v>Under 30</v>
      </c>
      <c r="AK6" s="13" t="str">
        <f>IF(tblCleanData[[#This Row],[MonthlyIncome]]&lt;5000, "Low Income", IF(tblCleanData[[#This Row],[MonthlyIncome]]&lt;15000, "Medium Income", "High Income"))</f>
        <v>Low Income</v>
      </c>
      <c r="AL6" s="13">
        <f>IF(tblCleanData[[#This Row],[Attrition]]="No", 0,1)</f>
        <v>0</v>
      </c>
      <c r="AM6" s="13">
        <f>IF(tblCleanData[[#This Row],[OverTime]] = "No", 0, 1)</f>
        <v>0</v>
      </c>
      <c r="AN6" s="13" t="str">
        <f>CHOOSE(tblCleanData[[#This Row],[Education]], "Below College","College","Bachelor","Master","Doctor")</f>
        <v>Below College</v>
      </c>
      <c r="AO6" s="13" t="str">
        <f>VLOOKUP(tblCleanData[[#This Row],[EmployeeNumber]],tblHelpers[],15,TRUE)</f>
        <v>High Risk</v>
      </c>
      <c r="AP6" s="13">
        <f>VLOOKUP(tblCleanData[[#This Row],[EmployeeNumber]],tblHelpers[],14,0)</f>
        <v>79</v>
      </c>
    </row>
    <row r="7" spans="1:42" x14ac:dyDescent="0.25">
      <c r="A7" s="13">
        <v>32</v>
      </c>
      <c r="B7" s="13" t="s">
        <v>59</v>
      </c>
      <c r="C7" s="13" t="s">
        <v>60</v>
      </c>
      <c r="D7" s="13">
        <v>1005</v>
      </c>
      <c r="E7" s="13" t="s">
        <v>62</v>
      </c>
      <c r="F7" s="13">
        <v>2</v>
      </c>
      <c r="G7" s="13">
        <v>2</v>
      </c>
      <c r="H7" s="13" t="s">
        <v>42</v>
      </c>
      <c r="I7" s="13">
        <v>1</v>
      </c>
      <c r="J7" s="13">
        <v>8</v>
      </c>
      <c r="K7" s="13">
        <v>4</v>
      </c>
      <c r="L7" s="13" t="s">
        <v>63</v>
      </c>
      <c r="M7" s="13">
        <v>79</v>
      </c>
      <c r="N7" s="13">
        <v>3</v>
      </c>
      <c r="O7" s="13">
        <v>1</v>
      </c>
      <c r="P7" s="13" t="s">
        <v>76</v>
      </c>
      <c r="Q7" s="13">
        <v>4</v>
      </c>
      <c r="R7" s="13" t="s">
        <v>48</v>
      </c>
      <c r="S7" s="20">
        <v>3068</v>
      </c>
      <c r="T7" s="13">
        <v>11864</v>
      </c>
      <c r="U7" s="13">
        <v>0</v>
      </c>
      <c r="V7" s="13" t="s">
        <v>52</v>
      </c>
      <c r="W7" s="13" t="s">
        <v>59</v>
      </c>
      <c r="X7" s="13">
        <v>13</v>
      </c>
      <c r="Y7" s="13">
        <v>3</v>
      </c>
      <c r="Z7" s="13">
        <v>3</v>
      </c>
      <c r="AA7" s="13">
        <v>80</v>
      </c>
      <c r="AB7" s="13">
        <v>0</v>
      </c>
      <c r="AC7" s="13">
        <v>8</v>
      </c>
      <c r="AD7" s="13">
        <v>2</v>
      </c>
      <c r="AE7" s="13">
        <v>2</v>
      </c>
      <c r="AF7" s="14">
        <v>7</v>
      </c>
      <c r="AG7" s="13">
        <v>7</v>
      </c>
      <c r="AH7" s="13">
        <v>3</v>
      </c>
      <c r="AI7" s="13">
        <v>6</v>
      </c>
      <c r="AJ7" s="13" t="str">
        <f t="shared" si="0"/>
        <v>30-39</v>
      </c>
      <c r="AK7" s="13" t="str">
        <f>IF(tblCleanData[[#This Row],[MonthlyIncome]]&lt;5000, "Low Income", IF(tblCleanData[[#This Row],[MonthlyIncome]]&lt;15000, "Medium Income", "High Income"))</f>
        <v>Low Income</v>
      </c>
      <c r="AL7" s="13">
        <f>IF(tblCleanData[[#This Row],[Attrition]]="No", 0,1)</f>
        <v>0</v>
      </c>
      <c r="AM7" s="13">
        <f>IF(tblCleanData[[#This Row],[OverTime]] = "No", 0, 1)</f>
        <v>0</v>
      </c>
      <c r="AN7" s="13" t="str">
        <f>CHOOSE(tblCleanData[[#This Row],[Education]], "Below College","College","Bachelor","Master","Doctor")</f>
        <v>College</v>
      </c>
      <c r="AO7" s="13" t="str">
        <f>VLOOKUP(tblCleanData[[#This Row],[EmployeeNumber]],tblHelpers[],15,TRUE)</f>
        <v>Medium Risk</v>
      </c>
      <c r="AP7" s="13">
        <f>VLOOKUP(tblCleanData[[#This Row],[EmployeeNumber]],tblHelpers[],14,0)</f>
        <v>39</v>
      </c>
    </row>
    <row r="8" spans="1:42" x14ac:dyDescent="0.25">
      <c r="A8" s="13">
        <v>59</v>
      </c>
      <c r="B8" s="13" t="s">
        <v>59</v>
      </c>
      <c r="C8" s="13" t="s">
        <v>37</v>
      </c>
      <c r="D8" s="13">
        <v>1324</v>
      </c>
      <c r="E8" s="13" t="s">
        <v>62</v>
      </c>
      <c r="F8" s="13">
        <v>3</v>
      </c>
      <c r="G8" s="13">
        <v>3</v>
      </c>
      <c r="H8" s="13" t="s">
        <v>87</v>
      </c>
      <c r="I8" s="13">
        <v>1</v>
      </c>
      <c r="J8" s="13">
        <v>10</v>
      </c>
      <c r="K8" s="13">
        <v>3</v>
      </c>
      <c r="L8" s="13" t="s">
        <v>43</v>
      </c>
      <c r="M8" s="13">
        <v>81</v>
      </c>
      <c r="N8" s="13">
        <v>4</v>
      </c>
      <c r="O8" s="13">
        <v>1</v>
      </c>
      <c r="P8" s="13" t="s">
        <v>76</v>
      </c>
      <c r="Q8" s="13">
        <v>1</v>
      </c>
      <c r="R8" s="13" t="s">
        <v>66</v>
      </c>
      <c r="S8" s="20">
        <v>2670</v>
      </c>
      <c r="T8" s="13">
        <v>9964</v>
      </c>
      <c r="U8" s="13">
        <v>4</v>
      </c>
      <c r="V8" s="13" t="s">
        <v>52</v>
      </c>
      <c r="W8" s="13" t="s">
        <v>36</v>
      </c>
      <c r="X8" s="13">
        <v>20</v>
      </c>
      <c r="Y8" s="13">
        <v>4</v>
      </c>
      <c r="Z8" s="13">
        <v>1</v>
      </c>
      <c r="AA8" s="13">
        <v>80</v>
      </c>
      <c r="AB8" s="13">
        <v>3</v>
      </c>
      <c r="AC8" s="13">
        <v>12</v>
      </c>
      <c r="AD8" s="13">
        <v>3</v>
      </c>
      <c r="AE8" s="13">
        <v>2</v>
      </c>
      <c r="AF8" s="14">
        <v>1</v>
      </c>
      <c r="AG8" s="13">
        <v>0</v>
      </c>
      <c r="AH8" s="13">
        <v>0</v>
      </c>
      <c r="AI8" s="13">
        <v>0</v>
      </c>
      <c r="AJ8" s="13" t="str">
        <f t="shared" si="0"/>
        <v>50+</v>
      </c>
      <c r="AK8" s="13" t="str">
        <f>IF(tblCleanData[[#This Row],[MonthlyIncome]]&lt;5000, "Low Income", IF(tblCleanData[[#This Row],[MonthlyIncome]]&lt;15000, "Medium Income", "High Income"))</f>
        <v>Low Income</v>
      </c>
      <c r="AL8" s="13">
        <f>IF(tblCleanData[[#This Row],[Attrition]]="No", 0,1)</f>
        <v>0</v>
      </c>
      <c r="AM8" s="13">
        <f>IF(tblCleanData[[#This Row],[OverTime]] = "No", 0, 1)</f>
        <v>1</v>
      </c>
      <c r="AN8" s="13" t="str">
        <f>CHOOSE(tblCleanData[[#This Row],[Education]], "Below College","College","Bachelor","Master","Doctor")</f>
        <v>Bachelor</v>
      </c>
      <c r="AO8" s="13" t="str">
        <f>VLOOKUP(tblCleanData[[#This Row],[EmployeeNumber]],tblHelpers[],15,TRUE)</f>
        <v>High Risk</v>
      </c>
      <c r="AP8" s="13">
        <f>VLOOKUP(tblCleanData[[#This Row],[EmployeeNumber]],tblHelpers[],14,0)</f>
        <v>95</v>
      </c>
    </row>
    <row r="9" spans="1:42" x14ac:dyDescent="0.25">
      <c r="A9" s="13">
        <v>30</v>
      </c>
      <c r="B9" s="13" t="s">
        <v>59</v>
      </c>
      <c r="C9" s="13" t="s">
        <v>37</v>
      </c>
      <c r="D9" s="13">
        <v>1358</v>
      </c>
      <c r="E9" s="13" t="s">
        <v>62</v>
      </c>
      <c r="F9" s="13">
        <v>24</v>
      </c>
      <c r="G9" s="13">
        <v>1</v>
      </c>
      <c r="H9" s="13" t="s">
        <v>42</v>
      </c>
      <c r="I9" s="13">
        <v>1</v>
      </c>
      <c r="J9" s="13">
        <v>11</v>
      </c>
      <c r="K9" s="13">
        <v>4</v>
      </c>
      <c r="L9" s="13" t="s">
        <v>63</v>
      </c>
      <c r="M9" s="13">
        <v>67</v>
      </c>
      <c r="N9" s="13">
        <v>3</v>
      </c>
      <c r="O9" s="13">
        <v>1</v>
      </c>
      <c r="P9" s="13" t="s">
        <v>76</v>
      </c>
      <c r="Q9" s="13">
        <v>3</v>
      </c>
      <c r="R9" s="13" t="s">
        <v>109</v>
      </c>
      <c r="S9" s="20">
        <v>2693</v>
      </c>
      <c r="T9" s="13">
        <v>13335</v>
      </c>
      <c r="U9" s="13">
        <v>1</v>
      </c>
      <c r="V9" s="13" t="s">
        <v>52</v>
      </c>
      <c r="W9" s="13" t="s">
        <v>59</v>
      </c>
      <c r="X9" s="13">
        <v>22</v>
      </c>
      <c r="Y9" s="13">
        <v>4</v>
      </c>
      <c r="Z9" s="13">
        <v>2</v>
      </c>
      <c r="AA9" s="13">
        <v>80</v>
      </c>
      <c r="AB9" s="13">
        <v>1</v>
      </c>
      <c r="AC9" s="13">
        <v>1</v>
      </c>
      <c r="AD9" s="13">
        <v>2</v>
      </c>
      <c r="AE9" s="13">
        <v>3</v>
      </c>
      <c r="AF9" s="14">
        <v>1</v>
      </c>
      <c r="AG9" s="13">
        <v>0</v>
      </c>
      <c r="AH9" s="13">
        <v>0</v>
      </c>
      <c r="AI9" s="13">
        <v>0</v>
      </c>
      <c r="AJ9" s="13" t="str">
        <f t="shared" si="0"/>
        <v>30-39</v>
      </c>
      <c r="AK9" s="13" t="str">
        <f>IF(tblCleanData[[#This Row],[MonthlyIncome]]&lt;5000, "Low Income", IF(tblCleanData[[#This Row],[MonthlyIncome]]&lt;15000, "Medium Income", "High Income"))</f>
        <v>Low Income</v>
      </c>
      <c r="AL9" s="13">
        <f>IF(tblCleanData[[#This Row],[Attrition]]="No", 0,1)</f>
        <v>0</v>
      </c>
      <c r="AM9" s="13">
        <f>IF(tblCleanData[[#This Row],[OverTime]] = "No", 0, 1)</f>
        <v>0</v>
      </c>
      <c r="AN9" s="13" t="str">
        <f>CHOOSE(tblCleanData[[#This Row],[Education]], "Below College","College","Bachelor","Master","Doctor")</f>
        <v>Below College</v>
      </c>
      <c r="AO9" s="13" t="str">
        <f>VLOOKUP(tblCleanData[[#This Row],[EmployeeNumber]],tblHelpers[],15,TRUE)</f>
        <v>High Risk</v>
      </c>
      <c r="AP9" s="13">
        <f>VLOOKUP(tblCleanData[[#This Row],[EmployeeNumber]],tblHelpers[],14,0)</f>
        <v>63</v>
      </c>
    </row>
    <row r="10" spans="1:42" x14ac:dyDescent="0.25">
      <c r="A10" s="13">
        <v>38</v>
      </c>
      <c r="B10" s="13" t="s">
        <v>59</v>
      </c>
      <c r="C10" s="13" t="s">
        <v>60</v>
      </c>
      <c r="D10" s="13">
        <v>216</v>
      </c>
      <c r="E10" s="13" t="s">
        <v>62</v>
      </c>
      <c r="F10" s="13">
        <v>23</v>
      </c>
      <c r="G10" s="13">
        <v>3</v>
      </c>
      <c r="H10" s="13" t="s">
        <v>42</v>
      </c>
      <c r="I10" s="13">
        <v>1</v>
      </c>
      <c r="J10" s="13">
        <v>12</v>
      </c>
      <c r="K10" s="13">
        <v>4</v>
      </c>
      <c r="L10" s="13" t="s">
        <v>63</v>
      </c>
      <c r="M10" s="13">
        <v>44</v>
      </c>
      <c r="N10" s="13">
        <v>2</v>
      </c>
      <c r="O10" s="13">
        <v>3</v>
      </c>
      <c r="P10" s="13" t="s">
        <v>116</v>
      </c>
      <c r="Q10" s="13">
        <v>3</v>
      </c>
      <c r="R10" s="13" t="s">
        <v>48</v>
      </c>
      <c r="S10" s="20">
        <v>9526</v>
      </c>
      <c r="T10" s="13">
        <v>8787</v>
      </c>
      <c r="U10" s="13">
        <v>0</v>
      </c>
      <c r="V10" s="13" t="s">
        <v>52</v>
      </c>
      <c r="W10" s="13" t="s">
        <v>59</v>
      </c>
      <c r="X10" s="13">
        <v>21</v>
      </c>
      <c r="Y10" s="13">
        <v>4</v>
      </c>
      <c r="Z10" s="13">
        <v>2</v>
      </c>
      <c r="AA10" s="13">
        <v>80</v>
      </c>
      <c r="AB10" s="13">
        <v>0</v>
      </c>
      <c r="AC10" s="13">
        <v>10</v>
      </c>
      <c r="AD10" s="13">
        <v>2</v>
      </c>
      <c r="AE10" s="13">
        <v>3</v>
      </c>
      <c r="AF10" s="14">
        <v>9</v>
      </c>
      <c r="AG10" s="13">
        <v>7</v>
      </c>
      <c r="AH10" s="13">
        <v>1</v>
      </c>
      <c r="AI10" s="13">
        <v>8</v>
      </c>
      <c r="AJ10" s="13" t="str">
        <f t="shared" si="0"/>
        <v>30-39</v>
      </c>
      <c r="AK10" s="13" t="str">
        <f>IF(tblCleanData[[#This Row],[MonthlyIncome]]&lt;5000, "Low Income", IF(tblCleanData[[#This Row],[MonthlyIncome]]&lt;15000, "Medium Income", "High Income"))</f>
        <v>Medium Income</v>
      </c>
      <c r="AL10" s="13">
        <f>IF(tblCleanData[[#This Row],[Attrition]]="No", 0,1)</f>
        <v>0</v>
      </c>
      <c r="AM10" s="13">
        <f>IF(tblCleanData[[#This Row],[OverTime]] = "No", 0, 1)</f>
        <v>0</v>
      </c>
      <c r="AN10" s="13" t="str">
        <f>CHOOSE(tblCleanData[[#This Row],[Education]], "Below College","College","Bachelor","Master","Doctor")</f>
        <v>Bachelor</v>
      </c>
      <c r="AO10" s="13" t="str">
        <f>VLOOKUP(tblCleanData[[#This Row],[EmployeeNumber]],tblHelpers[],15,TRUE)</f>
        <v>Medium Risk</v>
      </c>
      <c r="AP10" s="13">
        <f>VLOOKUP(tblCleanData[[#This Row],[EmployeeNumber]],tblHelpers[],14,0)</f>
        <v>46</v>
      </c>
    </row>
    <row r="11" spans="1:42" x14ac:dyDescent="0.25">
      <c r="A11" s="13">
        <v>36</v>
      </c>
      <c r="B11" s="13" t="s">
        <v>59</v>
      </c>
      <c r="C11" s="13" t="s">
        <v>37</v>
      </c>
      <c r="D11" s="13">
        <v>1299</v>
      </c>
      <c r="E11" s="13" t="s">
        <v>62</v>
      </c>
      <c r="F11" s="13">
        <v>27</v>
      </c>
      <c r="G11" s="13">
        <v>3</v>
      </c>
      <c r="H11" s="13" t="s">
        <v>87</v>
      </c>
      <c r="I11" s="13">
        <v>1</v>
      </c>
      <c r="J11" s="13">
        <v>13</v>
      </c>
      <c r="K11" s="13">
        <v>3</v>
      </c>
      <c r="L11" s="13" t="s">
        <v>63</v>
      </c>
      <c r="M11" s="13">
        <v>94</v>
      </c>
      <c r="N11" s="13">
        <v>3</v>
      </c>
      <c r="O11" s="13">
        <v>2</v>
      </c>
      <c r="P11" s="13" t="s">
        <v>122</v>
      </c>
      <c r="Q11" s="13">
        <v>3</v>
      </c>
      <c r="R11" s="13" t="s">
        <v>66</v>
      </c>
      <c r="S11" s="20">
        <v>5237</v>
      </c>
      <c r="T11" s="13">
        <v>16577</v>
      </c>
      <c r="U11" s="13">
        <v>6</v>
      </c>
      <c r="V11" s="13" t="s">
        <v>52</v>
      </c>
      <c r="W11" s="13" t="s">
        <v>59</v>
      </c>
      <c r="X11" s="13">
        <v>13</v>
      </c>
      <c r="Y11" s="13">
        <v>3</v>
      </c>
      <c r="Z11" s="13">
        <v>2</v>
      </c>
      <c r="AA11" s="13">
        <v>80</v>
      </c>
      <c r="AB11" s="13">
        <v>2</v>
      </c>
      <c r="AC11" s="13">
        <v>17</v>
      </c>
      <c r="AD11" s="13">
        <v>3</v>
      </c>
      <c r="AE11" s="13">
        <v>2</v>
      </c>
      <c r="AF11" s="14">
        <v>7</v>
      </c>
      <c r="AG11" s="13">
        <v>7</v>
      </c>
      <c r="AH11" s="13">
        <v>7</v>
      </c>
      <c r="AI11" s="13">
        <v>7</v>
      </c>
      <c r="AJ11" s="13" t="str">
        <f t="shared" si="0"/>
        <v>30-39</v>
      </c>
      <c r="AK11" s="13" t="str">
        <f>IF(tblCleanData[[#This Row],[MonthlyIncome]]&lt;5000, "Low Income", IF(tblCleanData[[#This Row],[MonthlyIncome]]&lt;15000, "Medium Income", "High Income"))</f>
        <v>Medium Income</v>
      </c>
      <c r="AL11" s="13">
        <f>IF(tblCleanData[[#This Row],[Attrition]]="No", 0,1)</f>
        <v>0</v>
      </c>
      <c r="AM11" s="13">
        <f>IF(tblCleanData[[#This Row],[OverTime]] = "No", 0, 1)</f>
        <v>0</v>
      </c>
      <c r="AN11" s="13" t="str">
        <f>CHOOSE(tblCleanData[[#This Row],[Education]], "Below College","College","Bachelor","Master","Doctor")</f>
        <v>Bachelor</v>
      </c>
      <c r="AO11" s="13" t="str">
        <f>VLOOKUP(tblCleanData[[#This Row],[EmployeeNumber]],tblHelpers[],15,TRUE)</f>
        <v>Medium Risk</v>
      </c>
      <c r="AP11" s="13">
        <f>VLOOKUP(tblCleanData[[#This Row],[EmployeeNumber]],tblHelpers[],14,0)</f>
        <v>46</v>
      </c>
    </row>
    <row r="12" spans="1:42" x14ac:dyDescent="0.25">
      <c r="A12" s="13">
        <v>35</v>
      </c>
      <c r="B12" s="13" t="s">
        <v>59</v>
      </c>
      <c r="C12" s="13" t="s">
        <v>37</v>
      </c>
      <c r="D12" s="13">
        <v>809</v>
      </c>
      <c r="E12" s="13" t="s">
        <v>62</v>
      </c>
      <c r="F12" s="13">
        <v>16</v>
      </c>
      <c r="G12" s="13">
        <v>3</v>
      </c>
      <c r="H12" s="13" t="s">
        <v>87</v>
      </c>
      <c r="I12" s="13">
        <v>1</v>
      </c>
      <c r="J12" s="13">
        <v>14</v>
      </c>
      <c r="K12" s="13">
        <v>1</v>
      </c>
      <c r="L12" s="13" t="s">
        <v>63</v>
      </c>
      <c r="M12" s="13">
        <v>84</v>
      </c>
      <c r="N12" s="13">
        <v>4</v>
      </c>
      <c r="O12" s="13">
        <v>1</v>
      </c>
      <c r="P12" s="13" t="s">
        <v>76</v>
      </c>
      <c r="Q12" s="13">
        <v>2</v>
      </c>
      <c r="R12" s="13" t="s">
        <v>66</v>
      </c>
      <c r="S12" s="20">
        <v>2426</v>
      </c>
      <c r="T12" s="13">
        <v>16479</v>
      </c>
      <c r="U12" s="13">
        <v>0</v>
      </c>
      <c r="V12" s="13" t="s">
        <v>52</v>
      </c>
      <c r="W12" s="13" t="s">
        <v>59</v>
      </c>
      <c r="X12" s="13">
        <v>13</v>
      </c>
      <c r="Y12" s="13">
        <v>3</v>
      </c>
      <c r="Z12" s="13">
        <v>3</v>
      </c>
      <c r="AA12" s="13">
        <v>80</v>
      </c>
      <c r="AB12" s="13">
        <v>1</v>
      </c>
      <c r="AC12" s="13">
        <v>6</v>
      </c>
      <c r="AD12" s="13">
        <v>5</v>
      </c>
      <c r="AE12" s="13">
        <v>3</v>
      </c>
      <c r="AF12" s="14">
        <v>5</v>
      </c>
      <c r="AG12" s="13">
        <v>4</v>
      </c>
      <c r="AH12" s="13">
        <v>0</v>
      </c>
      <c r="AI12" s="13">
        <v>3</v>
      </c>
      <c r="AJ12" s="13" t="str">
        <f t="shared" si="0"/>
        <v>30-39</v>
      </c>
      <c r="AK12" s="13" t="str">
        <f>IF(tblCleanData[[#This Row],[MonthlyIncome]]&lt;5000, "Low Income", IF(tblCleanData[[#This Row],[MonthlyIncome]]&lt;15000, "Medium Income", "High Income"))</f>
        <v>Low Income</v>
      </c>
      <c r="AL12" s="13">
        <f>IF(tblCleanData[[#This Row],[Attrition]]="No", 0,1)</f>
        <v>0</v>
      </c>
      <c r="AM12" s="13">
        <f>IF(tblCleanData[[#This Row],[OverTime]] = "No", 0, 1)</f>
        <v>0</v>
      </c>
      <c r="AN12" s="13" t="str">
        <f>CHOOSE(tblCleanData[[#This Row],[Education]], "Below College","College","Bachelor","Master","Doctor")</f>
        <v>Bachelor</v>
      </c>
      <c r="AO12" s="13" t="str">
        <f>VLOOKUP(tblCleanData[[#This Row],[EmployeeNumber]],tblHelpers[],15,TRUE)</f>
        <v>High Risk</v>
      </c>
      <c r="AP12" s="13">
        <f>VLOOKUP(tblCleanData[[#This Row],[EmployeeNumber]],tblHelpers[],14,0)</f>
        <v>59</v>
      </c>
    </row>
    <row r="13" spans="1:42" x14ac:dyDescent="0.25">
      <c r="A13" s="13">
        <v>29</v>
      </c>
      <c r="B13" s="13" t="s">
        <v>59</v>
      </c>
      <c r="C13" s="13" t="s">
        <v>37</v>
      </c>
      <c r="D13" s="13">
        <v>153</v>
      </c>
      <c r="E13" s="13" t="s">
        <v>62</v>
      </c>
      <c r="F13" s="13">
        <v>15</v>
      </c>
      <c r="G13" s="13">
        <v>2</v>
      </c>
      <c r="H13" s="13" t="s">
        <v>42</v>
      </c>
      <c r="I13" s="13">
        <v>1</v>
      </c>
      <c r="J13" s="13">
        <v>15</v>
      </c>
      <c r="K13" s="13">
        <v>4</v>
      </c>
      <c r="L13" s="13" t="s">
        <v>43</v>
      </c>
      <c r="M13" s="13">
        <v>49</v>
      </c>
      <c r="N13" s="13">
        <v>2</v>
      </c>
      <c r="O13" s="13">
        <v>2</v>
      </c>
      <c r="P13" s="13" t="s">
        <v>76</v>
      </c>
      <c r="Q13" s="13">
        <v>3</v>
      </c>
      <c r="R13" s="13" t="s">
        <v>48</v>
      </c>
      <c r="S13" s="20">
        <v>4193</v>
      </c>
      <c r="T13" s="13">
        <v>12682</v>
      </c>
      <c r="U13" s="13">
        <v>0</v>
      </c>
      <c r="V13" s="13" t="s">
        <v>52</v>
      </c>
      <c r="W13" s="13" t="s">
        <v>36</v>
      </c>
      <c r="X13" s="13">
        <v>12</v>
      </c>
      <c r="Y13" s="13">
        <v>3</v>
      </c>
      <c r="Z13" s="13">
        <v>4</v>
      </c>
      <c r="AA13" s="13">
        <v>80</v>
      </c>
      <c r="AB13" s="13">
        <v>0</v>
      </c>
      <c r="AC13" s="13">
        <v>10</v>
      </c>
      <c r="AD13" s="13">
        <v>3</v>
      </c>
      <c r="AE13" s="13">
        <v>3</v>
      </c>
      <c r="AF13" s="14">
        <v>9</v>
      </c>
      <c r="AG13" s="13">
        <v>5</v>
      </c>
      <c r="AH13" s="13">
        <v>0</v>
      </c>
      <c r="AI13" s="13">
        <v>8</v>
      </c>
      <c r="AJ13" s="13" t="str">
        <f t="shared" si="0"/>
        <v>Under 30</v>
      </c>
      <c r="AK13" s="13" t="str">
        <f>IF(tblCleanData[[#This Row],[MonthlyIncome]]&lt;5000, "Low Income", IF(tblCleanData[[#This Row],[MonthlyIncome]]&lt;15000, "Medium Income", "High Income"))</f>
        <v>Low Income</v>
      </c>
      <c r="AL13" s="13">
        <f>IF(tblCleanData[[#This Row],[Attrition]]="No", 0,1)</f>
        <v>0</v>
      </c>
      <c r="AM13" s="13">
        <f>IF(tblCleanData[[#This Row],[OverTime]] = "No", 0, 1)</f>
        <v>1</v>
      </c>
      <c r="AN13" s="13" t="str">
        <f>CHOOSE(tblCleanData[[#This Row],[Education]], "Below College","College","Bachelor","Master","Doctor")</f>
        <v>College</v>
      </c>
      <c r="AO13" s="13" t="str">
        <f>VLOOKUP(tblCleanData[[#This Row],[EmployeeNumber]],tblHelpers[],15,TRUE)</f>
        <v>High Risk</v>
      </c>
      <c r="AP13" s="13">
        <f>VLOOKUP(tblCleanData[[#This Row],[EmployeeNumber]],tblHelpers[],14,0)</f>
        <v>81</v>
      </c>
    </row>
    <row r="14" spans="1:42" x14ac:dyDescent="0.25">
      <c r="A14" s="13">
        <v>31</v>
      </c>
      <c r="B14" s="13" t="s">
        <v>59</v>
      </c>
      <c r="C14" s="13" t="s">
        <v>37</v>
      </c>
      <c r="D14" s="13">
        <v>670</v>
      </c>
      <c r="E14" s="13" t="s">
        <v>62</v>
      </c>
      <c r="F14" s="13">
        <v>26</v>
      </c>
      <c r="G14" s="13">
        <v>1</v>
      </c>
      <c r="H14" s="13" t="s">
        <v>42</v>
      </c>
      <c r="I14" s="13">
        <v>1</v>
      </c>
      <c r="J14" s="13">
        <v>16</v>
      </c>
      <c r="K14" s="13">
        <v>1</v>
      </c>
      <c r="L14" s="13" t="s">
        <v>63</v>
      </c>
      <c r="M14" s="13">
        <v>31</v>
      </c>
      <c r="N14" s="13">
        <v>3</v>
      </c>
      <c r="O14" s="13">
        <v>1</v>
      </c>
      <c r="P14" s="13" t="s">
        <v>65</v>
      </c>
      <c r="Q14" s="13">
        <v>3</v>
      </c>
      <c r="R14" s="13" t="s">
        <v>109</v>
      </c>
      <c r="S14" s="20">
        <v>2911</v>
      </c>
      <c r="T14" s="13">
        <v>15170</v>
      </c>
      <c r="U14" s="13">
        <v>1</v>
      </c>
      <c r="V14" s="13" t="s">
        <v>52</v>
      </c>
      <c r="W14" s="13" t="s">
        <v>59</v>
      </c>
      <c r="X14" s="13">
        <v>17</v>
      </c>
      <c r="Y14" s="13">
        <v>3</v>
      </c>
      <c r="Z14" s="13">
        <v>4</v>
      </c>
      <c r="AA14" s="13">
        <v>80</v>
      </c>
      <c r="AB14" s="13">
        <v>1</v>
      </c>
      <c r="AC14" s="13">
        <v>5</v>
      </c>
      <c r="AD14" s="13">
        <v>1</v>
      </c>
      <c r="AE14" s="13">
        <v>2</v>
      </c>
      <c r="AF14" s="14">
        <v>5</v>
      </c>
      <c r="AG14" s="13">
        <v>2</v>
      </c>
      <c r="AH14" s="13">
        <v>4</v>
      </c>
      <c r="AI14" s="13">
        <v>3</v>
      </c>
      <c r="AJ14" s="13" t="str">
        <f t="shared" si="0"/>
        <v>30-39</v>
      </c>
      <c r="AK14" s="13" t="str">
        <f>IF(tblCleanData[[#This Row],[MonthlyIncome]]&lt;5000, "Low Income", IF(tblCleanData[[#This Row],[MonthlyIncome]]&lt;15000, "Medium Income", "High Income"))</f>
        <v>Low Income</v>
      </c>
      <c r="AL14" s="13">
        <f>IF(tblCleanData[[#This Row],[Attrition]]="No", 0,1)</f>
        <v>0</v>
      </c>
      <c r="AM14" s="13">
        <f>IF(tblCleanData[[#This Row],[OverTime]] = "No", 0, 1)</f>
        <v>0</v>
      </c>
      <c r="AN14" s="13" t="str">
        <f>CHOOSE(tblCleanData[[#This Row],[Education]], "Below College","College","Bachelor","Master","Doctor")</f>
        <v>Below College</v>
      </c>
      <c r="AO14" s="13" t="str">
        <f>VLOOKUP(tblCleanData[[#This Row],[EmployeeNumber]],tblHelpers[],15,TRUE)</f>
        <v>Medium Risk</v>
      </c>
      <c r="AP14" s="13">
        <f>VLOOKUP(tblCleanData[[#This Row],[EmployeeNumber]],tblHelpers[],14,0)</f>
        <v>53</v>
      </c>
    </row>
    <row r="15" spans="1:42" x14ac:dyDescent="0.25">
      <c r="A15" s="13">
        <v>34</v>
      </c>
      <c r="B15" s="13" t="s">
        <v>59</v>
      </c>
      <c r="C15" s="13" t="s">
        <v>37</v>
      </c>
      <c r="D15" s="13">
        <v>1346</v>
      </c>
      <c r="E15" s="13" t="s">
        <v>62</v>
      </c>
      <c r="F15" s="13">
        <v>19</v>
      </c>
      <c r="G15" s="13">
        <v>2</v>
      </c>
      <c r="H15" s="13" t="s">
        <v>87</v>
      </c>
      <c r="I15" s="13">
        <v>1</v>
      </c>
      <c r="J15" s="13">
        <v>18</v>
      </c>
      <c r="K15" s="13">
        <v>2</v>
      </c>
      <c r="L15" s="13" t="s">
        <v>63</v>
      </c>
      <c r="M15" s="13">
        <v>93</v>
      </c>
      <c r="N15" s="13">
        <v>3</v>
      </c>
      <c r="O15" s="13">
        <v>1</v>
      </c>
      <c r="P15" s="13" t="s">
        <v>76</v>
      </c>
      <c r="Q15" s="13">
        <v>4</v>
      </c>
      <c r="R15" s="13" t="s">
        <v>109</v>
      </c>
      <c r="S15" s="20">
        <v>2661</v>
      </c>
      <c r="T15" s="13">
        <v>8758</v>
      </c>
      <c r="U15" s="13">
        <v>0</v>
      </c>
      <c r="V15" s="13" t="s">
        <v>52</v>
      </c>
      <c r="W15" s="13" t="s">
        <v>59</v>
      </c>
      <c r="X15" s="13">
        <v>11</v>
      </c>
      <c r="Y15" s="13">
        <v>3</v>
      </c>
      <c r="Z15" s="13">
        <v>3</v>
      </c>
      <c r="AA15" s="13">
        <v>80</v>
      </c>
      <c r="AB15" s="13">
        <v>1</v>
      </c>
      <c r="AC15" s="13">
        <v>3</v>
      </c>
      <c r="AD15" s="13">
        <v>2</v>
      </c>
      <c r="AE15" s="13">
        <v>3</v>
      </c>
      <c r="AF15" s="14">
        <v>2</v>
      </c>
      <c r="AG15" s="13">
        <v>2</v>
      </c>
      <c r="AH15" s="13">
        <v>1</v>
      </c>
      <c r="AI15" s="13">
        <v>2</v>
      </c>
      <c r="AJ15" s="13" t="str">
        <f t="shared" si="0"/>
        <v>30-39</v>
      </c>
      <c r="AK15" s="13" t="str">
        <f>IF(tblCleanData[[#This Row],[MonthlyIncome]]&lt;5000, "Low Income", IF(tblCleanData[[#This Row],[MonthlyIncome]]&lt;15000, "Medium Income", "High Income"))</f>
        <v>Low Income</v>
      </c>
      <c r="AL15" s="13">
        <f>IF(tblCleanData[[#This Row],[Attrition]]="No", 0,1)</f>
        <v>0</v>
      </c>
      <c r="AM15" s="13">
        <f>IF(tblCleanData[[#This Row],[OverTime]] = "No", 0, 1)</f>
        <v>0</v>
      </c>
      <c r="AN15" s="13" t="str">
        <f>CHOOSE(tblCleanData[[#This Row],[Education]], "Below College","College","Bachelor","Master","Doctor")</f>
        <v>College</v>
      </c>
      <c r="AO15" s="13" t="str">
        <f>VLOOKUP(tblCleanData[[#This Row],[EmployeeNumber]],tblHelpers[],15,TRUE)</f>
        <v>High Risk</v>
      </c>
      <c r="AP15" s="13">
        <f>VLOOKUP(tblCleanData[[#This Row],[EmployeeNumber]],tblHelpers[],14,0)</f>
        <v>56</v>
      </c>
    </row>
    <row r="16" spans="1:42" x14ac:dyDescent="0.25">
      <c r="A16" s="13">
        <v>28</v>
      </c>
      <c r="B16" s="13" t="s">
        <v>36</v>
      </c>
      <c r="C16" s="13" t="s">
        <v>37</v>
      </c>
      <c r="D16" s="13">
        <v>103</v>
      </c>
      <c r="E16" s="13" t="s">
        <v>62</v>
      </c>
      <c r="F16" s="13">
        <v>24</v>
      </c>
      <c r="G16" s="13">
        <v>3</v>
      </c>
      <c r="H16" s="13" t="s">
        <v>42</v>
      </c>
      <c r="I16" s="13">
        <v>1</v>
      </c>
      <c r="J16" s="13">
        <v>19</v>
      </c>
      <c r="K16" s="13">
        <v>3</v>
      </c>
      <c r="L16" s="13" t="s">
        <v>63</v>
      </c>
      <c r="M16" s="13">
        <v>50</v>
      </c>
      <c r="N16" s="13">
        <v>2</v>
      </c>
      <c r="O16" s="13">
        <v>1</v>
      </c>
      <c r="P16" s="13" t="s">
        <v>76</v>
      </c>
      <c r="Q16" s="13">
        <v>3</v>
      </c>
      <c r="R16" s="13" t="s">
        <v>48</v>
      </c>
      <c r="S16" s="20">
        <v>2028</v>
      </c>
      <c r="T16" s="13">
        <v>12947</v>
      </c>
      <c r="U16" s="13">
        <v>5</v>
      </c>
      <c r="V16" s="13" t="s">
        <v>52</v>
      </c>
      <c r="W16" s="13" t="s">
        <v>36</v>
      </c>
      <c r="X16" s="13">
        <v>14</v>
      </c>
      <c r="Y16" s="13">
        <v>3</v>
      </c>
      <c r="Z16" s="13">
        <v>2</v>
      </c>
      <c r="AA16" s="13">
        <v>80</v>
      </c>
      <c r="AB16" s="13">
        <v>0</v>
      </c>
      <c r="AC16" s="13">
        <v>6</v>
      </c>
      <c r="AD16" s="13">
        <v>4</v>
      </c>
      <c r="AE16" s="13">
        <v>3</v>
      </c>
      <c r="AF16" s="14">
        <v>4</v>
      </c>
      <c r="AG16" s="13">
        <v>2</v>
      </c>
      <c r="AH16" s="13">
        <v>0</v>
      </c>
      <c r="AI16" s="13">
        <v>3</v>
      </c>
      <c r="AJ16" s="13" t="str">
        <f t="shared" si="0"/>
        <v>Under 30</v>
      </c>
      <c r="AK16" s="13" t="str">
        <f>IF(tblCleanData[[#This Row],[MonthlyIncome]]&lt;5000, "Low Income", IF(tblCleanData[[#This Row],[MonthlyIncome]]&lt;15000, "Medium Income", "High Income"))</f>
        <v>Low Income</v>
      </c>
      <c r="AL16" s="13">
        <f>IF(tblCleanData[[#This Row],[Attrition]]="No", 0,1)</f>
        <v>1</v>
      </c>
      <c r="AM16" s="13">
        <f>IF(tblCleanData[[#This Row],[OverTime]] = "No", 0, 1)</f>
        <v>1</v>
      </c>
      <c r="AN16" s="13" t="str">
        <f>CHOOSE(tblCleanData[[#This Row],[Education]], "Below College","College","Bachelor","Master","Doctor")</f>
        <v>Bachelor</v>
      </c>
      <c r="AO16" s="13" t="str">
        <f>VLOOKUP(tblCleanData[[#This Row],[EmployeeNumber]],tblHelpers[],15,TRUE)</f>
        <v>High Risk</v>
      </c>
      <c r="AP16" s="13">
        <f>VLOOKUP(tblCleanData[[#This Row],[EmployeeNumber]],tblHelpers[],14,0)</f>
        <v>88</v>
      </c>
    </row>
    <row r="17" spans="1:42" x14ac:dyDescent="0.25">
      <c r="A17" s="13">
        <v>29</v>
      </c>
      <c r="B17" s="13" t="s">
        <v>59</v>
      </c>
      <c r="C17" s="13" t="s">
        <v>37</v>
      </c>
      <c r="D17" s="13">
        <v>1389</v>
      </c>
      <c r="E17" s="13" t="s">
        <v>62</v>
      </c>
      <c r="F17" s="13">
        <v>21</v>
      </c>
      <c r="G17" s="13">
        <v>4</v>
      </c>
      <c r="H17" s="13" t="s">
        <v>42</v>
      </c>
      <c r="I17" s="13">
        <v>1</v>
      </c>
      <c r="J17" s="13">
        <v>20</v>
      </c>
      <c r="K17" s="13">
        <v>2</v>
      </c>
      <c r="L17" s="13" t="s">
        <v>43</v>
      </c>
      <c r="M17" s="13">
        <v>51</v>
      </c>
      <c r="N17" s="13">
        <v>4</v>
      </c>
      <c r="O17" s="13">
        <v>3</v>
      </c>
      <c r="P17" s="13" t="s">
        <v>116</v>
      </c>
      <c r="Q17" s="13">
        <v>1</v>
      </c>
      <c r="R17" s="13" t="s">
        <v>109</v>
      </c>
      <c r="S17" s="20">
        <v>9980</v>
      </c>
      <c r="T17" s="13">
        <v>10195</v>
      </c>
      <c r="U17" s="13">
        <v>1</v>
      </c>
      <c r="V17" s="13" t="s">
        <v>52</v>
      </c>
      <c r="W17" s="13" t="s">
        <v>59</v>
      </c>
      <c r="X17" s="13">
        <v>11</v>
      </c>
      <c r="Y17" s="13">
        <v>3</v>
      </c>
      <c r="Z17" s="13">
        <v>3</v>
      </c>
      <c r="AA17" s="13">
        <v>80</v>
      </c>
      <c r="AB17" s="13">
        <v>1</v>
      </c>
      <c r="AC17" s="13">
        <v>10</v>
      </c>
      <c r="AD17" s="13">
        <v>1</v>
      </c>
      <c r="AE17" s="13">
        <v>3</v>
      </c>
      <c r="AF17" s="14">
        <v>10</v>
      </c>
      <c r="AG17" s="13">
        <v>9</v>
      </c>
      <c r="AH17" s="13">
        <v>8</v>
      </c>
      <c r="AI17" s="13">
        <v>8</v>
      </c>
      <c r="AJ17" s="13" t="str">
        <f t="shared" si="0"/>
        <v>Under 30</v>
      </c>
      <c r="AK17" s="13" t="str">
        <f>IF(tblCleanData[[#This Row],[MonthlyIncome]]&lt;5000, "Low Income", IF(tblCleanData[[#This Row],[MonthlyIncome]]&lt;15000, "Medium Income", "High Income"))</f>
        <v>Medium Income</v>
      </c>
      <c r="AL17" s="13">
        <f>IF(tblCleanData[[#This Row],[Attrition]]="No", 0,1)</f>
        <v>0</v>
      </c>
      <c r="AM17" s="13">
        <f>IF(tblCleanData[[#This Row],[OverTime]] = "No", 0, 1)</f>
        <v>0</v>
      </c>
      <c r="AN17" s="13" t="str">
        <f>CHOOSE(tblCleanData[[#This Row],[Education]], "Below College","College","Bachelor","Master","Doctor")</f>
        <v>Master</v>
      </c>
      <c r="AO17" s="13" t="str">
        <f>VLOOKUP(tblCleanData[[#This Row],[EmployeeNumber]],tblHelpers[],15,TRUE)</f>
        <v>High Risk</v>
      </c>
      <c r="AP17" s="13">
        <f>VLOOKUP(tblCleanData[[#This Row],[EmployeeNumber]],tblHelpers[],14,0)</f>
        <v>68</v>
      </c>
    </row>
    <row r="18" spans="1:42" x14ac:dyDescent="0.25">
      <c r="A18" s="13">
        <v>32</v>
      </c>
      <c r="B18" s="13" t="s">
        <v>59</v>
      </c>
      <c r="C18" s="13" t="s">
        <v>37</v>
      </c>
      <c r="D18" s="13">
        <v>334</v>
      </c>
      <c r="E18" s="13" t="s">
        <v>62</v>
      </c>
      <c r="F18" s="13">
        <v>5</v>
      </c>
      <c r="G18" s="13">
        <v>2</v>
      </c>
      <c r="H18" s="13" t="s">
        <v>42</v>
      </c>
      <c r="I18" s="13">
        <v>1</v>
      </c>
      <c r="J18" s="13">
        <v>21</v>
      </c>
      <c r="K18" s="13">
        <v>1</v>
      </c>
      <c r="L18" s="13" t="s">
        <v>63</v>
      </c>
      <c r="M18" s="13">
        <v>80</v>
      </c>
      <c r="N18" s="13">
        <v>4</v>
      </c>
      <c r="O18" s="13">
        <v>1</v>
      </c>
      <c r="P18" s="13" t="s">
        <v>65</v>
      </c>
      <c r="Q18" s="13">
        <v>2</v>
      </c>
      <c r="R18" s="13" t="s">
        <v>109</v>
      </c>
      <c r="S18" s="20">
        <v>3298</v>
      </c>
      <c r="T18" s="13">
        <v>15053</v>
      </c>
      <c r="U18" s="13">
        <v>0</v>
      </c>
      <c r="V18" s="13" t="s">
        <v>52</v>
      </c>
      <c r="W18" s="13" t="s">
        <v>36</v>
      </c>
      <c r="X18" s="13">
        <v>12</v>
      </c>
      <c r="Y18" s="13">
        <v>3</v>
      </c>
      <c r="Z18" s="13">
        <v>4</v>
      </c>
      <c r="AA18" s="13">
        <v>80</v>
      </c>
      <c r="AB18" s="13">
        <v>2</v>
      </c>
      <c r="AC18" s="13">
        <v>7</v>
      </c>
      <c r="AD18" s="13">
        <v>5</v>
      </c>
      <c r="AE18" s="13">
        <v>2</v>
      </c>
      <c r="AF18" s="14">
        <v>6</v>
      </c>
      <c r="AG18" s="13">
        <v>2</v>
      </c>
      <c r="AH18" s="13">
        <v>0</v>
      </c>
      <c r="AI18" s="13">
        <v>5</v>
      </c>
      <c r="AJ18" s="13" t="str">
        <f t="shared" si="0"/>
        <v>30-39</v>
      </c>
      <c r="AK18" s="13" t="str">
        <f>IF(tblCleanData[[#This Row],[MonthlyIncome]]&lt;5000, "Low Income", IF(tblCleanData[[#This Row],[MonthlyIncome]]&lt;15000, "Medium Income", "High Income"))</f>
        <v>Low Income</v>
      </c>
      <c r="AL18" s="13">
        <f>IF(tblCleanData[[#This Row],[Attrition]]="No", 0,1)</f>
        <v>0</v>
      </c>
      <c r="AM18" s="13">
        <f>IF(tblCleanData[[#This Row],[OverTime]] = "No", 0, 1)</f>
        <v>1</v>
      </c>
      <c r="AN18" s="13" t="str">
        <f>CHOOSE(tblCleanData[[#This Row],[Education]], "Below College","College","Bachelor","Master","Doctor")</f>
        <v>College</v>
      </c>
      <c r="AO18" s="13" t="str">
        <f>VLOOKUP(tblCleanData[[#This Row],[EmployeeNumber]],tblHelpers[],15,TRUE)</f>
        <v>High Risk</v>
      </c>
      <c r="AP18" s="13">
        <f>VLOOKUP(tblCleanData[[#This Row],[EmployeeNumber]],tblHelpers[],14,0)</f>
        <v>77</v>
      </c>
    </row>
    <row r="19" spans="1:42" x14ac:dyDescent="0.25">
      <c r="A19" s="13">
        <v>22</v>
      </c>
      <c r="B19" s="13" t="s">
        <v>59</v>
      </c>
      <c r="C19" s="13" t="s">
        <v>161</v>
      </c>
      <c r="D19" s="13">
        <v>1123</v>
      </c>
      <c r="E19" s="13" t="s">
        <v>62</v>
      </c>
      <c r="F19" s="13">
        <v>16</v>
      </c>
      <c r="G19" s="13">
        <v>2</v>
      </c>
      <c r="H19" s="13" t="s">
        <v>87</v>
      </c>
      <c r="I19" s="13">
        <v>1</v>
      </c>
      <c r="J19" s="13">
        <v>22</v>
      </c>
      <c r="K19" s="13">
        <v>4</v>
      </c>
      <c r="L19" s="13" t="s">
        <v>63</v>
      </c>
      <c r="M19" s="13">
        <v>96</v>
      </c>
      <c r="N19" s="13">
        <v>4</v>
      </c>
      <c r="O19" s="13">
        <v>1</v>
      </c>
      <c r="P19" s="13" t="s">
        <v>76</v>
      </c>
      <c r="Q19" s="13">
        <v>4</v>
      </c>
      <c r="R19" s="13" t="s">
        <v>109</v>
      </c>
      <c r="S19" s="20">
        <v>2935</v>
      </c>
      <c r="T19" s="13">
        <v>7324</v>
      </c>
      <c r="U19" s="13">
        <v>1</v>
      </c>
      <c r="V19" s="13" t="s">
        <v>52</v>
      </c>
      <c r="W19" s="13" t="s">
        <v>36</v>
      </c>
      <c r="X19" s="13">
        <v>13</v>
      </c>
      <c r="Y19" s="13">
        <v>3</v>
      </c>
      <c r="Z19" s="13">
        <v>2</v>
      </c>
      <c r="AA19" s="13">
        <v>80</v>
      </c>
      <c r="AB19" s="13">
        <v>2</v>
      </c>
      <c r="AC19" s="13">
        <v>1</v>
      </c>
      <c r="AD19" s="13">
        <v>2</v>
      </c>
      <c r="AE19" s="13">
        <v>2</v>
      </c>
      <c r="AF19" s="14">
        <v>1</v>
      </c>
      <c r="AG19" s="13">
        <v>0</v>
      </c>
      <c r="AH19" s="13">
        <v>0</v>
      </c>
      <c r="AI19" s="13">
        <v>0</v>
      </c>
      <c r="AJ19" s="13" t="str">
        <f t="shared" si="0"/>
        <v>Under 30</v>
      </c>
      <c r="AK19" s="13" t="str">
        <f>IF(tblCleanData[[#This Row],[MonthlyIncome]]&lt;5000, "Low Income", IF(tblCleanData[[#This Row],[MonthlyIncome]]&lt;15000, "Medium Income", "High Income"))</f>
        <v>Low Income</v>
      </c>
      <c r="AL19" s="13">
        <f>IF(tblCleanData[[#This Row],[Attrition]]="No", 0,1)</f>
        <v>0</v>
      </c>
      <c r="AM19" s="13">
        <f>IF(tblCleanData[[#This Row],[OverTime]] = "No", 0, 1)</f>
        <v>1</v>
      </c>
      <c r="AN19" s="13" t="str">
        <f>CHOOSE(tblCleanData[[#This Row],[Education]], "Below College","College","Bachelor","Master","Doctor")</f>
        <v>College</v>
      </c>
      <c r="AO19" s="13" t="str">
        <f>VLOOKUP(tblCleanData[[#This Row],[EmployeeNumber]],tblHelpers[],15,TRUE)</f>
        <v>High Risk</v>
      </c>
      <c r="AP19" s="13">
        <f>VLOOKUP(tblCleanData[[#This Row],[EmployeeNumber]],tblHelpers[],14,0)</f>
        <v>91</v>
      </c>
    </row>
    <row r="20" spans="1:42" x14ac:dyDescent="0.25">
      <c r="A20" s="13">
        <v>53</v>
      </c>
      <c r="B20" s="13" t="s">
        <v>59</v>
      </c>
      <c r="C20" s="13" t="s">
        <v>37</v>
      </c>
      <c r="D20" s="13">
        <v>1219</v>
      </c>
      <c r="E20" s="13" t="s">
        <v>39</v>
      </c>
      <c r="F20" s="13">
        <v>2</v>
      </c>
      <c r="G20" s="13">
        <v>4</v>
      </c>
      <c r="H20" s="13" t="s">
        <v>42</v>
      </c>
      <c r="I20" s="13">
        <v>1</v>
      </c>
      <c r="J20" s="13">
        <v>23</v>
      </c>
      <c r="K20" s="13">
        <v>1</v>
      </c>
      <c r="L20" s="13" t="s">
        <v>43</v>
      </c>
      <c r="M20" s="13">
        <v>78</v>
      </c>
      <c r="N20" s="13">
        <v>2</v>
      </c>
      <c r="O20" s="13">
        <v>4</v>
      </c>
      <c r="P20" s="13" t="s">
        <v>169</v>
      </c>
      <c r="Q20" s="13">
        <v>4</v>
      </c>
      <c r="R20" s="13" t="s">
        <v>66</v>
      </c>
      <c r="S20" s="20">
        <v>15427</v>
      </c>
      <c r="T20" s="13">
        <v>22021</v>
      </c>
      <c r="U20" s="13">
        <v>2</v>
      </c>
      <c r="V20" s="13" t="s">
        <v>52</v>
      </c>
      <c r="W20" s="13" t="s">
        <v>59</v>
      </c>
      <c r="X20" s="13">
        <v>16</v>
      </c>
      <c r="Y20" s="13">
        <v>3</v>
      </c>
      <c r="Z20" s="13">
        <v>3</v>
      </c>
      <c r="AA20" s="13">
        <v>80</v>
      </c>
      <c r="AB20" s="13">
        <v>0</v>
      </c>
      <c r="AC20" s="13">
        <v>31</v>
      </c>
      <c r="AD20" s="13">
        <v>3</v>
      </c>
      <c r="AE20" s="13">
        <v>3</v>
      </c>
      <c r="AF20" s="14">
        <v>25</v>
      </c>
      <c r="AG20" s="13">
        <v>8</v>
      </c>
      <c r="AH20" s="13">
        <v>3</v>
      </c>
      <c r="AI20" s="13">
        <v>7</v>
      </c>
      <c r="AJ20" s="13" t="str">
        <f t="shared" si="0"/>
        <v>50+</v>
      </c>
      <c r="AK20" s="13" t="str">
        <f>IF(tblCleanData[[#This Row],[MonthlyIncome]]&lt;5000, "Low Income", IF(tblCleanData[[#This Row],[MonthlyIncome]]&lt;15000, "Medium Income", "High Income"))</f>
        <v>High Income</v>
      </c>
      <c r="AL20" s="13">
        <f>IF(tblCleanData[[#This Row],[Attrition]]="No", 0,1)</f>
        <v>0</v>
      </c>
      <c r="AM20" s="13">
        <f>IF(tblCleanData[[#This Row],[OverTime]] = "No", 0, 1)</f>
        <v>0</v>
      </c>
      <c r="AN20" s="13" t="str">
        <f>CHOOSE(tblCleanData[[#This Row],[Education]], "Below College","College","Bachelor","Master","Doctor")</f>
        <v>Master</v>
      </c>
      <c r="AO20" s="13" t="str">
        <f>VLOOKUP(tblCleanData[[#This Row],[EmployeeNumber]],tblHelpers[],15,TRUE)</f>
        <v>Low Risk</v>
      </c>
      <c r="AP20" s="13">
        <f>VLOOKUP(tblCleanData[[#This Row],[EmployeeNumber]],tblHelpers[],14,0)</f>
        <v>29</v>
      </c>
    </row>
    <row r="21" spans="1:42" x14ac:dyDescent="0.25">
      <c r="A21" s="13">
        <v>38</v>
      </c>
      <c r="B21" s="13" t="s">
        <v>59</v>
      </c>
      <c r="C21" s="13" t="s">
        <v>37</v>
      </c>
      <c r="D21" s="13">
        <v>371</v>
      </c>
      <c r="E21" s="13" t="s">
        <v>62</v>
      </c>
      <c r="F21" s="13">
        <v>2</v>
      </c>
      <c r="G21" s="13">
        <v>3</v>
      </c>
      <c r="H21" s="13" t="s">
        <v>42</v>
      </c>
      <c r="I21" s="13">
        <v>1</v>
      </c>
      <c r="J21" s="13">
        <v>24</v>
      </c>
      <c r="K21" s="13">
        <v>4</v>
      </c>
      <c r="L21" s="13" t="s">
        <v>63</v>
      </c>
      <c r="M21" s="13">
        <v>45</v>
      </c>
      <c r="N21" s="13">
        <v>3</v>
      </c>
      <c r="O21" s="13">
        <v>1</v>
      </c>
      <c r="P21" s="13" t="s">
        <v>65</v>
      </c>
      <c r="Q21" s="13">
        <v>4</v>
      </c>
      <c r="R21" s="13" t="s">
        <v>48</v>
      </c>
      <c r="S21" s="20">
        <v>3944</v>
      </c>
      <c r="T21" s="13">
        <v>4306</v>
      </c>
      <c r="U21" s="13">
        <v>5</v>
      </c>
      <c r="V21" s="13" t="s">
        <v>52</v>
      </c>
      <c r="W21" s="13" t="s">
        <v>36</v>
      </c>
      <c r="X21" s="13">
        <v>11</v>
      </c>
      <c r="Y21" s="13">
        <v>3</v>
      </c>
      <c r="Z21" s="13">
        <v>3</v>
      </c>
      <c r="AA21" s="13">
        <v>80</v>
      </c>
      <c r="AB21" s="13">
        <v>0</v>
      </c>
      <c r="AC21" s="13">
        <v>6</v>
      </c>
      <c r="AD21" s="13">
        <v>3</v>
      </c>
      <c r="AE21" s="13">
        <v>3</v>
      </c>
      <c r="AF21" s="14">
        <v>3</v>
      </c>
      <c r="AG21" s="13">
        <v>2</v>
      </c>
      <c r="AH21" s="13">
        <v>1</v>
      </c>
      <c r="AI21" s="13">
        <v>2</v>
      </c>
      <c r="AJ21" s="13" t="str">
        <f t="shared" si="0"/>
        <v>30-39</v>
      </c>
      <c r="AK21" s="13" t="str">
        <f>IF(tblCleanData[[#This Row],[MonthlyIncome]]&lt;5000, "Low Income", IF(tblCleanData[[#This Row],[MonthlyIncome]]&lt;15000, "Medium Income", "High Income"))</f>
        <v>Low Income</v>
      </c>
      <c r="AL21" s="13">
        <f>IF(tblCleanData[[#This Row],[Attrition]]="No", 0,1)</f>
        <v>0</v>
      </c>
      <c r="AM21" s="13">
        <f>IF(tblCleanData[[#This Row],[OverTime]] = "No", 0, 1)</f>
        <v>1</v>
      </c>
      <c r="AN21" s="13" t="str">
        <f>CHOOSE(tblCleanData[[#This Row],[Education]], "Below College","College","Bachelor","Master","Doctor")</f>
        <v>Bachelor</v>
      </c>
      <c r="AO21" s="13" t="str">
        <f>VLOOKUP(tblCleanData[[#This Row],[EmployeeNumber]],tblHelpers[],15,TRUE)</f>
        <v>High Risk</v>
      </c>
      <c r="AP21" s="13">
        <f>VLOOKUP(tblCleanData[[#This Row],[EmployeeNumber]],tblHelpers[],14,0)</f>
        <v>71</v>
      </c>
    </row>
    <row r="22" spans="1:42" x14ac:dyDescent="0.25">
      <c r="A22" s="13">
        <v>24</v>
      </c>
      <c r="B22" s="13" t="s">
        <v>59</v>
      </c>
      <c r="C22" s="13" t="s">
        <v>161</v>
      </c>
      <c r="D22" s="13">
        <v>673</v>
      </c>
      <c r="E22" s="13" t="s">
        <v>62</v>
      </c>
      <c r="F22" s="13">
        <v>11</v>
      </c>
      <c r="G22" s="13">
        <v>2</v>
      </c>
      <c r="H22" s="13" t="s">
        <v>74</v>
      </c>
      <c r="I22" s="13">
        <v>1</v>
      </c>
      <c r="J22" s="13">
        <v>26</v>
      </c>
      <c r="K22" s="13">
        <v>1</v>
      </c>
      <c r="L22" s="13" t="s">
        <v>43</v>
      </c>
      <c r="M22" s="13">
        <v>96</v>
      </c>
      <c r="N22" s="13">
        <v>4</v>
      </c>
      <c r="O22" s="13">
        <v>2</v>
      </c>
      <c r="P22" s="13" t="s">
        <v>116</v>
      </c>
      <c r="Q22" s="13">
        <v>3</v>
      </c>
      <c r="R22" s="13" t="s">
        <v>109</v>
      </c>
      <c r="S22" s="20">
        <v>4011</v>
      </c>
      <c r="T22" s="13">
        <v>8232</v>
      </c>
      <c r="U22" s="13">
        <v>0</v>
      </c>
      <c r="V22" s="13" t="s">
        <v>52</v>
      </c>
      <c r="W22" s="13" t="s">
        <v>59</v>
      </c>
      <c r="X22" s="13">
        <v>18</v>
      </c>
      <c r="Y22" s="13">
        <v>3</v>
      </c>
      <c r="Z22" s="13">
        <v>4</v>
      </c>
      <c r="AA22" s="13">
        <v>80</v>
      </c>
      <c r="AB22" s="13">
        <v>1</v>
      </c>
      <c r="AC22" s="13">
        <v>5</v>
      </c>
      <c r="AD22" s="13">
        <v>5</v>
      </c>
      <c r="AE22" s="13">
        <v>2</v>
      </c>
      <c r="AF22" s="14">
        <v>4</v>
      </c>
      <c r="AG22" s="13">
        <v>2</v>
      </c>
      <c r="AH22" s="13">
        <v>1</v>
      </c>
      <c r="AI22" s="13">
        <v>3</v>
      </c>
      <c r="AJ22" s="13" t="str">
        <f t="shared" si="0"/>
        <v>Under 30</v>
      </c>
      <c r="AK22" s="13" t="str">
        <f>IF(tblCleanData[[#This Row],[MonthlyIncome]]&lt;5000, "Low Income", IF(tblCleanData[[#This Row],[MonthlyIncome]]&lt;15000, "Medium Income", "High Income"))</f>
        <v>Low Income</v>
      </c>
      <c r="AL22" s="13">
        <f>IF(tblCleanData[[#This Row],[Attrition]]="No", 0,1)</f>
        <v>0</v>
      </c>
      <c r="AM22" s="13">
        <f>IF(tblCleanData[[#This Row],[OverTime]] = "No", 0, 1)</f>
        <v>0</v>
      </c>
      <c r="AN22" s="13" t="str">
        <f>CHOOSE(tblCleanData[[#This Row],[Education]], "Below College","College","Bachelor","Master","Doctor")</f>
        <v>College</v>
      </c>
      <c r="AO22" s="13" t="str">
        <f>VLOOKUP(tblCleanData[[#This Row],[EmployeeNumber]],tblHelpers[],15,TRUE)</f>
        <v>High Risk</v>
      </c>
      <c r="AP22" s="13">
        <f>VLOOKUP(tblCleanData[[#This Row],[EmployeeNumber]],tblHelpers[],14,0)</f>
        <v>63</v>
      </c>
    </row>
    <row r="23" spans="1:42" x14ac:dyDescent="0.25">
      <c r="A23" s="13">
        <v>36</v>
      </c>
      <c r="B23" s="13" t="s">
        <v>36</v>
      </c>
      <c r="C23" s="13" t="s">
        <v>37</v>
      </c>
      <c r="D23" s="13">
        <v>1218</v>
      </c>
      <c r="E23" s="13" t="s">
        <v>39</v>
      </c>
      <c r="F23" s="13">
        <v>9</v>
      </c>
      <c r="G23" s="13">
        <v>4</v>
      </c>
      <c r="H23" s="13" t="s">
        <v>42</v>
      </c>
      <c r="I23" s="13">
        <v>1</v>
      </c>
      <c r="J23" s="13">
        <v>27</v>
      </c>
      <c r="K23" s="13">
        <v>3</v>
      </c>
      <c r="L23" s="13" t="s">
        <v>63</v>
      </c>
      <c r="M23" s="13">
        <v>82</v>
      </c>
      <c r="N23" s="13">
        <v>2</v>
      </c>
      <c r="O23" s="13">
        <v>1</v>
      </c>
      <c r="P23" s="13" t="s">
        <v>182</v>
      </c>
      <c r="Q23" s="13">
        <v>1</v>
      </c>
      <c r="R23" s="13" t="s">
        <v>48</v>
      </c>
      <c r="S23" s="20">
        <v>3407</v>
      </c>
      <c r="T23" s="13">
        <v>6986</v>
      </c>
      <c r="U23" s="13">
        <v>7</v>
      </c>
      <c r="V23" s="13" t="s">
        <v>52</v>
      </c>
      <c r="W23" s="13" t="s">
        <v>59</v>
      </c>
      <c r="X23" s="13">
        <v>23</v>
      </c>
      <c r="Y23" s="13">
        <v>4</v>
      </c>
      <c r="Z23" s="13">
        <v>2</v>
      </c>
      <c r="AA23" s="13">
        <v>80</v>
      </c>
      <c r="AB23" s="13">
        <v>0</v>
      </c>
      <c r="AC23" s="13">
        <v>10</v>
      </c>
      <c r="AD23" s="13">
        <v>4</v>
      </c>
      <c r="AE23" s="13">
        <v>3</v>
      </c>
      <c r="AF23" s="14">
        <v>5</v>
      </c>
      <c r="AG23" s="13">
        <v>3</v>
      </c>
      <c r="AH23" s="13">
        <v>0</v>
      </c>
      <c r="AI23" s="13">
        <v>3</v>
      </c>
      <c r="AJ23" s="13" t="str">
        <f t="shared" si="0"/>
        <v>30-39</v>
      </c>
      <c r="AK23" s="13" t="str">
        <f>IF(tblCleanData[[#This Row],[MonthlyIncome]]&lt;5000, "Low Income", IF(tblCleanData[[#This Row],[MonthlyIncome]]&lt;15000, "Medium Income", "High Income"))</f>
        <v>Low Income</v>
      </c>
      <c r="AL23" s="13">
        <f>IF(tblCleanData[[#This Row],[Attrition]]="No", 0,1)</f>
        <v>1</v>
      </c>
      <c r="AM23" s="13">
        <f>IF(tblCleanData[[#This Row],[OverTime]] = "No", 0, 1)</f>
        <v>0</v>
      </c>
      <c r="AN23" s="13" t="str">
        <f>CHOOSE(tblCleanData[[#This Row],[Education]], "Below College","College","Bachelor","Master","Doctor")</f>
        <v>Master</v>
      </c>
      <c r="AO23" s="13" t="str">
        <f>VLOOKUP(tblCleanData[[#This Row],[EmployeeNumber]],tblHelpers[],15,TRUE)</f>
        <v>High Risk</v>
      </c>
      <c r="AP23" s="13">
        <f>VLOOKUP(tblCleanData[[#This Row],[EmployeeNumber]],tblHelpers[],14,0)</f>
        <v>65</v>
      </c>
    </row>
    <row r="24" spans="1:42" x14ac:dyDescent="0.25">
      <c r="A24" s="13">
        <v>34</v>
      </c>
      <c r="B24" s="13" t="s">
        <v>59</v>
      </c>
      <c r="C24" s="13" t="s">
        <v>37</v>
      </c>
      <c r="D24" s="13">
        <v>419</v>
      </c>
      <c r="E24" s="13" t="s">
        <v>62</v>
      </c>
      <c r="F24" s="13">
        <v>7</v>
      </c>
      <c r="G24" s="13">
        <v>4</v>
      </c>
      <c r="H24" s="13" t="s">
        <v>42</v>
      </c>
      <c r="I24" s="13">
        <v>1</v>
      </c>
      <c r="J24" s="13">
        <v>28</v>
      </c>
      <c r="K24" s="13">
        <v>1</v>
      </c>
      <c r="L24" s="13" t="s">
        <v>43</v>
      </c>
      <c r="M24" s="13">
        <v>53</v>
      </c>
      <c r="N24" s="13">
        <v>3</v>
      </c>
      <c r="O24" s="13">
        <v>3</v>
      </c>
      <c r="P24" s="13" t="s">
        <v>186</v>
      </c>
      <c r="Q24" s="13">
        <v>2</v>
      </c>
      <c r="R24" s="13" t="s">
        <v>48</v>
      </c>
      <c r="S24" s="20">
        <v>11994</v>
      </c>
      <c r="T24" s="13">
        <v>21293</v>
      </c>
      <c r="U24" s="13">
        <v>0</v>
      </c>
      <c r="V24" s="13" t="s">
        <v>52</v>
      </c>
      <c r="W24" s="13" t="s">
        <v>59</v>
      </c>
      <c r="X24" s="13">
        <v>11</v>
      </c>
      <c r="Y24" s="13">
        <v>3</v>
      </c>
      <c r="Z24" s="13">
        <v>3</v>
      </c>
      <c r="AA24" s="13">
        <v>80</v>
      </c>
      <c r="AB24" s="13">
        <v>0</v>
      </c>
      <c r="AC24" s="13">
        <v>13</v>
      </c>
      <c r="AD24" s="13">
        <v>4</v>
      </c>
      <c r="AE24" s="13">
        <v>3</v>
      </c>
      <c r="AF24" s="14">
        <v>12</v>
      </c>
      <c r="AG24" s="13">
        <v>6</v>
      </c>
      <c r="AH24" s="13">
        <v>2</v>
      </c>
      <c r="AI24" s="13">
        <v>11</v>
      </c>
      <c r="AJ24" s="13" t="str">
        <f t="shared" si="0"/>
        <v>30-39</v>
      </c>
      <c r="AK24" s="13" t="str">
        <f>IF(tblCleanData[[#This Row],[MonthlyIncome]]&lt;5000, "Low Income", IF(tblCleanData[[#This Row],[MonthlyIncome]]&lt;15000, "Medium Income", "High Income"))</f>
        <v>Medium Income</v>
      </c>
      <c r="AL24" s="13">
        <f>IF(tblCleanData[[#This Row],[Attrition]]="No", 0,1)</f>
        <v>0</v>
      </c>
      <c r="AM24" s="13">
        <f>IF(tblCleanData[[#This Row],[OverTime]] = "No", 0, 1)</f>
        <v>0</v>
      </c>
      <c r="AN24" s="13" t="str">
        <f>CHOOSE(tblCleanData[[#This Row],[Education]], "Below College","College","Bachelor","Master","Doctor")</f>
        <v>Master</v>
      </c>
      <c r="AO24" s="13" t="str">
        <f>VLOOKUP(tblCleanData[[#This Row],[EmployeeNumber]],tblHelpers[],15,TRUE)</f>
        <v>Medium Risk</v>
      </c>
      <c r="AP24" s="13">
        <f>VLOOKUP(tblCleanData[[#This Row],[EmployeeNumber]],tblHelpers[],14,0)</f>
        <v>47</v>
      </c>
    </row>
    <row r="25" spans="1:42" x14ac:dyDescent="0.25">
      <c r="A25" s="13">
        <v>21</v>
      </c>
      <c r="B25" s="13" t="s">
        <v>59</v>
      </c>
      <c r="C25" s="13" t="s">
        <v>37</v>
      </c>
      <c r="D25" s="13">
        <v>391</v>
      </c>
      <c r="E25" s="13" t="s">
        <v>62</v>
      </c>
      <c r="F25" s="13">
        <v>15</v>
      </c>
      <c r="G25" s="13">
        <v>2</v>
      </c>
      <c r="H25" s="13" t="s">
        <v>42</v>
      </c>
      <c r="I25" s="13">
        <v>1</v>
      </c>
      <c r="J25" s="13">
        <v>30</v>
      </c>
      <c r="K25" s="13">
        <v>3</v>
      </c>
      <c r="L25" s="13" t="s">
        <v>63</v>
      </c>
      <c r="M25" s="13">
        <v>96</v>
      </c>
      <c r="N25" s="13">
        <v>3</v>
      </c>
      <c r="O25" s="13">
        <v>1</v>
      </c>
      <c r="P25" s="13" t="s">
        <v>65</v>
      </c>
      <c r="Q25" s="13">
        <v>4</v>
      </c>
      <c r="R25" s="13" t="s">
        <v>48</v>
      </c>
      <c r="S25" s="20">
        <v>1232</v>
      </c>
      <c r="T25" s="13">
        <v>19281</v>
      </c>
      <c r="U25" s="13">
        <v>1</v>
      </c>
      <c r="V25" s="13" t="s">
        <v>52</v>
      </c>
      <c r="W25" s="13" t="s">
        <v>59</v>
      </c>
      <c r="X25" s="13">
        <v>14</v>
      </c>
      <c r="Y25" s="13">
        <v>3</v>
      </c>
      <c r="Z25" s="13">
        <v>4</v>
      </c>
      <c r="AA25" s="13">
        <v>80</v>
      </c>
      <c r="AB25" s="13">
        <v>0</v>
      </c>
      <c r="AC25" s="13">
        <v>0</v>
      </c>
      <c r="AD25" s="13">
        <v>6</v>
      </c>
      <c r="AE25" s="13">
        <v>3</v>
      </c>
      <c r="AF25" s="14">
        <v>0</v>
      </c>
      <c r="AG25" s="13">
        <v>0</v>
      </c>
      <c r="AH25" s="13">
        <v>0</v>
      </c>
      <c r="AI25" s="13">
        <v>0</v>
      </c>
      <c r="AJ25" s="13" t="str">
        <f t="shared" si="0"/>
        <v>Under 30</v>
      </c>
      <c r="AK25" s="13" t="str">
        <f>IF(tblCleanData[[#This Row],[MonthlyIncome]]&lt;5000, "Low Income", IF(tblCleanData[[#This Row],[MonthlyIncome]]&lt;15000, "Medium Income", "High Income"))</f>
        <v>Low Income</v>
      </c>
      <c r="AL25" s="13">
        <f>IF(tblCleanData[[#This Row],[Attrition]]="No", 0,1)</f>
        <v>0</v>
      </c>
      <c r="AM25" s="13">
        <f>IF(tblCleanData[[#This Row],[OverTime]] = "No", 0, 1)</f>
        <v>0</v>
      </c>
      <c r="AN25" s="13" t="str">
        <f>CHOOSE(tblCleanData[[#This Row],[Education]], "Below College","College","Bachelor","Master","Doctor")</f>
        <v>College</v>
      </c>
      <c r="AO25" s="13" t="str">
        <f>VLOOKUP(tblCleanData[[#This Row],[EmployeeNumber]],tblHelpers[],15,TRUE)</f>
        <v>High Risk</v>
      </c>
      <c r="AP25" s="13">
        <f>VLOOKUP(tblCleanData[[#This Row],[EmployeeNumber]],tblHelpers[],14,0)</f>
        <v>66</v>
      </c>
    </row>
    <row r="26" spans="1:42" x14ac:dyDescent="0.25">
      <c r="A26" s="13">
        <v>34</v>
      </c>
      <c r="B26" s="13" t="s">
        <v>36</v>
      </c>
      <c r="C26" s="13" t="s">
        <v>37</v>
      </c>
      <c r="D26" s="13">
        <v>699</v>
      </c>
      <c r="E26" s="13" t="s">
        <v>62</v>
      </c>
      <c r="F26" s="13">
        <v>6</v>
      </c>
      <c r="G26" s="13">
        <v>1</v>
      </c>
      <c r="H26" s="13" t="s">
        <v>87</v>
      </c>
      <c r="I26" s="13">
        <v>1</v>
      </c>
      <c r="J26" s="13">
        <v>31</v>
      </c>
      <c r="K26" s="13">
        <v>2</v>
      </c>
      <c r="L26" s="13" t="s">
        <v>63</v>
      </c>
      <c r="M26" s="13">
        <v>83</v>
      </c>
      <c r="N26" s="13">
        <v>3</v>
      </c>
      <c r="O26" s="13">
        <v>1</v>
      </c>
      <c r="P26" s="13" t="s">
        <v>65</v>
      </c>
      <c r="Q26" s="13">
        <v>1</v>
      </c>
      <c r="R26" s="13" t="s">
        <v>48</v>
      </c>
      <c r="S26" s="20">
        <v>2960</v>
      </c>
      <c r="T26" s="13">
        <v>17102</v>
      </c>
      <c r="U26" s="13">
        <v>2</v>
      </c>
      <c r="V26" s="13" t="s">
        <v>52</v>
      </c>
      <c r="W26" s="13" t="s">
        <v>59</v>
      </c>
      <c r="X26" s="13">
        <v>11</v>
      </c>
      <c r="Y26" s="13">
        <v>3</v>
      </c>
      <c r="Z26" s="13">
        <v>3</v>
      </c>
      <c r="AA26" s="13">
        <v>80</v>
      </c>
      <c r="AB26" s="13">
        <v>0</v>
      </c>
      <c r="AC26" s="13">
        <v>8</v>
      </c>
      <c r="AD26" s="13">
        <v>2</v>
      </c>
      <c r="AE26" s="13">
        <v>3</v>
      </c>
      <c r="AF26" s="14">
        <v>4</v>
      </c>
      <c r="AG26" s="13">
        <v>2</v>
      </c>
      <c r="AH26" s="13">
        <v>1</v>
      </c>
      <c r="AI26" s="13">
        <v>3</v>
      </c>
      <c r="AJ26" s="13" t="str">
        <f t="shared" si="0"/>
        <v>30-39</v>
      </c>
      <c r="AK26" s="13" t="str">
        <f>IF(tblCleanData[[#This Row],[MonthlyIncome]]&lt;5000, "Low Income", IF(tblCleanData[[#This Row],[MonthlyIncome]]&lt;15000, "Medium Income", "High Income"))</f>
        <v>Low Income</v>
      </c>
      <c r="AL26" s="13">
        <f>IF(tblCleanData[[#This Row],[Attrition]]="No", 0,1)</f>
        <v>1</v>
      </c>
      <c r="AM26" s="13">
        <f>IF(tblCleanData[[#This Row],[OverTime]] = "No", 0, 1)</f>
        <v>0</v>
      </c>
      <c r="AN26" s="13" t="str">
        <f>CHOOSE(tblCleanData[[#This Row],[Education]], "Below College","College","Bachelor","Master","Doctor")</f>
        <v>Below College</v>
      </c>
      <c r="AO26" s="13" t="str">
        <f>VLOOKUP(tblCleanData[[#This Row],[EmployeeNumber]],tblHelpers[],15,TRUE)</f>
        <v>High Risk</v>
      </c>
      <c r="AP26" s="13">
        <f>VLOOKUP(tblCleanData[[#This Row],[EmployeeNumber]],tblHelpers[],14,0)</f>
        <v>65</v>
      </c>
    </row>
    <row r="27" spans="1:42" x14ac:dyDescent="0.25">
      <c r="A27" s="13">
        <v>53</v>
      </c>
      <c r="B27" s="13" t="s">
        <v>59</v>
      </c>
      <c r="C27" s="13" t="s">
        <v>37</v>
      </c>
      <c r="D27" s="13">
        <v>1282</v>
      </c>
      <c r="E27" s="13" t="s">
        <v>62</v>
      </c>
      <c r="F27" s="13">
        <v>5</v>
      </c>
      <c r="G27" s="13">
        <v>3</v>
      </c>
      <c r="H27" s="13" t="s">
        <v>74</v>
      </c>
      <c r="I27" s="13">
        <v>1</v>
      </c>
      <c r="J27" s="13">
        <v>32</v>
      </c>
      <c r="K27" s="13">
        <v>3</v>
      </c>
      <c r="L27" s="13" t="s">
        <v>43</v>
      </c>
      <c r="M27" s="13">
        <v>58</v>
      </c>
      <c r="N27" s="13">
        <v>3</v>
      </c>
      <c r="O27" s="13">
        <v>5</v>
      </c>
      <c r="P27" s="13" t="s">
        <v>169</v>
      </c>
      <c r="Q27" s="13">
        <v>3</v>
      </c>
      <c r="R27" s="13" t="s">
        <v>109</v>
      </c>
      <c r="S27" s="20">
        <v>19094</v>
      </c>
      <c r="T27" s="13">
        <v>10735</v>
      </c>
      <c r="U27" s="13">
        <v>4</v>
      </c>
      <c r="V27" s="13" t="s">
        <v>52</v>
      </c>
      <c r="W27" s="13" t="s">
        <v>59</v>
      </c>
      <c r="X27" s="13">
        <v>11</v>
      </c>
      <c r="Y27" s="13">
        <v>3</v>
      </c>
      <c r="Z27" s="13">
        <v>4</v>
      </c>
      <c r="AA27" s="13">
        <v>80</v>
      </c>
      <c r="AB27" s="13">
        <v>1</v>
      </c>
      <c r="AC27" s="13">
        <v>26</v>
      </c>
      <c r="AD27" s="13">
        <v>3</v>
      </c>
      <c r="AE27" s="13">
        <v>2</v>
      </c>
      <c r="AF27" s="14">
        <v>14</v>
      </c>
      <c r="AG27" s="13">
        <v>13</v>
      </c>
      <c r="AH27" s="13">
        <v>4</v>
      </c>
      <c r="AI27" s="13">
        <v>8</v>
      </c>
      <c r="AJ27" s="13" t="str">
        <f t="shared" si="0"/>
        <v>50+</v>
      </c>
      <c r="AK27" s="13" t="str">
        <f>IF(tblCleanData[[#This Row],[MonthlyIncome]]&lt;5000, "Low Income", IF(tblCleanData[[#This Row],[MonthlyIncome]]&lt;15000, "Medium Income", "High Income"))</f>
        <v>High Income</v>
      </c>
      <c r="AL27" s="13">
        <f>IF(tblCleanData[[#This Row],[Attrition]]="No", 0,1)</f>
        <v>0</v>
      </c>
      <c r="AM27" s="13">
        <f>IF(tblCleanData[[#This Row],[OverTime]] = "No", 0, 1)</f>
        <v>0</v>
      </c>
      <c r="AN27" s="13" t="str">
        <f>CHOOSE(tblCleanData[[#This Row],[Education]], "Below College","College","Bachelor","Master","Doctor")</f>
        <v>Bachelor</v>
      </c>
      <c r="AO27" s="13" t="str">
        <f>VLOOKUP(tblCleanData[[#This Row],[EmployeeNumber]],tblHelpers[],15,TRUE)</f>
        <v>Medium Risk</v>
      </c>
      <c r="AP27" s="13">
        <f>VLOOKUP(tblCleanData[[#This Row],[EmployeeNumber]],tblHelpers[],14,0)</f>
        <v>36</v>
      </c>
    </row>
    <row r="28" spans="1:42" x14ac:dyDescent="0.25">
      <c r="A28" s="13">
        <v>32</v>
      </c>
      <c r="B28" s="13" t="s">
        <v>36</v>
      </c>
      <c r="C28" s="13" t="s">
        <v>60</v>
      </c>
      <c r="D28" s="13">
        <v>1125</v>
      </c>
      <c r="E28" s="13" t="s">
        <v>62</v>
      </c>
      <c r="F28" s="13">
        <v>16</v>
      </c>
      <c r="G28" s="13">
        <v>1</v>
      </c>
      <c r="H28" s="13" t="s">
        <v>42</v>
      </c>
      <c r="I28" s="13">
        <v>1</v>
      </c>
      <c r="J28" s="13">
        <v>33</v>
      </c>
      <c r="K28" s="13">
        <v>2</v>
      </c>
      <c r="L28" s="13" t="s">
        <v>43</v>
      </c>
      <c r="M28" s="13">
        <v>72</v>
      </c>
      <c r="N28" s="13">
        <v>1</v>
      </c>
      <c r="O28" s="13">
        <v>1</v>
      </c>
      <c r="P28" s="13" t="s">
        <v>65</v>
      </c>
      <c r="Q28" s="13">
        <v>1</v>
      </c>
      <c r="R28" s="13" t="s">
        <v>48</v>
      </c>
      <c r="S28" s="20">
        <v>3919</v>
      </c>
      <c r="T28" s="13">
        <v>4681</v>
      </c>
      <c r="U28" s="13">
        <v>1</v>
      </c>
      <c r="V28" s="13" t="s">
        <v>52</v>
      </c>
      <c r="W28" s="13" t="s">
        <v>36</v>
      </c>
      <c r="X28" s="13">
        <v>22</v>
      </c>
      <c r="Y28" s="13">
        <v>4</v>
      </c>
      <c r="Z28" s="13">
        <v>2</v>
      </c>
      <c r="AA28" s="13">
        <v>80</v>
      </c>
      <c r="AB28" s="13">
        <v>0</v>
      </c>
      <c r="AC28" s="13">
        <v>10</v>
      </c>
      <c r="AD28" s="13">
        <v>5</v>
      </c>
      <c r="AE28" s="13">
        <v>3</v>
      </c>
      <c r="AF28" s="14">
        <v>10</v>
      </c>
      <c r="AG28" s="13">
        <v>2</v>
      </c>
      <c r="AH28" s="13">
        <v>6</v>
      </c>
      <c r="AI28" s="13">
        <v>7</v>
      </c>
      <c r="AJ28" s="13" t="str">
        <f t="shared" si="0"/>
        <v>30-39</v>
      </c>
      <c r="AK28" s="13" t="str">
        <f>IF(tblCleanData[[#This Row],[MonthlyIncome]]&lt;5000, "Low Income", IF(tblCleanData[[#This Row],[MonthlyIncome]]&lt;15000, "Medium Income", "High Income"))</f>
        <v>Low Income</v>
      </c>
      <c r="AL28" s="13">
        <f>IF(tblCleanData[[#This Row],[Attrition]]="No", 0,1)</f>
        <v>1</v>
      </c>
      <c r="AM28" s="13">
        <f>IF(tblCleanData[[#This Row],[OverTime]] = "No", 0, 1)</f>
        <v>1</v>
      </c>
      <c r="AN28" s="13" t="str">
        <f>CHOOSE(tblCleanData[[#This Row],[Education]], "Below College","College","Bachelor","Master","Doctor")</f>
        <v>Below College</v>
      </c>
      <c r="AO28" s="13" t="str">
        <f>VLOOKUP(tblCleanData[[#This Row],[EmployeeNumber]],tblHelpers[],15,TRUE)</f>
        <v>High Risk</v>
      </c>
      <c r="AP28" s="13">
        <f>VLOOKUP(tblCleanData[[#This Row],[EmployeeNumber]],tblHelpers[],14,0)</f>
        <v>83</v>
      </c>
    </row>
    <row r="29" spans="1:42" x14ac:dyDescent="0.25">
      <c r="A29" s="13">
        <v>42</v>
      </c>
      <c r="B29" s="13" t="s">
        <v>59</v>
      </c>
      <c r="C29" s="13" t="s">
        <v>37</v>
      </c>
      <c r="D29" s="13">
        <v>691</v>
      </c>
      <c r="E29" s="13" t="s">
        <v>39</v>
      </c>
      <c r="F29" s="13">
        <v>8</v>
      </c>
      <c r="G29" s="13">
        <v>4</v>
      </c>
      <c r="H29" s="13" t="s">
        <v>206</v>
      </c>
      <c r="I29" s="13">
        <v>1</v>
      </c>
      <c r="J29" s="13">
        <v>35</v>
      </c>
      <c r="K29" s="13">
        <v>3</v>
      </c>
      <c r="L29" s="13" t="s">
        <v>63</v>
      </c>
      <c r="M29" s="13">
        <v>48</v>
      </c>
      <c r="N29" s="13">
        <v>3</v>
      </c>
      <c r="O29" s="13">
        <v>2</v>
      </c>
      <c r="P29" s="13" t="s">
        <v>46</v>
      </c>
      <c r="Q29" s="13">
        <v>2</v>
      </c>
      <c r="R29" s="13" t="s">
        <v>66</v>
      </c>
      <c r="S29" s="20">
        <v>6825</v>
      </c>
      <c r="T29" s="13">
        <v>21173</v>
      </c>
      <c r="U29" s="13">
        <v>0</v>
      </c>
      <c r="V29" s="13" t="s">
        <v>52</v>
      </c>
      <c r="W29" s="13" t="s">
        <v>59</v>
      </c>
      <c r="X29" s="13">
        <v>11</v>
      </c>
      <c r="Y29" s="13">
        <v>3</v>
      </c>
      <c r="Z29" s="13">
        <v>4</v>
      </c>
      <c r="AA29" s="13">
        <v>80</v>
      </c>
      <c r="AB29" s="13">
        <v>1</v>
      </c>
      <c r="AC29" s="13">
        <v>10</v>
      </c>
      <c r="AD29" s="13">
        <v>2</v>
      </c>
      <c r="AE29" s="13">
        <v>3</v>
      </c>
      <c r="AF29" s="14">
        <v>9</v>
      </c>
      <c r="AG29" s="13">
        <v>7</v>
      </c>
      <c r="AH29" s="13">
        <v>4</v>
      </c>
      <c r="AI29" s="13">
        <v>2</v>
      </c>
      <c r="AJ29" s="13" t="str">
        <f t="shared" si="0"/>
        <v>40-49</v>
      </c>
      <c r="AK29" s="13" t="str">
        <f>IF(tblCleanData[[#This Row],[MonthlyIncome]]&lt;5000, "Low Income", IF(tblCleanData[[#This Row],[MonthlyIncome]]&lt;15000, "Medium Income", "High Income"))</f>
        <v>Medium Income</v>
      </c>
      <c r="AL29" s="13">
        <f>IF(tblCleanData[[#This Row],[Attrition]]="No", 0,1)</f>
        <v>0</v>
      </c>
      <c r="AM29" s="13">
        <f>IF(tblCleanData[[#This Row],[OverTime]] = "No", 0, 1)</f>
        <v>0</v>
      </c>
      <c r="AN29" s="13" t="str">
        <f>CHOOSE(tblCleanData[[#This Row],[Education]], "Below College","College","Bachelor","Master","Doctor")</f>
        <v>Master</v>
      </c>
      <c r="AO29" s="13" t="str">
        <f>VLOOKUP(tblCleanData[[#This Row],[EmployeeNumber]],tblHelpers[],15,TRUE)</f>
        <v>Medium Risk</v>
      </c>
      <c r="AP29" s="13">
        <f>VLOOKUP(tblCleanData[[#This Row],[EmployeeNumber]],tblHelpers[],14,0)</f>
        <v>42</v>
      </c>
    </row>
    <row r="30" spans="1:42" x14ac:dyDescent="0.25">
      <c r="A30" s="13">
        <v>44</v>
      </c>
      <c r="B30" s="13" t="s">
        <v>59</v>
      </c>
      <c r="C30" s="13" t="s">
        <v>37</v>
      </c>
      <c r="D30" s="13">
        <v>477</v>
      </c>
      <c r="E30" s="13" t="s">
        <v>62</v>
      </c>
      <c r="F30" s="13">
        <v>7</v>
      </c>
      <c r="G30" s="13">
        <v>4</v>
      </c>
      <c r="H30" s="13" t="s">
        <v>87</v>
      </c>
      <c r="I30" s="13">
        <v>1</v>
      </c>
      <c r="J30" s="13">
        <v>36</v>
      </c>
      <c r="K30" s="13">
        <v>1</v>
      </c>
      <c r="L30" s="13" t="s">
        <v>43</v>
      </c>
      <c r="M30" s="13">
        <v>42</v>
      </c>
      <c r="N30" s="13">
        <v>2</v>
      </c>
      <c r="O30" s="13">
        <v>3</v>
      </c>
      <c r="P30" s="13" t="s">
        <v>122</v>
      </c>
      <c r="Q30" s="13">
        <v>4</v>
      </c>
      <c r="R30" s="13" t="s">
        <v>66</v>
      </c>
      <c r="S30" s="20">
        <v>10248</v>
      </c>
      <c r="T30" s="13">
        <v>2094</v>
      </c>
      <c r="U30" s="13">
        <v>3</v>
      </c>
      <c r="V30" s="13" t="s">
        <v>52</v>
      </c>
      <c r="W30" s="13" t="s">
        <v>59</v>
      </c>
      <c r="X30" s="13">
        <v>14</v>
      </c>
      <c r="Y30" s="13">
        <v>3</v>
      </c>
      <c r="Z30" s="13">
        <v>4</v>
      </c>
      <c r="AA30" s="13">
        <v>80</v>
      </c>
      <c r="AB30" s="13">
        <v>1</v>
      </c>
      <c r="AC30" s="13">
        <v>24</v>
      </c>
      <c r="AD30" s="13">
        <v>4</v>
      </c>
      <c r="AE30" s="13">
        <v>3</v>
      </c>
      <c r="AF30" s="14">
        <v>22</v>
      </c>
      <c r="AG30" s="13">
        <v>6</v>
      </c>
      <c r="AH30" s="13">
        <v>5</v>
      </c>
      <c r="AI30" s="13">
        <v>17</v>
      </c>
      <c r="AJ30" s="13" t="str">
        <f t="shared" si="0"/>
        <v>40-49</v>
      </c>
      <c r="AK30" s="13" t="str">
        <f>IF(tblCleanData[[#This Row],[MonthlyIncome]]&lt;5000, "Low Income", IF(tblCleanData[[#This Row],[MonthlyIncome]]&lt;15000, "Medium Income", "High Income"))</f>
        <v>Medium Income</v>
      </c>
      <c r="AL30" s="13">
        <f>IF(tblCleanData[[#This Row],[Attrition]]="No", 0,1)</f>
        <v>0</v>
      </c>
      <c r="AM30" s="13">
        <f>IF(tblCleanData[[#This Row],[OverTime]] = "No", 0, 1)</f>
        <v>0</v>
      </c>
      <c r="AN30" s="13" t="str">
        <f>CHOOSE(tblCleanData[[#This Row],[Education]], "Below College","College","Bachelor","Master","Doctor")</f>
        <v>Master</v>
      </c>
      <c r="AO30" s="13" t="str">
        <f>VLOOKUP(tblCleanData[[#This Row],[EmployeeNumber]],tblHelpers[],15,TRUE)</f>
        <v>Low Risk</v>
      </c>
      <c r="AP30" s="13">
        <f>VLOOKUP(tblCleanData[[#This Row],[EmployeeNumber]],tblHelpers[],14,0)</f>
        <v>24</v>
      </c>
    </row>
    <row r="31" spans="1:42" x14ac:dyDescent="0.25">
      <c r="A31" s="13">
        <v>46</v>
      </c>
      <c r="B31" s="13" t="s">
        <v>59</v>
      </c>
      <c r="C31" s="13" t="s">
        <v>37</v>
      </c>
      <c r="D31" s="13">
        <v>705</v>
      </c>
      <c r="E31" s="13" t="s">
        <v>39</v>
      </c>
      <c r="F31" s="13">
        <v>2</v>
      </c>
      <c r="G31" s="13">
        <v>4</v>
      </c>
      <c r="H31" s="13" t="s">
        <v>206</v>
      </c>
      <c r="I31" s="13">
        <v>1</v>
      </c>
      <c r="J31" s="13">
        <v>38</v>
      </c>
      <c r="K31" s="13">
        <v>2</v>
      </c>
      <c r="L31" s="13" t="s">
        <v>43</v>
      </c>
      <c r="M31" s="13">
        <v>83</v>
      </c>
      <c r="N31" s="13">
        <v>3</v>
      </c>
      <c r="O31" s="13">
        <v>5</v>
      </c>
      <c r="P31" s="13" t="s">
        <v>169</v>
      </c>
      <c r="Q31" s="13">
        <v>1</v>
      </c>
      <c r="R31" s="13" t="s">
        <v>48</v>
      </c>
      <c r="S31" s="20">
        <v>18947</v>
      </c>
      <c r="T31" s="13">
        <v>22822</v>
      </c>
      <c r="U31" s="13">
        <v>3</v>
      </c>
      <c r="V31" s="13" t="s">
        <v>52</v>
      </c>
      <c r="W31" s="13" t="s">
        <v>59</v>
      </c>
      <c r="X31" s="13">
        <v>12</v>
      </c>
      <c r="Y31" s="13">
        <v>3</v>
      </c>
      <c r="Z31" s="13">
        <v>4</v>
      </c>
      <c r="AA31" s="13">
        <v>80</v>
      </c>
      <c r="AB31" s="13">
        <v>0</v>
      </c>
      <c r="AC31" s="13">
        <v>22</v>
      </c>
      <c r="AD31" s="13">
        <v>2</v>
      </c>
      <c r="AE31" s="13">
        <v>2</v>
      </c>
      <c r="AF31" s="14">
        <v>2</v>
      </c>
      <c r="AG31" s="13">
        <v>2</v>
      </c>
      <c r="AH31" s="13">
        <v>2</v>
      </c>
      <c r="AI31" s="13">
        <v>1</v>
      </c>
      <c r="AJ31" s="13" t="str">
        <f t="shared" si="0"/>
        <v>40-49</v>
      </c>
      <c r="AK31" s="13" t="str">
        <f>IF(tblCleanData[[#This Row],[MonthlyIncome]]&lt;5000, "Low Income", IF(tblCleanData[[#This Row],[MonthlyIncome]]&lt;15000, "Medium Income", "High Income"))</f>
        <v>High Income</v>
      </c>
      <c r="AL31" s="13">
        <f>IF(tblCleanData[[#This Row],[Attrition]]="No", 0,1)</f>
        <v>0</v>
      </c>
      <c r="AM31" s="13">
        <f>IF(tblCleanData[[#This Row],[OverTime]] = "No", 0, 1)</f>
        <v>0</v>
      </c>
      <c r="AN31" s="13" t="str">
        <f>CHOOSE(tblCleanData[[#This Row],[Education]], "Below College","College","Bachelor","Master","Doctor")</f>
        <v>Master</v>
      </c>
      <c r="AO31" s="13" t="str">
        <f>VLOOKUP(tblCleanData[[#This Row],[EmployeeNumber]],tblHelpers[],15,TRUE)</f>
        <v>High Risk</v>
      </c>
      <c r="AP31" s="13">
        <f>VLOOKUP(tblCleanData[[#This Row],[EmployeeNumber]],tblHelpers[],14,0)</f>
        <v>65</v>
      </c>
    </row>
    <row r="32" spans="1:42" x14ac:dyDescent="0.25">
      <c r="A32" s="13">
        <v>33</v>
      </c>
      <c r="B32" s="13" t="s">
        <v>59</v>
      </c>
      <c r="C32" s="13" t="s">
        <v>37</v>
      </c>
      <c r="D32" s="13">
        <v>924</v>
      </c>
      <c r="E32" s="13" t="s">
        <v>62</v>
      </c>
      <c r="F32" s="13">
        <v>2</v>
      </c>
      <c r="G32" s="13">
        <v>3</v>
      </c>
      <c r="H32" s="13" t="s">
        <v>87</v>
      </c>
      <c r="I32" s="13">
        <v>1</v>
      </c>
      <c r="J32" s="13">
        <v>39</v>
      </c>
      <c r="K32" s="13">
        <v>3</v>
      </c>
      <c r="L32" s="13" t="s">
        <v>63</v>
      </c>
      <c r="M32" s="13">
        <v>78</v>
      </c>
      <c r="N32" s="13">
        <v>3</v>
      </c>
      <c r="O32" s="13">
        <v>1</v>
      </c>
      <c r="P32" s="13" t="s">
        <v>76</v>
      </c>
      <c r="Q32" s="13">
        <v>4</v>
      </c>
      <c r="R32" s="13" t="s">
        <v>48</v>
      </c>
      <c r="S32" s="20">
        <v>2496</v>
      </c>
      <c r="T32" s="13">
        <v>6670</v>
      </c>
      <c r="U32" s="13">
        <v>4</v>
      </c>
      <c r="V32" s="13" t="s">
        <v>52</v>
      </c>
      <c r="W32" s="13" t="s">
        <v>59</v>
      </c>
      <c r="X32" s="13">
        <v>11</v>
      </c>
      <c r="Y32" s="13">
        <v>3</v>
      </c>
      <c r="Z32" s="13">
        <v>4</v>
      </c>
      <c r="AA32" s="13">
        <v>80</v>
      </c>
      <c r="AB32" s="13">
        <v>0</v>
      </c>
      <c r="AC32" s="13">
        <v>7</v>
      </c>
      <c r="AD32" s="13">
        <v>3</v>
      </c>
      <c r="AE32" s="13">
        <v>3</v>
      </c>
      <c r="AF32" s="14">
        <v>1</v>
      </c>
      <c r="AG32" s="13">
        <v>1</v>
      </c>
      <c r="AH32" s="13">
        <v>0</v>
      </c>
      <c r="AI32" s="13">
        <v>0</v>
      </c>
      <c r="AJ32" s="13" t="str">
        <f t="shared" si="0"/>
        <v>30-39</v>
      </c>
      <c r="AK32" s="13" t="str">
        <f>IF(tblCleanData[[#This Row],[MonthlyIncome]]&lt;5000, "Low Income", IF(tblCleanData[[#This Row],[MonthlyIncome]]&lt;15000, "Medium Income", "High Income"))</f>
        <v>Low Income</v>
      </c>
      <c r="AL32" s="13">
        <f>IF(tblCleanData[[#This Row],[Attrition]]="No", 0,1)</f>
        <v>0</v>
      </c>
      <c r="AM32" s="13">
        <f>IF(tblCleanData[[#This Row],[OverTime]] = "No", 0, 1)</f>
        <v>0</v>
      </c>
      <c r="AN32" s="13" t="str">
        <f>CHOOSE(tblCleanData[[#This Row],[Education]], "Below College","College","Bachelor","Master","Doctor")</f>
        <v>Bachelor</v>
      </c>
      <c r="AO32" s="13" t="str">
        <f>VLOOKUP(tblCleanData[[#This Row],[EmployeeNumber]],tblHelpers[],15,TRUE)</f>
        <v>High Risk</v>
      </c>
      <c r="AP32" s="13">
        <f>VLOOKUP(tblCleanData[[#This Row],[EmployeeNumber]],tblHelpers[],14,0)</f>
        <v>56</v>
      </c>
    </row>
    <row r="33" spans="1:42" x14ac:dyDescent="0.25">
      <c r="A33" s="13">
        <v>44</v>
      </c>
      <c r="B33" s="13" t="s">
        <v>59</v>
      </c>
      <c r="C33" s="13" t="s">
        <v>37</v>
      </c>
      <c r="D33" s="13">
        <v>1459</v>
      </c>
      <c r="E33" s="13" t="s">
        <v>62</v>
      </c>
      <c r="F33" s="13">
        <v>10</v>
      </c>
      <c r="G33" s="13">
        <v>4</v>
      </c>
      <c r="H33" s="13" t="s">
        <v>74</v>
      </c>
      <c r="I33" s="13">
        <v>1</v>
      </c>
      <c r="J33" s="13">
        <v>40</v>
      </c>
      <c r="K33" s="13">
        <v>4</v>
      </c>
      <c r="L33" s="13" t="s">
        <v>63</v>
      </c>
      <c r="M33" s="13">
        <v>41</v>
      </c>
      <c r="N33" s="13">
        <v>3</v>
      </c>
      <c r="O33" s="13">
        <v>2</v>
      </c>
      <c r="P33" s="13" t="s">
        <v>122</v>
      </c>
      <c r="Q33" s="13">
        <v>4</v>
      </c>
      <c r="R33" s="13" t="s">
        <v>66</v>
      </c>
      <c r="S33" s="20">
        <v>6465</v>
      </c>
      <c r="T33" s="13">
        <v>19121</v>
      </c>
      <c r="U33" s="13">
        <v>2</v>
      </c>
      <c r="V33" s="13" t="s">
        <v>52</v>
      </c>
      <c r="W33" s="13" t="s">
        <v>36</v>
      </c>
      <c r="X33" s="13">
        <v>13</v>
      </c>
      <c r="Y33" s="13">
        <v>3</v>
      </c>
      <c r="Z33" s="13">
        <v>4</v>
      </c>
      <c r="AA33" s="13">
        <v>80</v>
      </c>
      <c r="AB33" s="13">
        <v>0</v>
      </c>
      <c r="AC33" s="13">
        <v>9</v>
      </c>
      <c r="AD33" s="13">
        <v>5</v>
      </c>
      <c r="AE33" s="13">
        <v>4</v>
      </c>
      <c r="AF33" s="14">
        <v>4</v>
      </c>
      <c r="AG33" s="13">
        <v>2</v>
      </c>
      <c r="AH33" s="13">
        <v>1</v>
      </c>
      <c r="AI33" s="13">
        <v>3</v>
      </c>
      <c r="AJ33" s="13" t="str">
        <f t="shared" si="0"/>
        <v>40-49</v>
      </c>
      <c r="AK33" s="13" t="str">
        <f>IF(tblCleanData[[#This Row],[MonthlyIncome]]&lt;5000, "Low Income", IF(tblCleanData[[#This Row],[MonthlyIncome]]&lt;15000, "Medium Income", "High Income"))</f>
        <v>Medium Income</v>
      </c>
      <c r="AL33" s="13">
        <f>IF(tblCleanData[[#This Row],[Attrition]]="No", 0,1)</f>
        <v>0</v>
      </c>
      <c r="AM33" s="13">
        <f>IF(tblCleanData[[#This Row],[OverTime]] = "No", 0, 1)</f>
        <v>1</v>
      </c>
      <c r="AN33" s="13" t="str">
        <f>CHOOSE(tblCleanData[[#This Row],[Education]], "Below College","College","Bachelor","Master","Doctor")</f>
        <v>Master</v>
      </c>
      <c r="AO33" s="13" t="str">
        <f>VLOOKUP(tblCleanData[[#This Row],[EmployeeNumber]],tblHelpers[],15,TRUE)</f>
        <v>High Risk</v>
      </c>
      <c r="AP33" s="13">
        <f>VLOOKUP(tblCleanData[[#This Row],[EmployeeNumber]],tblHelpers[],14,0)</f>
        <v>61</v>
      </c>
    </row>
    <row r="34" spans="1:42" x14ac:dyDescent="0.25">
      <c r="A34" s="13">
        <v>30</v>
      </c>
      <c r="B34" s="13" t="s">
        <v>59</v>
      </c>
      <c r="C34" s="13" t="s">
        <v>37</v>
      </c>
      <c r="D34" s="13">
        <v>125</v>
      </c>
      <c r="E34" s="13" t="s">
        <v>62</v>
      </c>
      <c r="F34" s="13">
        <v>9</v>
      </c>
      <c r="G34" s="13">
        <v>2</v>
      </c>
      <c r="H34" s="13" t="s">
        <v>87</v>
      </c>
      <c r="I34" s="13">
        <v>1</v>
      </c>
      <c r="J34" s="13">
        <v>41</v>
      </c>
      <c r="K34" s="13">
        <v>4</v>
      </c>
      <c r="L34" s="13" t="s">
        <v>63</v>
      </c>
      <c r="M34" s="13">
        <v>83</v>
      </c>
      <c r="N34" s="13">
        <v>2</v>
      </c>
      <c r="O34" s="13">
        <v>1</v>
      </c>
      <c r="P34" s="13" t="s">
        <v>76</v>
      </c>
      <c r="Q34" s="13">
        <v>3</v>
      </c>
      <c r="R34" s="13" t="s">
        <v>48</v>
      </c>
      <c r="S34" s="20">
        <v>2206</v>
      </c>
      <c r="T34" s="13">
        <v>16117</v>
      </c>
      <c r="U34" s="13">
        <v>1</v>
      </c>
      <c r="V34" s="13" t="s">
        <v>52</v>
      </c>
      <c r="W34" s="13" t="s">
        <v>59</v>
      </c>
      <c r="X34" s="13">
        <v>13</v>
      </c>
      <c r="Y34" s="13">
        <v>3</v>
      </c>
      <c r="Z34" s="13">
        <v>1</v>
      </c>
      <c r="AA34" s="13">
        <v>80</v>
      </c>
      <c r="AB34" s="13">
        <v>0</v>
      </c>
      <c r="AC34" s="13">
        <v>10</v>
      </c>
      <c r="AD34" s="13">
        <v>5</v>
      </c>
      <c r="AE34" s="13">
        <v>3</v>
      </c>
      <c r="AF34" s="14">
        <v>10</v>
      </c>
      <c r="AG34" s="13">
        <v>0</v>
      </c>
      <c r="AH34" s="13">
        <v>1</v>
      </c>
      <c r="AI34" s="13">
        <v>8</v>
      </c>
      <c r="AJ34" s="13" t="str">
        <f t="shared" si="0"/>
        <v>30-39</v>
      </c>
      <c r="AK34" s="13" t="str">
        <f>IF(tblCleanData[[#This Row],[MonthlyIncome]]&lt;5000, "Low Income", IF(tblCleanData[[#This Row],[MonthlyIncome]]&lt;15000, "Medium Income", "High Income"))</f>
        <v>Low Income</v>
      </c>
      <c r="AL34" s="13">
        <f>IF(tblCleanData[[#This Row],[Attrition]]="No", 0,1)</f>
        <v>0</v>
      </c>
      <c r="AM34" s="13">
        <f>IF(tblCleanData[[#This Row],[OverTime]] = "No", 0, 1)</f>
        <v>0</v>
      </c>
      <c r="AN34" s="13" t="str">
        <f>CHOOSE(tblCleanData[[#This Row],[Education]], "Below College","College","Bachelor","Master","Doctor")</f>
        <v>College</v>
      </c>
      <c r="AO34" s="13" t="str">
        <f>VLOOKUP(tblCleanData[[#This Row],[EmployeeNumber]],tblHelpers[],15,TRUE)</f>
        <v>Medium Risk</v>
      </c>
      <c r="AP34" s="13">
        <f>VLOOKUP(tblCleanData[[#This Row],[EmployeeNumber]],tblHelpers[],14,0)</f>
        <v>46</v>
      </c>
    </row>
    <row r="35" spans="1:42" x14ac:dyDescent="0.25">
      <c r="A35" s="13">
        <v>39</v>
      </c>
      <c r="B35" s="13" t="s">
        <v>36</v>
      </c>
      <c r="C35" s="13" t="s">
        <v>37</v>
      </c>
      <c r="D35" s="13">
        <v>895</v>
      </c>
      <c r="E35" s="13" t="s">
        <v>39</v>
      </c>
      <c r="F35" s="13">
        <v>5</v>
      </c>
      <c r="G35" s="13">
        <v>3</v>
      </c>
      <c r="H35" s="13" t="s">
        <v>228</v>
      </c>
      <c r="I35" s="13">
        <v>1</v>
      </c>
      <c r="J35" s="13">
        <v>42</v>
      </c>
      <c r="K35" s="13">
        <v>4</v>
      </c>
      <c r="L35" s="13" t="s">
        <v>63</v>
      </c>
      <c r="M35" s="13">
        <v>56</v>
      </c>
      <c r="N35" s="13">
        <v>3</v>
      </c>
      <c r="O35" s="13">
        <v>2</v>
      </c>
      <c r="P35" s="13" t="s">
        <v>182</v>
      </c>
      <c r="Q35" s="13">
        <v>4</v>
      </c>
      <c r="R35" s="13" t="s">
        <v>66</v>
      </c>
      <c r="S35" s="20">
        <v>2086</v>
      </c>
      <c r="T35" s="13">
        <v>3335</v>
      </c>
      <c r="U35" s="13">
        <v>3</v>
      </c>
      <c r="V35" s="13" t="s">
        <v>52</v>
      </c>
      <c r="W35" s="13" t="s">
        <v>59</v>
      </c>
      <c r="X35" s="13">
        <v>14</v>
      </c>
      <c r="Y35" s="13">
        <v>3</v>
      </c>
      <c r="Z35" s="13">
        <v>3</v>
      </c>
      <c r="AA35" s="13">
        <v>80</v>
      </c>
      <c r="AB35" s="13">
        <v>1</v>
      </c>
      <c r="AC35" s="13">
        <v>19</v>
      </c>
      <c r="AD35" s="13">
        <v>6</v>
      </c>
      <c r="AE35" s="13">
        <v>4</v>
      </c>
      <c r="AF35" s="14">
        <v>1</v>
      </c>
      <c r="AG35" s="13">
        <v>0</v>
      </c>
      <c r="AH35" s="13">
        <v>0</v>
      </c>
      <c r="AI35" s="13">
        <v>0</v>
      </c>
      <c r="AJ35" s="13" t="str">
        <f t="shared" si="0"/>
        <v>30-39</v>
      </c>
      <c r="AK35" s="13" t="str">
        <f>IF(tblCleanData[[#This Row],[MonthlyIncome]]&lt;5000, "Low Income", IF(tblCleanData[[#This Row],[MonthlyIncome]]&lt;15000, "Medium Income", "High Income"))</f>
        <v>Low Income</v>
      </c>
      <c r="AL35" s="13">
        <f>IF(tblCleanData[[#This Row],[Attrition]]="No", 0,1)</f>
        <v>1</v>
      </c>
      <c r="AM35" s="13">
        <f>IF(tblCleanData[[#This Row],[OverTime]] = "No", 0, 1)</f>
        <v>0</v>
      </c>
      <c r="AN35" s="13" t="str">
        <f>CHOOSE(tblCleanData[[#This Row],[Education]], "Below College","College","Bachelor","Master","Doctor")</f>
        <v>Bachelor</v>
      </c>
      <c r="AO35" s="13" t="str">
        <f>VLOOKUP(tblCleanData[[#This Row],[EmployeeNumber]],tblHelpers[],15,TRUE)</f>
        <v>High Risk</v>
      </c>
      <c r="AP35" s="13">
        <f>VLOOKUP(tblCleanData[[#This Row],[EmployeeNumber]],tblHelpers[],14,0)</f>
        <v>56</v>
      </c>
    </row>
    <row r="36" spans="1:42" x14ac:dyDescent="0.25">
      <c r="A36" s="13">
        <v>24</v>
      </c>
      <c r="B36" s="13" t="s">
        <v>36</v>
      </c>
      <c r="C36" s="13" t="s">
        <v>37</v>
      </c>
      <c r="D36" s="13">
        <v>813</v>
      </c>
      <c r="E36" s="13" t="s">
        <v>62</v>
      </c>
      <c r="F36" s="13">
        <v>1</v>
      </c>
      <c r="G36" s="13">
        <v>3</v>
      </c>
      <c r="H36" s="13" t="s">
        <v>87</v>
      </c>
      <c r="I36" s="13">
        <v>1</v>
      </c>
      <c r="J36" s="13">
        <v>45</v>
      </c>
      <c r="K36" s="13">
        <v>2</v>
      </c>
      <c r="L36" s="13" t="s">
        <v>63</v>
      </c>
      <c r="M36" s="13">
        <v>61</v>
      </c>
      <c r="N36" s="13">
        <v>3</v>
      </c>
      <c r="O36" s="13">
        <v>1</v>
      </c>
      <c r="P36" s="13" t="s">
        <v>65</v>
      </c>
      <c r="Q36" s="13">
        <v>4</v>
      </c>
      <c r="R36" s="13" t="s">
        <v>66</v>
      </c>
      <c r="S36" s="20">
        <v>2293</v>
      </c>
      <c r="T36" s="13">
        <v>3020</v>
      </c>
      <c r="U36" s="13">
        <v>2</v>
      </c>
      <c r="V36" s="13" t="s">
        <v>52</v>
      </c>
      <c r="W36" s="13" t="s">
        <v>36</v>
      </c>
      <c r="X36" s="13">
        <v>16</v>
      </c>
      <c r="Y36" s="13">
        <v>3</v>
      </c>
      <c r="Z36" s="13">
        <v>1</v>
      </c>
      <c r="AA36" s="13">
        <v>80</v>
      </c>
      <c r="AB36" s="13">
        <v>1</v>
      </c>
      <c r="AC36" s="13">
        <v>6</v>
      </c>
      <c r="AD36" s="13">
        <v>2</v>
      </c>
      <c r="AE36" s="13">
        <v>2</v>
      </c>
      <c r="AF36" s="14">
        <v>2</v>
      </c>
      <c r="AG36" s="13">
        <v>0</v>
      </c>
      <c r="AH36" s="13">
        <v>2</v>
      </c>
      <c r="AI36" s="13">
        <v>0</v>
      </c>
      <c r="AJ36" s="13" t="str">
        <f t="shared" si="0"/>
        <v>Under 30</v>
      </c>
      <c r="AK36" s="13" t="str">
        <f>IF(tblCleanData[[#This Row],[MonthlyIncome]]&lt;5000, "Low Income", IF(tblCleanData[[#This Row],[MonthlyIncome]]&lt;15000, "Medium Income", "High Income"))</f>
        <v>Low Income</v>
      </c>
      <c r="AL36" s="13">
        <f>IF(tblCleanData[[#This Row],[Attrition]]="No", 0,1)</f>
        <v>1</v>
      </c>
      <c r="AM36" s="13">
        <f>IF(tblCleanData[[#This Row],[OverTime]] = "No", 0, 1)</f>
        <v>1</v>
      </c>
      <c r="AN36" s="13" t="str">
        <f>CHOOSE(tblCleanData[[#This Row],[Education]], "Below College","College","Bachelor","Master","Doctor")</f>
        <v>Bachelor</v>
      </c>
      <c r="AO36" s="13" t="str">
        <f>VLOOKUP(tblCleanData[[#This Row],[EmployeeNumber]],tblHelpers[],15,TRUE)</f>
        <v>High Risk</v>
      </c>
      <c r="AP36" s="13">
        <f>VLOOKUP(tblCleanData[[#This Row],[EmployeeNumber]],tblHelpers[],14,0)</f>
        <v>91</v>
      </c>
    </row>
    <row r="37" spans="1:42" x14ac:dyDescent="0.25">
      <c r="A37" s="13">
        <v>43</v>
      </c>
      <c r="B37" s="13" t="s">
        <v>59</v>
      </c>
      <c r="C37" s="13" t="s">
        <v>37</v>
      </c>
      <c r="D37" s="13">
        <v>1273</v>
      </c>
      <c r="E37" s="13" t="s">
        <v>62</v>
      </c>
      <c r="F37" s="13">
        <v>2</v>
      </c>
      <c r="G37" s="13">
        <v>2</v>
      </c>
      <c r="H37" s="13" t="s">
        <v>87</v>
      </c>
      <c r="I37" s="13">
        <v>1</v>
      </c>
      <c r="J37" s="13">
        <v>46</v>
      </c>
      <c r="K37" s="13">
        <v>4</v>
      </c>
      <c r="L37" s="13" t="s">
        <v>43</v>
      </c>
      <c r="M37" s="13">
        <v>72</v>
      </c>
      <c r="N37" s="13">
        <v>4</v>
      </c>
      <c r="O37" s="13">
        <v>1</v>
      </c>
      <c r="P37" s="13" t="s">
        <v>65</v>
      </c>
      <c r="Q37" s="13">
        <v>3</v>
      </c>
      <c r="R37" s="13" t="s">
        <v>109</v>
      </c>
      <c r="S37" s="20">
        <v>2645</v>
      </c>
      <c r="T37" s="13">
        <v>21923</v>
      </c>
      <c r="U37" s="13">
        <v>1</v>
      </c>
      <c r="V37" s="13" t="s">
        <v>52</v>
      </c>
      <c r="W37" s="13" t="s">
        <v>59</v>
      </c>
      <c r="X37" s="13">
        <v>12</v>
      </c>
      <c r="Y37" s="13">
        <v>3</v>
      </c>
      <c r="Z37" s="13">
        <v>4</v>
      </c>
      <c r="AA37" s="13">
        <v>80</v>
      </c>
      <c r="AB37" s="13">
        <v>2</v>
      </c>
      <c r="AC37" s="13">
        <v>6</v>
      </c>
      <c r="AD37" s="13">
        <v>3</v>
      </c>
      <c r="AE37" s="13">
        <v>2</v>
      </c>
      <c r="AF37" s="14">
        <v>5</v>
      </c>
      <c r="AG37" s="13">
        <v>3</v>
      </c>
      <c r="AH37" s="13">
        <v>1</v>
      </c>
      <c r="AI37" s="13">
        <v>4</v>
      </c>
      <c r="AJ37" s="13" t="str">
        <f t="shared" si="0"/>
        <v>40-49</v>
      </c>
      <c r="AK37" s="13" t="str">
        <f>IF(tblCleanData[[#This Row],[MonthlyIncome]]&lt;5000, "Low Income", IF(tblCleanData[[#This Row],[MonthlyIncome]]&lt;15000, "Medium Income", "High Income"))</f>
        <v>Low Income</v>
      </c>
      <c r="AL37" s="13">
        <f>IF(tblCleanData[[#This Row],[Attrition]]="No", 0,1)</f>
        <v>0</v>
      </c>
      <c r="AM37" s="13">
        <f>IF(tblCleanData[[#This Row],[OverTime]] = "No", 0, 1)</f>
        <v>0</v>
      </c>
      <c r="AN37" s="13" t="str">
        <f>CHOOSE(tblCleanData[[#This Row],[Education]], "Below College","College","Bachelor","Master","Doctor")</f>
        <v>College</v>
      </c>
      <c r="AO37" s="13" t="str">
        <f>VLOOKUP(tblCleanData[[#This Row],[EmployeeNumber]],tblHelpers[],15,TRUE)</f>
        <v>Medium Risk</v>
      </c>
      <c r="AP37" s="13">
        <f>VLOOKUP(tblCleanData[[#This Row],[EmployeeNumber]],tblHelpers[],14,0)</f>
        <v>43</v>
      </c>
    </row>
    <row r="38" spans="1:42" x14ac:dyDescent="0.25">
      <c r="A38" s="13">
        <v>50</v>
      </c>
      <c r="B38" s="13" t="s">
        <v>36</v>
      </c>
      <c r="C38" s="13" t="s">
        <v>37</v>
      </c>
      <c r="D38" s="13">
        <v>869</v>
      </c>
      <c r="E38" s="13" t="s">
        <v>39</v>
      </c>
      <c r="F38" s="13">
        <v>3</v>
      </c>
      <c r="G38" s="13">
        <v>2</v>
      </c>
      <c r="H38" s="13" t="s">
        <v>206</v>
      </c>
      <c r="I38" s="13">
        <v>1</v>
      </c>
      <c r="J38" s="13">
        <v>47</v>
      </c>
      <c r="K38" s="13">
        <v>1</v>
      </c>
      <c r="L38" s="13" t="s">
        <v>63</v>
      </c>
      <c r="M38" s="13">
        <v>86</v>
      </c>
      <c r="N38" s="13">
        <v>2</v>
      </c>
      <c r="O38" s="13">
        <v>1</v>
      </c>
      <c r="P38" s="13" t="s">
        <v>182</v>
      </c>
      <c r="Q38" s="13">
        <v>3</v>
      </c>
      <c r="R38" s="13" t="s">
        <v>66</v>
      </c>
      <c r="S38" s="20">
        <v>2683</v>
      </c>
      <c r="T38" s="13">
        <v>3810</v>
      </c>
      <c r="U38" s="13">
        <v>1</v>
      </c>
      <c r="V38" s="13" t="s">
        <v>52</v>
      </c>
      <c r="W38" s="13" t="s">
        <v>36</v>
      </c>
      <c r="X38" s="13">
        <v>14</v>
      </c>
      <c r="Y38" s="13">
        <v>3</v>
      </c>
      <c r="Z38" s="13">
        <v>3</v>
      </c>
      <c r="AA38" s="13">
        <v>80</v>
      </c>
      <c r="AB38" s="13">
        <v>0</v>
      </c>
      <c r="AC38" s="13">
        <v>3</v>
      </c>
      <c r="AD38" s="13">
        <v>2</v>
      </c>
      <c r="AE38" s="13">
        <v>3</v>
      </c>
      <c r="AF38" s="14">
        <v>3</v>
      </c>
      <c r="AG38" s="13">
        <v>2</v>
      </c>
      <c r="AH38" s="13">
        <v>0</v>
      </c>
      <c r="AI38" s="13">
        <v>2</v>
      </c>
      <c r="AJ38" s="13" t="str">
        <f t="shared" si="0"/>
        <v>50+</v>
      </c>
      <c r="AK38" s="13" t="str">
        <f>IF(tblCleanData[[#This Row],[MonthlyIncome]]&lt;5000, "Low Income", IF(tblCleanData[[#This Row],[MonthlyIncome]]&lt;15000, "Medium Income", "High Income"))</f>
        <v>Low Income</v>
      </c>
      <c r="AL38" s="13">
        <f>IF(tblCleanData[[#This Row],[Attrition]]="No", 0,1)</f>
        <v>1</v>
      </c>
      <c r="AM38" s="13">
        <f>IF(tblCleanData[[#This Row],[OverTime]] = "No", 0, 1)</f>
        <v>1</v>
      </c>
      <c r="AN38" s="13" t="str">
        <f>CHOOSE(tblCleanData[[#This Row],[Education]], "Below College","College","Bachelor","Master","Doctor")</f>
        <v>College</v>
      </c>
      <c r="AO38" s="13" t="str">
        <f>VLOOKUP(tblCleanData[[#This Row],[EmployeeNumber]],tblHelpers[],15,TRUE)</f>
        <v>High Risk</v>
      </c>
      <c r="AP38" s="13">
        <f>VLOOKUP(tblCleanData[[#This Row],[EmployeeNumber]],tblHelpers[],14,0)</f>
        <v>73</v>
      </c>
    </row>
    <row r="39" spans="1:42" x14ac:dyDescent="0.25">
      <c r="A39" s="13">
        <v>35</v>
      </c>
      <c r="B39" s="13" t="s">
        <v>59</v>
      </c>
      <c r="C39" s="13" t="s">
        <v>37</v>
      </c>
      <c r="D39" s="13">
        <v>890</v>
      </c>
      <c r="E39" s="13" t="s">
        <v>39</v>
      </c>
      <c r="F39" s="13">
        <v>2</v>
      </c>
      <c r="G39" s="13">
        <v>3</v>
      </c>
      <c r="H39" s="13" t="s">
        <v>206</v>
      </c>
      <c r="I39" s="13">
        <v>1</v>
      </c>
      <c r="J39" s="13">
        <v>49</v>
      </c>
      <c r="K39" s="13">
        <v>4</v>
      </c>
      <c r="L39" s="13" t="s">
        <v>43</v>
      </c>
      <c r="M39" s="13">
        <v>97</v>
      </c>
      <c r="N39" s="13">
        <v>3</v>
      </c>
      <c r="O39" s="13">
        <v>1</v>
      </c>
      <c r="P39" s="13" t="s">
        <v>182</v>
      </c>
      <c r="Q39" s="13">
        <v>4</v>
      </c>
      <c r="R39" s="13" t="s">
        <v>66</v>
      </c>
      <c r="S39" s="20">
        <v>2014</v>
      </c>
      <c r="T39" s="13">
        <v>9687</v>
      </c>
      <c r="U39" s="13">
        <v>1</v>
      </c>
      <c r="V39" s="13" t="s">
        <v>52</v>
      </c>
      <c r="W39" s="13" t="s">
        <v>59</v>
      </c>
      <c r="X39" s="13">
        <v>13</v>
      </c>
      <c r="Y39" s="13">
        <v>3</v>
      </c>
      <c r="Z39" s="13">
        <v>1</v>
      </c>
      <c r="AA39" s="13">
        <v>80</v>
      </c>
      <c r="AB39" s="13">
        <v>0</v>
      </c>
      <c r="AC39" s="13">
        <v>2</v>
      </c>
      <c r="AD39" s="13">
        <v>3</v>
      </c>
      <c r="AE39" s="13">
        <v>3</v>
      </c>
      <c r="AF39" s="14">
        <v>2</v>
      </c>
      <c r="AG39" s="13">
        <v>2</v>
      </c>
      <c r="AH39" s="13">
        <v>2</v>
      </c>
      <c r="AI39" s="13">
        <v>2</v>
      </c>
      <c r="AJ39" s="13" t="str">
        <f t="shared" si="0"/>
        <v>30-39</v>
      </c>
      <c r="AK39" s="13" t="str">
        <f>IF(tblCleanData[[#This Row],[MonthlyIncome]]&lt;5000, "Low Income", IF(tblCleanData[[#This Row],[MonthlyIncome]]&lt;15000, "Medium Income", "High Income"))</f>
        <v>Low Income</v>
      </c>
      <c r="AL39" s="13">
        <f>IF(tblCleanData[[#This Row],[Attrition]]="No", 0,1)</f>
        <v>0</v>
      </c>
      <c r="AM39" s="13">
        <f>IF(tblCleanData[[#This Row],[OverTime]] = "No", 0, 1)</f>
        <v>0</v>
      </c>
      <c r="AN39" s="13" t="str">
        <f>CHOOSE(tblCleanData[[#This Row],[Education]], "Below College","College","Bachelor","Master","Doctor")</f>
        <v>Bachelor</v>
      </c>
      <c r="AO39" s="13" t="str">
        <f>VLOOKUP(tblCleanData[[#This Row],[EmployeeNumber]],tblHelpers[],15,TRUE)</f>
        <v>High Risk</v>
      </c>
      <c r="AP39" s="13">
        <f>VLOOKUP(tblCleanData[[#This Row],[EmployeeNumber]],tblHelpers[],14,0)</f>
        <v>56</v>
      </c>
    </row>
    <row r="40" spans="1:42" x14ac:dyDescent="0.25">
      <c r="A40" s="13">
        <v>36</v>
      </c>
      <c r="B40" s="13" t="s">
        <v>59</v>
      </c>
      <c r="C40" s="13" t="s">
        <v>37</v>
      </c>
      <c r="D40" s="13">
        <v>852</v>
      </c>
      <c r="E40" s="13" t="s">
        <v>62</v>
      </c>
      <c r="F40" s="13">
        <v>5</v>
      </c>
      <c r="G40" s="13">
        <v>4</v>
      </c>
      <c r="H40" s="13" t="s">
        <v>42</v>
      </c>
      <c r="I40" s="13">
        <v>1</v>
      </c>
      <c r="J40" s="13">
        <v>51</v>
      </c>
      <c r="K40" s="13">
        <v>2</v>
      </c>
      <c r="L40" s="13" t="s">
        <v>43</v>
      </c>
      <c r="M40" s="13">
        <v>82</v>
      </c>
      <c r="N40" s="13">
        <v>2</v>
      </c>
      <c r="O40" s="13">
        <v>1</v>
      </c>
      <c r="P40" s="13" t="s">
        <v>65</v>
      </c>
      <c r="Q40" s="13">
        <v>1</v>
      </c>
      <c r="R40" s="13" t="s">
        <v>66</v>
      </c>
      <c r="S40" s="20">
        <v>3419</v>
      </c>
      <c r="T40" s="13">
        <v>13072</v>
      </c>
      <c r="U40" s="13">
        <v>9</v>
      </c>
      <c r="V40" s="13" t="s">
        <v>52</v>
      </c>
      <c r="W40" s="13" t="s">
        <v>36</v>
      </c>
      <c r="X40" s="13">
        <v>14</v>
      </c>
      <c r="Y40" s="13">
        <v>3</v>
      </c>
      <c r="Z40" s="13">
        <v>4</v>
      </c>
      <c r="AA40" s="13">
        <v>80</v>
      </c>
      <c r="AB40" s="13">
        <v>1</v>
      </c>
      <c r="AC40" s="13">
        <v>6</v>
      </c>
      <c r="AD40" s="13">
        <v>3</v>
      </c>
      <c r="AE40" s="13">
        <v>4</v>
      </c>
      <c r="AF40" s="14">
        <v>1</v>
      </c>
      <c r="AG40" s="13">
        <v>1</v>
      </c>
      <c r="AH40" s="13">
        <v>0</v>
      </c>
      <c r="AI40" s="13">
        <v>0</v>
      </c>
      <c r="AJ40" s="13" t="str">
        <f t="shared" si="0"/>
        <v>30-39</v>
      </c>
      <c r="AK40" s="13" t="str">
        <f>IF(tblCleanData[[#This Row],[MonthlyIncome]]&lt;5000, "Low Income", IF(tblCleanData[[#This Row],[MonthlyIncome]]&lt;15000, "Medium Income", "High Income"))</f>
        <v>Low Income</v>
      </c>
      <c r="AL40" s="13">
        <f>IF(tblCleanData[[#This Row],[Attrition]]="No", 0,1)</f>
        <v>0</v>
      </c>
      <c r="AM40" s="13">
        <f>IF(tblCleanData[[#This Row],[OverTime]] = "No", 0, 1)</f>
        <v>1</v>
      </c>
      <c r="AN40" s="13" t="str">
        <f>CHOOSE(tblCleanData[[#This Row],[Education]], "Below College","College","Bachelor","Master","Doctor")</f>
        <v>Master</v>
      </c>
      <c r="AO40" s="13" t="str">
        <f>VLOOKUP(tblCleanData[[#This Row],[EmployeeNumber]],tblHelpers[],15,TRUE)</f>
        <v>High Risk</v>
      </c>
      <c r="AP40" s="13">
        <f>VLOOKUP(tblCleanData[[#This Row],[EmployeeNumber]],tblHelpers[],14,0)</f>
        <v>100</v>
      </c>
    </row>
    <row r="41" spans="1:42" x14ac:dyDescent="0.25">
      <c r="A41" s="13">
        <v>33</v>
      </c>
      <c r="B41" s="13" t="s">
        <v>59</v>
      </c>
      <c r="C41" s="13" t="s">
        <v>60</v>
      </c>
      <c r="D41" s="13">
        <v>1141</v>
      </c>
      <c r="E41" s="13" t="s">
        <v>39</v>
      </c>
      <c r="F41" s="13">
        <v>1</v>
      </c>
      <c r="G41" s="13">
        <v>3</v>
      </c>
      <c r="H41" s="13" t="s">
        <v>42</v>
      </c>
      <c r="I41" s="13">
        <v>1</v>
      </c>
      <c r="J41" s="13">
        <v>52</v>
      </c>
      <c r="K41" s="13">
        <v>3</v>
      </c>
      <c r="L41" s="13" t="s">
        <v>43</v>
      </c>
      <c r="M41" s="13">
        <v>42</v>
      </c>
      <c r="N41" s="13">
        <v>4</v>
      </c>
      <c r="O41" s="13">
        <v>2</v>
      </c>
      <c r="P41" s="13" t="s">
        <v>46</v>
      </c>
      <c r="Q41" s="13">
        <v>1</v>
      </c>
      <c r="R41" s="13" t="s">
        <v>66</v>
      </c>
      <c r="S41" s="20">
        <v>5376</v>
      </c>
      <c r="T41" s="13">
        <v>3193</v>
      </c>
      <c r="U41" s="13">
        <v>2</v>
      </c>
      <c r="V41" s="13" t="s">
        <v>52</v>
      </c>
      <c r="W41" s="13" t="s">
        <v>59</v>
      </c>
      <c r="X41" s="13">
        <v>19</v>
      </c>
      <c r="Y41" s="13">
        <v>3</v>
      </c>
      <c r="Z41" s="13">
        <v>1</v>
      </c>
      <c r="AA41" s="13">
        <v>80</v>
      </c>
      <c r="AB41" s="13">
        <v>2</v>
      </c>
      <c r="AC41" s="13">
        <v>10</v>
      </c>
      <c r="AD41" s="13">
        <v>3</v>
      </c>
      <c r="AE41" s="13">
        <v>3</v>
      </c>
      <c r="AF41" s="14">
        <v>5</v>
      </c>
      <c r="AG41" s="13">
        <v>3</v>
      </c>
      <c r="AH41" s="13">
        <v>1</v>
      </c>
      <c r="AI41" s="13">
        <v>3</v>
      </c>
      <c r="AJ41" s="13" t="str">
        <f t="shared" si="0"/>
        <v>30-39</v>
      </c>
      <c r="AK41" s="13" t="str">
        <f>IF(tblCleanData[[#This Row],[MonthlyIncome]]&lt;5000, "Low Income", IF(tblCleanData[[#This Row],[MonthlyIncome]]&lt;15000, "Medium Income", "High Income"))</f>
        <v>Medium Income</v>
      </c>
      <c r="AL41" s="13">
        <f>IF(tblCleanData[[#This Row],[Attrition]]="No", 0,1)</f>
        <v>0</v>
      </c>
      <c r="AM41" s="13">
        <f>IF(tblCleanData[[#This Row],[OverTime]] = "No", 0, 1)</f>
        <v>0</v>
      </c>
      <c r="AN41" s="13" t="str">
        <f>CHOOSE(tblCleanData[[#This Row],[Education]], "Below College","College","Bachelor","Master","Doctor")</f>
        <v>Bachelor</v>
      </c>
      <c r="AO41" s="13" t="str">
        <f>VLOOKUP(tblCleanData[[#This Row],[EmployeeNumber]],tblHelpers[],15,TRUE)</f>
        <v>High Risk</v>
      </c>
      <c r="AP41" s="13">
        <f>VLOOKUP(tblCleanData[[#This Row],[EmployeeNumber]],tblHelpers[],14,0)</f>
        <v>65</v>
      </c>
    </row>
    <row r="42" spans="1:42" x14ac:dyDescent="0.25">
      <c r="A42" s="13">
        <v>35</v>
      </c>
      <c r="B42" s="13" t="s">
        <v>59</v>
      </c>
      <c r="C42" s="13" t="s">
        <v>37</v>
      </c>
      <c r="D42" s="13">
        <v>464</v>
      </c>
      <c r="E42" s="13" t="s">
        <v>62</v>
      </c>
      <c r="F42" s="13">
        <v>4</v>
      </c>
      <c r="G42" s="13">
        <v>2</v>
      </c>
      <c r="H42" s="13" t="s">
        <v>74</v>
      </c>
      <c r="I42" s="13">
        <v>1</v>
      </c>
      <c r="J42" s="13">
        <v>53</v>
      </c>
      <c r="K42" s="13">
        <v>3</v>
      </c>
      <c r="L42" s="13" t="s">
        <v>63</v>
      </c>
      <c r="M42" s="13">
        <v>75</v>
      </c>
      <c r="N42" s="13">
        <v>3</v>
      </c>
      <c r="O42" s="13">
        <v>1</v>
      </c>
      <c r="P42" s="13" t="s">
        <v>76</v>
      </c>
      <c r="Q42" s="13">
        <v>4</v>
      </c>
      <c r="R42" s="13" t="s">
        <v>109</v>
      </c>
      <c r="S42" s="20">
        <v>1951</v>
      </c>
      <c r="T42" s="13">
        <v>10910</v>
      </c>
      <c r="U42" s="13">
        <v>1</v>
      </c>
      <c r="V42" s="13" t="s">
        <v>52</v>
      </c>
      <c r="W42" s="13" t="s">
        <v>59</v>
      </c>
      <c r="X42" s="13">
        <v>12</v>
      </c>
      <c r="Y42" s="13">
        <v>3</v>
      </c>
      <c r="Z42" s="13">
        <v>3</v>
      </c>
      <c r="AA42" s="13">
        <v>80</v>
      </c>
      <c r="AB42" s="13">
        <v>1</v>
      </c>
      <c r="AC42" s="13">
        <v>1</v>
      </c>
      <c r="AD42" s="13">
        <v>3</v>
      </c>
      <c r="AE42" s="13">
        <v>3</v>
      </c>
      <c r="AF42" s="14">
        <v>1</v>
      </c>
      <c r="AG42" s="13">
        <v>0</v>
      </c>
      <c r="AH42" s="13">
        <v>0</v>
      </c>
      <c r="AI42" s="13">
        <v>0</v>
      </c>
      <c r="AJ42" s="13" t="str">
        <f t="shared" si="0"/>
        <v>30-39</v>
      </c>
      <c r="AK42" s="13" t="str">
        <f>IF(tblCleanData[[#This Row],[MonthlyIncome]]&lt;5000, "Low Income", IF(tblCleanData[[#This Row],[MonthlyIncome]]&lt;15000, "Medium Income", "High Income"))</f>
        <v>Low Income</v>
      </c>
      <c r="AL42" s="13">
        <f>IF(tblCleanData[[#This Row],[Attrition]]="No", 0,1)</f>
        <v>0</v>
      </c>
      <c r="AM42" s="13">
        <f>IF(tblCleanData[[#This Row],[OverTime]] = "No", 0, 1)</f>
        <v>0</v>
      </c>
      <c r="AN42" s="13" t="str">
        <f>CHOOSE(tblCleanData[[#This Row],[Education]], "Below College","College","Bachelor","Master","Doctor")</f>
        <v>College</v>
      </c>
      <c r="AO42" s="13" t="str">
        <f>VLOOKUP(tblCleanData[[#This Row],[EmployeeNumber]],tblHelpers[],15,TRUE)</f>
        <v>High Risk</v>
      </c>
      <c r="AP42" s="13">
        <f>VLOOKUP(tblCleanData[[#This Row],[EmployeeNumber]],tblHelpers[],14,0)</f>
        <v>56</v>
      </c>
    </row>
    <row r="43" spans="1:42" x14ac:dyDescent="0.25">
      <c r="A43" s="13">
        <v>27</v>
      </c>
      <c r="B43" s="13" t="s">
        <v>59</v>
      </c>
      <c r="C43" s="13" t="s">
        <v>37</v>
      </c>
      <c r="D43" s="13">
        <v>1240</v>
      </c>
      <c r="E43" s="13" t="s">
        <v>62</v>
      </c>
      <c r="F43" s="13">
        <v>2</v>
      </c>
      <c r="G43" s="13">
        <v>4</v>
      </c>
      <c r="H43" s="13" t="s">
        <v>42</v>
      </c>
      <c r="I43" s="13">
        <v>1</v>
      </c>
      <c r="J43" s="13">
        <v>54</v>
      </c>
      <c r="K43" s="13">
        <v>4</v>
      </c>
      <c r="L43" s="13" t="s">
        <v>43</v>
      </c>
      <c r="M43" s="13">
        <v>33</v>
      </c>
      <c r="N43" s="13">
        <v>3</v>
      </c>
      <c r="O43" s="13">
        <v>1</v>
      </c>
      <c r="P43" s="13" t="s">
        <v>76</v>
      </c>
      <c r="Q43" s="13">
        <v>1</v>
      </c>
      <c r="R43" s="13" t="s">
        <v>109</v>
      </c>
      <c r="S43" s="20">
        <v>2341</v>
      </c>
      <c r="T43" s="13">
        <v>19715</v>
      </c>
      <c r="U43" s="13">
        <v>1</v>
      </c>
      <c r="V43" s="13" t="s">
        <v>52</v>
      </c>
      <c r="W43" s="13" t="s">
        <v>59</v>
      </c>
      <c r="X43" s="13">
        <v>13</v>
      </c>
      <c r="Y43" s="13">
        <v>3</v>
      </c>
      <c r="Z43" s="13">
        <v>4</v>
      </c>
      <c r="AA43" s="13">
        <v>80</v>
      </c>
      <c r="AB43" s="13">
        <v>1</v>
      </c>
      <c r="AC43" s="13">
        <v>1</v>
      </c>
      <c r="AD43" s="13">
        <v>6</v>
      </c>
      <c r="AE43" s="13">
        <v>3</v>
      </c>
      <c r="AF43" s="14">
        <v>1</v>
      </c>
      <c r="AG43" s="13">
        <v>0</v>
      </c>
      <c r="AH43" s="13">
        <v>0</v>
      </c>
      <c r="AI43" s="13">
        <v>0</v>
      </c>
      <c r="AJ43" s="13" t="str">
        <f t="shared" si="0"/>
        <v>Under 30</v>
      </c>
      <c r="AK43" s="13" t="str">
        <f>IF(tblCleanData[[#This Row],[MonthlyIncome]]&lt;5000, "Low Income", IF(tblCleanData[[#This Row],[MonthlyIncome]]&lt;15000, "Medium Income", "High Income"))</f>
        <v>Low Income</v>
      </c>
      <c r="AL43" s="13">
        <f>IF(tblCleanData[[#This Row],[Attrition]]="No", 0,1)</f>
        <v>0</v>
      </c>
      <c r="AM43" s="13">
        <f>IF(tblCleanData[[#This Row],[OverTime]] = "No", 0, 1)</f>
        <v>0</v>
      </c>
      <c r="AN43" s="13" t="str">
        <f>CHOOSE(tblCleanData[[#This Row],[Education]], "Below College","College","Bachelor","Master","Doctor")</f>
        <v>Master</v>
      </c>
      <c r="AO43" s="13" t="str">
        <f>VLOOKUP(tblCleanData[[#This Row],[EmployeeNumber]],tblHelpers[],15,TRUE)</f>
        <v>High Risk</v>
      </c>
      <c r="AP43" s="13">
        <f>VLOOKUP(tblCleanData[[#This Row],[EmployeeNumber]],tblHelpers[],14,0)</f>
        <v>85</v>
      </c>
    </row>
    <row r="44" spans="1:42" x14ac:dyDescent="0.25">
      <c r="A44" s="13">
        <v>26</v>
      </c>
      <c r="B44" s="13" t="s">
        <v>36</v>
      </c>
      <c r="C44" s="13" t="s">
        <v>37</v>
      </c>
      <c r="D44" s="13">
        <v>1357</v>
      </c>
      <c r="E44" s="13" t="s">
        <v>62</v>
      </c>
      <c r="F44" s="13">
        <v>25</v>
      </c>
      <c r="G44" s="13">
        <v>3</v>
      </c>
      <c r="H44" s="13" t="s">
        <v>42</v>
      </c>
      <c r="I44" s="13">
        <v>1</v>
      </c>
      <c r="J44" s="13">
        <v>55</v>
      </c>
      <c r="K44" s="13">
        <v>1</v>
      </c>
      <c r="L44" s="13" t="s">
        <v>63</v>
      </c>
      <c r="M44" s="13">
        <v>48</v>
      </c>
      <c r="N44" s="13">
        <v>1</v>
      </c>
      <c r="O44" s="13">
        <v>1</v>
      </c>
      <c r="P44" s="13" t="s">
        <v>76</v>
      </c>
      <c r="Q44" s="13">
        <v>3</v>
      </c>
      <c r="R44" s="13" t="s">
        <v>48</v>
      </c>
      <c r="S44" s="20">
        <v>2293</v>
      </c>
      <c r="T44" s="13">
        <v>10558</v>
      </c>
      <c r="U44" s="13">
        <v>1</v>
      </c>
      <c r="V44" s="13" t="s">
        <v>52</v>
      </c>
      <c r="W44" s="13" t="s">
        <v>59</v>
      </c>
      <c r="X44" s="13">
        <v>12</v>
      </c>
      <c r="Y44" s="13">
        <v>3</v>
      </c>
      <c r="Z44" s="13">
        <v>3</v>
      </c>
      <c r="AA44" s="13">
        <v>80</v>
      </c>
      <c r="AB44" s="13">
        <v>0</v>
      </c>
      <c r="AC44" s="13">
        <v>1</v>
      </c>
      <c r="AD44" s="13">
        <v>2</v>
      </c>
      <c r="AE44" s="13">
        <v>2</v>
      </c>
      <c r="AF44" s="14">
        <v>1</v>
      </c>
      <c r="AG44" s="13">
        <v>0</v>
      </c>
      <c r="AH44" s="13">
        <v>0</v>
      </c>
      <c r="AI44" s="13">
        <v>1</v>
      </c>
      <c r="AJ44" s="13" t="str">
        <f t="shared" si="0"/>
        <v>Under 30</v>
      </c>
      <c r="AK44" s="13" t="str">
        <f>IF(tblCleanData[[#This Row],[MonthlyIncome]]&lt;5000, "Low Income", IF(tblCleanData[[#This Row],[MonthlyIncome]]&lt;15000, "Medium Income", "High Income"))</f>
        <v>Low Income</v>
      </c>
      <c r="AL44" s="13">
        <f>IF(tblCleanData[[#This Row],[Attrition]]="No", 0,1)</f>
        <v>1</v>
      </c>
      <c r="AM44" s="13">
        <f>IF(tblCleanData[[#This Row],[OverTime]] = "No", 0, 1)</f>
        <v>0</v>
      </c>
      <c r="AN44" s="13" t="str">
        <f>CHOOSE(tblCleanData[[#This Row],[Education]], "Below College","College","Bachelor","Master","Doctor")</f>
        <v>Bachelor</v>
      </c>
      <c r="AO44" s="13" t="str">
        <f>VLOOKUP(tblCleanData[[#This Row],[EmployeeNumber]],tblHelpers[],15,TRUE)</f>
        <v>High Risk</v>
      </c>
      <c r="AP44" s="13">
        <f>VLOOKUP(tblCleanData[[#This Row],[EmployeeNumber]],tblHelpers[],14,0)</f>
        <v>73</v>
      </c>
    </row>
    <row r="45" spans="1:42" x14ac:dyDescent="0.25">
      <c r="A45" s="13">
        <v>27</v>
      </c>
      <c r="B45" s="13" t="s">
        <v>59</v>
      </c>
      <c r="C45" s="13" t="s">
        <v>60</v>
      </c>
      <c r="D45" s="13">
        <v>994</v>
      </c>
      <c r="E45" s="13" t="s">
        <v>39</v>
      </c>
      <c r="F45" s="13">
        <v>8</v>
      </c>
      <c r="G45" s="13">
        <v>3</v>
      </c>
      <c r="H45" s="13" t="s">
        <v>42</v>
      </c>
      <c r="I45" s="13">
        <v>1</v>
      </c>
      <c r="J45" s="13">
        <v>56</v>
      </c>
      <c r="K45" s="13">
        <v>4</v>
      </c>
      <c r="L45" s="13" t="s">
        <v>63</v>
      </c>
      <c r="M45" s="13">
        <v>37</v>
      </c>
      <c r="N45" s="13">
        <v>3</v>
      </c>
      <c r="O45" s="13">
        <v>3</v>
      </c>
      <c r="P45" s="13" t="s">
        <v>46</v>
      </c>
      <c r="Q45" s="13">
        <v>3</v>
      </c>
      <c r="R45" s="13" t="s">
        <v>48</v>
      </c>
      <c r="S45" s="20">
        <v>8726</v>
      </c>
      <c r="T45" s="13">
        <v>2975</v>
      </c>
      <c r="U45" s="13">
        <v>1</v>
      </c>
      <c r="V45" s="13" t="s">
        <v>52</v>
      </c>
      <c r="W45" s="13" t="s">
        <v>59</v>
      </c>
      <c r="X45" s="13">
        <v>15</v>
      </c>
      <c r="Y45" s="13">
        <v>3</v>
      </c>
      <c r="Z45" s="13">
        <v>4</v>
      </c>
      <c r="AA45" s="13">
        <v>80</v>
      </c>
      <c r="AB45" s="13">
        <v>0</v>
      </c>
      <c r="AC45" s="13">
        <v>9</v>
      </c>
      <c r="AD45" s="13">
        <v>0</v>
      </c>
      <c r="AE45" s="13">
        <v>3</v>
      </c>
      <c r="AF45" s="14">
        <v>9</v>
      </c>
      <c r="AG45" s="13">
        <v>8</v>
      </c>
      <c r="AH45" s="13">
        <v>1</v>
      </c>
      <c r="AI45" s="13">
        <v>7</v>
      </c>
      <c r="AJ45" s="13" t="str">
        <f t="shared" si="0"/>
        <v>Under 30</v>
      </c>
      <c r="AK45" s="13" t="str">
        <f>IF(tblCleanData[[#This Row],[MonthlyIncome]]&lt;5000, "Low Income", IF(tblCleanData[[#This Row],[MonthlyIncome]]&lt;15000, "Medium Income", "High Income"))</f>
        <v>Medium Income</v>
      </c>
      <c r="AL45" s="13">
        <f>IF(tblCleanData[[#This Row],[Attrition]]="No", 0,1)</f>
        <v>0</v>
      </c>
      <c r="AM45" s="13">
        <f>IF(tblCleanData[[#This Row],[OverTime]] = "No", 0, 1)</f>
        <v>0</v>
      </c>
      <c r="AN45" s="13" t="str">
        <f>CHOOSE(tblCleanData[[#This Row],[Education]], "Below College","College","Bachelor","Master","Doctor")</f>
        <v>Bachelor</v>
      </c>
      <c r="AO45" s="13" t="str">
        <f>VLOOKUP(tblCleanData[[#This Row],[EmployeeNumber]],tblHelpers[],15,TRUE)</f>
        <v>High Risk</v>
      </c>
      <c r="AP45" s="13">
        <f>VLOOKUP(tblCleanData[[#This Row],[EmployeeNumber]],tblHelpers[],14,0)</f>
        <v>56</v>
      </c>
    </row>
    <row r="46" spans="1:42" x14ac:dyDescent="0.25">
      <c r="A46" s="13">
        <v>30</v>
      </c>
      <c r="B46" s="13" t="s">
        <v>59</v>
      </c>
      <c r="C46" s="13" t="s">
        <v>60</v>
      </c>
      <c r="D46" s="13">
        <v>721</v>
      </c>
      <c r="E46" s="13" t="s">
        <v>62</v>
      </c>
      <c r="F46" s="13">
        <v>1</v>
      </c>
      <c r="G46" s="13">
        <v>2</v>
      </c>
      <c r="H46" s="13" t="s">
        <v>87</v>
      </c>
      <c r="I46" s="13">
        <v>1</v>
      </c>
      <c r="J46" s="13">
        <v>57</v>
      </c>
      <c r="K46" s="13">
        <v>3</v>
      </c>
      <c r="L46" s="13" t="s">
        <v>43</v>
      </c>
      <c r="M46" s="13">
        <v>58</v>
      </c>
      <c r="N46" s="13">
        <v>3</v>
      </c>
      <c r="O46" s="13">
        <v>2</v>
      </c>
      <c r="P46" s="13" t="s">
        <v>76</v>
      </c>
      <c r="Q46" s="13">
        <v>4</v>
      </c>
      <c r="R46" s="13" t="s">
        <v>48</v>
      </c>
      <c r="S46" s="20">
        <v>4011</v>
      </c>
      <c r="T46" s="13">
        <v>10781</v>
      </c>
      <c r="U46" s="13">
        <v>1</v>
      </c>
      <c r="V46" s="13" t="s">
        <v>52</v>
      </c>
      <c r="W46" s="13" t="s">
        <v>59</v>
      </c>
      <c r="X46" s="13">
        <v>23</v>
      </c>
      <c r="Y46" s="13">
        <v>4</v>
      </c>
      <c r="Z46" s="13">
        <v>4</v>
      </c>
      <c r="AA46" s="13">
        <v>80</v>
      </c>
      <c r="AB46" s="13">
        <v>0</v>
      </c>
      <c r="AC46" s="13">
        <v>12</v>
      </c>
      <c r="AD46" s="13">
        <v>2</v>
      </c>
      <c r="AE46" s="13">
        <v>3</v>
      </c>
      <c r="AF46" s="14">
        <v>12</v>
      </c>
      <c r="AG46" s="13">
        <v>8</v>
      </c>
      <c r="AH46" s="13">
        <v>3</v>
      </c>
      <c r="AI46" s="13">
        <v>7</v>
      </c>
      <c r="AJ46" s="13" t="str">
        <f t="shared" si="0"/>
        <v>30-39</v>
      </c>
      <c r="AK46" s="13" t="str">
        <f>IF(tblCleanData[[#This Row],[MonthlyIncome]]&lt;5000, "Low Income", IF(tblCleanData[[#This Row],[MonthlyIncome]]&lt;15000, "Medium Income", "High Income"))</f>
        <v>Low Income</v>
      </c>
      <c r="AL46" s="13">
        <f>IF(tblCleanData[[#This Row],[Attrition]]="No", 0,1)</f>
        <v>0</v>
      </c>
      <c r="AM46" s="13">
        <f>IF(tblCleanData[[#This Row],[OverTime]] = "No", 0, 1)</f>
        <v>0</v>
      </c>
      <c r="AN46" s="13" t="str">
        <f>CHOOSE(tblCleanData[[#This Row],[Education]], "Below College","College","Bachelor","Master","Doctor")</f>
        <v>College</v>
      </c>
      <c r="AO46" s="13" t="str">
        <f>VLOOKUP(tblCleanData[[#This Row],[EmployeeNumber]],tblHelpers[],15,TRUE)</f>
        <v>Low Risk</v>
      </c>
      <c r="AP46" s="13">
        <f>VLOOKUP(tblCleanData[[#This Row],[EmployeeNumber]],tblHelpers[],14,0)</f>
        <v>34</v>
      </c>
    </row>
    <row r="47" spans="1:42" x14ac:dyDescent="0.25">
      <c r="A47" s="13">
        <v>41</v>
      </c>
      <c r="B47" s="13" t="s">
        <v>36</v>
      </c>
      <c r="C47" s="13" t="s">
        <v>37</v>
      </c>
      <c r="D47" s="13">
        <v>1360</v>
      </c>
      <c r="E47" s="13" t="s">
        <v>62</v>
      </c>
      <c r="F47" s="13">
        <v>12</v>
      </c>
      <c r="G47" s="13">
        <v>3</v>
      </c>
      <c r="H47" s="13" t="s">
        <v>228</v>
      </c>
      <c r="I47" s="13">
        <v>1</v>
      </c>
      <c r="J47" s="13">
        <v>58</v>
      </c>
      <c r="K47" s="13">
        <v>2</v>
      </c>
      <c r="L47" s="13" t="s">
        <v>43</v>
      </c>
      <c r="M47" s="13">
        <v>49</v>
      </c>
      <c r="N47" s="13">
        <v>3</v>
      </c>
      <c r="O47" s="13">
        <v>5</v>
      </c>
      <c r="P47" s="13" t="s">
        <v>186</v>
      </c>
      <c r="Q47" s="13">
        <v>3</v>
      </c>
      <c r="R47" s="13" t="s">
        <v>66</v>
      </c>
      <c r="S47" s="20">
        <v>19545</v>
      </c>
      <c r="T47" s="13">
        <v>16280</v>
      </c>
      <c r="U47" s="13">
        <v>1</v>
      </c>
      <c r="V47" s="13" t="s">
        <v>52</v>
      </c>
      <c r="W47" s="13" t="s">
        <v>59</v>
      </c>
      <c r="X47" s="13">
        <v>12</v>
      </c>
      <c r="Y47" s="13">
        <v>3</v>
      </c>
      <c r="Z47" s="13">
        <v>4</v>
      </c>
      <c r="AA47" s="13">
        <v>80</v>
      </c>
      <c r="AB47" s="13">
        <v>0</v>
      </c>
      <c r="AC47" s="13">
        <v>23</v>
      </c>
      <c r="AD47" s="13">
        <v>0</v>
      </c>
      <c r="AE47" s="13">
        <v>3</v>
      </c>
      <c r="AF47" s="14">
        <v>22</v>
      </c>
      <c r="AG47" s="13">
        <v>15</v>
      </c>
      <c r="AH47" s="13">
        <v>15</v>
      </c>
      <c r="AI47" s="13">
        <v>8</v>
      </c>
      <c r="AJ47" s="13" t="str">
        <f t="shared" si="0"/>
        <v>40-49</v>
      </c>
      <c r="AK47" s="13" t="str">
        <f>IF(tblCleanData[[#This Row],[MonthlyIncome]]&lt;5000, "Low Income", IF(tblCleanData[[#This Row],[MonthlyIncome]]&lt;15000, "Medium Income", "High Income"))</f>
        <v>High Income</v>
      </c>
      <c r="AL47" s="13">
        <f>IF(tblCleanData[[#This Row],[Attrition]]="No", 0,1)</f>
        <v>1</v>
      </c>
      <c r="AM47" s="13">
        <f>IF(tblCleanData[[#This Row],[OverTime]] = "No", 0, 1)</f>
        <v>0</v>
      </c>
      <c r="AN47" s="13" t="str">
        <f>CHOOSE(tblCleanData[[#This Row],[Education]], "Below College","College","Bachelor","Master","Doctor")</f>
        <v>Bachelor</v>
      </c>
      <c r="AO47" s="13" t="str">
        <f>VLOOKUP(tblCleanData[[#This Row],[EmployeeNumber]],tblHelpers[],15,TRUE)</f>
        <v>Low Risk</v>
      </c>
      <c r="AP47" s="13">
        <f>VLOOKUP(tblCleanData[[#This Row],[EmployeeNumber]],tblHelpers[],14,0)</f>
        <v>31</v>
      </c>
    </row>
    <row r="48" spans="1:42" x14ac:dyDescent="0.25">
      <c r="A48" s="13">
        <v>34</v>
      </c>
      <c r="B48" s="13" t="s">
        <v>59</v>
      </c>
      <c r="C48" s="13" t="s">
        <v>161</v>
      </c>
      <c r="D48" s="13">
        <v>1065</v>
      </c>
      <c r="E48" s="13" t="s">
        <v>39</v>
      </c>
      <c r="F48" s="13">
        <v>23</v>
      </c>
      <c r="G48" s="13">
        <v>4</v>
      </c>
      <c r="H48" s="13" t="s">
        <v>206</v>
      </c>
      <c r="I48" s="13">
        <v>1</v>
      </c>
      <c r="J48" s="13">
        <v>60</v>
      </c>
      <c r="K48" s="13">
        <v>2</v>
      </c>
      <c r="L48" s="13" t="s">
        <v>63</v>
      </c>
      <c r="M48" s="13">
        <v>72</v>
      </c>
      <c r="N48" s="13">
        <v>3</v>
      </c>
      <c r="O48" s="13">
        <v>2</v>
      </c>
      <c r="P48" s="13" t="s">
        <v>46</v>
      </c>
      <c r="Q48" s="13">
        <v>3</v>
      </c>
      <c r="R48" s="13" t="s">
        <v>48</v>
      </c>
      <c r="S48" s="20">
        <v>4568</v>
      </c>
      <c r="T48" s="13">
        <v>10034</v>
      </c>
      <c r="U48" s="13">
        <v>0</v>
      </c>
      <c r="V48" s="13" t="s">
        <v>52</v>
      </c>
      <c r="W48" s="13" t="s">
        <v>59</v>
      </c>
      <c r="X48" s="13">
        <v>20</v>
      </c>
      <c r="Y48" s="13">
        <v>4</v>
      </c>
      <c r="Z48" s="13">
        <v>3</v>
      </c>
      <c r="AA48" s="13">
        <v>80</v>
      </c>
      <c r="AB48" s="13">
        <v>0</v>
      </c>
      <c r="AC48" s="13">
        <v>10</v>
      </c>
      <c r="AD48" s="13">
        <v>2</v>
      </c>
      <c r="AE48" s="13">
        <v>3</v>
      </c>
      <c r="AF48" s="14">
        <v>9</v>
      </c>
      <c r="AG48" s="13">
        <v>5</v>
      </c>
      <c r="AH48" s="13">
        <v>8</v>
      </c>
      <c r="AI48" s="13">
        <v>7</v>
      </c>
      <c r="AJ48" s="13" t="str">
        <f t="shared" si="0"/>
        <v>30-39</v>
      </c>
      <c r="AK48" s="13" t="str">
        <f>IF(tblCleanData[[#This Row],[MonthlyIncome]]&lt;5000, "Low Income", IF(tblCleanData[[#This Row],[MonthlyIncome]]&lt;15000, "Medium Income", "High Income"))</f>
        <v>Low Income</v>
      </c>
      <c r="AL48" s="13">
        <f>IF(tblCleanData[[#This Row],[Attrition]]="No", 0,1)</f>
        <v>0</v>
      </c>
      <c r="AM48" s="13">
        <f>IF(tblCleanData[[#This Row],[OverTime]] = "No", 0, 1)</f>
        <v>0</v>
      </c>
      <c r="AN48" s="13" t="str">
        <f>CHOOSE(tblCleanData[[#This Row],[Education]], "Below College","College","Bachelor","Master","Doctor")</f>
        <v>Master</v>
      </c>
      <c r="AO48" s="13" t="str">
        <f>VLOOKUP(tblCleanData[[#This Row],[EmployeeNumber]],tblHelpers[],15,TRUE)</f>
        <v>Medium Risk</v>
      </c>
      <c r="AP48" s="13">
        <f>VLOOKUP(tblCleanData[[#This Row],[EmployeeNumber]],tblHelpers[],14,0)</f>
        <v>46</v>
      </c>
    </row>
    <row r="49" spans="1:42" x14ac:dyDescent="0.25">
      <c r="A49" s="13">
        <v>37</v>
      </c>
      <c r="B49" s="13" t="s">
        <v>59</v>
      </c>
      <c r="C49" s="13" t="s">
        <v>37</v>
      </c>
      <c r="D49" s="13">
        <v>408</v>
      </c>
      <c r="E49" s="13" t="s">
        <v>62</v>
      </c>
      <c r="F49" s="13">
        <v>19</v>
      </c>
      <c r="G49" s="13">
        <v>2</v>
      </c>
      <c r="H49" s="13" t="s">
        <v>42</v>
      </c>
      <c r="I49" s="13">
        <v>1</v>
      </c>
      <c r="J49" s="13">
        <v>61</v>
      </c>
      <c r="K49" s="13">
        <v>2</v>
      </c>
      <c r="L49" s="13" t="s">
        <v>63</v>
      </c>
      <c r="M49" s="13">
        <v>73</v>
      </c>
      <c r="N49" s="13">
        <v>3</v>
      </c>
      <c r="O49" s="13">
        <v>1</v>
      </c>
      <c r="P49" s="13" t="s">
        <v>65</v>
      </c>
      <c r="Q49" s="13">
        <v>2</v>
      </c>
      <c r="R49" s="13" t="s">
        <v>66</v>
      </c>
      <c r="S49" s="20">
        <v>3022</v>
      </c>
      <c r="T49" s="13">
        <v>10227</v>
      </c>
      <c r="U49" s="13">
        <v>4</v>
      </c>
      <c r="V49" s="13" t="s">
        <v>52</v>
      </c>
      <c r="W49" s="13" t="s">
        <v>59</v>
      </c>
      <c r="X49" s="13">
        <v>21</v>
      </c>
      <c r="Y49" s="13">
        <v>4</v>
      </c>
      <c r="Z49" s="13">
        <v>1</v>
      </c>
      <c r="AA49" s="13">
        <v>80</v>
      </c>
      <c r="AB49" s="13">
        <v>0</v>
      </c>
      <c r="AC49" s="13">
        <v>8</v>
      </c>
      <c r="AD49" s="13">
        <v>1</v>
      </c>
      <c r="AE49" s="13">
        <v>3</v>
      </c>
      <c r="AF49" s="14">
        <v>1</v>
      </c>
      <c r="AG49" s="13">
        <v>0</v>
      </c>
      <c r="AH49" s="13">
        <v>0</v>
      </c>
      <c r="AI49" s="13">
        <v>0</v>
      </c>
      <c r="AJ49" s="13" t="str">
        <f t="shared" si="0"/>
        <v>30-39</v>
      </c>
      <c r="AK49" s="13" t="str">
        <f>IF(tblCleanData[[#This Row],[MonthlyIncome]]&lt;5000, "Low Income", IF(tblCleanData[[#This Row],[MonthlyIncome]]&lt;15000, "Medium Income", "High Income"))</f>
        <v>Low Income</v>
      </c>
      <c r="AL49" s="13">
        <f>IF(tblCleanData[[#This Row],[Attrition]]="No", 0,1)</f>
        <v>0</v>
      </c>
      <c r="AM49" s="13">
        <f>IF(tblCleanData[[#This Row],[OverTime]] = "No", 0, 1)</f>
        <v>0</v>
      </c>
      <c r="AN49" s="13" t="str">
        <f>CHOOSE(tblCleanData[[#This Row],[Education]], "Below College","College","Bachelor","Master","Doctor")</f>
        <v>College</v>
      </c>
      <c r="AO49" s="13" t="str">
        <f>VLOOKUP(tblCleanData[[#This Row],[EmployeeNumber]],tblHelpers[],15,TRUE)</f>
        <v>High Risk</v>
      </c>
      <c r="AP49" s="13">
        <f>VLOOKUP(tblCleanData[[#This Row],[EmployeeNumber]],tblHelpers[],14,0)</f>
        <v>69</v>
      </c>
    </row>
    <row r="50" spans="1:42" x14ac:dyDescent="0.25">
      <c r="A50" s="13">
        <v>46</v>
      </c>
      <c r="B50" s="13" t="s">
        <v>59</v>
      </c>
      <c r="C50" s="13" t="s">
        <v>60</v>
      </c>
      <c r="D50" s="13">
        <v>1211</v>
      </c>
      <c r="E50" s="13" t="s">
        <v>39</v>
      </c>
      <c r="F50" s="13">
        <v>5</v>
      </c>
      <c r="G50" s="13">
        <v>4</v>
      </c>
      <c r="H50" s="13" t="s">
        <v>206</v>
      </c>
      <c r="I50" s="13">
        <v>1</v>
      </c>
      <c r="J50" s="13">
        <v>62</v>
      </c>
      <c r="K50" s="13">
        <v>1</v>
      </c>
      <c r="L50" s="13" t="s">
        <v>63</v>
      </c>
      <c r="M50" s="13">
        <v>98</v>
      </c>
      <c r="N50" s="13">
        <v>3</v>
      </c>
      <c r="O50" s="13">
        <v>2</v>
      </c>
      <c r="P50" s="13" t="s">
        <v>46</v>
      </c>
      <c r="Q50" s="13">
        <v>4</v>
      </c>
      <c r="R50" s="13" t="s">
        <v>48</v>
      </c>
      <c r="S50" s="20">
        <v>5772</v>
      </c>
      <c r="T50" s="13">
        <v>20445</v>
      </c>
      <c r="U50" s="13">
        <v>4</v>
      </c>
      <c r="V50" s="13" t="s">
        <v>52</v>
      </c>
      <c r="W50" s="13" t="s">
        <v>36</v>
      </c>
      <c r="X50" s="13">
        <v>21</v>
      </c>
      <c r="Y50" s="13">
        <v>4</v>
      </c>
      <c r="Z50" s="13">
        <v>3</v>
      </c>
      <c r="AA50" s="13">
        <v>80</v>
      </c>
      <c r="AB50" s="13">
        <v>0</v>
      </c>
      <c r="AC50" s="13">
        <v>14</v>
      </c>
      <c r="AD50" s="13">
        <v>4</v>
      </c>
      <c r="AE50" s="13">
        <v>3</v>
      </c>
      <c r="AF50" s="14">
        <v>9</v>
      </c>
      <c r="AG50" s="13">
        <v>6</v>
      </c>
      <c r="AH50" s="13">
        <v>0</v>
      </c>
      <c r="AI50" s="13">
        <v>8</v>
      </c>
      <c r="AJ50" s="13" t="str">
        <f t="shared" si="0"/>
        <v>40-49</v>
      </c>
      <c r="AK50" s="13" t="str">
        <f>IF(tblCleanData[[#This Row],[MonthlyIncome]]&lt;5000, "Low Income", IF(tblCleanData[[#This Row],[MonthlyIncome]]&lt;15000, "Medium Income", "High Income"))</f>
        <v>Medium Income</v>
      </c>
      <c r="AL50" s="13">
        <f>IF(tblCleanData[[#This Row],[Attrition]]="No", 0,1)</f>
        <v>0</v>
      </c>
      <c r="AM50" s="13">
        <f>IF(tblCleanData[[#This Row],[OverTime]] = "No", 0, 1)</f>
        <v>1</v>
      </c>
      <c r="AN50" s="13" t="str">
        <f>CHOOSE(tblCleanData[[#This Row],[Education]], "Below College","College","Bachelor","Master","Doctor")</f>
        <v>Master</v>
      </c>
      <c r="AO50" s="13" t="str">
        <f>VLOOKUP(tblCleanData[[#This Row],[EmployeeNumber]],tblHelpers[],15,TRUE)</f>
        <v>Medium Risk</v>
      </c>
      <c r="AP50" s="13">
        <f>VLOOKUP(tblCleanData[[#This Row],[EmployeeNumber]],tblHelpers[],14,0)</f>
        <v>54</v>
      </c>
    </row>
    <row r="51" spans="1:42" x14ac:dyDescent="0.25">
      <c r="A51" s="13">
        <v>35</v>
      </c>
      <c r="B51" s="13" t="s">
        <v>59</v>
      </c>
      <c r="C51" s="13" t="s">
        <v>37</v>
      </c>
      <c r="D51" s="13">
        <v>1229</v>
      </c>
      <c r="E51" s="13" t="s">
        <v>62</v>
      </c>
      <c r="F51" s="13">
        <v>8</v>
      </c>
      <c r="G51" s="13">
        <v>1</v>
      </c>
      <c r="H51" s="13" t="s">
        <v>42</v>
      </c>
      <c r="I51" s="13">
        <v>1</v>
      </c>
      <c r="J51" s="13">
        <v>63</v>
      </c>
      <c r="K51" s="13">
        <v>4</v>
      </c>
      <c r="L51" s="13" t="s">
        <v>63</v>
      </c>
      <c r="M51" s="13">
        <v>36</v>
      </c>
      <c r="N51" s="13">
        <v>4</v>
      </c>
      <c r="O51" s="13">
        <v>1</v>
      </c>
      <c r="P51" s="13" t="s">
        <v>76</v>
      </c>
      <c r="Q51" s="13">
        <v>4</v>
      </c>
      <c r="R51" s="13" t="s">
        <v>66</v>
      </c>
      <c r="S51" s="20">
        <v>2269</v>
      </c>
      <c r="T51" s="13">
        <v>4892</v>
      </c>
      <c r="U51" s="13">
        <v>1</v>
      </c>
      <c r="V51" s="13" t="s">
        <v>52</v>
      </c>
      <c r="W51" s="13" t="s">
        <v>59</v>
      </c>
      <c r="X51" s="13">
        <v>19</v>
      </c>
      <c r="Y51" s="13">
        <v>3</v>
      </c>
      <c r="Z51" s="13">
        <v>4</v>
      </c>
      <c r="AA51" s="13">
        <v>80</v>
      </c>
      <c r="AB51" s="13">
        <v>0</v>
      </c>
      <c r="AC51" s="13">
        <v>1</v>
      </c>
      <c r="AD51" s="13">
        <v>2</v>
      </c>
      <c r="AE51" s="13">
        <v>3</v>
      </c>
      <c r="AF51" s="14">
        <v>1</v>
      </c>
      <c r="AG51" s="13">
        <v>0</v>
      </c>
      <c r="AH51" s="13">
        <v>0</v>
      </c>
      <c r="AI51" s="13">
        <v>1</v>
      </c>
      <c r="AJ51" s="13" t="str">
        <f t="shared" si="0"/>
        <v>30-39</v>
      </c>
      <c r="AK51" s="13" t="str">
        <f>IF(tblCleanData[[#This Row],[MonthlyIncome]]&lt;5000, "Low Income", IF(tblCleanData[[#This Row],[MonthlyIncome]]&lt;15000, "Medium Income", "High Income"))</f>
        <v>Low Income</v>
      </c>
      <c r="AL51" s="13">
        <f>IF(tblCleanData[[#This Row],[Attrition]]="No", 0,1)</f>
        <v>0</v>
      </c>
      <c r="AM51" s="13">
        <f>IF(tblCleanData[[#This Row],[OverTime]] = "No", 0, 1)</f>
        <v>0</v>
      </c>
      <c r="AN51" s="13" t="str">
        <f>CHOOSE(tblCleanData[[#This Row],[Education]], "Below College","College","Bachelor","Master","Doctor")</f>
        <v>Below College</v>
      </c>
      <c r="AO51" s="13" t="str">
        <f>VLOOKUP(tblCleanData[[#This Row],[EmployeeNumber]],tblHelpers[],15,TRUE)</f>
        <v>High Risk</v>
      </c>
      <c r="AP51" s="13">
        <f>VLOOKUP(tblCleanData[[#This Row],[EmployeeNumber]],tblHelpers[],14,0)</f>
        <v>56</v>
      </c>
    </row>
    <row r="52" spans="1:42" x14ac:dyDescent="0.25">
      <c r="A52" s="13">
        <v>48</v>
      </c>
      <c r="B52" s="13" t="s">
        <v>36</v>
      </c>
      <c r="C52" s="13" t="s">
        <v>37</v>
      </c>
      <c r="D52" s="13">
        <v>626</v>
      </c>
      <c r="E52" s="13" t="s">
        <v>62</v>
      </c>
      <c r="F52" s="13">
        <v>1</v>
      </c>
      <c r="G52" s="13">
        <v>2</v>
      </c>
      <c r="H52" s="13" t="s">
        <v>42</v>
      </c>
      <c r="I52" s="13">
        <v>1</v>
      </c>
      <c r="J52" s="13">
        <v>64</v>
      </c>
      <c r="K52" s="13">
        <v>1</v>
      </c>
      <c r="L52" s="13" t="s">
        <v>63</v>
      </c>
      <c r="M52" s="13">
        <v>98</v>
      </c>
      <c r="N52" s="13">
        <v>2</v>
      </c>
      <c r="O52" s="13">
        <v>3</v>
      </c>
      <c r="P52" s="13" t="s">
        <v>76</v>
      </c>
      <c r="Q52" s="13">
        <v>3</v>
      </c>
      <c r="R52" s="13" t="s">
        <v>48</v>
      </c>
      <c r="S52" s="20">
        <v>5381</v>
      </c>
      <c r="T52" s="13">
        <v>19294</v>
      </c>
      <c r="U52" s="13">
        <v>9</v>
      </c>
      <c r="V52" s="13" t="s">
        <v>52</v>
      </c>
      <c r="W52" s="13" t="s">
        <v>36</v>
      </c>
      <c r="X52" s="13">
        <v>13</v>
      </c>
      <c r="Y52" s="13">
        <v>3</v>
      </c>
      <c r="Z52" s="13">
        <v>4</v>
      </c>
      <c r="AA52" s="13">
        <v>80</v>
      </c>
      <c r="AB52" s="13">
        <v>0</v>
      </c>
      <c r="AC52" s="13">
        <v>23</v>
      </c>
      <c r="AD52" s="13">
        <v>2</v>
      </c>
      <c r="AE52" s="13">
        <v>3</v>
      </c>
      <c r="AF52" s="14">
        <v>1</v>
      </c>
      <c r="AG52" s="13">
        <v>0</v>
      </c>
      <c r="AH52" s="13">
        <v>0</v>
      </c>
      <c r="AI52" s="13">
        <v>0</v>
      </c>
      <c r="AJ52" s="13" t="str">
        <f t="shared" si="0"/>
        <v>40-49</v>
      </c>
      <c r="AK52" s="13" t="str">
        <f>IF(tblCleanData[[#This Row],[MonthlyIncome]]&lt;5000, "Low Income", IF(tblCleanData[[#This Row],[MonthlyIncome]]&lt;15000, "Medium Income", "High Income"))</f>
        <v>Medium Income</v>
      </c>
      <c r="AL52" s="13">
        <f>IF(tblCleanData[[#This Row],[Attrition]]="No", 0,1)</f>
        <v>1</v>
      </c>
      <c r="AM52" s="13">
        <f>IF(tblCleanData[[#This Row],[OverTime]] = "No", 0, 1)</f>
        <v>1</v>
      </c>
      <c r="AN52" s="13" t="str">
        <f>CHOOSE(tblCleanData[[#This Row],[Education]], "Below College","College","Bachelor","Master","Doctor")</f>
        <v>College</v>
      </c>
      <c r="AO52" s="13" t="str">
        <f>VLOOKUP(tblCleanData[[#This Row],[EmployeeNumber]],tblHelpers[],15,TRUE)</f>
        <v>High Risk</v>
      </c>
      <c r="AP52" s="13">
        <f>VLOOKUP(tblCleanData[[#This Row],[EmployeeNumber]],tblHelpers[],14,0)</f>
        <v>78</v>
      </c>
    </row>
    <row r="53" spans="1:42" x14ac:dyDescent="0.25">
      <c r="A53" s="13">
        <v>28</v>
      </c>
      <c r="B53" s="13" t="s">
        <v>36</v>
      </c>
      <c r="C53" s="13" t="s">
        <v>37</v>
      </c>
      <c r="D53" s="13">
        <v>1434</v>
      </c>
      <c r="E53" s="13" t="s">
        <v>62</v>
      </c>
      <c r="F53" s="13">
        <v>5</v>
      </c>
      <c r="G53" s="13">
        <v>4</v>
      </c>
      <c r="H53" s="13" t="s">
        <v>228</v>
      </c>
      <c r="I53" s="13">
        <v>1</v>
      </c>
      <c r="J53" s="13">
        <v>65</v>
      </c>
      <c r="K53" s="13">
        <v>3</v>
      </c>
      <c r="L53" s="13" t="s">
        <v>63</v>
      </c>
      <c r="M53" s="13">
        <v>50</v>
      </c>
      <c r="N53" s="13">
        <v>3</v>
      </c>
      <c r="O53" s="13">
        <v>1</v>
      </c>
      <c r="P53" s="13" t="s">
        <v>76</v>
      </c>
      <c r="Q53" s="13">
        <v>3</v>
      </c>
      <c r="R53" s="13" t="s">
        <v>48</v>
      </c>
      <c r="S53" s="20">
        <v>3441</v>
      </c>
      <c r="T53" s="13">
        <v>11179</v>
      </c>
      <c r="U53" s="13">
        <v>1</v>
      </c>
      <c r="V53" s="13" t="s">
        <v>52</v>
      </c>
      <c r="W53" s="13" t="s">
        <v>36</v>
      </c>
      <c r="X53" s="13">
        <v>13</v>
      </c>
      <c r="Y53" s="13">
        <v>3</v>
      </c>
      <c r="Z53" s="13">
        <v>3</v>
      </c>
      <c r="AA53" s="13">
        <v>80</v>
      </c>
      <c r="AB53" s="13">
        <v>0</v>
      </c>
      <c r="AC53" s="13">
        <v>2</v>
      </c>
      <c r="AD53" s="13">
        <v>3</v>
      </c>
      <c r="AE53" s="13">
        <v>2</v>
      </c>
      <c r="AF53" s="14">
        <v>2</v>
      </c>
      <c r="AG53" s="13">
        <v>2</v>
      </c>
      <c r="AH53" s="13">
        <v>2</v>
      </c>
      <c r="AI53" s="13">
        <v>2</v>
      </c>
      <c r="AJ53" s="13" t="str">
        <f t="shared" si="0"/>
        <v>Under 30</v>
      </c>
      <c r="AK53" s="13" t="str">
        <f>IF(tblCleanData[[#This Row],[MonthlyIncome]]&lt;5000, "Low Income", IF(tblCleanData[[#This Row],[MonthlyIncome]]&lt;15000, "Medium Income", "High Income"))</f>
        <v>Low Income</v>
      </c>
      <c r="AL53" s="13">
        <f>IF(tblCleanData[[#This Row],[Attrition]]="No", 0,1)</f>
        <v>1</v>
      </c>
      <c r="AM53" s="13">
        <f>IF(tblCleanData[[#This Row],[OverTime]] = "No", 0, 1)</f>
        <v>1</v>
      </c>
      <c r="AN53" s="13" t="str">
        <f>CHOOSE(tblCleanData[[#This Row],[Education]], "Below College","College","Bachelor","Master","Doctor")</f>
        <v>Master</v>
      </c>
      <c r="AO53" s="13" t="str">
        <f>VLOOKUP(tblCleanData[[#This Row],[EmployeeNumber]],tblHelpers[],15,TRUE)</f>
        <v>High Risk</v>
      </c>
      <c r="AP53" s="13">
        <f>VLOOKUP(tblCleanData[[#This Row],[EmployeeNumber]],tblHelpers[],14,0)</f>
        <v>98</v>
      </c>
    </row>
    <row r="54" spans="1:42" x14ac:dyDescent="0.25">
      <c r="A54" s="13">
        <v>44</v>
      </c>
      <c r="B54" s="13" t="s">
        <v>59</v>
      </c>
      <c r="C54" s="13" t="s">
        <v>37</v>
      </c>
      <c r="D54" s="13">
        <v>1488</v>
      </c>
      <c r="E54" s="13" t="s">
        <v>39</v>
      </c>
      <c r="F54" s="13">
        <v>1</v>
      </c>
      <c r="G54" s="13">
        <v>5</v>
      </c>
      <c r="H54" s="13" t="s">
        <v>206</v>
      </c>
      <c r="I54" s="13">
        <v>1</v>
      </c>
      <c r="J54" s="13">
        <v>68</v>
      </c>
      <c r="K54" s="13">
        <v>2</v>
      </c>
      <c r="L54" s="13" t="s">
        <v>43</v>
      </c>
      <c r="M54" s="13">
        <v>75</v>
      </c>
      <c r="N54" s="13">
        <v>3</v>
      </c>
      <c r="O54" s="13">
        <v>2</v>
      </c>
      <c r="P54" s="13" t="s">
        <v>46</v>
      </c>
      <c r="Q54" s="13">
        <v>1</v>
      </c>
      <c r="R54" s="13" t="s">
        <v>109</v>
      </c>
      <c r="S54" s="20">
        <v>5454</v>
      </c>
      <c r="T54" s="13">
        <v>4009</v>
      </c>
      <c r="U54" s="13">
        <v>5</v>
      </c>
      <c r="V54" s="13" t="s">
        <v>52</v>
      </c>
      <c r="W54" s="13" t="s">
        <v>36</v>
      </c>
      <c r="X54" s="13">
        <v>21</v>
      </c>
      <c r="Y54" s="13">
        <v>4</v>
      </c>
      <c r="Z54" s="13">
        <v>3</v>
      </c>
      <c r="AA54" s="13">
        <v>80</v>
      </c>
      <c r="AB54" s="13">
        <v>1</v>
      </c>
      <c r="AC54" s="13">
        <v>9</v>
      </c>
      <c r="AD54" s="13">
        <v>2</v>
      </c>
      <c r="AE54" s="13">
        <v>2</v>
      </c>
      <c r="AF54" s="14">
        <v>4</v>
      </c>
      <c r="AG54" s="13">
        <v>3</v>
      </c>
      <c r="AH54" s="13">
        <v>1</v>
      </c>
      <c r="AI54" s="13">
        <v>3</v>
      </c>
      <c r="AJ54" s="13" t="str">
        <f t="shared" si="0"/>
        <v>40-49</v>
      </c>
      <c r="AK54" s="13" t="str">
        <f>IF(tblCleanData[[#This Row],[MonthlyIncome]]&lt;5000, "Low Income", IF(tblCleanData[[#This Row],[MonthlyIncome]]&lt;15000, "Medium Income", "High Income"))</f>
        <v>Medium Income</v>
      </c>
      <c r="AL54" s="13">
        <f>IF(tblCleanData[[#This Row],[Attrition]]="No", 0,1)</f>
        <v>0</v>
      </c>
      <c r="AM54" s="13">
        <f>IF(tblCleanData[[#This Row],[OverTime]] = "No", 0, 1)</f>
        <v>1</v>
      </c>
      <c r="AN54" s="13" t="str">
        <f>CHOOSE(tblCleanData[[#This Row],[Education]], "Below College","College","Bachelor","Master","Doctor")</f>
        <v>Doctor</v>
      </c>
      <c r="AO54" s="13" t="str">
        <f>VLOOKUP(tblCleanData[[#This Row],[EmployeeNumber]],tblHelpers[],15,TRUE)</f>
        <v>High Risk</v>
      </c>
      <c r="AP54" s="13">
        <f>VLOOKUP(tblCleanData[[#This Row],[EmployeeNumber]],tblHelpers[],14,0)</f>
        <v>80</v>
      </c>
    </row>
    <row r="55" spans="1:42" x14ac:dyDescent="0.25">
      <c r="A55" s="13">
        <v>35</v>
      </c>
      <c r="B55" s="13" t="s">
        <v>59</v>
      </c>
      <c r="C55" s="13" t="s">
        <v>161</v>
      </c>
      <c r="D55" s="13">
        <v>1097</v>
      </c>
      <c r="E55" s="13" t="s">
        <v>62</v>
      </c>
      <c r="F55" s="13">
        <v>11</v>
      </c>
      <c r="G55" s="13">
        <v>2</v>
      </c>
      <c r="H55" s="13" t="s">
        <v>87</v>
      </c>
      <c r="I55" s="13">
        <v>1</v>
      </c>
      <c r="J55" s="13">
        <v>70</v>
      </c>
      <c r="K55" s="13">
        <v>3</v>
      </c>
      <c r="L55" s="13" t="s">
        <v>63</v>
      </c>
      <c r="M55" s="13">
        <v>79</v>
      </c>
      <c r="N55" s="13">
        <v>2</v>
      </c>
      <c r="O55" s="13">
        <v>3</v>
      </c>
      <c r="P55" s="13" t="s">
        <v>122</v>
      </c>
      <c r="Q55" s="13">
        <v>1</v>
      </c>
      <c r="R55" s="13" t="s">
        <v>66</v>
      </c>
      <c r="S55" s="20">
        <v>9884</v>
      </c>
      <c r="T55" s="13">
        <v>8302</v>
      </c>
      <c r="U55" s="13">
        <v>2</v>
      </c>
      <c r="V55" s="13" t="s">
        <v>52</v>
      </c>
      <c r="W55" s="13" t="s">
        <v>36</v>
      </c>
      <c r="X55" s="13">
        <v>13</v>
      </c>
      <c r="Y55" s="13">
        <v>3</v>
      </c>
      <c r="Z55" s="13">
        <v>3</v>
      </c>
      <c r="AA55" s="13">
        <v>80</v>
      </c>
      <c r="AB55" s="13">
        <v>1</v>
      </c>
      <c r="AC55" s="13">
        <v>10</v>
      </c>
      <c r="AD55" s="13">
        <v>3</v>
      </c>
      <c r="AE55" s="13">
        <v>3</v>
      </c>
      <c r="AF55" s="14">
        <v>4</v>
      </c>
      <c r="AG55" s="13">
        <v>0</v>
      </c>
      <c r="AH55" s="13">
        <v>2</v>
      </c>
      <c r="AI55" s="13">
        <v>3</v>
      </c>
      <c r="AJ55" s="13" t="str">
        <f t="shared" si="0"/>
        <v>30-39</v>
      </c>
      <c r="AK55" s="13" t="str">
        <f>IF(tblCleanData[[#This Row],[MonthlyIncome]]&lt;5000, "Low Income", IF(tblCleanData[[#This Row],[MonthlyIncome]]&lt;15000, "Medium Income", "High Income"))</f>
        <v>Medium Income</v>
      </c>
      <c r="AL55" s="13">
        <f>IF(tblCleanData[[#This Row],[Attrition]]="No", 0,1)</f>
        <v>0</v>
      </c>
      <c r="AM55" s="13">
        <f>IF(tblCleanData[[#This Row],[OverTime]] = "No", 0, 1)</f>
        <v>1</v>
      </c>
      <c r="AN55" s="13" t="str">
        <f>CHOOSE(tblCleanData[[#This Row],[Education]], "Below College","College","Bachelor","Master","Doctor")</f>
        <v>College</v>
      </c>
      <c r="AO55" s="13" t="str">
        <f>VLOOKUP(tblCleanData[[#This Row],[EmployeeNumber]],tblHelpers[],15,TRUE)</f>
        <v>High Risk</v>
      </c>
      <c r="AP55" s="13">
        <f>VLOOKUP(tblCleanData[[#This Row],[EmployeeNumber]],tblHelpers[],14,0)</f>
        <v>90</v>
      </c>
    </row>
    <row r="56" spans="1:42" x14ac:dyDescent="0.25">
      <c r="A56" s="13">
        <v>26</v>
      </c>
      <c r="B56" s="13" t="s">
        <v>59</v>
      </c>
      <c r="C56" s="13" t="s">
        <v>37</v>
      </c>
      <c r="D56" s="13">
        <v>1443</v>
      </c>
      <c r="E56" s="13" t="s">
        <v>39</v>
      </c>
      <c r="F56" s="13">
        <v>23</v>
      </c>
      <c r="G56" s="13">
        <v>3</v>
      </c>
      <c r="H56" s="13" t="s">
        <v>206</v>
      </c>
      <c r="I56" s="13">
        <v>1</v>
      </c>
      <c r="J56" s="13">
        <v>72</v>
      </c>
      <c r="K56" s="13">
        <v>3</v>
      </c>
      <c r="L56" s="13" t="s">
        <v>43</v>
      </c>
      <c r="M56" s="13">
        <v>47</v>
      </c>
      <c r="N56" s="13">
        <v>2</v>
      </c>
      <c r="O56" s="13">
        <v>2</v>
      </c>
      <c r="P56" s="13" t="s">
        <v>46</v>
      </c>
      <c r="Q56" s="13">
        <v>4</v>
      </c>
      <c r="R56" s="13" t="s">
        <v>66</v>
      </c>
      <c r="S56" s="20">
        <v>4157</v>
      </c>
      <c r="T56" s="13">
        <v>21436</v>
      </c>
      <c r="U56" s="13">
        <v>7</v>
      </c>
      <c r="V56" s="13" t="s">
        <v>52</v>
      </c>
      <c r="W56" s="13" t="s">
        <v>36</v>
      </c>
      <c r="X56" s="13">
        <v>19</v>
      </c>
      <c r="Y56" s="13">
        <v>3</v>
      </c>
      <c r="Z56" s="13">
        <v>3</v>
      </c>
      <c r="AA56" s="13">
        <v>80</v>
      </c>
      <c r="AB56" s="13">
        <v>1</v>
      </c>
      <c r="AC56" s="13">
        <v>5</v>
      </c>
      <c r="AD56" s="13">
        <v>2</v>
      </c>
      <c r="AE56" s="13">
        <v>2</v>
      </c>
      <c r="AF56" s="14">
        <v>2</v>
      </c>
      <c r="AG56" s="13">
        <v>2</v>
      </c>
      <c r="AH56" s="13">
        <v>0</v>
      </c>
      <c r="AI56" s="13">
        <v>0</v>
      </c>
      <c r="AJ56" s="13" t="str">
        <f t="shared" si="0"/>
        <v>Under 30</v>
      </c>
      <c r="AK56" s="13" t="str">
        <f>IF(tblCleanData[[#This Row],[MonthlyIncome]]&lt;5000, "Low Income", IF(tblCleanData[[#This Row],[MonthlyIncome]]&lt;15000, "Medium Income", "High Income"))</f>
        <v>Low Income</v>
      </c>
      <c r="AL56" s="13">
        <f>IF(tblCleanData[[#This Row],[Attrition]]="No", 0,1)</f>
        <v>0</v>
      </c>
      <c r="AM56" s="13">
        <f>IF(tblCleanData[[#This Row],[OverTime]] = "No", 0, 1)</f>
        <v>1</v>
      </c>
      <c r="AN56" s="13" t="str">
        <f>CHOOSE(tblCleanData[[#This Row],[Education]], "Below College","College","Bachelor","Master","Doctor")</f>
        <v>Bachelor</v>
      </c>
      <c r="AO56" s="13" t="str">
        <f>VLOOKUP(tblCleanData[[#This Row],[EmployeeNumber]],tblHelpers[],15,TRUE)</f>
        <v>High Risk</v>
      </c>
      <c r="AP56" s="13">
        <f>VLOOKUP(tblCleanData[[#This Row],[EmployeeNumber]],tblHelpers[],14,0)</f>
        <v>91</v>
      </c>
    </row>
    <row r="57" spans="1:42" x14ac:dyDescent="0.25">
      <c r="A57" s="13">
        <v>33</v>
      </c>
      <c r="B57" s="13" t="s">
        <v>59</v>
      </c>
      <c r="C57" s="13" t="s">
        <v>60</v>
      </c>
      <c r="D57" s="13">
        <v>515</v>
      </c>
      <c r="E57" s="13" t="s">
        <v>62</v>
      </c>
      <c r="F57" s="13">
        <v>1</v>
      </c>
      <c r="G57" s="13">
        <v>2</v>
      </c>
      <c r="H57" s="13" t="s">
        <v>42</v>
      </c>
      <c r="I57" s="13">
        <v>1</v>
      </c>
      <c r="J57" s="13">
        <v>73</v>
      </c>
      <c r="K57" s="13">
        <v>1</v>
      </c>
      <c r="L57" s="13" t="s">
        <v>43</v>
      </c>
      <c r="M57" s="13">
        <v>98</v>
      </c>
      <c r="N57" s="13">
        <v>3</v>
      </c>
      <c r="O57" s="13">
        <v>3</v>
      </c>
      <c r="P57" s="13" t="s">
        <v>186</v>
      </c>
      <c r="Q57" s="13">
        <v>4</v>
      </c>
      <c r="R57" s="13" t="s">
        <v>48</v>
      </c>
      <c r="S57" s="20">
        <v>13458</v>
      </c>
      <c r="T57" s="13">
        <v>15146</v>
      </c>
      <c r="U57" s="13">
        <v>1</v>
      </c>
      <c r="V57" s="13" t="s">
        <v>52</v>
      </c>
      <c r="W57" s="13" t="s">
        <v>36</v>
      </c>
      <c r="X57" s="13">
        <v>12</v>
      </c>
      <c r="Y57" s="13">
        <v>3</v>
      </c>
      <c r="Z57" s="13">
        <v>3</v>
      </c>
      <c r="AA57" s="13">
        <v>80</v>
      </c>
      <c r="AB57" s="13">
        <v>0</v>
      </c>
      <c r="AC57" s="13">
        <v>15</v>
      </c>
      <c r="AD57" s="13">
        <v>1</v>
      </c>
      <c r="AE57" s="13">
        <v>3</v>
      </c>
      <c r="AF57" s="14">
        <v>15</v>
      </c>
      <c r="AG57" s="13">
        <v>14</v>
      </c>
      <c r="AH57" s="13">
        <v>8</v>
      </c>
      <c r="AI57" s="13">
        <v>12</v>
      </c>
      <c r="AJ57" s="13" t="str">
        <f t="shared" si="0"/>
        <v>30-39</v>
      </c>
      <c r="AK57" s="13" t="str">
        <f>IF(tblCleanData[[#This Row],[MonthlyIncome]]&lt;5000, "Low Income", IF(tblCleanData[[#This Row],[MonthlyIncome]]&lt;15000, "Medium Income", "High Income"))</f>
        <v>Medium Income</v>
      </c>
      <c r="AL57" s="13">
        <f>IF(tblCleanData[[#This Row],[Attrition]]="No", 0,1)</f>
        <v>0</v>
      </c>
      <c r="AM57" s="13">
        <f>IF(tblCleanData[[#This Row],[OverTime]] = "No", 0, 1)</f>
        <v>1</v>
      </c>
      <c r="AN57" s="13" t="str">
        <f>CHOOSE(tblCleanData[[#This Row],[Education]], "Below College","College","Bachelor","Master","Doctor")</f>
        <v>College</v>
      </c>
      <c r="AO57" s="13" t="str">
        <f>VLOOKUP(tblCleanData[[#This Row],[EmployeeNumber]],tblHelpers[],15,TRUE)</f>
        <v>High Risk</v>
      </c>
      <c r="AP57" s="13">
        <f>VLOOKUP(tblCleanData[[#This Row],[EmployeeNumber]],tblHelpers[],14,0)</f>
        <v>59</v>
      </c>
    </row>
    <row r="58" spans="1:42" x14ac:dyDescent="0.25">
      <c r="A58" s="13">
        <v>35</v>
      </c>
      <c r="B58" s="13" t="s">
        <v>59</v>
      </c>
      <c r="C58" s="13" t="s">
        <v>60</v>
      </c>
      <c r="D58" s="13">
        <v>853</v>
      </c>
      <c r="E58" s="13" t="s">
        <v>39</v>
      </c>
      <c r="F58" s="13">
        <v>18</v>
      </c>
      <c r="G58" s="13">
        <v>5</v>
      </c>
      <c r="H58" s="13" t="s">
        <v>42</v>
      </c>
      <c r="I58" s="13">
        <v>1</v>
      </c>
      <c r="J58" s="13">
        <v>74</v>
      </c>
      <c r="K58" s="13">
        <v>2</v>
      </c>
      <c r="L58" s="13" t="s">
        <v>63</v>
      </c>
      <c r="M58" s="13">
        <v>71</v>
      </c>
      <c r="N58" s="13">
        <v>3</v>
      </c>
      <c r="O58" s="13">
        <v>3</v>
      </c>
      <c r="P58" s="13" t="s">
        <v>46</v>
      </c>
      <c r="Q58" s="13">
        <v>1</v>
      </c>
      <c r="R58" s="13" t="s">
        <v>66</v>
      </c>
      <c r="S58" s="20">
        <v>9069</v>
      </c>
      <c r="T58" s="13">
        <v>11031</v>
      </c>
      <c r="U58" s="13">
        <v>1</v>
      </c>
      <c r="V58" s="13" t="s">
        <v>52</v>
      </c>
      <c r="W58" s="13" t="s">
        <v>59</v>
      </c>
      <c r="X58" s="13">
        <v>22</v>
      </c>
      <c r="Y58" s="13">
        <v>4</v>
      </c>
      <c r="Z58" s="13">
        <v>4</v>
      </c>
      <c r="AA58" s="13">
        <v>80</v>
      </c>
      <c r="AB58" s="13">
        <v>1</v>
      </c>
      <c r="AC58" s="13">
        <v>9</v>
      </c>
      <c r="AD58" s="13">
        <v>3</v>
      </c>
      <c r="AE58" s="13">
        <v>2</v>
      </c>
      <c r="AF58" s="14">
        <v>9</v>
      </c>
      <c r="AG58" s="13">
        <v>8</v>
      </c>
      <c r="AH58" s="13">
        <v>1</v>
      </c>
      <c r="AI58" s="13">
        <v>8</v>
      </c>
      <c r="AJ58" s="13" t="str">
        <f t="shared" si="0"/>
        <v>30-39</v>
      </c>
      <c r="AK58" s="13" t="str">
        <f>IF(tblCleanData[[#This Row],[MonthlyIncome]]&lt;5000, "Low Income", IF(tblCleanData[[#This Row],[MonthlyIncome]]&lt;15000, "Medium Income", "High Income"))</f>
        <v>Medium Income</v>
      </c>
      <c r="AL58" s="13">
        <f>IF(tblCleanData[[#This Row],[Attrition]]="No", 0,1)</f>
        <v>0</v>
      </c>
      <c r="AM58" s="13">
        <f>IF(tblCleanData[[#This Row],[OverTime]] = "No", 0, 1)</f>
        <v>0</v>
      </c>
      <c r="AN58" s="13" t="str">
        <f>CHOOSE(tblCleanData[[#This Row],[Education]], "Below College","College","Bachelor","Master","Doctor")</f>
        <v>Doctor</v>
      </c>
      <c r="AO58" s="13" t="str">
        <f>VLOOKUP(tblCleanData[[#This Row],[EmployeeNumber]],tblHelpers[],15,TRUE)</f>
        <v>High Risk</v>
      </c>
      <c r="AP58" s="13">
        <f>VLOOKUP(tblCleanData[[#This Row],[EmployeeNumber]],tblHelpers[],14,0)</f>
        <v>58</v>
      </c>
    </row>
    <row r="59" spans="1:42" x14ac:dyDescent="0.25">
      <c r="A59" s="13">
        <v>35</v>
      </c>
      <c r="B59" s="13" t="s">
        <v>59</v>
      </c>
      <c r="C59" s="13" t="s">
        <v>37</v>
      </c>
      <c r="D59" s="13">
        <v>1142</v>
      </c>
      <c r="E59" s="13" t="s">
        <v>62</v>
      </c>
      <c r="F59" s="13">
        <v>23</v>
      </c>
      <c r="G59" s="13">
        <v>4</v>
      </c>
      <c r="H59" s="13" t="s">
        <v>87</v>
      </c>
      <c r="I59" s="13">
        <v>1</v>
      </c>
      <c r="J59" s="13">
        <v>75</v>
      </c>
      <c r="K59" s="13">
        <v>3</v>
      </c>
      <c r="L59" s="13" t="s">
        <v>43</v>
      </c>
      <c r="M59" s="13">
        <v>30</v>
      </c>
      <c r="N59" s="13">
        <v>3</v>
      </c>
      <c r="O59" s="13">
        <v>1</v>
      </c>
      <c r="P59" s="13" t="s">
        <v>76</v>
      </c>
      <c r="Q59" s="13">
        <v>1</v>
      </c>
      <c r="R59" s="13" t="s">
        <v>66</v>
      </c>
      <c r="S59" s="20">
        <v>4014</v>
      </c>
      <c r="T59" s="13">
        <v>16002</v>
      </c>
      <c r="U59" s="13">
        <v>3</v>
      </c>
      <c r="V59" s="13" t="s">
        <v>52</v>
      </c>
      <c r="W59" s="13" t="s">
        <v>36</v>
      </c>
      <c r="X59" s="13">
        <v>15</v>
      </c>
      <c r="Y59" s="13">
        <v>3</v>
      </c>
      <c r="Z59" s="13">
        <v>3</v>
      </c>
      <c r="AA59" s="13">
        <v>80</v>
      </c>
      <c r="AB59" s="13">
        <v>1</v>
      </c>
      <c r="AC59" s="13">
        <v>4</v>
      </c>
      <c r="AD59" s="13">
        <v>3</v>
      </c>
      <c r="AE59" s="13">
        <v>3</v>
      </c>
      <c r="AF59" s="14">
        <v>2</v>
      </c>
      <c r="AG59" s="13">
        <v>2</v>
      </c>
      <c r="AH59" s="13">
        <v>2</v>
      </c>
      <c r="AI59" s="13">
        <v>2</v>
      </c>
      <c r="AJ59" s="13" t="str">
        <f t="shared" si="0"/>
        <v>30-39</v>
      </c>
      <c r="AK59" s="13" t="str">
        <f>IF(tblCleanData[[#This Row],[MonthlyIncome]]&lt;5000, "Low Income", IF(tblCleanData[[#This Row],[MonthlyIncome]]&lt;15000, "Medium Income", "High Income"))</f>
        <v>Low Income</v>
      </c>
      <c r="AL59" s="13">
        <f>IF(tblCleanData[[#This Row],[Attrition]]="No", 0,1)</f>
        <v>0</v>
      </c>
      <c r="AM59" s="13">
        <f>IF(tblCleanData[[#This Row],[OverTime]] = "No", 0, 1)</f>
        <v>1</v>
      </c>
      <c r="AN59" s="13" t="str">
        <f>CHOOSE(tblCleanData[[#This Row],[Education]], "Below College","College","Bachelor","Master","Doctor")</f>
        <v>Master</v>
      </c>
      <c r="AO59" s="13" t="str">
        <f>VLOOKUP(tblCleanData[[#This Row],[EmployeeNumber]],tblHelpers[],15,TRUE)</f>
        <v>High Risk</v>
      </c>
      <c r="AP59" s="13">
        <f>VLOOKUP(tblCleanData[[#This Row],[EmployeeNumber]],tblHelpers[],14,0)</f>
        <v>100</v>
      </c>
    </row>
    <row r="60" spans="1:42" x14ac:dyDescent="0.25">
      <c r="A60" s="13">
        <v>31</v>
      </c>
      <c r="B60" s="13" t="s">
        <v>59</v>
      </c>
      <c r="C60" s="13" t="s">
        <v>37</v>
      </c>
      <c r="D60" s="13">
        <v>655</v>
      </c>
      <c r="E60" s="13" t="s">
        <v>62</v>
      </c>
      <c r="F60" s="13">
        <v>7</v>
      </c>
      <c r="G60" s="13">
        <v>4</v>
      </c>
      <c r="H60" s="13" t="s">
        <v>42</v>
      </c>
      <c r="I60" s="13">
        <v>1</v>
      </c>
      <c r="J60" s="13">
        <v>76</v>
      </c>
      <c r="K60" s="13">
        <v>4</v>
      </c>
      <c r="L60" s="13" t="s">
        <v>63</v>
      </c>
      <c r="M60" s="13">
        <v>48</v>
      </c>
      <c r="N60" s="13">
        <v>3</v>
      </c>
      <c r="O60" s="13">
        <v>2</v>
      </c>
      <c r="P60" s="13" t="s">
        <v>76</v>
      </c>
      <c r="Q60" s="13">
        <v>4</v>
      </c>
      <c r="R60" s="13" t="s">
        <v>109</v>
      </c>
      <c r="S60" s="20">
        <v>5915</v>
      </c>
      <c r="T60" s="13">
        <v>9528</v>
      </c>
      <c r="U60" s="13">
        <v>3</v>
      </c>
      <c r="V60" s="13" t="s">
        <v>52</v>
      </c>
      <c r="W60" s="13" t="s">
        <v>59</v>
      </c>
      <c r="X60" s="13">
        <v>22</v>
      </c>
      <c r="Y60" s="13">
        <v>4</v>
      </c>
      <c r="Z60" s="13">
        <v>4</v>
      </c>
      <c r="AA60" s="13">
        <v>80</v>
      </c>
      <c r="AB60" s="13">
        <v>1</v>
      </c>
      <c r="AC60" s="13">
        <v>10</v>
      </c>
      <c r="AD60" s="13">
        <v>3</v>
      </c>
      <c r="AE60" s="13">
        <v>2</v>
      </c>
      <c r="AF60" s="14">
        <v>7</v>
      </c>
      <c r="AG60" s="13">
        <v>7</v>
      </c>
      <c r="AH60" s="13">
        <v>1</v>
      </c>
      <c r="AI60" s="13">
        <v>7</v>
      </c>
      <c r="AJ60" s="13" t="str">
        <f t="shared" si="0"/>
        <v>30-39</v>
      </c>
      <c r="AK60" s="13" t="str">
        <f>IF(tblCleanData[[#This Row],[MonthlyIncome]]&lt;5000, "Low Income", IF(tblCleanData[[#This Row],[MonthlyIncome]]&lt;15000, "Medium Income", "High Income"))</f>
        <v>Medium Income</v>
      </c>
      <c r="AL60" s="13">
        <f>IF(tblCleanData[[#This Row],[Attrition]]="No", 0,1)</f>
        <v>0</v>
      </c>
      <c r="AM60" s="13">
        <f>IF(tblCleanData[[#This Row],[OverTime]] = "No", 0, 1)</f>
        <v>0</v>
      </c>
      <c r="AN60" s="13" t="str">
        <f>CHOOSE(tblCleanData[[#This Row],[Education]], "Below College","College","Bachelor","Master","Doctor")</f>
        <v>Master</v>
      </c>
      <c r="AO60" s="13" t="str">
        <f>VLOOKUP(tblCleanData[[#This Row],[EmployeeNumber]],tblHelpers[],15,TRUE)</f>
        <v>Medium Risk</v>
      </c>
      <c r="AP60" s="13">
        <f>VLOOKUP(tblCleanData[[#This Row],[EmployeeNumber]],tblHelpers[],14,0)</f>
        <v>39</v>
      </c>
    </row>
    <row r="61" spans="1:42" x14ac:dyDescent="0.25">
      <c r="A61" s="13">
        <v>37</v>
      </c>
      <c r="B61" s="13" t="s">
        <v>59</v>
      </c>
      <c r="C61" s="13" t="s">
        <v>37</v>
      </c>
      <c r="D61" s="13">
        <v>1115</v>
      </c>
      <c r="E61" s="13" t="s">
        <v>62</v>
      </c>
      <c r="F61" s="13">
        <v>1</v>
      </c>
      <c r="G61" s="13">
        <v>4</v>
      </c>
      <c r="H61" s="13" t="s">
        <v>42</v>
      </c>
      <c r="I61" s="13">
        <v>1</v>
      </c>
      <c r="J61" s="13">
        <v>77</v>
      </c>
      <c r="K61" s="13">
        <v>1</v>
      </c>
      <c r="L61" s="13" t="s">
        <v>63</v>
      </c>
      <c r="M61" s="13">
        <v>51</v>
      </c>
      <c r="N61" s="13">
        <v>2</v>
      </c>
      <c r="O61" s="13">
        <v>2</v>
      </c>
      <c r="P61" s="13" t="s">
        <v>116</v>
      </c>
      <c r="Q61" s="13">
        <v>3</v>
      </c>
      <c r="R61" s="13" t="s">
        <v>109</v>
      </c>
      <c r="S61" s="20">
        <v>5993</v>
      </c>
      <c r="T61" s="13">
        <v>2689</v>
      </c>
      <c r="U61" s="13">
        <v>1</v>
      </c>
      <c r="V61" s="13" t="s">
        <v>52</v>
      </c>
      <c r="W61" s="13" t="s">
        <v>59</v>
      </c>
      <c r="X61" s="13">
        <v>18</v>
      </c>
      <c r="Y61" s="13">
        <v>3</v>
      </c>
      <c r="Z61" s="13">
        <v>3</v>
      </c>
      <c r="AA61" s="13">
        <v>80</v>
      </c>
      <c r="AB61" s="13">
        <v>1</v>
      </c>
      <c r="AC61" s="13">
        <v>7</v>
      </c>
      <c r="AD61" s="13">
        <v>2</v>
      </c>
      <c r="AE61" s="13">
        <v>4</v>
      </c>
      <c r="AF61" s="14">
        <v>7</v>
      </c>
      <c r="AG61" s="13">
        <v>5</v>
      </c>
      <c r="AH61" s="13">
        <v>0</v>
      </c>
      <c r="AI61" s="13">
        <v>7</v>
      </c>
      <c r="AJ61" s="13" t="str">
        <f t="shared" si="0"/>
        <v>30-39</v>
      </c>
      <c r="AK61" s="13" t="str">
        <f>IF(tblCleanData[[#This Row],[MonthlyIncome]]&lt;5000, "Low Income", IF(tblCleanData[[#This Row],[MonthlyIncome]]&lt;15000, "Medium Income", "High Income"))</f>
        <v>Medium Income</v>
      </c>
      <c r="AL61" s="13">
        <f>IF(tblCleanData[[#This Row],[Attrition]]="No", 0,1)</f>
        <v>0</v>
      </c>
      <c r="AM61" s="13">
        <f>IF(tblCleanData[[#This Row],[OverTime]] = "No", 0, 1)</f>
        <v>0</v>
      </c>
      <c r="AN61" s="13" t="str">
        <f>CHOOSE(tblCleanData[[#This Row],[Education]], "Below College","College","Bachelor","Master","Doctor")</f>
        <v>Master</v>
      </c>
      <c r="AO61" s="13" t="str">
        <f>VLOOKUP(tblCleanData[[#This Row],[EmployeeNumber]],tblHelpers[],15,TRUE)</f>
        <v>Medium Risk</v>
      </c>
      <c r="AP61" s="13">
        <f>VLOOKUP(tblCleanData[[#This Row],[EmployeeNumber]],tblHelpers[],14,0)</f>
        <v>46</v>
      </c>
    </row>
    <row r="62" spans="1:42" x14ac:dyDescent="0.25">
      <c r="A62" s="13">
        <v>32</v>
      </c>
      <c r="B62" s="13" t="s">
        <v>59</v>
      </c>
      <c r="C62" s="13" t="s">
        <v>37</v>
      </c>
      <c r="D62" s="13">
        <v>427</v>
      </c>
      <c r="E62" s="13" t="s">
        <v>62</v>
      </c>
      <c r="F62" s="13">
        <v>1</v>
      </c>
      <c r="G62" s="13">
        <v>3</v>
      </c>
      <c r="H62" s="13" t="s">
        <v>87</v>
      </c>
      <c r="I62" s="13">
        <v>1</v>
      </c>
      <c r="J62" s="13">
        <v>78</v>
      </c>
      <c r="K62" s="13">
        <v>1</v>
      </c>
      <c r="L62" s="13" t="s">
        <v>63</v>
      </c>
      <c r="M62" s="13">
        <v>33</v>
      </c>
      <c r="N62" s="13">
        <v>3</v>
      </c>
      <c r="O62" s="13">
        <v>2</v>
      </c>
      <c r="P62" s="13" t="s">
        <v>116</v>
      </c>
      <c r="Q62" s="13">
        <v>4</v>
      </c>
      <c r="R62" s="13" t="s">
        <v>66</v>
      </c>
      <c r="S62" s="20">
        <v>6162</v>
      </c>
      <c r="T62" s="13">
        <v>10877</v>
      </c>
      <c r="U62" s="13">
        <v>1</v>
      </c>
      <c r="V62" s="13" t="s">
        <v>52</v>
      </c>
      <c r="W62" s="13" t="s">
        <v>36</v>
      </c>
      <c r="X62" s="13">
        <v>22</v>
      </c>
      <c r="Y62" s="13">
        <v>4</v>
      </c>
      <c r="Z62" s="13">
        <v>2</v>
      </c>
      <c r="AA62" s="13">
        <v>80</v>
      </c>
      <c r="AB62" s="13">
        <v>1</v>
      </c>
      <c r="AC62" s="13">
        <v>9</v>
      </c>
      <c r="AD62" s="13">
        <v>3</v>
      </c>
      <c r="AE62" s="13">
        <v>3</v>
      </c>
      <c r="AF62" s="14">
        <v>9</v>
      </c>
      <c r="AG62" s="13">
        <v>8</v>
      </c>
      <c r="AH62" s="13">
        <v>7</v>
      </c>
      <c r="AI62" s="13">
        <v>8</v>
      </c>
      <c r="AJ62" s="13" t="str">
        <f t="shared" si="0"/>
        <v>30-39</v>
      </c>
      <c r="AK62" s="13" t="str">
        <f>IF(tblCleanData[[#This Row],[MonthlyIncome]]&lt;5000, "Low Income", IF(tblCleanData[[#This Row],[MonthlyIncome]]&lt;15000, "Medium Income", "High Income"))</f>
        <v>Medium Income</v>
      </c>
      <c r="AL62" s="13">
        <f>IF(tblCleanData[[#This Row],[Attrition]]="No", 0,1)</f>
        <v>0</v>
      </c>
      <c r="AM62" s="13">
        <f>IF(tblCleanData[[#This Row],[OverTime]] = "No", 0, 1)</f>
        <v>1</v>
      </c>
      <c r="AN62" s="13" t="str">
        <f>CHOOSE(tblCleanData[[#This Row],[Education]], "Below College","College","Bachelor","Master","Doctor")</f>
        <v>Bachelor</v>
      </c>
      <c r="AO62" s="13" t="str">
        <f>VLOOKUP(tblCleanData[[#This Row],[EmployeeNumber]],tblHelpers[],15,TRUE)</f>
        <v>High Risk</v>
      </c>
      <c r="AP62" s="13">
        <f>VLOOKUP(tblCleanData[[#This Row],[EmployeeNumber]],tblHelpers[],14,0)</f>
        <v>64</v>
      </c>
    </row>
    <row r="63" spans="1:42" x14ac:dyDescent="0.25">
      <c r="A63" s="13">
        <v>38</v>
      </c>
      <c r="B63" s="13" t="s">
        <v>59</v>
      </c>
      <c r="C63" s="13" t="s">
        <v>60</v>
      </c>
      <c r="D63" s="13">
        <v>653</v>
      </c>
      <c r="E63" s="13" t="s">
        <v>62</v>
      </c>
      <c r="F63" s="13">
        <v>29</v>
      </c>
      <c r="G63" s="13">
        <v>5</v>
      </c>
      <c r="H63" s="13" t="s">
        <v>42</v>
      </c>
      <c r="I63" s="13">
        <v>1</v>
      </c>
      <c r="J63" s="13">
        <v>79</v>
      </c>
      <c r="K63" s="13">
        <v>4</v>
      </c>
      <c r="L63" s="13" t="s">
        <v>43</v>
      </c>
      <c r="M63" s="13">
        <v>50</v>
      </c>
      <c r="N63" s="13">
        <v>3</v>
      </c>
      <c r="O63" s="13">
        <v>2</v>
      </c>
      <c r="P63" s="13" t="s">
        <v>76</v>
      </c>
      <c r="Q63" s="13">
        <v>4</v>
      </c>
      <c r="R63" s="13" t="s">
        <v>48</v>
      </c>
      <c r="S63" s="20">
        <v>2406</v>
      </c>
      <c r="T63" s="13">
        <v>5456</v>
      </c>
      <c r="U63" s="13">
        <v>1</v>
      </c>
      <c r="V63" s="13" t="s">
        <v>52</v>
      </c>
      <c r="W63" s="13" t="s">
        <v>59</v>
      </c>
      <c r="X63" s="13">
        <v>11</v>
      </c>
      <c r="Y63" s="13">
        <v>3</v>
      </c>
      <c r="Z63" s="13">
        <v>4</v>
      </c>
      <c r="AA63" s="13">
        <v>80</v>
      </c>
      <c r="AB63" s="13">
        <v>0</v>
      </c>
      <c r="AC63" s="13">
        <v>10</v>
      </c>
      <c r="AD63" s="13">
        <v>2</v>
      </c>
      <c r="AE63" s="13">
        <v>3</v>
      </c>
      <c r="AF63" s="14">
        <v>10</v>
      </c>
      <c r="AG63" s="13">
        <v>3</v>
      </c>
      <c r="AH63" s="13">
        <v>9</v>
      </c>
      <c r="AI63" s="13">
        <v>9</v>
      </c>
      <c r="AJ63" s="13" t="str">
        <f t="shared" si="0"/>
        <v>30-39</v>
      </c>
      <c r="AK63" s="13" t="str">
        <f>IF(tblCleanData[[#This Row],[MonthlyIncome]]&lt;5000, "Low Income", IF(tblCleanData[[#This Row],[MonthlyIncome]]&lt;15000, "Medium Income", "High Income"))</f>
        <v>Low Income</v>
      </c>
      <c r="AL63" s="13">
        <f>IF(tblCleanData[[#This Row],[Attrition]]="No", 0,1)</f>
        <v>0</v>
      </c>
      <c r="AM63" s="13">
        <f>IF(tblCleanData[[#This Row],[OverTime]] = "No", 0, 1)</f>
        <v>0</v>
      </c>
      <c r="AN63" s="13" t="str">
        <f>CHOOSE(tblCleanData[[#This Row],[Education]], "Below College","College","Bachelor","Master","Doctor")</f>
        <v>Doctor</v>
      </c>
      <c r="AO63" s="13" t="str">
        <f>VLOOKUP(tblCleanData[[#This Row],[EmployeeNumber]],tblHelpers[],15,TRUE)</f>
        <v>Medium Risk</v>
      </c>
      <c r="AP63" s="13">
        <f>VLOOKUP(tblCleanData[[#This Row],[EmployeeNumber]],tblHelpers[],14,0)</f>
        <v>39</v>
      </c>
    </row>
    <row r="64" spans="1:42" x14ac:dyDescent="0.25">
      <c r="A64" s="13">
        <v>50</v>
      </c>
      <c r="B64" s="13" t="s">
        <v>59</v>
      </c>
      <c r="C64" s="13" t="s">
        <v>37</v>
      </c>
      <c r="D64" s="13">
        <v>989</v>
      </c>
      <c r="E64" s="13" t="s">
        <v>62</v>
      </c>
      <c r="F64" s="13">
        <v>7</v>
      </c>
      <c r="G64" s="13">
        <v>2</v>
      </c>
      <c r="H64" s="13" t="s">
        <v>87</v>
      </c>
      <c r="I64" s="13">
        <v>1</v>
      </c>
      <c r="J64" s="13">
        <v>80</v>
      </c>
      <c r="K64" s="13">
        <v>2</v>
      </c>
      <c r="L64" s="13" t="s">
        <v>43</v>
      </c>
      <c r="M64" s="13">
        <v>43</v>
      </c>
      <c r="N64" s="13">
        <v>2</v>
      </c>
      <c r="O64" s="13">
        <v>5</v>
      </c>
      <c r="P64" s="13" t="s">
        <v>186</v>
      </c>
      <c r="Q64" s="13">
        <v>3</v>
      </c>
      <c r="R64" s="13" t="s">
        <v>109</v>
      </c>
      <c r="S64" s="20">
        <v>18740</v>
      </c>
      <c r="T64" s="13">
        <v>16701</v>
      </c>
      <c r="U64" s="13">
        <v>5</v>
      </c>
      <c r="V64" s="13" t="s">
        <v>52</v>
      </c>
      <c r="W64" s="13" t="s">
        <v>36</v>
      </c>
      <c r="X64" s="13">
        <v>12</v>
      </c>
      <c r="Y64" s="13">
        <v>3</v>
      </c>
      <c r="Z64" s="13">
        <v>4</v>
      </c>
      <c r="AA64" s="13">
        <v>80</v>
      </c>
      <c r="AB64" s="13">
        <v>1</v>
      </c>
      <c r="AC64" s="13">
        <v>29</v>
      </c>
      <c r="AD64" s="13">
        <v>2</v>
      </c>
      <c r="AE64" s="13">
        <v>2</v>
      </c>
      <c r="AF64" s="14">
        <v>27</v>
      </c>
      <c r="AG64" s="13">
        <v>3</v>
      </c>
      <c r="AH64" s="13">
        <v>13</v>
      </c>
      <c r="AI64" s="13">
        <v>8</v>
      </c>
      <c r="AJ64" s="13" t="str">
        <f t="shared" si="0"/>
        <v>50+</v>
      </c>
      <c r="AK64" s="13" t="str">
        <f>IF(tblCleanData[[#This Row],[MonthlyIncome]]&lt;5000, "Low Income", IF(tblCleanData[[#This Row],[MonthlyIncome]]&lt;15000, "Medium Income", "High Income"))</f>
        <v>High Income</v>
      </c>
      <c r="AL64" s="13">
        <f>IF(tblCleanData[[#This Row],[Attrition]]="No", 0,1)</f>
        <v>0</v>
      </c>
      <c r="AM64" s="13">
        <f>IF(tblCleanData[[#This Row],[OverTime]] = "No", 0, 1)</f>
        <v>1</v>
      </c>
      <c r="AN64" s="13" t="str">
        <f>CHOOSE(tblCleanData[[#This Row],[Education]], "Below College","College","Bachelor","Master","Doctor")</f>
        <v>College</v>
      </c>
      <c r="AO64" s="13" t="str">
        <f>VLOOKUP(tblCleanData[[#This Row],[EmployeeNumber]],tblHelpers[],15,TRUE)</f>
        <v>High Risk</v>
      </c>
      <c r="AP64" s="13">
        <f>VLOOKUP(tblCleanData[[#This Row],[EmployeeNumber]],tblHelpers[],14,0)</f>
        <v>61</v>
      </c>
    </row>
    <row r="65" spans="1:42" x14ac:dyDescent="0.25">
      <c r="A65" s="13">
        <v>59</v>
      </c>
      <c r="B65" s="13" t="s">
        <v>59</v>
      </c>
      <c r="C65" s="13" t="s">
        <v>37</v>
      </c>
      <c r="D65" s="13">
        <v>1435</v>
      </c>
      <c r="E65" s="13" t="s">
        <v>39</v>
      </c>
      <c r="F65" s="13">
        <v>25</v>
      </c>
      <c r="G65" s="13">
        <v>3</v>
      </c>
      <c r="H65" s="13" t="s">
        <v>42</v>
      </c>
      <c r="I65" s="13">
        <v>1</v>
      </c>
      <c r="J65" s="13">
        <v>81</v>
      </c>
      <c r="K65" s="13">
        <v>1</v>
      </c>
      <c r="L65" s="13" t="s">
        <v>43</v>
      </c>
      <c r="M65" s="13">
        <v>99</v>
      </c>
      <c r="N65" s="13">
        <v>3</v>
      </c>
      <c r="O65" s="13">
        <v>3</v>
      </c>
      <c r="P65" s="13" t="s">
        <v>46</v>
      </c>
      <c r="Q65" s="13">
        <v>1</v>
      </c>
      <c r="R65" s="13" t="s">
        <v>48</v>
      </c>
      <c r="S65" s="20">
        <v>7637</v>
      </c>
      <c r="T65" s="13">
        <v>2354</v>
      </c>
      <c r="U65" s="13">
        <v>7</v>
      </c>
      <c r="V65" s="13" t="s">
        <v>52</v>
      </c>
      <c r="W65" s="13" t="s">
        <v>59</v>
      </c>
      <c r="X65" s="13">
        <v>11</v>
      </c>
      <c r="Y65" s="13">
        <v>3</v>
      </c>
      <c r="Z65" s="13">
        <v>4</v>
      </c>
      <c r="AA65" s="13">
        <v>80</v>
      </c>
      <c r="AB65" s="13">
        <v>0</v>
      </c>
      <c r="AC65" s="13">
        <v>28</v>
      </c>
      <c r="AD65" s="13">
        <v>3</v>
      </c>
      <c r="AE65" s="13">
        <v>2</v>
      </c>
      <c r="AF65" s="14">
        <v>21</v>
      </c>
      <c r="AG65" s="13">
        <v>16</v>
      </c>
      <c r="AH65" s="13">
        <v>7</v>
      </c>
      <c r="AI65" s="13">
        <v>9</v>
      </c>
      <c r="AJ65" s="13" t="str">
        <f t="shared" si="0"/>
        <v>50+</v>
      </c>
      <c r="AK65" s="13" t="str">
        <f>IF(tblCleanData[[#This Row],[MonthlyIncome]]&lt;5000, "Low Income", IF(tblCleanData[[#This Row],[MonthlyIncome]]&lt;15000, "Medium Income", "High Income"))</f>
        <v>Medium Income</v>
      </c>
      <c r="AL65" s="13">
        <f>IF(tblCleanData[[#This Row],[Attrition]]="No", 0,1)</f>
        <v>0</v>
      </c>
      <c r="AM65" s="13">
        <f>IF(tblCleanData[[#This Row],[OverTime]] = "No", 0, 1)</f>
        <v>0</v>
      </c>
      <c r="AN65" s="13" t="str">
        <f>CHOOSE(tblCleanData[[#This Row],[Education]], "Below College","College","Bachelor","Master","Doctor")</f>
        <v>Bachelor</v>
      </c>
      <c r="AO65" s="13" t="str">
        <f>VLOOKUP(tblCleanData[[#This Row],[EmployeeNumber]],tblHelpers[],15,TRUE)</f>
        <v>Medium Risk</v>
      </c>
      <c r="AP65" s="13">
        <f>VLOOKUP(tblCleanData[[#This Row],[EmployeeNumber]],tblHelpers[],14,0)</f>
        <v>48</v>
      </c>
    </row>
    <row r="66" spans="1:42" x14ac:dyDescent="0.25">
      <c r="A66" s="13">
        <v>36</v>
      </c>
      <c r="B66" s="13" t="s">
        <v>59</v>
      </c>
      <c r="C66" s="13" t="s">
        <v>37</v>
      </c>
      <c r="D66" s="13">
        <v>1223</v>
      </c>
      <c r="E66" s="13" t="s">
        <v>62</v>
      </c>
      <c r="F66" s="13">
        <v>8</v>
      </c>
      <c r="G66" s="13">
        <v>3</v>
      </c>
      <c r="H66" s="13" t="s">
        <v>228</v>
      </c>
      <c r="I66" s="13">
        <v>1</v>
      </c>
      <c r="J66" s="13">
        <v>83</v>
      </c>
      <c r="K66" s="13">
        <v>3</v>
      </c>
      <c r="L66" s="13" t="s">
        <v>43</v>
      </c>
      <c r="M66" s="13">
        <v>59</v>
      </c>
      <c r="N66" s="13">
        <v>3</v>
      </c>
      <c r="O66" s="13">
        <v>3</v>
      </c>
      <c r="P66" s="13" t="s">
        <v>122</v>
      </c>
      <c r="Q66" s="13">
        <v>3</v>
      </c>
      <c r="R66" s="13" t="s">
        <v>109</v>
      </c>
      <c r="S66" s="20">
        <v>10096</v>
      </c>
      <c r="T66" s="13">
        <v>8202</v>
      </c>
      <c r="U66" s="13">
        <v>1</v>
      </c>
      <c r="V66" s="13" t="s">
        <v>52</v>
      </c>
      <c r="W66" s="13" t="s">
        <v>59</v>
      </c>
      <c r="X66" s="13">
        <v>13</v>
      </c>
      <c r="Y66" s="13">
        <v>3</v>
      </c>
      <c r="Z66" s="13">
        <v>2</v>
      </c>
      <c r="AA66" s="13">
        <v>80</v>
      </c>
      <c r="AB66" s="13">
        <v>3</v>
      </c>
      <c r="AC66" s="13">
        <v>17</v>
      </c>
      <c r="AD66" s="13">
        <v>2</v>
      </c>
      <c r="AE66" s="13">
        <v>3</v>
      </c>
      <c r="AF66" s="14">
        <v>17</v>
      </c>
      <c r="AG66" s="13">
        <v>14</v>
      </c>
      <c r="AH66" s="13">
        <v>12</v>
      </c>
      <c r="AI66" s="13">
        <v>8</v>
      </c>
      <c r="AJ66" s="13" t="str">
        <f t="shared" ref="AJ66:AJ129" si="1">IF(A66&lt;30,"Under 30", IF(A66&lt;40,"30-39", IF(A66&lt;50,"40-49", "50+")))</f>
        <v>30-39</v>
      </c>
      <c r="AK66" s="13" t="str">
        <f>IF(tblCleanData[[#This Row],[MonthlyIncome]]&lt;5000, "Low Income", IF(tblCleanData[[#This Row],[MonthlyIncome]]&lt;15000, "Medium Income", "High Income"))</f>
        <v>Medium Income</v>
      </c>
      <c r="AL66" s="13">
        <f>IF(tblCleanData[[#This Row],[Attrition]]="No", 0,1)</f>
        <v>0</v>
      </c>
      <c r="AM66" s="13">
        <f>IF(tblCleanData[[#This Row],[OverTime]] = "No", 0, 1)</f>
        <v>0</v>
      </c>
      <c r="AN66" s="13" t="str">
        <f>CHOOSE(tblCleanData[[#This Row],[Education]], "Below College","College","Bachelor","Master","Doctor")</f>
        <v>Bachelor</v>
      </c>
      <c r="AO66" s="13" t="str">
        <f>VLOOKUP(tblCleanData[[#This Row],[EmployeeNumber]],tblHelpers[],15,TRUE)</f>
        <v>Medium Risk</v>
      </c>
      <c r="AP66" s="13">
        <f>VLOOKUP(tblCleanData[[#This Row],[EmployeeNumber]],tblHelpers[],14,0)</f>
        <v>41</v>
      </c>
    </row>
    <row r="67" spans="1:42" x14ac:dyDescent="0.25">
      <c r="A67" s="13">
        <v>55</v>
      </c>
      <c r="B67" s="13" t="s">
        <v>59</v>
      </c>
      <c r="C67" s="13" t="s">
        <v>37</v>
      </c>
      <c r="D67" s="13">
        <v>836</v>
      </c>
      <c r="E67" s="13" t="s">
        <v>62</v>
      </c>
      <c r="F67" s="13">
        <v>8</v>
      </c>
      <c r="G67" s="13">
        <v>3</v>
      </c>
      <c r="H67" s="13" t="s">
        <v>87</v>
      </c>
      <c r="I67" s="13">
        <v>1</v>
      </c>
      <c r="J67" s="13">
        <v>84</v>
      </c>
      <c r="K67" s="13">
        <v>4</v>
      </c>
      <c r="L67" s="13" t="s">
        <v>43</v>
      </c>
      <c r="M67" s="13">
        <v>33</v>
      </c>
      <c r="N67" s="13">
        <v>3</v>
      </c>
      <c r="O67" s="13">
        <v>4</v>
      </c>
      <c r="P67" s="13" t="s">
        <v>169</v>
      </c>
      <c r="Q67" s="13">
        <v>3</v>
      </c>
      <c r="R67" s="13" t="s">
        <v>109</v>
      </c>
      <c r="S67" s="20">
        <v>14756</v>
      </c>
      <c r="T67" s="13">
        <v>19730</v>
      </c>
      <c r="U67" s="13">
        <v>2</v>
      </c>
      <c r="V67" s="13" t="s">
        <v>52</v>
      </c>
      <c r="W67" s="13" t="s">
        <v>36</v>
      </c>
      <c r="X67" s="13">
        <v>14</v>
      </c>
      <c r="Y67" s="13">
        <v>3</v>
      </c>
      <c r="Z67" s="13">
        <v>3</v>
      </c>
      <c r="AA67" s="13">
        <v>80</v>
      </c>
      <c r="AB67" s="13">
        <v>3</v>
      </c>
      <c r="AC67" s="13">
        <v>21</v>
      </c>
      <c r="AD67" s="13">
        <v>2</v>
      </c>
      <c r="AE67" s="13">
        <v>3</v>
      </c>
      <c r="AF67" s="14">
        <v>5</v>
      </c>
      <c r="AG67" s="13">
        <v>0</v>
      </c>
      <c r="AH67" s="13">
        <v>0</v>
      </c>
      <c r="AI67" s="13">
        <v>2</v>
      </c>
      <c r="AJ67" s="13" t="str">
        <f t="shared" si="1"/>
        <v>50+</v>
      </c>
      <c r="AK67" s="13" t="str">
        <f>IF(tblCleanData[[#This Row],[MonthlyIncome]]&lt;5000, "Low Income", IF(tblCleanData[[#This Row],[MonthlyIncome]]&lt;15000, "Medium Income", "High Income"))</f>
        <v>Medium Income</v>
      </c>
      <c r="AL67" s="13">
        <f>IF(tblCleanData[[#This Row],[Attrition]]="No", 0,1)</f>
        <v>0</v>
      </c>
      <c r="AM67" s="13">
        <f>IF(tblCleanData[[#This Row],[OverTime]] = "No", 0, 1)</f>
        <v>1</v>
      </c>
      <c r="AN67" s="13" t="str">
        <f>CHOOSE(tblCleanData[[#This Row],[Education]], "Below College","College","Bachelor","Master","Doctor")</f>
        <v>Bachelor</v>
      </c>
      <c r="AO67" s="13" t="str">
        <f>VLOOKUP(tblCleanData[[#This Row],[EmployeeNumber]],tblHelpers[],15,TRUE)</f>
        <v>High Risk</v>
      </c>
      <c r="AP67" s="13">
        <f>VLOOKUP(tblCleanData[[#This Row],[EmployeeNumber]],tblHelpers[],14,0)</f>
        <v>73</v>
      </c>
    </row>
    <row r="68" spans="1:42" x14ac:dyDescent="0.25">
      <c r="A68" s="13">
        <v>36</v>
      </c>
      <c r="B68" s="13" t="s">
        <v>59</v>
      </c>
      <c r="C68" s="13" t="s">
        <v>60</v>
      </c>
      <c r="D68" s="13">
        <v>1195</v>
      </c>
      <c r="E68" s="13" t="s">
        <v>62</v>
      </c>
      <c r="F68" s="13">
        <v>11</v>
      </c>
      <c r="G68" s="13">
        <v>3</v>
      </c>
      <c r="H68" s="13" t="s">
        <v>42</v>
      </c>
      <c r="I68" s="13">
        <v>1</v>
      </c>
      <c r="J68" s="13">
        <v>85</v>
      </c>
      <c r="K68" s="13">
        <v>2</v>
      </c>
      <c r="L68" s="13" t="s">
        <v>63</v>
      </c>
      <c r="M68" s="13">
        <v>95</v>
      </c>
      <c r="N68" s="13">
        <v>2</v>
      </c>
      <c r="O68" s="13">
        <v>2</v>
      </c>
      <c r="P68" s="13" t="s">
        <v>116</v>
      </c>
      <c r="Q68" s="13">
        <v>2</v>
      </c>
      <c r="R68" s="13" t="s">
        <v>48</v>
      </c>
      <c r="S68" s="20">
        <v>6499</v>
      </c>
      <c r="T68" s="13">
        <v>22656</v>
      </c>
      <c r="U68" s="13">
        <v>1</v>
      </c>
      <c r="V68" s="13" t="s">
        <v>52</v>
      </c>
      <c r="W68" s="13" t="s">
        <v>59</v>
      </c>
      <c r="X68" s="13">
        <v>13</v>
      </c>
      <c r="Y68" s="13">
        <v>3</v>
      </c>
      <c r="Z68" s="13">
        <v>3</v>
      </c>
      <c r="AA68" s="13">
        <v>80</v>
      </c>
      <c r="AB68" s="13">
        <v>0</v>
      </c>
      <c r="AC68" s="13">
        <v>6</v>
      </c>
      <c r="AD68" s="13">
        <v>3</v>
      </c>
      <c r="AE68" s="13">
        <v>3</v>
      </c>
      <c r="AF68" s="14">
        <v>6</v>
      </c>
      <c r="AG68" s="13">
        <v>5</v>
      </c>
      <c r="AH68" s="13">
        <v>0</v>
      </c>
      <c r="AI68" s="13">
        <v>3</v>
      </c>
      <c r="AJ68" s="13" t="str">
        <f t="shared" si="1"/>
        <v>30-39</v>
      </c>
      <c r="AK68" s="13" t="str">
        <f>IF(tblCleanData[[#This Row],[MonthlyIncome]]&lt;5000, "Low Income", IF(tblCleanData[[#This Row],[MonthlyIncome]]&lt;15000, "Medium Income", "High Income"))</f>
        <v>Medium Income</v>
      </c>
      <c r="AL68" s="13">
        <f>IF(tblCleanData[[#This Row],[Attrition]]="No", 0,1)</f>
        <v>0</v>
      </c>
      <c r="AM68" s="13">
        <f>IF(tblCleanData[[#This Row],[OverTime]] = "No", 0, 1)</f>
        <v>0</v>
      </c>
      <c r="AN68" s="13" t="str">
        <f>CHOOSE(tblCleanData[[#This Row],[Education]], "Below College","College","Bachelor","Master","Doctor")</f>
        <v>Bachelor</v>
      </c>
      <c r="AO68" s="13" t="str">
        <f>VLOOKUP(tblCleanData[[#This Row],[EmployeeNumber]],tblHelpers[],15,TRUE)</f>
        <v>Medium Risk</v>
      </c>
      <c r="AP68" s="13">
        <f>VLOOKUP(tblCleanData[[#This Row],[EmployeeNumber]],tblHelpers[],14,0)</f>
        <v>52</v>
      </c>
    </row>
    <row r="69" spans="1:42" x14ac:dyDescent="0.25">
      <c r="A69" s="13">
        <v>45</v>
      </c>
      <c r="B69" s="13" t="s">
        <v>59</v>
      </c>
      <c r="C69" s="13" t="s">
        <v>37</v>
      </c>
      <c r="D69" s="13">
        <v>1339</v>
      </c>
      <c r="E69" s="13" t="s">
        <v>62</v>
      </c>
      <c r="F69" s="13">
        <v>7</v>
      </c>
      <c r="G69" s="13">
        <v>3</v>
      </c>
      <c r="H69" s="13" t="s">
        <v>42</v>
      </c>
      <c r="I69" s="13">
        <v>1</v>
      </c>
      <c r="J69" s="13">
        <v>86</v>
      </c>
      <c r="K69" s="13">
        <v>2</v>
      </c>
      <c r="L69" s="13" t="s">
        <v>63</v>
      </c>
      <c r="M69" s="13">
        <v>59</v>
      </c>
      <c r="N69" s="13">
        <v>3</v>
      </c>
      <c r="O69" s="13">
        <v>3</v>
      </c>
      <c r="P69" s="13" t="s">
        <v>65</v>
      </c>
      <c r="Q69" s="13">
        <v>1</v>
      </c>
      <c r="R69" s="13" t="s">
        <v>109</v>
      </c>
      <c r="S69" s="20">
        <v>9724</v>
      </c>
      <c r="T69" s="13">
        <v>18787</v>
      </c>
      <c r="U69" s="13">
        <v>2</v>
      </c>
      <c r="V69" s="13" t="s">
        <v>52</v>
      </c>
      <c r="W69" s="13" t="s">
        <v>59</v>
      </c>
      <c r="X69" s="13">
        <v>17</v>
      </c>
      <c r="Y69" s="13">
        <v>3</v>
      </c>
      <c r="Z69" s="13">
        <v>3</v>
      </c>
      <c r="AA69" s="13">
        <v>80</v>
      </c>
      <c r="AB69" s="13">
        <v>1</v>
      </c>
      <c r="AC69" s="13">
        <v>25</v>
      </c>
      <c r="AD69" s="13">
        <v>2</v>
      </c>
      <c r="AE69" s="13">
        <v>3</v>
      </c>
      <c r="AF69" s="14">
        <v>1</v>
      </c>
      <c r="AG69" s="13">
        <v>0</v>
      </c>
      <c r="AH69" s="13">
        <v>0</v>
      </c>
      <c r="AI69" s="13">
        <v>0</v>
      </c>
      <c r="AJ69" s="13" t="str">
        <f t="shared" si="1"/>
        <v>40-49</v>
      </c>
      <c r="AK69" s="13" t="str">
        <f>IF(tblCleanData[[#This Row],[MonthlyIncome]]&lt;5000, "Low Income", IF(tblCleanData[[#This Row],[MonthlyIncome]]&lt;15000, "Medium Income", "High Income"))</f>
        <v>Medium Income</v>
      </c>
      <c r="AL69" s="13">
        <f>IF(tblCleanData[[#This Row],[Attrition]]="No", 0,1)</f>
        <v>0</v>
      </c>
      <c r="AM69" s="13">
        <f>IF(tblCleanData[[#This Row],[OverTime]] = "No", 0, 1)</f>
        <v>0</v>
      </c>
      <c r="AN69" s="13" t="str">
        <f>CHOOSE(tblCleanData[[#This Row],[Education]], "Below College","College","Bachelor","Master","Doctor")</f>
        <v>Bachelor</v>
      </c>
      <c r="AO69" s="13" t="str">
        <f>VLOOKUP(tblCleanData[[#This Row],[EmployeeNumber]],tblHelpers[],15,TRUE)</f>
        <v>High Risk</v>
      </c>
      <c r="AP69" s="13">
        <f>VLOOKUP(tblCleanData[[#This Row],[EmployeeNumber]],tblHelpers[],14,0)</f>
        <v>65</v>
      </c>
    </row>
    <row r="70" spans="1:42" x14ac:dyDescent="0.25">
      <c r="A70" s="13">
        <v>35</v>
      </c>
      <c r="B70" s="13" t="s">
        <v>59</v>
      </c>
      <c r="C70" s="13" t="s">
        <v>60</v>
      </c>
      <c r="D70" s="13">
        <v>664</v>
      </c>
      <c r="E70" s="13" t="s">
        <v>62</v>
      </c>
      <c r="F70" s="13">
        <v>1</v>
      </c>
      <c r="G70" s="13">
        <v>3</v>
      </c>
      <c r="H70" s="13" t="s">
        <v>87</v>
      </c>
      <c r="I70" s="13">
        <v>1</v>
      </c>
      <c r="J70" s="13">
        <v>88</v>
      </c>
      <c r="K70" s="13">
        <v>2</v>
      </c>
      <c r="L70" s="13" t="s">
        <v>63</v>
      </c>
      <c r="M70" s="13">
        <v>79</v>
      </c>
      <c r="N70" s="13">
        <v>3</v>
      </c>
      <c r="O70" s="13">
        <v>1</v>
      </c>
      <c r="P70" s="13" t="s">
        <v>65</v>
      </c>
      <c r="Q70" s="13">
        <v>1</v>
      </c>
      <c r="R70" s="13" t="s">
        <v>66</v>
      </c>
      <c r="S70" s="20">
        <v>2194</v>
      </c>
      <c r="T70" s="13">
        <v>5868</v>
      </c>
      <c r="U70" s="13">
        <v>4</v>
      </c>
      <c r="V70" s="13" t="s">
        <v>52</v>
      </c>
      <c r="W70" s="13" t="s">
        <v>59</v>
      </c>
      <c r="X70" s="13">
        <v>13</v>
      </c>
      <c r="Y70" s="13">
        <v>3</v>
      </c>
      <c r="Z70" s="13">
        <v>4</v>
      </c>
      <c r="AA70" s="13">
        <v>80</v>
      </c>
      <c r="AB70" s="13">
        <v>1</v>
      </c>
      <c r="AC70" s="13">
        <v>5</v>
      </c>
      <c r="AD70" s="13">
        <v>2</v>
      </c>
      <c r="AE70" s="13">
        <v>2</v>
      </c>
      <c r="AF70" s="14">
        <v>3</v>
      </c>
      <c r="AG70" s="13">
        <v>2</v>
      </c>
      <c r="AH70" s="13">
        <v>1</v>
      </c>
      <c r="AI70" s="13">
        <v>2</v>
      </c>
      <c r="AJ70" s="13" t="str">
        <f t="shared" si="1"/>
        <v>30-39</v>
      </c>
      <c r="AK70" s="13" t="str">
        <f>IF(tblCleanData[[#This Row],[MonthlyIncome]]&lt;5000, "Low Income", IF(tblCleanData[[#This Row],[MonthlyIncome]]&lt;15000, "Medium Income", "High Income"))</f>
        <v>Low Income</v>
      </c>
      <c r="AL70" s="13">
        <f>IF(tblCleanData[[#This Row],[Attrition]]="No", 0,1)</f>
        <v>0</v>
      </c>
      <c r="AM70" s="13">
        <f>IF(tblCleanData[[#This Row],[OverTime]] = "No", 0, 1)</f>
        <v>0</v>
      </c>
      <c r="AN70" s="13" t="str">
        <f>CHOOSE(tblCleanData[[#This Row],[Education]], "Below College","College","Bachelor","Master","Doctor")</f>
        <v>Bachelor</v>
      </c>
      <c r="AO70" s="13" t="str">
        <f>VLOOKUP(tblCleanData[[#This Row],[EmployeeNumber]],tblHelpers[],15,TRUE)</f>
        <v>High Risk</v>
      </c>
      <c r="AP70" s="13">
        <f>VLOOKUP(tblCleanData[[#This Row],[EmployeeNumber]],tblHelpers[],14,0)</f>
        <v>65</v>
      </c>
    </row>
    <row r="71" spans="1:42" x14ac:dyDescent="0.25">
      <c r="A71" s="13">
        <v>36</v>
      </c>
      <c r="B71" s="13" t="s">
        <v>36</v>
      </c>
      <c r="C71" s="13" t="s">
        <v>37</v>
      </c>
      <c r="D71" s="13">
        <v>318</v>
      </c>
      <c r="E71" s="13" t="s">
        <v>62</v>
      </c>
      <c r="F71" s="13">
        <v>9</v>
      </c>
      <c r="G71" s="13">
        <v>3</v>
      </c>
      <c r="H71" s="13" t="s">
        <v>87</v>
      </c>
      <c r="I71" s="13">
        <v>1</v>
      </c>
      <c r="J71" s="13">
        <v>90</v>
      </c>
      <c r="K71" s="13">
        <v>4</v>
      </c>
      <c r="L71" s="13" t="s">
        <v>63</v>
      </c>
      <c r="M71" s="13">
        <v>79</v>
      </c>
      <c r="N71" s="13">
        <v>2</v>
      </c>
      <c r="O71" s="13">
        <v>1</v>
      </c>
      <c r="P71" s="13" t="s">
        <v>65</v>
      </c>
      <c r="Q71" s="13">
        <v>3</v>
      </c>
      <c r="R71" s="13" t="s">
        <v>66</v>
      </c>
      <c r="S71" s="20">
        <v>3388</v>
      </c>
      <c r="T71" s="13">
        <v>21777</v>
      </c>
      <c r="U71" s="13">
        <v>0</v>
      </c>
      <c r="V71" s="13" t="s">
        <v>52</v>
      </c>
      <c r="W71" s="13" t="s">
        <v>36</v>
      </c>
      <c r="X71" s="13">
        <v>17</v>
      </c>
      <c r="Y71" s="13">
        <v>3</v>
      </c>
      <c r="Z71" s="13">
        <v>1</v>
      </c>
      <c r="AA71" s="13">
        <v>80</v>
      </c>
      <c r="AB71" s="13">
        <v>1</v>
      </c>
      <c r="AC71" s="13">
        <v>2</v>
      </c>
      <c r="AD71" s="13">
        <v>0</v>
      </c>
      <c r="AE71" s="13">
        <v>2</v>
      </c>
      <c r="AF71" s="14">
        <v>1</v>
      </c>
      <c r="AG71" s="13">
        <v>0</v>
      </c>
      <c r="AH71" s="13">
        <v>0</v>
      </c>
      <c r="AI71" s="13">
        <v>0</v>
      </c>
      <c r="AJ71" s="13" t="str">
        <f t="shared" si="1"/>
        <v>30-39</v>
      </c>
      <c r="AK71" s="13" t="str">
        <f>IF(tblCleanData[[#This Row],[MonthlyIncome]]&lt;5000, "Low Income", IF(tblCleanData[[#This Row],[MonthlyIncome]]&lt;15000, "Medium Income", "High Income"))</f>
        <v>Low Income</v>
      </c>
      <c r="AL71" s="13">
        <f>IF(tblCleanData[[#This Row],[Attrition]]="No", 0,1)</f>
        <v>1</v>
      </c>
      <c r="AM71" s="13">
        <f>IF(tblCleanData[[#This Row],[OverTime]] = "No", 0, 1)</f>
        <v>1</v>
      </c>
      <c r="AN71" s="13" t="str">
        <f>CHOOSE(tblCleanData[[#This Row],[Education]], "Below College","College","Bachelor","Master","Doctor")</f>
        <v>Bachelor</v>
      </c>
      <c r="AO71" s="13" t="str">
        <f>VLOOKUP(tblCleanData[[#This Row],[EmployeeNumber]],tblHelpers[],15,TRUE)</f>
        <v>High Risk</v>
      </c>
      <c r="AP71" s="13">
        <f>VLOOKUP(tblCleanData[[#This Row],[EmployeeNumber]],tblHelpers[],14,0)</f>
        <v>88</v>
      </c>
    </row>
    <row r="72" spans="1:42" x14ac:dyDescent="0.25">
      <c r="A72" s="13">
        <v>59</v>
      </c>
      <c r="B72" s="13" t="s">
        <v>59</v>
      </c>
      <c r="C72" s="13" t="s">
        <v>60</v>
      </c>
      <c r="D72" s="13">
        <v>1225</v>
      </c>
      <c r="E72" s="13" t="s">
        <v>39</v>
      </c>
      <c r="F72" s="13">
        <v>1</v>
      </c>
      <c r="G72" s="13">
        <v>1</v>
      </c>
      <c r="H72" s="13" t="s">
        <v>42</v>
      </c>
      <c r="I72" s="13">
        <v>1</v>
      </c>
      <c r="J72" s="13">
        <v>91</v>
      </c>
      <c r="K72" s="13">
        <v>1</v>
      </c>
      <c r="L72" s="13" t="s">
        <v>43</v>
      </c>
      <c r="M72" s="13">
        <v>57</v>
      </c>
      <c r="N72" s="13">
        <v>2</v>
      </c>
      <c r="O72" s="13">
        <v>2</v>
      </c>
      <c r="P72" s="13" t="s">
        <v>46</v>
      </c>
      <c r="Q72" s="13">
        <v>3</v>
      </c>
      <c r="R72" s="13" t="s">
        <v>48</v>
      </c>
      <c r="S72" s="20">
        <v>5473</v>
      </c>
      <c r="T72" s="13">
        <v>24668</v>
      </c>
      <c r="U72" s="13">
        <v>7</v>
      </c>
      <c r="V72" s="13" t="s">
        <v>52</v>
      </c>
      <c r="W72" s="13" t="s">
        <v>59</v>
      </c>
      <c r="X72" s="13">
        <v>11</v>
      </c>
      <c r="Y72" s="13">
        <v>3</v>
      </c>
      <c r="Z72" s="13">
        <v>4</v>
      </c>
      <c r="AA72" s="13">
        <v>80</v>
      </c>
      <c r="AB72" s="13">
        <v>0</v>
      </c>
      <c r="AC72" s="13">
        <v>20</v>
      </c>
      <c r="AD72" s="13">
        <v>2</v>
      </c>
      <c r="AE72" s="13">
        <v>2</v>
      </c>
      <c r="AF72" s="14">
        <v>4</v>
      </c>
      <c r="AG72" s="13">
        <v>3</v>
      </c>
      <c r="AH72" s="13">
        <v>1</v>
      </c>
      <c r="AI72" s="13">
        <v>3</v>
      </c>
      <c r="AJ72" s="13" t="str">
        <f t="shared" si="1"/>
        <v>50+</v>
      </c>
      <c r="AK72" s="13" t="str">
        <f>IF(tblCleanData[[#This Row],[MonthlyIncome]]&lt;5000, "Low Income", IF(tblCleanData[[#This Row],[MonthlyIncome]]&lt;15000, "Medium Income", "High Income"))</f>
        <v>Medium Income</v>
      </c>
      <c r="AL72" s="13">
        <f>IF(tblCleanData[[#This Row],[Attrition]]="No", 0,1)</f>
        <v>0</v>
      </c>
      <c r="AM72" s="13">
        <f>IF(tblCleanData[[#This Row],[OverTime]] = "No", 0, 1)</f>
        <v>0</v>
      </c>
      <c r="AN72" s="13" t="str">
        <f>CHOOSE(tblCleanData[[#This Row],[Education]], "Below College","College","Bachelor","Master","Doctor")</f>
        <v>Below College</v>
      </c>
      <c r="AO72" s="13" t="str">
        <f>VLOOKUP(tblCleanData[[#This Row],[EmployeeNumber]],tblHelpers[],15,TRUE)</f>
        <v>Medium Risk</v>
      </c>
      <c r="AP72" s="13">
        <f>VLOOKUP(tblCleanData[[#This Row],[EmployeeNumber]],tblHelpers[],14,0)</f>
        <v>48</v>
      </c>
    </row>
    <row r="73" spans="1:42" x14ac:dyDescent="0.25">
      <c r="A73" s="13">
        <v>29</v>
      </c>
      <c r="B73" s="13" t="s">
        <v>59</v>
      </c>
      <c r="C73" s="13" t="s">
        <v>37</v>
      </c>
      <c r="D73" s="13">
        <v>1328</v>
      </c>
      <c r="E73" s="13" t="s">
        <v>62</v>
      </c>
      <c r="F73" s="13">
        <v>2</v>
      </c>
      <c r="G73" s="13">
        <v>3</v>
      </c>
      <c r="H73" s="13" t="s">
        <v>42</v>
      </c>
      <c r="I73" s="13">
        <v>1</v>
      </c>
      <c r="J73" s="13">
        <v>94</v>
      </c>
      <c r="K73" s="13">
        <v>3</v>
      </c>
      <c r="L73" s="13" t="s">
        <v>63</v>
      </c>
      <c r="M73" s="13">
        <v>76</v>
      </c>
      <c r="N73" s="13">
        <v>3</v>
      </c>
      <c r="O73" s="13">
        <v>1</v>
      </c>
      <c r="P73" s="13" t="s">
        <v>65</v>
      </c>
      <c r="Q73" s="13">
        <v>2</v>
      </c>
      <c r="R73" s="13" t="s">
        <v>66</v>
      </c>
      <c r="S73" s="20">
        <v>2703</v>
      </c>
      <c r="T73" s="13">
        <v>4956</v>
      </c>
      <c r="U73" s="13">
        <v>0</v>
      </c>
      <c r="V73" s="13" t="s">
        <v>52</v>
      </c>
      <c r="W73" s="13" t="s">
        <v>59</v>
      </c>
      <c r="X73" s="13">
        <v>23</v>
      </c>
      <c r="Y73" s="13">
        <v>4</v>
      </c>
      <c r="Z73" s="13">
        <v>4</v>
      </c>
      <c r="AA73" s="13">
        <v>80</v>
      </c>
      <c r="AB73" s="13">
        <v>1</v>
      </c>
      <c r="AC73" s="13">
        <v>6</v>
      </c>
      <c r="AD73" s="13">
        <v>3</v>
      </c>
      <c r="AE73" s="13">
        <v>3</v>
      </c>
      <c r="AF73" s="14">
        <v>5</v>
      </c>
      <c r="AG73" s="13">
        <v>4</v>
      </c>
      <c r="AH73" s="13">
        <v>0</v>
      </c>
      <c r="AI73" s="13">
        <v>4</v>
      </c>
      <c r="AJ73" s="13" t="str">
        <f t="shared" si="1"/>
        <v>Under 30</v>
      </c>
      <c r="AK73" s="13" t="str">
        <f>IF(tblCleanData[[#This Row],[MonthlyIncome]]&lt;5000, "Low Income", IF(tblCleanData[[#This Row],[MonthlyIncome]]&lt;15000, "Medium Income", "High Income"))</f>
        <v>Low Income</v>
      </c>
      <c r="AL73" s="13">
        <f>IF(tblCleanData[[#This Row],[Attrition]]="No", 0,1)</f>
        <v>0</v>
      </c>
      <c r="AM73" s="13">
        <f>IF(tblCleanData[[#This Row],[OverTime]] = "No", 0, 1)</f>
        <v>0</v>
      </c>
      <c r="AN73" s="13" t="str">
        <f>CHOOSE(tblCleanData[[#This Row],[Education]], "Below College","College","Bachelor","Master","Doctor")</f>
        <v>Bachelor</v>
      </c>
      <c r="AO73" s="13" t="str">
        <f>VLOOKUP(tblCleanData[[#This Row],[EmployeeNumber]],tblHelpers[],15,TRUE)</f>
        <v>High Risk</v>
      </c>
      <c r="AP73" s="13">
        <f>VLOOKUP(tblCleanData[[#This Row],[EmployeeNumber]],tblHelpers[],14,0)</f>
        <v>69</v>
      </c>
    </row>
    <row r="74" spans="1:42" x14ac:dyDescent="0.25">
      <c r="A74" s="13">
        <v>31</v>
      </c>
      <c r="B74" s="13" t="s">
        <v>59</v>
      </c>
      <c r="C74" s="13" t="s">
        <v>37</v>
      </c>
      <c r="D74" s="13">
        <v>1082</v>
      </c>
      <c r="E74" s="13" t="s">
        <v>62</v>
      </c>
      <c r="F74" s="13">
        <v>1</v>
      </c>
      <c r="G74" s="13">
        <v>4</v>
      </c>
      <c r="H74" s="13" t="s">
        <v>87</v>
      </c>
      <c r="I74" s="13">
        <v>1</v>
      </c>
      <c r="J74" s="13">
        <v>95</v>
      </c>
      <c r="K74" s="13">
        <v>3</v>
      </c>
      <c r="L74" s="13" t="s">
        <v>63</v>
      </c>
      <c r="M74" s="13">
        <v>87</v>
      </c>
      <c r="N74" s="13">
        <v>3</v>
      </c>
      <c r="O74" s="13">
        <v>1</v>
      </c>
      <c r="P74" s="13" t="s">
        <v>65</v>
      </c>
      <c r="Q74" s="13">
        <v>2</v>
      </c>
      <c r="R74" s="13" t="s">
        <v>48</v>
      </c>
      <c r="S74" s="20">
        <v>2501</v>
      </c>
      <c r="T74" s="13">
        <v>18775</v>
      </c>
      <c r="U74" s="13">
        <v>1</v>
      </c>
      <c r="V74" s="13" t="s">
        <v>52</v>
      </c>
      <c r="W74" s="13" t="s">
        <v>59</v>
      </c>
      <c r="X74" s="13">
        <v>17</v>
      </c>
      <c r="Y74" s="13">
        <v>3</v>
      </c>
      <c r="Z74" s="13">
        <v>2</v>
      </c>
      <c r="AA74" s="13">
        <v>80</v>
      </c>
      <c r="AB74" s="13">
        <v>0</v>
      </c>
      <c r="AC74" s="13">
        <v>1</v>
      </c>
      <c r="AD74" s="13">
        <v>4</v>
      </c>
      <c r="AE74" s="13">
        <v>3</v>
      </c>
      <c r="AF74" s="14">
        <v>1</v>
      </c>
      <c r="AG74" s="13">
        <v>1</v>
      </c>
      <c r="AH74" s="13">
        <v>1</v>
      </c>
      <c r="AI74" s="13">
        <v>0</v>
      </c>
      <c r="AJ74" s="13" t="str">
        <f t="shared" si="1"/>
        <v>30-39</v>
      </c>
      <c r="AK74" s="13" t="str">
        <f>IF(tblCleanData[[#This Row],[MonthlyIncome]]&lt;5000, "Low Income", IF(tblCleanData[[#This Row],[MonthlyIncome]]&lt;15000, "Medium Income", "High Income"))</f>
        <v>Low Income</v>
      </c>
      <c r="AL74" s="13">
        <f>IF(tblCleanData[[#This Row],[Attrition]]="No", 0,1)</f>
        <v>0</v>
      </c>
      <c r="AM74" s="13">
        <f>IF(tblCleanData[[#This Row],[OverTime]] = "No", 0, 1)</f>
        <v>0</v>
      </c>
      <c r="AN74" s="13" t="str">
        <f>CHOOSE(tblCleanData[[#This Row],[Education]], "Below College","College","Bachelor","Master","Doctor")</f>
        <v>Master</v>
      </c>
      <c r="AO74" s="13" t="str">
        <f>VLOOKUP(tblCleanData[[#This Row],[EmployeeNumber]],tblHelpers[],15,TRUE)</f>
        <v>High Risk</v>
      </c>
      <c r="AP74" s="13">
        <f>VLOOKUP(tblCleanData[[#This Row],[EmployeeNumber]],tblHelpers[],14,0)</f>
        <v>69</v>
      </c>
    </row>
    <row r="75" spans="1:42" x14ac:dyDescent="0.25">
      <c r="A75" s="13">
        <v>32</v>
      </c>
      <c r="B75" s="13" t="s">
        <v>59</v>
      </c>
      <c r="C75" s="13" t="s">
        <v>37</v>
      </c>
      <c r="D75" s="13">
        <v>548</v>
      </c>
      <c r="E75" s="13" t="s">
        <v>62</v>
      </c>
      <c r="F75" s="13">
        <v>1</v>
      </c>
      <c r="G75" s="13">
        <v>3</v>
      </c>
      <c r="H75" s="13" t="s">
        <v>42</v>
      </c>
      <c r="I75" s="13">
        <v>1</v>
      </c>
      <c r="J75" s="13">
        <v>96</v>
      </c>
      <c r="K75" s="13">
        <v>2</v>
      </c>
      <c r="L75" s="13" t="s">
        <v>63</v>
      </c>
      <c r="M75" s="13">
        <v>66</v>
      </c>
      <c r="N75" s="13">
        <v>3</v>
      </c>
      <c r="O75" s="13">
        <v>2</v>
      </c>
      <c r="P75" s="13" t="s">
        <v>65</v>
      </c>
      <c r="Q75" s="13">
        <v>2</v>
      </c>
      <c r="R75" s="13" t="s">
        <v>66</v>
      </c>
      <c r="S75" s="20">
        <v>6220</v>
      </c>
      <c r="T75" s="13">
        <v>7346</v>
      </c>
      <c r="U75" s="13">
        <v>1</v>
      </c>
      <c r="V75" s="13" t="s">
        <v>52</v>
      </c>
      <c r="W75" s="13" t="s">
        <v>59</v>
      </c>
      <c r="X75" s="13">
        <v>17</v>
      </c>
      <c r="Y75" s="13">
        <v>3</v>
      </c>
      <c r="Z75" s="13">
        <v>2</v>
      </c>
      <c r="AA75" s="13">
        <v>80</v>
      </c>
      <c r="AB75" s="13">
        <v>2</v>
      </c>
      <c r="AC75" s="13">
        <v>10</v>
      </c>
      <c r="AD75" s="13">
        <v>3</v>
      </c>
      <c r="AE75" s="13">
        <v>3</v>
      </c>
      <c r="AF75" s="14">
        <v>10</v>
      </c>
      <c r="AG75" s="13">
        <v>4</v>
      </c>
      <c r="AH75" s="13">
        <v>0</v>
      </c>
      <c r="AI75" s="13">
        <v>9</v>
      </c>
      <c r="AJ75" s="13" t="str">
        <f t="shared" si="1"/>
        <v>30-39</v>
      </c>
      <c r="AK75" s="13" t="str">
        <f>IF(tblCleanData[[#This Row],[MonthlyIncome]]&lt;5000, "Low Income", IF(tblCleanData[[#This Row],[MonthlyIncome]]&lt;15000, "Medium Income", "High Income"))</f>
        <v>Medium Income</v>
      </c>
      <c r="AL75" s="13">
        <f>IF(tblCleanData[[#This Row],[Attrition]]="No", 0,1)</f>
        <v>0</v>
      </c>
      <c r="AM75" s="13">
        <f>IF(tblCleanData[[#This Row],[OverTime]] = "No", 0, 1)</f>
        <v>0</v>
      </c>
      <c r="AN75" s="13" t="str">
        <f>CHOOSE(tblCleanData[[#This Row],[Education]], "Below College","College","Bachelor","Master","Doctor")</f>
        <v>Bachelor</v>
      </c>
      <c r="AO75" s="13" t="str">
        <f>VLOOKUP(tblCleanData[[#This Row],[EmployeeNumber]],tblHelpers[],15,TRUE)</f>
        <v>Medium Risk</v>
      </c>
      <c r="AP75" s="13">
        <f>VLOOKUP(tblCleanData[[#This Row],[EmployeeNumber]],tblHelpers[],14,0)</f>
        <v>52</v>
      </c>
    </row>
    <row r="76" spans="1:42" x14ac:dyDescent="0.25">
      <c r="A76" s="13">
        <v>36</v>
      </c>
      <c r="B76" s="13" t="s">
        <v>59</v>
      </c>
      <c r="C76" s="13" t="s">
        <v>37</v>
      </c>
      <c r="D76" s="13">
        <v>132</v>
      </c>
      <c r="E76" s="13" t="s">
        <v>62</v>
      </c>
      <c r="F76" s="13">
        <v>6</v>
      </c>
      <c r="G76" s="13">
        <v>3</v>
      </c>
      <c r="H76" s="13" t="s">
        <v>42</v>
      </c>
      <c r="I76" s="13">
        <v>1</v>
      </c>
      <c r="J76" s="13">
        <v>97</v>
      </c>
      <c r="K76" s="13">
        <v>2</v>
      </c>
      <c r="L76" s="13" t="s">
        <v>43</v>
      </c>
      <c r="M76" s="13">
        <v>55</v>
      </c>
      <c r="N76" s="13">
        <v>4</v>
      </c>
      <c r="O76" s="13">
        <v>1</v>
      </c>
      <c r="P76" s="13" t="s">
        <v>76</v>
      </c>
      <c r="Q76" s="13">
        <v>4</v>
      </c>
      <c r="R76" s="13" t="s">
        <v>66</v>
      </c>
      <c r="S76" s="20">
        <v>3038</v>
      </c>
      <c r="T76" s="13">
        <v>22002</v>
      </c>
      <c r="U76" s="13">
        <v>3</v>
      </c>
      <c r="V76" s="13" t="s">
        <v>52</v>
      </c>
      <c r="W76" s="13" t="s">
        <v>59</v>
      </c>
      <c r="X76" s="13">
        <v>12</v>
      </c>
      <c r="Y76" s="13">
        <v>3</v>
      </c>
      <c r="Z76" s="13">
        <v>2</v>
      </c>
      <c r="AA76" s="13">
        <v>80</v>
      </c>
      <c r="AB76" s="13">
        <v>0</v>
      </c>
      <c r="AC76" s="13">
        <v>5</v>
      </c>
      <c r="AD76" s="13">
        <v>3</v>
      </c>
      <c r="AE76" s="13">
        <v>3</v>
      </c>
      <c r="AF76" s="14">
        <v>1</v>
      </c>
      <c r="AG76" s="13">
        <v>0</v>
      </c>
      <c r="AH76" s="13">
        <v>0</v>
      </c>
      <c r="AI76" s="13">
        <v>0</v>
      </c>
      <c r="AJ76" s="13" t="str">
        <f t="shared" si="1"/>
        <v>30-39</v>
      </c>
      <c r="AK76" s="13" t="str">
        <f>IF(tblCleanData[[#This Row],[MonthlyIncome]]&lt;5000, "Low Income", IF(tblCleanData[[#This Row],[MonthlyIncome]]&lt;15000, "Medium Income", "High Income"))</f>
        <v>Low Income</v>
      </c>
      <c r="AL76" s="13">
        <f>IF(tblCleanData[[#This Row],[Attrition]]="No", 0,1)</f>
        <v>0</v>
      </c>
      <c r="AM76" s="13">
        <f>IF(tblCleanData[[#This Row],[OverTime]] = "No", 0, 1)</f>
        <v>0</v>
      </c>
      <c r="AN76" s="13" t="str">
        <f>CHOOSE(tblCleanData[[#This Row],[Education]], "Below College","College","Bachelor","Master","Doctor")</f>
        <v>Bachelor</v>
      </c>
      <c r="AO76" s="13" t="str">
        <f>VLOOKUP(tblCleanData[[#This Row],[EmployeeNumber]],tblHelpers[],15,TRUE)</f>
        <v>High Risk</v>
      </c>
      <c r="AP76" s="13">
        <f>VLOOKUP(tblCleanData[[#This Row],[EmployeeNumber]],tblHelpers[],14,0)</f>
        <v>56</v>
      </c>
    </row>
    <row r="77" spans="1:42" x14ac:dyDescent="0.25">
      <c r="A77" s="13">
        <v>31</v>
      </c>
      <c r="B77" s="13" t="s">
        <v>59</v>
      </c>
      <c r="C77" s="13" t="s">
        <v>37</v>
      </c>
      <c r="D77" s="13">
        <v>746</v>
      </c>
      <c r="E77" s="13" t="s">
        <v>62</v>
      </c>
      <c r="F77" s="13">
        <v>8</v>
      </c>
      <c r="G77" s="13">
        <v>4</v>
      </c>
      <c r="H77" s="13" t="s">
        <v>42</v>
      </c>
      <c r="I77" s="13">
        <v>1</v>
      </c>
      <c r="J77" s="13">
        <v>98</v>
      </c>
      <c r="K77" s="13">
        <v>3</v>
      </c>
      <c r="L77" s="13" t="s">
        <v>43</v>
      </c>
      <c r="M77" s="13">
        <v>61</v>
      </c>
      <c r="N77" s="13">
        <v>3</v>
      </c>
      <c r="O77" s="13">
        <v>2</v>
      </c>
      <c r="P77" s="13" t="s">
        <v>116</v>
      </c>
      <c r="Q77" s="13">
        <v>4</v>
      </c>
      <c r="R77" s="13" t="s">
        <v>48</v>
      </c>
      <c r="S77" s="20">
        <v>4424</v>
      </c>
      <c r="T77" s="13">
        <v>20682</v>
      </c>
      <c r="U77" s="13">
        <v>1</v>
      </c>
      <c r="V77" s="13" t="s">
        <v>52</v>
      </c>
      <c r="W77" s="13" t="s">
        <v>59</v>
      </c>
      <c r="X77" s="13">
        <v>23</v>
      </c>
      <c r="Y77" s="13">
        <v>4</v>
      </c>
      <c r="Z77" s="13">
        <v>4</v>
      </c>
      <c r="AA77" s="13">
        <v>80</v>
      </c>
      <c r="AB77" s="13">
        <v>0</v>
      </c>
      <c r="AC77" s="13">
        <v>11</v>
      </c>
      <c r="AD77" s="13">
        <v>2</v>
      </c>
      <c r="AE77" s="13">
        <v>3</v>
      </c>
      <c r="AF77" s="14">
        <v>11</v>
      </c>
      <c r="AG77" s="13">
        <v>7</v>
      </c>
      <c r="AH77" s="13">
        <v>1</v>
      </c>
      <c r="AI77" s="13">
        <v>8</v>
      </c>
      <c r="AJ77" s="13" t="str">
        <f t="shared" si="1"/>
        <v>30-39</v>
      </c>
      <c r="AK77" s="13" t="str">
        <f>IF(tblCleanData[[#This Row],[MonthlyIncome]]&lt;5000, "Low Income", IF(tblCleanData[[#This Row],[MonthlyIncome]]&lt;15000, "Medium Income", "High Income"))</f>
        <v>Low Income</v>
      </c>
      <c r="AL77" s="13">
        <f>IF(tblCleanData[[#This Row],[Attrition]]="No", 0,1)</f>
        <v>0</v>
      </c>
      <c r="AM77" s="13">
        <f>IF(tblCleanData[[#This Row],[OverTime]] = "No", 0, 1)</f>
        <v>0</v>
      </c>
      <c r="AN77" s="13" t="str">
        <f>CHOOSE(tblCleanData[[#This Row],[Education]], "Below College","College","Bachelor","Master","Doctor")</f>
        <v>Master</v>
      </c>
      <c r="AO77" s="13" t="str">
        <f>VLOOKUP(tblCleanData[[#This Row],[EmployeeNumber]],tblHelpers[],15,TRUE)</f>
        <v>Low Risk</v>
      </c>
      <c r="AP77" s="13">
        <f>VLOOKUP(tblCleanData[[#This Row],[EmployeeNumber]],tblHelpers[],14,0)</f>
        <v>34</v>
      </c>
    </row>
    <row r="78" spans="1:42" x14ac:dyDescent="0.25">
      <c r="A78" s="13">
        <v>35</v>
      </c>
      <c r="B78" s="13" t="s">
        <v>59</v>
      </c>
      <c r="C78" s="13" t="s">
        <v>37</v>
      </c>
      <c r="D78" s="13">
        <v>776</v>
      </c>
      <c r="E78" s="13" t="s">
        <v>39</v>
      </c>
      <c r="F78" s="13">
        <v>1</v>
      </c>
      <c r="G78" s="13">
        <v>4</v>
      </c>
      <c r="H78" s="13" t="s">
        <v>206</v>
      </c>
      <c r="I78" s="13">
        <v>1</v>
      </c>
      <c r="J78" s="13">
        <v>100</v>
      </c>
      <c r="K78" s="13">
        <v>3</v>
      </c>
      <c r="L78" s="13" t="s">
        <v>63</v>
      </c>
      <c r="M78" s="13">
        <v>32</v>
      </c>
      <c r="N78" s="13">
        <v>2</v>
      </c>
      <c r="O78" s="13">
        <v>2</v>
      </c>
      <c r="P78" s="13" t="s">
        <v>46</v>
      </c>
      <c r="Q78" s="13">
        <v>1</v>
      </c>
      <c r="R78" s="13" t="s">
        <v>48</v>
      </c>
      <c r="S78" s="20">
        <v>4312</v>
      </c>
      <c r="T78" s="13">
        <v>23016</v>
      </c>
      <c r="U78" s="13">
        <v>0</v>
      </c>
      <c r="V78" s="13" t="s">
        <v>52</v>
      </c>
      <c r="W78" s="13" t="s">
        <v>59</v>
      </c>
      <c r="X78" s="13">
        <v>14</v>
      </c>
      <c r="Y78" s="13">
        <v>3</v>
      </c>
      <c r="Z78" s="13">
        <v>2</v>
      </c>
      <c r="AA78" s="13">
        <v>80</v>
      </c>
      <c r="AB78" s="13">
        <v>0</v>
      </c>
      <c r="AC78" s="13">
        <v>16</v>
      </c>
      <c r="AD78" s="13">
        <v>2</v>
      </c>
      <c r="AE78" s="13">
        <v>3</v>
      </c>
      <c r="AF78" s="14">
        <v>15</v>
      </c>
      <c r="AG78" s="13">
        <v>13</v>
      </c>
      <c r="AH78" s="13">
        <v>2</v>
      </c>
      <c r="AI78" s="13">
        <v>8</v>
      </c>
      <c r="AJ78" s="13" t="str">
        <f t="shared" si="1"/>
        <v>30-39</v>
      </c>
      <c r="AK78" s="13" t="str">
        <f>IF(tblCleanData[[#This Row],[MonthlyIncome]]&lt;5000, "Low Income", IF(tblCleanData[[#This Row],[MonthlyIncome]]&lt;15000, "Medium Income", "High Income"))</f>
        <v>Low Income</v>
      </c>
      <c r="AL78" s="13">
        <f>IF(tblCleanData[[#This Row],[Attrition]]="No", 0,1)</f>
        <v>0</v>
      </c>
      <c r="AM78" s="13">
        <f>IF(tblCleanData[[#This Row],[OverTime]] = "No", 0, 1)</f>
        <v>0</v>
      </c>
      <c r="AN78" s="13" t="str">
        <f>CHOOSE(tblCleanData[[#This Row],[Education]], "Below College","College","Bachelor","Master","Doctor")</f>
        <v>Master</v>
      </c>
      <c r="AO78" s="13" t="str">
        <f>VLOOKUP(tblCleanData[[#This Row],[EmployeeNumber]],tblHelpers[],15,TRUE)</f>
        <v>Medium Risk</v>
      </c>
      <c r="AP78" s="13">
        <f>VLOOKUP(tblCleanData[[#This Row],[EmployeeNumber]],tblHelpers[],14,0)</f>
        <v>53</v>
      </c>
    </row>
    <row r="79" spans="1:42" x14ac:dyDescent="0.25">
      <c r="A79" s="13">
        <v>45</v>
      </c>
      <c r="B79" s="13" t="s">
        <v>59</v>
      </c>
      <c r="C79" s="13" t="s">
        <v>37</v>
      </c>
      <c r="D79" s="13">
        <v>193</v>
      </c>
      <c r="E79" s="13" t="s">
        <v>62</v>
      </c>
      <c r="F79" s="13">
        <v>6</v>
      </c>
      <c r="G79" s="13">
        <v>4</v>
      </c>
      <c r="H79" s="13" t="s">
        <v>74</v>
      </c>
      <c r="I79" s="13">
        <v>1</v>
      </c>
      <c r="J79" s="13">
        <v>101</v>
      </c>
      <c r="K79" s="13">
        <v>4</v>
      </c>
      <c r="L79" s="13" t="s">
        <v>63</v>
      </c>
      <c r="M79" s="13">
        <v>52</v>
      </c>
      <c r="N79" s="13">
        <v>3</v>
      </c>
      <c r="O79" s="13">
        <v>3</v>
      </c>
      <c r="P79" s="13" t="s">
        <v>186</v>
      </c>
      <c r="Q79" s="13">
        <v>1</v>
      </c>
      <c r="R79" s="13" t="s">
        <v>66</v>
      </c>
      <c r="S79" s="20">
        <v>13245</v>
      </c>
      <c r="T79" s="13">
        <v>15067</v>
      </c>
      <c r="U79" s="13">
        <v>4</v>
      </c>
      <c r="V79" s="13" t="s">
        <v>52</v>
      </c>
      <c r="W79" s="13" t="s">
        <v>36</v>
      </c>
      <c r="X79" s="13">
        <v>14</v>
      </c>
      <c r="Y79" s="13">
        <v>3</v>
      </c>
      <c r="Z79" s="13">
        <v>2</v>
      </c>
      <c r="AA79" s="13">
        <v>80</v>
      </c>
      <c r="AB79" s="13">
        <v>0</v>
      </c>
      <c r="AC79" s="13">
        <v>17</v>
      </c>
      <c r="AD79" s="13">
        <v>3</v>
      </c>
      <c r="AE79" s="13">
        <v>4</v>
      </c>
      <c r="AF79" s="14">
        <v>0</v>
      </c>
      <c r="AG79" s="13">
        <v>0</v>
      </c>
      <c r="AH79" s="13">
        <v>0</v>
      </c>
      <c r="AI79" s="13">
        <v>0</v>
      </c>
      <c r="AJ79" s="13" t="str">
        <f t="shared" si="1"/>
        <v>40-49</v>
      </c>
      <c r="AK79" s="13" t="str">
        <f>IF(tblCleanData[[#This Row],[MonthlyIncome]]&lt;5000, "Low Income", IF(tblCleanData[[#This Row],[MonthlyIncome]]&lt;15000, "Medium Income", "High Income"))</f>
        <v>Medium Income</v>
      </c>
      <c r="AL79" s="13">
        <f>IF(tblCleanData[[#This Row],[Attrition]]="No", 0,1)</f>
        <v>0</v>
      </c>
      <c r="AM79" s="13">
        <f>IF(tblCleanData[[#This Row],[OverTime]] = "No", 0, 1)</f>
        <v>1</v>
      </c>
      <c r="AN79" s="13" t="str">
        <f>CHOOSE(tblCleanData[[#This Row],[Education]], "Below College","College","Bachelor","Master","Doctor")</f>
        <v>Master</v>
      </c>
      <c r="AO79" s="13" t="str">
        <f>VLOOKUP(tblCleanData[[#This Row],[EmployeeNumber]],tblHelpers[],15,TRUE)</f>
        <v>High Risk</v>
      </c>
      <c r="AP79" s="13">
        <f>VLOOKUP(tblCleanData[[#This Row],[EmployeeNumber]],tblHelpers[],14,0)</f>
        <v>90</v>
      </c>
    </row>
    <row r="80" spans="1:42" x14ac:dyDescent="0.25">
      <c r="A80" s="13">
        <v>37</v>
      </c>
      <c r="B80" s="13" t="s">
        <v>59</v>
      </c>
      <c r="C80" s="13" t="s">
        <v>37</v>
      </c>
      <c r="D80" s="13">
        <v>397</v>
      </c>
      <c r="E80" s="13" t="s">
        <v>62</v>
      </c>
      <c r="F80" s="13">
        <v>7</v>
      </c>
      <c r="G80" s="13">
        <v>4</v>
      </c>
      <c r="H80" s="13" t="s">
        <v>87</v>
      </c>
      <c r="I80" s="13">
        <v>1</v>
      </c>
      <c r="J80" s="13">
        <v>102</v>
      </c>
      <c r="K80" s="13">
        <v>1</v>
      </c>
      <c r="L80" s="13" t="s">
        <v>63</v>
      </c>
      <c r="M80" s="13">
        <v>30</v>
      </c>
      <c r="N80" s="13">
        <v>3</v>
      </c>
      <c r="O80" s="13">
        <v>3</v>
      </c>
      <c r="P80" s="13" t="s">
        <v>186</v>
      </c>
      <c r="Q80" s="13">
        <v>3</v>
      </c>
      <c r="R80" s="13" t="s">
        <v>48</v>
      </c>
      <c r="S80" s="20">
        <v>13664</v>
      </c>
      <c r="T80" s="13">
        <v>25258</v>
      </c>
      <c r="U80" s="13">
        <v>4</v>
      </c>
      <c r="V80" s="13" t="s">
        <v>52</v>
      </c>
      <c r="W80" s="13" t="s">
        <v>59</v>
      </c>
      <c r="X80" s="13">
        <v>13</v>
      </c>
      <c r="Y80" s="13">
        <v>3</v>
      </c>
      <c r="Z80" s="13">
        <v>1</v>
      </c>
      <c r="AA80" s="13">
        <v>80</v>
      </c>
      <c r="AB80" s="13">
        <v>0</v>
      </c>
      <c r="AC80" s="13">
        <v>16</v>
      </c>
      <c r="AD80" s="13">
        <v>3</v>
      </c>
      <c r="AE80" s="13">
        <v>4</v>
      </c>
      <c r="AF80" s="14">
        <v>5</v>
      </c>
      <c r="AG80" s="13">
        <v>2</v>
      </c>
      <c r="AH80" s="13">
        <v>0</v>
      </c>
      <c r="AI80" s="13">
        <v>2</v>
      </c>
      <c r="AJ80" s="13" t="str">
        <f t="shared" si="1"/>
        <v>30-39</v>
      </c>
      <c r="AK80" s="13" t="str">
        <f>IF(tblCleanData[[#This Row],[MonthlyIncome]]&lt;5000, "Low Income", IF(tblCleanData[[#This Row],[MonthlyIncome]]&lt;15000, "Medium Income", "High Income"))</f>
        <v>Medium Income</v>
      </c>
      <c r="AL80" s="13">
        <f>IF(tblCleanData[[#This Row],[Attrition]]="No", 0,1)</f>
        <v>0</v>
      </c>
      <c r="AM80" s="13">
        <f>IF(tblCleanData[[#This Row],[OverTime]] = "No", 0, 1)</f>
        <v>0</v>
      </c>
      <c r="AN80" s="13" t="str">
        <f>CHOOSE(tblCleanData[[#This Row],[Education]], "Below College","College","Bachelor","Master","Doctor")</f>
        <v>Master</v>
      </c>
      <c r="AO80" s="13" t="str">
        <f>VLOOKUP(tblCleanData[[#This Row],[EmployeeNumber]],tblHelpers[],15,TRUE)</f>
        <v>Medium Risk</v>
      </c>
      <c r="AP80" s="13">
        <f>VLOOKUP(tblCleanData[[#This Row],[EmployeeNumber]],tblHelpers[],14,0)</f>
        <v>53</v>
      </c>
    </row>
    <row r="81" spans="1:42" x14ac:dyDescent="0.25">
      <c r="A81" s="13">
        <v>46</v>
      </c>
      <c r="B81" s="13" t="s">
        <v>59</v>
      </c>
      <c r="C81" s="13" t="s">
        <v>37</v>
      </c>
      <c r="D81" s="13">
        <v>945</v>
      </c>
      <c r="E81" s="13" t="s">
        <v>397</v>
      </c>
      <c r="F81" s="13">
        <v>5</v>
      </c>
      <c r="G81" s="13">
        <v>2</v>
      </c>
      <c r="H81" s="13" t="s">
        <v>87</v>
      </c>
      <c r="I81" s="13">
        <v>1</v>
      </c>
      <c r="J81" s="13">
        <v>103</v>
      </c>
      <c r="K81" s="13">
        <v>2</v>
      </c>
      <c r="L81" s="13" t="s">
        <v>63</v>
      </c>
      <c r="M81" s="13">
        <v>80</v>
      </c>
      <c r="N81" s="13">
        <v>3</v>
      </c>
      <c r="O81" s="13">
        <v>2</v>
      </c>
      <c r="P81" s="13" t="s">
        <v>397</v>
      </c>
      <c r="Q81" s="13">
        <v>2</v>
      </c>
      <c r="R81" s="13" t="s">
        <v>109</v>
      </c>
      <c r="S81" s="20">
        <v>5021</v>
      </c>
      <c r="T81" s="13">
        <v>10425</v>
      </c>
      <c r="U81" s="13">
        <v>8</v>
      </c>
      <c r="V81" s="13" t="s">
        <v>52</v>
      </c>
      <c r="W81" s="13" t="s">
        <v>36</v>
      </c>
      <c r="X81" s="13">
        <v>22</v>
      </c>
      <c r="Y81" s="13">
        <v>4</v>
      </c>
      <c r="Z81" s="13">
        <v>4</v>
      </c>
      <c r="AA81" s="13">
        <v>80</v>
      </c>
      <c r="AB81" s="13">
        <v>1</v>
      </c>
      <c r="AC81" s="13">
        <v>16</v>
      </c>
      <c r="AD81" s="13">
        <v>2</v>
      </c>
      <c r="AE81" s="13">
        <v>3</v>
      </c>
      <c r="AF81" s="14">
        <v>4</v>
      </c>
      <c r="AG81" s="13">
        <v>2</v>
      </c>
      <c r="AH81" s="13">
        <v>0</v>
      </c>
      <c r="AI81" s="13">
        <v>2</v>
      </c>
      <c r="AJ81" s="13" t="str">
        <f t="shared" si="1"/>
        <v>40-49</v>
      </c>
      <c r="AK81" s="13" t="str">
        <f>IF(tblCleanData[[#This Row],[MonthlyIncome]]&lt;5000, "Low Income", IF(tblCleanData[[#This Row],[MonthlyIncome]]&lt;15000, "Medium Income", "High Income"))</f>
        <v>Medium Income</v>
      </c>
      <c r="AL81" s="13">
        <f>IF(tblCleanData[[#This Row],[Attrition]]="No", 0,1)</f>
        <v>0</v>
      </c>
      <c r="AM81" s="13">
        <f>IF(tblCleanData[[#This Row],[OverTime]] = "No", 0, 1)</f>
        <v>1</v>
      </c>
      <c r="AN81" s="13" t="str">
        <f>CHOOSE(tblCleanData[[#This Row],[Education]], "Below College","College","Bachelor","Master","Doctor")</f>
        <v>College</v>
      </c>
      <c r="AO81" s="13" t="str">
        <f>VLOOKUP(tblCleanData[[#This Row],[EmployeeNumber]],tblHelpers[],15,TRUE)</f>
        <v>High Risk</v>
      </c>
      <c r="AP81" s="13">
        <f>VLOOKUP(tblCleanData[[#This Row],[EmployeeNumber]],tblHelpers[],14,0)</f>
        <v>74</v>
      </c>
    </row>
    <row r="82" spans="1:42" x14ac:dyDescent="0.25">
      <c r="A82" s="13">
        <v>30</v>
      </c>
      <c r="B82" s="13" t="s">
        <v>59</v>
      </c>
      <c r="C82" s="13" t="s">
        <v>37</v>
      </c>
      <c r="D82" s="13">
        <v>852</v>
      </c>
      <c r="E82" s="13" t="s">
        <v>62</v>
      </c>
      <c r="F82" s="13">
        <v>1</v>
      </c>
      <c r="G82" s="13">
        <v>1</v>
      </c>
      <c r="H82" s="13" t="s">
        <v>42</v>
      </c>
      <c r="I82" s="13">
        <v>1</v>
      </c>
      <c r="J82" s="13">
        <v>104</v>
      </c>
      <c r="K82" s="13">
        <v>4</v>
      </c>
      <c r="L82" s="13" t="s">
        <v>63</v>
      </c>
      <c r="M82" s="13">
        <v>55</v>
      </c>
      <c r="N82" s="13">
        <v>2</v>
      </c>
      <c r="O82" s="13">
        <v>2</v>
      </c>
      <c r="P82" s="13" t="s">
        <v>76</v>
      </c>
      <c r="Q82" s="13">
        <v>4</v>
      </c>
      <c r="R82" s="13" t="s">
        <v>66</v>
      </c>
      <c r="S82" s="20">
        <v>5126</v>
      </c>
      <c r="T82" s="13">
        <v>15998</v>
      </c>
      <c r="U82" s="13">
        <v>1</v>
      </c>
      <c r="V82" s="13" t="s">
        <v>52</v>
      </c>
      <c r="W82" s="13" t="s">
        <v>36</v>
      </c>
      <c r="X82" s="13">
        <v>12</v>
      </c>
      <c r="Y82" s="13">
        <v>3</v>
      </c>
      <c r="Z82" s="13">
        <v>3</v>
      </c>
      <c r="AA82" s="13">
        <v>80</v>
      </c>
      <c r="AB82" s="13">
        <v>2</v>
      </c>
      <c r="AC82" s="13">
        <v>10</v>
      </c>
      <c r="AD82" s="13">
        <v>1</v>
      </c>
      <c r="AE82" s="13">
        <v>2</v>
      </c>
      <c r="AF82" s="14">
        <v>10</v>
      </c>
      <c r="AG82" s="13">
        <v>8</v>
      </c>
      <c r="AH82" s="13">
        <v>3</v>
      </c>
      <c r="AI82" s="13">
        <v>0</v>
      </c>
      <c r="AJ82" s="13" t="str">
        <f t="shared" si="1"/>
        <v>30-39</v>
      </c>
      <c r="AK82" s="13" t="str">
        <f>IF(tblCleanData[[#This Row],[MonthlyIncome]]&lt;5000, "Low Income", IF(tblCleanData[[#This Row],[MonthlyIncome]]&lt;15000, "Medium Income", "High Income"))</f>
        <v>Medium Income</v>
      </c>
      <c r="AL82" s="13">
        <f>IF(tblCleanData[[#This Row],[Attrition]]="No", 0,1)</f>
        <v>0</v>
      </c>
      <c r="AM82" s="13">
        <f>IF(tblCleanData[[#This Row],[OverTime]] = "No", 0, 1)</f>
        <v>1</v>
      </c>
      <c r="AN82" s="13" t="str">
        <f>CHOOSE(tblCleanData[[#This Row],[Education]], "Below College","College","Bachelor","Master","Doctor")</f>
        <v>Below College</v>
      </c>
      <c r="AO82" s="13" t="str">
        <f>VLOOKUP(tblCleanData[[#This Row],[EmployeeNumber]],tblHelpers[],15,TRUE)</f>
        <v>High Risk</v>
      </c>
      <c r="AP82" s="13">
        <f>VLOOKUP(tblCleanData[[#This Row],[EmployeeNumber]],tblHelpers[],14,0)</f>
        <v>64</v>
      </c>
    </row>
    <row r="83" spans="1:42" x14ac:dyDescent="0.25">
      <c r="A83" s="13">
        <v>35</v>
      </c>
      <c r="B83" s="13" t="s">
        <v>59</v>
      </c>
      <c r="C83" s="13" t="s">
        <v>37</v>
      </c>
      <c r="D83" s="13">
        <v>1214</v>
      </c>
      <c r="E83" s="13" t="s">
        <v>62</v>
      </c>
      <c r="F83" s="13">
        <v>1</v>
      </c>
      <c r="G83" s="13">
        <v>3</v>
      </c>
      <c r="H83" s="13" t="s">
        <v>87</v>
      </c>
      <c r="I83" s="13">
        <v>1</v>
      </c>
      <c r="J83" s="13">
        <v>105</v>
      </c>
      <c r="K83" s="13">
        <v>2</v>
      </c>
      <c r="L83" s="13" t="s">
        <v>63</v>
      </c>
      <c r="M83" s="13">
        <v>30</v>
      </c>
      <c r="N83" s="13">
        <v>2</v>
      </c>
      <c r="O83" s="13">
        <v>1</v>
      </c>
      <c r="P83" s="13" t="s">
        <v>65</v>
      </c>
      <c r="Q83" s="13">
        <v>3</v>
      </c>
      <c r="R83" s="13" t="s">
        <v>48</v>
      </c>
      <c r="S83" s="20">
        <v>2859</v>
      </c>
      <c r="T83" s="13">
        <v>26278</v>
      </c>
      <c r="U83" s="13">
        <v>1</v>
      </c>
      <c r="V83" s="13" t="s">
        <v>52</v>
      </c>
      <c r="W83" s="13" t="s">
        <v>59</v>
      </c>
      <c r="X83" s="13">
        <v>18</v>
      </c>
      <c r="Y83" s="13">
        <v>3</v>
      </c>
      <c r="Z83" s="13">
        <v>1</v>
      </c>
      <c r="AA83" s="13">
        <v>80</v>
      </c>
      <c r="AB83" s="13">
        <v>0</v>
      </c>
      <c r="AC83" s="13">
        <v>6</v>
      </c>
      <c r="AD83" s="13">
        <v>3</v>
      </c>
      <c r="AE83" s="13">
        <v>3</v>
      </c>
      <c r="AF83" s="14">
        <v>6</v>
      </c>
      <c r="AG83" s="13">
        <v>4</v>
      </c>
      <c r="AH83" s="13">
        <v>0</v>
      </c>
      <c r="AI83" s="13">
        <v>4</v>
      </c>
      <c r="AJ83" s="13" t="str">
        <f t="shared" si="1"/>
        <v>30-39</v>
      </c>
      <c r="AK83" s="13" t="str">
        <f>IF(tblCleanData[[#This Row],[MonthlyIncome]]&lt;5000, "Low Income", IF(tblCleanData[[#This Row],[MonthlyIncome]]&lt;15000, "Medium Income", "High Income"))</f>
        <v>Low Income</v>
      </c>
      <c r="AL83" s="13">
        <f>IF(tblCleanData[[#This Row],[Attrition]]="No", 0,1)</f>
        <v>0</v>
      </c>
      <c r="AM83" s="13">
        <f>IF(tblCleanData[[#This Row],[OverTime]] = "No", 0, 1)</f>
        <v>0</v>
      </c>
      <c r="AN83" s="13" t="str">
        <f>CHOOSE(tblCleanData[[#This Row],[Education]], "Below College","College","Bachelor","Master","Doctor")</f>
        <v>Bachelor</v>
      </c>
      <c r="AO83" s="13" t="str">
        <f>VLOOKUP(tblCleanData[[#This Row],[EmployeeNumber]],tblHelpers[],15,TRUE)</f>
        <v>Medium Risk</v>
      </c>
      <c r="AP83" s="13">
        <f>VLOOKUP(tblCleanData[[#This Row],[EmployeeNumber]],tblHelpers[],14,0)</f>
        <v>46</v>
      </c>
    </row>
    <row r="84" spans="1:42" x14ac:dyDescent="0.25">
      <c r="A84" s="13">
        <v>55</v>
      </c>
      <c r="B84" s="13" t="s">
        <v>59</v>
      </c>
      <c r="C84" s="13" t="s">
        <v>37</v>
      </c>
      <c r="D84" s="13">
        <v>111</v>
      </c>
      <c r="E84" s="13" t="s">
        <v>39</v>
      </c>
      <c r="F84" s="13">
        <v>1</v>
      </c>
      <c r="G84" s="13">
        <v>2</v>
      </c>
      <c r="H84" s="13" t="s">
        <v>42</v>
      </c>
      <c r="I84" s="13">
        <v>1</v>
      </c>
      <c r="J84" s="13">
        <v>106</v>
      </c>
      <c r="K84" s="13">
        <v>1</v>
      </c>
      <c r="L84" s="13" t="s">
        <v>63</v>
      </c>
      <c r="M84" s="13">
        <v>70</v>
      </c>
      <c r="N84" s="13">
        <v>3</v>
      </c>
      <c r="O84" s="13">
        <v>3</v>
      </c>
      <c r="P84" s="13" t="s">
        <v>46</v>
      </c>
      <c r="Q84" s="13">
        <v>4</v>
      </c>
      <c r="R84" s="13" t="s">
        <v>66</v>
      </c>
      <c r="S84" s="20">
        <v>10239</v>
      </c>
      <c r="T84" s="13">
        <v>18092</v>
      </c>
      <c r="U84" s="13">
        <v>3</v>
      </c>
      <c r="V84" s="13" t="s">
        <v>52</v>
      </c>
      <c r="W84" s="13" t="s">
        <v>59</v>
      </c>
      <c r="X84" s="13">
        <v>14</v>
      </c>
      <c r="Y84" s="13">
        <v>3</v>
      </c>
      <c r="Z84" s="13">
        <v>4</v>
      </c>
      <c r="AA84" s="13">
        <v>80</v>
      </c>
      <c r="AB84" s="13">
        <v>1</v>
      </c>
      <c r="AC84" s="13">
        <v>24</v>
      </c>
      <c r="AD84" s="13">
        <v>4</v>
      </c>
      <c r="AE84" s="13">
        <v>3</v>
      </c>
      <c r="AF84" s="14">
        <v>1</v>
      </c>
      <c r="AG84" s="13">
        <v>0</v>
      </c>
      <c r="AH84" s="13">
        <v>1</v>
      </c>
      <c r="AI84" s="13">
        <v>0</v>
      </c>
      <c r="AJ84" s="13" t="str">
        <f t="shared" si="1"/>
        <v>50+</v>
      </c>
      <c r="AK84" s="13" t="str">
        <f>IF(tblCleanData[[#This Row],[MonthlyIncome]]&lt;5000, "Low Income", IF(tblCleanData[[#This Row],[MonthlyIncome]]&lt;15000, "Medium Income", "High Income"))</f>
        <v>Medium Income</v>
      </c>
      <c r="AL84" s="13">
        <f>IF(tblCleanData[[#This Row],[Attrition]]="No", 0,1)</f>
        <v>0</v>
      </c>
      <c r="AM84" s="13">
        <f>IF(tblCleanData[[#This Row],[OverTime]] = "No", 0, 1)</f>
        <v>0</v>
      </c>
      <c r="AN84" s="13" t="str">
        <f>CHOOSE(tblCleanData[[#This Row],[Education]], "Below College","College","Bachelor","Master","Doctor")</f>
        <v>College</v>
      </c>
      <c r="AO84" s="13" t="str">
        <f>VLOOKUP(tblCleanData[[#This Row],[EmployeeNumber]],tblHelpers[],15,TRUE)</f>
        <v>Medium Risk</v>
      </c>
      <c r="AP84" s="13">
        <f>VLOOKUP(tblCleanData[[#This Row],[EmployeeNumber]],tblHelpers[],14,0)</f>
        <v>51</v>
      </c>
    </row>
    <row r="85" spans="1:42" x14ac:dyDescent="0.25">
      <c r="A85" s="13">
        <v>38</v>
      </c>
      <c r="B85" s="13" t="s">
        <v>59</v>
      </c>
      <c r="C85" s="13" t="s">
        <v>161</v>
      </c>
      <c r="D85" s="13">
        <v>573</v>
      </c>
      <c r="E85" s="13" t="s">
        <v>62</v>
      </c>
      <c r="F85" s="13">
        <v>6</v>
      </c>
      <c r="G85" s="13">
        <v>3</v>
      </c>
      <c r="H85" s="13" t="s">
        <v>87</v>
      </c>
      <c r="I85" s="13">
        <v>1</v>
      </c>
      <c r="J85" s="13">
        <v>107</v>
      </c>
      <c r="K85" s="13">
        <v>2</v>
      </c>
      <c r="L85" s="13" t="s">
        <v>43</v>
      </c>
      <c r="M85" s="13">
        <v>79</v>
      </c>
      <c r="N85" s="13">
        <v>1</v>
      </c>
      <c r="O85" s="13">
        <v>2</v>
      </c>
      <c r="P85" s="13" t="s">
        <v>65</v>
      </c>
      <c r="Q85" s="13">
        <v>4</v>
      </c>
      <c r="R85" s="13" t="s">
        <v>109</v>
      </c>
      <c r="S85" s="20">
        <v>5329</v>
      </c>
      <c r="T85" s="13">
        <v>15717</v>
      </c>
      <c r="U85" s="13">
        <v>7</v>
      </c>
      <c r="V85" s="13" t="s">
        <v>52</v>
      </c>
      <c r="W85" s="13" t="s">
        <v>36</v>
      </c>
      <c r="X85" s="13">
        <v>12</v>
      </c>
      <c r="Y85" s="13">
        <v>3</v>
      </c>
      <c r="Z85" s="13">
        <v>4</v>
      </c>
      <c r="AA85" s="13">
        <v>80</v>
      </c>
      <c r="AB85" s="13">
        <v>3</v>
      </c>
      <c r="AC85" s="13">
        <v>17</v>
      </c>
      <c r="AD85" s="13">
        <v>3</v>
      </c>
      <c r="AE85" s="13">
        <v>3</v>
      </c>
      <c r="AF85" s="14">
        <v>13</v>
      </c>
      <c r="AG85" s="13">
        <v>11</v>
      </c>
      <c r="AH85" s="13">
        <v>1</v>
      </c>
      <c r="AI85" s="13">
        <v>9</v>
      </c>
      <c r="AJ85" s="13" t="str">
        <f t="shared" si="1"/>
        <v>30-39</v>
      </c>
      <c r="AK85" s="13" t="str">
        <f>IF(tblCleanData[[#This Row],[MonthlyIncome]]&lt;5000, "Low Income", IF(tblCleanData[[#This Row],[MonthlyIncome]]&lt;15000, "Medium Income", "High Income"))</f>
        <v>Medium Income</v>
      </c>
      <c r="AL85" s="13">
        <f>IF(tblCleanData[[#This Row],[Attrition]]="No", 0,1)</f>
        <v>0</v>
      </c>
      <c r="AM85" s="13">
        <f>IF(tblCleanData[[#This Row],[OverTime]] = "No", 0, 1)</f>
        <v>1</v>
      </c>
      <c r="AN85" s="13" t="str">
        <f>CHOOSE(tblCleanData[[#This Row],[Education]], "Below College","College","Bachelor","Master","Doctor")</f>
        <v>Bachelor</v>
      </c>
      <c r="AO85" s="13" t="str">
        <f>VLOOKUP(tblCleanData[[#This Row],[EmployeeNumber]],tblHelpers[],15,TRUE)</f>
        <v>High Risk</v>
      </c>
      <c r="AP85" s="13">
        <f>VLOOKUP(tblCleanData[[#This Row],[EmployeeNumber]],tblHelpers[],14,0)</f>
        <v>59</v>
      </c>
    </row>
    <row r="86" spans="1:42" x14ac:dyDescent="0.25">
      <c r="A86" s="13">
        <v>34</v>
      </c>
      <c r="B86" s="13" t="s">
        <v>59</v>
      </c>
      <c r="C86" s="13" t="s">
        <v>37</v>
      </c>
      <c r="D86" s="13">
        <v>1153</v>
      </c>
      <c r="E86" s="13" t="s">
        <v>62</v>
      </c>
      <c r="F86" s="13">
        <v>1</v>
      </c>
      <c r="G86" s="13">
        <v>2</v>
      </c>
      <c r="H86" s="13" t="s">
        <v>87</v>
      </c>
      <c r="I86" s="13">
        <v>1</v>
      </c>
      <c r="J86" s="13">
        <v>110</v>
      </c>
      <c r="K86" s="13">
        <v>1</v>
      </c>
      <c r="L86" s="13" t="s">
        <v>63</v>
      </c>
      <c r="M86" s="13">
        <v>94</v>
      </c>
      <c r="N86" s="13">
        <v>3</v>
      </c>
      <c r="O86" s="13">
        <v>2</v>
      </c>
      <c r="P86" s="13" t="s">
        <v>116</v>
      </c>
      <c r="Q86" s="13">
        <v>2</v>
      </c>
      <c r="R86" s="13" t="s">
        <v>66</v>
      </c>
      <c r="S86" s="20">
        <v>4325</v>
      </c>
      <c r="T86" s="13">
        <v>17736</v>
      </c>
      <c r="U86" s="13">
        <v>1</v>
      </c>
      <c r="V86" s="13" t="s">
        <v>52</v>
      </c>
      <c r="W86" s="13" t="s">
        <v>59</v>
      </c>
      <c r="X86" s="13">
        <v>15</v>
      </c>
      <c r="Y86" s="13">
        <v>3</v>
      </c>
      <c r="Z86" s="13">
        <v>3</v>
      </c>
      <c r="AA86" s="13">
        <v>80</v>
      </c>
      <c r="AB86" s="13">
        <v>0</v>
      </c>
      <c r="AC86" s="13">
        <v>5</v>
      </c>
      <c r="AD86" s="13">
        <v>2</v>
      </c>
      <c r="AE86" s="13">
        <v>3</v>
      </c>
      <c r="AF86" s="14">
        <v>5</v>
      </c>
      <c r="AG86" s="13">
        <v>2</v>
      </c>
      <c r="AH86" s="13">
        <v>1</v>
      </c>
      <c r="AI86" s="13">
        <v>3</v>
      </c>
      <c r="AJ86" s="13" t="str">
        <f t="shared" si="1"/>
        <v>30-39</v>
      </c>
      <c r="AK86" s="13" t="str">
        <f>IF(tblCleanData[[#This Row],[MonthlyIncome]]&lt;5000, "Low Income", IF(tblCleanData[[#This Row],[MonthlyIncome]]&lt;15000, "Medium Income", "High Income"))</f>
        <v>Low Income</v>
      </c>
      <c r="AL86" s="13">
        <f>IF(tblCleanData[[#This Row],[Attrition]]="No", 0,1)</f>
        <v>0</v>
      </c>
      <c r="AM86" s="13">
        <f>IF(tblCleanData[[#This Row],[OverTime]] = "No", 0, 1)</f>
        <v>0</v>
      </c>
      <c r="AN86" s="13" t="str">
        <f>CHOOSE(tblCleanData[[#This Row],[Education]], "Below College","College","Bachelor","Master","Doctor")</f>
        <v>College</v>
      </c>
      <c r="AO86" s="13" t="str">
        <f>VLOOKUP(tblCleanData[[#This Row],[EmployeeNumber]],tblHelpers[],15,TRUE)</f>
        <v>High Risk</v>
      </c>
      <c r="AP86" s="13">
        <f>VLOOKUP(tblCleanData[[#This Row],[EmployeeNumber]],tblHelpers[],14,0)</f>
        <v>59</v>
      </c>
    </row>
    <row r="87" spans="1:42" x14ac:dyDescent="0.25">
      <c r="A87" s="13">
        <v>56</v>
      </c>
      <c r="B87" s="13" t="s">
        <v>59</v>
      </c>
      <c r="C87" s="13" t="s">
        <v>37</v>
      </c>
      <c r="D87" s="13">
        <v>1400</v>
      </c>
      <c r="E87" s="13" t="s">
        <v>62</v>
      </c>
      <c r="F87" s="13">
        <v>7</v>
      </c>
      <c r="G87" s="13">
        <v>3</v>
      </c>
      <c r="H87" s="13" t="s">
        <v>42</v>
      </c>
      <c r="I87" s="13">
        <v>1</v>
      </c>
      <c r="J87" s="13">
        <v>112</v>
      </c>
      <c r="K87" s="13">
        <v>4</v>
      </c>
      <c r="L87" s="13" t="s">
        <v>63</v>
      </c>
      <c r="M87" s="13">
        <v>49</v>
      </c>
      <c r="N87" s="13">
        <v>1</v>
      </c>
      <c r="O87" s="13">
        <v>3</v>
      </c>
      <c r="P87" s="13" t="s">
        <v>116</v>
      </c>
      <c r="Q87" s="13">
        <v>4</v>
      </c>
      <c r="R87" s="13" t="s">
        <v>48</v>
      </c>
      <c r="S87" s="20">
        <v>7260</v>
      </c>
      <c r="T87" s="13">
        <v>21698</v>
      </c>
      <c r="U87" s="13">
        <v>4</v>
      </c>
      <c r="V87" s="13" t="s">
        <v>52</v>
      </c>
      <c r="W87" s="13" t="s">
        <v>59</v>
      </c>
      <c r="X87" s="13">
        <v>11</v>
      </c>
      <c r="Y87" s="13">
        <v>3</v>
      </c>
      <c r="Z87" s="13">
        <v>1</v>
      </c>
      <c r="AA87" s="13">
        <v>80</v>
      </c>
      <c r="AB87" s="13">
        <v>0</v>
      </c>
      <c r="AC87" s="13">
        <v>37</v>
      </c>
      <c r="AD87" s="13">
        <v>3</v>
      </c>
      <c r="AE87" s="13">
        <v>2</v>
      </c>
      <c r="AF87" s="14">
        <v>6</v>
      </c>
      <c r="AG87" s="13">
        <v>4</v>
      </c>
      <c r="AH87" s="13">
        <v>0</v>
      </c>
      <c r="AI87" s="13">
        <v>2</v>
      </c>
      <c r="AJ87" s="13" t="str">
        <f t="shared" si="1"/>
        <v>50+</v>
      </c>
      <c r="AK87" s="13" t="str">
        <f>IF(tblCleanData[[#This Row],[MonthlyIncome]]&lt;5000, "Low Income", IF(tblCleanData[[#This Row],[MonthlyIncome]]&lt;15000, "Medium Income", "High Income"))</f>
        <v>Medium Income</v>
      </c>
      <c r="AL87" s="13">
        <f>IF(tblCleanData[[#This Row],[Attrition]]="No", 0,1)</f>
        <v>0</v>
      </c>
      <c r="AM87" s="13">
        <f>IF(tblCleanData[[#This Row],[OverTime]] = "No", 0, 1)</f>
        <v>0</v>
      </c>
      <c r="AN87" s="13" t="str">
        <f>CHOOSE(tblCleanData[[#This Row],[Education]], "Below College","College","Bachelor","Master","Doctor")</f>
        <v>Bachelor</v>
      </c>
      <c r="AO87" s="13" t="str">
        <f>VLOOKUP(tblCleanData[[#This Row],[EmployeeNumber]],tblHelpers[],15,TRUE)</f>
        <v>Low Risk</v>
      </c>
      <c r="AP87" s="13">
        <f>VLOOKUP(tblCleanData[[#This Row],[EmployeeNumber]],tblHelpers[],14,0)</f>
        <v>34</v>
      </c>
    </row>
    <row r="88" spans="1:42" x14ac:dyDescent="0.25">
      <c r="A88" s="13">
        <v>23</v>
      </c>
      <c r="B88" s="13" t="s">
        <v>59</v>
      </c>
      <c r="C88" s="13" t="s">
        <v>37</v>
      </c>
      <c r="D88" s="13">
        <v>541</v>
      </c>
      <c r="E88" s="13" t="s">
        <v>39</v>
      </c>
      <c r="F88" s="13">
        <v>2</v>
      </c>
      <c r="G88" s="13">
        <v>1</v>
      </c>
      <c r="H88" s="13" t="s">
        <v>228</v>
      </c>
      <c r="I88" s="13">
        <v>1</v>
      </c>
      <c r="J88" s="13">
        <v>113</v>
      </c>
      <c r="K88" s="13">
        <v>3</v>
      </c>
      <c r="L88" s="13" t="s">
        <v>63</v>
      </c>
      <c r="M88" s="13">
        <v>62</v>
      </c>
      <c r="N88" s="13">
        <v>3</v>
      </c>
      <c r="O88" s="13">
        <v>1</v>
      </c>
      <c r="P88" s="13" t="s">
        <v>182</v>
      </c>
      <c r="Q88" s="13">
        <v>1</v>
      </c>
      <c r="R88" s="13" t="s">
        <v>109</v>
      </c>
      <c r="S88" s="20">
        <v>2322</v>
      </c>
      <c r="T88" s="13">
        <v>9518</v>
      </c>
      <c r="U88" s="13">
        <v>3</v>
      </c>
      <c r="V88" s="13" t="s">
        <v>52</v>
      </c>
      <c r="W88" s="13" t="s">
        <v>59</v>
      </c>
      <c r="X88" s="13">
        <v>13</v>
      </c>
      <c r="Y88" s="13">
        <v>3</v>
      </c>
      <c r="Z88" s="13">
        <v>3</v>
      </c>
      <c r="AA88" s="13">
        <v>80</v>
      </c>
      <c r="AB88" s="13">
        <v>1</v>
      </c>
      <c r="AC88" s="13">
        <v>3</v>
      </c>
      <c r="AD88" s="13">
        <v>3</v>
      </c>
      <c r="AE88" s="13">
        <v>3</v>
      </c>
      <c r="AF88" s="14">
        <v>0</v>
      </c>
      <c r="AG88" s="13">
        <v>0</v>
      </c>
      <c r="AH88" s="13">
        <v>0</v>
      </c>
      <c r="AI88" s="13">
        <v>0</v>
      </c>
      <c r="AJ88" s="13" t="str">
        <f t="shared" si="1"/>
        <v>Under 30</v>
      </c>
      <c r="AK88" s="13" t="str">
        <f>IF(tblCleanData[[#This Row],[MonthlyIncome]]&lt;5000, "Low Income", IF(tblCleanData[[#This Row],[MonthlyIncome]]&lt;15000, "Medium Income", "High Income"))</f>
        <v>Low Income</v>
      </c>
      <c r="AL88" s="13">
        <f>IF(tblCleanData[[#This Row],[Attrition]]="No", 0,1)</f>
        <v>0</v>
      </c>
      <c r="AM88" s="13">
        <f>IF(tblCleanData[[#This Row],[OverTime]] = "No", 0, 1)</f>
        <v>0</v>
      </c>
      <c r="AN88" s="13" t="str">
        <f>CHOOSE(tblCleanData[[#This Row],[Education]], "Below College","College","Bachelor","Master","Doctor")</f>
        <v>Below College</v>
      </c>
      <c r="AO88" s="13" t="str">
        <f>VLOOKUP(tblCleanData[[#This Row],[EmployeeNumber]],tblHelpers[],15,TRUE)</f>
        <v>High Risk</v>
      </c>
      <c r="AP88" s="13">
        <f>VLOOKUP(tblCleanData[[#This Row],[EmployeeNumber]],tblHelpers[],14,0)</f>
        <v>85</v>
      </c>
    </row>
    <row r="89" spans="1:42" x14ac:dyDescent="0.25">
      <c r="A89" s="13">
        <v>51</v>
      </c>
      <c r="B89" s="13" t="s">
        <v>59</v>
      </c>
      <c r="C89" s="13" t="s">
        <v>37</v>
      </c>
      <c r="D89" s="13">
        <v>432</v>
      </c>
      <c r="E89" s="13" t="s">
        <v>62</v>
      </c>
      <c r="F89" s="13">
        <v>9</v>
      </c>
      <c r="G89" s="13">
        <v>4</v>
      </c>
      <c r="H89" s="13" t="s">
        <v>42</v>
      </c>
      <c r="I89" s="13">
        <v>1</v>
      </c>
      <c r="J89" s="13">
        <v>116</v>
      </c>
      <c r="K89" s="13">
        <v>4</v>
      </c>
      <c r="L89" s="13" t="s">
        <v>63</v>
      </c>
      <c r="M89" s="13">
        <v>96</v>
      </c>
      <c r="N89" s="13">
        <v>3</v>
      </c>
      <c r="O89" s="13">
        <v>1</v>
      </c>
      <c r="P89" s="13" t="s">
        <v>76</v>
      </c>
      <c r="Q89" s="13">
        <v>4</v>
      </c>
      <c r="R89" s="13" t="s">
        <v>66</v>
      </c>
      <c r="S89" s="20">
        <v>2075</v>
      </c>
      <c r="T89" s="13">
        <v>18725</v>
      </c>
      <c r="U89" s="13">
        <v>3</v>
      </c>
      <c r="V89" s="13" t="s">
        <v>52</v>
      </c>
      <c r="W89" s="13" t="s">
        <v>59</v>
      </c>
      <c r="X89" s="13">
        <v>23</v>
      </c>
      <c r="Y89" s="13">
        <v>4</v>
      </c>
      <c r="Z89" s="13">
        <v>2</v>
      </c>
      <c r="AA89" s="13">
        <v>80</v>
      </c>
      <c r="AB89" s="13">
        <v>2</v>
      </c>
      <c r="AC89" s="13">
        <v>10</v>
      </c>
      <c r="AD89" s="13">
        <v>4</v>
      </c>
      <c r="AE89" s="13">
        <v>3</v>
      </c>
      <c r="AF89" s="14">
        <v>4</v>
      </c>
      <c r="AG89" s="13">
        <v>2</v>
      </c>
      <c r="AH89" s="13">
        <v>0</v>
      </c>
      <c r="AI89" s="13">
        <v>3</v>
      </c>
      <c r="AJ89" s="13" t="str">
        <f t="shared" si="1"/>
        <v>50+</v>
      </c>
      <c r="AK89" s="13" t="str">
        <f>IF(tblCleanData[[#This Row],[MonthlyIncome]]&lt;5000, "Low Income", IF(tblCleanData[[#This Row],[MonthlyIncome]]&lt;15000, "Medium Income", "High Income"))</f>
        <v>Low Income</v>
      </c>
      <c r="AL89" s="13">
        <f>IF(tblCleanData[[#This Row],[Attrition]]="No", 0,1)</f>
        <v>0</v>
      </c>
      <c r="AM89" s="13">
        <f>IF(tblCleanData[[#This Row],[OverTime]] = "No", 0, 1)</f>
        <v>0</v>
      </c>
      <c r="AN89" s="13" t="str">
        <f>CHOOSE(tblCleanData[[#This Row],[Education]], "Below College","College","Bachelor","Master","Doctor")</f>
        <v>Master</v>
      </c>
      <c r="AO89" s="13" t="str">
        <f>VLOOKUP(tblCleanData[[#This Row],[EmployeeNumber]],tblHelpers[],15,TRUE)</f>
        <v>Medium Risk</v>
      </c>
      <c r="AP89" s="13">
        <f>VLOOKUP(tblCleanData[[#This Row],[EmployeeNumber]],tblHelpers[],14,0)</f>
        <v>41</v>
      </c>
    </row>
    <row r="90" spans="1:42" x14ac:dyDescent="0.25">
      <c r="A90" s="13">
        <v>30</v>
      </c>
      <c r="B90" s="13" t="s">
        <v>59</v>
      </c>
      <c r="C90" s="13" t="s">
        <v>37</v>
      </c>
      <c r="D90" s="13">
        <v>288</v>
      </c>
      <c r="E90" s="13" t="s">
        <v>62</v>
      </c>
      <c r="F90" s="13">
        <v>2</v>
      </c>
      <c r="G90" s="13">
        <v>3</v>
      </c>
      <c r="H90" s="13" t="s">
        <v>42</v>
      </c>
      <c r="I90" s="13">
        <v>1</v>
      </c>
      <c r="J90" s="13">
        <v>117</v>
      </c>
      <c r="K90" s="13">
        <v>3</v>
      </c>
      <c r="L90" s="13" t="s">
        <v>63</v>
      </c>
      <c r="M90" s="13">
        <v>99</v>
      </c>
      <c r="N90" s="13">
        <v>2</v>
      </c>
      <c r="O90" s="13">
        <v>2</v>
      </c>
      <c r="P90" s="13" t="s">
        <v>122</v>
      </c>
      <c r="Q90" s="13">
        <v>4</v>
      </c>
      <c r="R90" s="13" t="s">
        <v>66</v>
      </c>
      <c r="S90" s="20">
        <v>4152</v>
      </c>
      <c r="T90" s="13">
        <v>15830</v>
      </c>
      <c r="U90" s="13">
        <v>1</v>
      </c>
      <c r="V90" s="13" t="s">
        <v>52</v>
      </c>
      <c r="W90" s="13" t="s">
        <v>59</v>
      </c>
      <c r="X90" s="13">
        <v>19</v>
      </c>
      <c r="Y90" s="13">
        <v>3</v>
      </c>
      <c r="Z90" s="13">
        <v>1</v>
      </c>
      <c r="AA90" s="13">
        <v>80</v>
      </c>
      <c r="AB90" s="13">
        <v>3</v>
      </c>
      <c r="AC90" s="13">
        <v>11</v>
      </c>
      <c r="AD90" s="13">
        <v>3</v>
      </c>
      <c r="AE90" s="13">
        <v>3</v>
      </c>
      <c r="AF90" s="14">
        <v>11</v>
      </c>
      <c r="AG90" s="13">
        <v>10</v>
      </c>
      <c r="AH90" s="13">
        <v>10</v>
      </c>
      <c r="AI90" s="13">
        <v>8</v>
      </c>
      <c r="AJ90" s="13" t="str">
        <f t="shared" si="1"/>
        <v>30-39</v>
      </c>
      <c r="AK90" s="13" t="str">
        <f>IF(tblCleanData[[#This Row],[MonthlyIncome]]&lt;5000, "Low Income", IF(tblCleanData[[#This Row],[MonthlyIncome]]&lt;15000, "Medium Income", "High Income"))</f>
        <v>Low Income</v>
      </c>
      <c r="AL90" s="13">
        <f>IF(tblCleanData[[#This Row],[Attrition]]="No", 0,1)</f>
        <v>0</v>
      </c>
      <c r="AM90" s="13">
        <f>IF(tblCleanData[[#This Row],[OverTime]] = "No", 0, 1)</f>
        <v>0</v>
      </c>
      <c r="AN90" s="13" t="str">
        <f>CHOOSE(tblCleanData[[#This Row],[Education]], "Below College","College","Bachelor","Master","Doctor")</f>
        <v>Bachelor</v>
      </c>
      <c r="AO90" s="13" t="str">
        <f>VLOOKUP(tblCleanData[[#This Row],[EmployeeNumber]],tblHelpers[],15,TRUE)</f>
        <v>Low Risk</v>
      </c>
      <c r="AP90" s="13">
        <f>VLOOKUP(tblCleanData[[#This Row],[EmployeeNumber]],tblHelpers[],14,0)</f>
        <v>34</v>
      </c>
    </row>
    <row r="91" spans="1:42" x14ac:dyDescent="0.25">
      <c r="A91" s="13">
        <v>46</v>
      </c>
      <c r="B91" s="13" t="s">
        <v>36</v>
      </c>
      <c r="C91" s="13" t="s">
        <v>37</v>
      </c>
      <c r="D91" s="13">
        <v>669</v>
      </c>
      <c r="E91" s="13" t="s">
        <v>39</v>
      </c>
      <c r="F91" s="13">
        <v>9</v>
      </c>
      <c r="G91" s="13">
        <v>2</v>
      </c>
      <c r="H91" s="13" t="s">
        <v>87</v>
      </c>
      <c r="I91" s="13">
        <v>1</v>
      </c>
      <c r="J91" s="13">
        <v>118</v>
      </c>
      <c r="K91" s="13">
        <v>3</v>
      </c>
      <c r="L91" s="13" t="s">
        <v>63</v>
      </c>
      <c r="M91" s="13">
        <v>64</v>
      </c>
      <c r="N91" s="13">
        <v>2</v>
      </c>
      <c r="O91" s="13">
        <v>3</v>
      </c>
      <c r="P91" s="13" t="s">
        <v>46</v>
      </c>
      <c r="Q91" s="13">
        <v>4</v>
      </c>
      <c r="R91" s="13" t="s">
        <v>48</v>
      </c>
      <c r="S91" s="20">
        <v>9619</v>
      </c>
      <c r="T91" s="13">
        <v>13596</v>
      </c>
      <c r="U91" s="13">
        <v>1</v>
      </c>
      <c r="V91" s="13" t="s">
        <v>52</v>
      </c>
      <c r="W91" s="13" t="s">
        <v>59</v>
      </c>
      <c r="X91" s="13">
        <v>16</v>
      </c>
      <c r="Y91" s="13">
        <v>3</v>
      </c>
      <c r="Z91" s="13">
        <v>4</v>
      </c>
      <c r="AA91" s="13">
        <v>80</v>
      </c>
      <c r="AB91" s="13">
        <v>0</v>
      </c>
      <c r="AC91" s="13">
        <v>9</v>
      </c>
      <c r="AD91" s="13">
        <v>3</v>
      </c>
      <c r="AE91" s="13">
        <v>3</v>
      </c>
      <c r="AF91" s="14">
        <v>9</v>
      </c>
      <c r="AG91" s="13">
        <v>8</v>
      </c>
      <c r="AH91" s="13">
        <v>4</v>
      </c>
      <c r="AI91" s="13">
        <v>7</v>
      </c>
      <c r="AJ91" s="13" t="str">
        <f t="shared" si="1"/>
        <v>40-49</v>
      </c>
      <c r="AK91" s="13" t="str">
        <f>IF(tblCleanData[[#This Row],[MonthlyIncome]]&lt;5000, "Low Income", IF(tblCleanData[[#This Row],[MonthlyIncome]]&lt;15000, "Medium Income", "High Income"))</f>
        <v>Medium Income</v>
      </c>
      <c r="AL91" s="13">
        <f>IF(tblCleanData[[#This Row],[Attrition]]="No", 0,1)</f>
        <v>1</v>
      </c>
      <c r="AM91" s="13">
        <f>IF(tblCleanData[[#This Row],[OverTime]] = "No", 0, 1)</f>
        <v>0</v>
      </c>
      <c r="AN91" s="13" t="str">
        <f>CHOOSE(tblCleanData[[#This Row],[Education]], "Below College","College","Bachelor","Master","Doctor")</f>
        <v>College</v>
      </c>
      <c r="AO91" s="13" t="str">
        <f>VLOOKUP(tblCleanData[[#This Row],[EmployeeNumber]],tblHelpers[],15,TRUE)</f>
        <v>Low Risk</v>
      </c>
      <c r="AP91" s="13">
        <f>VLOOKUP(tblCleanData[[#This Row],[EmployeeNumber]],tblHelpers[],14,0)</f>
        <v>29</v>
      </c>
    </row>
    <row r="92" spans="1:42" x14ac:dyDescent="0.25">
      <c r="A92" s="13">
        <v>40</v>
      </c>
      <c r="B92" s="13" t="s">
        <v>59</v>
      </c>
      <c r="C92" s="13" t="s">
        <v>60</v>
      </c>
      <c r="D92" s="13">
        <v>530</v>
      </c>
      <c r="E92" s="13" t="s">
        <v>62</v>
      </c>
      <c r="F92" s="13">
        <v>1</v>
      </c>
      <c r="G92" s="13">
        <v>4</v>
      </c>
      <c r="H92" s="13" t="s">
        <v>42</v>
      </c>
      <c r="I92" s="13">
        <v>1</v>
      </c>
      <c r="J92" s="13">
        <v>119</v>
      </c>
      <c r="K92" s="13">
        <v>3</v>
      </c>
      <c r="L92" s="13" t="s">
        <v>63</v>
      </c>
      <c r="M92" s="13">
        <v>78</v>
      </c>
      <c r="N92" s="13">
        <v>2</v>
      </c>
      <c r="O92" s="13">
        <v>4</v>
      </c>
      <c r="P92" s="13" t="s">
        <v>122</v>
      </c>
      <c r="Q92" s="13">
        <v>2</v>
      </c>
      <c r="R92" s="13" t="s">
        <v>66</v>
      </c>
      <c r="S92" s="20">
        <v>13503</v>
      </c>
      <c r="T92" s="13">
        <v>14115</v>
      </c>
      <c r="U92" s="13">
        <v>1</v>
      </c>
      <c r="V92" s="13" t="s">
        <v>52</v>
      </c>
      <c r="W92" s="13" t="s">
        <v>59</v>
      </c>
      <c r="X92" s="13">
        <v>22</v>
      </c>
      <c r="Y92" s="13">
        <v>4</v>
      </c>
      <c r="Z92" s="13">
        <v>4</v>
      </c>
      <c r="AA92" s="13">
        <v>80</v>
      </c>
      <c r="AB92" s="13">
        <v>1</v>
      </c>
      <c r="AC92" s="13">
        <v>22</v>
      </c>
      <c r="AD92" s="13">
        <v>3</v>
      </c>
      <c r="AE92" s="13">
        <v>2</v>
      </c>
      <c r="AF92" s="14">
        <v>22</v>
      </c>
      <c r="AG92" s="13">
        <v>3</v>
      </c>
      <c r="AH92" s="13">
        <v>11</v>
      </c>
      <c r="AI92" s="13">
        <v>11</v>
      </c>
      <c r="AJ92" s="13" t="str">
        <f t="shared" si="1"/>
        <v>40-49</v>
      </c>
      <c r="AK92" s="13" t="str">
        <f>IF(tblCleanData[[#This Row],[MonthlyIncome]]&lt;5000, "Low Income", IF(tblCleanData[[#This Row],[MonthlyIncome]]&lt;15000, "Medium Income", "High Income"))</f>
        <v>Medium Income</v>
      </c>
      <c r="AL92" s="13">
        <f>IF(tblCleanData[[#This Row],[Attrition]]="No", 0,1)</f>
        <v>0</v>
      </c>
      <c r="AM92" s="13">
        <f>IF(tblCleanData[[#This Row],[OverTime]] = "No", 0, 1)</f>
        <v>0</v>
      </c>
      <c r="AN92" s="13" t="str">
        <f>CHOOSE(tblCleanData[[#This Row],[Education]], "Below College","College","Bachelor","Master","Doctor")</f>
        <v>Master</v>
      </c>
      <c r="AO92" s="13" t="str">
        <f>VLOOKUP(tblCleanData[[#This Row],[EmployeeNumber]],tblHelpers[],15,TRUE)</f>
        <v>Medium Risk</v>
      </c>
      <c r="AP92" s="13">
        <f>VLOOKUP(tblCleanData[[#This Row],[EmployeeNumber]],tblHelpers[],14,0)</f>
        <v>37</v>
      </c>
    </row>
    <row r="93" spans="1:42" x14ac:dyDescent="0.25">
      <c r="A93" s="13">
        <v>51</v>
      </c>
      <c r="B93" s="13" t="s">
        <v>59</v>
      </c>
      <c r="C93" s="13" t="s">
        <v>37</v>
      </c>
      <c r="D93" s="13">
        <v>632</v>
      </c>
      <c r="E93" s="13" t="s">
        <v>39</v>
      </c>
      <c r="F93" s="13">
        <v>21</v>
      </c>
      <c r="G93" s="13">
        <v>4</v>
      </c>
      <c r="H93" s="13" t="s">
        <v>206</v>
      </c>
      <c r="I93" s="13">
        <v>1</v>
      </c>
      <c r="J93" s="13">
        <v>120</v>
      </c>
      <c r="K93" s="13">
        <v>3</v>
      </c>
      <c r="L93" s="13" t="s">
        <v>63</v>
      </c>
      <c r="M93" s="13">
        <v>71</v>
      </c>
      <c r="N93" s="13">
        <v>3</v>
      </c>
      <c r="O93" s="13">
        <v>2</v>
      </c>
      <c r="P93" s="13" t="s">
        <v>46</v>
      </c>
      <c r="Q93" s="13">
        <v>4</v>
      </c>
      <c r="R93" s="13" t="s">
        <v>48</v>
      </c>
      <c r="S93" s="20">
        <v>5441</v>
      </c>
      <c r="T93" s="13">
        <v>8423</v>
      </c>
      <c r="U93" s="13">
        <v>0</v>
      </c>
      <c r="V93" s="13" t="s">
        <v>52</v>
      </c>
      <c r="W93" s="13" t="s">
        <v>36</v>
      </c>
      <c r="X93" s="13">
        <v>22</v>
      </c>
      <c r="Y93" s="13">
        <v>4</v>
      </c>
      <c r="Z93" s="13">
        <v>4</v>
      </c>
      <c r="AA93" s="13">
        <v>80</v>
      </c>
      <c r="AB93" s="13">
        <v>0</v>
      </c>
      <c r="AC93" s="13">
        <v>11</v>
      </c>
      <c r="AD93" s="13">
        <v>2</v>
      </c>
      <c r="AE93" s="13">
        <v>1</v>
      </c>
      <c r="AF93" s="14">
        <v>10</v>
      </c>
      <c r="AG93" s="13">
        <v>7</v>
      </c>
      <c r="AH93" s="13">
        <v>1</v>
      </c>
      <c r="AI93" s="13">
        <v>0</v>
      </c>
      <c r="AJ93" s="13" t="str">
        <f t="shared" si="1"/>
        <v>50+</v>
      </c>
      <c r="AK93" s="13" t="str">
        <f>IF(tblCleanData[[#This Row],[MonthlyIncome]]&lt;5000, "Low Income", IF(tblCleanData[[#This Row],[MonthlyIncome]]&lt;15000, "Medium Income", "High Income"))</f>
        <v>Medium Income</v>
      </c>
      <c r="AL93" s="13">
        <f>IF(tblCleanData[[#This Row],[Attrition]]="No", 0,1)</f>
        <v>0</v>
      </c>
      <c r="AM93" s="13">
        <f>IF(tblCleanData[[#This Row],[OverTime]] = "No", 0, 1)</f>
        <v>1</v>
      </c>
      <c r="AN93" s="13" t="str">
        <f>CHOOSE(tblCleanData[[#This Row],[Education]], "Below College","College","Bachelor","Master","Doctor")</f>
        <v>Master</v>
      </c>
      <c r="AO93" s="13" t="str">
        <f>VLOOKUP(tblCleanData[[#This Row],[EmployeeNumber]],tblHelpers[],15,TRUE)</f>
        <v>High Risk</v>
      </c>
      <c r="AP93" s="13">
        <f>VLOOKUP(tblCleanData[[#This Row],[EmployeeNumber]],tblHelpers[],14,0)</f>
        <v>59</v>
      </c>
    </row>
    <row r="94" spans="1:42" x14ac:dyDescent="0.25">
      <c r="A94" s="13">
        <v>30</v>
      </c>
      <c r="B94" s="13" t="s">
        <v>59</v>
      </c>
      <c r="C94" s="13" t="s">
        <v>37</v>
      </c>
      <c r="D94" s="13">
        <v>1334</v>
      </c>
      <c r="E94" s="13" t="s">
        <v>39</v>
      </c>
      <c r="F94" s="13">
        <v>4</v>
      </c>
      <c r="G94" s="13">
        <v>2</v>
      </c>
      <c r="H94" s="13" t="s">
        <v>87</v>
      </c>
      <c r="I94" s="13">
        <v>1</v>
      </c>
      <c r="J94" s="13">
        <v>121</v>
      </c>
      <c r="K94" s="13">
        <v>3</v>
      </c>
      <c r="L94" s="13" t="s">
        <v>43</v>
      </c>
      <c r="M94" s="13">
        <v>63</v>
      </c>
      <c r="N94" s="13">
        <v>2</v>
      </c>
      <c r="O94" s="13">
        <v>2</v>
      </c>
      <c r="P94" s="13" t="s">
        <v>46</v>
      </c>
      <c r="Q94" s="13">
        <v>2</v>
      </c>
      <c r="R94" s="13" t="s">
        <v>109</v>
      </c>
      <c r="S94" s="20">
        <v>5209</v>
      </c>
      <c r="T94" s="13">
        <v>19760</v>
      </c>
      <c r="U94" s="13">
        <v>1</v>
      </c>
      <c r="V94" s="13" t="s">
        <v>52</v>
      </c>
      <c r="W94" s="13" t="s">
        <v>36</v>
      </c>
      <c r="X94" s="13">
        <v>12</v>
      </c>
      <c r="Y94" s="13">
        <v>3</v>
      </c>
      <c r="Z94" s="13">
        <v>2</v>
      </c>
      <c r="AA94" s="13">
        <v>80</v>
      </c>
      <c r="AB94" s="13">
        <v>3</v>
      </c>
      <c r="AC94" s="13">
        <v>11</v>
      </c>
      <c r="AD94" s="13">
        <v>4</v>
      </c>
      <c r="AE94" s="13">
        <v>2</v>
      </c>
      <c r="AF94" s="14">
        <v>11</v>
      </c>
      <c r="AG94" s="13">
        <v>8</v>
      </c>
      <c r="AH94" s="13">
        <v>2</v>
      </c>
      <c r="AI94" s="13">
        <v>7</v>
      </c>
      <c r="AJ94" s="13" t="str">
        <f t="shared" si="1"/>
        <v>30-39</v>
      </c>
      <c r="AK94" s="13" t="str">
        <f>IF(tblCleanData[[#This Row],[MonthlyIncome]]&lt;5000, "Low Income", IF(tblCleanData[[#This Row],[MonthlyIncome]]&lt;15000, "Medium Income", "High Income"))</f>
        <v>Medium Income</v>
      </c>
      <c r="AL94" s="13">
        <f>IF(tblCleanData[[#This Row],[Attrition]]="No", 0,1)</f>
        <v>0</v>
      </c>
      <c r="AM94" s="13">
        <f>IF(tblCleanData[[#This Row],[OverTime]] = "No", 0, 1)</f>
        <v>1</v>
      </c>
      <c r="AN94" s="13" t="str">
        <f>CHOOSE(tblCleanData[[#This Row],[Education]], "Below College","College","Bachelor","Master","Doctor")</f>
        <v>College</v>
      </c>
      <c r="AO94" s="13" t="str">
        <f>VLOOKUP(tblCleanData[[#This Row],[EmployeeNumber]],tblHelpers[],15,TRUE)</f>
        <v>High Risk</v>
      </c>
      <c r="AP94" s="13">
        <f>VLOOKUP(tblCleanData[[#This Row],[EmployeeNumber]],tblHelpers[],14,0)</f>
        <v>72</v>
      </c>
    </row>
    <row r="95" spans="1:42" x14ac:dyDescent="0.25">
      <c r="A95" s="13">
        <v>46</v>
      </c>
      <c r="B95" s="13" t="s">
        <v>59</v>
      </c>
      <c r="C95" s="13" t="s">
        <v>60</v>
      </c>
      <c r="D95" s="13">
        <v>638</v>
      </c>
      <c r="E95" s="13" t="s">
        <v>62</v>
      </c>
      <c r="F95" s="13">
        <v>1</v>
      </c>
      <c r="G95" s="13">
        <v>3</v>
      </c>
      <c r="H95" s="13" t="s">
        <v>87</v>
      </c>
      <c r="I95" s="13">
        <v>1</v>
      </c>
      <c r="J95" s="13">
        <v>124</v>
      </c>
      <c r="K95" s="13">
        <v>3</v>
      </c>
      <c r="L95" s="13" t="s">
        <v>63</v>
      </c>
      <c r="M95" s="13">
        <v>40</v>
      </c>
      <c r="N95" s="13">
        <v>2</v>
      </c>
      <c r="O95" s="13">
        <v>3</v>
      </c>
      <c r="P95" s="13" t="s">
        <v>122</v>
      </c>
      <c r="Q95" s="13">
        <v>1</v>
      </c>
      <c r="R95" s="13" t="s">
        <v>66</v>
      </c>
      <c r="S95" s="20">
        <v>10673</v>
      </c>
      <c r="T95" s="13">
        <v>3142</v>
      </c>
      <c r="U95" s="13">
        <v>2</v>
      </c>
      <c r="V95" s="13" t="s">
        <v>52</v>
      </c>
      <c r="W95" s="13" t="s">
        <v>36</v>
      </c>
      <c r="X95" s="13">
        <v>13</v>
      </c>
      <c r="Y95" s="13">
        <v>3</v>
      </c>
      <c r="Z95" s="13">
        <v>3</v>
      </c>
      <c r="AA95" s="13">
        <v>80</v>
      </c>
      <c r="AB95" s="13">
        <v>1</v>
      </c>
      <c r="AC95" s="13">
        <v>21</v>
      </c>
      <c r="AD95" s="13">
        <v>5</v>
      </c>
      <c r="AE95" s="13">
        <v>2</v>
      </c>
      <c r="AF95" s="14">
        <v>10</v>
      </c>
      <c r="AG95" s="13">
        <v>9</v>
      </c>
      <c r="AH95" s="13">
        <v>9</v>
      </c>
      <c r="AI95" s="13">
        <v>5</v>
      </c>
      <c r="AJ95" s="13" t="str">
        <f t="shared" si="1"/>
        <v>40-49</v>
      </c>
      <c r="AK95" s="13" t="str">
        <f>IF(tblCleanData[[#This Row],[MonthlyIncome]]&lt;5000, "Low Income", IF(tblCleanData[[#This Row],[MonthlyIncome]]&lt;15000, "Medium Income", "High Income"))</f>
        <v>Medium Income</v>
      </c>
      <c r="AL95" s="13">
        <f>IF(tblCleanData[[#This Row],[Attrition]]="No", 0,1)</f>
        <v>0</v>
      </c>
      <c r="AM95" s="13">
        <f>IF(tblCleanData[[#This Row],[OverTime]] = "No", 0, 1)</f>
        <v>1</v>
      </c>
      <c r="AN95" s="13" t="str">
        <f>CHOOSE(tblCleanData[[#This Row],[Education]], "Below College","College","Bachelor","Master","Doctor")</f>
        <v>Bachelor</v>
      </c>
      <c r="AO95" s="13" t="str">
        <f>VLOOKUP(tblCleanData[[#This Row],[EmployeeNumber]],tblHelpers[],15,TRUE)</f>
        <v>High Risk</v>
      </c>
      <c r="AP95" s="13">
        <f>VLOOKUP(tblCleanData[[#This Row],[EmployeeNumber]],tblHelpers[],14,0)</f>
        <v>73</v>
      </c>
    </row>
    <row r="96" spans="1:42" x14ac:dyDescent="0.25">
      <c r="A96" s="13">
        <v>32</v>
      </c>
      <c r="B96" s="13" t="s">
        <v>59</v>
      </c>
      <c r="C96" s="13" t="s">
        <v>37</v>
      </c>
      <c r="D96" s="13">
        <v>1093</v>
      </c>
      <c r="E96" s="13" t="s">
        <v>39</v>
      </c>
      <c r="F96" s="13">
        <v>6</v>
      </c>
      <c r="G96" s="13">
        <v>4</v>
      </c>
      <c r="H96" s="13" t="s">
        <v>87</v>
      </c>
      <c r="I96" s="13">
        <v>1</v>
      </c>
      <c r="J96" s="13">
        <v>125</v>
      </c>
      <c r="K96" s="13">
        <v>2</v>
      </c>
      <c r="L96" s="13" t="s">
        <v>63</v>
      </c>
      <c r="M96" s="13">
        <v>87</v>
      </c>
      <c r="N96" s="13">
        <v>3</v>
      </c>
      <c r="O96" s="13">
        <v>2</v>
      </c>
      <c r="P96" s="13" t="s">
        <v>46</v>
      </c>
      <c r="Q96" s="13">
        <v>3</v>
      </c>
      <c r="R96" s="13" t="s">
        <v>48</v>
      </c>
      <c r="S96" s="20">
        <v>5010</v>
      </c>
      <c r="T96" s="13">
        <v>24301</v>
      </c>
      <c r="U96" s="13">
        <v>1</v>
      </c>
      <c r="V96" s="13" t="s">
        <v>52</v>
      </c>
      <c r="W96" s="13" t="s">
        <v>59</v>
      </c>
      <c r="X96" s="13">
        <v>16</v>
      </c>
      <c r="Y96" s="13">
        <v>3</v>
      </c>
      <c r="Z96" s="13">
        <v>1</v>
      </c>
      <c r="AA96" s="13">
        <v>80</v>
      </c>
      <c r="AB96" s="13">
        <v>0</v>
      </c>
      <c r="AC96" s="13">
        <v>12</v>
      </c>
      <c r="AD96" s="13">
        <v>0</v>
      </c>
      <c r="AE96" s="13">
        <v>3</v>
      </c>
      <c r="AF96" s="14">
        <v>11</v>
      </c>
      <c r="AG96" s="13">
        <v>8</v>
      </c>
      <c r="AH96" s="13">
        <v>5</v>
      </c>
      <c r="AI96" s="13">
        <v>7</v>
      </c>
      <c r="AJ96" s="13" t="str">
        <f t="shared" si="1"/>
        <v>30-39</v>
      </c>
      <c r="AK96" s="13" t="str">
        <f>IF(tblCleanData[[#This Row],[MonthlyIncome]]&lt;5000, "Low Income", IF(tblCleanData[[#This Row],[MonthlyIncome]]&lt;15000, "Medium Income", "High Income"))</f>
        <v>Medium Income</v>
      </c>
      <c r="AL96" s="13">
        <f>IF(tblCleanData[[#This Row],[Attrition]]="No", 0,1)</f>
        <v>0</v>
      </c>
      <c r="AM96" s="13">
        <f>IF(tblCleanData[[#This Row],[OverTime]] = "No", 0, 1)</f>
        <v>0</v>
      </c>
      <c r="AN96" s="13" t="str">
        <f>CHOOSE(tblCleanData[[#This Row],[Education]], "Below College","College","Bachelor","Master","Doctor")</f>
        <v>Master</v>
      </c>
      <c r="AO96" s="13" t="str">
        <f>VLOOKUP(tblCleanData[[#This Row],[EmployeeNumber]],tblHelpers[],15,TRUE)</f>
        <v>Medium Risk</v>
      </c>
      <c r="AP96" s="13">
        <f>VLOOKUP(tblCleanData[[#This Row],[EmployeeNumber]],tblHelpers[],14,0)</f>
        <v>41</v>
      </c>
    </row>
    <row r="97" spans="1:42" x14ac:dyDescent="0.25">
      <c r="A97" s="13">
        <v>54</v>
      </c>
      <c r="B97" s="13" t="s">
        <v>59</v>
      </c>
      <c r="C97" s="13" t="s">
        <v>37</v>
      </c>
      <c r="D97" s="13">
        <v>1217</v>
      </c>
      <c r="E97" s="13" t="s">
        <v>62</v>
      </c>
      <c r="F97" s="13">
        <v>2</v>
      </c>
      <c r="G97" s="13">
        <v>4</v>
      </c>
      <c r="H97" s="13" t="s">
        <v>228</v>
      </c>
      <c r="I97" s="13">
        <v>1</v>
      </c>
      <c r="J97" s="13">
        <v>126</v>
      </c>
      <c r="K97" s="13">
        <v>1</v>
      </c>
      <c r="L97" s="13" t="s">
        <v>43</v>
      </c>
      <c r="M97" s="13">
        <v>60</v>
      </c>
      <c r="N97" s="13">
        <v>3</v>
      </c>
      <c r="O97" s="13">
        <v>3</v>
      </c>
      <c r="P97" s="13" t="s">
        <v>186</v>
      </c>
      <c r="Q97" s="13">
        <v>3</v>
      </c>
      <c r="R97" s="13" t="s">
        <v>66</v>
      </c>
      <c r="S97" s="20">
        <v>13549</v>
      </c>
      <c r="T97" s="13">
        <v>24001</v>
      </c>
      <c r="U97" s="13">
        <v>9</v>
      </c>
      <c r="V97" s="13" t="s">
        <v>52</v>
      </c>
      <c r="W97" s="13" t="s">
        <v>59</v>
      </c>
      <c r="X97" s="13">
        <v>12</v>
      </c>
      <c r="Y97" s="13">
        <v>3</v>
      </c>
      <c r="Z97" s="13">
        <v>1</v>
      </c>
      <c r="AA97" s="13">
        <v>80</v>
      </c>
      <c r="AB97" s="13">
        <v>1</v>
      </c>
      <c r="AC97" s="13">
        <v>16</v>
      </c>
      <c r="AD97" s="13">
        <v>5</v>
      </c>
      <c r="AE97" s="13">
        <v>1</v>
      </c>
      <c r="AF97" s="14">
        <v>4</v>
      </c>
      <c r="AG97" s="13">
        <v>3</v>
      </c>
      <c r="AH97" s="13">
        <v>0</v>
      </c>
      <c r="AI97" s="13">
        <v>3</v>
      </c>
      <c r="AJ97" s="13" t="str">
        <f t="shared" si="1"/>
        <v>50+</v>
      </c>
      <c r="AK97" s="13" t="str">
        <f>IF(tblCleanData[[#This Row],[MonthlyIncome]]&lt;5000, "Low Income", IF(tblCleanData[[#This Row],[MonthlyIncome]]&lt;15000, "Medium Income", "High Income"))</f>
        <v>Medium Income</v>
      </c>
      <c r="AL97" s="13">
        <f>IF(tblCleanData[[#This Row],[Attrition]]="No", 0,1)</f>
        <v>0</v>
      </c>
      <c r="AM97" s="13">
        <f>IF(tblCleanData[[#This Row],[OverTime]] = "No", 0, 1)</f>
        <v>0</v>
      </c>
      <c r="AN97" s="13" t="str">
        <f>CHOOSE(tblCleanData[[#This Row],[Education]], "Below College","College","Bachelor","Master","Doctor")</f>
        <v>Master</v>
      </c>
      <c r="AO97" s="13" t="str">
        <f>VLOOKUP(tblCleanData[[#This Row],[EmployeeNumber]],tblHelpers[],15,TRUE)</f>
        <v>Medium Risk</v>
      </c>
      <c r="AP97" s="13">
        <f>VLOOKUP(tblCleanData[[#This Row],[EmployeeNumber]],tblHelpers[],14,0)</f>
        <v>48</v>
      </c>
    </row>
    <row r="98" spans="1:42" x14ac:dyDescent="0.25">
      <c r="A98" s="13">
        <v>24</v>
      </c>
      <c r="B98" s="13" t="s">
        <v>59</v>
      </c>
      <c r="C98" s="13" t="s">
        <v>37</v>
      </c>
      <c r="D98" s="13">
        <v>1353</v>
      </c>
      <c r="E98" s="13" t="s">
        <v>39</v>
      </c>
      <c r="F98" s="13">
        <v>3</v>
      </c>
      <c r="G98" s="13">
        <v>2</v>
      </c>
      <c r="H98" s="13" t="s">
        <v>74</v>
      </c>
      <c r="I98" s="13">
        <v>1</v>
      </c>
      <c r="J98" s="13">
        <v>128</v>
      </c>
      <c r="K98" s="13">
        <v>1</v>
      </c>
      <c r="L98" s="13" t="s">
        <v>43</v>
      </c>
      <c r="M98" s="13">
        <v>33</v>
      </c>
      <c r="N98" s="13">
        <v>3</v>
      </c>
      <c r="O98" s="13">
        <v>2</v>
      </c>
      <c r="P98" s="13" t="s">
        <v>46</v>
      </c>
      <c r="Q98" s="13">
        <v>3</v>
      </c>
      <c r="R98" s="13" t="s">
        <v>66</v>
      </c>
      <c r="S98" s="20">
        <v>4999</v>
      </c>
      <c r="T98" s="13">
        <v>17519</v>
      </c>
      <c r="U98" s="13">
        <v>0</v>
      </c>
      <c r="V98" s="13" t="s">
        <v>52</v>
      </c>
      <c r="W98" s="13" t="s">
        <v>59</v>
      </c>
      <c r="X98" s="13">
        <v>21</v>
      </c>
      <c r="Y98" s="13">
        <v>4</v>
      </c>
      <c r="Z98" s="13">
        <v>1</v>
      </c>
      <c r="AA98" s="13">
        <v>80</v>
      </c>
      <c r="AB98" s="13">
        <v>1</v>
      </c>
      <c r="AC98" s="13">
        <v>4</v>
      </c>
      <c r="AD98" s="13">
        <v>2</v>
      </c>
      <c r="AE98" s="13">
        <v>2</v>
      </c>
      <c r="AF98" s="14">
        <v>3</v>
      </c>
      <c r="AG98" s="13">
        <v>2</v>
      </c>
      <c r="AH98" s="13">
        <v>0</v>
      </c>
      <c r="AI98" s="13">
        <v>2</v>
      </c>
      <c r="AJ98" s="13" t="str">
        <f t="shared" si="1"/>
        <v>Under 30</v>
      </c>
      <c r="AK98" s="13" t="str">
        <f>IF(tblCleanData[[#This Row],[MonthlyIncome]]&lt;5000, "Low Income", IF(tblCleanData[[#This Row],[MonthlyIncome]]&lt;15000, "Medium Income", "High Income"))</f>
        <v>Low Income</v>
      </c>
      <c r="AL98" s="13">
        <f>IF(tblCleanData[[#This Row],[Attrition]]="No", 0,1)</f>
        <v>0</v>
      </c>
      <c r="AM98" s="13">
        <f>IF(tblCleanData[[#This Row],[OverTime]] = "No", 0, 1)</f>
        <v>0</v>
      </c>
      <c r="AN98" s="13" t="str">
        <f>CHOOSE(tblCleanData[[#This Row],[Education]], "Below College","College","Bachelor","Master","Doctor")</f>
        <v>College</v>
      </c>
      <c r="AO98" s="13" t="str">
        <f>VLOOKUP(tblCleanData[[#This Row],[EmployeeNumber]],tblHelpers[],15,TRUE)</f>
        <v>High Risk</v>
      </c>
      <c r="AP98" s="13">
        <f>VLOOKUP(tblCleanData[[#This Row],[EmployeeNumber]],tblHelpers[],14,0)</f>
        <v>63</v>
      </c>
    </row>
    <row r="99" spans="1:42" x14ac:dyDescent="0.25">
      <c r="A99" s="13">
        <v>28</v>
      </c>
      <c r="B99" s="13" t="s">
        <v>59</v>
      </c>
      <c r="C99" s="13" t="s">
        <v>161</v>
      </c>
      <c r="D99" s="13">
        <v>120</v>
      </c>
      <c r="E99" s="13" t="s">
        <v>39</v>
      </c>
      <c r="F99" s="13">
        <v>4</v>
      </c>
      <c r="G99" s="13">
        <v>3</v>
      </c>
      <c r="H99" s="13" t="s">
        <v>87</v>
      </c>
      <c r="I99" s="13">
        <v>1</v>
      </c>
      <c r="J99" s="13">
        <v>129</v>
      </c>
      <c r="K99" s="13">
        <v>2</v>
      </c>
      <c r="L99" s="13" t="s">
        <v>63</v>
      </c>
      <c r="M99" s="13">
        <v>43</v>
      </c>
      <c r="N99" s="13">
        <v>3</v>
      </c>
      <c r="O99" s="13">
        <v>2</v>
      </c>
      <c r="P99" s="13" t="s">
        <v>46</v>
      </c>
      <c r="Q99" s="13">
        <v>3</v>
      </c>
      <c r="R99" s="13" t="s">
        <v>66</v>
      </c>
      <c r="S99" s="20">
        <v>4221</v>
      </c>
      <c r="T99" s="13">
        <v>8863</v>
      </c>
      <c r="U99" s="13">
        <v>1</v>
      </c>
      <c r="V99" s="13" t="s">
        <v>52</v>
      </c>
      <c r="W99" s="13" t="s">
        <v>59</v>
      </c>
      <c r="X99" s="13">
        <v>15</v>
      </c>
      <c r="Y99" s="13">
        <v>3</v>
      </c>
      <c r="Z99" s="13">
        <v>2</v>
      </c>
      <c r="AA99" s="13">
        <v>80</v>
      </c>
      <c r="AB99" s="13">
        <v>0</v>
      </c>
      <c r="AC99" s="13">
        <v>5</v>
      </c>
      <c r="AD99" s="13">
        <v>3</v>
      </c>
      <c r="AE99" s="13">
        <v>4</v>
      </c>
      <c r="AF99" s="14">
        <v>5</v>
      </c>
      <c r="AG99" s="13">
        <v>4</v>
      </c>
      <c r="AH99" s="13">
        <v>0</v>
      </c>
      <c r="AI99" s="13">
        <v>4</v>
      </c>
      <c r="AJ99" s="13" t="str">
        <f t="shared" si="1"/>
        <v>Under 30</v>
      </c>
      <c r="AK99" s="13" t="str">
        <f>IF(tblCleanData[[#This Row],[MonthlyIncome]]&lt;5000, "Low Income", IF(tblCleanData[[#This Row],[MonthlyIncome]]&lt;15000, "Medium Income", "High Income"))</f>
        <v>Low Income</v>
      </c>
      <c r="AL99" s="13">
        <f>IF(tblCleanData[[#This Row],[Attrition]]="No", 0,1)</f>
        <v>0</v>
      </c>
      <c r="AM99" s="13">
        <f>IF(tblCleanData[[#This Row],[OverTime]] = "No", 0, 1)</f>
        <v>0</v>
      </c>
      <c r="AN99" s="13" t="str">
        <f>CHOOSE(tblCleanData[[#This Row],[Education]], "Below College","College","Bachelor","Master","Doctor")</f>
        <v>Bachelor</v>
      </c>
      <c r="AO99" s="13" t="str">
        <f>VLOOKUP(tblCleanData[[#This Row],[EmployeeNumber]],tblHelpers[],15,TRUE)</f>
        <v>High Risk</v>
      </c>
      <c r="AP99" s="13">
        <f>VLOOKUP(tblCleanData[[#This Row],[EmployeeNumber]],tblHelpers[],14,0)</f>
        <v>63</v>
      </c>
    </row>
    <row r="100" spans="1:42" x14ac:dyDescent="0.25">
      <c r="A100" s="13">
        <v>58</v>
      </c>
      <c r="B100" s="13" t="s">
        <v>59</v>
      </c>
      <c r="C100" s="13" t="s">
        <v>37</v>
      </c>
      <c r="D100" s="13">
        <v>682</v>
      </c>
      <c r="E100" s="13" t="s">
        <v>39</v>
      </c>
      <c r="F100" s="13">
        <v>10</v>
      </c>
      <c r="G100" s="13">
        <v>4</v>
      </c>
      <c r="H100" s="13" t="s">
        <v>87</v>
      </c>
      <c r="I100" s="13">
        <v>1</v>
      </c>
      <c r="J100" s="13">
        <v>131</v>
      </c>
      <c r="K100" s="13">
        <v>4</v>
      </c>
      <c r="L100" s="13" t="s">
        <v>63</v>
      </c>
      <c r="M100" s="13">
        <v>37</v>
      </c>
      <c r="N100" s="13">
        <v>3</v>
      </c>
      <c r="O100" s="13">
        <v>4</v>
      </c>
      <c r="P100" s="13" t="s">
        <v>46</v>
      </c>
      <c r="Q100" s="13">
        <v>3</v>
      </c>
      <c r="R100" s="13" t="s">
        <v>48</v>
      </c>
      <c r="S100" s="20">
        <v>13872</v>
      </c>
      <c r="T100" s="13">
        <v>24409</v>
      </c>
      <c r="U100" s="13">
        <v>0</v>
      </c>
      <c r="V100" s="13" t="s">
        <v>52</v>
      </c>
      <c r="W100" s="13" t="s">
        <v>59</v>
      </c>
      <c r="X100" s="13">
        <v>13</v>
      </c>
      <c r="Y100" s="13">
        <v>3</v>
      </c>
      <c r="Z100" s="13">
        <v>3</v>
      </c>
      <c r="AA100" s="13">
        <v>80</v>
      </c>
      <c r="AB100" s="13">
        <v>0</v>
      </c>
      <c r="AC100" s="13">
        <v>38</v>
      </c>
      <c r="AD100" s="13">
        <v>1</v>
      </c>
      <c r="AE100" s="13">
        <v>2</v>
      </c>
      <c r="AF100" s="14">
        <v>37</v>
      </c>
      <c r="AG100" s="13">
        <v>10</v>
      </c>
      <c r="AH100" s="13">
        <v>1</v>
      </c>
      <c r="AI100" s="13">
        <v>8</v>
      </c>
      <c r="AJ100" s="13" t="str">
        <f t="shared" si="1"/>
        <v>50+</v>
      </c>
      <c r="AK100" s="13" t="str">
        <f>IF(tblCleanData[[#This Row],[MonthlyIncome]]&lt;5000, "Low Income", IF(tblCleanData[[#This Row],[MonthlyIncome]]&lt;15000, "Medium Income", "High Income"))</f>
        <v>Medium Income</v>
      </c>
      <c r="AL100" s="13">
        <f>IF(tblCleanData[[#This Row],[Attrition]]="No", 0,1)</f>
        <v>0</v>
      </c>
      <c r="AM100" s="13">
        <f>IF(tblCleanData[[#This Row],[OverTime]] = "No", 0, 1)</f>
        <v>0</v>
      </c>
      <c r="AN100" s="13" t="str">
        <f>CHOOSE(tblCleanData[[#This Row],[Education]], "Below College","College","Bachelor","Master","Doctor")</f>
        <v>Master</v>
      </c>
      <c r="AO100" s="13" t="str">
        <f>VLOOKUP(tblCleanData[[#This Row],[EmployeeNumber]],tblHelpers[],15,TRUE)</f>
        <v>Medium Risk</v>
      </c>
      <c r="AP100" s="13">
        <f>VLOOKUP(tblCleanData[[#This Row],[EmployeeNumber]],tblHelpers[],14,0)</f>
        <v>36</v>
      </c>
    </row>
    <row r="101" spans="1:42" x14ac:dyDescent="0.25">
      <c r="A101" s="13">
        <v>44</v>
      </c>
      <c r="B101" s="13" t="s">
        <v>59</v>
      </c>
      <c r="C101" s="13" t="s">
        <v>161</v>
      </c>
      <c r="D101" s="13">
        <v>489</v>
      </c>
      <c r="E101" s="13" t="s">
        <v>62</v>
      </c>
      <c r="F101" s="13">
        <v>23</v>
      </c>
      <c r="G101" s="13">
        <v>3</v>
      </c>
      <c r="H101" s="13" t="s">
        <v>87</v>
      </c>
      <c r="I101" s="13">
        <v>1</v>
      </c>
      <c r="J101" s="13">
        <v>132</v>
      </c>
      <c r="K101" s="13">
        <v>2</v>
      </c>
      <c r="L101" s="13" t="s">
        <v>63</v>
      </c>
      <c r="M101" s="13">
        <v>67</v>
      </c>
      <c r="N101" s="13">
        <v>3</v>
      </c>
      <c r="O101" s="13">
        <v>2</v>
      </c>
      <c r="P101" s="13" t="s">
        <v>76</v>
      </c>
      <c r="Q101" s="13">
        <v>2</v>
      </c>
      <c r="R101" s="13" t="s">
        <v>66</v>
      </c>
      <c r="S101" s="20">
        <v>2042</v>
      </c>
      <c r="T101" s="13">
        <v>25043</v>
      </c>
      <c r="U101" s="13">
        <v>4</v>
      </c>
      <c r="V101" s="13" t="s">
        <v>52</v>
      </c>
      <c r="W101" s="13" t="s">
        <v>59</v>
      </c>
      <c r="X101" s="13">
        <v>12</v>
      </c>
      <c r="Y101" s="13">
        <v>3</v>
      </c>
      <c r="Z101" s="13">
        <v>3</v>
      </c>
      <c r="AA101" s="13">
        <v>80</v>
      </c>
      <c r="AB101" s="13">
        <v>1</v>
      </c>
      <c r="AC101" s="13">
        <v>17</v>
      </c>
      <c r="AD101" s="13">
        <v>3</v>
      </c>
      <c r="AE101" s="13">
        <v>4</v>
      </c>
      <c r="AF101" s="14">
        <v>3</v>
      </c>
      <c r="AG101" s="13">
        <v>2</v>
      </c>
      <c r="AH101" s="13">
        <v>1</v>
      </c>
      <c r="AI101" s="13">
        <v>2</v>
      </c>
      <c r="AJ101" s="13" t="str">
        <f t="shared" si="1"/>
        <v>40-49</v>
      </c>
      <c r="AK101" s="13" t="str">
        <f>IF(tblCleanData[[#This Row],[MonthlyIncome]]&lt;5000, "Low Income", IF(tblCleanData[[#This Row],[MonthlyIncome]]&lt;15000, "Medium Income", "High Income"))</f>
        <v>Low Income</v>
      </c>
      <c r="AL101" s="13">
        <f>IF(tblCleanData[[#This Row],[Attrition]]="No", 0,1)</f>
        <v>0</v>
      </c>
      <c r="AM101" s="13">
        <f>IF(tblCleanData[[#This Row],[OverTime]] = "No", 0, 1)</f>
        <v>0</v>
      </c>
      <c r="AN101" s="13" t="str">
        <f>CHOOSE(tblCleanData[[#This Row],[Education]], "Below College","College","Bachelor","Master","Doctor")</f>
        <v>Bachelor</v>
      </c>
      <c r="AO101" s="13" t="str">
        <f>VLOOKUP(tblCleanData[[#This Row],[EmployeeNumber]],tblHelpers[],15,TRUE)</f>
        <v>Medium Risk</v>
      </c>
      <c r="AP101" s="13">
        <f>VLOOKUP(tblCleanData[[#This Row],[EmployeeNumber]],tblHelpers[],14,0)</f>
        <v>49</v>
      </c>
    </row>
    <row r="102" spans="1:42" x14ac:dyDescent="0.25">
      <c r="A102" s="13">
        <v>37</v>
      </c>
      <c r="B102" s="13" t="s">
        <v>36</v>
      </c>
      <c r="C102" s="13" t="s">
        <v>37</v>
      </c>
      <c r="D102" s="13">
        <v>807</v>
      </c>
      <c r="E102" s="13" t="s">
        <v>397</v>
      </c>
      <c r="F102" s="13">
        <v>6</v>
      </c>
      <c r="G102" s="13">
        <v>4</v>
      </c>
      <c r="H102" s="13" t="s">
        <v>397</v>
      </c>
      <c r="I102" s="13">
        <v>1</v>
      </c>
      <c r="J102" s="13">
        <v>133</v>
      </c>
      <c r="K102" s="13">
        <v>3</v>
      </c>
      <c r="L102" s="13" t="s">
        <v>63</v>
      </c>
      <c r="M102" s="13">
        <v>63</v>
      </c>
      <c r="N102" s="13">
        <v>3</v>
      </c>
      <c r="O102" s="13">
        <v>1</v>
      </c>
      <c r="P102" s="13" t="s">
        <v>397</v>
      </c>
      <c r="Q102" s="13">
        <v>1</v>
      </c>
      <c r="R102" s="13" t="s">
        <v>109</v>
      </c>
      <c r="S102" s="20">
        <v>2073</v>
      </c>
      <c r="T102" s="13">
        <v>23648</v>
      </c>
      <c r="U102" s="13">
        <v>4</v>
      </c>
      <c r="V102" s="13" t="s">
        <v>52</v>
      </c>
      <c r="W102" s="13" t="s">
        <v>36</v>
      </c>
      <c r="X102" s="13">
        <v>22</v>
      </c>
      <c r="Y102" s="13">
        <v>4</v>
      </c>
      <c r="Z102" s="13">
        <v>4</v>
      </c>
      <c r="AA102" s="13">
        <v>80</v>
      </c>
      <c r="AB102" s="13">
        <v>0</v>
      </c>
      <c r="AC102" s="13">
        <v>7</v>
      </c>
      <c r="AD102" s="13">
        <v>3</v>
      </c>
      <c r="AE102" s="13">
        <v>3</v>
      </c>
      <c r="AF102" s="14">
        <v>3</v>
      </c>
      <c r="AG102" s="13">
        <v>2</v>
      </c>
      <c r="AH102" s="13">
        <v>0</v>
      </c>
      <c r="AI102" s="13">
        <v>2</v>
      </c>
      <c r="AJ102" s="13" t="str">
        <f t="shared" si="1"/>
        <v>30-39</v>
      </c>
      <c r="AK102" s="13" t="str">
        <f>IF(tblCleanData[[#This Row],[MonthlyIncome]]&lt;5000, "Low Income", IF(tblCleanData[[#This Row],[MonthlyIncome]]&lt;15000, "Medium Income", "High Income"))</f>
        <v>Low Income</v>
      </c>
      <c r="AL102" s="13">
        <f>IF(tblCleanData[[#This Row],[Attrition]]="No", 0,1)</f>
        <v>1</v>
      </c>
      <c r="AM102" s="13">
        <f>IF(tblCleanData[[#This Row],[OverTime]] = "No", 0, 1)</f>
        <v>1</v>
      </c>
      <c r="AN102" s="13" t="str">
        <f>CHOOSE(tblCleanData[[#This Row],[Education]], "Below College","College","Bachelor","Master","Doctor")</f>
        <v>Master</v>
      </c>
      <c r="AO102" s="13" t="str">
        <f>VLOOKUP(tblCleanData[[#This Row],[EmployeeNumber]],tblHelpers[],15,TRUE)</f>
        <v>High Risk</v>
      </c>
      <c r="AP102" s="13">
        <f>VLOOKUP(tblCleanData[[#This Row],[EmployeeNumber]],tblHelpers[],14,0)</f>
        <v>90</v>
      </c>
    </row>
    <row r="103" spans="1:42" x14ac:dyDescent="0.25">
      <c r="A103" s="13">
        <v>32</v>
      </c>
      <c r="B103" s="13" t="s">
        <v>59</v>
      </c>
      <c r="C103" s="13" t="s">
        <v>37</v>
      </c>
      <c r="D103" s="13">
        <v>827</v>
      </c>
      <c r="E103" s="13" t="s">
        <v>62</v>
      </c>
      <c r="F103" s="13">
        <v>1</v>
      </c>
      <c r="G103" s="13">
        <v>1</v>
      </c>
      <c r="H103" s="13" t="s">
        <v>42</v>
      </c>
      <c r="I103" s="13">
        <v>1</v>
      </c>
      <c r="J103" s="13">
        <v>134</v>
      </c>
      <c r="K103" s="13">
        <v>4</v>
      </c>
      <c r="L103" s="13" t="s">
        <v>63</v>
      </c>
      <c r="M103" s="13">
        <v>71</v>
      </c>
      <c r="N103" s="13">
        <v>3</v>
      </c>
      <c r="O103" s="13">
        <v>1</v>
      </c>
      <c r="P103" s="13" t="s">
        <v>65</v>
      </c>
      <c r="Q103" s="13">
        <v>1</v>
      </c>
      <c r="R103" s="13" t="s">
        <v>48</v>
      </c>
      <c r="S103" s="20">
        <v>2956</v>
      </c>
      <c r="T103" s="13">
        <v>15178</v>
      </c>
      <c r="U103" s="13">
        <v>1</v>
      </c>
      <c r="V103" s="13" t="s">
        <v>52</v>
      </c>
      <c r="W103" s="13" t="s">
        <v>59</v>
      </c>
      <c r="X103" s="13">
        <v>13</v>
      </c>
      <c r="Y103" s="13">
        <v>3</v>
      </c>
      <c r="Z103" s="13">
        <v>4</v>
      </c>
      <c r="AA103" s="13">
        <v>80</v>
      </c>
      <c r="AB103" s="13">
        <v>0</v>
      </c>
      <c r="AC103" s="13">
        <v>1</v>
      </c>
      <c r="AD103" s="13">
        <v>2</v>
      </c>
      <c r="AE103" s="13">
        <v>3</v>
      </c>
      <c r="AF103" s="14">
        <v>1</v>
      </c>
      <c r="AG103" s="13">
        <v>0</v>
      </c>
      <c r="AH103" s="13">
        <v>0</v>
      </c>
      <c r="AI103" s="13">
        <v>0</v>
      </c>
      <c r="AJ103" s="13" t="str">
        <f t="shared" si="1"/>
        <v>30-39</v>
      </c>
      <c r="AK103" s="13" t="str">
        <f>IF(tblCleanData[[#This Row],[MonthlyIncome]]&lt;5000, "Low Income", IF(tblCleanData[[#This Row],[MonthlyIncome]]&lt;15000, "Medium Income", "High Income"))</f>
        <v>Low Income</v>
      </c>
      <c r="AL103" s="13">
        <f>IF(tblCleanData[[#This Row],[Attrition]]="No", 0,1)</f>
        <v>0</v>
      </c>
      <c r="AM103" s="13">
        <f>IF(tblCleanData[[#This Row],[OverTime]] = "No", 0, 1)</f>
        <v>0</v>
      </c>
      <c r="AN103" s="13" t="str">
        <f>CHOOSE(tblCleanData[[#This Row],[Education]], "Below College","College","Bachelor","Master","Doctor")</f>
        <v>Below College</v>
      </c>
      <c r="AO103" s="13" t="str">
        <f>VLOOKUP(tblCleanData[[#This Row],[EmployeeNumber]],tblHelpers[],15,TRUE)</f>
        <v>High Risk</v>
      </c>
      <c r="AP103" s="13">
        <f>VLOOKUP(tblCleanData[[#This Row],[EmployeeNumber]],tblHelpers[],14,0)</f>
        <v>75</v>
      </c>
    </row>
    <row r="104" spans="1:42" x14ac:dyDescent="0.25">
      <c r="A104" s="13">
        <v>20</v>
      </c>
      <c r="B104" s="13" t="s">
        <v>36</v>
      </c>
      <c r="C104" s="13" t="s">
        <v>60</v>
      </c>
      <c r="D104" s="13">
        <v>871</v>
      </c>
      <c r="E104" s="13" t="s">
        <v>62</v>
      </c>
      <c r="F104" s="13">
        <v>6</v>
      </c>
      <c r="G104" s="13">
        <v>3</v>
      </c>
      <c r="H104" s="13" t="s">
        <v>42</v>
      </c>
      <c r="I104" s="13">
        <v>1</v>
      </c>
      <c r="J104" s="13">
        <v>137</v>
      </c>
      <c r="K104" s="13">
        <v>4</v>
      </c>
      <c r="L104" s="13" t="s">
        <v>43</v>
      </c>
      <c r="M104" s="13">
        <v>66</v>
      </c>
      <c r="N104" s="13">
        <v>2</v>
      </c>
      <c r="O104" s="13">
        <v>1</v>
      </c>
      <c r="P104" s="13" t="s">
        <v>76</v>
      </c>
      <c r="Q104" s="13">
        <v>4</v>
      </c>
      <c r="R104" s="13" t="s">
        <v>48</v>
      </c>
      <c r="S104" s="20">
        <v>2926</v>
      </c>
      <c r="T104" s="13">
        <v>19783</v>
      </c>
      <c r="U104" s="13">
        <v>1</v>
      </c>
      <c r="V104" s="13" t="s">
        <v>52</v>
      </c>
      <c r="W104" s="13" t="s">
        <v>36</v>
      </c>
      <c r="X104" s="13">
        <v>18</v>
      </c>
      <c r="Y104" s="13">
        <v>3</v>
      </c>
      <c r="Z104" s="13">
        <v>2</v>
      </c>
      <c r="AA104" s="13">
        <v>80</v>
      </c>
      <c r="AB104" s="13">
        <v>0</v>
      </c>
      <c r="AC104" s="13">
        <v>1</v>
      </c>
      <c r="AD104" s="13">
        <v>5</v>
      </c>
      <c r="AE104" s="13">
        <v>3</v>
      </c>
      <c r="AF104" s="14">
        <v>1</v>
      </c>
      <c r="AG104" s="13">
        <v>0</v>
      </c>
      <c r="AH104" s="13">
        <v>1</v>
      </c>
      <c r="AI104" s="13">
        <v>0</v>
      </c>
      <c r="AJ104" s="13" t="str">
        <f t="shared" si="1"/>
        <v>Under 30</v>
      </c>
      <c r="AK104" s="13" t="str">
        <f>IF(tblCleanData[[#This Row],[MonthlyIncome]]&lt;5000, "Low Income", IF(tblCleanData[[#This Row],[MonthlyIncome]]&lt;15000, "Medium Income", "High Income"))</f>
        <v>Low Income</v>
      </c>
      <c r="AL104" s="13">
        <f>IF(tblCleanData[[#This Row],[Attrition]]="No", 0,1)</f>
        <v>1</v>
      </c>
      <c r="AM104" s="13">
        <f>IF(tblCleanData[[#This Row],[OverTime]] = "No", 0, 1)</f>
        <v>1</v>
      </c>
      <c r="AN104" s="13" t="str">
        <f>CHOOSE(tblCleanData[[#This Row],[Education]], "Below College","College","Bachelor","Master","Doctor")</f>
        <v>Bachelor</v>
      </c>
      <c r="AO104" s="13" t="str">
        <f>VLOOKUP(tblCleanData[[#This Row],[EmployeeNumber]],tblHelpers[],15,TRUE)</f>
        <v>High Risk</v>
      </c>
      <c r="AP104" s="13">
        <f>VLOOKUP(tblCleanData[[#This Row],[EmployeeNumber]],tblHelpers[],14,0)</f>
        <v>91</v>
      </c>
    </row>
    <row r="105" spans="1:42" x14ac:dyDescent="0.25">
      <c r="A105" s="13">
        <v>34</v>
      </c>
      <c r="B105" s="13" t="s">
        <v>59</v>
      </c>
      <c r="C105" s="13" t="s">
        <v>37</v>
      </c>
      <c r="D105" s="13">
        <v>665</v>
      </c>
      <c r="E105" s="13" t="s">
        <v>62</v>
      </c>
      <c r="F105" s="13">
        <v>6</v>
      </c>
      <c r="G105" s="13">
        <v>4</v>
      </c>
      <c r="H105" s="13" t="s">
        <v>74</v>
      </c>
      <c r="I105" s="13">
        <v>1</v>
      </c>
      <c r="J105" s="13">
        <v>138</v>
      </c>
      <c r="K105" s="13">
        <v>1</v>
      </c>
      <c r="L105" s="13" t="s">
        <v>43</v>
      </c>
      <c r="M105" s="13">
        <v>41</v>
      </c>
      <c r="N105" s="13">
        <v>3</v>
      </c>
      <c r="O105" s="13">
        <v>2</v>
      </c>
      <c r="P105" s="13" t="s">
        <v>65</v>
      </c>
      <c r="Q105" s="13">
        <v>3</v>
      </c>
      <c r="R105" s="13" t="s">
        <v>48</v>
      </c>
      <c r="S105" s="20">
        <v>4809</v>
      </c>
      <c r="T105" s="13">
        <v>12482</v>
      </c>
      <c r="U105" s="13">
        <v>1</v>
      </c>
      <c r="V105" s="13" t="s">
        <v>52</v>
      </c>
      <c r="W105" s="13" t="s">
        <v>59</v>
      </c>
      <c r="X105" s="13">
        <v>14</v>
      </c>
      <c r="Y105" s="13">
        <v>3</v>
      </c>
      <c r="Z105" s="13">
        <v>3</v>
      </c>
      <c r="AA105" s="13">
        <v>80</v>
      </c>
      <c r="AB105" s="13">
        <v>0</v>
      </c>
      <c r="AC105" s="13">
        <v>16</v>
      </c>
      <c r="AD105" s="13">
        <v>3</v>
      </c>
      <c r="AE105" s="13">
        <v>3</v>
      </c>
      <c r="AF105" s="14">
        <v>16</v>
      </c>
      <c r="AG105" s="13">
        <v>13</v>
      </c>
      <c r="AH105" s="13">
        <v>2</v>
      </c>
      <c r="AI105" s="13">
        <v>10</v>
      </c>
      <c r="AJ105" s="13" t="str">
        <f t="shared" si="1"/>
        <v>30-39</v>
      </c>
      <c r="AK105" s="13" t="str">
        <f>IF(tblCleanData[[#This Row],[MonthlyIncome]]&lt;5000, "Low Income", IF(tblCleanData[[#This Row],[MonthlyIncome]]&lt;15000, "Medium Income", "High Income"))</f>
        <v>Low Income</v>
      </c>
      <c r="AL105" s="13">
        <f>IF(tblCleanData[[#This Row],[Attrition]]="No", 0,1)</f>
        <v>0</v>
      </c>
      <c r="AM105" s="13">
        <f>IF(tblCleanData[[#This Row],[OverTime]] = "No", 0, 1)</f>
        <v>0</v>
      </c>
      <c r="AN105" s="13" t="str">
        <f>CHOOSE(tblCleanData[[#This Row],[Education]], "Below College","College","Bachelor","Master","Doctor")</f>
        <v>Master</v>
      </c>
      <c r="AO105" s="13" t="str">
        <f>VLOOKUP(tblCleanData[[#This Row],[EmployeeNumber]],tblHelpers[],15,TRUE)</f>
        <v>Medium Risk</v>
      </c>
      <c r="AP105" s="13">
        <f>VLOOKUP(tblCleanData[[#This Row],[EmployeeNumber]],tblHelpers[],14,0)</f>
        <v>41</v>
      </c>
    </row>
    <row r="106" spans="1:42" x14ac:dyDescent="0.25">
      <c r="A106" s="13">
        <v>37</v>
      </c>
      <c r="B106" s="13" t="s">
        <v>59</v>
      </c>
      <c r="C106" s="13" t="s">
        <v>161</v>
      </c>
      <c r="D106" s="13">
        <v>1040</v>
      </c>
      <c r="E106" s="13" t="s">
        <v>62</v>
      </c>
      <c r="F106" s="13">
        <v>2</v>
      </c>
      <c r="G106" s="13">
        <v>2</v>
      </c>
      <c r="H106" s="13" t="s">
        <v>42</v>
      </c>
      <c r="I106" s="13">
        <v>1</v>
      </c>
      <c r="J106" s="13">
        <v>139</v>
      </c>
      <c r="K106" s="13">
        <v>3</v>
      </c>
      <c r="L106" s="13" t="s">
        <v>63</v>
      </c>
      <c r="M106" s="13">
        <v>100</v>
      </c>
      <c r="N106" s="13">
        <v>2</v>
      </c>
      <c r="O106" s="13">
        <v>2</v>
      </c>
      <c r="P106" s="13" t="s">
        <v>122</v>
      </c>
      <c r="Q106" s="13">
        <v>4</v>
      </c>
      <c r="R106" s="13" t="s">
        <v>109</v>
      </c>
      <c r="S106" s="20">
        <v>5163</v>
      </c>
      <c r="T106" s="13">
        <v>15850</v>
      </c>
      <c r="U106" s="13">
        <v>5</v>
      </c>
      <c r="V106" s="13" t="s">
        <v>52</v>
      </c>
      <c r="W106" s="13" t="s">
        <v>59</v>
      </c>
      <c r="X106" s="13">
        <v>14</v>
      </c>
      <c r="Y106" s="13">
        <v>3</v>
      </c>
      <c r="Z106" s="13">
        <v>4</v>
      </c>
      <c r="AA106" s="13">
        <v>80</v>
      </c>
      <c r="AB106" s="13">
        <v>1</v>
      </c>
      <c r="AC106" s="13">
        <v>17</v>
      </c>
      <c r="AD106" s="13">
        <v>2</v>
      </c>
      <c r="AE106" s="13">
        <v>4</v>
      </c>
      <c r="AF106" s="14">
        <v>1</v>
      </c>
      <c r="AG106" s="13">
        <v>0</v>
      </c>
      <c r="AH106" s="13">
        <v>0</v>
      </c>
      <c r="AI106" s="13">
        <v>0</v>
      </c>
      <c r="AJ106" s="13" t="str">
        <f t="shared" si="1"/>
        <v>30-39</v>
      </c>
      <c r="AK106" s="13" t="str">
        <f>IF(tblCleanData[[#This Row],[MonthlyIncome]]&lt;5000, "Low Income", IF(tblCleanData[[#This Row],[MonthlyIncome]]&lt;15000, "Medium Income", "High Income"))</f>
        <v>Medium Income</v>
      </c>
      <c r="AL106" s="13">
        <f>IF(tblCleanData[[#This Row],[Attrition]]="No", 0,1)</f>
        <v>0</v>
      </c>
      <c r="AM106" s="13">
        <f>IF(tblCleanData[[#This Row],[OverTime]] = "No", 0, 1)</f>
        <v>0</v>
      </c>
      <c r="AN106" s="13" t="str">
        <f>CHOOSE(tblCleanData[[#This Row],[Education]], "Below College","College","Bachelor","Master","Doctor")</f>
        <v>College</v>
      </c>
      <c r="AO106" s="13" t="str">
        <f>VLOOKUP(tblCleanData[[#This Row],[EmployeeNumber]],tblHelpers[],15,TRUE)</f>
        <v>High Risk</v>
      </c>
      <c r="AP106" s="13">
        <f>VLOOKUP(tblCleanData[[#This Row],[EmployeeNumber]],tblHelpers[],14,0)</f>
        <v>56</v>
      </c>
    </row>
    <row r="107" spans="1:42" x14ac:dyDescent="0.25">
      <c r="A107" s="13">
        <v>59</v>
      </c>
      <c r="B107" s="13" t="s">
        <v>59</v>
      </c>
      <c r="C107" s="13" t="s">
        <v>161</v>
      </c>
      <c r="D107" s="13">
        <v>1420</v>
      </c>
      <c r="E107" s="13" t="s">
        <v>397</v>
      </c>
      <c r="F107" s="13">
        <v>2</v>
      </c>
      <c r="G107" s="13">
        <v>4</v>
      </c>
      <c r="H107" s="13" t="s">
        <v>397</v>
      </c>
      <c r="I107" s="13">
        <v>1</v>
      </c>
      <c r="J107" s="13">
        <v>140</v>
      </c>
      <c r="K107" s="13">
        <v>3</v>
      </c>
      <c r="L107" s="13" t="s">
        <v>43</v>
      </c>
      <c r="M107" s="13">
        <v>32</v>
      </c>
      <c r="N107" s="13">
        <v>2</v>
      </c>
      <c r="O107" s="13">
        <v>5</v>
      </c>
      <c r="P107" s="13" t="s">
        <v>169</v>
      </c>
      <c r="Q107" s="13">
        <v>4</v>
      </c>
      <c r="R107" s="13" t="s">
        <v>66</v>
      </c>
      <c r="S107" s="20">
        <v>18844</v>
      </c>
      <c r="T107" s="13">
        <v>21922</v>
      </c>
      <c r="U107" s="13">
        <v>9</v>
      </c>
      <c r="V107" s="13" t="s">
        <v>52</v>
      </c>
      <c r="W107" s="13" t="s">
        <v>59</v>
      </c>
      <c r="X107" s="13">
        <v>21</v>
      </c>
      <c r="Y107" s="13">
        <v>4</v>
      </c>
      <c r="Z107" s="13">
        <v>4</v>
      </c>
      <c r="AA107" s="13">
        <v>80</v>
      </c>
      <c r="AB107" s="13">
        <v>1</v>
      </c>
      <c r="AC107" s="13">
        <v>30</v>
      </c>
      <c r="AD107" s="13">
        <v>3</v>
      </c>
      <c r="AE107" s="13">
        <v>3</v>
      </c>
      <c r="AF107" s="14">
        <v>3</v>
      </c>
      <c r="AG107" s="13">
        <v>2</v>
      </c>
      <c r="AH107" s="13">
        <v>2</v>
      </c>
      <c r="AI107" s="13">
        <v>2</v>
      </c>
      <c r="AJ107" s="13" t="str">
        <f t="shared" si="1"/>
        <v>50+</v>
      </c>
      <c r="AK107" s="13" t="str">
        <f>IF(tblCleanData[[#This Row],[MonthlyIncome]]&lt;5000, "Low Income", IF(tblCleanData[[#This Row],[MonthlyIncome]]&lt;15000, "Medium Income", "High Income"))</f>
        <v>High Income</v>
      </c>
      <c r="AL107" s="13">
        <f>IF(tblCleanData[[#This Row],[Attrition]]="No", 0,1)</f>
        <v>0</v>
      </c>
      <c r="AM107" s="13">
        <f>IF(tblCleanData[[#This Row],[OverTime]] = "No", 0, 1)</f>
        <v>0</v>
      </c>
      <c r="AN107" s="13" t="str">
        <f>CHOOSE(tblCleanData[[#This Row],[Education]], "Below College","College","Bachelor","Master","Doctor")</f>
        <v>Master</v>
      </c>
      <c r="AO107" s="13" t="str">
        <f>VLOOKUP(tblCleanData[[#This Row],[EmployeeNumber]],tblHelpers[],15,TRUE)</f>
        <v>Medium Risk</v>
      </c>
      <c r="AP107" s="13">
        <f>VLOOKUP(tblCleanData[[#This Row],[EmployeeNumber]],tblHelpers[],14,0)</f>
        <v>41</v>
      </c>
    </row>
    <row r="108" spans="1:42" x14ac:dyDescent="0.25">
      <c r="A108" s="13">
        <v>50</v>
      </c>
      <c r="B108" s="13" t="s">
        <v>59</v>
      </c>
      <c r="C108" s="13" t="s">
        <v>60</v>
      </c>
      <c r="D108" s="13">
        <v>1115</v>
      </c>
      <c r="E108" s="13" t="s">
        <v>62</v>
      </c>
      <c r="F108" s="13">
        <v>1</v>
      </c>
      <c r="G108" s="13">
        <v>3</v>
      </c>
      <c r="H108" s="13" t="s">
        <v>42</v>
      </c>
      <c r="I108" s="13">
        <v>1</v>
      </c>
      <c r="J108" s="13">
        <v>141</v>
      </c>
      <c r="K108" s="13">
        <v>1</v>
      </c>
      <c r="L108" s="13" t="s">
        <v>43</v>
      </c>
      <c r="M108" s="13">
        <v>73</v>
      </c>
      <c r="N108" s="13">
        <v>3</v>
      </c>
      <c r="O108" s="13">
        <v>5</v>
      </c>
      <c r="P108" s="13" t="s">
        <v>186</v>
      </c>
      <c r="Q108" s="13">
        <v>2</v>
      </c>
      <c r="R108" s="13" t="s">
        <v>66</v>
      </c>
      <c r="S108" s="20">
        <v>18172</v>
      </c>
      <c r="T108" s="13">
        <v>9755</v>
      </c>
      <c r="U108" s="13">
        <v>3</v>
      </c>
      <c r="V108" s="13" t="s">
        <v>52</v>
      </c>
      <c r="W108" s="13" t="s">
        <v>36</v>
      </c>
      <c r="X108" s="13">
        <v>19</v>
      </c>
      <c r="Y108" s="13">
        <v>3</v>
      </c>
      <c r="Z108" s="13">
        <v>1</v>
      </c>
      <c r="AA108" s="13">
        <v>80</v>
      </c>
      <c r="AB108" s="13">
        <v>0</v>
      </c>
      <c r="AC108" s="13">
        <v>28</v>
      </c>
      <c r="AD108" s="13">
        <v>1</v>
      </c>
      <c r="AE108" s="13">
        <v>2</v>
      </c>
      <c r="AF108" s="14">
        <v>8</v>
      </c>
      <c r="AG108" s="13">
        <v>3</v>
      </c>
      <c r="AH108" s="13">
        <v>0</v>
      </c>
      <c r="AI108" s="13">
        <v>7</v>
      </c>
      <c r="AJ108" s="13" t="str">
        <f t="shared" si="1"/>
        <v>50+</v>
      </c>
      <c r="AK108" s="13" t="str">
        <f>IF(tblCleanData[[#This Row],[MonthlyIncome]]&lt;5000, "Low Income", IF(tblCleanData[[#This Row],[MonthlyIncome]]&lt;15000, "Medium Income", "High Income"))</f>
        <v>High Income</v>
      </c>
      <c r="AL108" s="13">
        <f>IF(tblCleanData[[#This Row],[Attrition]]="No", 0,1)</f>
        <v>0</v>
      </c>
      <c r="AM108" s="13">
        <f>IF(tblCleanData[[#This Row],[OverTime]] = "No", 0, 1)</f>
        <v>1</v>
      </c>
      <c r="AN108" s="13" t="str">
        <f>CHOOSE(tblCleanData[[#This Row],[Education]], "Below College","College","Bachelor","Master","Doctor")</f>
        <v>Bachelor</v>
      </c>
      <c r="AO108" s="13" t="str">
        <f>VLOOKUP(tblCleanData[[#This Row],[EmployeeNumber]],tblHelpers[],15,TRUE)</f>
        <v>High Risk</v>
      </c>
      <c r="AP108" s="13">
        <f>VLOOKUP(tblCleanData[[#This Row],[EmployeeNumber]],tblHelpers[],14,0)</f>
        <v>72</v>
      </c>
    </row>
    <row r="109" spans="1:42" x14ac:dyDescent="0.25">
      <c r="A109" s="13">
        <v>25</v>
      </c>
      <c r="B109" s="13" t="s">
        <v>36</v>
      </c>
      <c r="C109" s="13" t="s">
        <v>37</v>
      </c>
      <c r="D109" s="13">
        <v>240</v>
      </c>
      <c r="E109" s="13" t="s">
        <v>39</v>
      </c>
      <c r="F109" s="13">
        <v>5</v>
      </c>
      <c r="G109" s="13">
        <v>3</v>
      </c>
      <c r="H109" s="13" t="s">
        <v>206</v>
      </c>
      <c r="I109" s="13">
        <v>1</v>
      </c>
      <c r="J109" s="13">
        <v>142</v>
      </c>
      <c r="K109" s="13">
        <v>3</v>
      </c>
      <c r="L109" s="13" t="s">
        <v>63</v>
      </c>
      <c r="M109" s="13">
        <v>46</v>
      </c>
      <c r="N109" s="13">
        <v>2</v>
      </c>
      <c r="O109" s="13">
        <v>2</v>
      </c>
      <c r="P109" s="13" t="s">
        <v>46</v>
      </c>
      <c r="Q109" s="13">
        <v>3</v>
      </c>
      <c r="R109" s="13" t="s">
        <v>48</v>
      </c>
      <c r="S109" s="20">
        <v>5744</v>
      </c>
      <c r="T109" s="13">
        <v>26959</v>
      </c>
      <c r="U109" s="13">
        <v>1</v>
      </c>
      <c r="V109" s="13" t="s">
        <v>52</v>
      </c>
      <c r="W109" s="13" t="s">
        <v>36</v>
      </c>
      <c r="X109" s="13">
        <v>11</v>
      </c>
      <c r="Y109" s="13">
        <v>3</v>
      </c>
      <c r="Z109" s="13">
        <v>4</v>
      </c>
      <c r="AA109" s="13">
        <v>80</v>
      </c>
      <c r="AB109" s="13">
        <v>0</v>
      </c>
      <c r="AC109" s="13">
        <v>6</v>
      </c>
      <c r="AD109" s="13">
        <v>1</v>
      </c>
      <c r="AE109" s="13">
        <v>3</v>
      </c>
      <c r="AF109" s="14">
        <v>6</v>
      </c>
      <c r="AG109" s="13">
        <v>4</v>
      </c>
      <c r="AH109" s="13">
        <v>0</v>
      </c>
      <c r="AI109" s="13">
        <v>3</v>
      </c>
      <c r="AJ109" s="13" t="str">
        <f t="shared" si="1"/>
        <v>Under 30</v>
      </c>
      <c r="AK109" s="13" t="str">
        <f>IF(tblCleanData[[#This Row],[MonthlyIncome]]&lt;5000, "Low Income", IF(tblCleanData[[#This Row],[MonthlyIncome]]&lt;15000, "Medium Income", "High Income"))</f>
        <v>Medium Income</v>
      </c>
      <c r="AL109" s="13">
        <f>IF(tblCleanData[[#This Row],[Attrition]]="No", 0,1)</f>
        <v>1</v>
      </c>
      <c r="AM109" s="13">
        <f>IF(tblCleanData[[#This Row],[OverTime]] = "No", 0, 1)</f>
        <v>1</v>
      </c>
      <c r="AN109" s="13" t="str">
        <f>CHOOSE(tblCleanData[[#This Row],[Education]], "Below College","College","Bachelor","Master","Doctor")</f>
        <v>Bachelor</v>
      </c>
      <c r="AO109" s="13" t="str">
        <f>VLOOKUP(tblCleanData[[#This Row],[EmployeeNumber]],tblHelpers[],15,TRUE)</f>
        <v>High Risk</v>
      </c>
      <c r="AP109" s="13">
        <f>VLOOKUP(tblCleanData[[#This Row],[EmployeeNumber]],tblHelpers[],14,0)</f>
        <v>81</v>
      </c>
    </row>
    <row r="110" spans="1:42" x14ac:dyDescent="0.25">
      <c r="A110" s="13">
        <v>25</v>
      </c>
      <c r="B110" s="13" t="s">
        <v>59</v>
      </c>
      <c r="C110" s="13" t="s">
        <v>37</v>
      </c>
      <c r="D110" s="13">
        <v>1280</v>
      </c>
      <c r="E110" s="13" t="s">
        <v>62</v>
      </c>
      <c r="F110" s="13">
        <v>7</v>
      </c>
      <c r="G110" s="13">
        <v>1</v>
      </c>
      <c r="H110" s="13" t="s">
        <v>87</v>
      </c>
      <c r="I110" s="13">
        <v>1</v>
      </c>
      <c r="J110" s="13">
        <v>143</v>
      </c>
      <c r="K110" s="13">
        <v>4</v>
      </c>
      <c r="L110" s="13" t="s">
        <v>63</v>
      </c>
      <c r="M110" s="13">
        <v>64</v>
      </c>
      <c r="N110" s="13">
        <v>2</v>
      </c>
      <c r="O110" s="13">
        <v>1</v>
      </c>
      <c r="P110" s="13" t="s">
        <v>65</v>
      </c>
      <c r="Q110" s="13">
        <v>4</v>
      </c>
      <c r="R110" s="13" t="s">
        <v>66</v>
      </c>
      <c r="S110" s="20">
        <v>2889</v>
      </c>
      <c r="T110" s="13">
        <v>26897</v>
      </c>
      <c r="U110" s="13">
        <v>1</v>
      </c>
      <c r="V110" s="13" t="s">
        <v>52</v>
      </c>
      <c r="W110" s="13" t="s">
        <v>59</v>
      </c>
      <c r="X110" s="13">
        <v>11</v>
      </c>
      <c r="Y110" s="13">
        <v>3</v>
      </c>
      <c r="Z110" s="13">
        <v>3</v>
      </c>
      <c r="AA110" s="13">
        <v>80</v>
      </c>
      <c r="AB110" s="13">
        <v>2</v>
      </c>
      <c r="AC110" s="13">
        <v>2</v>
      </c>
      <c r="AD110" s="13">
        <v>2</v>
      </c>
      <c r="AE110" s="13">
        <v>3</v>
      </c>
      <c r="AF110" s="14">
        <v>2</v>
      </c>
      <c r="AG110" s="13">
        <v>2</v>
      </c>
      <c r="AH110" s="13">
        <v>2</v>
      </c>
      <c r="AI110" s="13">
        <v>1</v>
      </c>
      <c r="AJ110" s="13" t="str">
        <f t="shared" si="1"/>
        <v>Under 30</v>
      </c>
      <c r="AK110" s="13" t="str">
        <f>IF(tblCleanData[[#This Row],[MonthlyIncome]]&lt;5000, "Low Income", IF(tblCleanData[[#This Row],[MonthlyIncome]]&lt;15000, "Medium Income", "High Income"))</f>
        <v>Low Income</v>
      </c>
      <c r="AL110" s="13">
        <f>IF(tblCleanData[[#This Row],[Attrition]]="No", 0,1)</f>
        <v>0</v>
      </c>
      <c r="AM110" s="13">
        <f>IF(tblCleanData[[#This Row],[OverTime]] = "No", 0, 1)</f>
        <v>0</v>
      </c>
      <c r="AN110" s="13" t="str">
        <f>CHOOSE(tblCleanData[[#This Row],[Education]], "Below College","College","Bachelor","Master","Doctor")</f>
        <v>Below College</v>
      </c>
      <c r="AO110" s="13" t="str">
        <f>VLOOKUP(tblCleanData[[#This Row],[EmployeeNumber]],tblHelpers[],15,TRUE)</f>
        <v>High Risk</v>
      </c>
      <c r="AP110" s="13">
        <f>VLOOKUP(tblCleanData[[#This Row],[EmployeeNumber]],tblHelpers[],14,0)</f>
        <v>66</v>
      </c>
    </row>
    <row r="111" spans="1:42" x14ac:dyDescent="0.25">
      <c r="A111" s="13">
        <v>22</v>
      </c>
      <c r="B111" s="13" t="s">
        <v>59</v>
      </c>
      <c r="C111" s="13" t="s">
        <v>37</v>
      </c>
      <c r="D111" s="13">
        <v>534</v>
      </c>
      <c r="E111" s="13" t="s">
        <v>62</v>
      </c>
      <c r="F111" s="13">
        <v>15</v>
      </c>
      <c r="G111" s="13">
        <v>3</v>
      </c>
      <c r="H111" s="13" t="s">
        <v>87</v>
      </c>
      <c r="I111" s="13">
        <v>1</v>
      </c>
      <c r="J111" s="13">
        <v>144</v>
      </c>
      <c r="K111" s="13">
        <v>2</v>
      </c>
      <c r="L111" s="13" t="s">
        <v>43</v>
      </c>
      <c r="M111" s="13">
        <v>59</v>
      </c>
      <c r="N111" s="13">
        <v>3</v>
      </c>
      <c r="O111" s="13">
        <v>1</v>
      </c>
      <c r="P111" s="13" t="s">
        <v>76</v>
      </c>
      <c r="Q111" s="13">
        <v>4</v>
      </c>
      <c r="R111" s="13" t="s">
        <v>48</v>
      </c>
      <c r="S111" s="20">
        <v>2871</v>
      </c>
      <c r="T111" s="13">
        <v>23785</v>
      </c>
      <c r="U111" s="13">
        <v>1</v>
      </c>
      <c r="V111" s="13" t="s">
        <v>52</v>
      </c>
      <c r="W111" s="13" t="s">
        <v>59</v>
      </c>
      <c r="X111" s="13">
        <v>15</v>
      </c>
      <c r="Y111" s="13">
        <v>3</v>
      </c>
      <c r="Z111" s="13">
        <v>3</v>
      </c>
      <c r="AA111" s="13">
        <v>80</v>
      </c>
      <c r="AB111" s="13">
        <v>0</v>
      </c>
      <c r="AC111" s="13">
        <v>1</v>
      </c>
      <c r="AD111" s="13">
        <v>5</v>
      </c>
      <c r="AE111" s="13">
        <v>3</v>
      </c>
      <c r="AF111" s="14">
        <v>0</v>
      </c>
      <c r="AG111" s="13">
        <v>0</v>
      </c>
      <c r="AH111" s="13">
        <v>0</v>
      </c>
      <c r="AI111" s="13">
        <v>0</v>
      </c>
      <c r="AJ111" s="13" t="str">
        <f t="shared" si="1"/>
        <v>Under 30</v>
      </c>
      <c r="AK111" s="13" t="str">
        <f>IF(tblCleanData[[#This Row],[MonthlyIncome]]&lt;5000, "Low Income", IF(tblCleanData[[#This Row],[MonthlyIncome]]&lt;15000, "Medium Income", "High Income"))</f>
        <v>Low Income</v>
      </c>
      <c r="AL111" s="13">
        <f>IF(tblCleanData[[#This Row],[Attrition]]="No", 0,1)</f>
        <v>0</v>
      </c>
      <c r="AM111" s="13">
        <f>IF(tblCleanData[[#This Row],[OverTime]] = "No", 0, 1)</f>
        <v>0</v>
      </c>
      <c r="AN111" s="13" t="str">
        <f>CHOOSE(tblCleanData[[#This Row],[Education]], "Below College","College","Bachelor","Master","Doctor")</f>
        <v>Bachelor</v>
      </c>
      <c r="AO111" s="13" t="str">
        <f>VLOOKUP(tblCleanData[[#This Row],[EmployeeNumber]],tblHelpers[],15,TRUE)</f>
        <v>High Risk</v>
      </c>
      <c r="AP111" s="13">
        <f>VLOOKUP(tblCleanData[[#This Row],[EmployeeNumber]],tblHelpers[],14,0)</f>
        <v>66</v>
      </c>
    </row>
    <row r="112" spans="1:42" x14ac:dyDescent="0.25">
      <c r="A112" s="13">
        <v>51</v>
      </c>
      <c r="B112" s="13" t="s">
        <v>59</v>
      </c>
      <c r="C112" s="13" t="s">
        <v>60</v>
      </c>
      <c r="D112" s="13">
        <v>1456</v>
      </c>
      <c r="E112" s="13" t="s">
        <v>62</v>
      </c>
      <c r="F112" s="13">
        <v>1</v>
      </c>
      <c r="G112" s="13">
        <v>4</v>
      </c>
      <c r="H112" s="13" t="s">
        <v>87</v>
      </c>
      <c r="I112" s="13">
        <v>1</v>
      </c>
      <c r="J112" s="13">
        <v>145</v>
      </c>
      <c r="K112" s="13">
        <v>1</v>
      </c>
      <c r="L112" s="13" t="s">
        <v>43</v>
      </c>
      <c r="M112" s="13">
        <v>30</v>
      </c>
      <c r="N112" s="13">
        <v>2</v>
      </c>
      <c r="O112" s="13">
        <v>3</v>
      </c>
      <c r="P112" s="13" t="s">
        <v>122</v>
      </c>
      <c r="Q112" s="13">
        <v>1</v>
      </c>
      <c r="R112" s="13" t="s">
        <v>48</v>
      </c>
      <c r="S112" s="20">
        <v>7484</v>
      </c>
      <c r="T112" s="13">
        <v>25796</v>
      </c>
      <c r="U112" s="13">
        <v>3</v>
      </c>
      <c r="V112" s="13" t="s">
        <v>52</v>
      </c>
      <c r="W112" s="13" t="s">
        <v>59</v>
      </c>
      <c r="X112" s="13">
        <v>20</v>
      </c>
      <c r="Y112" s="13">
        <v>4</v>
      </c>
      <c r="Z112" s="13">
        <v>3</v>
      </c>
      <c r="AA112" s="13">
        <v>80</v>
      </c>
      <c r="AB112" s="13">
        <v>0</v>
      </c>
      <c r="AC112" s="13">
        <v>23</v>
      </c>
      <c r="AD112" s="13">
        <v>1</v>
      </c>
      <c r="AE112" s="13">
        <v>2</v>
      </c>
      <c r="AF112" s="14">
        <v>13</v>
      </c>
      <c r="AG112" s="13">
        <v>12</v>
      </c>
      <c r="AH112" s="13">
        <v>12</v>
      </c>
      <c r="AI112" s="13">
        <v>8</v>
      </c>
      <c r="AJ112" s="13" t="str">
        <f t="shared" si="1"/>
        <v>50+</v>
      </c>
      <c r="AK112" s="13" t="str">
        <f>IF(tblCleanData[[#This Row],[MonthlyIncome]]&lt;5000, "Low Income", IF(tblCleanData[[#This Row],[MonthlyIncome]]&lt;15000, "Medium Income", "High Income"))</f>
        <v>Medium Income</v>
      </c>
      <c r="AL112" s="13">
        <f>IF(tblCleanData[[#This Row],[Attrition]]="No", 0,1)</f>
        <v>0</v>
      </c>
      <c r="AM112" s="13">
        <f>IF(tblCleanData[[#This Row],[OverTime]] = "No", 0, 1)</f>
        <v>0</v>
      </c>
      <c r="AN112" s="13" t="str">
        <f>CHOOSE(tblCleanData[[#This Row],[Education]], "Below College","College","Bachelor","Master","Doctor")</f>
        <v>Master</v>
      </c>
      <c r="AO112" s="13" t="str">
        <f>VLOOKUP(tblCleanData[[#This Row],[EmployeeNumber]],tblHelpers[],15,TRUE)</f>
        <v>Medium Risk</v>
      </c>
      <c r="AP112" s="13">
        <f>VLOOKUP(tblCleanData[[#This Row],[EmployeeNumber]],tblHelpers[],14,0)</f>
        <v>48</v>
      </c>
    </row>
    <row r="113" spans="1:42" x14ac:dyDescent="0.25">
      <c r="A113" s="13">
        <v>34</v>
      </c>
      <c r="B113" s="13" t="s">
        <v>36</v>
      </c>
      <c r="C113" s="13" t="s">
        <v>60</v>
      </c>
      <c r="D113" s="13">
        <v>658</v>
      </c>
      <c r="E113" s="13" t="s">
        <v>62</v>
      </c>
      <c r="F113" s="13">
        <v>7</v>
      </c>
      <c r="G113" s="13">
        <v>3</v>
      </c>
      <c r="H113" s="13" t="s">
        <v>42</v>
      </c>
      <c r="I113" s="13">
        <v>1</v>
      </c>
      <c r="J113" s="13">
        <v>147</v>
      </c>
      <c r="K113" s="13">
        <v>1</v>
      </c>
      <c r="L113" s="13" t="s">
        <v>63</v>
      </c>
      <c r="M113" s="13">
        <v>66</v>
      </c>
      <c r="N113" s="13">
        <v>1</v>
      </c>
      <c r="O113" s="13">
        <v>2</v>
      </c>
      <c r="P113" s="13" t="s">
        <v>76</v>
      </c>
      <c r="Q113" s="13">
        <v>3</v>
      </c>
      <c r="R113" s="13" t="s">
        <v>48</v>
      </c>
      <c r="S113" s="20">
        <v>6074</v>
      </c>
      <c r="T113" s="13">
        <v>22887</v>
      </c>
      <c r="U113" s="13">
        <v>1</v>
      </c>
      <c r="V113" s="13" t="s">
        <v>52</v>
      </c>
      <c r="W113" s="13" t="s">
        <v>36</v>
      </c>
      <c r="X113" s="13">
        <v>24</v>
      </c>
      <c r="Y113" s="13">
        <v>4</v>
      </c>
      <c r="Z113" s="13">
        <v>4</v>
      </c>
      <c r="AA113" s="13">
        <v>80</v>
      </c>
      <c r="AB113" s="13">
        <v>0</v>
      </c>
      <c r="AC113" s="13">
        <v>9</v>
      </c>
      <c r="AD113" s="13">
        <v>3</v>
      </c>
      <c r="AE113" s="13">
        <v>3</v>
      </c>
      <c r="AF113" s="14">
        <v>9</v>
      </c>
      <c r="AG113" s="13">
        <v>7</v>
      </c>
      <c r="AH113" s="13">
        <v>0</v>
      </c>
      <c r="AI113" s="13">
        <v>6</v>
      </c>
      <c r="AJ113" s="13" t="str">
        <f t="shared" si="1"/>
        <v>30-39</v>
      </c>
      <c r="AK113" s="13" t="str">
        <f>IF(tblCleanData[[#This Row],[MonthlyIncome]]&lt;5000, "Low Income", IF(tblCleanData[[#This Row],[MonthlyIncome]]&lt;15000, "Medium Income", "High Income"))</f>
        <v>Medium Income</v>
      </c>
      <c r="AL113" s="13">
        <f>IF(tblCleanData[[#This Row],[Attrition]]="No", 0,1)</f>
        <v>1</v>
      </c>
      <c r="AM113" s="13">
        <f>IF(tblCleanData[[#This Row],[OverTime]] = "No", 0, 1)</f>
        <v>1</v>
      </c>
      <c r="AN113" s="13" t="str">
        <f>CHOOSE(tblCleanData[[#This Row],[Education]], "Below College","College","Bachelor","Master","Doctor")</f>
        <v>Bachelor</v>
      </c>
      <c r="AO113" s="13" t="str">
        <f>VLOOKUP(tblCleanData[[#This Row],[EmployeeNumber]],tblHelpers[],15,TRUE)</f>
        <v>High Risk</v>
      </c>
      <c r="AP113" s="13">
        <f>VLOOKUP(tblCleanData[[#This Row],[EmployeeNumber]],tblHelpers[],14,0)</f>
        <v>71</v>
      </c>
    </row>
    <row r="114" spans="1:42" x14ac:dyDescent="0.25">
      <c r="A114" s="13">
        <v>54</v>
      </c>
      <c r="B114" s="13" t="s">
        <v>59</v>
      </c>
      <c r="C114" s="13" t="s">
        <v>161</v>
      </c>
      <c r="D114" s="13">
        <v>142</v>
      </c>
      <c r="E114" s="13" t="s">
        <v>397</v>
      </c>
      <c r="F114" s="13">
        <v>26</v>
      </c>
      <c r="G114" s="13">
        <v>3</v>
      </c>
      <c r="H114" s="13" t="s">
        <v>397</v>
      </c>
      <c r="I114" s="13">
        <v>1</v>
      </c>
      <c r="J114" s="13">
        <v>148</v>
      </c>
      <c r="K114" s="13">
        <v>4</v>
      </c>
      <c r="L114" s="13" t="s">
        <v>43</v>
      </c>
      <c r="M114" s="13">
        <v>30</v>
      </c>
      <c r="N114" s="13">
        <v>4</v>
      </c>
      <c r="O114" s="13">
        <v>4</v>
      </c>
      <c r="P114" s="13" t="s">
        <v>169</v>
      </c>
      <c r="Q114" s="13">
        <v>4</v>
      </c>
      <c r="R114" s="13" t="s">
        <v>48</v>
      </c>
      <c r="S114" s="20">
        <v>17328</v>
      </c>
      <c r="T114" s="13">
        <v>13871</v>
      </c>
      <c r="U114" s="13">
        <v>2</v>
      </c>
      <c r="V114" s="13" t="s">
        <v>52</v>
      </c>
      <c r="W114" s="13" t="s">
        <v>36</v>
      </c>
      <c r="X114" s="13">
        <v>12</v>
      </c>
      <c r="Y114" s="13">
        <v>3</v>
      </c>
      <c r="Z114" s="13">
        <v>3</v>
      </c>
      <c r="AA114" s="13">
        <v>80</v>
      </c>
      <c r="AB114" s="13">
        <v>0</v>
      </c>
      <c r="AC114" s="13">
        <v>23</v>
      </c>
      <c r="AD114" s="13">
        <v>3</v>
      </c>
      <c r="AE114" s="13">
        <v>3</v>
      </c>
      <c r="AF114" s="14">
        <v>5</v>
      </c>
      <c r="AG114" s="13">
        <v>3</v>
      </c>
      <c r="AH114" s="13">
        <v>4</v>
      </c>
      <c r="AI114" s="13">
        <v>4</v>
      </c>
      <c r="AJ114" s="13" t="str">
        <f t="shared" si="1"/>
        <v>50+</v>
      </c>
      <c r="AK114" s="13" t="str">
        <f>IF(tblCleanData[[#This Row],[MonthlyIncome]]&lt;5000, "Low Income", IF(tblCleanData[[#This Row],[MonthlyIncome]]&lt;15000, "Medium Income", "High Income"))</f>
        <v>High Income</v>
      </c>
      <c r="AL114" s="13">
        <f>IF(tblCleanData[[#This Row],[Attrition]]="No", 0,1)</f>
        <v>0</v>
      </c>
      <c r="AM114" s="13">
        <f>IF(tblCleanData[[#This Row],[OverTime]] = "No", 0, 1)</f>
        <v>1</v>
      </c>
      <c r="AN114" s="13" t="str">
        <f>CHOOSE(tblCleanData[[#This Row],[Education]], "Below College","College","Bachelor","Master","Doctor")</f>
        <v>Bachelor</v>
      </c>
      <c r="AO114" s="13" t="str">
        <f>VLOOKUP(tblCleanData[[#This Row],[EmployeeNumber]],tblHelpers[],15,TRUE)</f>
        <v>High Risk</v>
      </c>
      <c r="AP114" s="13">
        <f>VLOOKUP(tblCleanData[[#This Row],[EmployeeNumber]],tblHelpers[],14,0)</f>
        <v>66</v>
      </c>
    </row>
    <row r="115" spans="1:42" x14ac:dyDescent="0.25">
      <c r="A115" s="13">
        <v>24</v>
      </c>
      <c r="B115" s="13" t="s">
        <v>59</v>
      </c>
      <c r="C115" s="13" t="s">
        <v>37</v>
      </c>
      <c r="D115" s="13">
        <v>1127</v>
      </c>
      <c r="E115" s="13" t="s">
        <v>62</v>
      </c>
      <c r="F115" s="13">
        <v>18</v>
      </c>
      <c r="G115" s="13">
        <v>1</v>
      </c>
      <c r="H115" s="13" t="s">
        <v>42</v>
      </c>
      <c r="I115" s="13">
        <v>1</v>
      </c>
      <c r="J115" s="13">
        <v>150</v>
      </c>
      <c r="K115" s="13">
        <v>2</v>
      </c>
      <c r="L115" s="13" t="s">
        <v>63</v>
      </c>
      <c r="M115" s="13">
        <v>52</v>
      </c>
      <c r="N115" s="13">
        <v>3</v>
      </c>
      <c r="O115" s="13">
        <v>1</v>
      </c>
      <c r="P115" s="13" t="s">
        <v>76</v>
      </c>
      <c r="Q115" s="13">
        <v>3</v>
      </c>
      <c r="R115" s="13" t="s">
        <v>66</v>
      </c>
      <c r="S115" s="20">
        <v>2774</v>
      </c>
      <c r="T115" s="13">
        <v>13257</v>
      </c>
      <c r="U115" s="13">
        <v>0</v>
      </c>
      <c r="V115" s="13" t="s">
        <v>52</v>
      </c>
      <c r="W115" s="13" t="s">
        <v>59</v>
      </c>
      <c r="X115" s="13">
        <v>12</v>
      </c>
      <c r="Y115" s="13">
        <v>3</v>
      </c>
      <c r="Z115" s="13">
        <v>3</v>
      </c>
      <c r="AA115" s="13">
        <v>80</v>
      </c>
      <c r="AB115" s="13">
        <v>1</v>
      </c>
      <c r="AC115" s="13">
        <v>6</v>
      </c>
      <c r="AD115" s="13">
        <v>2</v>
      </c>
      <c r="AE115" s="13">
        <v>3</v>
      </c>
      <c r="AF115" s="14">
        <v>5</v>
      </c>
      <c r="AG115" s="13">
        <v>3</v>
      </c>
      <c r="AH115" s="13">
        <v>1</v>
      </c>
      <c r="AI115" s="13">
        <v>2</v>
      </c>
      <c r="AJ115" s="13" t="str">
        <f t="shared" si="1"/>
        <v>Under 30</v>
      </c>
      <c r="AK115" s="13" t="str">
        <f>IF(tblCleanData[[#This Row],[MonthlyIncome]]&lt;5000, "Low Income", IF(tblCleanData[[#This Row],[MonthlyIncome]]&lt;15000, "Medium Income", "High Income"))</f>
        <v>Low Income</v>
      </c>
      <c r="AL115" s="13">
        <f>IF(tblCleanData[[#This Row],[Attrition]]="No", 0,1)</f>
        <v>0</v>
      </c>
      <c r="AM115" s="13">
        <f>IF(tblCleanData[[#This Row],[OverTime]] = "No", 0, 1)</f>
        <v>0</v>
      </c>
      <c r="AN115" s="13" t="str">
        <f>CHOOSE(tblCleanData[[#This Row],[Education]], "Below College","College","Bachelor","Master","Doctor")</f>
        <v>Below College</v>
      </c>
      <c r="AO115" s="13" t="str">
        <f>VLOOKUP(tblCleanData[[#This Row],[EmployeeNumber]],tblHelpers[],15,TRUE)</f>
        <v>High Risk</v>
      </c>
      <c r="AP115" s="13">
        <f>VLOOKUP(tblCleanData[[#This Row],[EmployeeNumber]],tblHelpers[],14,0)</f>
        <v>63</v>
      </c>
    </row>
    <row r="116" spans="1:42" x14ac:dyDescent="0.25">
      <c r="A116" s="13">
        <v>34</v>
      </c>
      <c r="B116" s="13" t="s">
        <v>59</v>
      </c>
      <c r="C116" s="13" t="s">
        <v>37</v>
      </c>
      <c r="D116" s="13">
        <v>1031</v>
      </c>
      <c r="E116" s="13" t="s">
        <v>62</v>
      </c>
      <c r="F116" s="13">
        <v>6</v>
      </c>
      <c r="G116" s="13">
        <v>4</v>
      </c>
      <c r="H116" s="13" t="s">
        <v>42</v>
      </c>
      <c r="I116" s="13">
        <v>1</v>
      </c>
      <c r="J116" s="13">
        <v>151</v>
      </c>
      <c r="K116" s="13">
        <v>3</v>
      </c>
      <c r="L116" s="13" t="s">
        <v>43</v>
      </c>
      <c r="M116" s="13">
        <v>45</v>
      </c>
      <c r="N116" s="13">
        <v>2</v>
      </c>
      <c r="O116" s="13">
        <v>2</v>
      </c>
      <c r="P116" s="13" t="s">
        <v>65</v>
      </c>
      <c r="Q116" s="13">
        <v>2</v>
      </c>
      <c r="R116" s="13" t="s">
        <v>109</v>
      </c>
      <c r="S116" s="20">
        <v>4505</v>
      </c>
      <c r="T116" s="13">
        <v>15000</v>
      </c>
      <c r="U116" s="13">
        <v>6</v>
      </c>
      <c r="V116" s="13" t="s">
        <v>52</v>
      </c>
      <c r="W116" s="13" t="s">
        <v>59</v>
      </c>
      <c r="X116" s="13">
        <v>15</v>
      </c>
      <c r="Y116" s="13">
        <v>3</v>
      </c>
      <c r="Z116" s="13">
        <v>3</v>
      </c>
      <c r="AA116" s="13">
        <v>80</v>
      </c>
      <c r="AB116" s="13">
        <v>1</v>
      </c>
      <c r="AC116" s="13">
        <v>12</v>
      </c>
      <c r="AD116" s="13">
        <v>3</v>
      </c>
      <c r="AE116" s="13">
        <v>3</v>
      </c>
      <c r="AF116" s="14">
        <v>1</v>
      </c>
      <c r="AG116" s="13">
        <v>0</v>
      </c>
      <c r="AH116" s="13">
        <v>0</v>
      </c>
      <c r="AI116" s="13">
        <v>0</v>
      </c>
      <c r="AJ116" s="13" t="str">
        <f t="shared" si="1"/>
        <v>30-39</v>
      </c>
      <c r="AK116" s="13" t="str">
        <f>IF(tblCleanData[[#This Row],[MonthlyIncome]]&lt;5000, "Low Income", IF(tblCleanData[[#This Row],[MonthlyIncome]]&lt;15000, "Medium Income", "High Income"))</f>
        <v>Low Income</v>
      </c>
      <c r="AL116" s="13">
        <f>IF(tblCleanData[[#This Row],[Attrition]]="No", 0,1)</f>
        <v>0</v>
      </c>
      <c r="AM116" s="13">
        <f>IF(tblCleanData[[#This Row],[OverTime]] = "No", 0, 1)</f>
        <v>0</v>
      </c>
      <c r="AN116" s="13" t="str">
        <f>CHOOSE(tblCleanData[[#This Row],[Education]], "Below College","College","Bachelor","Master","Doctor")</f>
        <v>Master</v>
      </c>
      <c r="AO116" s="13" t="str">
        <f>VLOOKUP(tblCleanData[[#This Row],[EmployeeNumber]],tblHelpers[],15,TRUE)</f>
        <v>High Risk</v>
      </c>
      <c r="AP116" s="13">
        <f>VLOOKUP(tblCleanData[[#This Row],[EmployeeNumber]],tblHelpers[],14,0)</f>
        <v>69</v>
      </c>
    </row>
    <row r="117" spans="1:42" x14ac:dyDescent="0.25">
      <c r="A117" s="13">
        <v>37</v>
      </c>
      <c r="B117" s="13" t="s">
        <v>59</v>
      </c>
      <c r="C117" s="13" t="s">
        <v>37</v>
      </c>
      <c r="D117" s="13">
        <v>1189</v>
      </c>
      <c r="E117" s="13" t="s">
        <v>39</v>
      </c>
      <c r="F117" s="13">
        <v>3</v>
      </c>
      <c r="G117" s="13">
        <v>3</v>
      </c>
      <c r="H117" s="13" t="s">
        <v>42</v>
      </c>
      <c r="I117" s="13">
        <v>1</v>
      </c>
      <c r="J117" s="13">
        <v>152</v>
      </c>
      <c r="K117" s="13">
        <v>3</v>
      </c>
      <c r="L117" s="13" t="s">
        <v>63</v>
      </c>
      <c r="M117" s="13">
        <v>87</v>
      </c>
      <c r="N117" s="13">
        <v>3</v>
      </c>
      <c r="O117" s="13">
        <v>3</v>
      </c>
      <c r="P117" s="13" t="s">
        <v>46</v>
      </c>
      <c r="Q117" s="13">
        <v>4</v>
      </c>
      <c r="R117" s="13" t="s">
        <v>48</v>
      </c>
      <c r="S117" s="20">
        <v>7428</v>
      </c>
      <c r="T117" s="13">
        <v>14506</v>
      </c>
      <c r="U117" s="13">
        <v>2</v>
      </c>
      <c r="V117" s="13" t="s">
        <v>52</v>
      </c>
      <c r="W117" s="13" t="s">
        <v>59</v>
      </c>
      <c r="X117" s="13">
        <v>12</v>
      </c>
      <c r="Y117" s="13">
        <v>3</v>
      </c>
      <c r="Z117" s="13">
        <v>1</v>
      </c>
      <c r="AA117" s="13">
        <v>80</v>
      </c>
      <c r="AB117" s="13">
        <v>0</v>
      </c>
      <c r="AC117" s="13">
        <v>12</v>
      </c>
      <c r="AD117" s="13">
        <v>3</v>
      </c>
      <c r="AE117" s="13">
        <v>3</v>
      </c>
      <c r="AF117" s="14">
        <v>5</v>
      </c>
      <c r="AG117" s="13">
        <v>3</v>
      </c>
      <c r="AH117" s="13">
        <v>1</v>
      </c>
      <c r="AI117" s="13">
        <v>3</v>
      </c>
      <c r="AJ117" s="13" t="str">
        <f t="shared" si="1"/>
        <v>30-39</v>
      </c>
      <c r="AK117" s="13" t="str">
        <f>IF(tblCleanData[[#This Row],[MonthlyIncome]]&lt;5000, "Low Income", IF(tblCleanData[[#This Row],[MonthlyIncome]]&lt;15000, "Medium Income", "High Income"))</f>
        <v>Medium Income</v>
      </c>
      <c r="AL117" s="13">
        <f>IF(tblCleanData[[#This Row],[Attrition]]="No", 0,1)</f>
        <v>0</v>
      </c>
      <c r="AM117" s="13">
        <f>IF(tblCleanData[[#This Row],[OverTime]] = "No", 0, 1)</f>
        <v>0</v>
      </c>
      <c r="AN117" s="13" t="str">
        <f>CHOOSE(tblCleanData[[#This Row],[Education]], "Below College","College","Bachelor","Master","Doctor")</f>
        <v>Bachelor</v>
      </c>
      <c r="AO117" s="13" t="str">
        <f>VLOOKUP(tblCleanData[[#This Row],[EmployeeNumber]],tblHelpers[],15,TRUE)</f>
        <v>Medium Risk</v>
      </c>
      <c r="AP117" s="13">
        <f>VLOOKUP(tblCleanData[[#This Row],[EmployeeNumber]],tblHelpers[],14,0)</f>
        <v>46</v>
      </c>
    </row>
    <row r="118" spans="1:42" x14ac:dyDescent="0.25">
      <c r="A118" s="13">
        <v>34</v>
      </c>
      <c r="B118" s="13" t="s">
        <v>59</v>
      </c>
      <c r="C118" s="13" t="s">
        <v>37</v>
      </c>
      <c r="D118" s="13">
        <v>1354</v>
      </c>
      <c r="E118" s="13" t="s">
        <v>62</v>
      </c>
      <c r="F118" s="13">
        <v>5</v>
      </c>
      <c r="G118" s="13">
        <v>3</v>
      </c>
      <c r="H118" s="13" t="s">
        <v>87</v>
      </c>
      <c r="I118" s="13">
        <v>1</v>
      </c>
      <c r="J118" s="13">
        <v>153</v>
      </c>
      <c r="K118" s="13">
        <v>3</v>
      </c>
      <c r="L118" s="13" t="s">
        <v>43</v>
      </c>
      <c r="M118" s="13">
        <v>45</v>
      </c>
      <c r="N118" s="13">
        <v>2</v>
      </c>
      <c r="O118" s="13">
        <v>3</v>
      </c>
      <c r="P118" s="13" t="s">
        <v>169</v>
      </c>
      <c r="Q118" s="13">
        <v>1</v>
      </c>
      <c r="R118" s="13" t="s">
        <v>48</v>
      </c>
      <c r="S118" s="20">
        <v>11631</v>
      </c>
      <c r="T118" s="13">
        <v>5615</v>
      </c>
      <c r="U118" s="13">
        <v>2</v>
      </c>
      <c r="V118" s="13" t="s">
        <v>52</v>
      </c>
      <c r="W118" s="13" t="s">
        <v>59</v>
      </c>
      <c r="X118" s="13">
        <v>12</v>
      </c>
      <c r="Y118" s="13">
        <v>3</v>
      </c>
      <c r="Z118" s="13">
        <v>4</v>
      </c>
      <c r="AA118" s="13">
        <v>80</v>
      </c>
      <c r="AB118" s="13">
        <v>0</v>
      </c>
      <c r="AC118" s="13">
        <v>14</v>
      </c>
      <c r="AD118" s="13">
        <v>6</v>
      </c>
      <c r="AE118" s="13">
        <v>3</v>
      </c>
      <c r="AF118" s="14">
        <v>11</v>
      </c>
      <c r="AG118" s="13">
        <v>10</v>
      </c>
      <c r="AH118" s="13">
        <v>5</v>
      </c>
      <c r="AI118" s="13">
        <v>8</v>
      </c>
      <c r="AJ118" s="13" t="str">
        <f t="shared" si="1"/>
        <v>30-39</v>
      </c>
      <c r="AK118" s="13" t="str">
        <f>IF(tblCleanData[[#This Row],[MonthlyIncome]]&lt;5000, "Low Income", IF(tblCleanData[[#This Row],[MonthlyIncome]]&lt;15000, "Medium Income", "High Income"))</f>
        <v>Medium Income</v>
      </c>
      <c r="AL118" s="13">
        <f>IF(tblCleanData[[#This Row],[Attrition]]="No", 0,1)</f>
        <v>0</v>
      </c>
      <c r="AM118" s="13">
        <f>IF(tblCleanData[[#This Row],[OverTime]] = "No", 0, 1)</f>
        <v>0</v>
      </c>
      <c r="AN118" s="13" t="str">
        <f>CHOOSE(tblCleanData[[#This Row],[Education]], "Below College","College","Bachelor","Master","Doctor")</f>
        <v>Bachelor</v>
      </c>
      <c r="AO118" s="13" t="str">
        <f>VLOOKUP(tblCleanData[[#This Row],[EmployeeNumber]],tblHelpers[],15,TRUE)</f>
        <v>Medium Risk</v>
      </c>
      <c r="AP118" s="13">
        <f>VLOOKUP(tblCleanData[[#This Row],[EmployeeNumber]],tblHelpers[],14,0)</f>
        <v>53</v>
      </c>
    </row>
    <row r="119" spans="1:42" x14ac:dyDescent="0.25">
      <c r="A119" s="13">
        <v>36</v>
      </c>
      <c r="B119" s="13" t="s">
        <v>59</v>
      </c>
      <c r="C119" s="13" t="s">
        <v>60</v>
      </c>
      <c r="D119" s="13">
        <v>1467</v>
      </c>
      <c r="E119" s="13" t="s">
        <v>39</v>
      </c>
      <c r="F119" s="13">
        <v>11</v>
      </c>
      <c r="G119" s="13">
        <v>2</v>
      </c>
      <c r="H119" s="13" t="s">
        <v>228</v>
      </c>
      <c r="I119" s="13">
        <v>1</v>
      </c>
      <c r="J119" s="13">
        <v>154</v>
      </c>
      <c r="K119" s="13">
        <v>2</v>
      </c>
      <c r="L119" s="13" t="s">
        <v>43</v>
      </c>
      <c r="M119" s="13">
        <v>92</v>
      </c>
      <c r="N119" s="13">
        <v>3</v>
      </c>
      <c r="O119" s="13">
        <v>3</v>
      </c>
      <c r="P119" s="13" t="s">
        <v>46</v>
      </c>
      <c r="Q119" s="13">
        <v>4</v>
      </c>
      <c r="R119" s="13" t="s">
        <v>66</v>
      </c>
      <c r="S119" s="20">
        <v>9738</v>
      </c>
      <c r="T119" s="13">
        <v>22952</v>
      </c>
      <c r="U119" s="13">
        <v>0</v>
      </c>
      <c r="V119" s="13" t="s">
        <v>52</v>
      </c>
      <c r="W119" s="13" t="s">
        <v>59</v>
      </c>
      <c r="X119" s="13">
        <v>14</v>
      </c>
      <c r="Y119" s="13">
        <v>3</v>
      </c>
      <c r="Z119" s="13">
        <v>3</v>
      </c>
      <c r="AA119" s="13">
        <v>80</v>
      </c>
      <c r="AB119" s="13">
        <v>1</v>
      </c>
      <c r="AC119" s="13">
        <v>10</v>
      </c>
      <c r="AD119" s="13">
        <v>6</v>
      </c>
      <c r="AE119" s="13">
        <v>3</v>
      </c>
      <c r="AF119" s="14">
        <v>9</v>
      </c>
      <c r="AG119" s="13">
        <v>7</v>
      </c>
      <c r="AH119" s="13">
        <v>2</v>
      </c>
      <c r="AI119" s="13">
        <v>8</v>
      </c>
      <c r="AJ119" s="13" t="str">
        <f t="shared" si="1"/>
        <v>30-39</v>
      </c>
      <c r="AK119" s="13" t="str">
        <f>IF(tblCleanData[[#This Row],[MonthlyIncome]]&lt;5000, "Low Income", IF(tblCleanData[[#This Row],[MonthlyIncome]]&lt;15000, "Medium Income", "High Income"))</f>
        <v>Medium Income</v>
      </c>
      <c r="AL119" s="13">
        <f>IF(tblCleanData[[#This Row],[Attrition]]="No", 0,1)</f>
        <v>0</v>
      </c>
      <c r="AM119" s="13">
        <f>IF(tblCleanData[[#This Row],[OverTime]] = "No", 0, 1)</f>
        <v>0</v>
      </c>
      <c r="AN119" s="13" t="str">
        <f>CHOOSE(tblCleanData[[#This Row],[Education]], "Below College","College","Bachelor","Master","Doctor")</f>
        <v>College</v>
      </c>
      <c r="AO119" s="13" t="str">
        <f>VLOOKUP(tblCleanData[[#This Row],[EmployeeNumber]],tblHelpers[],15,TRUE)</f>
        <v>Medium Risk</v>
      </c>
      <c r="AP119" s="13">
        <f>VLOOKUP(tblCleanData[[#This Row],[EmployeeNumber]],tblHelpers[],14,0)</f>
        <v>39</v>
      </c>
    </row>
    <row r="120" spans="1:42" x14ac:dyDescent="0.25">
      <c r="A120" s="13">
        <v>36</v>
      </c>
      <c r="B120" s="13" t="s">
        <v>59</v>
      </c>
      <c r="C120" s="13" t="s">
        <v>37</v>
      </c>
      <c r="D120" s="13">
        <v>922</v>
      </c>
      <c r="E120" s="13" t="s">
        <v>62</v>
      </c>
      <c r="F120" s="13">
        <v>3</v>
      </c>
      <c r="G120" s="13">
        <v>2</v>
      </c>
      <c r="H120" s="13" t="s">
        <v>42</v>
      </c>
      <c r="I120" s="13">
        <v>1</v>
      </c>
      <c r="J120" s="13">
        <v>155</v>
      </c>
      <c r="K120" s="13">
        <v>1</v>
      </c>
      <c r="L120" s="13" t="s">
        <v>43</v>
      </c>
      <c r="M120" s="13">
        <v>39</v>
      </c>
      <c r="N120" s="13">
        <v>3</v>
      </c>
      <c r="O120" s="13">
        <v>1</v>
      </c>
      <c r="P120" s="13" t="s">
        <v>76</v>
      </c>
      <c r="Q120" s="13">
        <v>4</v>
      </c>
      <c r="R120" s="13" t="s">
        <v>109</v>
      </c>
      <c r="S120" s="20">
        <v>2835</v>
      </c>
      <c r="T120" s="13">
        <v>2561</v>
      </c>
      <c r="U120" s="13">
        <v>5</v>
      </c>
      <c r="V120" s="13" t="s">
        <v>52</v>
      </c>
      <c r="W120" s="13" t="s">
        <v>59</v>
      </c>
      <c r="X120" s="13">
        <v>22</v>
      </c>
      <c r="Y120" s="13">
        <v>4</v>
      </c>
      <c r="Z120" s="13">
        <v>1</v>
      </c>
      <c r="AA120" s="13">
        <v>80</v>
      </c>
      <c r="AB120" s="13">
        <v>1</v>
      </c>
      <c r="AC120" s="13">
        <v>7</v>
      </c>
      <c r="AD120" s="13">
        <v>2</v>
      </c>
      <c r="AE120" s="13">
        <v>3</v>
      </c>
      <c r="AF120" s="14">
        <v>1</v>
      </c>
      <c r="AG120" s="13">
        <v>0</v>
      </c>
      <c r="AH120" s="13">
        <v>0</v>
      </c>
      <c r="AI120" s="13">
        <v>0</v>
      </c>
      <c r="AJ120" s="13" t="str">
        <f t="shared" si="1"/>
        <v>30-39</v>
      </c>
      <c r="AK120" s="13" t="str">
        <f>IF(tblCleanData[[#This Row],[MonthlyIncome]]&lt;5000, "Low Income", IF(tblCleanData[[#This Row],[MonthlyIncome]]&lt;15000, "Medium Income", "High Income"))</f>
        <v>Low Income</v>
      </c>
      <c r="AL120" s="13">
        <f>IF(tblCleanData[[#This Row],[Attrition]]="No", 0,1)</f>
        <v>0</v>
      </c>
      <c r="AM120" s="13">
        <f>IF(tblCleanData[[#This Row],[OverTime]] = "No", 0, 1)</f>
        <v>0</v>
      </c>
      <c r="AN120" s="13" t="str">
        <f>CHOOSE(tblCleanData[[#This Row],[Education]], "Below College","College","Bachelor","Master","Doctor")</f>
        <v>College</v>
      </c>
      <c r="AO120" s="13" t="str">
        <f>VLOOKUP(tblCleanData[[#This Row],[EmployeeNumber]],tblHelpers[],15,TRUE)</f>
        <v>High Risk</v>
      </c>
      <c r="AP120" s="13">
        <f>VLOOKUP(tblCleanData[[#This Row],[EmployeeNumber]],tblHelpers[],14,0)</f>
        <v>56</v>
      </c>
    </row>
    <row r="121" spans="1:42" x14ac:dyDescent="0.25">
      <c r="A121" s="13">
        <v>43</v>
      </c>
      <c r="B121" s="13" t="s">
        <v>59</v>
      </c>
      <c r="C121" s="13" t="s">
        <v>60</v>
      </c>
      <c r="D121" s="13">
        <v>394</v>
      </c>
      <c r="E121" s="13" t="s">
        <v>39</v>
      </c>
      <c r="F121" s="13">
        <v>26</v>
      </c>
      <c r="G121" s="13">
        <v>2</v>
      </c>
      <c r="H121" s="13" t="s">
        <v>42</v>
      </c>
      <c r="I121" s="13">
        <v>1</v>
      </c>
      <c r="J121" s="13">
        <v>158</v>
      </c>
      <c r="K121" s="13">
        <v>3</v>
      </c>
      <c r="L121" s="13" t="s">
        <v>63</v>
      </c>
      <c r="M121" s="13">
        <v>92</v>
      </c>
      <c r="N121" s="13">
        <v>3</v>
      </c>
      <c r="O121" s="13">
        <v>4</v>
      </c>
      <c r="P121" s="13" t="s">
        <v>169</v>
      </c>
      <c r="Q121" s="13">
        <v>4</v>
      </c>
      <c r="R121" s="13" t="s">
        <v>66</v>
      </c>
      <c r="S121" s="20">
        <v>16959</v>
      </c>
      <c r="T121" s="13">
        <v>19494</v>
      </c>
      <c r="U121" s="13">
        <v>1</v>
      </c>
      <c r="V121" s="13" t="s">
        <v>52</v>
      </c>
      <c r="W121" s="13" t="s">
        <v>36</v>
      </c>
      <c r="X121" s="13">
        <v>12</v>
      </c>
      <c r="Y121" s="13">
        <v>3</v>
      </c>
      <c r="Z121" s="13">
        <v>4</v>
      </c>
      <c r="AA121" s="13">
        <v>80</v>
      </c>
      <c r="AB121" s="13">
        <v>2</v>
      </c>
      <c r="AC121" s="13">
        <v>25</v>
      </c>
      <c r="AD121" s="13">
        <v>3</v>
      </c>
      <c r="AE121" s="13">
        <v>4</v>
      </c>
      <c r="AF121" s="14">
        <v>25</v>
      </c>
      <c r="AG121" s="13">
        <v>12</v>
      </c>
      <c r="AH121" s="13">
        <v>4</v>
      </c>
      <c r="AI121" s="13">
        <v>12</v>
      </c>
      <c r="AJ121" s="13" t="str">
        <f t="shared" si="1"/>
        <v>40-49</v>
      </c>
      <c r="AK121" s="13" t="str">
        <f>IF(tblCleanData[[#This Row],[MonthlyIncome]]&lt;5000, "Low Income", IF(tblCleanData[[#This Row],[MonthlyIncome]]&lt;15000, "Medium Income", "High Income"))</f>
        <v>High Income</v>
      </c>
      <c r="AL121" s="13">
        <f>IF(tblCleanData[[#This Row],[Attrition]]="No", 0,1)</f>
        <v>0</v>
      </c>
      <c r="AM121" s="13">
        <f>IF(tblCleanData[[#This Row],[OverTime]] = "No", 0, 1)</f>
        <v>1</v>
      </c>
      <c r="AN121" s="13" t="str">
        <f>CHOOSE(tblCleanData[[#This Row],[Education]], "Below College","College","Bachelor","Master","Doctor")</f>
        <v>College</v>
      </c>
      <c r="AO121" s="13" t="str">
        <f>VLOOKUP(tblCleanData[[#This Row],[EmployeeNumber]],tblHelpers[],15,TRUE)</f>
        <v>Medium Risk</v>
      </c>
      <c r="AP121" s="13">
        <f>VLOOKUP(tblCleanData[[#This Row],[EmployeeNumber]],tblHelpers[],14,0)</f>
        <v>49</v>
      </c>
    </row>
    <row r="122" spans="1:42" x14ac:dyDescent="0.25">
      <c r="A122" s="13">
        <v>30</v>
      </c>
      <c r="B122" s="13" t="s">
        <v>59</v>
      </c>
      <c r="C122" s="13" t="s">
        <v>60</v>
      </c>
      <c r="D122" s="13">
        <v>1312</v>
      </c>
      <c r="E122" s="13" t="s">
        <v>62</v>
      </c>
      <c r="F122" s="13">
        <v>23</v>
      </c>
      <c r="G122" s="13">
        <v>3</v>
      </c>
      <c r="H122" s="13" t="s">
        <v>42</v>
      </c>
      <c r="I122" s="13">
        <v>1</v>
      </c>
      <c r="J122" s="13">
        <v>159</v>
      </c>
      <c r="K122" s="13">
        <v>1</v>
      </c>
      <c r="L122" s="13" t="s">
        <v>63</v>
      </c>
      <c r="M122" s="13">
        <v>96</v>
      </c>
      <c r="N122" s="13">
        <v>1</v>
      </c>
      <c r="O122" s="13">
        <v>1</v>
      </c>
      <c r="P122" s="13" t="s">
        <v>65</v>
      </c>
      <c r="Q122" s="13">
        <v>3</v>
      </c>
      <c r="R122" s="13" t="s">
        <v>109</v>
      </c>
      <c r="S122" s="20">
        <v>2613</v>
      </c>
      <c r="T122" s="13">
        <v>22310</v>
      </c>
      <c r="U122" s="13">
        <v>1</v>
      </c>
      <c r="V122" s="13" t="s">
        <v>52</v>
      </c>
      <c r="W122" s="13" t="s">
        <v>59</v>
      </c>
      <c r="X122" s="13">
        <v>25</v>
      </c>
      <c r="Y122" s="13">
        <v>4</v>
      </c>
      <c r="Z122" s="13">
        <v>3</v>
      </c>
      <c r="AA122" s="13">
        <v>80</v>
      </c>
      <c r="AB122" s="13">
        <v>3</v>
      </c>
      <c r="AC122" s="13">
        <v>10</v>
      </c>
      <c r="AD122" s="13">
        <v>2</v>
      </c>
      <c r="AE122" s="13">
        <v>2</v>
      </c>
      <c r="AF122" s="14">
        <v>10</v>
      </c>
      <c r="AG122" s="13">
        <v>7</v>
      </c>
      <c r="AH122" s="13">
        <v>0</v>
      </c>
      <c r="AI122" s="13">
        <v>9</v>
      </c>
      <c r="AJ122" s="13" t="str">
        <f t="shared" si="1"/>
        <v>30-39</v>
      </c>
      <c r="AK122" s="13" t="str">
        <f>IF(tblCleanData[[#This Row],[MonthlyIncome]]&lt;5000, "Low Income", IF(tblCleanData[[#This Row],[MonthlyIncome]]&lt;15000, "Medium Income", "High Income"))</f>
        <v>Low Income</v>
      </c>
      <c r="AL122" s="13">
        <f>IF(tblCleanData[[#This Row],[Attrition]]="No", 0,1)</f>
        <v>0</v>
      </c>
      <c r="AM122" s="13">
        <f>IF(tblCleanData[[#This Row],[OverTime]] = "No", 0, 1)</f>
        <v>0</v>
      </c>
      <c r="AN122" s="13" t="str">
        <f>CHOOSE(tblCleanData[[#This Row],[Education]], "Below College","College","Bachelor","Master","Doctor")</f>
        <v>Bachelor</v>
      </c>
      <c r="AO122" s="13" t="str">
        <f>VLOOKUP(tblCleanData[[#This Row],[EmployeeNumber]],tblHelpers[],15,TRUE)</f>
        <v>Medium Risk</v>
      </c>
      <c r="AP122" s="13">
        <f>VLOOKUP(tblCleanData[[#This Row],[EmployeeNumber]],tblHelpers[],14,0)</f>
        <v>46</v>
      </c>
    </row>
    <row r="123" spans="1:42" x14ac:dyDescent="0.25">
      <c r="A123" s="13">
        <v>33</v>
      </c>
      <c r="B123" s="13" t="s">
        <v>59</v>
      </c>
      <c r="C123" s="13" t="s">
        <v>161</v>
      </c>
      <c r="D123" s="13">
        <v>750</v>
      </c>
      <c r="E123" s="13" t="s">
        <v>39</v>
      </c>
      <c r="F123" s="13">
        <v>22</v>
      </c>
      <c r="G123" s="13">
        <v>2</v>
      </c>
      <c r="H123" s="13" t="s">
        <v>206</v>
      </c>
      <c r="I123" s="13">
        <v>1</v>
      </c>
      <c r="J123" s="13">
        <v>160</v>
      </c>
      <c r="K123" s="13">
        <v>3</v>
      </c>
      <c r="L123" s="13" t="s">
        <v>63</v>
      </c>
      <c r="M123" s="13">
        <v>95</v>
      </c>
      <c r="N123" s="13">
        <v>3</v>
      </c>
      <c r="O123" s="13">
        <v>2</v>
      </c>
      <c r="P123" s="13" t="s">
        <v>46</v>
      </c>
      <c r="Q123" s="13">
        <v>2</v>
      </c>
      <c r="R123" s="13" t="s">
        <v>66</v>
      </c>
      <c r="S123" s="20">
        <v>6146</v>
      </c>
      <c r="T123" s="13">
        <v>15480</v>
      </c>
      <c r="U123" s="13">
        <v>0</v>
      </c>
      <c r="V123" s="13" t="s">
        <v>52</v>
      </c>
      <c r="W123" s="13" t="s">
        <v>59</v>
      </c>
      <c r="X123" s="13">
        <v>13</v>
      </c>
      <c r="Y123" s="13">
        <v>3</v>
      </c>
      <c r="Z123" s="13">
        <v>1</v>
      </c>
      <c r="AA123" s="13">
        <v>80</v>
      </c>
      <c r="AB123" s="13">
        <v>1</v>
      </c>
      <c r="AC123" s="13">
        <v>8</v>
      </c>
      <c r="AD123" s="13">
        <v>2</v>
      </c>
      <c r="AE123" s="13">
        <v>4</v>
      </c>
      <c r="AF123" s="14">
        <v>7</v>
      </c>
      <c r="AG123" s="13">
        <v>7</v>
      </c>
      <c r="AH123" s="13">
        <v>0</v>
      </c>
      <c r="AI123" s="13">
        <v>7</v>
      </c>
      <c r="AJ123" s="13" t="str">
        <f t="shared" si="1"/>
        <v>30-39</v>
      </c>
      <c r="AK123" s="13" t="str">
        <f>IF(tblCleanData[[#This Row],[MonthlyIncome]]&lt;5000, "Low Income", IF(tblCleanData[[#This Row],[MonthlyIncome]]&lt;15000, "Medium Income", "High Income"))</f>
        <v>Medium Income</v>
      </c>
      <c r="AL123" s="13">
        <f>IF(tblCleanData[[#This Row],[Attrition]]="No", 0,1)</f>
        <v>0</v>
      </c>
      <c r="AM123" s="13">
        <f>IF(tblCleanData[[#This Row],[OverTime]] = "No", 0, 1)</f>
        <v>0</v>
      </c>
      <c r="AN123" s="13" t="str">
        <f>CHOOSE(tblCleanData[[#This Row],[Education]], "Below College","College","Bachelor","Master","Doctor")</f>
        <v>College</v>
      </c>
      <c r="AO123" s="13" t="str">
        <f>VLOOKUP(tblCleanData[[#This Row],[EmployeeNumber]],tblHelpers[],15,TRUE)</f>
        <v>Medium Risk</v>
      </c>
      <c r="AP123" s="13">
        <f>VLOOKUP(tblCleanData[[#This Row],[EmployeeNumber]],tblHelpers[],14,0)</f>
        <v>52</v>
      </c>
    </row>
    <row r="124" spans="1:42" x14ac:dyDescent="0.25">
      <c r="A124" s="13">
        <v>56</v>
      </c>
      <c r="B124" s="13" t="s">
        <v>36</v>
      </c>
      <c r="C124" s="13" t="s">
        <v>37</v>
      </c>
      <c r="D124" s="13">
        <v>441</v>
      </c>
      <c r="E124" s="13" t="s">
        <v>62</v>
      </c>
      <c r="F124" s="13">
        <v>14</v>
      </c>
      <c r="G124" s="13">
        <v>4</v>
      </c>
      <c r="H124" s="13" t="s">
        <v>42</v>
      </c>
      <c r="I124" s="13">
        <v>1</v>
      </c>
      <c r="J124" s="13">
        <v>161</v>
      </c>
      <c r="K124" s="13">
        <v>2</v>
      </c>
      <c r="L124" s="13" t="s">
        <v>43</v>
      </c>
      <c r="M124" s="13">
        <v>72</v>
      </c>
      <c r="N124" s="13">
        <v>3</v>
      </c>
      <c r="O124" s="13">
        <v>1</v>
      </c>
      <c r="P124" s="13" t="s">
        <v>65</v>
      </c>
      <c r="Q124" s="13">
        <v>2</v>
      </c>
      <c r="R124" s="13" t="s">
        <v>66</v>
      </c>
      <c r="S124" s="20">
        <v>4963</v>
      </c>
      <c r="T124" s="13">
        <v>4510</v>
      </c>
      <c r="U124" s="13">
        <v>9</v>
      </c>
      <c r="V124" s="13" t="s">
        <v>52</v>
      </c>
      <c r="W124" s="13" t="s">
        <v>36</v>
      </c>
      <c r="X124" s="13">
        <v>18</v>
      </c>
      <c r="Y124" s="13">
        <v>3</v>
      </c>
      <c r="Z124" s="13">
        <v>1</v>
      </c>
      <c r="AA124" s="13">
        <v>80</v>
      </c>
      <c r="AB124" s="13">
        <v>3</v>
      </c>
      <c r="AC124" s="13">
        <v>7</v>
      </c>
      <c r="AD124" s="13">
        <v>2</v>
      </c>
      <c r="AE124" s="13">
        <v>3</v>
      </c>
      <c r="AF124" s="14">
        <v>5</v>
      </c>
      <c r="AG124" s="13">
        <v>4</v>
      </c>
      <c r="AH124" s="13">
        <v>4</v>
      </c>
      <c r="AI124" s="13">
        <v>3</v>
      </c>
      <c r="AJ124" s="13" t="str">
        <f t="shared" si="1"/>
        <v>50+</v>
      </c>
      <c r="AK124" s="13" t="str">
        <f>IF(tblCleanData[[#This Row],[MonthlyIncome]]&lt;5000, "Low Income", IF(tblCleanData[[#This Row],[MonthlyIncome]]&lt;15000, "Medium Income", "High Income"))</f>
        <v>Low Income</v>
      </c>
      <c r="AL124" s="13">
        <f>IF(tblCleanData[[#This Row],[Attrition]]="No", 0,1)</f>
        <v>1</v>
      </c>
      <c r="AM124" s="13">
        <f>IF(tblCleanData[[#This Row],[OverTime]] = "No", 0, 1)</f>
        <v>1</v>
      </c>
      <c r="AN124" s="13" t="str">
        <f>CHOOSE(tblCleanData[[#This Row],[Education]], "Below College","College","Bachelor","Master","Doctor")</f>
        <v>Master</v>
      </c>
      <c r="AO124" s="13" t="str">
        <f>VLOOKUP(tblCleanData[[#This Row],[EmployeeNumber]],tblHelpers[],15,TRUE)</f>
        <v>High Risk</v>
      </c>
      <c r="AP124" s="13">
        <f>VLOOKUP(tblCleanData[[#This Row],[EmployeeNumber]],tblHelpers[],14,0)</f>
        <v>79</v>
      </c>
    </row>
    <row r="125" spans="1:42" x14ac:dyDescent="0.25">
      <c r="A125" s="13">
        <v>51</v>
      </c>
      <c r="B125" s="13" t="s">
        <v>59</v>
      </c>
      <c r="C125" s="13" t="s">
        <v>37</v>
      </c>
      <c r="D125" s="13">
        <v>684</v>
      </c>
      <c r="E125" s="13" t="s">
        <v>62</v>
      </c>
      <c r="F125" s="13">
        <v>6</v>
      </c>
      <c r="G125" s="13">
        <v>3</v>
      </c>
      <c r="H125" s="13" t="s">
        <v>42</v>
      </c>
      <c r="I125" s="13">
        <v>1</v>
      </c>
      <c r="J125" s="13">
        <v>162</v>
      </c>
      <c r="K125" s="13">
        <v>1</v>
      </c>
      <c r="L125" s="13" t="s">
        <v>63</v>
      </c>
      <c r="M125" s="13">
        <v>51</v>
      </c>
      <c r="N125" s="13">
        <v>3</v>
      </c>
      <c r="O125" s="13">
        <v>5</v>
      </c>
      <c r="P125" s="13" t="s">
        <v>186</v>
      </c>
      <c r="Q125" s="13">
        <v>3</v>
      </c>
      <c r="R125" s="13" t="s">
        <v>48</v>
      </c>
      <c r="S125" s="20">
        <v>19537</v>
      </c>
      <c r="T125" s="13">
        <v>6462</v>
      </c>
      <c r="U125" s="13">
        <v>7</v>
      </c>
      <c r="V125" s="13" t="s">
        <v>52</v>
      </c>
      <c r="W125" s="13" t="s">
        <v>59</v>
      </c>
      <c r="X125" s="13">
        <v>13</v>
      </c>
      <c r="Y125" s="13">
        <v>3</v>
      </c>
      <c r="Z125" s="13">
        <v>3</v>
      </c>
      <c r="AA125" s="13">
        <v>80</v>
      </c>
      <c r="AB125" s="13">
        <v>0</v>
      </c>
      <c r="AC125" s="13">
        <v>23</v>
      </c>
      <c r="AD125" s="13">
        <v>5</v>
      </c>
      <c r="AE125" s="13">
        <v>3</v>
      </c>
      <c r="AF125" s="14">
        <v>20</v>
      </c>
      <c r="AG125" s="13">
        <v>18</v>
      </c>
      <c r="AH125" s="13">
        <v>15</v>
      </c>
      <c r="AI125" s="13">
        <v>15</v>
      </c>
      <c r="AJ125" s="13" t="str">
        <f t="shared" si="1"/>
        <v>50+</v>
      </c>
      <c r="AK125" s="13" t="str">
        <f>IF(tblCleanData[[#This Row],[MonthlyIncome]]&lt;5000, "Low Income", IF(tblCleanData[[#This Row],[MonthlyIncome]]&lt;15000, "Medium Income", "High Income"))</f>
        <v>High Income</v>
      </c>
      <c r="AL125" s="13">
        <f>IF(tblCleanData[[#This Row],[Attrition]]="No", 0,1)</f>
        <v>0</v>
      </c>
      <c r="AM125" s="13">
        <f>IF(tblCleanData[[#This Row],[OverTime]] = "No", 0, 1)</f>
        <v>0</v>
      </c>
      <c r="AN125" s="13" t="str">
        <f>CHOOSE(tblCleanData[[#This Row],[Education]], "Below College","College","Bachelor","Master","Doctor")</f>
        <v>Bachelor</v>
      </c>
      <c r="AO125" s="13" t="str">
        <f>VLOOKUP(tblCleanData[[#This Row],[EmployeeNumber]],tblHelpers[],15,TRUE)</f>
        <v>Medium Risk</v>
      </c>
      <c r="AP125" s="13">
        <f>VLOOKUP(tblCleanData[[#This Row],[EmployeeNumber]],tblHelpers[],14,0)</f>
        <v>36</v>
      </c>
    </row>
    <row r="126" spans="1:42" x14ac:dyDescent="0.25">
      <c r="A126" s="13">
        <v>31</v>
      </c>
      <c r="B126" s="13" t="s">
        <v>36</v>
      </c>
      <c r="C126" s="13" t="s">
        <v>37</v>
      </c>
      <c r="D126" s="13">
        <v>249</v>
      </c>
      <c r="E126" s="13" t="s">
        <v>39</v>
      </c>
      <c r="F126" s="13">
        <v>6</v>
      </c>
      <c r="G126" s="13">
        <v>4</v>
      </c>
      <c r="H126" s="13" t="s">
        <v>42</v>
      </c>
      <c r="I126" s="13">
        <v>1</v>
      </c>
      <c r="J126" s="13">
        <v>163</v>
      </c>
      <c r="K126" s="13">
        <v>2</v>
      </c>
      <c r="L126" s="13" t="s">
        <v>63</v>
      </c>
      <c r="M126" s="13">
        <v>76</v>
      </c>
      <c r="N126" s="13">
        <v>1</v>
      </c>
      <c r="O126" s="13">
        <v>2</v>
      </c>
      <c r="P126" s="13" t="s">
        <v>46</v>
      </c>
      <c r="Q126" s="13">
        <v>3</v>
      </c>
      <c r="R126" s="13" t="s">
        <v>66</v>
      </c>
      <c r="S126" s="20">
        <v>6172</v>
      </c>
      <c r="T126" s="13">
        <v>20739</v>
      </c>
      <c r="U126" s="13">
        <v>4</v>
      </c>
      <c r="V126" s="13" t="s">
        <v>52</v>
      </c>
      <c r="W126" s="13" t="s">
        <v>36</v>
      </c>
      <c r="X126" s="13">
        <v>18</v>
      </c>
      <c r="Y126" s="13">
        <v>3</v>
      </c>
      <c r="Z126" s="13">
        <v>2</v>
      </c>
      <c r="AA126" s="13">
        <v>80</v>
      </c>
      <c r="AB126" s="13">
        <v>0</v>
      </c>
      <c r="AC126" s="13">
        <v>12</v>
      </c>
      <c r="AD126" s="13">
        <v>3</v>
      </c>
      <c r="AE126" s="13">
        <v>2</v>
      </c>
      <c r="AF126" s="14">
        <v>7</v>
      </c>
      <c r="AG126" s="13">
        <v>7</v>
      </c>
      <c r="AH126" s="13">
        <v>7</v>
      </c>
      <c r="AI126" s="13">
        <v>7</v>
      </c>
      <c r="AJ126" s="13" t="str">
        <f t="shared" si="1"/>
        <v>30-39</v>
      </c>
      <c r="AK126" s="13" t="str">
        <f>IF(tblCleanData[[#This Row],[MonthlyIncome]]&lt;5000, "Low Income", IF(tblCleanData[[#This Row],[MonthlyIncome]]&lt;15000, "Medium Income", "High Income"))</f>
        <v>Medium Income</v>
      </c>
      <c r="AL126" s="13">
        <f>IF(tblCleanData[[#This Row],[Attrition]]="No", 0,1)</f>
        <v>1</v>
      </c>
      <c r="AM126" s="13">
        <f>IF(tblCleanData[[#This Row],[OverTime]] = "No", 0, 1)</f>
        <v>1</v>
      </c>
      <c r="AN126" s="13" t="str">
        <f>CHOOSE(tblCleanData[[#This Row],[Education]], "Below College","College","Bachelor","Master","Doctor")</f>
        <v>Master</v>
      </c>
      <c r="AO126" s="13" t="str">
        <f>VLOOKUP(tblCleanData[[#This Row],[EmployeeNumber]],tblHelpers[],15,TRUE)</f>
        <v>High Risk</v>
      </c>
      <c r="AP126" s="13">
        <f>VLOOKUP(tblCleanData[[#This Row],[EmployeeNumber]],tblHelpers[],14,0)</f>
        <v>71</v>
      </c>
    </row>
    <row r="127" spans="1:42" x14ac:dyDescent="0.25">
      <c r="A127" s="13">
        <v>26</v>
      </c>
      <c r="B127" s="13" t="s">
        <v>59</v>
      </c>
      <c r="C127" s="13" t="s">
        <v>37</v>
      </c>
      <c r="D127" s="13">
        <v>841</v>
      </c>
      <c r="E127" s="13" t="s">
        <v>62</v>
      </c>
      <c r="F127" s="13">
        <v>6</v>
      </c>
      <c r="G127" s="13">
        <v>3</v>
      </c>
      <c r="H127" s="13" t="s">
        <v>74</v>
      </c>
      <c r="I127" s="13">
        <v>1</v>
      </c>
      <c r="J127" s="13">
        <v>164</v>
      </c>
      <c r="K127" s="13">
        <v>3</v>
      </c>
      <c r="L127" s="13" t="s">
        <v>43</v>
      </c>
      <c r="M127" s="13">
        <v>46</v>
      </c>
      <c r="N127" s="13">
        <v>2</v>
      </c>
      <c r="O127" s="13">
        <v>1</v>
      </c>
      <c r="P127" s="13" t="s">
        <v>65</v>
      </c>
      <c r="Q127" s="13">
        <v>2</v>
      </c>
      <c r="R127" s="13" t="s">
        <v>66</v>
      </c>
      <c r="S127" s="20">
        <v>2368</v>
      </c>
      <c r="T127" s="13">
        <v>23300</v>
      </c>
      <c r="U127" s="13">
        <v>1</v>
      </c>
      <c r="V127" s="13" t="s">
        <v>52</v>
      </c>
      <c r="W127" s="13" t="s">
        <v>59</v>
      </c>
      <c r="X127" s="13">
        <v>19</v>
      </c>
      <c r="Y127" s="13">
        <v>3</v>
      </c>
      <c r="Z127" s="13">
        <v>3</v>
      </c>
      <c r="AA127" s="13">
        <v>80</v>
      </c>
      <c r="AB127" s="13">
        <v>0</v>
      </c>
      <c r="AC127" s="13">
        <v>5</v>
      </c>
      <c r="AD127" s="13">
        <v>3</v>
      </c>
      <c r="AE127" s="13">
        <v>2</v>
      </c>
      <c r="AF127" s="14">
        <v>5</v>
      </c>
      <c r="AG127" s="13">
        <v>4</v>
      </c>
      <c r="AH127" s="13">
        <v>4</v>
      </c>
      <c r="AI127" s="13">
        <v>3</v>
      </c>
      <c r="AJ127" s="13" t="str">
        <f t="shared" si="1"/>
        <v>Under 30</v>
      </c>
      <c r="AK127" s="13" t="str">
        <f>IF(tblCleanData[[#This Row],[MonthlyIncome]]&lt;5000, "Low Income", IF(tblCleanData[[#This Row],[MonthlyIncome]]&lt;15000, "Medium Income", "High Income"))</f>
        <v>Low Income</v>
      </c>
      <c r="AL127" s="13">
        <f>IF(tblCleanData[[#This Row],[Attrition]]="No", 0,1)</f>
        <v>0</v>
      </c>
      <c r="AM127" s="13">
        <f>IF(tblCleanData[[#This Row],[OverTime]] = "No", 0, 1)</f>
        <v>0</v>
      </c>
      <c r="AN127" s="13" t="str">
        <f>CHOOSE(tblCleanData[[#This Row],[Education]], "Below College","College","Bachelor","Master","Doctor")</f>
        <v>Bachelor</v>
      </c>
      <c r="AO127" s="13" t="str">
        <f>VLOOKUP(tblCleanData[[#This Row],[EmployeeNumber]],tblHelpers[],15,TRUE)</f>
        <v>High Risk</v>
      </c>
      <c r="AP127" s="13">
        <f>VLOOKUP(tblCleanData[[#This Row],[EmployeeNumber]],tblHelpers[],14,0)</f>
        <v>69</v>
      </c>
    </row>
    <row r="128" spans="1:42" x14ac:dyDescent="0.25">
      <c r="A128" s="13">
        <v>58</v>
      </c>
      <c r="B128" s="13" t="s">
        <v>36</v>
      </c>
      <c r="C128" s="13" t="s">
        <v>37</v>
      </c>
      <c r="D128" s="13">
        <v>147</v>
      </c>
      <c r="E128" s="13" t="s">
        <v>62</v>
      </c>
      <c r="F128" s="13">
        <v>23</v>
      </c>
      <c r="G128" s="13">
        <v>4</v>
      </c>
      <c r="H128" s="13" t="s">
        <v>87</v>
      </c>
      <c r="I128" s="13">
        <v>1</v>
      </c>
      <c r="J128" s="13">
        <v>165</v>
      </c>
      <c r="K128" s="13">
        <v>4</v>
      </c>
      <c r="L128" s="13" t="s">
        <v>43</v>
      </c>
      <c r="M128" s="13">
        <v>94</v>
      </c>
      <c r="N128" s="13">
        <v>3</v>
      </c>
      <c r="O128" s="13">
        <v>3</v>
      </c>
      <c r="P128" s="13" t="s">
        <v>122</v>
      </c>
      <c r="Q128" s="13">
        <v>4</v>
      </c>
      <c r="R128" s="13" t="s">
        <v>66</v>
      </c>
      <c r="S128" s="20">
        <v>10312</v>
      </c>
      <c r="T128" s="13">
        <v>3465</v>
      </c>
      <c r="U128" s="13">
        <v>1</v>
      </c>
      <c r="V128" s="13" t="s">
        <v>52</v>
      </c>
      <c r="W128" s="13" t="s">
        <v>59</v>
      </c>
      <c r="X128" s="13">
        <v>12</v>
      </c>
      <c r="Y128" s="13">
        <v>3</v>
      </c>
      <c r="Z128" s="13">
        <v>4</v>
      </c>
      <c r="AA128" s="13">
        <v>80</v>
      </c>
      <c r="AB128" s="13">
        <v>1</v>
      </c>
      <c r="AC128" s="13">
        <v>40</v>
      </c>
      <c r="AD128" s="13">
        <v>3</v>
      </c>
      <c r="AE128" s="13">
        <v>2</v>
      </c>
      <c r="AF128" s="14">
        <v>40</v>
      </c>
      <c r="AG128" s="13">
        <v>10</v>
      </c>
      <c r="AH128" s="13">
        <v>15</v>
      </c>
      <c r="AI128" s="13">
        <v>6</v>
      </c>
      <c r="AJ128" s="13" t="str">
        <f t="shared" si="1"/>
        <v>50+</v>
      </c>
      <c r="AK128" s="13" t="str">
        <f>IF(tblCleanData[[#This Row],[MonthlyIncome]]&lt;5000, "Low Income", IF(tblCleanData[[#This Row],[MonthlyIncome]]&lt;15000, "Medium Income", "High Income"))</f>
        <v>Medium Income</v>
      </c>
      <c r="AL128" s="13">
        <f>IF(tblCleanData[[#This Row],[Attrition]]="No", 0,1)</f>
        <v>1</v>
      </c>
      <c r="AM128" s="13">
        <f>IF(tblCleanData[[#This Row],[OverTime]] = "No", 0, 1)</f>
        <v>0</v>
      </c>
      <c r="AN128" s="13" t="str">
        <f>CHOOSE(tblCleanData[[#This Row],[Education]], "Below College","College","Bachelor","Master","Doctor")</f>
        <v>Master</v>
      </c>
      <c r="AO128" s="13" t="str">
        <f>VLOOKUP(tblCleanData[[#This Row],[EmployeeNumber]],tblHelpers[],15,TRUE)</f>
        <v>Low Risk</v>
      </c>
      <c r="AP128" s="13">
        <f>VLOOKUP(tblCleanData[[#This Row],[EmployeeNumber]],tblHelpers[],14,0)</f>
        <v>29</v>
      </c>
    </row>
    <row r="129" spans="1:42" x14ac:dyDescent="0.25">
      <c r="A129" s="13">
        <v>19</v>
      </c>
      <c r="B129" s="13" t="s">
        <v>36</v>
      </c>
      <c r="C129" s="13" t="s">
        <v>37</v>
      </c>
      <c r="D129" s="13">
        <v>528</v>
      </c>
      <c r="E129" s="13" t="s">
        <v>39</v>
      </c>
      <c r="F129" s="13">
        <v>22</v>
      </c>
      <c r="G129" s="13">
        <v>1</v>
      </c>
      <c r="H129" s="13" t="s">
        <v>206</v>
      </c>
      <c r="I129" s="13">
        <v>1</v>
      </c>
      <c r="J129" s="13">
        <v>167</v>
      </c>
      <c r="K129" s="13">
        <v>4</v>
      </c>
      <c r="L129" s="13" t="s">
        <v>63</v>
      </c>
      <c r="M129" s="13">
        <v>50</v>
      </c>
      <c r="N129" s="13">
        <v>3</v>
      </c>
      <c r="O129" s="13">
        <v>1</v>
      </c>
      <c r="P129" s="13" t="s">
        <v>182</v>
      </c>
      <c r="Q129" s="13">
        <v>3</v>
      </c>
      <c r="R129" s="13" t="s">
        <v>48</v>
      </c>
      <c r="S129" s="20">
        <v>1675</v>
      </c>
      <c r="T129" s="13">
        <v>26820</v>
      </c>
      <c r="U129" s="13">
        <v>1</v>
      </c>
      <c r="V129" s="13" t="s">
        <v>52</v>
      </c>
      <c r="W129" s="13" t="s">
        <v>36</v>
      </c>
      <c r="X129" s="13">
        <v>19</v>
      </c>
      <c r="Y129" s="13">
        <v>3</v>
      </c>
      <c r="Z129" s="13">
        <v>4</v>
      </c>
      <c r="AA129" s="13">
        <v>80</v>
      </c>
      <c r="AB129" s="13">
        <v>0</v>
      </c>
      <c r="AC129" s="13">
        <v>0</v>
      </c>
      <c r="AD129" s="13">
        <v>2</v>
      </c>
      <c r="AE129" s="13">
        <v>2</v>
      </c>
      <c r="AF129" s="14">
        <v>0</v>
      </c>
      <c r="AG129" s="13">
        <v>0</v>
      </c>
      <c r="AH129" s="13">
        <v>0</v>
      </c>
      <c r="AI129" s="13">
        <v>0</v>
      </c>
      <c r="AJ129" s="13" t="str">
        <f t="shared" si="1"/>
        <v>Under 30</v>
      </c>
      <c r="AK129" s="13" t="str">
        <f>IF(tblCleanData[[#This Row],[MonthlyIncome]]&lt;5000, "Low Income", IF(tblCleanData[[#This Row],[MonthlyIncome]]&lt;15000, "Medium Income", "High Income"))</f>
        <v>Low Income</v>
      </c>
      <c r="AL129" s="13">
        <f>IF(tblCleanData[[#This Row],[Attrition]]="No", 0,1)</f>
        <v>1</v>
      </c>
      <c r="AM129" s="13">
        <f>IF(tblCleanData[[#This Row],[OverTime]] = "No", 0, 1)</f>
        <v>1</v>
      </c>
      <c r="AN129" s="13" t="str">
        <f>CHOOSE(tblCleanData[[#This Row],[Education]], "Below College","College","Bachelor","Master","Doctor")</f>
        <v>Below College</v>
      </c>
      <c r="AO129" s="13" t="str">
        <f>VLOOKUP(tblCleanData[[#This Row],[EmployeeNumber]],tblHelpers[],15,TRUE)</f>
        <v>High Risk</v>
      </c>
      <c r="AP129" s="13">
        <f>VLOOKUP(tblCleanData[[#This Row],[EmployeeNumber]],tblHelpers[],14,0)</f>
        <v>98</v>
      </c>
    </row>
    <row r="130" spans="1:42" x14ac:dyDescent="0.25">
      <c r="A130" s="13">
        <v>22</v>
      </c>
      <c r="B130" s="13" t="s">
        <v>59</v>
      </c>
      <c r="C130" s="13" t="s">
        <v>37</v>
      </c>
      <c r="D130" s="13">
        <v>594</v>
      </c>
      <c r="E130" s="13" t="s">
        <v>62</v>
      </c>
      <c r="F130" s="13">
        <v>2</v>
      </c>
      <c r="G130" s="13">
        <v>1</v>
      </c>
      <c r="H130" s="13" t="s">
        <v>228</v>
      </c>
      <c r="I130" s="13">
        <v>1</v>
      </c>
      <c r="J130" s="13">
        <v>169</v>
      </c>
      <c r="K130" s="13">
        <v>3</v>
      </c>
      <c r="L130" s="13" t="s">
        <v>63</v>
      </c>
      <c r="M130" s="13">
        <v>100</v>
      </c>
      <c r="N130" s="13">
        <v>3</v>
      </c>
      <c r="O130" s="13">
        <v>1</v>
      </c>
      <c r="P130" s="13" t="s">
        <v>76</v>
      </c>
      <c r="Q130" s="13">
        <v>4</v>
      </c>
      <c r="R130" s="13" t="s">
        <v>66</v>
      </c>
      <c r="S130" s="20">
        <v>2523</v>
      </c>
      <c r="T130" s="13">
        <v>19299</v>
      </c>
      <c r="U130" s="13">
        <v>0</v>
      </c>
      <c r="V130" s="13" t="s">
        <v>52</v>
      </c>
      <c r="W130" s="13" t="s">
        <v>59</v>
      </c>
      <c r="X130" s="13">
        <v>14</v>
      </c>
      <c r="Y130" s="13">
        <v>3</v>
      </c>
      <c r="Z130" s="13">
        <v>3</v>
      </c>
      <c r="AA130" s="13">
        <v>80</v>
      </c>
      <c r="AB130" s="13">
        <v>1</v>
      </c>
      <c r="AC130" s="13">
        <v>3</v>
      </c>
      <c r="AD130" s="13">
        <v>2</v>
      </c>
      <c r="AE130" s="13">
        <v>3</v>
      </c>
      <c r="AF130" s="14">
        <v>2</v>
      </c>
      <c r="AG130" s="13">
        <v>1</v>
      </c>
      <c r="AH130" s="13">
        <v>2</v>
      </c>
      <c r="AI130" s="13">
        <v>1</v>
      </c>
      <c r="AJ130" s="13" t="str">
        <f t="shared" ref="AJ130:AJ193" si="2">IF(A130&lt;30,"Under 30", IF(A130&lt;40,"30-39", IF(A130&lt;50,"40-49", "50+")))</f>
        <v>Under 30</v>
      </c>
      <c r="AK130" s="13" t="str">
        <f>IF(tblCleanData[[#This Row],[MonthlyIncome]]&lt;5000, "Low Income", IF(tblCleanData[[#This Row],[MonthlyIncome]]&lt;15000, "Medium Income", "High Income"))</f>
        <v>Low Income</v>
      </c>
      <c r="AL130" s="13">
        <f>IF(tblCleanData[[#This Row],[Attrition]]="No", 0,1)</f>
        <v>0</v>
      </c>
      <c r="AM130" s="13">
        <f>IF(tblCleanData[[#This Row],[OverTime]] = "No", 0, 1)</f>
        <v>0</v>
      </c>
      <c r="AN130" s="13" t="str">
        <f>CHOOSE(tblCleanData[[#This Row],[Education]], "Below College","College","Bachelor","Master","Doctor")</f>
        <v>Below College</v>
      </c>
      <c r="AO130" s="13" t="str">
        <f>VLOOKUP(tblCleanData[[#This Row],[EmployeeNumber]],tblHelpers[],15,TRUE)</f>
        <v>High Risk</v>
      </c>
      <c r="AP130" s="13">
        <f>VLOOKUP(tblCleanData[[#This Row],[EmployeeNumber]],tblHelpers[],14,0)</f>
        <v>66</v>
      </c>
    </row>
    <row r="131" spans="1:42" x14ac:dyDescent="0.25">
      <c r="A131" s="13">
        <v>49</v>
      </c>
      <c r="B131" s="13" t="s">
        <v>59</v>
      </c>
      <c r="C131" s="13" t="s">
        <v>37</v>
      </c>
      <c r="D131" s="13">
        <v>470</v>
      </c>
      <c r="E131" s="13" t="s">
        <v>62</v>
      </c>
      <c r="F131" s="13">
        <v>20</v>
      </c>
      <c r="G131" s="13">
        <v>4</v>
      </c>
      <c r="H131" s="13" t="s">
        <v>87</v>
      </c>
      <c r="I131" s="13">
        <v>1</v>
      </c>
      <c r="J131" s="13">
        <v>170</v>
      </c>
      <c r="K131" s="13">
        <v>3</v>
      </c>
      <c r="L131" s="13" t="s">
        <v>43</v>
      </c>
      <c r="M131" s="13">
        <v>96</v>
      </c>
      <c r="N131" s="13">
        <v>3</v>
      </c>
      <c r="O131" s="13">
        <v>2</v>
      </c>
      <c r="P131" s="13" t="s">
        <v>116</v>
      </c>
      <c r="Q131" s="13">
        <v>1</v>
      </c>
      <c r="R131" s="13" t="s">
        <v>66</v>
      </c>
      <c r="S131" s="20">
        <v>6567</v>
      </c>
      <c r="T131" s="13">
        <v>5549</v>
      </c>
      <c r="U131" s="13">
        <v>1</v>
      </c>
      <c r="V131" s="13" t="s">
        <v>52</v>
      </c>
      <c r="W131" s="13" t="s">
        <v>59</v>
      </c>
      <c r="X131" s="13">
        <v>14</v>
      </c>
      <c r="Y131" s="13">
        <v>3</v>
      </c>
      <c r="Z131" s="13">
        <v>3</v>
      </c>
      <c r="AA131" s="13">
        <v>80</v>
      </c>
      <c r="AB131" s="13">
        <v>0</v>
      </c>
      <c r="AC131" s="13">
        <v>16</v>
      </c>
      <c r="AD131" s="13">
        <v>2</v>
      </c>
      <c r="AE131" s="13">
        <v>2</v>
      </c>
      <c r="AF131" s="14">
        <v>15</v>
      </c>
      <c r="AG131" s="13">
        <v>11</v>
      </c>
      <c r="AH131" s="13">
        <v>5</v>
      </c>
      <c r="AI131" s="13">
        <v>11</v>
      </c>
      <c r="AJ131" s="13" t="str">
        <f t="shared" si="2"/>
        <v>40-49</v>
      </c>
      <c r="AK131" s="13" t="str">
        <f>IF(tblCleanData[[#This Row],[MonthlyIncome]]&lt;5000, "Low Income", IF(tblCleanData[[#This Row],[MonthlyIncome]]&lt;15000, "Medium Income", "High Income"))</f>
        <v>Medium Income</v>
      </c>
      <c r="AL131" s="13">
        <f>IF(tblCleanData[[#This Row],[Attrition]]="No", 0,1)</f>
        <v>0</v>
      </c>
      <c r="AM131" s="13">
        <f>IF(tblCleanData[[#This Row],[OverTime]] = "No", 0, 1)</f>
        <v>0</v>
      </c>
      <c r="AN131" s="13" t="str">
        <f>CHOOSE(tblCleanData[[#This Row],[Education]], "Below College","College","Bachelor","Master","Doctor")</f>
        <v>Master</v>
      </c>
      <c r="AO131" s="13" t="str">
        <f>VLOOKUP(tblCleanData[[#This Row],[EmployeeNumber]],tblHelpers[],15,TRUE)</f>
        <v>Medium Risk</v>
      </c>
      <c r="AP131" s="13">
        <f>VLOOKUP(tblCleanData[[#This Row],[EmployeeNumber]],tblHelpers[],14,0)</f>
        <v>43</v>
      </c>
    </row>
    <row r="132" spans="1:42" x14ac:dyDescent="0.25">
      <c r="A132" s="13">
        <v>43</v>
      </c>
      <c r="B132" s="13" t="s">
        <v>59</v>
      </c>
      <c r="C132" s="13" t="s">
        <v>60</v>
      </c>
      <c r="D132" s="13">
        <v>957</v>
      </c>
      <c r="E132" s="13" t="s">
        <v>62</v>
      </c>
      <c r="F132" s="13">
        <v>28</v>
      </c>
      <c r="G132" s="13">
        <v>3</v>
      </c>
      <c r="H132" s="13" t="s">
        <v>87</v>
      </c>
      <c r="I132" s="13">
        <v>1</v>
      </c>
      <c r="J132" s="13">
        <v>171</v>
      </c>
      <c r="K132" s="13">
        <v>2</v>
      </c>
      <c r="L132" s="13" t="s">
        <v>43</v>
      </c>
      <c r="M132" s="13">
        <v>72</v>
      </c>
      <c r="N132" s="13">
        <v>4</v>
      </c>
      <c r="O132" s="13">
        <v>1</v>
      </c>
      <c r="P132" s="13" t="s">
        <v>65</v>
      </c>
      <c r="Q132" s="13">
        <v>3</v>
      </c>
      <c r="R132" s="13" t="s">
        <v>48</v>
      </c>
      <c r="S132" s="20">
        <v>4739</v>
      </c>
      <c r="T132" s="13">
        <v>16090</v>
      </c>
      <c r="U132" s="13">
        <v>4</v>
      </c>
      <c r="V132" s="13" t="s">
        <v>52</v>
      </c>
      <c r="W132" s="13" t="s">
        <v>59</v>
      </c>
      <c r="X132" s="13">
        <v>12</v>
      </c>
      <c r="Y132" s="13">
        <v>3</v>
      </c>
      <c r="Z132" s="13">
        <v>4</v>
      </c>
      <c r="AA132" s="13">
        <v>80</v>
      </c>
      <c r="AB132" s="13">
        <v>0</v>
      </c>
      <c r="AC132" s="13">
        <v>18</v>
      </c>
      <c r="AD132" s="13">
        <v>2</v>
      </c>
      <c r="AE132" s="13">
        <v>3</v>
      </c>
      <c r="AF132" s="14">
        <v>3</v>
      </c>
      <c r="AG132" s="13">
        <v>2</v>
      </c>
      <c r="AH132" s="13">
        <v>1</v>
      </c>
      <c r="AI132" s="13">
        <v>2</v>
      </c>
      <c r="AJ132" s="13" t="str">
        <f t="shared" si="2"/>
        <v>40-49</v>
      </c>
      <c r="AK132" s="13" t="str">
        <f>IF(tblCleanData[[#This Row],[MonthlyIncome]]&lt;5000, "Low Income", IF(tblCleanData[[#This Row],[MonthlyIncome]]&lt;15000, "Medium Income", "High Income"))</f>
        <v>Low Income</v>
      </c>
      <c r="AL132" s="13">
        <f>IF(tblCleanData[[#This Row],[Attrition]]="No", 0,1)</f>
        <v>0</v>
      </c>
      <c r="AM132" s="13">
        <f>IF(tblCleanData[[#This Row],[OverTime]] = "No", 0, 1)</f>
        <v>0</v>
      </c>
      <c r="AN132" s="13" t="str">
        <f>CHOOSE(tblCleanData[[#This Row],[Education]], "Below College","College","Bachelor","Master","Doctor")</f>
        <v>Bachelor</v>
      </c>
      <c r="AO132" s="13" t="str">
        <f>VLOOKUP(tblCleanData[[#This Row],[EmployeeNumber]],tblHelpers[],15,TRUE)</f>
        <v>Medium Risk</v>
      </c>
      <c r="AP132" s="13">
        <f>VLOOKUP(tblCleanData[[#This Row],[EmployeeNumber]],tblHelpers[],14,0)</f>
        <v>43</v>
      </c>
    </row>
    <row r="133" spans="1:42" x14ac:dyDescent="0.25">
      <c r="A133" s="13">
        <v>50</v>
      </c>
      <c r="B133" s="13" t="s">
        <v>59</v>
      </c>
      <c r="C133" s="13" t="s">
        <v>60</v>
      </c>
      <c r="D133" s="13">
        <v>809</v>
      </c>
      <c r="E133" s="13" t="s">
        <v>39</v>
      </c>
      <c r="F133" s="13">
        <v>12</v>
      </c>
      <c r="G133" s="13">
        <v>3</v>
      </c>
      <c r="H133" s="13" t="s">
        <v>206</v>
      </c>
      <c r="I133" s="13">
        <v>1</v>
      </c>
      <c r="J133" s="13">
        <v>174</v>
      </c>
      <c r="K133" s="13">
        <v>3</v>
      </c>
      <c r="L133" s="13" t="s">
        <v>43</v>
      </c>
      <c r="M133" s="13">
        <v>77</v>
      </c>
      <c r="N133" s="13">
        <v>3</v>
      </c>
      <c r="O133" s="13">
        <v>3</v>
      </c>
      <c r="P133" s="13" t="s">
        <v>46</v>
      </c>
      <c r="Q133" s="13">
        <v>4</v>
      </c>
      <c r="R133" s="13" t="s">
        <v>48</v>
      </c>
      <c r="S133" s="20">
        <v>9208</v>
      </c>
      <c r="T133" s="13">
        <v>6645</v>
      </c>
      <c r="U133" s="13">
        <v>4</v>
      </c>
      <c r="V133" s="13" t="s">
        <v>52</v>
      </c>
      <c r="W133" s="13" t="s">
        <v>59</v>
      </c>
      <c r="X133" s="13">
        <v>11</v>
      </c>
      <c r="Y133" s="13">
        <v>3</v>
      </c>
      <c r="Z133" s="13">
        <v>4</v>
      </c>
      <c r="AA133" s="13">
        <v>80</v>
      </c>
      <c r="AB133" s="13">
        <v>0</v>
      </c>
      <c r="AC133" s="13">
        <v>16</v>
      </c>
      <c r="AD133" s="13">
        <v>3</v>
      </c>
      <c r="AE133" s="13">
        <v>3</v>
      </c>
      <c r="AF133" s="14">
        <v>2</v>
      </c>
      <c r="AG133" s="13">
        <v>2</v>
      </c>
      <c r="AH133" s="13">
        <v>2</v>
      </c>
      <c r="AI133" s="13">
        <v>1</v>
      </c>
      <c r="AJ133" s="13" t="str">
        <f t="shared" si="2"/>
        <v>50+</v>
      </c>
      <c r="AK133" s="13" t="str">
        <f>IF(tblCleanData[[#This Row],[MonthlyIncome]]&lt;5000, "Low Income", IF(tblCleanData[[#This Row],[MonthlyIncome]]&lt;15000, "Medium Income", "High Income"))</f>
        <v>Medium Income</v>
      </c>
      <c r="AL133" s="13">
        <f>IF(tblCleanData[[#This Row],[Attrition]]="No", 0,1)</f>
        <v>0</v>
      </c>
      <c r="AM133" s="13">
        <f>IF(tblCleanData[[#This Row],[OverTime]] = "No", 0, 1)</f>
        <v>0</v>
      </c>
      <c r="AN133" s="13" t="str">
        <f>CHOOSE(tblCleanData[[#This Row],[Education]], "Below College","College","Bachelor","Master","Doctor")</f>
        <v>Bachelor</v>
      </c>
      <c r="AO133" s="13" t="str">
        <f>VLOOKUP(tblCleanData[[#This Row],[EmployeeNumber]],tblHelpers[],15,TRUE)</f>
        <v>Medium Risk</v>
      </c>
      <c r="AP133" s="13">
        <f>VLOOKUP(tblCleanData[[#This Row],[EmployeeNumber]],tblHelpers[],14,0)</f>
        <v>51</v>
      </c>
    </row>
    <row r="134" spans="1:42" x14ac:dyDescent="0.25">
      <c r="A134" s="13">
        <v>31</v>
      </c>
      <c r="B134" s="13" t="s">
        <v>36</v>
      </c>
      <c r="C134" s="13" t="s">
        <v>37</v>
      </c>
      <c r="D134" s="13">
        <v>542</v>
      </c>
      <c r="E134" s="13" t="s">
        <v>39</v>
      </c>
      <c r="F134" s="13">
        <v>20</v>
      </c>
      <c r="G134" s="13">
        <v>3</v>
      </c>
      <c r="H134" s="13" t="s">
        <v>42</v>
      </c>
      <c r="I134" s="13">
        <v>1</v>
      </c>
      <c r="J134" s="13">
        <v>175</v>
      </c>
      <c r="K134" s="13">
        <v>2</v>
      </c>
      <c r="L134" s="13" t="s">
        <v>43</v>
      </c>
      <c r="M134" s="13">
        <v>71</v>
      </c>
      <c r="N134" s="13">
        <v>1</v>
      </c>
      <c r="O134" s="13">
        <v>2</v>
      </c>
      <c r="P134" s="13" t="s">
        <v>46</v>
      </c>
      <c r="Q134" s="13">
        <v>3</v>
      </c>
      <c r="R134" s="13" t="s">
        <v>66</v>
      </c>
      <c r="S134" s="20">
        <v>4559</v>
      </c>
      <c r="T134" s="13">
        <v>24788</v>
      </c>
      <c r="U134" s="13">
        <v>3</v>
      </c>
      <c r="V134" s="13" t="s">
        <v>52</v>
      </c>
      <c r="W134" s="13" t="s">
        <v>36</v>
      </c>
      <c r="X134" s="13">
        <v>11</v>
      </c>
      <c r="Y134" s="13">
        <v>3</v>
      </c>
      <c r="Z134" s="13">
        <v>3</v>
      </c>
      <c r="AA134" s="13">
        <v>80</v>
      </c>
      <c r="AB134" s="13">
        <v>1</v>
      </c>
      <c r="AC134" s="13">
        <v>4</v>
      </c>
      <c r="AD134" s="13">
        <v>2</v>
      </c>
      <c r="AE134" s="13">
        <v>3</v>
      </c>
      <c r="AF134" s="14">
        <v>2</v>
      </c>
      <c r="AG134" s="13">
        <v>2</v>
      </c>
      <c r="AH134" s="13">
        <v>2</v>
      </c>
      <c r="AI134" s="13">
        <v>2</v>
      </c>
      <c r="AJ134" s="13" t="str">
        <f t="shared" si="2"/>
        <v>30-39</v>
      </c>
      <c r="AK134" s="13" t="str">
        <f>IF(tblCleanData[[#This Row],[MonthlyIncome]]&lt;5000, "Low Income", IF(tblCleanData[[#This Row],[MonthlyIncome]]&lt;15000, "Medium Income", "High Income"))</f>
        <v>Low Income</v>
      </c>
      <c r="AL134" s="13">
        <f>IF(tblCleanData[[#This Row],[Attrition]]="No", 0,1)</f>
        <v>1</v>
      </c>
      <c r="AM134" s="13">
        <f>IF(tblCleanData[[#This Row],[OverTime]] = "No", 0, 1)</f>
        <v>1</v>
      </c>
      <c r="AN134" s="13" t="str">
        <f>CHOOSE(tblCleanData[[#This Row],[Education]], "Below College","College","Bachelor","Master","Doctor")</f>
        <v>Bachelor</v>
      </c>
      <c r="AO134" s="13" t="str">
        <f>VLOOKUP(tblCleanData[[#This Row],[EmployeeNumber]],tblHelpers[],15,TRUE)</f>
        <v>High Risk</v>
      </c>
      <c r="AP134" s="13">
        <f>VLOOKUP(tblCleanData[[#This Row],[EmployeeNumber]],tblHelpers[],14,0)</f>
        <v>88</v>
      </c>
    </row>
    <row r="135" spans="1:42" x14ac:dyDescent="0.25">
      <c r="A135" s="13">
        <v>41</v>
      </c>
      <c r="B135" s="13" t="s">
        <v>59</v>
      </c>
      <c r="C135" s="13" t="s">
        <v>37</v>
      </c>
      <c r="D135" s="13">
        <v>802</v>
      </c>
      <c r="E135" s="13" t="s">
        <v>39</v>
      </c>
      <c r="F135" s="13">
        <v>9</v>
      </c>
      <c r="G135" s="13">
        <v>1</v>
      </c>
      <c r="H135" s="13" t="s">
        <v>42</v>
      </c>
      <c r="I135" s="13">
        <v>1</v>
      </c>
      <c r="J135" s="13">
        <v>176</v>
      </c>
      <c r="K135" s="13">
        <v>3</v>
      </c>
      <c r="L135" s="13" t="s">
        <v>63</v>
      </c>
      <c r="M135" s="13">
        <v>96</v>
      </c>
      <c r="N135" s="13">
        <v>3</v>
      </c>
      <c r="O135" s="13">
        <v>3</v>
      </c>
      <c r="P135" s="13" t="s">
        <v>46</v>
      </c>
      <c r="Q135" s="13">
        <v>3</v>
      </c>
      <c r="R135" s="13" t="s">
        <v>109</v>
      </c>
      <c r="S135" s="20">
        <v>8189</v>
      </c>
      <c r="T135" s="13">
        <v>21196</v>
      </c>
      <c r="U135" s="13">
        <v>3</v>
      </c>
      <c r="V135" s="13" t="s">
        <v>52</v>
      </c>
      <c r="W135" s="13" t="s">
        <v>36</v>
      </c>
      <c r="X135" s="13">
        <v>13</v>
      </c>
      <c r="Y135" s="13">
        <v>3</v>
      </c>
      <c r="Z135" s="13">
        <v>3</v>
      </c>
      <c r="AA135" s="13">
        <v>80</v>
      </c>
      <c r="AB135" s="13">
        <v>1</v>
      </c>
      <c r="AC135" s="13">
        <v>12</v>
      </c>
      <c r="AD135" s="13">
        <v>2</v>
      </c>
      <c r="AE135" s="13">
        <v>3</v>
      </c>
      <c r="AF135" s="14">
        <v>9</v>
      </c>
      <c r="AG135" s="13">
        <v>7</v>
      </c>
      <c r="AH135" s="13">
        <v>0</v>
      </c>
      <c r="AI135" s="13">
        <v>7</v>
      </c>
      <c r="AJ135" s="13" t="str">
        <f t="shared" si="2"/>
        <v>40-49</v>
      </c>
      <c r="AK135" s="13" t="str">
        <f>IF(tblCleanData[[#This Row],[MonthlyIncome]]&lt;5000, "Low Income", IF(tblCleanData[[#This Row],[MonthlyIncome]]&lt;15000, "Medium Income", "High Income"))</f>
        <v>Medium Income</v>
      </c>
      <c r="AL135" s="13">
        <f>IF(tblCleanData[[#This Row],[Attrition]]="No", 0,1)</f>
        <v>0</v>
      </c>
      <c r="AM135" s="13">
        <f>IF(tblCleanData[[#This Row],[OverTime]] = "No", 0, 1)</f>
        <v>1</v>
      </c>
      <c r="AN135" s="13" t="str">
        <f>CHOOSE(tblCleanData[[#This Row],[Education]], "Below College","College","Bachelor","Master","Doctor")</f>
        <v>Below College</v>
      </c>
      <c r="AO135" s="13" t="str">
        <f>VLOOKUP(tblCleanData[[#This Row],[EmployeeNumber]],tblHelpers[],15,TRUE)</f>
        <v>High Risk</v>
      </c>
      <c r="AP135" s="13">
        <f>VLOOKUP(tblCleanData[[#This Row],[EmployeeNumber]],tblHelpers[],14,0)</f>
        <v>61</v>
      </c>
    </row>
    <row r="136" spans="1:42" x14ac:dyDescent="0.25">
      <c r="A136" s="13">
        <v>26</v>
      </c>
      <c r="B136" s="13" t="s">
        <v>59</v>
      </c>
      <c r="C136" s="13" t="s">
        <v>37</v>
      </c>
      <c r="D136" s="13">
        <v>1355</v>
      </c>
      <c r="E136" s="13" t="s">
        <v>397</v>
      </c>
      <c r="F136" s="13">
        <v>25</v>
      </c>
      <c r="G136" s="13">
        <v>1</v>
      </c>
      <c r="H136" s="13" t="s">
        <v>42</v>
      </c>
      <c r="I136" s="13">
        <v>1</v>
      </c>
      <c r="J136" s="13">
        <v>177</v>
      </c>
      <c r="K136" s="13">
        <v>3</v>
      </c>
      <c r="L136" s="13" t="s">
        <v>43</v>
      </c>
      <c r="M136" s="13">
        <v>61</v>
      </c>
      <c r="N136" s="13">
        <v>3</v>
      </c>
      <c r="O136" s="13">
        <v>1</v>
      </c>
      <c r="P136" s="13" t="s">
        <v>397</v>
      </c>
      <c r="Q136" s="13">
        <v>3</v>
      </c>
      <c r="R136" s="13" t="s">
        <v>66</v>
      </c>
      <c r="S136" s="20">
        <v>2942</v>
      </c>
      <c r="T136" s="13">
        <v>8916</v>
      </c>
      <c r="U136" s="13">
        <v>1</v>
      </c>
      <c r="V136" s="13" t="s">
        <v>52</v>
      </c>
      <c r="W136" s="13" t="s">
        <v>59</v>
      </c>
      <c r="X136" s="13">
        <v>23</v>
      </c>
      <c r="Y136" s="13">
        <v>4</v>
      </c>
      <c r="Z136" s="13">
        <v>4</v>
      </c>
      <c r="AA136" s="13">
        <v>80</v>
      </c>
      <c r="AB136" s="13">
        <v>1</v>
      </c>
      <c r="AC136" s="13">
        <v>8</v>
      </c>
      <c r="AD136" s="13">
        <v>3</v>
      </c>
      <c r="AE136" s="13">
        <v>3</v>
      </c>
      <c r="AF136" s="14">
        <v>8</v>
      </c>
      <c r="AG136" s="13">
        <v>7</v>
      </c>
      <c r="AH136" s="13">
        <v>5</v>
      </c>
      <c r="AI136" s="13">
        <v>7</v>
      </c>
      <c r="AJ136" s="13" t="str">
        <f t="shared" si="2"/>
        <v>Under 30</v>
      </c>
      <c r="AK136" s="13" t="str">
        <f>IF(tblCleanData[[#This Row],[MonthlyIncome]]&lt;5000, "Low Income", IF(tblCleanData[[#This Row],[MonthlyIncome]]&lt;15000, "Medium Income", "High Income"))</f>
        <v>Low Income</v>
      </c>
      <c r="AL136" s="13">
        <f>IF(tblCleanData[[#This Row],[Attrition]]="No", 0,1)</f>
        <v>0</v>
      </c>
      <c r="AM136" s="13">
        <f>IF(tblCleanData[[#This Row],[OverTime]] = "No", 0, 1)</f>
        <v>0</v>
      </c>
      <c r="AN136" s="13" t="str">
        <f>CHOOSE(tblCleanData[[#This Row],[Education]], "Below College","College","Bachelor","Master","Doctor")</f>
        <v>Below College</v>
      </c>
      <c r="AO136" s="13" t="str">
        <f>VLOOKUP(tblCleanData[[#This Row],[EmployeeNumber]],tblHelpers[],15,TRUE)</f>
        <v>High Risk</v>
      </c>
      <c r="AP136" s="13">
        <f>VLOOKUP(tblCleanData[[#This Row],[EmployeeNumber]],tblHelpers[],14,0)</f>
        <v>56</v>
      </c>
    </row>
    <row r="137" spans="1:42" x14ac:dyDescent="0.25">
      <c r="A137" s="13">
        <v>36</v>
      </c>
      <c r="B137" s="13" t="s">
        <v>59</v>
      </c>
      <c r="C137" s="13" t="s">
        <v>37</v>
      </c>
      <c r="D137" s="13">
        <v>216</v>
      </c>
      <c r="E137" s="13" t="s">
        <v>62</v>
      </c>
      <c r="F137" s="13">
        <v>6</v>
      </c>
      <c r="G137" s="13">
        <v>2</v>
      </c>
      <c r="H137" s="13" t="s">
        <v>87</v>
      </c>
      <c r="I137" s="13">
        <v>1</v>
      </c>
      <c r="J137" s="13">
        <v>178</v>
      </c>
      <c r="K137" s="13">
        <v>2</v>
      </c>
      <c r="L137" s="13" t="s">
        <v>63</v>
      </c>
      <c r="M137" s="13">
        <v>84</v>
      </c>
      <c r="N137" s="13">
        <v>3</v>
      </c>
      <c r="O137" s="13">
        <v>2</v>
      </c>
      <c r="P137" s="13" t="s">
        <v>116</v>
      </c>
      <c r="Q137" s="13">
        <v>2</v>
      </c>
      <c r="R137" s="13" t="s">
        <v>109</v>
      </c>
      <c r="S137" s="20">
        <v>4941</v>
      </c>
      <c r="T137" s="13">
        <v>2819</v>
      </c>
      <c r="U137" s="13">
        <v>6</v>
      </c>
      <c r="V137" s="13" t="s">
        <v>52</v>
      </c>
      <c r="W137" s="13" t="s">
        <v>59</v>
      </c>
      <c r="X137" s="13">
        <v>20</v>
      </c>
      <c r="Y137" s="13">
        <v>4</v>
      </c>
      <c r="Z137" s="13">
        <v>4</v>
      </c>
      <c r="AA137" s="13">
        <v>80</v>
      </c>
      <c r="AB137" s="13">
        <v>2</v>
      </c>
      <c r="AC137" s="13">
        <v>7</v>
      </c>
      <c r="AD137" s="13">
        <v>0</v>
      </c>
      <c r="AE137" s="13">
        <v>3</v>
      </c>
      <c r="AF137" s="14">
        <v>3</v>
      </c>
      <c r="AG137" s="13">
        <v>2</v>
      </c>
      <c r="AH137" s="13">
        <v>0</v>
      </c>
      <c r="AI137" s="13">
        <v>1</v>
      </c>
      <c r="AJ137" s="13" t="str">
        <f t="shared" si="2"/>
        <v>30-39</v>
      </c>
      <c r="AK137" s="13" t="str">
        <f>IF(tblCleanData[[#This Row],[MonthlyIncome]]&lt;5000, "Low Income", IF(tblCleanData[[#This Row],[MonthlyIncome]]&lt;15000, "Medium Income", "High Income"))</f>
        <v>Low Income</v>
      </c>
      <c r="AL137" s="13">
        <f>IF(tblCleanData[[#This Row],[Attrition]]="No", 0,1)</f>
        <v>0</v>
      </c>
      <c r="AM137" s="13">
        <f>IF(tblCleanData[[#This Row],[OverTime]] = "No", 0, 1)</f>
        <v>0</v>
      </c>
      <c r="AN137" s="13" t="str">
        <f>CHOOSE(tblCleanData[[#This Row],[Education]], "Below College","College","Bachelor","Master","Doctor")</f>
        <v>College</v>
      </c>
      <c r="AO137" s="13" t="str">
        <f>VLOOKUP(tblCleanData[[#This Row],[EmployeeNumber]],tblHelpers[],15,TRUE)</f>
        <v>High Risk</v>
      </c>
      <c r="AP137" s="13">
        <f>VLOOKUP(tblCleanData[[#This Row],[EmployeeNumber]],tblHelpers[],14,0)</f>
        <v>59</v>
      </c>
    </row>
    <row r="138" spans="1:42" x14ac:dyDescent="0.25">
      <c r="A138" s="13">
        <v>51</v>
      </c>
      <c r="B138" s="13" t="s">
        <v>36</v>
      </c>
      <c r="C138" s="13" t="s">
        <v>60</v>
      </c>
      <c r="D138" s="13">
        <v>1150</v>
      </c>
      <c r="E138" s="13" t="s">
        <v>62</v>
      </c>
      <c r="F138" s="13">
        <v>8</v>
      </c>
      <c r="G138" s="13">
        <v>4</v>
      </c>
      <c r="H138" s="13" t="s">
        <v>42</v>
      </c>
      <c r="I138" s="13">
        <v>1</v>
      </c>
      <c r="J138" s="13">
        <v>179</v>
      </c>
      <c r="K138" s="13">
        <v>1</v>
      </c>
      <c r="L138" s="13" t="s">
        <v>63</v>
      </c>
      <c r="M138" s="13">
        <v>53</v>
      </c>
      <c r="N138" s="13">
        <v>1</v>
      </c>
      <c r="O138" s="13">
        <v>3</v>
      </c>
      <c r="P138" s="13" t="s">
        <v>116</v>
      </c>
      <c r="Q138" s="13">
        <v>4</v>
      </c>
      <c r="R138" s="13" t="s">
        <v>48</v>
      </c>
      <c r="S138" s="20">
        <v>10650</v>
      </c>
      <c r="T138" s="13">
        <v>25150</v>
      </c>
      <c r="U138" s="13">
        <v>2</v>
      </c>
      <c r="V138" s="13" t="s">
        <v>52</v>
      </c>
      <c r="W138" s="13" t="s">
        <v>59</v>
      </c>
      <c r="X138" s="13">
        <v>15</v>
      </c>
      <c r="Y138" s="13">
        <v>3</v>
      </c>
      <c r="Z138" s="13">
        <v>4</v>
      </c>
      <c r="AA138" s="13">
        <v>80</v>
      </c>
      <c r="AB138" s="13">
        <v>0</v>
      </c>
      <c r="AC138" s="13">
        <v>18</v>
      </c>
      <c r="AD138" s="13">
        <v>2</v>
      </c>
      <c r="AE138" s="13">
        <v>3</v>
      </c>
      <c r="AF138" s="14">
        <v>4</v>
      </c>
      <c r="AG138" s="13">
        <v>2</v>
      </c>
      <c r="AH138" s="13">
        <v>0</v>
      </c>
      <c r="AI138" s="13">
        <v>3</v>
      </c>
      <c r="AJ138" s="13" t="str">
        <f t="shared" si="2"/>
        <v>50+</v>
      </c>
      <c r="AK138" s="13" t="str">
        <f>IF(tblCleanData[[#This Row],[MonthlyIncome]]&lt;5000, "Low Income", IF(tblCleanData[[#This Row],[MonthlyIncome]]&lt;15000, "Medium Income", "High Income"))</f>
        <v>Medium Income</v>
      </c>
      <c r="AL138" s="13">
        <f>IF(tblCleanData[[#This Row],[Attrition]]="No", 0,1)</f>
        <v>1</v>
      </c>
      <c r="AM138" s="13">
        <f>IF(tblCleanData[[#This Row],[OverTime]] = "No", 0, 1)</f>
        <v>0</v>
      </c>
      <c r="AN138" s="13" t="str">
        <f>CHOOSE(tblCleanData[[#This Row],[Education]], "Below College","College","Bachelor","Master","Doctor")</f>
        <v>Master</v>
      </c>
      <c r="AO138" s="13" t="str">
        <f>VLOOKUP(tblCleanData[[#This Row],[EmployeeNumber]],tblHelpers[],15,TRUE)</f>
        <v>Medium Risk</v>
      </c>
      <c r="AP138" s="13">
        <f>VLOOKUP(tblCleanData[[#This Row],[EmployeeNumber]],tblHelpers[],14,0)</f>
        <v>41</v>
      </c>
    </row>
    <row r="139" spans="1:42" x14ac:dyDescent="0.25">
      <c r="A139" s="13">
        <v>39</v>
      </c>
      <c r="B139" s="13" t="s">
        <v>59</v>
      </c>
      <c r="C139" s="13" t="s">
        <v>37</v>
      </c>
      <c r="D139" s="13">
        <v>1329</v>
      </c>
      <c r="E139" s="13" t="s">
        <v>39</v>
      </c>
      <c r="F139" s="13">
        <v>4</v>
      </c>
      <c r="G139" s="13">
        <v>4</v>
      </c>
      <c r="H139" s="13" t="s">
        <v>42</v>
      </c>
      <c r="I139" s="13">
        <v>1</v>
      </c>
      <c r="J139" s="13">
        <v>182</v>
      </c>
      <c r="K139" s="13">
        <v>4</v>
      </c>
      <c r="L139" s="13" t="s">
        <v>43</v>
      </c>
      <c r="M139" s="13">
        <v>47</v>
      </c>
      <c r="N139" s="13">
        <v>2</v>
      </c>
      <c r="O139" s="13">
        <v>2</v>
      </c>
      <c r="P139" s="13" t="s">
        <v>46</v>
      </c>
      <c r="Q139" s="13">
        <v>3</v>
      </c>
      <c r="R139" s="13" t="s">
        <v>66</v>
      </c>
      <c r="S139" s="20">
        <v>5902</v>
      </c>
      <c r="T139" s="13">
        <v>14590</v>
      </c>
      <c r="U139" s="13">
        <v>4</v>
      </c>
      <c r="V139" s="13" t="s">
        <v>52</v>
      </c>
      <c r="W139" s="13" t="s">
        <v>59</v>
      </c>
      <c r="X139" s="13">
        <v>14</v>
      </c>
      <c r="Y139" s="13">
        <v>3</v>
      </c>
      <c r="Z139" s="13">
        <v>3</v>
      </c>
      <c r="AA139" s="13">
        <v>80</v>
      </c>
      <c r="AB139" s="13">
        <v>1</v>
      </c>
      <c r="AC139" s="13">
        <v>17</v>
      </c>
      <c r="AD139" s="13">
        <v>1</v>
      </c>
      <c r="AE139" s="13">
        <v>4</v>
      </c>
      <c r="AF139" s="14">
        <v>15</v>
      </c>
      <c r="AG139" s="13">
        <v>11</v>
      </c>
      <c r="AH139" s="13">
        <v>5</v>
      </c>
      <c r="AI139" s="13">
        <v>9</v>
      </c>
      <c r="AJ139" s="13" t="str">
        <f t="shared" si="2"/>
        <v>30-39</v>
      </c>
      <c r="AK139" s="13" t="str">
        <f>IF(tblCleanData[[#This Row],[MonthlyIncome]]&lt;5000, "Low Income", IF(tblCleanData[[#This Row],[MonthlyIncome]]&lt;15000, "Medium Income", "High Income"))</f>
        <v>Medium Income</v>
      </c>
      <c r="AL139" s="13">
        <f>IF(tblCleanData[[#This Row],[Attrition]]="No", 0,1)</f>
        <v>0</v>
      </c>
      <c r="AM139" s="13">
        <f>IF(tblCleanData[[#This Row],[OverTime]] = "No", 0, 1)</f>
        <v>0</v>
      </c>
      <c r="AN139" s="13" t="str">
        <f>CHOOSE(tblCleanData[[#This Row],[Education]], "Below College","College","Bachelor","Master","Doctor")</f>
        <v>Master</v>
      </c>
      <c r="AO139" s="13" t="str">
        <f>VLOOKUP(tblCleanData[[#This Row],[EmployeeNumber]],tblHelpers[],15,TRUE)</f>
        <v>Medium Risk</v>
      </c>
      <c r="AP139" s="13">
        <f>VLOOKUP(tblCleanData[[#This Row],[EmployeeNumber]],tblHelpers[],14,0)</f>
        <v>41</v>
      </c>
    </row>
    <row r="140" spans="1:42" x14ac:dyDescent="0.25">
      <c r="A140" s="13">
        <v>25</v>
      </c>
      <c r="B140" s="13" t="s">
        <v>59</v>
      </c>
      <c r="C140" s="13" t="s">
        <v>37</v>
      </c>
      <c r="D140" s="13">
        <v>959</v>
      </c>
      <c r="E140" s="13" t="s">
        <v>39</v>
      </c>
      <c r="F140" s="13">
        <v>28</v>
      </c>
      <c r="G140" s="13">
        <v>3</v>
      </c>
      <c r="H140" s="13" t="s">
        <v>42</v>
      </c>
      <c r="I140" s="13">
        <v>1</v>
      </c>
      <c r="J140" s="13">
        <v>183</v>
      </c>
      <c r="K140" s="13">
        <v>1</v>
      </c>
      <c r="L140" s="13" t="s">
        <v>63</v>
      </c>
      <c r="M140" s="13">
        <v>41</v>
      </c>
      <c r="N140" s="13">
        <v>2</v>
      </c>
      <c r="O140" s="13">
        <v>2</v>
      </c>
      <c r="P140" s="13" t="s">
        <v>46</v>
      </c>
      <c r="Q140" s="13">
        <v>3</v>
      </c>
      <c r="R140" s="13" t="s">
        <v>66</v>
      </c>
      <c r="S140" s="20">
        <v>8639</v>
      </c>
      <c r="T140" s="13">
        <v>24835</v>
      </c>
      <c r="U140" s="13">
        <v>2</v>
      </c>
      <c r="V140" s="13" t="s">
        <v>52</v>
      </c>
      <c r="W140" s="13" t="s">
        <v>59</v>
      </c>
      <c r="X140" s="13">
        <v>18</v>
      </c>
      <c r="Y140" s="13">
        <v>3</v>
      </c>
      <c r="Z140" s="13">
        <v>4</v>
      </c>
      <c r="AA140" s="13">
        <v>80</v>
      </c>
      <c r="AB140" s="13">
        <v>0</v>
      </c>
      <c r="AC140" s="13">
        <v>6</v>
      </c>
      <c r="AD140" s="13">
        <v>3</v>
      </c>
      <c r="AE140" s="13">
        <v>3</v>
      </c>
      <c r="AF140" s="14">
        <v>2</v>
      </c>
      <c r="AG140" s="13">
        <v>2</v>
      </c>
      <c r="AH140" s="13">
        <v>2</v>
      </c>
      <c r="AI140" s="13">
        <v>2</v>
      </c>
      <c r="AJ140" s="13" t="str">
        <f t="shared" si="2"/>
        <v>Under 30</v>
      </c>
      <c r="AK140" s="13" t="str">
        <f>IF(tblCleanData[[#This Row],[MonthlyIncome]]&lt;5000, "Low Income", IF(tblCleanData[[#This Row],[MonthlyIncome]]&lt;15000, "Medium Income", "High Income"))</f>
        <v>Medium Income</v>
      </c>
      <c r="AL140" s="13">
        <f>IF(tblCleanData[[#This Row],[Attrition]]="No", 0,1)</f>
        <v>0</v>
      </c>
      <c r="AM140" s="13">
        <f>IF(tblCleanData[[#This Row],[OverTime]] = "No", 0, 1)</f>
        <v>0</v>
      </c>
      <c r="AN140" s="13" t="str">
        <f>CHOOSE(tblCleanData[[#This Row],[Education]], "Below College","College","Bachelor","Master","Doctor")</f>
        <v>Bachelor</v>
      </c>
      <c r="AO140" s="13" t="str">
        <f>VLOOKUP(tblCleanData[[#This Row],[EmployeeNumber]],tblHelpers[],15,TRUE)</f>
        <v>High Risk</v>
      </c>
      <c r="AP140" s="13">
        <f>VLOOKUP(tblCleanData[[#This Row],[EmployeeNumber]],tblHelpers[],14,0)</f>
        <v>73</v>
      </c>
    </row>
    <row r="141" spans="1:42" x14ac:dyDescent="0.25">
      <c r="A141" s="13">
        <v>30</v>
      </c>
      <c r="B141" s="13" t="s">
        <v>59</v>
      </c>
      <c r="C141" s="13" t="s">
        <v>37</v>
      </c>
      <c r="D141" s="13">
        <v>1240</v>
      </c>
      <c r="E141" s="13" t="s">
        <v>397</v>
      </c>
      <c r="F141" s="13">
        <v>9</v>
      </c>
      <c r="G141" s="13">
        <v>3</v>
      </c>
      <c r="H141" s="13" t="s">
        <v>397</v>
      </c>
      <c r="I141" s="13">
        <v>1</v>
      </c>
      <c r="J141" s="13">
        <v>184</v>
      </c>
      <c r="K141" s="13">
        <v>3</v>
      </c>
      <c r="L141" s="13" t="s">
        <v>63</v>
      </c>
      <c r="M141" s="13">
        <v>48</v>
      </c>
      <c r="N141" s="13">
        <v>3</v>
      </c>
      <c r="O141" s="13">
        <v>2</v>
      </c>
      <c r="P141" s="13" t="s">
        <v>397</v>
      </c>
      <c r="Q141" s="13">
        <v>4</v>
      </c>
      <c r="R141" s="13" t="s">
        <v>66</v>
      </c>
      <c r="S141" s="20">
        <v>6347</v>
      </c>
      <c r="T141" s="13">
        <v>13982</v>
      </c>
      <c r="U141" s="13">
        <v>0</v>
      </c>
      <c r="V141" s="13" t="s">
        <v>52</v>
      </c>
      <c r="W141" s="13" t="s">
        <v>36</v>
      </c>
      <c r="X141" s="13">
        <v>19</v>
      </c>
      <c r="Y141" s="13">
        <v>3</v>
      </c>
      <c r="Z141" s="13">
        <v>4</v>
      </c>
      <c r="AA141" s="13">
        <v>80</v>
      </c>
      <c r="AB141" s="13">
        <v>0</v>
      </c>
      <c r="AC141" s="13">
        <v>12</v>
      </c>
      <c r="AD141" s="13">
        <v>2</v>
      </c>
      <c r="AE141" s="13">
        <v>1</v>
      </c>
      <c r="AF141" s="14">
        <v>11</v>
      </c>
      <c r="AG141" s="13">
        <v>9</v>
      </c>
      <c r="AH141" s="13">
        <v>4</v>
      </c>
      <c r="AI141" s="13">
        <v>7</v>
      </c>
      <c r="AJ141" s="13" t="str">
        <f t="shared" si="2"/>
        <v>30-39</v>
      </c>
      <c r="AK141" s="13" t="str">
        <f>IF(tblCleanData[[#This Row],[MonthlyIncome]]&lt;5000, "Low Income", IF(tblCleanData[[#This Row],[MonthlyIncome]]&lt;15000, "Medium Income", "High Income"))</f>
        <v>Medium Income</v>
      </c>
      <c r="AL141" s="13">
        <f>IF(tblCleanData[[#This Row],[Attrition]]="No", 0,1)</f>
        <v>0</v>
      </c>
      <c r="AM141" s="13">
        <f>IF(tblCleanData[[#This Row],[OverTime]] = "No", 0, 1)</f>
        <v>1</v>
      </c>
      <c r="AN141" s="13" t="str">
        <f>CHOOSE(tblCleanData[[#This Row],[Education]], "Below College","College","Bachelor","Master","Doctor")</f>
        <v>Bachelor</v>
      </c>
      <c r="AO141" s="13" t="str">
        <f>VLOOKUP(tblCleanData[[#This Row],[EmployeeNumber]],tblHelpers[],15,TRUE)</f>
        <v>High Risk</v>
      </c>
      <c r="AP141" s="13">
        <f>VLOOKUP(tblCleanData[[#This Row],[EmployeeNumber]],tblHelpers[],14,0)</f>
        <v>59</v>
      </c>
    </row>
    <row r="142" spans="1:42" x14ac:dyDescent="0.25">
      <c r="A142" s="13">
        <v>32</v>
      </c>
      <c r="B142" s="13" t="s">
        <v>36</v>
      </c>
      <c r="C142" s="13" t="s">
        <v>37</v>
      </c>
      <c r="D142" s="13">
        <v>1033</v>
      </c>
      <c r="E142" s="13" t="s">
        <v>62</v>
      </c>
      <c r="F142" s="13">
        <v>9</v>
      </c>
      <c r="G142" s="13">
        <v>3</v>
      </c>
      <c r="H142" s="13" t="s">
        <v>87</v>
      </c>
      <c r="I142" s="13">
        <v>1</v>
      </c>
      <c r="J142" s="13">
        <v>190</v>
      </c>
      <c r="K142" s="13">
        <v>1</v>
      </c>
      <c r="L142" s="13" t="s">
        <v>43</v>
      </c>
      <c r="M142" s="13">
        <v>41</v>
      </c>
      <c r="N142" s="13">
        <v>3</v>
      </c>
      <c r="O142" s="13">
        <v>1</v>
      </c>
      <c r="P142" s="13" t="s">
        <v>76</v>
      </c>
      <c r="Q142" s="13">
        <v>1</v>
      </c>
      <c r="R142" s="13" t="s">
        <v>48</v>
      </c>
      <c r="S142" s="20">
        <v>4200</v>
      </c>
      <c r="T142" s="13">
        <v>10224</v>
      </c>
      <c r="U142" s="13">
        <v>7</v>
      </c>
      <c r="V142" s="13" t="s">
        <v>52</v>
      </c>
      <c r="W142" s="13" t="s">
        <v>59</v>
      </c>
      <c r="X142" s="13">
        <v>22</v>
      </c>
      <c r="Y142" s="13">
        <v>4</v>
      </c>
      <c r="Z142" s="13">
        <v>1</v>
      </c>
      <c r="AA142" s="13">
        <v>80</v>
      </c>
      <c r="AB142" s="13">
        <v>0</v>
      </c>
      <c r="AC142" s="13">
        <v>10</v>
      </c>
      <c r="AD142" s="13">
        <v>2</v>
      </c>
      <c r="AE142" s="13">
        <v>4</v>
      </c>
      <c r="AF142" s="14">
        <v>5</v>
      </c>
      <c r="AG142" s="13">
        <v>4</v>
      </c>
      <c r="AH142" s="13">
        <v>0</v>
      </c>
      <c r="AI142" s="13">
        <v>4</v>
      </c>
      <c r="AJ142" s="13" t="str">
        <f t="shared" si="2"/>
        <v>30-39</v>
      </c>
      <c r="AK142" s="13" t="str">
        <f>IF(tblCleanData[[#This Row],[MonthlyIncome]]&lt;5000, "Low Income", IF(tblCleanData[[#This Row],[MonthlyIncome]]&lt;15000, "Medium Income", "High Income"))</f>
        <v>Low Income</v>
      </c>
      <c r="AL142" s="13">
        <f>IF(tblCleanData[[#This Row],[Attrition]]="No", 0,1)</f>
        <v>1</v>
      </c>
      <c r="AM142" s="13">
        <f>IF(tblCleanData[[#This Row],[OverTime]] = "No", 0, 1)</f>
        <v>0</v>
      </c>
      <c r="AN142" s="13" t="str">
        <f>CHOOSE(tblCleanData[[#This Row],[Education]], "Below College","College","Bachelor","Master","Doctor")</f>
        <v>Bachelor</v>
      </c>
      <c r="AO142" s="13" t="str">
        <f>VLOOKUP(tblCleanData[[#This Row],[EmployeeNumber]],tblHelpers[],15,TRUE)</f>
        <v>High Risk</v>
      </c>
      <c r="AP142" s="13">
        <f>VLOOKUP(tblCleanData[[#This Row],[EmployeeNumber]],tblHelpers[],14,0)</f>
        <v>65</v>
      </c>
    </row>
    <row r="143" spans="1:42" x14ac:dyDescent="0.25">
      <c r="A143" s="13">
        <v>45</v>
      </c>
      <c r="B143" s="13" t="s">
        <v>59</v>
      </c>
      <c r="C143" s="13" t="s">
        <v>37</v>
      </c>
      <c r="D143" s="13">
        <v>1316</v>
      </c>
      <c r="E143" s="13" t="s">
        <v>62</v>
      </c>
      <c r="F143" s="13">
        <v>29</v>
      </c>
      <c r="G143" s="13">
        <v>3</v>
      </c>
      <c r="H143" s="13" t="s">
        <v>87</v>
      </c>
      <c r="I143" s="13">
        <v>1</v>
      </c>
      <c r="J143" s="13">
        <v>192</v>
      </c>
      <c r="K143" s="13">
        <v>3</v>
      </c>
      <c r="L143" s="13" t="s">
        <v>63</v>
      </c>
      <c r="M143" s="13">
        <v>83</v>
      </c>
      <c r="N143" s="13">
        <v>3</v>
      </c>
      <c r="O143" s="13">
        <v>1</v>
      </c>
      <c r="P143" s="13" t="s">
        <v>65</v>
      </c>
      <c r="Q143" s="13">
        <v>4</v>
      </c>
      <c r="R143" s="13" t="s">
        <v>48</v>
      </c>
      <c r="S143" s="20">
        <v>3452</v>
      </c>
      <c r="T143" s="13">
        <v>9752</v>
      </c>
      <c r="U143" s="13">
        <v>5</v>
      </c>
      <c r="V143" s="13" t="s">
        <v>52</v>
      </c>
      <c r="W143" s="13" t="s">
        <v>59</v>
      </c>
      <c r="X143" s="13">
        <v>13</v>
      </c>
      <c r="Y143" s="13">
        <v>3</v>
      </c>
      <c r="Z143" s="13">
        <v>2</v>
      </c>
      <c r="AA143" s="13">
        <v>80</v>
      </c>
      <c r="AB143" s="13">
        <v>0</v>
      </c>
      <c r="AC143" s="13">
        <v>9</v>
      </c>
      <c r="AD143" s="13">
        <v>2</v>
      </c>
      <c r="AE143" s="13">
        <v>2</v>
      </c>
      <c r="AF143" s="14">
        <v>6</v>
      </c>
      <c r="AG143" s="13">
        <v>5</v>
      </c>
      <c r="AH143" s="13">
        <v>0</v>
      </c>
      <c r="AI143" s="13">
        <v>3</v>
      </c>
      <c r="AJ143" s="13" t="str">
        <f t="shared" si="2"/>
        <v>40-49</v>
      </c>
      <c r="AK143" s="13" t="str">
        <f>IF(tblCleanData[[#This Row],[MonthlyIncome]]&lt;5000, "Low Income", IF(tblCleanData[[#This Row],[MonthlyIncome]]&lt;15000, "Medium Income", "High Income"))</f>
        <v>Low Income</v>
      </c>
      <c r="AL143" s="13">
        <f>IF(tblCleanData[[#This Row],[Attrition]]="No", 0,1)</f>
        <v>0</v>
      </c>
      <c r="AM143" s="13">
        <f>IF(tblCleanData[[#This Row],[OverTime]] = "No", 0, 1)</f>
        <v>0</v>
      </c>
      <c r="AN143" s="13" t="str">
        <f>CHOOSE(tblCleanData[[#This Row],[Education]], "Below College","College","Bachelor","Master","Doctor")</f>
        <v>Bachelor</v>
      </c>
      <c r="AO143" s="13" t="str">
        <f>VLOOKUP(tblCleanData[[#This Row],[EmployeeNumber]],tblHelpers[],15,TRUE)</f>
        <v>Low Risk</v>
      </c>
      <c r="AP143" s="13">
        <f>VLOOKUP(tblCleanData[[#This Row],[EmployeeNumber]],tblHelpers[],14,0)</f>
        <v>29</v>
      </c>
    </row>
    <row r="144" spans="1:42" x14ac:dyDescent="0.25">
      <c r="A144" s="13">
        <v>38</v>
      </c>
      <c r="B144" s="13" t="s">
        <v>59</v>
      </c>
      <c r="C144" s="13" t="s">
        <v>37</v>
      </c>
      <c r="D144" s="13">
        <v>364</v>
      </c>
      <c r="E144" s="13" t="s">
        <v>62</v>
      </c>
      <c r="F144" s="13">
        <v>3</v>
      </c>
      <c r="G144" s="13">
        <v>5</v>
      </c>
      <c r="H144" s="13" t="s">
        <v>228</v>
      </c>
      <c r="I144" s="13">
        <v>1</v>
      </c>
      <c r="J144" s="13">
        <v>193</v>
      </c>
      <c r="K144" s="13">
        <v>4</v>
      </c>
      <c r="L144" s="13" t="s">
        <v>43</v>
      </c>
      <c r="M144" s="13">
        <v>32</v>
      </c>
      <c r="N144" s="13">
        <v>3</v>
      </c>
      <c r="O144" s="13">
        <v>2</v>
      </c>
      <c r="P144" s="13" t="s">
        <v>65</v>
      </c>
      <c r="Q144" s="13">
        <v>3</v>
      </c>
      <c r="R144" s="13" t="s">
        <v>48</v>
      </c>
      <c r="S144" s="20">
        <v>4317</v>
      </c>
      <c r="T144" s="13">
        <v>2302</v>
      </c>
      <c r="U144" s="13">
        <v>3</v>
      </c>
      <c r="V144" s="13" t="s">
        <v>52</v>
      </c>
      <c r="W144" s="13" t="s">
        <v>36</v>
      </c>
      <c r="X144" s="13">
        <v>20</v>
      </c>
      <c r="Y144" s="13">
        <v>4</v>
      </c>
      <c r="Z144" s="13">
        <v>2</v>
      </c>
      <c r="AA144" s="13">
        <v>80</v>
      </c>
      <c r="AB144" s="13">
        <v>0</v>
      </c>
      <c r="AC144" s="13">
        <v>19</v>
      </c>
      <c r="AD144" s="13">
        <v>2</v>
      </c>
      <c r="AE144" s="13">
        <v>3</v>
      </c>
      <c r="AF144" s="14">
        <v>3</v>
      </c>
      <c r="AG144" s="13">
        <v>2</v>
      </c>
      <c r="AH144" s="13">
        <v>2</v>
      </c>
      <c r="AI144" s="13">
        <v>2</v>
      </c>
      <c r="AJ144" s="13" t="str">
        <f t="shared" si="2"/>
        <v>30-39</v>
      </c>
      <c r="AK144" s="13" t="str">
        <f>IF(tblCleanData[[#This Row],[MonthlyIncome]]&lt;5000, "Low Income", IF(tblCleanData[[#This Row],[MonthlyIncome]]&lt;15000, "Medium Income", "High Income"))</f>
        <v>Low Income</v>
      </c>
      <c r="AL144" s="13">
        <f>IF(tblCleanData[[#This Row],[Attrition]]="No", 0,1)</f>
        <v>0</v>
      </c>
      <c r="AM144" s="13">
        <f>IF(tblCleanData[[#This Row],[OverTime]] = "No", 0, 1)</f>
        <v>1</v>
      </c>
      <c r="AN144" s="13" t="str">
        <f>CHOOSE(tblCleanData[[#This Row],[Education]], "Below College","College","Bachelor","Master","Doctor")</f>
        <v>Doctor</v>
      </c>
      <c r="AO144" s="13" t="str">
        <f>VLOOKUP(tblCleanData[[#This Row],[EmployeeNumber]],tblHelpers[],15,TRUE)</f>
        <v>High Risk</v>
      </c>
      <c r="AP144" s="13">
        <f>VLOOKUP(tblCleanData[[#This Row],[EmployeeNumber]],tblHelpers[],14,0)</f>
        <v>78</v>
      </c>
    </row>
    <row r="145" spans="1:42" x14ac:dyDescent="0.25">
      <c r="A145" s="13">
        <v>30</v>
      </c>
      <c r="B145" s="13" t="s">
        <v>59</v>
      </c>
      <c r="C145" s="13" t="s">
        <v>37</v>
      </c>
      <c r="D145" s="13">
        <v>438</v>
      </c>
      <c r="E145" s="13" t="s">
        <v>62</v>
      </c>
      <c r="F145" s="13">
        <v>18</v>
      </c>
      <c r="G145" s="13">
        <v>3</v>
      </c>
      <c r="H145" s="13" t="s">
        <v>42</v>
      </c>
      <c r="I145" s="13">
        <v>1</v>
      </c>
      <c r="J145" s="13">
        <v>194</v>
      </c>
      <c r="K145" s="13">
        <v>1</v>
      </c>
      <c r="L145" s="13" t="s">
        <v>43</v>
      </c>
      <c r="M145" s="13">
        <v>75</v>
      </c>
      <c r="N145" s="13">
        <v>3</v>
      </c>
      <c r="O145" s="13">
        <v>1</v>
      </c>
      <c r="P145" s="13" t="s">
        <v>65</v>
      </c>
      <c r="Q145" s="13">
        <v>3</v>
      </c>
      <c r="R145" s="13" t="s">
        <v>48</v>
      </c>
      <c r="S145" s="20">
        <v>2632</v>
      </c>
      <c r="T145" s="13">
        <v>23910</v>
      </c>
      <c r="U145" s="13">
        <v>1</v>
      </c>
      <c r="V145" s="13" t="s">
        <v>52</v>
      </c>
      <c r="W145" s="13" t="s">
        <v>59</v>
      </c>
      <c r="X145" s="13">
        <v>14</v>
      </c>
      <c r="Y145" s="13">
        <v>3</v>
      </c>
      <c r="Z145" s="13">
        <v>3</v>
      </c>
      <c r="AA145" s="13">
        <v>80</v>
      </c>
      <c r="AB145" s="13">
        <v>0</v>
      </c>
      <c r="AC145" s="13">
        <v>5</v>
      </c>
      <c r="AD145" s="13">
        <v>4</v>
      </c>
      <c r="AE145" s="13">
        <v>2</v>
      </c>
      <c r="AF145" s="14">
        <v>5</v>
      </c>
      <c r="AG145" s="13">
        <v>4</v>
      </c>
      <c r="AH145" s="13">
        <v>0</v>
      </c>
      <c r="AI145" s="13">
        <v>4</v>
      </c>
      <c r="AJ145" s="13" t="str">
        <f t="shared" si="2"/>
        <v>30-39</v>
      </c>
      <c r="AK145" s="13" t="str">
        <f>IF(tblCleanData[[#This Row],[MonthlyIncome]]&lt;5000, "Low Income", IF(tblCleanData[[#This Row],[MonthlyIncome]]&lt;15000, "Medium Income", "High Income"))</f>
        <v>Low Income</v>
      </c>
      <c r="AL145" s="13">
        <f>IF(tblCleanData[[#This Row],[Attrition]]="No", 0,1)</f>
        <v>0</v>
      </c>
      <c r="AM145" s="13">
        <f>IF(tblCleanData[[#This Row],[OverTime]] = "No", 0, 1)</f>
        <v>0</v>
      </c>
      <c r="AN145" s="13" t="str">
        <f>CHOOSE(tblCleanData[[#This Row],[Education]], "Below College","College","Bachelor","Master","Doctor")</f>
        <v>Bachelor</v>
      </c>
      <c r="AO145" s="13" t="str">
        <f>VLOOKUP(tblCleanData[[#This Row],[EmployeeNumber]],tblHelpers[],15,TRUE)</f>
        <v>Medium Risk</v>
      </c>
      <c r="AP145" s="13">
        <f>VLOOKUP(tblCleanData[[#This Row],[EmployeeNumber]],tblHelpers[],14,0)</f>
        <v>53</v>
      </c>
    </row>
    <row r="146" spans="1:42" x14ac:dyDescent="0.25">
      <c r="A146" s="13">
        <v>32</v>
      </c>
      <c r="B146" s="13" t="s">
        <v>59</v>
      </c>
      <c r="C146" s="13" t="s">
        <v>60</v>
      </c>
      <c r="D146" s="13">
        <v>689</v>
      </c>
      <c r="E146" s="13" t="s">
        <v>39</v>
      </c>
      <c r="F146" s="13">
        <v>9</v>
      </c>
      <c r="G146" s="13">
        <v>2</v>
      </c>
      <c r="H146" s="13" t="s">
        <v>87</v>
      </c>
      <c r="I146" s="13">
        <v>1</v>
      </c>
      <c r="J146" s="13">
        <v>195</v>
      </c>
      <c r="K146" s="13">
        <v>4</v>
      </c>
      <c r="L146" s="13" t="s">
        <v>63</v>
      </c>
      <c r="M146" s="13">
        <v>35</v>
      </c>
      <c r="N146" s="13">
        <v>1</v>
      </c>
      <c r="O146" s="13">
        <v>2</v>
      </c>
      <c r="P146" s="13" t="s">
        <v>46</v>
      </c>
      <c r="Q146" s="13">
        <v>4</v>
      </c>
      <c r="R146" s="13" t="s">
        <v>109</v>
      </c>
      <c r="S146" s="20">
        <v>4668</v>
      </c>
      <c r="T146" s="13">
        <v>22812</v>
      </c>
      <c r="U146" s="13">
        <v>0</v>
      </c>
      <c r="V146" s="13" t="s">
        <v>52</v>
      </c>
      <c r="W146" s="13" t="s">
        <v>59</v>
      </c>
      <c r="X146" s="13">
        <v>17</v>
      </c>
      <c r="Y146" s="13">
        <v>3</v>
      </c>
      <c r="Z146" s="13">
        <v>4</v>
      </c>
      <c r="AA146" s="13">
        <v>80</v>
      </c>
      <c r="AB146" s="13">
        <v>3</v>
      </c>
      <c r="AC146" s="13">
        <v>9</v>
      </c>
      <c r="AD146" s="13">
        <v>2</v>
      </c>
      <c r="AE146" s="13">
        <v>4</v>
      </c>
      <c r="AF146" s="14">
        <v>8</v>
      </c>
      <c r="AG146" s="13">
        <v>7</v>
      </c>
      <c r="AH146" s="13">
        <v>0</v>
      </c>
      <c r="AI146" s="13">
        <v>7</v>
      </c>
      <c r="AJ146" s="13" t="str">
        <f t="shared" si="2"/>
        <v>30-39</v>
      </c>
      <c r="AK146" s="13" t="str">
        <f>IF(tblCleanData[[#This Row],[MonthlyIncome]]&lt;5000, "Low Income", IF(tblCleanData[[#This Row],[MonthlyIncome]]&lt;15000, "Medium Income", "High Income"))</f>
        <v>Low Income</v>
      </c>
      <c r="AL146" s="13">
        <f>IF(tblCleanData[[#This Row],[Attrition]]="No", 0,1)</f>
        <v>0</v>
      </c>
      <c r="AM146" s="13">
        <f>IF(tblCleanData[[#This Row],[OverTime]] = "No", 0, 1)</f>
        <v>0</v>
      </c>
      <c r="AN146" s="13" t="str">
        <f>CHOOSE(tblCleanData[[#This Row],[Education]], "Below College","College","Bachelor","Master","Doctor")</f>
        <v>College</v>
      </c>
      <c r="AO146" s="13" t="str">
        <f>VLOOKUP(tblCleanData[[#This Row],[EmployeeNumber]],tblHelpers[],15,TRUE)</f>
        <v>Medium Risk</v>
      </c>
      <c r="AP146" s="13">
        <f>VLOOKUP(tblCleanData[[#This Row],[EmployeeNumber]],tblHelpers[],14,0)</f>
        <v>39</v>
      </c>
    </row>
    <row r="147" spans="1:42" x14ac:dyDescent="0.25">
      <c r="A147" s="13">
        <v>30</v>
      </c>
      <c r="B147" s="13" t="s">
        <v>59</v>
      </c>
      <c r="C147" s="13" t="s">
        <v>37</v>
      </c>
      <c r="D147" s="13">
        <v>201</v>
      </c>
      <c r="E147" s="13" t="s">
        <v>62</v>
      </c>
      <c r="F147" s="13">
        <v>5</v>
      </c>
      <c r="G147" s="13">
        <v>3</v>
      </c>
      <c r="H147" s="13" t="s">
        <v>228</v>
      </c>
      <c r="I147" s="13">
        <v>1</v>
      </c>
      <c r="J147" s="13">
        <v>197</v>
      </c>
      <c r="K147" s="13">
        <v>4</v>
      </c>
      <c r="L147" s="13" t="s">
        <v>43</v>
      </c>
      <c r="M147" s="13">
        <v>84</v>
      </c>
      <c r="N147" s="13">
        <v>3</v>
      </c>
      <c r="O147" s="13">
        <v>1</v>
      </c>
      <c r="P147" s="13" t="s">
        <v>65</v>
      </c>
      <c r="Q147" s="13">
        <v>1</v>
      </c>
      <c r="R147" s="13" t="s">
        <v>109</v>
      </c>
      <c r="S147" s="20">
        <v>3204</v>
      </c>
      <c r="T147" s="13">
        <v>10415</v>
      </c>
      <c r="U147" s="13">
        <v>5</v>
      </c>
      <c r="V147" s="13" t="s">
        <v>52</v>
      </c>
      <c r="W147" s="13" t="s">
        <v>59</v>
      </c>
      <c r="X147" s="13">
        <v>14</v>
      </c>
      <c r="Y147" s="13">
        <v>3</v>
      </c>
      <c r="Z147" s="13">
        <v>4</v>
      </c>
      <c r="AA147" s="13">
        <v>80</v>
      </c>
      <c r="AB147" s="13">
        <v>1</v>
      </c>
      <c r="AC147" s="13">
        <v>8</v>
      </c>
      <c r="AD147" s="13">
        <v>3</v>
      </c>
      <c r="AE147" s="13">
        <v>3</v>
      </c>
      <c r="AF147" s="14">
        <v>3</v>
      </c>
      <c r="AG147" s="13">
        <v>2</v>
      </c>
      <c r="AH147" s="13">
        <v>2</v>
      </c>
      <c r="AI147" s="13">
        <v>2</v>
      </c>
      <c r="AJ147" s="13" t="str">
        <f t="shared" si="2"/>
        <v>30-39</v>
      </c>
      <c r="AK147" s="13" t="str">
        <f>IF(tblCleanData[[#This Row],[MonthlyIncome]]&lt;5000, "Low Income", IF(tblCleanData[[#This Row],[MonthlyIncome]]&lt;15000, "Medium Income", "High Income"))</f>
        <v>Low Income</v>
      </c>
      <c r="AL147" s="13">
        <f>IF(tblCleanData[[#This Row],[Attrition]]="No", 0,1)</f>
        <v>0</v>
      </c>
      <c r="AM147" s="13">
        <f>IF(tblCleanData[[#This Row],[OverTime]] = "No", 0, 1)</f>
        <v>0</v>
      </c>
      <c r="AN147" s="13" t="str">
        <f>CHOOSE(tblCleanData[[#This Row],[Education]], "Below College","College","Bachelor","Master","Doctor")</f>
        <v>Bachelor</v>
      </c>
      <c r="AO147" s="13" t="str">
        <f>VLOOKUP(tblCleanData[[#This Row],[EmployeeNumber]],tblHelpers[],15,TRUE)</f>
        <v>High Risk</v>
      </c>
      <c r="AP147" s="13">
        <f>VLOOKUP(tblCleanData[[#This Row],[EmployeeNumber]],tblHelpers[],14,0)</f>
        <v>65</v>
      </c>
    </row>
    <row r="148" spans="1:42" x14ac:dyDescent="0.25">
      <c r="A148" s="13">
        <v>30</v>
      </c>
      <c r="B148" s="13" t="s">
        <v>59</v>
      </c>
      <c r="C148" s="13" t="s">
        <v>37</v>
      </c>
      <c r="D148" s="13">
        <v>1427</v>
      </c>
      <c r="E148" s="13" t="s">
        <v>62</v>
      </c>
      <c r="F148" s="13">
        <v>2</v>
      </c>
      <c r="G148" s="13">
        <v>1</v>
      </c>
      <c r="H148" s="13" t="s">
        <v>87</v>
      </c>
      <c r="I148" s="13">
        <v>1</v>
      </c>
      <c r="J148" s="13">
        <v>198</v>
      </c>
      <c r="K148" s="13">
        <v>2</v>
      </c>
      <c r="L148" s="13" t="s">
        <v>63</v>
      </c>
      <c r="M148" s="13">
        <v>35</v>
      </c>
      <c r="N148" s="13">
        <v>2</v>
      </c>
      <c r="O148" s="13">
        <v>1</v>
      </c>
      <c r="P148" s="13" t="s">
        <v>76</v>
      </c>
      <c r="Q148" s="13">
        <v>4</v>
      </c>
      <c r="R148" s="13" t="s">
        <v>48</v>
      </c>
      <c r="S148" s="20">
        <v>2720</v>
      </c>
      <c r="T148" s="13">
        <v>11162</v>
      </c>
      <c r="U148" s="13">
        <v>0</v>
      </c>
      <c r="V148" s="13" t="s">
        <v>52</v>
      </c>
      <c r="W148" s="13" t="s">
        <v>59</v>
      </c>
      <c r="X148" s="13">
        <v>13</v>
      </c>
      <c r="Y148" s="13">
        <v>3</v>
      </c>
      <c r="Z148" s="13">
        <v>4</v>
      </c>
      <c r="AA148" s="13">
        <v>80</v>
      </c>
      <c r="AB148" s="13">
        <v>0</v>
      </c>
      <c r="AC148" s="13">
        <v>6</v>
      </c>
      <c r="AD148" s="13">
        <v>3</v>
      </c>
      <c r="AE148" s="13">
        <v>3</v>
      </c>
      <c r="AF148" s="14">
        <v>5</v>
      </c>
      <c r="AG148" s="13">
        <v>3</v>
      </c>
      <c r="AH148" s="13">
        <v>1</v>
      </c>
      <c r="AI148" s="13">
        <v>2</v>
      </c>
      <c r="AJ148" s="13" t="str">
        <f t="shared" si="2"/>
        <v>30-39</v>
      </c>
      <c r="AK148" s="13" t="str">
        <f>IF(tblCleanData[[#This Row],[MonthlyIncome]]&lt;5000, "Low Income", IF(tblCleanData[[#This Row],[MonthlyIncome]]&lt;15000, "Medium Income", "High Income"))</f>
        <v>Low Income</v>
      </c>
      <c r="AL148" s="13">
        <f>IF(tblCleanData[[#This Row],[Attrition]]="No", 0,1)</f>
        <v>0</v>
      </c>
      <c r="AM148" s="13">
        <f>IF(tblCleanData[[#This Row],[OverTime]] = "No", 0, 1)</f>
        <v>0</v>
      </c>
      <c r="AN148" s="13" t="str">
        <f>CHOOSE(tblCleanData[[#This Row],[Education]], "Below College","College","Bachelor","Master","Doctor")</f>
        <v>Below College</v>
      </c>
      <c r="AO148" s="13" t="str">
        <f>VLOOKUP(tblCleanData[[#This Row],[EmployeeNumber]],tblHelpers[],15,TRUE)</f>
        <v>Medium Risk</v>
      </c>
      <c r="AP148" s="13">
        <f>VLOOKUP(tblCleanData[[#This Row],[EmployeeNumber]],tblHelpers[],14,0)</f>
        <v>46</v>
      </c>
    </row>
    <row r="149" spans="1:42" x14ac:dyDescent="0.25">
      <c r="A149" s="13">
        <v>41</v>
      </c>
      <c r="B149" s="13" t="s">
        <v>59</v>
      </c>
      <c r="C149" s="13" t="s">
        <v>60</v>
      </c>
      <c r="D149" s="13">
        <v>857</v>
      </c>
      <c r="E149" s="13" t="s">
        <v>62</v>
      </c>
      <c r="F149" s="13">
        <v>10</v>
      </c>
      <c r="G149" s="13">
        <v>3</v>
      </c>
      <c r="H149" s="13" t="s">
        <v>42</v>
      </c>
      <c r="I149" s="13">
        <v>1</v>
      </c>
      <c r="J149" s="13">
        <v>199</v>
      </c>
      <c r="K149" s="13">
        <v>4</v>
      </c>
      <c r="L149" s="13" t="s">
        <v>63</v>
      </c>
      <c r="M149" s="13">
        <v>91</v>
      </c>
      <c r="N149" s="13">
        <v>2</v>
      </c>
      <c r="O149" s="13">
        <v>4</v>
      </c>
      <c r="P149" s="13" t="s">
        <v>169</v>
      </c>
      <c r="Q149" s="13">
        <v>1</v>
      </c>
      <c r="R149" s="13" t="s">
        <v>109</v>
      </c>
      <c r="S149" s="20">
        <v>17181</v>
      </c>
      <c r="T149" s="13">
        <v>12888</v>
      </c>
      <c r="U149" s="13">
        <v>4</v>
      </c>
      <c r="V149" s="13" t="s">
        <v>52</v>
      </c>
      <c r="W149" s="13" t="s">
        <v>59</v>
      </c>
      <c r="X149" s="13">
        <v>13</v>
      </c>
      <c r="Y149" s="13">
        <v>3</v>
      </c>
      <c r="Z149" s="13">
        <v>2</v>
      </c>
      <c r="AA149" s="13">
        <v>80</v>
      </c>
      <c r="AB149" s="13">
        <v>1</v>
      </c>
      <c r="AC149" s="13">
        <v>21</v>
      </c>
      <c r="AD149" s="13">
        <v>2</v>
      </c>
      <c r="AE149" s="13">
        <v>2</v>
      </c>
      <c r="AF149" s="14">
        <v>7</v>
      </c>
      <c r="AG149" s="13">
        <v>6</v>
      </c>
      <c r="AH149" s="13">
        <v>7</v>
      </c>
      <c r="AI149" s="13">
        <v>7</v>
      </c>
      <c r="AJ149" s="13" t="str">
        <f t="shared" si="2"/>
        <v>40-49</v>
      </c>
      <c r="AK149" s="13" t="str">
        <f>IF(tblCleanData[[#This Row],[MonthlyIncome]]&lt;5000, "Low Income", IF(tblCleanData[[#This Row],[MonthlyIncome]]&lt;15000, "Medium Income", "High Income"))</f>
        <v>High Income</v>
      </c>
      <c r="AL149" s="13">
        <f>IF(tblCleanData[[#This Row],[Attrition]]="No", 0,1)</f>
        <v>0</v>
      </c>
      <c r="AM149" s="13">
        <f>IF(tblCleanData[[#This Row],[OverTime]] = "No", 0, 1)</f>
        <v>0</v>
      </c>
      <c r="AN149" s="13" t="str">
        <f>CHOOSE(tblCleanData[[#This Row],[Education]], "Below College","College","Bachelor","Master","Doctor")</f>
        <v>Bachelor</v>
      </c>
      <c r="AO149" s="13" t="str">
        <f>VLOOKUP(tblCleanData[[#This Row],[EmployeeNumber]],tblHelpers[],15,TRUE)</f>
        <v>Medium Risk</v>
      </c>
      <c r="AP149" s="13">
        <f>VLOOKUP(tblCleanData[[#This Row],[EmployeeNumber]],tblHelpers[],14,0)</f>
        <v>48</v>
      </c>
    </row>
    <row r="150" spans="1:42" x14ac:dyDescent="0.25">
      <c r="A150" s="13">
        <v>41</v>
      </c>
      <c r="B150" s="13" t="s">
        <v>59</v>
      </c>
      <c r="C150" s="13" t="s">
        <v>37</v>
      </c>
      <c r="D150" s="13">
        <v>933</v>
      </c>
      <c r="E150" s="13" t="s">
        <v>62</v>
      </c>
      <c r="F150" s="13">
        <v>9</v>
      </c>
      <c r="G150" s="13">
        <v>4</v>
      </c>
      <c r="H150" s="13" t="s">
        <v>42</v>
      </c>
      <c r="I150" s="13">
        <v>1</v>
      </c>
      <c r="J150" s="13">
        <v>200</v>
      </c>
      <c r="K150" s="13">
        <v>3</v>
      </c>
      <c r="L150" s="13" t="s">
        <v>63</v>
      </c>
      <c r="M150" s="13">
        <v>94</v>
      </c>
      <c r="N150" s="13">
        <v>3</v>
      </c>
      <c r="O150" s="13">
        <v>1</v>
      </c>
      <c r="P150" s="13" t="s">
        <v>76</v>
      </c>
      <c r="Q150" s="13">
        <v>1</v>
      </c>
      <c r="R150" s="13" t="s">
        <v>66</v>
      </c>
      <c r="S150" s="20">
        <v>2238</v>
      </c>
      <c r="T150" s="13">
        <v>6961</v>
      </c>
      <c r="U150" s="13">
        <v>2</v>
      </c>
      <c r="V150" s="13" t="s">
        <v>52</v>
      </c>
      <c r="W150" s="13" t="s">
        <v>59</v>
      </c>
      <c r="X150" s="13">
        <v>21</v>
      </c>
      <c r="Y150" s="13">
        <v>4</v>
      </c>
      <c r="Z150" s="13">
        <v>4</v>
      </c>
      <c r="AA150" s="13">
        <v>80</v>
      </c>
      <c r="AB150" s="13">
        <v>1</v>
      </c>
      <c r="AC150" s="13">
        <v>7</v>
      </c>
      <c r="AD150" s="13">
        <v>2</v>
      </c>
      <c r="AE150" s="13">
        <v>3</v>
      </c>
      <c r="AF150" s="14">
        <v>5</v>
      </c>
      <c r="AG150" s="13">
        <v>0</v>
      </c>
      <c r="AH150" s="13">
        <v>1</v>
      </c>
      <c r="AI150" s="13">
        <v>4</v>
      </c>
      <c r="AJ150" s="13" t="str">
        <f t="shared" si="2"/>
        <v>40-49</v>
      </c>
      <c r="AK150" s="13" t="str">
        <f>IF(tblCleanData[[#This Row],[MonthlyIncome]]&lt;5000, "Low Income", IF(tblCleanData[[#This Row],[MonthlyIncome]]&lt;15000, "Medium Income", "High Income"))</f>
        <v>Low Income</v>
      </c>
      <c r="AL150" s="13">
        <f>IF(tblCleanData[[#This Row],[Attrition]]="No", 0,1)</f>
        <v>0</v>
      </c>
      <c r="AM150" s="13">
        <f>IF(tblCleanData[[#This Row],[OverTime]] = "No", 0, 1)</f>
        <v>0</v>
      </c>
      <c r="AN150" s="13" t="str">
        <f>CHOOSE(tblCleanData[[#This Row],[Education]], "Below College","College","Bachelor","Master","Doctor")</f>
        <v>Master</v>
      </c>
      <c r="AO150" s="13" t="str">
        <f>VLOOKUP(tblCleanData[[#This Row],[EmployeeNumber]],tblHelpers[],15,TRUE)</f>
        <v>High Risk</v>
      </c>
      <c r="AP150" s="13">
        <f>VLOOKUP(tblCleanData[[#This Row],[EmployeeNumber]],tblHelpers[],14,0)</f>
        <v>55</v>
      </c>
    </row>
    <row r="151" spans="1:42" x14ac:dyDescent="0.25">
      <c r="A151" s="13">
        <v>19</v>
      </c>
      <c r="B151" s="13" t="s">
        <v>59</v>
      </c>
      <c r="C151" s="13" t="s">
        <v>37</v>
      </c>
      <c r="D151" s="13">
        <v>1181</v>
      </c>
      <c r="E151" s="13" t="s">
        <v>62</v>
      </c>
      <c r="F151" s="13">
        <v>3</v>
      </c>
      <c r="G151" s="13">
        <v>1</v>
      </c>
      <c r="H151" s="13" t="s">
        <v>87</v>
      </c>
      <c r="I151" s="13">
        <v>1</v>
      </c>
      <c r="J151" s="13">
        <v>201</v>
      </c>
      <c r="K151" s="13">
        <v>2</v>
      </c>
      <c r="L151" s="13" t="s">
        <v>43</v>
      </c>
      <c r="M151" s="13">
        <v>79</v>
      </c>
      <c r="N151" s="13">
        <v>3</v>
      </c>
      <c r="O151" s="13">
        <v>1</v>
      </c>
      <c r="P151" s="13" t="s">
        <v>76</v>
      </c>
      <c r="Q151" s="13">
        <v>2</v>
      </c>
      <c r="R151" s="13" t="s">
        <v>48</v>
      </c>
      <c r="S151" s="20">
        <v>1483</v>
      </c>
      <c r="T151" s="13">
        <v>16102</v>
      </c>
      <c r="U151" s="13">
        <v>1</v>
      </c>
      <c r="V151" s="13" t="s">
        <v>52</v>
      </c>
      <c r="W151" s="13" t="s">
        <v>59</v>
      </c>
      <c r="X151" s="13">
        <v>14</v>
      </c>
      <c r="Y151" s="13">
        <v>3</v>
      </c>
      <c r="Z151" s="13">
        <v>4</v>
      </c>
      <c r="AA151" s="13">
        <v>80</v>
      </c>
      <c r="AB151" s="13">
        <v>0</v>
      </c>
      <c r="AC151" s="13">
        <v>1</v>
      </c>
      <c r="AD151" s="13">
        <v>3</v>
      </c>
      <c r="AE151" s="13">
        <v>3</v>
      </c>
      <c r="AF151" s="14">
        <v>1</v>
      </c>
      <c r="AG151" s="13">
        <v>0</v>
      </c>
      <c r="AH151" s="13">
        <v>0</v>
      </c>
      <c r="AI151" s="13">
        <v>0</v>
      </c>
      <c r="AJ151" s="13" t="str">
        <f t="shared" si="2"/>
        <v>Under 30</v>
      </c>
      <c r="AK151" s="13" t="str">
        <f>IF(tblCleanData[[#This Row],[MonthlyIncome]]&lt;5000, "Low Income", IF(tblCleanData[[#This Row],[MonthlyIncome]]&lt;15000, "Medium Income", "High Income"))</f>
        <v>Low Income</v>
      </c>
      <c r="AL151" s="13">
        <f>IF(tblCleanData[[#This Row],[Attrition]]="No", 0,1)</f>
        <v>0</v>
      </c>
      <c r="AM151" s="13">
        <f>IF(tblCleanData[[#This Row],[OverTime]] = "No", 0, 1)</f>
        <v>0</v>
      </c>
      <c r="AN151" s="13" t="str">
        <f>CHOOSE(tblCleanData[[#This Row],[Education]], "Below College","College","Bachelor","Master","Doctor")</f>
        <v>Below College</v>
      </c>
      <c r="AO151" s="13" t="str">
        <f>VLOOKUP(tblCleanData[[#This Row],[EmployeeNumber]],tblHelpers[],15,TRUE)</f>
        <v>High Risk</v>
      </c>
      <c r="AP151" s="13">
        <f>VLOOKUP(tblCleanData[[#This Row],[EmployeeNumber]],tblHelpers[],14,0)</f>
        <v>79</v>
      </c>
    </row>
    <row r="152" spans="1:42" x14ac:dyDescent="0.25">
      <c r="A152" s="13">
        <v>40</v>
      </c>
      <c r="B152" s="13" t="s">
        <v>59</v>
      </c>
      <c r="C152" s="13" t="s">
        <v>60</v>
      </c>
      <c r="D152" s="13">
        <v>1395</v>
      </c>
      <c r="E152" s="13" t="s">
        <v>62</v>
      </c>
      <c r="F152" s="13">
        <v>26</v>
      </c>
      <c r="G152" s="13">
        <v>3</v>
      </c>
      <c r="H152" s="13" t="s">
        <v>87</v>
      </c>
      <c r="I152" s="13">
        <v>1</v>
      </c>
      <c r="J152" s="13">
        <v>202</v>
      </c>
      <c r="K152" s="13">
        <v>2</v>
      </c>
      <c r="L152" s="13" t="s">
        <v>43</v>
      </c>
      <c r="M152" s="13">
        <v>54</v>
      </c>
      <c r="N152" s="13">
        <v>3</v>
      </c>
      <c r="O152" s="13">
        <v>2</v>
      </c>
      <c r="P152" s="13" t="s">
        <v>65</v>
      </c>
      <c r="Q152" s="13">
        <v>2</v>
      </c>
      <c r="R152" s="13" t="s">
        <v>109</v>
      </c>
      <c r="S152" s="20">
        <v>5605</v>
      </c>
      <c r="T152" s="13">
        <v>8504</v>
      </c>
      <c r="U152" s="13">
        <v>1</v>
      </c>
      <c r="V152" s="13" t="s">
        <v>52</v>
      </c>
      <c r="W152" s="13" t="s">
        <v>59</v>
      </c>
      <c r="X152" s="13">
        <v>11</v>
      </c>
      <c r="Y152" s="13">
        <v>3</v>
      </c>
      <c r="Z152" s="13">
        <v>1</v>
      </c>
      <c r="AA152" s="13">
        <v>80</v>
      </c>
      <c r="AB152" s="13">
        <v>1</v>
      </c>
      <c r="AC152" s="13">
        <v>20</v>
      </c>
      <c r="AD152" s="13">
        <v>2</v>
      </c>
      <c r="AE152" s="13">
        <v>3</v>
      </c>
      <c r="AF152" s="14">
        <v>20</v>
      </c>
      <c r="AG152" s="13">
        <v>7</v>
      </c>
      <c r="AH152" s="13">
        <v>2</v>
      </c>
      <c r="AI152" s="13">
        <v>13</v>
      </c>
      <c r="AJ152" s="13" t="str">
        <f t="shared" si="2"/>
        <v>40-49</v>
      </c>
      <c r="AK152" s="13" t="str">
        <f>IF(tblCleanData[[#This Row],[MonthlyIncome]]&lt;5000, "Low Income", IF(tblCleanData[[#This Row],[MonthlyIncome]]&lt;15000, "Medium Income", "High Income"))</f>
        <v>Medium Income</v>
      </c>
      <c r="AL152" s="13">
        <f>IF(tblCleanData[[#This Row],[Attrition]]="No", 0,1)</f>
        <v>0</v>
      </c>
      <c r="AM152" s="13">
        <f>IF(tblCleanData[[#This Row],[OverTime]] = "No", 0, 1)</f>
        <v>0</v>
      </c>
      <c r="AN152" s="13" t="str">
        <f>CHOOSE(tblCleanData[[#This Row],[Education]], "Below College","College","Bachelor","Master","Doctor")</f>
        <v>Bachelor</v>
      </c>
      <c r="AO152" s="13" t="str">
        <f>VLOOKUP(tblCleanData[[#This Row],[EmployeeNumber]],tblHelpers[],15,TRUE)</f>
        <v>Medium Risk</v>
      </c>
      <c r="AP152" s="13">
        <f>VLOOKUP(tblCleanData[[#This Row],[EmployeeNumber]],tblHelpers[],14,0)</f>
        <v>37</v>
      </c>
    </row>
    <row r="153" spans="1:42" x14ac:dyDescent="0.25">
      <c r="A153" s="13">
        <v>35</v>
      </c>
      <c r="B153" s="13" t="s">
        <v>59</v>
      </c>
      <c r="C153" s="13" t="s">
        <v>37</v>
      </c>
      <c r="D153" s="13">
        <v>662</v>
      </c>
      <c r="E153" s="13" t="s">
        <v>39</v>
      </c>
      <c r="F153" s="13">
        <v>1</v>
      </c>
      <c r="G153" s="13">
        <v>5</v>
      </c>
      <c r="H153" s="13" t="s">
        <v>206</v>
      </c>
      <c r="I153" s="13">
        <v>1</v>
      </c>
      <c r="J153" s="13">
        <v>204</v>
      </c>
      <c r="K153" s="13">
        <v>3</v>
      </c>
      <c r="L153" s="13" t="s">
        <v>63</v>
      </c>
      <c r="M153" s="13">
        <v>94</v>
      </c>
      <c r="N153" s="13">
        <v>3</v>
      </c>
      <c r="O153" s="13">
        <v>3</v>
      </c>
      <c r="P153" s="13" t="s">
        <v>46</v>
      </c>
      <c r="Q153" s="13">
        <v>2</v>
      </c>
      <c r="R153" s="13" t="s">
        <v>66</v>
      </c>
      <c r="S153" s="20">
        <v>7295</v>
      </c>
      <c r="T153" s="13">
        <v>11439</v>
      </c>
      <c r="U153" s="13">
        <v>1</v>
      </c>
      <c r="V153" s="13" t="s">
        <v>52</v>
      </c>
      <c r="W153" s="13" t="s">
        <v>59</v>
      </c>
      <c r="X153" s="13">
        <v>13</v>
      </c>
      <c r="Y153" s="13">
        <v>3</v>
      </c>
      <c r="Z153" s="13">
        <v>1</v>
      </c>
      <c r="AA153" s="13">
        <v>80</v>
      </c>
      <c r="AB153" s="13">
        <v>2</v>
      </c>
      <c r="AC153" s="13">
        <v>10</v>
      </c>
      <c r="AD153" s="13">
        <v>3</v>
      </c>
      <c r="AE153" s="13">
        <v>3</v>
      </c>
      <c r="AF153" s="14">
        <v>10</v>
      </c>
      <c r="AG153" s="13">
        <v>8</v>
      </c>
      <c r="AH153" s="13">
        <v>0</v>
      </c>
      <c r="AI153" s="13">
        <v>6</v>
      </c>
      <c r="AJ153" s="13" t="str">
        <f t="shared" si="2"/>
        <v>30-39</v>
      </c>
      <c r="AK153" s="13" t="str">
        <f>IF(tblCleanData[[#This Row],[MonthlyIncome]]&lt;5000, "Low Income", IF(tblCleanData[[#This Row],[MonthlyIncome]]&lt;15000, "Medium Income", "High Income"))</f>
        <v>Medium Income</v>
      </c>
      <c r="AL153" s="13">
        <f>IF(tblCleanData[[#This Row],[Attrition]]="No", 0,1)</f>
        <v>0</v>
      </c>
      <c r="AM153" s="13">
        <f>IF(tblCleanData[[#This Row],[OverTime]] = "No", 0, 1)</f>
        <v>0</v>
      </c>
      <c r="AN153" s="13" t="str">
        <f>CHOOSE(tblCleanData[[#This Row],[Education]], "Below College","College","Bachelor","Master","Doctor")</f>
        <v>Doctor</v>
      </c>
      <c r="AO153" s="13" t="str">
        <f>VLOOKUP(tblCleanData[[#This Row],[EmployeeNumber]],tblHelpers[],15,TRUE)</f>
        <v>Medium Risk</v>
      </c>
      <c r="AP153" s="13">
        <f>VLOOKUP(tblCleanData[[#This Row],[EmployeeNumber]],tblHelpers[],14,0)</f>
        <v>52</v>
      </c>
    </row>
    <row r="154" spans="1:42" x14ac:dyDescent="0.25">
      <c r="A154" s="13">
        <v>53</v>
      </c>
      <c r="B154" s="13" t="s">
        <v>59</v>
      </c>
      <c r="C154" s="13" t="s">
        <v>37</v>
      </c>
      <c r="D154" s="13">
        <v>1436</v>
      </c>
      <c r="E154" s="13" t="s">
        <v>39</v>
      </c>
      <c r="F154" s="13">
        <v>6</v>
      </c>
      <c r="G154" s="13">
        <v>2</v>
      </c>
      <c r="H154" s="13" t="s">
        <v>206</v>
      </c>
      <c r="I154" s="13">
        <v>1</v>
      </c>
      <c r="J154" s="13">
        <v>205</v>
      </c>
      <c r="K154" s="13">
        <v>2</v>
      </c>
      <c r="L154" s="13" t="s">
        <v>63</v>
      </c>
      <c r="M154" s="13">
        <v>34</v>
      </c>
      <c r="N154" s="13">
        <v>3</v>
      </c>
      <c r="O154" s="13">
        <v>2</v>
      </c>
      <c r="P154" s="13" t="s">
        <v>182</v>
      </c>
      <c r="Q154" s="13">
        <v>3</v>
      </c>
      <c r="R154" s="13" t="s">
        <v>66</v>
      </c>
      <c r="S154" s="20">
        <v>2306</v>
      </c>
      <c r="T154" s="13">
        <v>16047</v>
      </c>
      <c r="U154" s="13">
        <v>2</v>
      </c>
      <c r="V154" s="13" t="s">
        <v>52</v>
      </c>
      <c r="W154" s="13" t="s">
        <v>36</v>
      </c>
      <c r="X154" s="13">
        <v>20</v>
      </c>
      <c r="Y154" s="13">
        <v>4</v>
      </c>
      <c r="Z154" s="13">
        <v>4</v>
      </c>
      <c r="AA154" s="13">
        <v>80</v>
      </c>
      <c r="AB154" s="13">
        <v>1</v>
      </c>
      <c r="AC154" s="13">
        <v>13</v>
      </c>
      <c r="AD154" s="13">
        <v>3</v>
      </c>
      <c r="AE154" s="13">
        <v>1</v>
      </c>
      <c r="AF154" s="14">
        <v>7</v>
      </c>
      <c r="AG154" s="13">
        <v>7</v>
      </c>
      <c r="AH154" s="13">
        <v>4</v>
      </c>
      <c r="AI154" s="13">
        <v>5</v>
      </c>
      <c r="AJ154" s="13" t="str">
        <f t="shared" si="2"/>
        <v>50+</v>
      </c>
      <c r="AK154" s="13" t="str">
        <f>IF(tblCleanData[[#This Row],[MonthlyIncome]]&lt;5000, "Low Income", IF(tblCleanData[[#This Row],[MonthlyIncome]]&lt;15000, "Medium Income", "High Income"))</f>
        <v>Low Income</v>
      </c>
      <c r="AL154" s="13">
        <f>IF(tblCleanData[[#This Row],[Attrition]]="No", 0,1)</f>
        <v>0</v>
      </c>
      <c r="AM154" s="13">
        <f>IF(tblCleanData[[#This Row],[OverTime]] = "No", 0, 1)</f>
        <v>1</v>
      </c>
      <c r="AN154" s="13" t="str">
        <f>CHOOSE(tblCleanData[[#This Row],[Education]], "Below College","College","Bachelor","Master","Doctor")</f>
        <v>College</v>
      </c>
      <c r="AO154" s="13" t="str">
        <f>VLOOKUP(tblCleanData[[#This Row],[EmployeeNumber]],tblHelpers[],15,TRUE)</f>
        <v>High Risk</v>
      </c>
      <c r="AP154" s="13">
        <f>VLOOKUP(tblCleanData[[#This Row],[EmployeeNumber]],tblHelpers[],14,0)</f>
        <v>66</v>
      </c>
    </row>
    <row r="155" spans="1:42" x14ac:dyDescent="0.25">
      <c r="A155" s="13">
        <v>45</v>
      </c>
      <c r="B155" s="13" t="s">
        <v>59</v>
      </c>
      <c r="C155" s="13" t="s">
        <v>37</v>
      </c>
      <c r="D155" s="13">
        <v>194</v>
      </c>
      <c r="E155" s="13" t="s">
        <v>62</v>
      </c>
      <c r="F155" s="13">
        <v>9</v>
      </c>
      <c r="G155" s="13">
        <v>3</v>
      </c>
      <c r="H155" s="13" t="s">
        <v>42</v>
      </c>
      <c r="I155" s="13">
        <v>1</v>
      </c>
      <c r="J155" s="13">
        <v>206</v>
      </c>
      <c r="K155" s="13">
        <v>2</v>
      </c>
      <c r="L155" s="13" t="s">
        <v>63</v>
      </c>
      <c r="M155" s="13">
        <v>60</v>
      </c>
      <c r="N155" s="13">
        <v>3</v>
      </c>
      <c r="O155" s="13">
        <v>2</v>
      </c>
      <c r="P155" s="13" t="s">
        <v>76</v>
      </c>
      <c r="Q155" s="13">
        <v>2</v>
      </c>
      <c r="R155" s="13" t="s">
        <v>109</v>
      </c>
      <c r="S155" s="20">
        <v>2348</v>
      </c>
      <c r="T155" s="13">
        <v>10901</v>
      </c>
      <c r="U155" s="13">
        <v>8</v>
      </c>
      <c r="V155" s="13" t="s">
        <v>52</v>
      </c>
      <c r="W155" s="13" t="s">
        <v>59</v>
      </c>
      <c r="X155" s="13">
        <v>18</v>
      </c>
      <c r="Y155" s="13">
        <v>3</v>
      </c>
      <c r="Z155" s="13">
        <v>3</v>
      </c>
      <c r="AA155" s="13">
        <v>80</v>
      </c>
      <c r="AB155" s="13">
        <v>1</v>
      </c>
      <c r="AC155" s="13">
        <v>20</v>
      </c>
      <c r="AD155" s="13">
        <v>2</v>
      </c>
      <c r="AE155" s="13">
        <v>1</v>
      </c>
      <c r="AF155" s="14">
        <v>17</v>
      </c>
      <c r="AG155" s="13">
        <v>9</v>
      </c>
      <c r="AH155" s="13">
        <v>0</v>
      </c>
      <c r="AI155" s="13">
        <v>15</v>
      </c>
      <c r="AJ155" s="13" t="str">
        <f t="shared" si="2"/>
        <v>40-49</v>
      </c>
      <c r="AK155" s="13" t="str">
        <f>IF(tblCleanData[[#This Row],[MonthlyIncome]]&lt;5000, "Low Income", IF(tblCleanData[[#This Row],[MonthlyIncome]]&lt;15000, "Medium Income", "High Income"))</f>
        <v>Low Income</v>
      </c>
      <c r="AL155" s="13">
        <f>IF(tblCleanData[[#This Row],[Attrition]]="No", 0,1)</f>
        <v>0</v>
      </c>
      <c r="AM155" s="13">
        <f>IF(tblCleanData[[#This Row],[OverTime]] = "No", 0, 1)</f>
        <v>0</v>
      </c>
      <c r="AN155" s="13" t="str">
        <f>CHOOSE(tblCleanData[[#This Row],[Education]], "Below College","College","Bachelor","Master","Doctor")</f>
        <v>Bachelor</v>
      </c>
      <c r="AO155" s="13" t="str">
        <f>VLOOKUP(tblCleanData[[#This Row],[EmployeeNumber]],tblHelpers[],15,TRUE)</f>
        <v>Medium Risk</v>
      </c>
      <c r="AP155" s="13">
        <f>VLOOKUP(tblCleanData[[#This Row],[EmployeeNumber]],tblHelpers[],14,0)</f>
        <v>37</v>
      </c>
    </row>
    <row r="156" spans="1:42" x14ac:dyDescent="0.25">
      <c r="A156" s="13">
        <v>32</v>
      </c>
      <c r="B156" s="13" t="s">
        <v>59</v>
      </c>
      <c r="C156" s="13" t="s">
        <v>60</v>
      </c>
      <c r="D156" s="13">
        <v>967</v>
      </c>
      <c r="E156" s="13" t="s">
        <v>39</v>
      </c>
      <c r="F156" s="13">
        <v>8</v>
      </c>
      <c r="G156" s="13">
        <v>3</v>
      </c>
      <c r="H156" s="13" t="s">
        <v>206</v>
      </c>
      <c r="I156" s="13">
        <v>1</v>
      </c>
      <c r="J156" s="13">
        <v>207</v>
      </c>
      <c r="K156" s="13">
        <v>2</v>
      </c>
      <c r="L156" s="13" t="s">
        <v>43</v>
      </c>
      <c r="M156" s="13">
        <v>43</v>
      </c>
      <c r="N156" s="13">
        <v>3</v>
      </c>
      <c r="O156" s="13">
        <v>3</v>
      </c>
      <c r="P156" s="13" t="s">
        <v>46</v>
      </c>
      <c r="Q156" s="13">
        <v>4</v>
      </c>
      <c r="R156" s="13" t="s">
        <v>48</v>
      </c>
      <c r="S156" s="20">
        <v>8998</v>
      </c>
      <c r="T156" s="13">
        <v>15589</v>
      </c>
      <c r="U156" s="13">
        <v>1</v>
      </c>
      <c r="V156" s="13" t="s">
        <v>52</v>
      </c>
      <c r="W156" s="13" t="s">
        <v>59</v>
      </c>
      <c r="X156" s="13">
        <v>14</v>
      </c>
      <c r="Y156" s="13">
        <v>3</v>
      </c>
      <c r="Z156" s="13">
        <v>4</v>
      </c>
      <c r="AA156" s="13">
        <v>80</v>
      </c>
      <c r="AB156" s="13">
        <v>0</v>
      </c>
      <c r="AC156" s="13">
        <v>9</v>
      </c>
      <c r="AD156" s="13">
        <v>2</v>
      </c>
      <c r="AE156" s="13">
        <v>3</v>
      </c>
      <c r="AF156" s="14">
        <v>9</v>
      </c>
      <c r="AG156" s="13">
        <v>8</v>
      </c>
      <c r="AH156" s="13">
        <v>3</v>
      </c>
      <c r="AI156" s="13">
        <v>7</v>
      </c>
      <c r="AJ156" s="13" t="str">
        <f t="shared" si="2"/>
        <v>30-39</v>
      </c>
      <c r="AK156" s="13" t="str">
        <f>IF(tblCleanData[[#This Row],[MonthlyIncome]]&lt;5000, "Low Income", IF(tblCleanData[[#This Row],[MonthlyIncome]]&lt;15000, "Medium Income", "High Income"))</f>
        <v>Medium Income</v>
      </c>
      <c r="AL156" s="13">
        <f>IF(tblCleanData[[#This Row],[Attrition]]="No", 0,1)</f>
        <v>0</v>
      </c>
      <c r="AM156" s="13">
        <f>IF(tblCleanData[[#This Row],[OverTime]] = "No", 0, 1)</f>
        <v>0</v>
      </c>
      <c r="AN156" s="13" t="str">
        <f>CHOOSE(tblCleanData[[#This Row],[Education]], "Below College","College","Bachelor","Master","Doctor")</f>
        <v>Bachelor</v>
      </c>
      <c r="AO156" s="13" t="str">
        <f>VLOOKUP(tblCleanData[[#This Row],[EmployeeNumber]],tblHelpers[],15,TRUE)</f>
        <v>Medium Risk</v>
      </c>
      <c r="AP156" s="13">
        <f>VLOOKUP(tblCleanData[[#This Row],[EmployeeNumber]],tblHelpers[],14,0)</f>
        <v>39</v>
      </c>
    </row>
    <row r="157" spans="1:42" x14ac:dyDescent="0.25">
      <c r="A157" s="13">
        <v>29</v>
      </c>
      <c r="B157" s="13" t="s">
        <v>59</v>
      </c>
      <c r="C157" s="13" t="s">
        <v>161</v>
      </c>
      <c r="D157" s="13">
        <v>1496</v>
      </c>
      <c r="E157" s="13" t="s">
        <v>62</v>
      </c>
      <c r="F157" s="13">
        <v>1</v>
      </c>
      <c r="G157" s="13">
        <v>1</v>
      </c>
      <c r="H157" s="13" t="s">
        <v>228</v>
      </c>
      <c r="I157" s="13">
        <v>1</v>
      </c>
      <c r="J157" s="13">
        <v>208</v>
      </c>
      <c r="K157" s="13">
        <v>4</v>
      </c>
      <c r="L157" s="13" t="s">
        <v>63</v>
      </c>
      <c r="M157" s="13">
        <v>41</v>
      </c>
      <c r="N157" s="13">
        <v>3</v>
      </c>
      <c r="O157" s="13">
        <v>2</v>
      </c>
      <c r="P157" s="13" t="s">
        <v>116</v>
      </c>
      <c r="Q157" s="13">
        <v>3</v>
      </c>
      <c r="R157" s="13" t="s">
        <v>66</v>
      </c>
      <c r="S157" s="20">
        <v>4319</v>
      </c>
      <c r="T157" s="13">
        <v>26283</v>
      </c>
      <c r="U157" s="13">
        <v>1</v>
      </c>
      <c r="V157" s="13" t="s">
        <v>52</v>
      </c>
      <c r="W157" s="13" t="s">
        <v>59</v>
      </c>
      <c r="X157" s="13">
        <v>13</v>
      </c>
      <c r="Y157" s="13">
        <v>3</v>
      </c>
      <c r="Z157" s="13">
        <v>1</v>
      </c>
      <c r="AA157" s="13">
        <v>80</v>
      </c>
      <c r="AB157" s="13">
        <v>1</v>
      </c>
      <c r="AC157" s="13">
        <v>10</v>
      </c>
      <c r="AD157" s="13">
        <v>1</v>
      </c>
      <c r="AE157" s="13">
        <v>3</v>
      </c>
      <c r="AF157" s="14">
        <v>10</v>
      </c>
      <c r="AG157" s="13">
        <v>7</v>
      </c>
      <c r="AH157" s="13">
        <v>0</v>
      </c>
      <c r="AI157" s="13">
        <v>9</v>
      </c>
      <c r="AJ157" s="13" t="str">
        <f t="shared" si="2"/>
        <v>Under 30</v>
      </c>
      <c r="AK157" s="13" t="str">
        <f>IF(tblCleanData[[#This Row],[MonthlyIncome]]&lt;5000, "Low Income", IF(tblCleanData[[#This Row],[MonthlyIncome]]&lt;15000, "Medium Income", "High Income"))</f>
        <v>Low Income</v>
      </c>
      <c r="AL157" s="13">
        <f>IF(tblCleanData[[#This Row],[Attrition]]="No", 0,1)</f>
        <v>0</v>
      </c>
      <c r="AM157" s="13">
        <f>IF(tblCleanData[[#This Row],[OverTime]] = "No", 0, 1)</f>
        <v>0</v>
      </c>
      <c r="AN157" s="13" t="str">
        <f>CHOOSE(tblCleanData[[#This Row],[Education]], "Below College","College","Bachelor","Master","Doctor")</f>
        <v>Below College</v>
      </c>
      <c r="AO157" s="13" t="str">
        <f>VLOOKUP(tblCleanData[[#This Row],[EmployeeNumber]],tblHelpers[],15,TRUE)</f>
        <v>High Risk</v>
      </c>
      <c r="AP157" s="13">
        <f>VLOOKUP(tblCleanData[[#This Row],[EmployeeNumber]],tblHelpers[],14,0)</f>
        <v>56</v>
      </c>
    </row>
    <row r="158" spans="1:42" x14ac:dyDescent="0.25">
      <c r="A158" s="13">
        <v>51</v>
      </c>
      <c r="B158" s="13" t="s">
        <v>59</v>
      </c>
      <c r="C158" s="13" t="s">
        <v>37</v>
      </c>
      <c r="D158" s="13">
        <v>1169</v>
      </c>
      <c r="E158" s="13" t="s">
        <v>62</v>
      </c>
      <c r="F158" s="13">
        <v>7</v>
      </c>
      <c r="G158" s="13">
        <v>4</v>
      </c>
      <c r="H158" s="13" t="s">
        <v>87</v>
      </c>
      <c r="I158" s="13">
        <v>1</v>
      </c>
      <c r="J158" s="13">
        <v>211</v>
      </c>
      <c r="K158" s="13">
        <v>2</v>
      </c>
      <c r="L158" s="13" t="s">
        <v>63</v>
      </c>
      <c r="M158" s="13">
        <v>34</v>
      </c>
      <c r="N158" s="13">
        <v>2</v>
      </c>
      <c r="O158" s="13">
        <v>2</v>
      </c>
      <c r="P158" s="13" t="s">
        <v>116</v>
      </c>
      <c r="Q158" s="13">
        <v>3</v>
      </c>
      <c r="R158" s="13" t="s">
        <v>66</v>
      </c>
      <c r="S158" s="20">
        <v>6132</v>
      </c>
      <c r="T158" s="13">
        <v>13983</v>
      </c>
      <c r="U158" s="13">
        <v>2</v>
      </c>
      <c r="V158" s="13" t="s">
        <v>52</v>
      </c>
      <c r="W158" s="13" t="s">
        <v>59</v>
      </c>
      <c r="X158" s="13">
        <v>17</v>
      </c>
      <c r="Y158" s="13">
        <v>3</v>
      </c>
      <c r="Z158" s="13">
        <v>3</v>
      </c>
      <c r="AA158" s="13">
        <v>80</v>
      </c>
      <c r="AB158" s="13">
        <v>0</v>
      </c>
      <c r="AC158" s="13">
        <v>10</v>
      </c>
      <c r="AD158" s="13">
        <v>2</v>
      </c>
      <c r="AE158" s="13">
        <v>3</v>
      </c>
      <c r="AF158" s="14">
        <v>1</v>
      </c>
      <c r="AG158" s="13">
        <v>0</v>
      </c>
      <c r="AH158" s="13">
        <v>0</v>
      </c>
      <c r="AI158" s="13">
        <v>0</v>
      </c>
      <c r="AJ158" s="13" t="str">
        <f t="shared" si="2"/>
        <v>50+</v>
      </c>
      <c r="AK158" s="13" t="str">
        <f>IF(tblCleanData[[#This Row],[MonthlyIncome]]&lt;5000, "Low Income", IF(tblCleanData[[#This Row],[MonthlyIncome]]&lt;15000, "Medium Income", "High Income"))</f>
        <v>Medium Income</v>
      </c>
      <c r="AL158" s="13">
        <f>IF(tblCleanData[[#This Row],[Attrition]]="No", 0,1)</f>
        <v>0</v>
      </c>
      <c r="AM158" s="13">
        <f>IF(tblCleanData[[#This Row],[OverTime]] = "No", 0, 1)</f>
        <v>0</v>
      </c>
      <c r="AN158" s="13" t="str">
        <f>CHOOSE(tblCleanData[[#This Row],[Education]], "Below College","College","Bachelor","Master","Doctor")</f>
        <v>Master</v>
      </c>
      <c r="AO158" s="13" t="str">
        <f>VLOOKUP(tblCleanData[[#This Row],[EmployeeNumber]],tblHelpers[],15,TRUE)</f>
        <v>High Risk</v>
      </c>
      <c r="AP158" s="13">
        <f>VLOOKUP(tblCleanData[[#This Row],[EmployeeNumber]],tblHelpers[],14,0)</f>
        <v>58</v>
      </c>
    </row>
    <row r="159" spans="1:42" x14ac:dyDescent="0.25">
      <c r="A159" s="13">
        <v>58</v>
      </c>
      <c r="B159" s="13" t="s">
        <v>59</v>
      </c>
      <c r="C159" s="13" t="s">
        <v>37</v>
      </c>
      <c r="D159" s="13">
        <v>1145</v>
      </c>
      <c r="E159" s="13" t="s">
        <v>62</v>
      </c>
      <c r="F159" s="13">
        <v>9</v>
      </c>
      <c r="G159" s="13">
        <v>3</v>
      </c>
      <c r="H159" s="13" t="s">
        <v>87</v>
      </c>
      <c r="I159" s="13">
        <v>1</v>
      </c>
      <c r="J159" s="13">
        <v>214</v>
      </c>
      <c r="K159" s="13">
        <v>2</v>
      </c>
      <c r="L159" s="13" t="s">
        <v>43</v>
      </c>
      <c r="M159" s="13">
        <v>75</v>
      </c>
      <c r="N159" s="13">
        <v>2</v>
      </c>
      <c r="O159" s="13">
        <v>1</v>
      </c>
      <c r="P159" s="13" t="s">
        <v>65</v>
      </c>
      <c r="Q159" s="13">
        <v>2</v>
      </c>
      <c r="R159" s="13" t="s">
        <v>66</v>
      </c>
      <c r="S159" s="20">
        <v>3346</v>
      </c>
      <c r="T159" s="13">
        <v>11873</v>
      </c>
      <c r="U159" s="13">
        <v>4</v>
      </c>
      <c r="V159" s="13" t="s">
        <v>52</v>
      </c>
      <c r="W159" s="13" t="s">
        <v>36</v>
      </c>
      <c r="X159" s="13">
        <v>20</v>
      </c>
      <c r="Y159" s="13">
        <v>4</v>
      </c>
      <c r="Z159" s="13">
        <v>2</v>
      </c>
      <c r="AA159" s="13">
        <v>80</v>
      </c>
      <c r="AB159" s="13">
        <v>1</v>
      </c>
      <c r="AC159" s="13">
        <v>9</v>
      </c>
      <c r="AD159" s="13">
        <v>3</v>
      </c>
      <c r="AE159" s="13">
        <v>2</v>
      </c>
      <c r="AF159" s="14">
        <v>1</v>
      </c>
      <c r="AG159" s="13">
        <v>0</v>
      </c>
      <c r="AH159" s="13">
        <v>0</v>
      </c>
      <c r="AI159" s="13">
        <v>0</v>
      </c>
      <c r="AJ159" s="13" t="str">
        <f t="shared" si="2"/>
        <v>50+</v>
      </c>
      <c r="AK159" s="13" t="str">
        <f>IF(tblCleanData[[#This Row],[MonthlyIncome]]&lt;5000, "Low Income", IF(tblCleanData[[#This Row],[MonthlyIncome]]&lt;15000, "Medium Income", "High Income"))</f>
        <v>Low Income</v>
      </c>
      <c r="AL159" s="13">
        <f>IF(tblCleanData[[#This Row],[Attrition]]="No", 0,1)</f>
        <v>0</v>
      </c>
      <c r="AM159" s="13">
        <f>IF(tblCleanData[[#This Row],[OverTime]] = "No", 0, 1)</f>
        <v>1</v>
      </c>
      <c r="AN159" s="13" t="str">
        <f>CHOOSE(tblCleanData[[#This Row],[Education]], "Below College","College","Bachelor","Master","Doctor")</f>
        <v>Bachelor</v>
      </c>
      <c r="AO159" s="13" t="str">
        <f>VLOOKUP(tblCleanData[[#This Row],[EmployeeNumber]],tblHelpers[],15,TRUE)</f>
        <v>High Risk</v>
      </c>
      <c r="AP159" s="13">
        <f>VLOOKUP(tblCleanData[[#This Row],[EmployeeNumber]],tblHelpers[],14,0)</f>
        <v>89</v>
      </c>
    </row>
    <row r="160" spans="1:42" x14ac:dyDescent="0.25">
      <c r="A160" s="13">
        <v>40</v>
      </c>
      <c r="B160" s="13" t="s">
        <v>59</v>
      </c>
      <c r="C160" s="13" t="s">
        <v>37</v>
      </c>
      <c r="D160" s="13">
        <v>630</v>
      </c>
      <c r="E160" s="13" t="s">
        <v>39</v>
      </c>
      <c r="F160" s="13">
        <v>4</v>
      </c>
      <c r="G160" s="13">
        <v>4</v>
      </c>
      <c r="H160" s="13" t="s">
        <v>206</v>
      </c>
      <c r="I160" s="13">
        <v>1</v>
      </c>
      <c r="J160" s="13">
        <v>215</v>
      </c>
      <c r="K160" s="13">
        <v>3</v>
      </c>
      <c r="L160" s="13" t="s">
        <v>63</v>
      </c>
      <c r="M160" s="13">
        <v>67</v>
      </c>
      <c r="N160" s="13">
        <v>2</v>
      </c>
      <c r="O160" s="13">
        <v>3</v>
      </c>
      <c r="P160" s="13" t="s">
        <v>46</v>
      </c>
      <c r="Q160" s="13">
        <v>4</v>
      </c>
      <c r="R160" s="13" t="s">
        <v>66</v>
      </c>
      <c r="S160" s="20">
        <v>10855</v>
      </c>
      <c r="T160" s="13">
        <v>8552</v>
      </c>
      <c r="U160" s="13">
        <v>7</v>
      </c>
      <c r="V160" s="13" t="s">
        <v>52</v>
      </c>
      <c r="W160" s="13" t="s">
        <v>59</v>
      </c>
      <c r="X160" s="13">
        <v>11</v>
      </c>
      <c r="Y160" s="13">
        <v>3</v>
      </c>
      <c r="Z160" s="13">
        <v>1</v>
      </c>
      <c r="AA160" s="13">
        <v>80</v>
      </c>
      <c r="AB160" s="13">
        <v>1</v>
      </c>
      <c r="AC160" s="13">
        <v>15</v>
      </c>
      <c r="AD160" s="13">
        <v>2</v>
      </c>
      <c r="AE160" s="13">
        <v>2</v>
      </c>
      <c r="AF160" s="14">
        <v>12</v>
      </c>
      <c r="AG160" s="13">
        <v>11</v>
      </c>
      <c r="AH160" s="13">
        <v>2</v>
      </c>
      <c r="AI160" s="13">
        <v>11</v>
      </c>
      <c r="AJ160" s="13" t="str">
        <f t="shared" si="2"/>
        <v>40-49</v>
      </c>
      <c r="AK160" s="13" t="str">
        <f>IF(tblCleanData[[#This Row],[MonthlyIncome]]&lt;5000, "Low Income", IF(tblCleanData[[#This Row],[MonthlyIncome]]&lt;15000, "Medium Income", "High Income"))</f>
        <v>Medium Income</v>
      </c>
      <c r="AL160" s="13">
        <f>IF(tblCleanData[[#This Row],[Attrition]]="No", 0,1)</f>
        <v>0</v>
      </c>
      <c r="AM160" s="13">
        <f>IF(tblCleanData[[#This Row],[OverTime]] = "No", 0, 1)</f>
        <v>0</v>
      </c>
      <c r="AN160" s="13" t="str">
        <f>CHOOSE(tblCleanData[[#This Row],[Education]], "Below College","College","Bachelor","Master","Doctor")</f>
        <v>Master</v>
      </c>
      <c r="AO160" s="13" t="str">
        <f>VLOOKUP(tblCleanData[[#This Row],[EmployeeNumber]],tblHelpers[],15,TRUE)</f>
        <v>Low Risk</v>
      </c>
      <c r="AP160" s="13">
        <f>VLOOKUP(tblCleanData[[#This Row],[EmployeeNumber]],tblHelpers[],14,0)</f>
        <v>24</v>
      </c>
    </row>
    <row r="161" spans="1:42" x14ac:dyDescent="0.25">
      <c r="A161" s="13">
        <v>34</v>
      </c>
      <c r="B161" s="13" t="s">
        <v>59</v>
      </c>
      <c r="C161" s="13" t="s">
        <v>60</v>
      </c>
      <c r="D161" s="13">
        <v>303</v>
      </c>
      <c r="E161" s="13" t="s">
        <v>39</v>
      </c>
      <c r="F161" s="13">
        <v>2</v>
      </c>
      <c r="G161" s="13">
        <v>4</v>
      </c>
      <c r="H161" s="13" t="s">
        <v>206</v>
      </c>
      <c r="I161" s="13">
        <v>1</v>
      </c>
      <c r="J161" s="13">
        <v>216</v>
      </c>
      <c r="K161" s="13">
        <v>3</v>
      </c>
      <c r="L161" s="13" t="s">
        <v>43</v>
      </c>
      <c r="M161" s="13">
        <v>75</v>
      </c>
      <c r="N161" s="13">
        <v>3</v>
      </c>
      <c r="O161" s="13">
        <v>1</v>
      </c>
      <c r="P161" s="13" t="s">
        <v>182</v>
      </c>
      <c r="Q161" s="13">
        <v>3</v>
      </c>
      <c r="R161" s="13" t="s">
        <v>66</v>
      </c>
      <c r="S161" s="20">
        <v>2231</v>
      </c>
      <c r="T161" s="13">
        <v>11314</v>
      </c>
      <c r="U161" s="13">
        <v>6</v>
      </c>
      <c r="V161" s="13" t="s">
        <v>52</v>
      </c>
      <c r="W161" s="13" t="s">
        <v>59</v>
      </c>
      <c r="X161" s="13">
        <v>18</v>
      </c>
      <c r="Y161" s="13">
        <v>3</v>
      </c>
      <c r="Z161" s="13">
        <v>4</v>
      </c>
      <c r="AA161" s="13">
        <v>80</v>
      </c>
      <c r="AB161" s="13">
        <v>1</v>
      </c>
      <c r="AC161" s="13">
        <v>6</v>
      </c>
      <c r="AD161" s="13">
        <v>3</v>
      </c>
      <c r="AE161" s="13">
        <v>3</v>
      </c>
      <c r="AF161" s="14">
        <v>4</v>
      </c>
      <c r="AG161" s="13">
        <v>3</v>
      </c>
      <c r="AH161" s="13">
        <v>1</v>
      </c>
      <c r="AI161" s="13">
        <v>2</v>
      </c>
      <c r="AJ161" s="13" t="str">
        <f t="shared" si="2"/>
        <v>30-39</v>
      </c>
      <c r="AK161" s="13" t="str">
        <f>IF(tblCleanData[[#This Row],[MonthlyIncome]]&lt;5000, "Low Income", IF(tblCleanData[[#This Row],[MonthlyIncome]]&lt;15000, "Medium Income", "High Income"))</f>
        <v>Low Income</v>
      </c>
      <c r="AL161" s="13">
        <f>IF(tblCleanData[[#This Row],[Attrition]]="No", 0,1)</f>
        <v>0</v>
      </c>
      <c r="AM161" s="13">
        <f>IF(tblCleanData[[#This Row],[OverTime]] = "No", 0, 1)</f>
        <v>0</v>
      </c>
      <c r="AN161" s="13" t="str">
        <f>CHOOSE(tblCleanData[[#This Row],[Education]], "Below College","College","Bachelor","Master","Doctor")</f>
        <v>Master</v>
      </c>
      <c r="AO161" s="13" t="str">
        <f>VLOOKUP(tblCleanData[[#This Row],[EmployeeNumber]],tblHelpers[],15,TRUE)</f>
        <v>Medium Risk</v>
      </c>
      <c r="AP161" s="13">
        <f>VLOOKUP(tblCleanData[[#This Row],[EmployeeNumber]],tblHelpers[],14,0)</f>
        <v>53</v>
      </c>
    </row>
    <row r="162" spans="1:42" x14ac:dyDescent="0.25">
      <c r="A162" s="13">
        <v>22</v>
      </c>
      <c r="B162" s="13" t="s">
        <v>59</v>
      </c>
      <c r="C162" s="13" t="s">
        <v>37</v>
      </c>
      <c r="D162" s="13">
        <v>1256</v>
      </c>
      <c r="E162" s="13" t="s">
        <v>62</v>
      </c>
      <c r="F162" s="13">
        <v>19</v>
      </c>
      <c r="G162" s="13">
        <v>1</v>
      </c>
      <c r="H162" s="13" t="s">
        <v>87</v>
      </c>
      <c r="I162" s="13">
        <v>1</v>
      </c>
      <c r="J162" s="13">
        <v>217</v>
      </c>
      <c r="K162" s="13">
        <v>3</v>
      </c>
      <c r="L162" s="13" t="s">
        <v>63</v>
      </c>
      <c r="M162" s="13">
        <v>80</v>
      </c>
      <c r="N162" s="13">
        <v>3</v>
      </c>
      <c r="O162" s="13">
        <v>1</v>
      </c>
      <c r="P162" s="13" t="s">
        <v>65</v>
      </c>
      <c r="Q162" s="13">
        <v>4</v>
      </c>
      <c r="R162" s="13" t="s">
        <v>66</v>
      </c>
      <c r="S162" s="20">
        <v>2323</v>
      </c>
      <c r="T162" s="13">
        <v>11992</v>
      </c>
      <c r="U162" s="13">
        <v>1</v>
      </c>
      <c r="V162" s="13" t="s">
        <v>52</v>
      </c>
      <c r="W162" s="13" t="s">
        <v>59</v>
      </c>
      <c r="X162" s="13">
        <v>24</v>
      </c>
      <c r="Y162" s="13">
        <v>4</v>
      </c>
      <c r="Z162" s="13">
        <v>1</v>
      </c>
      <c r="AA162" s="13">
        <v>80</v>
      </c>
      <c r="AB162" s="13">
        <v>2</v>
      </c>
      <c r="AC162" s="13">
        <v>2</v>
      </c>
      <c r="AD162" s="13">
        <v>6</v>
      </c>
      <c r="AE162" s="13">
        <v>3</v>
      </c>
      <c r="AF162" s="14">
        <v>2</v>
      </c>
      <c r="AG162" s="13">
        <v>2</v>
      </c>
      <c r="AH162" s="13">
        <v>2</v>
      </c>
      <c r="AI162" s="13">
        <v>2</v>
      </c>
      <c r="AJ162" s="13" t="str">
        <f t="shared" si="2"/>
        <v>Under 30</v>
      </c>
      <c r="AK162" s="13" t="str">
        <f>IF(tblCleanData[[#This Row],[MonthlyIncome]]&lt;5000, "Low Income", IF(tblCleanData[[#This Row],[MonthlyIncome]]&lt;15000, "Medium Income", "High Income"))</f>
        <v>Low Income</v>
      </c>
      <c r="AL162" s="13">
        <f>IF(tblCleanData[[#This Row],[Attrition]]="No", 0,1)</f>
        <v>0</v>
      </c>
      <c r="AM162" s="13">
        <f>IF(tblCleanData[[#This Row],[OverTime]] = "No", 0, 1)</f>
        <v>0</v>
      </c>
      <c r="AN162" s="13" t="str">
        <f>CHOOSE(tblCleanData[[#This Row],[Education]], "Below College","College","Bachelor","Master","Doctor")</f>
        <v>Below College</v>
      </c>
      <c r="AO162" s="13" t="str">
        <f>VLOOKUP(tblCleanData[[#This Row],[EmployeeNumber]],tblHelpers[],15,TRUE)</f>
        <v>High Risk</v>
      </c>
      <c r="AP162" s="13">
        <f>VLOOKUP(tblCleanData[[#This Row],[EmployeeNumber]],tblHelpers[],14,0)</f>
        <v>66</v>
      </c>
    </row>
    <row r="163" spans="1:42" x14ac:dyDescent="0.25">
      <c r="A163" s="13">
        <v>27</v>
      </c>
      <c r="B163" s="13" t="s">
        <v>59</v>
      </c>
      <c r="C163" s="13" t="s">
        <v>161</v>
      </c>
      <c r="D163" s="13">
        <v>691</v>
      </c>
      <c r="E163" s="13" t="s">
        <v>62</v>
      </c>
      <c r="F163" s="13">
        <v>9</v>
      </c>
      <c r="G163" s="13">
        <v>3</v>
      </c>
      <c r="H163" s="13" t="s">
        <v>87</v>
      </c>
      <c r="I163" s="13">
        <v>1</v>
      </c>
      <c r="J163" s="13">
        <v>218</v>
      </c>
      <c r="K163" s="13">
        <v>4</v>
      </c>
      <c r="L163" s="13" t="s">
        <v>63</v>
      </c>
      <c r="M163" s="13">
        <v>57</v>
      </c>
      <c r="N163" s="13">
        <v>3</v>
      </c>
      <c r="O163" s="13">
        <v>1</v>
      </c>
      <c r="P163" s="13" t="s">
        <v>65</v>
      </c>
      <c r="Q163" s="13">
        <v>2</v>
      </c>
      <c r="R163" s="13" t="s">
        <v>109</v>
      </c>
      <c r="S163" s="20">
        <v>2024</v>
      </c>
      <c r="T163" s="13">
        <v>5970</v>
      </c>
      <c r="U163" s="13">
        <v>6</v>
      </c>
      <c r="V163" s="13" t="s">
        <v>52</v>
      </c>
      <c r="W163" s="13" t="s">
        <v>59</v>
      </c>
      <c r="X163" s="13">
        <v>18</v>
      </c>
      <c r="Y163" s="13">
        <v>3</v>
      </c>
      <c r="Z163" s="13">
        <v>4</v>
      </c>
      <c r="AA163" s="13">
        <v>80</v>
      </c>
      <c r="AB163" s="13">
        <v>1</v>
      </c>
      <c r="AC163" s="13">
        <v>6</v>
      </c>
      <c r="AD163" s="13">
        <v>1</v>
      </c>
      <c r="AE163" s="13">
        <v>1</v>
      </c>
      <c r="AF163" s="14">
        <v>2</v>
      </c>
      <c r="AG163" s="13">
        <v>2</v>
      </c>
      <c r="AH163" s="13">
        <v>2</v>
      </c>
      <c r="AI163" s="13">
        <v>2</v>
      </c>
      <c r="AJ163" s="13" t="str">
        <f t="shared" si="2"/>
        <v>Under 30</v>
      </c>
      <c r="AK163" s="13" t="str">
        <f>IF(tblCleanData[[#This Row],[MonthlyIncome]]&lt;5000, "Low Income", IF(tblCleanData[[#This Row],[MonthlyIncome]]&lt;15000, "Medium Income", "High Income"))</f>
        <v>Low Income</v>
      </c>
      <c r="AL163" s="13">
        <f>IF(tblCleanData[[#This Row],[Attrition]]="No", 0,1)</f>
        <v>0</v>
      </c>
      <c r="AM163" s="13">
        <f>IF(tblCleanData[[#This Row],[OverTime]] = "No", 0, 1)</f>
        <v>0</v>
      </c>
      <c r="AN163" s="13" t="str">
        <f>CHOOSE(tblCleanData[[#This Row],[Education]], "Below College","College","Bachelor","Master","Doctor")</f>
        <v>Bachelor</v>
      </c>
      <c r="AO163" s="13" t="str">
        <f>VLOOKUP(tblCleanData[[#This Row],[EmployeeNumber]],tblHelpers[],15,TRUE)</f>
        <v>High Risk</v>
      </c>
      <c r="AP163" s="13">
        <f>VLOOKUP(tblCleanData[[#This Row],[EmployeeNumber]],tblHelpers[],14,0)</f>
        <v>79</v>
      </c>
    </row>
    <row r="164" spans="1:42" x14ac:dyDescent="0.25">
      <c r="A164" s="13">
        <v>28</v>
      </c>
      <c r="B164" s="13" t="s">
        <v>59</v>
      </c>
      <c r="C164" s="13" t="s">
        <v>37</v>
      </c>
      <c r="D164" s="13">
        <v>440</v>
      </c>
      <c r="E164" s="13" t="s">
        <v>62</v>
      </c>
      <c r="F164" s="13">
        <v>21</v>
      </c>
      <c r="G164" s="13">
        <v>3</v>
      </c>
      <c r="H164" s="13" t="s">
        <v>87</v>
      </c>
      <c r="I164" s="13">
        <v>1</v>
      </c>
      <c r="J164" s="13">
        <v>221</v>
      </c>
      <c r="K164" s="13">
        <v>3</v>
      </c>
      <c r="L164" s="13" t="s">
        <v>63</v>
      </c>
      <c r="M164" s="13">
        <v>42</v>
      </c>
      <c r="N164" s="13">
        <v>3</v>
      </c>
      <c r="O164" s="13">
        <v>1</v>
      </c>
      <c r="P164" s="13" t="s">
        <v>65</v>
      </c>
      <c r="Q164" s="13">
        <v>4</v>
      </c>
      <c r="R164" s="13" t="s">
        <v>66</v>
      </c>
      <c r="S164" s="20">
        <v>2713</v>
      </c>
      <c r="T164" s="13">
        <v>6672</v>
      </c>
      <c r="U164" s="13">
        <v>1</v>
      </c>
      <c r="V164" s="13" t="s">
        <v>52</v>
      </c>
      <c r="W164" s="13" t="s">
        <v>59</v>
      </c>
      <c r="X164" s="13">
        <v>11</v>
      </c>
      <c r="Y164" s="13">
        <v>3</v>
      </c>
      <c r="Z164" s="13">
        <v>3</v>
      </c>
      <c r="AA164" s="13">
        <v>80</v>
      </c>
      <c r="AB164" s="13">
        <v>1</v>
      </c>
      <c r="AC164" s="13">
        <v>5</v>
      </c>
      <c r="AD164" s="13">
        <v>2</v>
      </c>
      <c r="AE164" s="13">
        <v>1</v>
      </c>
      <c r="AF164" s="14">
        <v>5</v>
      </c>
      <c r="AG164" s="13">
        <v>2</v>
      </c>
      <c r="AH164" s="13">
        <v>0</v>
      </c>
      <c r="AI164" s="13">
        <v>2</v>
      </c>
      <c r="AJ164" s="13" t="str">
        <f t="shared" si="2"/>
        <v>Under 30</v>
      </c>
      <c r="AK164" s="13" t="str">
        <f>IF(tblCleanData[[#This Row],[MonthlyIncome]]&lt;5000, "Low Income", IF(tblCleanData[[#This Row],[MonthlyIncome]]&lt;15000, "Medium Income", "High Income"))</f>
        <v>Low Income</v>
      </c>
      <c r="AL164" s="13">
        <f>IF(tblCleanData[[#This Row],[Attrition]]="No", 0,1)</f>
        <v>0</v>
      </c>
      <c r="AM164" s="13">
        <f>IF(tblCleanData[[#This Row],[OverTime]] = "No", 0, 1)</f>
        <v>0</v>
      </c>
      <c r="AN164" s="13" t="str">
        <f>CHOOSE(tblCleanData[[#This Row],[Education]], "Below College","College","Bachelor","Master","Doctor")</f>
        <v>Bachelor</v>
      </c>
      <c r="AO164" s="13" t="str">
        <f>VLOOKUP(tblCleanData[[#This Row],[EmployeeNumber]],tblHelpers[],15,TRUE)</f>
        <v>High Risk</v>
      </c>
      <c r="AP164" s="13">
        <f>VLOOKUP(tblCleanData[[#This Row],[EmployeeNumber]],tblHelpers[],14,0)</f>
        <v>56</v>
      </c>
    </row>
    <row r="165" spans="1:42" x14ac:dyDescent="0.25">
      <c r="A165" s="13">
        <v>57</v>
      </c>
      <c r="B165" s="13" t="s">
        <v>59</v>
      </c>
      <c r="C165" s="13" t="s">
        <v>37</v>
      </c>
      <c r="D165" s="13">
        <v>334</v>
      </c>
      <c r="E165" s="13" t="s">
        <v>62</v>
      </c>
      <c r="F165" s="13">
        <v>24</v>
      </c>
      <c r="G165" s="13">
        <v>2</v>
      </c>
      <c r="H165" s="13" t="s">
        <v>42</v>
      </c>
      <c r="I165" s="13">
        <v>1</v>
      </c>
      <c r="J165" s="13">
        <v>223</v>
      </c>
      <c r="K165" s="13">
        <v>3</v>
      </c>
      <c r="L165" s="13" t="s">
        <v>63</v>
      </c>
      <c r="M165" s="13">
        <v>83</v>
      </c>
      <c r="N165" s="13">
        <v>4</v>
      </c>
      <c r="O165" s="13">
        <v>3</v>
      </c>
      <c r="P165" s="13" t="s">
        <v>122</v>
      </c>
      <c r="Q165" s="13">
        <v>4</v>
      </c>
      <c r="R165" s="13" t="s">
        <v>109</v>
      </c>
      <c r="S165" s="20">
        <v>9439</v>
      </c>
      <c r="T165" s="13">
        <v>23402</v>
      </c>
      <c r="U165" s="13">
        <v>3</v>
      </c>
      <c r="V165" s="13" t="s">
        <v>52</v>
      </c>
      <c r="W165" s="13" t="s">
        <v>36</v>
      </c>
      <c r="X165" s="13">
        <v>16</v>
      </c>
      <c r="Y165" s="13">
        <v>3</v>
      </c>
      <c r="Z165" s="13">
        <v>2</v>
      </c>
      <c r="AA165" s="13">
        <v>80</v>
      </c>
      <c r="AB165" s="13">
        <v>1</v>
      </c>
      <c r="AC165" s="13">
        <v>12</v>
      </c>
      <c r="AD165" s="13">
        <v>2</v>
      </c>
      <c r="AE165" s="13">
        <v>1</v>
      </c>
      <c r="AF165" s="14">
        <v>5</v>
      </c>
      <c r="AG165" s="13">
        <v>3</v>
      </c>
      <c r="AH165" s="13">
        <v>1</v>
      </c>
      <c r="AI165" s="13">
        <v>4</v>
      </c>
      <c r="AJ165" s="13" t="str">
        <f t="shared" si="2"/>
        <v>50+</v>
      </c>
      <c r="AK165" s="13" t="str">
        <f>IF(tblCleanData[[#This Row],[MonthlyIncome]]&lt;5000, "Low Income", IF(tblCleanData[[#This Row],[MonthlyIncome]]&lt;15000, "Medium Income", "High Income"))</f>
        <v>Medium Income</v>
      </c>
      <c r="AL165" s="13">
        <f>IF(tblCleanData[[#This Row],[Attrition]]="No", 0,1)</f>
        <v>0</v>
      </c>
      <c r="AM165" s="13">
        <f>IF(tblCleanData[[#This Row],[OverTime]] = "No", 0, 1)</f>
        <v>1</v>
      </c>
      <c r="AN165" s="13" t="str">
        <f>CHOOSE(tblCleanData[[#This Row],[Education]], "Below College","College","Bachelor","Master","Doctor")</f>
        <v>College</v>
      </c>
      <c r="AO165" s="13" t="str">
        <f>VLOOKUP(tblCleanData[[#This Row],[EmployeeNumber]],tblHelpers[],15,TRUE)</f>
        <v>High Risk</v>
      </c>
      <c r="AP165" s="13">
        <f>VLOOKUP(tblCleanData[[#This Row],[EmployeeNumber]],tblHelpers[],14,0)</f>
        <v>66</v>
      </c>
    </row>
    <row r="166" spans="1:42" x14ac:dyDescent="0.25">
      <c r="A166" s="13">
        <v>27</v>
      </c>
      <c r="B166" s="13" t="s">
        <v>59</v>
      </c>
      <c r="C166" s="13" t="s">
        <v>161</v>
      </c>
      <c r="D166" s="13">
        <v>1450</v>
      </c>
      <c r="E166" s="13" t="s">
        <v>62</v>
      </c>
      <c r="F166" s="13">
        <v>3</v>
      </c>
      <c r="G166" s="13">
        <v>3</v>
      </c>
      <c r="H166" s="13" t="s">
        <v>87</v>
      </c>
      <c r="I166" s="13">
        <v>1</v>
      </c>
      <c r="J166" s="13">
        <v>224</v>
      </c>
      <c r="K166" s="13">
        <v>3</v>
      </c>
      <c r="L166" s="13" t="s">
        <v>63</v>
      </c>
      <c r="M166" s="13">
        <v>79</v>
      </c>
      <c r="N166" s="13">
        <v>2</v>
      </c>
      <c r="O166" s="13">
        <v>1</v>
      </c>
      <c r="P166" s="13" t="s">
        <v>65</v>
      </c>
      <c r="Q166" s="13">
        <v>3</v>
      </c>
      <c r="R166" s="13" t="s">
        <v>109</v>
      </c>
      <c r="S166" s="20">
        <v>2566</v>
      </c>
      <c r="T166" s="13">
        <v>25326</v>
      </c>
      <c r="U166" s="13">
        <v>1</v>
      </c>
      <c r="V166" s="13" t="s">
        <v>52</v>
      </c>
      <c r="W166" s="13" t="s">
        <v>36</v>
      </c>
      <c r="X166" s="13">
        <v>15</v>
      </c>
      <c r="Y166" s="13">
        <v>3</v>
      </c>
      <c r="Z166" s="13">
        <v>4</v>
      </c>
      <c r="AA166" s="13">
        <v>80</v>
      </c>
      <c r="AB166" s="13">
        <v>1</v>
      </c>
      <c r="AC166" s="13">
        <v>1</v>
      </c>
      <c r="AD166" s="13">
        <v>2</v>
      </c>
      <c r="AE166" s="13">
        <v>2</v>
      </c>
      <c r="AF166" s="14">
        <v>1</v>
      </c>
      <c r="AG166" s="13">
        <v>1</v>
      </c>
      <c r="AH166" s="13">
        <v>0</v>
      </c>
      <c r="AI166" s="13">
        <v>1</v>
      </c>
      <c r="AJ166" s="13" t="str">
        <f t="shared" si="2"/>
        <v>Under 30</v>
      </c>
      <c r="AK166" s="13" t="str">
        <f>IF(tblCleanData[[#This Row],[MonthlyIncome]]&lt;5000, "Low Income", IF(tblCleanData[[#This Row],[MonthlyIncome]]&lt;15000, "Medium Income", "High Income"))</f>
        <v>Low Income</v>
      </c>
      <c r="AL166" s="13">
        <f>IF(tblCleanData[[#This Row],[Attrition]]="No", 0,1)</f>
        <v>0</v>
      </c>
      <c r="AM166" s="13">
        <f>IF(tblCleanData[[#This Row],[OverTime]] = "No", 0, 1)</f>
        <v>1</v>
      </c>
      <c r="AN166" s="13" t="str">
        <f>CHOOSE(tblCleanData[[#This Row],[Education]], "Below College","College","Bachelor","Master","Doctor")</f>
        <v>Bachelor</v>
      </c>
      <c r="AO166" s="13" t="str">
        <f>VLOOKUP(tblCleanData[[#This Row],[EmployeeNumber]],tblHelpers[],15,TRUE)</f>
        <v>High Risk</v>
      </c>
      <c r="AP166" s="13">
        <f>VLOOKUP(tblCleanData[[#This Row],[EmployeeNumber]],tblHelpers[],14,0)</f>
        <v>98</v>
      </c>
    </row>
    <row r="167" spans="1:42" x14ac:dyDescent="0.25">
      <c r="A167" s="13">
        <v>50</v>
      </c>
      <c r="B167" s="13" t="s">
        <v>59</v>
      </c>
      <c r="C167" s="13" t="s">
        <v>37</v>
      </c>
      <c r="D167" s="13">
        <v>1452</v>
      </c>
      <c r="E167" s="13" t="s">
        <v>62</v>
      </c>
      <c r="F167" s="13">
        <v>11</v>
      </c>
      <c r="G167" s="13">
        <v>3</v>
      </c>
      <c r="H167" s="13" t="s">
        <v>42</v>
      </c>
      <c r="I167" s="13">
        <v>1</v>
      </c>
      <c r="J167" s="13">
        <v>226</v>
      </c>
      <c r="K167" s="13">
        <v>3</v>
      </c>
      <c r="L167" s="13" t="s">
        <v>43</v>
      </c>
      <c r="M167" s="13">
        <v>53</v>
      </c>
      <c r="N167" s="13">
        <v>3</v>
      </c>
      <c r="O167" s="13">
        <v>5</v>
      </c>
      <c r="P167" s="13" t="s">
        <v>169</v>
      </c>
      <c r="Q167" s="13">
        <v>2</v>
      </c>
      <c r="R167" s="13" t="s">
        <v>48</v>
      </c>
      <c r="S167" s="20">
        <v>19926</v>
      </c>
      <c r="T167" s="13">
        <v>17053</v>
      </c>
      <c r="U167" s="13">
        <v>3</v>
      </c>
      <c r="V167" s="13" t="s">
        <v>52</v>
      </c>
      <c r="W167" s="13" t="s">
        <v>59</v>
      </c>
      <c r="X167" s="13">
        <v>15</v>
      </c>
      <c r="Y167" s="13">
        <v>3</v>
      </c>
      <c r="Z167" s="13">
        <v>2</v>
      </c>
      <c r="AA167" s="13">
        <v>80</v>
      </c>
      <c r="AB167" s="13">
        <v>0</v>
      </c>
      <c r="AC167" s="13">
        <v>21</v>
      </c>
      <c r="AD167" s="13">
        <v>5</v>
      </c>
      <c r="AE167" s="13">
        <v>3</v>
      </c>
      <c r="AF167" s="14">
        <v>5</v>
      </c>
      <c r="AG167" s="13">
        <v>4</v>
      </c>
      <c r="AH167" s="13">
        <v>4</v>
      </c>
      <c r="AI167" s="13">
        <v>4</v>
      </c>
      <c r="AJ167" s="13" t="str">
        <f t="shared" si="2"/>
        <v>50+</v>
      </c>
      <c r="AK167" s="13" t="str">
        <f>IF(tblCleanData[[#This Row],[MonthlyIncome]]&lt;5000, "Low Income", IF(tblCleanData[[#This Row],[MonthlyIncome]]&lt;15000, "Medium Income", "High Income"))</f>
        <v>High Income</v>
      </c>
      <c r="AL167" s="13">
        <f>IF(tblCleanData[[#This Row],[Attrition]]="No", 0,1)</f>
        <v>0</v>
      </c>
      <c r="AM167" s="13">
        <f>IF(tblCleanData[[#This Row],[OverTime]] = "No", 0, 1)</f>
        <v>0</v>
      </c>
      <c r="AN167" s="13" t="str">
        <f>CHOOSE(tblCleanData[[#This Row],[Education]], "Below College","College","Bachelor","Master","Doctor")</f>
        <v>Bachelor</v>
      </c>
      <c r="AO167" s="13" t="str">
        <f>VLOOKUP(tblCleanData[[#This Row],[EmployeeNumber]],tblHelpers[],15,TRUE)</f>
        <v>Medium Risk</v>
      </c>
      <c r="AP167" s="13">
        <f>VLOOKUP(tblCleanData[[#This Row],[EmployeeNumber]],tblHelpers[],14,0)</f>
        <v>54</v>
      </c>
    </row>
    <row r="168" spans="1:42" x14ac:dyDescent="0.25">
      <c r="A168" s="13">
        <v>41</v>
      </c>
      <c r="B168" s="13" t="s">
        <v>59</v>
      </c>
      <c r="C168" s="13" t="s">
        <v>37</v>
      </c>
      <c r="D168" s="13">
        <v>465</v>
      </c>
      <c r="E168" s="13" t="s">
        <v>62</v>
      </c>
      <c r="F168" s="13">
        <v>14</v>
      </c>
      <c r="G168" s="13">
        <v>3</v>
      </c>
      <c r="H168" s="13" t="s">
        <v>42</v>
      </c>
      <c r="I168" s="13">
        <v>1</v>
      </c>
      <c r="J168" s="13">
        <v>227</v>
      </c>
      <c r="K168" s="13">
        <v>1</v>
      </c>
      <c r="L168" s="13" t="s">
        <v>63</v>
      </c>
      <c r="M168" s="13">
        <v>56</v>
      </c>
      <c r="N168" s="13">
        <v>3</v>
      </c>
      <c r="O168" s="13">
        <v>1</v>
      </c>
      <c r="P168" s="13" t="s">
        <v>65</v>
      </c>
      <c r="Q168" s="13">
        <v>3</v>
      </c>
      <c r="R168" s="13" t="s">
        <v>109</v>
      </c>
      <c r="S168" s="20">
        <v>2451</v>
      </c>
      <c r="T168" s="13">
        <v>4609</v>
      </c>
      <c r="U168" s="13">
        <v>4</v>
      </c>
      <c r="V168" s="13" t="s">
        <v>52</v>
      </c>
      <c r="W168" s="13" t="s">
        <v>59</v>
      </c>
      <c r="X168" s="13">
        <v>12</v>
      </c>
      <c r="Y168" s="13">
        <v>3</v>
      </c>
      <c r="Z168" s="13">
        <v>1</v>
      </c>
      <c r="AA168" s="13">
        <v>80</v>
      </c>
      <c r="AB168" s="13">
        <v>1</v>
      </c>
      <c r="AC168" s="13">
        <v>13</v>
      </c>
      <c r="AD168" s="13">
        <v>2</v>
      </c>
      <c r="AE168" s="13">
        <v>3</v>
      </c>
      <c r="AF168" s="14">
        <v>9</v>
      </c>
      <c r="AG168" s="13">
        <v>8</v>
      </c>
      <c r="AH168" s="13">
        <v>1</v>
      </c>
      <c r="AI168" s="13">
        <v>8</v>
      </c>
      <c r="AJ168" s="13" t="str">
        <f t="shared" si="2"/>
        <v>40-49</v>
      </c>
      <c r="AK168" s="13" t="str">
        <f>IF(tblCleanData[[#This Row],[MonthlyIncome]]&lt;5000, "Low Income", IF(tblCleanData[[#This Row],[MonthlyIncome]]&lt;15000, "Medium Income", "High Income"))</f>
        <v>Low Income</v>
      </c>
      <c r="AL168" s="13">
        <f>IF(tblCleanData[[#This Row],[Attrition]]="No", 0,1)</f>
        <v>0</v>
      </c>
      <c r="AM168" s="13">
        <f>IF(tblCleanData[[#This Row],[OverTime]] = "No", 0, 1)</f>
        <v>0</v>
      </c>
      <c r="AN168" s="13" t="str">
        <f>CHOOSE(tblCleanData[[#This Row],[Education]], "Below College","College","Bachelor","Master","Doctor")</f>
        <v>Bachelor</v>
      </c>
      <c r="AO168" s="13" t="str">
        <f>VLOOKUP(tblCleanData[[#This Row],[EmployeeNumber]],tblHelpers[],15,TRUE)</f>
        <v>Medium Risk</v>
      </c>
      <c r="AP168" s="13">
        <f>VLOOKUP(tblCleanData[[#This Row],[EmployeeNumber]],tblHelpers[],14,0)</f>
        <v>36</v>
      </c>
    </row>
    <row r="169" spans="1:42" x14ac:dyDescent="0.25">
      <c r="A169" s="13">
        <v>30</v>
      </c>
      <c r="B169" s="13" t="s">
        <v>59</v>
      </c>
      <c r="C169" s="13" t="s">
        <v>37</v>
      </c>
      <c r="D169" s="13">
        <v>1339</v>
      </c>
      <c r="E169" s="13" t="s">
        <v>39</v>
      </c>
      <c r="F169" s="13">
        <v>5</v>
      </c>
      <c r="G169" s="13">
        <v>3</v>
      </c>
      <c r="H169" s="13" t="s">
        <v>42</v>
      </c>
      <c r="I169" s="13">
        <v>1</v>
      </c>
      <c r="J169" s="13">
        <v>228</v>
      </c>
      <c r="K169" s="13">
        <v>2</v>
      </c>
      <c r="L169" s="13" t="s">
        <v>43</v>
      </c>
      <c r="M169" s="13">
        <v>41</v>
      </c>
      <c r="N169" s="13">
        <v>3</v>
      </c>
      <c r="O169" s="13">
        <v>3</v>
      </c>
      <c r="P169" s="13" t="s">
        <v>46</v>
      </c>
      <c r="Q169" s="13">
        <v>4</v>
      </c>
      <c r="R169" s="13" t="s">
        <v>66</v>
      </c>
      <c r="S169" s="20">
        <v>9419</v>
      </c>
      <c r="T169" s="13">
        <v>8053</v>
      </c>
      <c r="U169" s="13">
        <v>2</v>
      </c>
      <c r="V169" s="13" t="s">
        <v>52</v>
      </c>
      <c r="W169" s="13" t="s">
        <v>59</v>
      </c>
      <c r="X169" s="13">
        <v>12</v>
      </c>
      <c r="Y169" s="13">
        <v>3</v>
      </c>
      <c r="Z169" s="13">
        <v>3</v>
      </c>
      <c r="AA169" s="13">
        <v>80</v>
      </c>
      <c r="AB169" s="13">
        <v>1</v>
      </c>
      <c r="AC169" s="13">
        <v>12</v>
      </c>
      <c r="AD169" s="13">
        <v>2</v>
      </c>
      <c r="AE169" s="13">
        <v>3</v>
      </c>
      <c r="AF169" s="14">
        <v>10</v>
      </c>
      <c r="AG169" s="13">
        <v>9</v>
      </c>
      <c r="AH169" s="13">
        <v>7</v>
      </c>
      <c r="AI169" s="13">
        <v>4</v>
      </c>
      <c r="AJ169" s="13" t="str">
        <f t="shared" si="2"/>
        <v>30-39</v>
      </c>
      <c r="AK169" s="13" t="str">
        <f>IF(tblCleanData[[#This Row],[MonthlyIncome]]&lt;5000, "Low Income", IF(tblCleanData[[#This Row],[MonthlyIncome]]&lt;15000, "Medium Income", "High Income"))</f>
        <v>Medium Income</v>
      </c>
      <c r="AL169" s="13">
        <f>IF(tblCleanData[[#This Row],[Attrition]]="No", 0,1)</f>
        <v>0</v>
      </c>
      <c r="AM169" s="13">
        <f>IF(tblCleanData[[#This Row],[OverTime]] = "No", 0, 1)</f>
        <v>0</v>
      </c>
      <c r="AN169" s="13" t="str">
        <f>CHOOSE(tblCleanData[[#This Row],[Education]], "Below College","College","Bachelor","Master","Doctor")</f>
        <v>Bachelor</v>
      </c>
      <c r="AO169" s="13" t="str">
        <f>VLOOKUP(tblCleanData[[#This Row],[EmployeeNumber]],tblHelpers[],15,TRUE)</f>
        <v>Medium Risk</v>
      </c>
      <c r="AP169" s="13">
        <f>VLOOKUP(tblCleanData[[#This Row],[EmployeeNumber]],tblHelpers[],14,0)</f>
        <v>39</v>
      </c>
    </row>
    <row r="170" spans="1:42" x14ac:dyDescent="0.25">
      <c r="A170" s="13">
        <v>38</v>
      </c>
      <c r="B170" s="13" t="s">
        <v>59</v>
      </c>
      <c r="C170" s="13" t="s">
        <v>37</v>
      </c>
      <c r="D170" s="13">
        <v>702</v>
      </c>
      <c r="E170" s="13" t="s">
        <v>39</v>
      </c>
      <c r="F170" s="13">
        <v>1</v>
      </c>
      <c r="G170" s="13">
        <v>4</v>
      </c>
      <c r="H170" s="13" t="s">
        <v>42</v>
      </c>
      <c r="I170" s="13">
        <v>1</v>
      </c>
      <c r="J170" s="13">
        <v>230</v>
      </c>
      <c r="K170" s="13">
        <v>1</v>
      </c>
      <c r="L170" s="13" t="s">
        <v>43</v>
      </c>
      <c r="M170" s="13">
        <v>59</v>
      </c>
      <c r="N170" s="13">
        <v>2</v>
      </c>
      <c r="O170" s="13">
        <v>2</v>
      </c>
      <c r="P170" s="13" t="s">
        <v>46</v>
      </c>
      <c r="Q170" s="13">
        <v>4</v>
      </c>
      <c r="R170" s="13" t="s">
        <v>48</v>
      </c>
      <c r="S170" s="20">
        <v>8686</v>
      </c>
      <c r="T170" s="13">
        <v>12930</v>
      </c>
      <c r="U170" s="13">
        <v>4</v>
      </c>
      <c r="V170" s="13" t="s">
        <v>52</v>
      </c>
      <c r="W170" s="13" t="s">
        <v>59</v>
      </c>
      <c r="X170" s="13">
        <v>22</v>
      </c>
      <c r="Y170" s="13">
        <v>4</v>
      </c>
      <c r="Z170" s="13">
        <v>3</v>
      </c>
      <c r="AA170" s="13">
        <v>80</v>
      </c>
      <c r="AB170" s="13">
        <v>0</v>
      </c>
      <c r="AC170" s="13">
        <v>12</v>
      </c>
      <c r="AD170" s="13">
        <v>2</v>
      </c>
      <c r="AE170" s="13">
        <v>4</v>
      </c>
      <c r="AF170" s="14">
        <v>8</v>
      </c>
      <c r="AG170" s="13">
        <v>3</v>
      </c>
      <c r="AH170" s="13">
        <v>0</v>
      </c>
      <c r="AI170" s="13">
        <v>7</v>
      </c>
      <c r="AJ170" s="13" t="str">
        <f t="shared" si="2"/>
        <v>30-39</v>
      </c>
      <c r="AK170" s="13" t="str">
        <f>IF(tblCleanData[[#This Row],[MonthlyIncome]]&lt;5000, "Low Income", IF(tblCleanData[[#This Row],[MonthlyIncome]]&lt;15000, "Medium Income", "High Income"))</f>
        <v>Medium Income</v>
      </c>
      <c r="AL170" s="13">
        <f>IF(tblCleanData[[#This Row],[Attrition]]="No", 0,1)</f>
        <v>0</v>
      </c>
      <c r="AM170" s="13">
        <f>IF(tblCleanData[[#This Row],[OverTime]] = "No", 0, 1)</f>
        <v>0</v>
      </c>
      <c r="AN170" s="13" t="str">
        <f>CHOOSE(tblCleanData[[#This Row],[Education]], "Below College","College","Bachelor","Master","Doctor")</f>
        <v>Master</v>
      </c>
      <c r="AO170" s="13" t="str">
        <f>VLOOKUP(tblCleanData[[#This Row],[EmployeeNumber]],tblHelpers[],15,TRUE)</f>
        <v>Medium Risk</v>
      </c>
      <c r="AP170" s="13">
        <f>VLOOKUP(tblCleanData[[#This Row],[EmployeeNumber]],tblHelpers[],14,0)</f>
        <v>39</v>
      </c>
    </row>
    <row r="171" spans="1:42" x14ac:dyDescent="0.25">
      <c r="A171" s="13">
        <v>32</v>
      </c>
      <c r="B171" s="13" t="s">
        <v>59</v>
      </c>
      <c r="C171" s="13" t="s">
        <v>37</v>
      </c>
      <c r="D171" s="13">
        <v>120</v>
      </c>
      <c r="E171" s="13" t="s">
        <v>62</v>
      </c>
      <c r="F171" s="13">
        <v>6</v>
      </c>
      <c r="G171" s="13">
        <v>5</v>
      </c>
      <c r="H171" s="13" t="s">
        <v>42</v>
      </c>
      <c r="I171" s="13">
        <v>1</v>
      </c>
      <c r="J171" s="13">
        <v>231</v>
      </c>
      <c r="K171" s="13">
        <v>3</v>
      </c>
      <c r="L171" s="13" t="s">
        <v>63</v>
      </c>
      <c r="M171" s="13">
        <v>43</v>
      </c>
      <c r="N171" s="13">
        <v>3</v>
      </c>
      <c r="O171" s="13">
        <v>1</v>
      </c>
      <c r="P171" s="13" t="s">
        <v>65</v>
      </c>
      <c r="Q171" s="13">
        <v>3</v>
      </c>
      <c r="R171" s="13" t="s">
        <v>48</v>
      </c>
      <c r="S171" s="20">
        <v>3038</v>
      </c>
      <c r="T171" s="13">
        <v>12430</v>
      </c>
      <c r="U171" s="13">
        <v>3</v>
      </c>
      <c r="V171" s="13" t="s">
        <v>52</v>
      </c>
      <c r="W171" s="13" t="s">
        <v>59</v>
      </c>
      <c r="X171" s="13">
        <v>20</v>
      </c>
      <c r="Y171" s="13">
        <v>4</v>
      </c>
      <c r="Z171" s="13">
        <v>1</v>
      </c>
      <c r="AA171" s="13">
        <v>80</v>
      </c>
      <c r="AB171" s="13">
        <v>0</v>
      </c>
      <c r="AC171" s="13">
        <v>8</v>
      </c>
      <c r="AD171" s="13">
        <v>2</v>
      </c>
      <c r="AE171" s="13">
        <v>3</v>
      </c>
      <c r="AF171" s="14">
        <v>5</v>
      </c>
      <c r="AG171" s="13">
        <v>4</v>
      </c>
      <c r="AH171" s="13">
        <v>1</v>
      </c>
      <c r="AI171" s="13">
        <v>4</v>
      </c>
      <c r="AJ171" s="13" t="str">
        <f t="shared" si="2"/>
        <v>30-39</v>
      </c>
      <c r="AK171" s="13" t="str">
        <f>IF(tblCleanData[[#This Row],[MonthlyIncome]]&lt;5000, "Low Income", IF(tblCleanData[[#This Row],[MonthlyIncome]]&lt;15000, "Medium Income", "High Income"))</f>
        <v>Low Income</v>
      </c>
      <c r="AL171" s="13">
        <f>IF(tblCleanData[[#This Row],[Attrition]]="No", 0,1)</f>
        <v>0</v>
      </c>
      <c r="AM171" s="13">
        <f>IF(tblCleanData[[#This Row],[OverTime]] = "No", 0, 1)</f>
        <v>0</v>
      </c>
      <c r="AN171" s="13" t="str">
        <f>CHOOSE(tblCleanData[[#This Row],[Education]], "Below College","College","Bachelor","Master","Doctor")</f>
        <v>Doctor</v>
      </c>
      <c r="AO171" s="13" t="str">
        <f>VLOOKUP(tblCleanData[[#This Row],[EmployeeNumber]],tblHelpers[],15,TRUE)</f>
        <v>Medium Risk</v>
      </c>
      <c r="AP171" s="13">
        <f>VLOOKUP(tblCleanData[[#This Row],[EmployeeNumber]],tblHelpers[],14,0)</f>
        <v>53</v>
      </c>
    </row>
    <row r="172" spans="1:42" x14ac:dyDescent="0.25">
      <c r="A172" s="13">
        <v>27</v>
      </c>
      <c r="B172" s="13" t="s">
        <v>59</v>
      </c>
      <c r="C172" s="13" t="s">
        <v>37</v>
      </c>
      <c r="D172" s="13">
        <v>1157</v>
      </c>
      <c r="E172" s="13" t="s">
        <v>62</v>
      </c>
      <c r="F172" s="13">
        <v>17</v>
      </c>
      <c r="G172" s="13">
        <v>3</v>
      </c>
      <c r="H172" s="13" t="s">
        <v>228</v>
      </c>
      <c r="I172" s="13">
        <v>1</v>
      </c>
      <c r="J172" s="13">
        <v>233</v>
      </c>
      <c r="K172" s="13">
        <v>3</v>
      </c>
      <c r="L172" s="13" t="s">
        <v>63</v>
      </c>
      <c r="M172" s="13">
        <v>51</v>
      </c>
      <c r="N172" s="13">
        <v>3</v>
      </c>
      <c r="O172" s="13">
        <v>1</v>
      </c>
      <c r="P172" s="13" t="s">
        <v>65</v>
      </c>
      <c r="Q172" s="13">
        <v>2</v>
      </c>
      <c r="R172" s="13" t="s">
        <v>66</v>
      </c>
      <c r="S172" s="20">
        <v>3058</v>
      </c>
      <c r="T172" s="13">
        <v>13364</v>
      </c>
      <c r="U172" s="13">
        <v>0</v>
      </c>
      <c r="V172" s="13" t="s">
        <v>52</v>
      </c>
      <c r="W172" s="13" t="s">
        <v>36</v>
      </c>
      <c r="X172" s="13">
        <v>16</v>
      </c>
      <c r="Y172" s="13">
        <v>3</v>
      </c>
      <c r="Z172" s="13">
        <v>4</v>
      </c>
      <c r="AA172" s="13">
        <v>80</v>
      </c>
      <c r="AB172" s="13">
        <v>1</v>
      </c>
      <c r="AC172" s="13">
        <v>6</v>
      </c>
      <c r="AD172" s="13">
        <v>3</v>
      </c>
      <c r="AE172" s="13">
        <v>2</v>
      </c>
      <c r="AF172" s="14">
        <v>5</v>
      </c>
      <c r="AG172" s="13">
        <v>2</v>
      </c>
      <c r="AH172" s="13">
        <v>1</v>
      </c>
      <c r="AI172" s="13">
        <v>1</v>
      </c>
      <c r="AJ172" s="13" t="str">
        <f t="shared" si="2"/>
        <v>Under 30</v>
      </c>
      <c r="AK172" s="13" t="str">
        <f>IF(tblCleanData[[#This Row],[MonthlyIncome]]&lt;5000, "Low Income", IF(tblCleanData[[#This Row],[MonthlyIncome]]&lt;15000, "Medium Income", "High Income"))</f>
        <v>Low Income</v>
      </c>
      <c r="AL172" s="13">
        <f>IF(tblCleanData[[#This Row],[Attrition]]="No", 0,1)</f>
        <v>0</v>
      </c>
      <c r="AM172" s="13">
        <f>IF(tblCleanData[[#This Row],[OverTime]] = "No", 0, 1)</f>
        <v>1</v>
      </c>
      <c r="AN172" s="13" t="str">
        <f>CHOOSE(tblCleanData[[#This Row],[Education]], "Below College","College","Bachelor","Master","Doctor")</f>
        <v>Bachelor</v>
      </c>
      <c r="AO172" s="13" t="str">
        <f>VLOOKUP(tblCleanData[[#This Row],[EmployeeNumber]],tblHelpers[],15,TRUE)</f>
        <v>High Risk</v>
      </c>
      <c r="AP172" s="13">
        <f>VLOOKUP(tblCleanData[[#This Row],[EmployeeNumber]],tblHelpers[],14,0)</f>
        <v>94</v>
      </c>
    </row>
    <row r="173" spans="1:42" x14ac:dyDescent="0.25">
      <c r="A173" s="13">
        <v>19</v>
      </c>
      <c r="B173" s="13" t="s">
        <v>36</v>
      </c>
      <c r="C173" s="13" t="s">
        <v>60</v>
      </c>
      <c r="D173" s="13">
        <v>602</v>
      </c>
      <c r="E173" s="13" t="s">
        <v>39</v>
      </c>
      <c r="F173" s="13">
        <v>1</v>
      </c>
      <c r="G173" s="13">
        <v>1</v>
      </c>
      <c r="H173" s="13" t="s">
        <v>228</v>
      </c>
      <c r="I173" s="13">
        <v>1</v>
      </c>
      <c r="J173" s="13">
        <v>235</v>
      </c>
      <c r="K173" s="13">
        <v>3</v>
      </c>
      <c r="L173" s="13" t="s">
        <v>43</v>
      </c>
      <c r="M173" s="13">
        <v>100</v>
      </c>
      <c r="N173" s="13">
        <v>1</v>
      </c>
      <c r="O173" s="13">
        <v>1</v>
      </c>
      <c r="P173" s="13" t="s">
        <v>182</v>
      </c>
      <c r="Q173" s="13">
        <v>1</v>
      </c>
      <c r="R173" s="13" t="s">
        <v>48</v>
      </c>
      <c r="S173" s="20">
        <v>2325</v>
      </c>
      <c r="T173" s="13">
        <v>20989</v>
      </c>
      <c r="U173" s="13">
        <v>0</v>
      </c>
      <c r="V173" s="13" t="s">
        <v>52</v>
      </c>
      <c r="W173" s="13" t="s">
        <v>59</v>
      </c>
      <c r="X173" s="13">
        <v>21</v>
      </c>
      <c r="Y173" s="13">
        <v>4</v>
      </c>
      <c r="Z173" s="13">
        <v>1</v>
      </c>
      <c r="AA173" s="13">
        <v>80</v>
      </c>
      <c r="AB173" s="13">
        <v>0</v>
      </c>
      <c r="AC173" s="13">
        <v>1</v>
      </c>
      <c r="AD173" s="13">
        <v>5</v>
      </c>
      <c r="AE173" s="13">
        <v>4</v>
      </c>
      <c r="AF173" s="14">
        <v>0</v>
      </c>
      <c r="AG173" s="13">
        <v>0</v>
      </c>
      <c r="AH173" s="13">
        <v>0</v>
      </c>
      <c r="AI173" s="13">
        <v>0</v>
      </c>
      <c r="AJ173" s="13" t="str">
        <f t="shared" si="2"/>
        <v>Under 30</v>
      </c>
      <c r="AK173" s="13" t="str">
        <f>IF(tblCleanData[[#This Row],[MonthlyIncome]]&lt;5000, "Low Income", IF(tblCleanData[[#This Row],[MonthlyIncome]]&lt;15000, "Medium Income", "High Income"))</f>
        <v>Low Income</v>
      </c>
      <c r="AL173" s="13">
        <f>IF(tblCleanData[[#This Row],[Attrition]]="No", 0,1)</f>
        <v>1</v>
      </c>
      <c r="AM173" s="13">
        <f>IF(tblCleanData[[#This Row],[OverTime]] = "No", 0, 1)</f>
        <v>0</v>
      </c>
      <c r="AN173" s="13" t="str">
        <f>CHOOSE(tblCleanData[[#This Row],[Education]], "Below College","College","Bachelor","Master","Doctor")</f>
        <v>Below College</v>
      </c>
      <c r="AO173" s="13" t="str">
        <f>VLOOKUP(tblCleanData[[#This Row],[EmployeeNumber]],tblHelpers[],15,TRUE)</f>
        <v>High Risk</v>
      </c>
      <c r="AP173" s="13">
        <f>VLOOKUP(tblCleanData[[#This Row],[EmployeeNumber]],tblHelpers[],14,0)</f>
        <v>85</v>
      </c>
    </row>
    <row r="174" spans="1:42" x14ac:dyDescent="0.25">
      <c r="A174" s="13">
        <v>36</v>
      </c>
      <c r="B174" s="13" t="s">
        <v>59</v>
      </c>
      <c r="C174" s="13" t="s">
        <v>60</v>
      </c>
      <c r="D174" s="13">
        <v>1480</v>
      </c>
      <c r="E174" s="13" t="s">
        <v>62</v>
      </c>
      <c r="F174" s="13">
        <v>3</v>
      </c>
      <c r="G174" s="13">
        <v>2</v>
      </c>
      <c r="H174" s="13" t="s">
        <v>87</v>
      </c>
      <c r="I174" s="13">
        <v>1</v>
      </c>
      <c r="J174" s="13">
        <v>238</v>
      </c>
      <c r="K174" s="13">
        <v>4</v>
      </c>
      <c r="L174" s="13" t="s">
        <v>63</v>
      </c>
      <c r="M174" s="13">
        <v>30</v>
      </c>
      <c r="N174" s="13">
        <v>3</v>
      </c>
      <c r="O174" s="13">
        <v>1</v>
      </c>
      <c r="P174" s="13" t="s">
        <v>76</v>
      </c>
      <c r="Q174" s="13">
        <v>2</v>
      </c>
      <c r="R174" s="13" t="s">
        <v>48</v>
      </c>
      <c r="S174" s="20">
        <v>2088</v>
      </c>
      <c r="T174" s="13">
        <v>15062</v>
      </c>
      <c r="U174" s="13">
        <v>4</v>
      </c>
      <c r="V174" s="13" t="s">
        <v>52</v>
      </c>
      <c r="W174" s="13" t="s">
        <v>59</v>
      </c>
      <c r="X174" s="13">
        <v>12</v>
      </c>
      <c r="Y174" s="13">
        <v>3</v>
      </c>
      <c r="Z174" s="13">
        <v>3</v>
      </c>
      <c r="AA174" s="13">
        <v>80</v>
      </c>
      <c r="AB174" s="13">
        <v>0</v>
      </c>
      <c r="AC174" s="13">
        <v>13</v>
      </c>
      <c r="AD174" s="13">
        <v>3</v>
      </c>
      <c r="AE174" s="13">
        <v>2</v>
      </c>
      <c r="AF174" s="14">
        <v>8</v>
      </c>
      <c r="AG174" s="13">
        <v>7</v>
      </c>
      <c r="AH174" s="13">
        <v>7</v>
      </c>
      <c r="AI174" s="13">
        <v>2</v>
      </c>
      <c r="AJ174" s="13" t="str">
        <f t="shared" si="2"/>
        <v>30-39</v>
      </c>
      <c r="AK174" s="13" t="str">
        <f>IF(tblCleanData[[#This Row],[MonthlyIncome]]&lt;5000, "Low Income", IF(tblCleanData[[#This Row],[MonthlyIncome]]&lt;15000, "Medium Income", "High Income"))</f>
        <v>Low Income</v>
      </c>
      <c r="AL174" s="13">
        <f>IF(tblCleanData[[#This Row],[Attrition]]="No", 0,1)</f>
        <v>0</v>
      </c>
      <c r="AM174" s="13">
        <f>IF(tblCleanData[[#This Row],[OverTime]] = "No", 0, 1)</f>
        <v>0</v>
      </c>
      <c r="AN174" s="13" t="str">
        <f>CHOOSE(tblCleanData[[#This Row],[Education]], "Below College","College","Bachelor","Master","Doctor")</f>
        <v>College</v>
      </c>
      <c r="AO174" s="13" t="str">
        <f>VLOOKUP(tblCleanData[[#This Row],[EmployeeNumber]],tblHelpers[],15,TRUE)</f>
        <v>Medium Risk</v>
      </c>
      <c r="AP174" s="13">
        <f>VLOOKUP(tblCleanData[[#This Row],[EmployeeNumber]],tblHelpers[],14,0)</f>
        <v>52</v>
      </c>
    </row>
    <row r="175" spans="1:42" x14ac:dyDescent="0.25">
      <c r="A175" s="13">
        <v>30</v>
      </c>
      <c r="B175" s="13" t="s">
        <v>59</v>
      </c>
      <c r="C175" s="13" t="s">
        <v>161</v>
      </c>
      <c r="D175" s="13">
        <v>111</v>
      </c>
      <c r="E175" s="13" t="s">
        <v>62</v>
      </c>
      <c r="F175" s="13">
        <v>9</v>
      </c>
      <c r="G175" s="13">
        <v>3</v>
      </c>
      <c r="H175" s="13" t="s">
        <v>87</v>
      </c>
      <c r="I175" s="13">
        <v>1</v>
      </c>
      <c r="J175" s="13">
        <v>239</v>
      </c>
      <c r="K175" s="13">
        <v>3</v>
      </c>
      <c r="L175" s="13" t="s">
        <v>63</v>
      </c>
      <c r="M175" s="13">
        <v>66</v>
      </c>
      <c r="N175" s="13">
        <v>3</v>
      </c>
      <c r="O175" s="13">
        <v>2</v>
      </c>
      <c r="P175" s="13" t="s">
        <v>76</v>
      </c>
      <c r="Q175" s="13">
        <v>1</v>
      </c>
      <c r="R175" s="13" t="s">
        <v>109</v>
      </c>
      <c r="S175" s="20">
        <v>3072</v>
      </c>
      <c r="T175" s="13">
        <v>11012</v>
      </c>
      <c r="U175" s="13">
        <v>1</v>
      </c>
      <c r="V175" s="13" t="s">
        <v>52</v>
      </c>
      <c r="W175" s="13" t="s">
        <v>59</v>
      </c>
      <c r="X175" s="13">
        <v>11</v>
      </c>
      <c r="Y175" s="13">
        <v>3</v>
      </c>
      <c r="Z175" s="13">
        <v>3</v>
      </c>
      <c r="AA175" s="13">
        <v>80</v>
      </c>
      <c r="AB175" s="13">
        <v>2</v>
      </c>
      <c r="AC175" s="13">
        <v>12</v>
      </c>
      <c r="AD175" s="13">
        <v>4</v>
      </c>
      <c r="AE175" s="13">
        <v>3</v>
      </c>
      <c r="AF175" s="14">
        <v>12</v>
      </c>
      <c r="AG175" s="13">
        <v>9</v>
      </c>
      <c r="AH175" s="13">
        <v>6</v>
      </c>
      <c r="AI175" s="13">
        <v>10</v>
      </c>
      <c r="AJ175" s="13" t="str">
        <f t="shared" si="2"/>
        <v>30-39</v>
      </c>
      <c r="AK175" s="13" t="str">
        <f>IF(tblCleanData[[#This Row],[MonthlyIncome]]&lt;5000, "Low Income", IF(tblCleanData[[#This Row],[MonthlyIncome]]&lt;15000, "Medium Income", "High Income"))</f>
        <v>Low Income</v>
      </c>
      <c r="AL175" s="13">
        <f>IF(tblCleanData[[#This Row],[Attrition]]="No", 0,1)</f>
        <v>0</v>
      </c>
      <c r="AM175" s="13">
        <f>IF(tblCleanData[[#This Row],[OverTime]] = "No", 0, 1)</f>
        <v>0</v>
      </c>
      <c r="AN175" s="13" t="str">
        <f>CHOOSE(tblCleanData[[#This Row],[Education]], "Below College","College","Bachelor","Master","Doctor")</f>
        <v>Bachelor</v>
      </c>
      <c r="AO175" s="13" t="str">
        <f>VLOOKUP(tblCleanData[[#This Row],[EmployeeNumber]],tblHelpers[],15,TRUE)</f>
        <v>Medium Risk</v>
      </c>
      <c r="AP175" s="13">
        <f>VLOOKUP(tblCleanData[[#This Row],[EmployeeNumber]],tblHelpers[],14,0)</f>
        <v>53</v>
      </c>
    </row>
    <row r="176" spans="1:42" x14ac:dyDescent="0.25">
      <c r="A176" s="13">
        <v>45</v>
      </c>
      <c r="B176" s="13" t="s">
        <v>59</v>
      </c>
      <c r="C176" s="13" t="s">
        <v>37</v>
      </c>
      <c r="D176" s="13">
        <v>1268</v>
      </c>
      <c r="E176" s="13" t="s">
        <v>39</v>
      </c>
      <c r="F176" s="13">
        <v>4</v>
      </c>
      <c r="G176" s="13">
        <v>2</v>
      </c>
      <c r="H176" s="13" t="s">
        <v>42</v>
      </c>
      <c r="I176" s="13">
        <v>1</v>
      </c>
      <c r="J176" s="13">
        <v>240</v>
      </c>
      <c r="K176" s="13">
        <v>3</v>
      </c>
      <c r="L176" s="13" t="s">
        <v>43</v>
      </c>
      <c r="M176" s="13">
        <v>30</v>
      </c>
      <c r="N176" s="13">
        <v>3</v>
      </c>
      <c r="O176" s="13">
        <v>2</v>
      </c>
      <c r="P176" s="13" t="s">
        <v>46</v>
      </c>
      <c r="Q176" s="13">
        <v>1</v>
      </c>
      <c r="R176" s="13" t="s">
        <v>109</v>
      </c>
      <c r="S176" s="20">
        <v>5006</v>
      </c>
      <c r="T176" s="13">
        <v>6319</v>
      </c>
      <c r="U176" s="13">
        <v>4</v>
      </c>
      <c r="V176" s="13" t="s">
        <v>52</v>
      </c>
      <c r="W176" s="13" t="s">
        <v>36</v>
      </c>
      <c r="X176" s="13">
        <v>11</v>
      </c>
      <c r="Y176" s="13">
        <v>3</v>
      </c>
      <c r="Z176" s="13">
        <v>1</v>
      </c>
      <c r="AA176" s="13">
        <v>80</v>
      </c>
      <c r="AB176" s="13">
        <v>1</v>
      </c>
      <c r="AC176" s="13">
        <v>9</v>
      </c>
      <c r="AD176" s="13">
        <v>3</v>
      </c>
      <c r="AE176" s="13">
        <v>4</v>
      </c>
      <c r="AF176" s="14">
        <v>5</v>
      </c>
      <c r="AG176" s="13">
        <v>4</v>
      </c>
      <c r="AH176" s="13">
        <v>0</v>
      </c>
      <c r="AI176" s="13">
        <v>3</v>
      </c>
      <c r="AJ176" s="13" t="str">
        <f t="shared" si="2"/>
        <v>40-49</v>
      </c>
      <c r="AK176" s="13" t="str">
        <f>IF(tblCleanData[[#This Row],[MonthlyIncome]]&lt;5000, "Low Income", IF(tblCleanData[[#This Row],[MonthlyIncome]]&lt;15000, "Medium Income", "High Income"))</f>
        <v>Medium Income</v>
      </c>
      <c r="AL176" s="13">
        <f>IF(tblCleanData[[#This Row],[Attrition]]="No", 0,1)</f>
        <v>0</v>
      </c>
      <c r="AM176" s="13">
        <f>IF(tblCleanData[[#This Row],[OverTime]] = "No", 0, 1)</f>
        <v>1</v>
      </c>
      <c r="AN176" s="13" t="str">
        <f>CHOOSE(tblCleanData[[#This Row],[Education]], "Below College","College","Bachelor","Master","Doctor")</f>
        <v>College</v>
      </c>
      <c r="AO176" s="13" t="str">
        <f>VLOOKUP(tblCleanData[[#This Row],[EmployeeNumber]],tblHelpers[],15,TRUE)</f>
        <v>High Risk</v>
      </c>
      <c r="AP176" s="13">
        <f>VLOOKUP(tblCleanData[[#This Row],[EmployeeNumber]],tblHelpers[],14,0)</f>
        <v>80</v>
      </c>
    </row>
    <row r="177" spans="1:42" x14ac:dyDescent="0.25">
      <c r="A177" s="13">
        <v>56</v>
      </c>
      <c r="B177" s="13" t="s">
        <v>59</v>
      </c>
      <c r="C177" s="13" t="s">
        <v>37</v>
      </c>
      <c r="D177" s="13">
        <v>713</v>
      </c>
      <c r="E177" s="13" t="s">
        <v>62</v>
      </c>
      <c r="F177" s="13">
        <v>8</v>
      </c>
      <c r="G177" s="13">
        <v>3</v>
      </c>
      <c r="H177" s="13" t="s">
        <v>42</v>
      </c>
      <c r="I177" s="13">
        <v>1</v>
      </c>
      <c r="J177" s="13">
        <v>241</v>
      </c>
      <c r="K177" s="13">
        <v>3</v>
      </c>
      <c r="L177" s="13" t="s">
        <v>43</v>
      </c>
      <c r="M177" s="13">
        <v>67</v>
      </c>
      <c r="N177" s="13">
        <v>3</v>
      </c>
      <c r="O177" s="13">
        <v>1</v>
      </c>
      <c r="P177" s="13" t="s">
        <v>65</v>
      </c>
      <c r="Q177" s="13">
        <v>1</v>
      </c>
      <c r="R177" s="13" t="s">
        <v>109</v>
      </c>
      <c r="S177" s="20">
        <v>4257</v>
      </c>
      <c r="T177" s="13">
        <v>13939</v>
      </c>
      <c r="U177" s="13">
        <v>4</v>
      </c>
      <c r="V177" s="13" t="s">
        <v>52</v>
      </c>
      <c r="W177" s="13" t="s">
        <v>36</v>
      </c>
      <c r="X177" s="13">
        <v>18</v>
      </c>
      <c r="Y177" s="13">
        <v>3</v>
      </c>
      <c r="Z177" s="13">
        <v>3</v>
      </c>
      <c r="AA177" s="13">
        <v>80</v>
      </c>
      <c r="AB177" s="13">
        <v>1</v>
      </c>
      <c r="AC177" s="13">
        <v>19</v>
      </c>
      <c r="AD177" s="13">
        <v>3</v>
      </c>
      <c r="AE177" s="13">
        <v>3</v>
      </c>
      <c r="AF177" s="14">
        <v>2</v>
      </c>
      <c r="AG177" s="13">
        <v>2</v>
      </c>
      <c r="AH177" s="13">
        <v>2</v>
      </c>
      <c r="AI177" s="13">
        <v>2</v>
      </c>
      <c r="AJ177" s="13" t="str">
        <f t="shared" si="2"/>
        <v>50+</v>
      </c>
      <c r="AK177" s="13" t="str">
        <f>IF(tblCleanData[[#This Row],[MonthlyIncome]]&lt;5000, "Low Income", IF(tblCleanData[[#This Row],[MonthlyIncome]]&lt;15000, "Medium Income", "High Income"))</f>
        <v>Low Income</v>
      </c>
      <c r="AL177" s="13">
        <f>IF(tblCleanData[[#This Row],[Attrition]]="No", 0,1)</f>
        <v>0</v>
      </c>
      <c r="AM177" s="13">
        <f>IF(tblCleanData[[#This Row],[OverTime]] = "No", 0, 1)</f>
        <v>1</v>
      </c>
      <c r="AN177" s="13" t="str">
        <f>CHOOSE(tblCleanData[[#This Row],[Education]], "Below College","College","Bachelor","Master","Doctor")</f>
        <v>Bachelor</v>
      </c>
      <c r="AO177" s="13" t="str">
        <f>VLOOKUP(tblCleanData[[#This Row],[EmployeeNumber]],tblHelpers[],15,TRUE)</f>
        <v>High Risk</v>
      </c>
      <c r="AP177" s="13">
        <f>VLOOKUP(tblCleanData[[#This Row],[EmployeeNumber]],tblHelpers[],14,0)</f>
        <v>95</v>
      </c>
    </row>
    <row r="178" spans="1:42" x14ac:dyDescent="0.25">
      <c r="A178" s="13">
        <v>33</v>
      </c>
      <c r="B178" s="13" t="s">
        <v>59</v>
      </c>
      <c r="C178" s="13" t="s">
        <v>37</v>
      </c>
      <c r="D178" s="13">
        <v>134</v>
      </c>
      <c r="E178" s="13" t="s">
        <v>62</v>
      </c>
      <c r="F178" s="13">
        <v>2</v>
      </c>
      <c r="G178" s="13">
        <v>3</v>
      </c>
      <c r="H178" s="13" t="s">
        <v>42</v>
      </c>
      <c r="I178" s="13">
        <v>1</v>
      </c>
      <c r="J178" s="13">
        <v>242</v>
      </c>
      <c r="K178" s="13">
        <v>3</v>
      </c>
      <c r="L178" s="13" t="s">
        <v>63</v>
      </c>
      <c r="M178" s="13">
        <v>90</v>
      </c>
      <c r="N178" s="13">
        <v>3</v>
      </c>
      <c r="O178" s="13">
        <v>1</v>
      </c>
      <c r="P178" s="13" t="s">
        <v>65</v>
      </c>
      <c r="Q178" s="13">
        <v>4</v>
      </c>
      <c r="R178" s="13" t="s">
        <v>48</v>
      </c>
      <c r="S178" s="20">
        <v>2500</v>
      </c>
      <c r="T178" s="13">
        <v>10515</v>
      </c>
      <c r="U178" s="13">
        <v>0</v>
      </c>
      <c r="V178" s="13" t="s">
        <v>52</v>
      </c>
      <c r="W178" s="13" t="s">
        <v>59</v>
      </c>
      <c r="X178" s="13">
        <v>14</v>
      </c>
      <c r="Y178" s="13">
        <v>3</v>
      </c>
      <c r="Z178" s="13">
        <v>1</v>
      </c>
      <c r="AA178" s="13">
        <v>80</v>
      </c>
      <c r="AB178" s="13">
        <v>0</v>
      </c>
      <c r="AC178" s="13">
        <v>4</v>
      </c>
      <c r="AD178" s="13">
        <v>2</v>
      </c>
      <c r="AE178" s="13">
        <v>4</v>
      </c>
      <c r="AF178" s="14">
        <v>3</v>
      </c>
      <c r="AG178" s="13">
        <v>1</v>
      </c>
      <c r="AH178" s="13">
        <v>0</v>
      </c>
      <c r="AI178" s="13">
        <v>2</v>
      </c>
      <c r="AJ178" s="13" t="str">
        <f t="shared" si="2"/>
        <v>30-39</v>
      </c>
      <c r="AK178" s="13" t="str">
        <f>IF(tblCleanData[[#This Row],[MonthlyIncome]]&lt;5000, "Low Income", IF(tblCleanData[[#This Row],[MonthlyIncome]]&lt;15000, "Medium Income", "High Income"))</f>
        <v>Low Income</v>
      </c>
      <c r="AL178" s="13">
        <f>IF(tblCleanData[[#This Row],[Attrition]]="No", 0,1)</f>
        <v>0</v>
      </c>
      <c r="AM178" s="13">
        <f>IF(tblCleanData[[#This Row],[OverTime]] = "No", 0, 1)</f>
        <v>0</v>
      </c>
      <c r="AN178" s="13" t="str">
        <f>CHOOSE(tblCleanData[[#This Row],[Education]], "Below College","College","Bachelor","Master","Doctor")</f>
        <v>Bachelor</v>
      </c>
      <c r="AO178" s="13" t="str">
        <f>VLOOKUP(tblCleanData[[#This Row],[EmployeeNumber]],tblHelpers[],15,TRUE)</f>
        <v>Medium Risk</v>
      </c>
      <c r="AP178" s="13">
        <f>VLOOKUP(tblCleanData[[#This Row],[EmployeeNumber]],tblHelpers[],14,0)</f>
        <v>46</v>
      </c>
    </row>
    <row r="179" spans="1:42" x14ac:dyDescent="0.25">
      <c r="A179" s="13">
        <v>19</v>
      </c>
      <c r="B179" s="13" t="s">
        <v>36</v>
      </c>
      <c r="C179" s="13" t="s">
        <v>37</v>
      </c>
      <c r="D179" s="13">
        <v>303</v>
      </c>
      <c r="E179" s="13" t="s">
        <v>62</v>
      </c>
      <c r="F179" s="13">
        <v>2</v>
      </c>
      <c r="G179" s="13">
        <v>3</v>
      </c>
      <c r="H179" s="13" t="s">
        <v>42</v>
      </c>
      <c r="I179" s="13">
        <v>1</v>
      </c>
      <c r="J179" s="13">
        <v>243</v>
      </c>
      <c r="K179" s="13">
        <v>2</v>
      </c>
      <c r="L179" s="13" t="s">
        <v>63</v>
      </c>
      <c r="M179" s="13">
        <v>47</v>
      </c>
      <c r="N179" s="13">
        <v>2</v>
      </c>
      <c r="O179" s="13">
        <v>1</v>
      </c>
      <c r="P179" s="13" t="s">
        <v>76</v>
      </c>
      <c r="Q179" s="13">
        <v>4</v>
      </c>
      <c r="R179" s="13" t="s">
        <v>48</v>
      </c>
      <c r="S179" s="20">
        <v>1102</v>
      </c>
      <c r="T179" s="13">
        <v>9241</v>
      </c>
      <c r="U179" s="13">
        <v>1</v>
      </c>
      <c r="V179" s="13" t="s">
        <v>52</v>
      </c>
      <c r="W179" s="13" t="s">
        <v>59</v>
      </c>
      <c r="X179" s="13">
        <v>22</v>
      </c>
      <c r="Y179" s="13">
        <v>4</v>
      </c>
      <c r="Z179" s="13">
        <v>3</v>
      </c>
      <c r="AA179" s="13">
        <v>80</v>
      </c>
      <c r="AB179" s="13">
        <v>0</v>
      </c>
      <c r="AC179" s="13">
        <v>1</v>
      </c>
      <c r="AD179" s="13">
        <v>3</v>
      </c>
      <c r="AE179" s="13">
        <v>2</v>
      </c>
      <c r="AF179" s="14">
        <v>1</v>
      </c>
      <c r="AG179" s="13">
        <v>0</v>
      </c>
      <c r="AH179" s="13">
        <v>1</v>
      </c>
      <c r="AI179" s="13">
        <v>0</v>
      </c>
      <c r="AJ179" s="13" t="str">
        <f t="shared" si="2"/>
        <v>Under 30</v>
      </c>
      <c r="AK179" s="13" t="str">
        <f>IF(tblCleanData[[#This Row],[MonthlyIncome]]&lt;5000, "Low Income", IF(tblCleanData[[#This Row],[MonthlyIncome]]&lt;15000, "Medium Income", "High Income"))</f>
        <v>Low Income</v>
      </c>
      <c r="AL179" s="13">
        <f>IF(tblCleanData[[#This Row],[Attrition]]="No", 0,1)</f>
        <v>1</v>
      </c>
      <c r="AM179" s="13">
        <f>IF(tblCleanData[[#This Row],[OverTime]] = "No", 0, 1)</f>
        <v>0</v>
      </c>
      <c r="AN179" s="13" t="str">
        <f>CHOOSE(tblCleanData[[#This Row],[Education]], "Below College","College","Bachelor","Master","Doctor")</f>
        <v>Bachelor</v>
      </c>
      <c r="AO179" s="13" t="str">
        <f>VLOOKUP(tblCleanData[[#This Row],[EmployeeNumber]],tblHelpers[],15,TRUE)</f>
        <v>High Risk</v>
      </c>
      <c r="AP179" s="13">
        <f>VLOOKUP(tblCleanData[[#This Row],[EmployeeNumber]],tblHelpers[],14,0)</f>
        <v>66</v>
      </c>
    </row>
    <row r="180" spans="1:42" x14ac:dyDescent="0.25">
      <c r="A180" s="13">
        <v>46</v>
      </c>
      <c r="B180" s="13" t="s">
        <v>59</v>
      </c>
      <c r="C180" s="13" t="s">
        <v>37</v>
      </c>
      <c r="D180" s="13">
        <v>526</v>
      </c>
      <c r="E180" s="13" t="s">
        <v>39</v>
      </c>
      <c r="F180" s="13">
        <v>1</v>
      </c>
      <c r="G180" s="13">
        <v>2</v>
      </c>
      <c r="H180" s="13" t="s">
        <v>206</v>
      </c>
      <c r="I180" s="13">
        <v>1</v>
      </c>
      <c r="J180" s="13">
        <v>244</v>
      </c>
      <c r="K180" s="13">
        <v>2</v>
      </c>
      <c r="L180" s="13" t="s">
        <v>43</v>
      </c>
      <c r="M180" s="13">
        <v>92</v>
      </c>
      <c r="N180" s="13">
        <v>3</v>
      </c>
      <c r="O180" s="13">
        <v>3</v>
      </c>
      <c r="P180" s="13" t="s">
        <v>46</v>
      </c>
      <c r="Q180" s="13">
        <v>1</v>
      </c>
      <c r="R180" s="13" t="s">
        <v>109</v>
      </c>
      <c r="S180" s="20">
        <v>10453</v>
      </c>
      <c r="T180" s="13">
        <v>2137</v>
      </c>
      <c r="U180" s="13">
        <v>1</v>
      </c>
      <c r="V180" s="13" t="s">
        <v>52</v>
      </c>
      <c r="W180" s="13" t="s">
        <v>59</v>
      </c>
      <c r="X180" s="13">
        <v>25</v>
      </c>
      <c r="Y180" s="13">
        <v>4</v>
      </c>
      <c r="Z180" s="13">
        <v>3</v>
      </c>
      <c r="AA180" s="13">
        <v>80</v>
      </c>
      <c r="AB180" s="13">
        <v>3</v>
      </c>
      <c r="AC180" s="13">
        <v>24</v>
      </c>
      <c r="AD180" s="13">
        <v>2</v>
      </c>
      <c r="AE180" s="13">
        <v>3</v>
      </c>
      <c r="AF180" s="14">
        <v>24</v>
      </c>
      <c r="AG180" s="13">
        <v>13</v>
      </c>
      <c r="AH180" s="13">
        <v>15</v>
      </c>
      <c r="AI180" s="13">
        <v>7</v>
      </c>
      <c r="AJ180" s="13" t="str">
        <f t="shared" si="2"/>
        <v>40-49</v>
      </c>
      <c r="AK180" s="13" t="str">
        <f>IF(tblCleanData[[#This Row],[MonthlyIncome]]&lt;5000, "Low Income", IF(tblCleanData[[#This Row],[MonthlyIncome]]&lt;15000, "Medium Income", "High Income"))</f>
        <v>Medium Income</v>
      </c>
      <c r="AL180" s="13">
        <f>IF(tblCleanData[[#This Row],[Attrition]]="No", 0,1)</f>
        <v>0</v>
      </c>
      <c r="AM180" s="13">
        <f>IF(tblCleanData[[#This Row],[OverTime]] = "No", 0, 1)</f>
        <v>0</v>
      </c>
      <c r="AN180" s="13" t="str">
        <f>CHOOSE(tblCleanData[[#This Row],[Education]], "Below College","College","Bachelor","Master","Doctor")</f>
        <v>College</v>
      </c>
      <c r="AO180" s="13" t="str">
        <f>VLOOKUP(tblCleanData[[#This Row],[EmployeeNumber]],tblHelpers[],15,TRUE)</f>
        <v>Medium Risk</v>
      </c>
      <c r="AP180" s="13">
        <f>VLOOKUP(tblCleanData[[#This Row],[EmployeeNumber]],tblHelpers[],14,0)</f>
        <v>43</v>
      </c>
    </row>
    <row r="181" spans="1:42" x14ac:dyDescent="0.25">
      <c r="A181" s="13">
        <v>38</v>
      </c>
      <c r="B181" s="13" t="s">
        <v>59</v>
      </c>
      <c r="C181" s="13" t="s">
        <v>37</v>
      </c>
      <c r="D181" s="13">
        <v>1380</v>
      </c>
      <c r="E181" s="13" t="s">
        <v>62</v>
      </c>
      <c r="F181" s="13">
        <v>9</v>
      </c>
      <c r="G181" s="13">
        <v>2</v>
      </c>
      <c r="H181" s="13" t="s">
        <v>42</v>
      </c>
      <c r="I181" s="13">
        <v>1</v>
      </c>
      <c r="J181" s="13">
        <v>245</v>
      </c>
      <c r="K181" s="13">
        <v>3</v>
      </c>
      <c r="L181" s="13" t="s">
        <v>43</v>
      </c>
      <c r="M181" s="13">
        <v>75</v>
      </c>
      <c r="N181" s="13">
        <v>3</v>
      </c>
      <c r="O181" s="13">
        <v>1</v>
      </c>
      <c r="P181" s="13" t="s">
        <v>76</v>
      </c>
      <c r="Q181" s="13">
        <v>4</v>
      </c>
      <c r="R181" s="13" t="s">
        <v>48</v>
      </c>
      <c r="S181" s="20">
        <v>2288</v>
      </c>
      <c r="T181" s="13">
        <v>6319</v>
      </c>
      <c r="U181" s="13">
        <v>1</v>
      </c>
      <c r="V181" s="13" t="s">
        <v>52</v>
      </c>
      <c r="W181" s="13" t="s">
        <v>59</v>
      </c>
      <c r="X181" s="13">
        <v>12</v>
      </c>
      <c r="Y181" s="13">
        <v>3</v>
      </c>
      <c r="Z181" s="13">
        <v>3</v>
      </c>
      <c r="AA181" s="13">
        <v>80</v>
      </c>
      <c r="AB181" s="13">
        <v>0</v>
      </c>
      <c r="AC181" s="13">
        <v>2</v>
      </c>
      <c r="AD181" s="13">
        <v>3</v>
      </c>
      <c r="AE181" s="13">
        <v>3</v>
      </c>
      <c r="AF181" s="14">
        <v>2</v>
      </c>
      <c r="AG181" s="13">
        <v>2</v>
      </c>
      <c r="AH181" s="13">
        <v>2</v>
      </c>
      <c r="AI181" s="13">
        <v>1</v>
      </c>
      <c r="AJ181" s="13" t="str">
        <f t="shared" si="2"/>
        <v>30-39</v>
      </c>
      <c r="AK181" s="13" t="str">
        <f>IF(tblCleanData[[#This Row],[MonthlyIncome]]&lt;5000, "Low Income", IF(tblCleanData[[#This Row],[MonthlyIncome]]&lt;15000, "Medium Income", "High Income"))</f>
        <v>Low Income</v>
      </c>
      <c r="AL181" s="13">
        <f>IF(tblCleanData[[#This Row],[Attrition]]="No", 0,1)</f>
        <v>0</v>
      </c>
      <c r="AM181" s="13">
        <f>IF(tblCleanData[[#This Row],[OverTime]] = "No", 0, 1)</f>
        <v>0</v>
      </c>
      <c r="AN181" s="13" t="str">
        <f>CHOOSE(tblCleanData[[#This Row],[Education]], "Below College","College","Bachelor","Master","Doctor")</f>
        <v>College</v>
      </c>
      <c r="AO181" s="13" t="str">
        <f>VLOOKUP(tblCleanData[[#This Row],[EmployeeNumber]],tblHelpers[],15,TRUE)</f>
        <v>High Risk</v>
      </c>
      <c r="AP181" s="13">
        <f>VLOOKUP(tblCleanData[[#This Row],[EmployeeNumber]],tblHelpers[],14,0)</f>
        <v>56</v>
      </c>
    </row>
    <row r="182" spans="1:42" x14ac:dyDescent="0.25">
      <c r="A182" s="13">
        <v>31</v>
      </c>
      <c r="B182" s="13" t="s">
        <v>59</v>
      </c>
      <c r="C182" s="13" t="s">
        <v>37</v>
      </c>
      <c r="D182" s="13">
        <v>140</v>
      </c>
      <c r="E182" s="13" t="s">
        <v>62</v>
      </c>
      <c r="F182" s="13">
        <v>12</v>
      </c>
      <c r="G182" s="13">
        <v>1</v>
      </c>
      <c r="H182" s="13" t="s">
        <v>87</v>
      </c>
      <c r="I182" s="13">
        <v>1</v>
      </c>
      <c r="J182" s="13">
        <v>246</v>
      </c>
      <c r="K182" s="13">
        <v>3</v>
      </c>
      <c r="L182" s="13" t="s">
        <v>43</v>
      </c>
      <c r="M182" s="13">
        <v>95</v>
      </c>
      <c r="N182" s="13">
        <v>3</v>
      </c>
      <c r="O182" s="13">
        <v>1</v>
      </c>
      <c r="P182" s="13" t="s">
        <v>65</v>
      </c>
      <c r="Q182" s="13">
        <v>4</v>
      </c>
      <c r="R182" s="13" t="s">
        <v>66</v>
      </c>
      <c r="S182" s="20">
        <v>3929</v>
      </c>
      <c r="T182" s="13">
        <v>6984</v>
      </c>
      <c r="U182" s="13">
        <v>8</v>
      </c>
      <c r="V182" s="13" t="s">
        <v>52</v>
      </c>
      <c r="W182" s="13" t="s">
        <v>36</v>
      </c>
      <c r="X182" s="13">
        <v>23</v>
      </c>
      <c r="Y182" s="13">
        <v>4</v>
      </c>
      <c r="Z182" s="13">
        <v>3</v>
      </c>
      <c r="AA182" s="13">
        <v>80</v>
      </c>
      <c r="AB182" s="13">
        <v>1</v>
      </c>
      <c r="AC182" s="13">
        <v>7</v>
      </c>
      <c r="AD182" s="13">
        <v>0</v>
      </c>
      <c r="AE182" s="13">
        <v>3</v>
      </c>
      <c r="AF182" s="14">
        <v>4</v>
      </c>
      <c r="AG182" s="13">
        <v>2</v>
      </c>
      <c r="AH182" s="13">
        <v>0</v>
      </c>
      <c r="AI182" s="13">
        <v>2</v>
      </c>
      <c r="AJ182" s="13" t="str">
        <f t="shared" si="2"/>
        <v>30-39</v>
      </c>
      <c r="AK182" s="13" t="str">
        <f>IF(tblCleanData[[#This Row],[MonthlyIncome]]&lt;5000, "Low Income", IF(tblCleanData[[#This Row],[MonthlyIncome]]&lt;15000, "Medium Income", "High Income"))</f>
        <v>Low Income</v>
      </c>
      <c r="AL182" s="13">
        <f>IF(tblCleanData[[#This Row],[Attrition]]="No", 0,1)</f>
        <v>0</v>
      </c>
      <c r="AM182" s="13">
        <f>IF(tblCleanData[[#This Row],[OverTime]] = "No", 0, 1)</f>
        <v>1</v>
      </c>
      <c r="AN182" s="13" t="str">
        <f>CHOOSE(tblCleanData[[#This Row],[Education]], "Below College","College","Bachelor","Master","Doctor")</f>
        <v>Below College</v>
      </c>
      <c r="AO182" s="13" t="str">
        <f>VLOOKUP(tblCleanData[[#This Row],[EmployeeNumber]],tblHelpers[],15,TRUE)</f>
        <v>High Risk</v>
      </c>
      <c r="AP182" s="13">
        <f>VLOOKUP(tblCleanData[[#This Row],[EmployeeNumber]],tblHelpers[],14,0)</f>
        <v>71</v>
      </c>
    </row>
    <row r="183" spans="1:42" x14ac:dyDescent="0.25">
      <c r="A183" s="13">
        <v>34</v>
      </c>
      <c r="B183" s="13" t="s">
        <v>59</v>
      </c>
      <c r="C183" s="13" t="s">
        <v>37</v>
      </c>
      <c r="D183" s="13">
        <v>629</v>
      </c>
      <c r="E183" s="13" t="s">
        <v>62</v>
      </c>
      <c r="F183" s="13">
        <v>27</v>
      </c>
      <c r="G183" s="13">
        <v>2</v>
      </c>
      <c r="H183" s="13" t="s">
        <v>87</v>
      </c>
      <c r="I183" s="13">
        <v>1</v>
      </c>
      <c r="J183" s="13">
        <v>247</v>
      </c>
      <c r="K183" s="13">
        <v>4</v>
      </c>
      <c r="L183" s="13" t="s">
        <v>43</v>
      </c>
      <c r="M183" s="13">
        <v>95</v>
      </c>
      <c r="N183" s="13">
        <v>3</v>
      </c>
      <c r="O183" s="13">
        <v>1</v>
      </c>
      <c r="P183" s="13" t="s">
        <v>65</v>
      </c>
      <c r="Q183" s="13">
        <v>2</v>
      </c>
      <c r="R183" s="13" t="s">
        <v>48</v>
      </c>
      <c r="S183" s="20">
        <v>2311</v>
      </c>
      <c r="T183" s="13">
        <v>5711</v>
      </c>
      <c r="U183" s="13">
        <v>2</v>
      </c>
      <c r="V183" s="13" t="s">
        <v>52</v>
      </c>
      <c r="W183" s="13" t="s">
        <v>59</v>
      </c>
      <c r="X183" s="13">
        <v>15</v>
      </c>
      <c r="Y183" s="13">
        <v>3</v>
      </c>
      <c r="Z183" s="13">
        <v>4</v>
      </c>
      <c r="AA183" s="13">
        <v>80</v>
      </c>
      <c r="AB183" s="13">
        <v>0</v>
      </c>
      <c r="AC183" s="13">
        <v>9</v>
      </c>
      <c r="AD183" s="13">
        <v>3</v>
      </c>
      <c r="AE183" s="13">
        <v>3</v>
      </c>
      <c r="AF183" s="14">
        <v>3</v>
      </c>
      <c r="AG183" s="13">
        <v>2</v>
      </c>
      <c r="AH183" s="13">
        <v>1</v>
      </c>
      <c r="AI183" s="13">
        <v>2</v>
      </c>
      <c r="AJ183" s="13" t="str">
        <f t="shared" si="2"/>
        <v>30-39</v>
      </c>
      <c r="AK183" s="13" t="str">
        <f>IF(tblCleanData[[#This Row],[MonthlyIncome]]&lt;5000, "Low Income", IF(tblCleanData[[#This Row],[MonthlyIncome]]&lt;15000, "Medium Income", "High Income"))</f>
        <v>Low Income</v>
      </c>
      <c r="AL183" s="13">
        <f>IF(tblCleanData[[#This Row],[Attrition]]="No", 0,1)</f>
        <v>0</v>
      </c>
      <c r="AM183" s="13">
        <f>IF(tblCleanData[[#This Row],[OverTime]] = "No", 0, 1)</f>
        <v>0</v>
      </c>
      <c r="AN183" s="13" t="str">
        <f>CHOOSE(tblCleanData[[#This Row],[Education]], "Below College","College","Bachelor","Master","Doctor")</f>
        <v>College</v>
      </c>
      <c r="AO183" s="13" t="str">
        <f>VLOOKUP(tblCleanData[[#This Row],[EmployeeNumber]],tblHelpers[],15,TRUE)</f>
        <v>High Risk</v>
      </c>
      <c r="AP183" s="13">
        <f>VLOOKUP(tblCleanData[[#This Row],[EmployeeNumber]],tblHelpers[],14,0)</f>
        <v>59</v>
      </c>
    </row>
    <row r="184" spans="1:42" x14ac:dyDescent="0.25">
      <c r="A184" s="13">
        <v>41</v>
      </c>
      <c r="B184" s="13" t="s">
        <v>36</v>
      </c>
      <c r="C184" s="13" t="s">
        <v>37</v>
      </c>
      <c r="D184" s="13">
        <v>1356</v>
      </c>
      <c r="E184" s="13" t="s">
        <v>39</v>
      </c>
      <c r="F184" s="13">
        <v>20</v>
      </c>
      <c r="G184" s="13">
        <v>2</v>
      </c>
      <c r="H184" s="13" t="s">
        <v>206</v>
      </c>
      <c r="I184" s="13">
        <v>1</v>
      </c>
      <c r="J184" s="13">
        <v>248</v>
      </c>
      <c r="K184" s="13">
        <v>2</v>
      </c>
      <c r="L184" s="13" t="s">
        <v>43</v>
      </c>
      <c r="M184" s="13">
        <v>70</v>
      </c>
      <c r="N184" s="13">
        <v>3</v>
      </c>
      <c r="O184" s="13">
        <v>1</v>
      </c>
      <c r="P184" s="13" t="s">
        <v>182</v>
      </c>
      <c r="Q184" s="13">
        <v>2</v>
      </c>
      <c r="R184" s="13" t="s">
        <v>48</v>
      </c>
      <c r="S184" s="20">
        <v>3140</v>
      </c>
      <c r="T184" s="13">
        <v>21728</v>
      </c>
      <c r="U184" s="13">
        <v>1</v>
      </c>
      <c r="V184" s="13" t="s">
        <v>52</v>
      </c>
      <c r="W184" s="13" t="s">
        <v>36</v>
      </c>
      <c r="X184" s="13">
        <v>22</v>
      </c>
      <c r="Y184" s="13">
        <v>4</v>
      </c>
      <c r="Z184" s="13">
        <v>4</v>
      </c>
      <c r="AA184" s="13">
        <v>80</v>
      </c>
      <c r="AB184" s="13">
        <v>0</v>
      </c>
      <c r="AC184" s="13">
        <v>4</v>
      </c>
      <c r="AD184" s="13">
        <v>5</v>
      </c>
      <c r="AE184" s="13">
        <v>2</v>
      </c>
      <c r="AF184" s="14">
        <v>4</v>
      </c>
      <c r="AG184" s="13">
        <v>3</v>
      </c>
      <c r="AH184" s="13">
        <v>0</v>
      </c>
      <c r="AI184" s="13">
        <v>2</v>
      </c>
      <c r="AJ184" s="13" t="str">
        <f t="shared" si="2"/>
        <v>40-49</v>
      </c>
      <c r="AK184" s="13" t="str">
        <f>IF(tblCleanData[[#This Row],[MonthlyIncome]]&lt;5000, "Low Income", IF(tblCleanData[[#This Row],[MonthlyIncome]]&lt;15000, "Medium Income", "High Income"))</f>
        <v>Low Income</v>
      </c>
      <c r="AL184" s="13">
        <f>IF(tblCleanData[[#This Row],[Attrition]]="No", 0,1)</f>
        <v>1</v>
      </c>
      <c r="AM184" s="13">
        <f>IF(tblCleanData[[#This Row],[OverTime]] = "No", 0, 1)</f>
        <v>1</v>
      </c>
      <c r="AN184" s="13" t="str">
        <f>CHOOSE(tblCleanData[[#This Row],[Education]], "Below College","College","Bachelor","Master","Doctor")</f>
        <v>College</v>
      </c>
      <c r="AO184" s="13" t="str">
        <f>VLOOKUP(tblCleanData[[#This Row],[EmployeeNumber]],tblHelpers[],15,TRUE)</f>
        <v>High Risk</v>
      </c>
      <c r="AP184" s="13">
        <f>VLOOKUP(tblCleanData[[#This Row],[EmployeeNumber]],tblHelpers[],14,0)</f>
        <v>74</v>
      </c>
    </row>
    <row r="185" spans="1:42" x14ac:dyDescent="0.25">
      <c r="A185" s="13">
        <v>50</v>
      </c>
      <c r="B185" s="13" t="s">
        <v>59</v>
      </c>
      <c r="C185" s="13" t="s">
        <v>37</v>
      </c>
      <c r="D185" s="13">
        <v>328</v>
      </c>
      <c r="E185" s="13" t="s">
        <v>62</v>
      </c>
      <c r="F185" s="13">
        <v>1</v>
      </c>
      <c r="G185" s="13">
        <v>3</v>
      </c>
      <c r="H185" s="13" t="s">
        <v>87</v>
      </c>
      <c r="I185" s="13">
        <v>1</v>
      </c>
      <c r="J185" s="13">
        <v>249</v>
      </c>
      <c r="K185" s="13">
        <v>3</v>
      </c>
      <c r="L185" s="13" t="s">
        <v>63</v>
      </c>
      <c r="M185" s="13">
        <v>86</v>
      </c>
      <c r="N185" s="13">
        <v>2</v>
      </c>
      <c r="O185" s="13">
        <v>1</v>
      </c>
      <c r="P185" s="13" t="s">
        <v>76</v>
      </c>
      <c r="Q185" s="13">
        <v>3</v>
      </c>
      <c r="R185" s="13" t="s">
        <v>66</v>
      </c>
      <c r="S185" s="20">
        <v>3690</v>
      </c>
      <c r="T185" s="13">
        <v>3425</v>
      </c>
      <c r="U185" s="13">
        <v>2</v>
      </c>
      <c r="V185" s="13" t="s">
        <v>52</v>
      </c>
      <c r="W185" s="13" t="s">
        <v>59</v>
      </c>
      <c r="X185" s="13">
        <v>15</v>
      </c>
      <c r="Y185" s="13">
        <v>3</v>
      </c>
      <c r="Z185" s="13">
        <v>4</v>
      </c>
      <c r="AA185" s="13">
        <v>80</v>
      </c>
      <c r="AB185" s="13">
        <v>1</v>
      </c>
      <c r="AC185" s="13">
        <v>5</v>
      </c>
      <c r="AD185" s="13">
        <v>2</v>
      </c>
      <c r="AE185" s="13">
        <v>2</v>
      </c>
      <c r="AF185" s="14">
        <v>3</v>
      </c>
      <c r="AG185" s="13">
        <v>2</v>
      </c>
      <c r="AH185" s="13">
        <v>0</v>
      </c>
      <c r="AI185" s="13">
        <v>2</v>
      </c>
      <c r="AJ185" s="13" t="str">
        <f t="shared" si="2"/>
        <v>50+</v>
      </c>
      <c r="AK185" s="13" t="str">
        <f>IF(tblCleanData[[#This Row],[MonthlyIncome]]&lt;5000, "Low Income", IF(tblCleanData[[#This Row],[MonthlyIncome]]&lt;15000, "Medium Income", "High Income"))</f>
        <v>Low Income</v>
      </c>
      <c r="AL185" s="13">
        <f>IF(tblCleanData[[#This Row],[Attrition]]="No", 0,1)</f>
        <v>0</v>
      </c>
      <c r="AM185" s="13">
        <f>IF(tblCleanData[[#This Row],[OverTime]] = "No", 0, 1)</f>
        <v>0</v>
      </c>
      <c r="AN185" s="13" t="str">
        <f>CHOOSE(tblCleanData[[#This Row],[Education]], "Below College","College","Bachelor","Master","Doctor")</f>
        <v>Bachelor</v>
      </c>
      <c r="AO185" s="13" t="str">
        <f>VLOOKUP(tblCleanData[[#This Row],[EmployeeNumber]],tblHelpers[],15,TRUE)</f>
        <v>Medium Risk</v>
      </c>
      <c r="AP185" s="13">
        <f>VLOOKUP(tblCleanData[[#This Row],[EmployeeNumber]],tblHelpers[],14,0)</f>
        <v>48</v>
      </c>
    </row>
    <row r="186" spans="1:42" x14ac:dyDescent="0.25">
      <c r="A186" s="13">
        <v>53</v>
      </c>
      <c r="B186" s="13" t="s">
        <v>59</v>
      </c>
      <c r="C186" s="13" t="s">
        <v>37</v>
      </c>
      <c r="D186" s="13">
        <v>1084</v>
      </c>
      <c r="E186" s="13" t="s">
        <v>62</v>
      </c>
      <c r="F186" s="13">
        <v>13</v>
      </c>
      <c r="G186" s="13">
        <v>2</v>
      </c>
      <c r="H186" s="13" t="s">
        <v>87</v>
      </c>
      <c r="I186" s="13">
        <v>1</v>
      </c>
      <c r="J186" s="13">
        <v>250</v>
      </c>
      <c r="K186" s="13">
        <v>4</v>
      </c>
      <c r="L186" s="13" t="s">
        <v>43</v>
      </c>
      <c r="M186" s="13">
        <v>57</v>
      </c>
      <c r="N186" s="13">
        <v>4</v>
      </c>
      <c r="O186" s="13">
        <v>2</v>
      </c>
      <c r="P186" s="13" t="s">
        <v>116</v>
      </c>
      <c r="Q186" s="13">
        <v>1</v>
      </c>
      <c r="R186" s="13" t="s">
        <v>109</v>
      </c>
      <c r="S186" s="20">
        <v>4450</v>
      </c>
      <c r="T186" s="13">
        <v>26250</v>
      </c>
      <c r="U186" s="13">
        <v>1</v>
      </c>
      <c r="V186" s="13" t="s">
        <v>52</v>
      </c>
      <c r="W186" s="13" t="s">
        <v>59</v>
      </c>
      <c r="X186" s="13">
        <v>11</v>
      </c>
      <c r="Y186" s="13">
        <v>3</v>
      </c>
      <c r="Z186" s="13">
        <v>3</v>
      </c>
      <c r="AA186" s="13">
        <v>80</v>
      </c>
      <c r="AB186" s="13">
        <v>2</v>
      </c>
      <c r="AC186" s="13">
        <v>5</v>
      </c>
      <c r="AD186" s="13">
        <v>3</v>
      </c>
      <c r="AE186" s="13">
        <v>3</v>
      </c>
      <c r="AF186" s="14">
        <v>4</v>
      </c>
      <c r="AG186" s="13">
        <v>2</v>
      </c>
      <c r="AH186" s="13">
        <v>1</v>
      </c>
      <c r="AI186" s="13">
        <v>3</v>
      </c>
      <c r="AJ186" s="13" t="str">
        <f t="shared" si="2"/>
        <v>50+</v>
      </c>
      <c r="AK186" s="13" t="str">
        <f>IF(tblCleanData[[#This Row],[MonthlyIncome]]&lt;5000, "Low Income", IF(tblCleanData[[#This Row],[MonthlyIncome]]&lt;15000, "Medium Income", "High Income"))</f>
        <v>Low Income</v>
      </c>
      <c r="AL186" s="13">
        <f>IF(tblCleanData[[#This Row],[Attrition]]="No", 0,1)</f>
        <v>0</v>
      </c>
      <c r="AM186" s="13">
        <f>IF(tblCleanData[[#This Row],[OverTime]] = "No", 0, 1)</f>
        <v>0</v>
      </c>
      <c r="AN186" s="13" t="str">
        <f>CHOOSE(tblCleanData[[#This Row],[Education]], "Below College","College","Bachelor","Master","Doctor")</f>
        <v>College</v>
      </c>
      <c r="AO186" s="13" t="str">
        <f>VLOOKUP(tblCleanData[[#This Row],[EmployeeNumber]],tblHelpers[],15,TRUE)</f>
        <v>High Risk</v>
      </c>
      <c r="AP186" s="13">
        <f>VLOOKUP(tblCleanData[[#This Row],[EmployeeNumber]],tblHelpers[],14,0)</f>
        <v>60</v>
      </c>
    </row>
    <row r="187" spans="1:42" x14ac:dyDescent="0.25">
      <c r="A187" s="13">
        <v>33</v>
      </c>
      <c r="B187" s="13" t="s">
        <v>59</v>
      </c>
      <c r="C187" s="13" t="s">
        <v>37</v>
      </c>
      <c r="D187" s="13">
        <v>931</v>
      </c>
      <c r="E187" s="13" t="s">
        <v>62</v>
      </c>
      <c r="F187" s="13">
        <v>14</v>
      </c>
      <c r="G187" s="13">
        <v>3</v>
      </c>
      <c r="H187" s="13" t="s">
        <v>87</v>
      </c>
      <c r="I187" s="13">
        <v>1</v>
      </c>
      <c r="J187" s="13">
        <v>252</v>
      </c>
      <c r="K187" s="13">
        <v>4</v>
      </c>
      <c r="L187" s="13" t="s">
        <v>43</v>
      </c>
      <c r="M187" s="13">
        <v>72</v>
      </c>
      <c r="N187" s="13">
        <v>3</v>
      </c>
      <c r="O187" s="13">
        <v>1</v>
      </c>
      <c r="P187" s="13" t="s">
        <v>65</v>
      </c>
      <c r="Q187" s="13">
        <v>2</v>
      </c>
      <c r="R187" s="13" t="s">
        <v>66</v>
      </c>
      <c r="S187" s="20">
        <v>2756</v>
      </c>
      <c r="T187" s="13">
        <v>4673</v>
      </c>
      <c r="U187" s="13">
        <v>1</v>
      </c>
      <c r="V187" s="13" t="s">
        <v>52</v>
      </c>
      <c r="W187" s="13" t="s">
        <v>59</v>
      </c>
      <c r="X187" s="13">
        <v>13</v>
      </c>
      <c r="Y187" s="13">
        <v>3</v>
      </c>
      <c r="Z187" s="13">
        <v>4</v>
      </c>
      <c r="AA187" s="13">
        <v>80</v>
      </c>
      <c r="AB187" s="13">
        <v>1</v>
      </c>
      <c r="AC187" s="13">
        <v>8</v>
      </c>
      <c r="AD187" s="13">
        <v>5</v>
      </c>
      <c r="AE187" s="13">
        <v>3</v>
      </c>
      <c r="AF187" s="14">
        <v>8</v>
      </c>
      <c r="AG187" s="13">
        <v>7</v>
      </c>
      <c r="AH187" s="13">
        <v>1</v>
      </c>
      <c r="AI187" s="13">
        <v>6</v>
      </c>
      <c r="AJ187" s="13" t="str">
        <f t="shared" si="2"/>
        <v>30-39</v>
      </c>
      <c r="AK187" s="13" t="str">
        <f>IF(tblCleanData[[#This Row],[MonthlyIncome]]&lt;5000, "Low Income", IF(tblCleanData[[#This Row],[MonthlyIncome]]&lt;15000, "Medium Income", "High Income"))</f>
        <v>Low Income</v>
      </c>
      <c r="AL187" s="13">
        <f>IF(tblCleanData[[#This Row],[Attrition]]="No", 0,1)</f>
        <v>0</v>
      </c>
      <c r="AM187" s="13">
        <f>IF(tblCleanData[[#This Row],[OverTime]] = "No", 0, 1)</f>
        <v>0</v>
      </c>
      <c r="AN187" s="13" t="str">
        <f>CHOOSE(tblCleanData[[#This Row],[Education]], "Below College","College","Bachelor","Master","Doctor")</f>
        <v>Bachelor</v>
      </c>
      <c r="AO187" s="13" t="str">
        <f>VLOOKUP(tblCleanData[[#This Row],[EmployeeNumber]],tblHelpers[],15,TRUE)</f>
        <v>Medium Risk</v>
      </c>
      <c r="AP187" s="13">
        <f>VLOOKUP(tblCleanData[[#This Row],[EmployeeNumber]],tblHelpers[],14,0)</f>
        <v>52</v>
      </c>
    </row>
    <row r="188" spans="1:42" x14ac:dyDescent="0.25">
      <c r="A188" s="13">
        <v>40</v>
      </c>
      <c r="B188" s="13" t="s">
        <v>59</v>
      </c>
      <c r="C188" s="13" t="s">
        <v>37</v>
      </c>
      <c r="D188" s="13">
        <v>989</v>
      </c>
      <c r="E188" s="13" t="s">
        <v>62</v>
      </c>
      <c r="F188" s="13">
        <v>4</v>
      </c>
      <c r="G188" s="13">
        <v>1</v>
      </c>
      <c r="H188" s="13" t="s">
        <v>87</v>
      </c>
      <c r="I188" s="13">
        <v>1</v>
      </c>
      <c r="J188" s="13">
        <v>253</v>
      </c>
      <c r="K188" s="13">
        <v>4</v>
      </c>
      <c r="L188" s="13" t="s">
        <v>43</v>
      </c>
      <c r="M188" s="13">
        <v>46</v>
      </c>
      <c r="N188" s="13">
        <v>3</v>
      </c>
      <c r="O188" s="13">
        <v>5</v>
      </c>
      <c r="P188" s="13" t="s">
        <v>169</v>
      </c>
      <c r="Q188" s="13">
        <v>3</v>
      </c>
      <c r="R188" s="13" t="s">
        <v>66</v>
      </c>
      <c r="S188" s="20">
        <v>19033</v>
      </c>
      <c r="T188" s="13">
        <v>6499</v>
      </c>
      <c r="U188" s="13">
        <v>1</v>
      </c>
      <c r="V188" s="13" t="s">
        <v>52</v>
      </c>
      <c r="W188" s="13" t="s">
        <v>59</v>
      </c>
      <c r="X188" s="13">
        <v>14</v>
      </c>
      <c r="Y188" s="13">
        <v>3</v>
      </c>
      <c r="Z188" s="13">
        <v>2</v>
      </c>
      <c r="AA188" s="13">
        <v>80</v>
      </c>
      <c r="AB188" s="13">
        <v>1</v>
      </c>
      <c r="AC188" s="13">
        <v>21</v>
      </c>
      <c r="AD188" s="13">
        <v>2</v>
      </c>
      <c r="AE188" s="13">
        <v>3</v>
      </c>
      <c r="AF188" s="14">
        <v>20</v>
      </c>
      <c r="AG188" s="13">
        <v>8</v>
      </c>
      <c r="AH188" s="13">
        <v>9</v>
      </c>
      <c r="AI188" s="13">
        <v>9</v>
      </c>
      <c r="AJ188" s="13" t="str">
        <f t="shared" si="2"/>
        <v>40-49</v>
      </c>
      <c r="AK188" s="13" t="str">
        <f>IF(tblCleanData[[#This Row],[MonthlyIncome]]&lt;5000, "Low Income", IF(tblCleanData[[#This Row],[MonthlyIncome]]&lt;15000, "Medium Income", "High Income"))</f>
        <v>High Income</v>
      </c>
      <c r="AL188" s="13">
        <f>IF(tblCleanData[[#This Row],[Attrition]]="No", 0,1)</f>
        <v>0</v>
      </c>
      <c r="AM188" s="13">
        <f>IF(tblCleanData[[#This Row],[OverTime]] = "No", 0, 1)</f>
        <v>0</v>
      </c>
      <c r="AN188" s="13" t="str">
        <f>CHOOSE(tblCleanData[[#This Row],[Education]], "Below College","College","Bachelor","Master","Doctor")</f>
        <v>Below College</v>
      </c>
      <c r="AO188" s="13" t="str">
        <f>VLOOKUP(tblCleanData[[#This Row],[EmployeeNumber]],tblHelpers[],15,TRUE)</f>
        <v>Low Risk</v>
      </c>
      <c r="AP188" s="13">
        <f>VLOOKUP(tblCleanData[[#This Row],[EmployeeNumber]],tblHelpers[],14,0)</f>
        <v>31</v>
      </c>
    </row>
    <row r="189" spans="1:42" x14ac:dyDescent="0.25">
      <c r="A189" s="13">
        <v>55</v>
      </c>
      <c r="B189" s="13" t="s">
        <v>59</v>
      </c>
      <c r="C189" s="13" t="s">
        <v>37</v>
      </c>
      <c r="D189" s="13">
        <v>692</v>
      </c>
      <c r="E189" s="13" t="s">
        <v>62</v>
      </c>
      <c r="F189" s="13">
        <v>14</v>
      </c>
      <c r="G189" s="13">
        <v>4</v>
      </c>
      <c r="H189" s="13" t="s">
        <v>87</v>
      </c>
      <c r="I189" s="13">
        <v>1</v>
      </c>
      <c r="J189" s="13">
        <v>254</v>
      </c>
      <c r="K189" s="13">
        <v>3</v>
      </c>
      <c r="L189" s="13" t="s">
        <v>63</v>
      </c>
      <c r="M189" s="13">
        <v>61</v>
      </c>
      <c r="N189" s="13">
        <v>4</v>
      </c>
      <c r="O189" s="13">
        <v>5</v>
      </c>
      <c r="P189" s="13" t="s">
        <v>186</v>
      </c>
      <c r="Q189" s="13">
        <v>2</v>
      </c>
      <c r="R189" s="13" t="s">
        <v>48</v>
      </c>
      <c r="S189" s="20">
        <v>18722</v>
      </c>
      <c r="T189" s="13">
        <v>13339</v>
      </c>
      <c r="U189" s="13">
        <v>8</v>
      </c>
      <c r="V189" s="13" t="s">
        <v>52</v>
      </c>
      <c r="W189" s="13" t="s">
        <v>59</v>
      </c>
      <c r="X189" s="13">
        <v>11</v>
      </c>
      <c r="Y189" s="13">
        <v>3</v>
      </c>
      <c r="Z189" s="13">
        <v>4</v>
      </c>
      <c r="AA189" s="13">
        <v>80</v>
      </c>
      <c r="AB189" s="13">
        <v>0</v>
      </c>
      <c r="AC189" s="13">
        <v>36</v>
      </c>
      <c r="AD189" s="13">
        <v>3</v>
      </c>
      <c r="AE189" s="13">
        <v>3</v>
      </c>
      <c r="AF189" s="14">
        <v>24</v>
      </c>
      <c r="AG189" s="13">
        <v>15</v>
      </c>
      <c r="AH189" s="13">
        <v>2</v>
      </c>
      <c r="AI189" s="13">
        <v>15</v>
      </c>
      <c r="AJ189" s="13" t="str">
        <f t="shared" si="2"/>
        <v>50+</v>
      </c>
      <c r="AK189" s="13" t="str">
        <f>IF(tblCleanData[[#This Row],[MonthlyIncome]]&lt;5000, "Low Income", IF(tblCleanData[[#This Row],[MonthlyIncome]]&lt;15000, "Medium Income", "High Income"))</f>
        <v>High Income</v>
      </c>
      <c r="AL189" s="13">
        <f>IF(tblCleanData[[#This Row],[Attrition]]="No", 0,1)</f>
        <v>0</v>
      </c>
      <c r="AM189" s="13">
        <f>IF(tblCleanData[[#This Row],[OverTime]] = "No", 0, 1)</f>
        <v>0</v>
      </c>
      <c r="AN189" s="13" t="str">
        <f>CHOOSE(tblCleanData[[#This Row],[Education]], "Below College","College","Bachelor","Master","Doctor")</f>
        <v>Master</v>
      </c>
      <c r="AO189" s="13" t="str">
        <f>VLOOKUP(tblCleanData[[#This Row],[EmployeeNumber]],tblHelpers[],15,TRUE)</f>
        <v>Medium Risk</v>
      </c>
      <c r="AP189" s="13">
        <f>VLOOKUP(tblCleanData[[#This Row],[EmployeeNumber]],tblHelpers[],14,0)</f>
        <v>42</v>
      </c>
    </row>
    <row r="190" spans="1:42" x14ac:dyDescent="0.25">
      <c r="A190" s="13">
        <v>34</v>
      </c>
      <c r="B190" s="13" t="s">
        <v>59</v>
      </c>
      <c r="C190" s="13" t="s">
        <v>60</v>
      </c>
      <c r="D190" s="13">
        <v>1069</v>
      </c>
      <c r="E190" s="13" t="s">
        <v>62</v>
      </c>
      <c r="F190" s="13">
        <v>2</v>
      </c>
      <c r="G190" s="13">
        <v>1</v>
      </c>
      <c r="H190" s="13" t="s">
        <v>42</v>
      </c>
      <c r="I190" s="13">
        <v>1</v>
      </c>
      <c r="J190" s="13">
        <v>256</v>
      </c>
      <c r="K190" s="13">
        <v>4</v>
      </c>
      <c r="L190" s="13" t="s">
        <v>63</v>
      </c>
      <c r="M190" s="13">
        <v>45</v>
      </c>
      <c r="N190" s="13">
        <v>2</v>
      </c>
      <c r="O190" s="13">
        <v>2</v>
      </c>
      <c r="P190" s="13" t="s">
        <v>116</v>
      </c>
      <c r="Q190" s="13">
        <v>3</v>
      </c>
      <c r="R190" s="13" t="s">
        <v>66</v>
      </c>
      <c r="S190" s="20">
        <v>9547</v>
      </c>
      <c r="T190" s="13">
        <v>14074</v>
      </c>
      <c r="U190" s="13">
        <v>1</v>
      </c>
      <c r="V190" s="13" t="s">
        <v>52</v>
      </c>
      <c r="W190" s="13" t="s">
        <v>59</v>
      </c>
      <c r="X190" s="13">
        <v>17</v>
      </c>
      <c r="Y190" s="13">
        <v>3</v>
      </c>
      <c r="Z190" s="13">
        <v>3</v>
      </c>
      <c r="AA190" s="13">
        <v>80</v>
      </c>
      <c r="AB190" s="13">
        <v>0</v>
      </c>
      <c r="AC190" s="13">
        <v>10</v>
      </c>
      <c r="AD190" s="13">
        <v>2</v>
      </c>
      <c r="AE190" s="13">
        <v>2</v>
      </c>
      <c r="AF190" s="14">
        <v>10</v>
      </c>
      <c r="AG190" s="13">
        <v>9</v>
      </c>
      <c r="AH190" s="13">
        <v>1</v>
      </c>
      <c r="AI190" s="13">
        <v>9</v>
      </c>
      <c r="AJ190" s="13" t="str">
        <f t="shared" si="2"/>
        <v>30-39</v>
      </c>
      <c r="AK190" s="13" t="str">
        <f>IF(tblCleanData[[#This Row],[MonthlyIncome]]&lt;5000, "Low Income", IF(tblCleanData[[#This Row],[MonthlyIncome]]&lt;15000, "Medium Income", "High Income"))</f>
        <v>Medium Income</v>
      </c>
      <c r="AL190" s="13">
        <f>IF(tblCleanData[[#This Row],[Attrition]]="No", 0,1)</f>
        <v>0</v>
      </c>
      <c r="AM190" s="13">
        <f>IF(tblCleanData[[#This Row],[OverTime]] = "No", 0, 1)</f>
        <v>0</v>
      </c>
      <c r="AN190" s="13" t="str">
        <f>CHOOSE(tblCleanData[[#This Row],[Education]], "Below College","College","Bachelor","Master","Doctor")</f>
        <v>Below College</v>
      </c>
      <c r="AO190" s="13" t="str">
        <f>VLOOKUP(tblCleanData[[#This Row],[EmployeeNumber]],tblHelpers[],15,TRUE)</f>
        <v>Medium Risk</v>
      </c>
      <c r="AP190" s="13">
        <f>VLOOKUP(tblCleanData[[#This Row],[EmployeeNumber]],tblHelpers[],14,0)</f>
        <v>46</v>
      </c>
    </row>
    <row r="191" spans="1:42" x14ac:dyDescent="0.25">
      <c r="A191" s="13">
        <v>51</v>
      </c>
      <c r="B191" s="13" t="s">
        <v>59</v>
      </c>
      <c r="C191" s="13" t="s">
        <v>37</v>
      </c>
      <c r="D191" s="13">
        <v>313</v>
      </c>
      <c r="E191" s="13" t="s">
        <v>62</v>
      </c>
      <c r="F191" s="13">
        <v>3</v>
      </c>
      <c r="G191" s="13">
        <v>3</v>
      </c>
      <c r="H191" s="13" t="s">
        <v>87</v>
      </c>
      <c r="I191" s="13">
        <v>1</v>
      </c>
      <c r="J191" s="13">
        <v>258</v>
      </c>
      <c r="K191" s="13">
        <v>4</v>
      </c>
      <c r="L191" s="13" t="s">
        <v>43</v>
      </c>
      <c r="M191" s="13">
        <v>98</v>
      </c>
      <c r="N191" s="13">
        <v>3</v>
      </c>
      <c r="O191" s="13">
        <v>4</v>
      </c>
      <c r="P191" s="13" t="s">
        <v>122</v>
      </c>
      <c r="Q191" s="13">
        <v>2</v>
      </c>
      <c r="R191" s="13" t="s">
        <v>48</v>
      </c>
      <c r="S191" s="20">
        <v>13734</v>
      </c>
      <c r="T191" s="13">
        <v>7192</v>
      </c>
      <c r="U191" s="13">
        <v>3</v>
      </c>
      <c r="V191" s="13" t="s">
        <v>52</v>
      </c>
      <c r="W191" s="13" t="s">
        <v>59</v>
      </c>
      <c r="X191" s="13">
        <v>18</v>
      </c>
      <c r="Y191" s="13">
        <v>3</v>
      </c>
      <c r="Z191" s="13">
        <v>3</v>
      </c>
      <c r="AA191" s="13">
        <v>80</v>
      </c>
      <c r="AB191" s="13">
        <v>0</v>
      </c>
      <c r="AC191" s="13">
        <v>21</v>
      </c>
      <c r="AD191" s="13">
        <v>6</v>
      </c>
      <c r="AE191" s="13">
        <v>3</v>
      </c>
      <c r="AF191" s="14">
        <v>7</v>
      </c>
      <c r="AG191" s="13">
        <v>7</v>
      </c>
      <c r="AH191" s="13">
        <v>1</v>
      </c>
      <c r="AI191" s="13">
        <v>0</v>
      </c>
      <c r="AJ191" s="13" t="str">
        <f t="shared" si="2"/>
        <v>50+</v>
      </c>
      <c r="AK191" s="13" t="str">
        <f>IF(tblCleanData[[#This Row],[MonthlyIncome]]&lt;5000, "Low Income", IF(tblCleanData[[#This Row],[MonthlyIncome]]&lt;15000, "Medium Income", "High Income"))</f>
        <v>Medium Income</v>
      </c>
      <c r="AL191" s="13">
        <f>IF(tblCleanData[[#This Row],[Attrition]]="No", 0,1)</f>
        <v>0</v>
      </c>
      <c r="AM191" s="13">
        <f>IF(tblCleanData[[#This Row],[OverTime]] = "No", 0, 1)</f>
        <v>0</v>
      </c>
      <c r="AN191" s="13" t="str">
        <f>CHOOSE(tblCleanData[[#This Row],[Education]], "Below College","College","Bachelor","Master","Doctor")</f>
        <v>Bachelor</v>
      </c>
      <c r="AO191" s="13" t="str">
        <f>VLOOKUP(tblCleanData[[#This Row],[EmployeeNumber]],tblHelpers[],15,TRUE)</f>
        <v>Medium Risk</v>
      </c>
      <c r="AP191" s="13">
        <f>VLOOKUP(tblCleanData[[#This Row],[EmployeeNumber]],tblHelpers[],14,0)</f>
        <v>47</v>
      </c>
    </row>
    <row r="192" spans="1:42" x14ac:dyDescent="0.25">
      <c r="A192" s="13">
        <v>52</v>
      </c>
      <c r="B192" s="13" t="s">
        <v>59</v>
      </c>
      <c r="C192" s="13" t="s">
        <v>37</v>
      </c>
      <c r="D192" s="13">
        <v>699</v>
      </c>
      <c r="E192" s="13" t="s">
        <v>62</v>
      </c>
      <c r="F192" s="13">
        <v>1</v>
      </c>
      <c r="G192" s="13">
        <v>4</v>
      </c>
      <c r="H192" s="13" t="s">
        <v>42</v>
      </c>
      <c r="I192" s="13">
        <v>1</v>
      </c>
      <c r="J192" s="13">
        <v>259</v>
      </c>
      <c r="K192" s="13">
        <v>3</v>
      </c>
      <c r="L192" s="13" t="s">
        <v>63</v>
      </c>
      <c r="M192" s="13">
        <v>65</v>
      </c>
      <c r="N192" s="13">
        <v>2</v>
      </c>
      <c r="O192" s="13">
        <v>5</v>
      </c>
      <c r="P192" s="13" t="s">
        <v>169</v>
      </c>
      <c r="Q192" s="13">
        <v>3</v>
      </c>
      <c r="R192" s="13" t="s">
        <v>66</v>
      </c>
      <c r="S192" s="20">
        <v>19999</v>
      </c>
      <c r="T192" s="13">
        <v>5678</v>
      </c>
      <c r="U192" s="13">
        <v>0</v>
      </c>
      <c r="V192" s="13" t="s">
        <v>52</v>
      </c>
      <c r="W192" s="13" t="s">
        <v>59</v>
      </c>
      <c r="X192" s="13">
        <v>14</v>
      </c>
      <c r="Y192" s="13">
        <v>3</v>
      </c>
      <c r="Z192" s="13">
        <v>1</v>
      </c>
      <c r="AA192" s="13">
        <v>80</v>
      </c>
      <c r="AB192" s="13">
        <v>1</v>
      </c>
      <c r="AC192" s="13">
        <v>34</v>
      </c>
      <c r="AD192" s="13">
        <v>5</v>
      </c>
      <c r="AE192" s="13">
        <v>3</v>
      </c>
      <c r="AF192" s="14">
        <v>33</v>
      </c>
      <c r="AG192" s="13">
        <v>18</v>
      </c>
      <c r="AH192" s="13">
        <v>11</v>
      </c>
      <c r="AI192" s="13">
        <v>9</v>
      </c>
      <c r="AJ192" s="13" t="str">
        <f t="shared" si="2"/>
        <v>50+</v>
      </c>
      <c r="AK192" s="13" t="str">
        <f>IF(tblCleanData[[#This Row],[MonthlyIncome]]&lt;5000, "Low Income", IF(tblCleanData[[#This Row],[MonthlyIncome]]&lt;15000, "Medium Income", "High Income"))</f>
        <v>High Income</v>
      </c>
      <c r="AL192" s="13">
        <f>IF(tblCleanData[[#This Row],[Attrition]]="No", 0,1)</f>
        <v>0</v>
      </c>
      <c r="AM192" s="13">
        <f>IF(tblCleanData[[#This Row],[OverTime]] = "No", 0, 1)</f>
        <v>0</v>
      </c>
      <c r="AN192" s="13" t="str">
        <f>CHOOSE(tblCleanData[[#This Row],[Education]], "Below College","College","Bachelor","Master","Doctor")</f>
        <v>Master</v>
      </c>
      <c r="AO192" s="13" t="str">
        <f>VLOOKUP(tblCleanData[[#This Row],[EmployeeNumber]],tblHelpers[],15,TRUE)</f>
        <v>Medium Risk</v>
      </c>
      <c r="AP192" s="13">
        <f>VLOOKUP(tblCleanData[[#This Row],[EmployeeNumber]],tblHelpers[],14,0)</f>
        <v>36</v>
      </c>
    </row>
    <row r="193" spans="1:42" x14ac:dyDescent="0.25">
      <c r="A193" s="13">
        <v>27</v>
      </c>
      <c r="B193" s="13" t="s">
        <v>59</v>
      </c>
      <c r="C193" s="13" t="s">
        <v>37</v>
      </c>
      <c r="D193" s="13">
        <v>894</v>
      </c>
      <c r="E193" s="13" t="s">
        <v>62</v>
      </c>
      <c r="F193" s="13">
        <v>9</v>
      </c>
      <c r="G193" s="13">
        <v>3</v>
      </c>
      <c r="H193" s="13" t="s">
        <v>87</v>
      </c>
      <c r="I193" s="13">
        <v>1</v>
      </c>
      <c r="J193" s="13">
        <v>260</v>
      </c>
      <c r="K193" s="13">
        <v>4</v>
      </c>
      <c r="L193" s="13" t="s">
        <v>43</v>
      </c>
      <c r="M193" s="13">
        <v>99</v>
      </c>
      <c r="N193" s="13">
        <v>3</v>
      </c>
      <c r="O193" s="13">
        <v>1</v>
      </c>
      <c r="P193" s="13" t="s">
        <v>65</v>
      </c>
      <c r="Q193" s="13">
        <v>2</v>
      </c>
      <c r="R193" s="13" t="s">
        <v>48</v>
      </c>
      <c r="S193" s="20">
        <v>2279</v>
      </c>
      <c r="T193" s="13">
        <v>11781</v>
      </c>
      <c r="U193" s="13">
        <v>1</v>
      </c>
      <c r="V193" s="13" t="s">
        <v>52</v>
      </c>
      <c r="W193" s="13" t="s">
        <v>59</v>
      </c>
      <c r="X193" s="13">
        <v>16</v>
      </c>
      <c r="Y193" s="13">
        <v>3</v>
      </c>
      <c r="Z193" s="13">
        <v>4</v>
      </c>
      <c r="AA193" s="13">
        <v>80</v>
      </c>
      <c r="AB193" s="13">
        <v>0</v>
      </c>
      <c r="AC193" s="13">
        <v>7</v>
      </c>
      <c r="AD193" s="13">
        <v>2</v>
      </c>
      <c r="AE193" s="13">
        <v>2</v>
      </c>
      <c r="AF193" s="14">
        <v>7</v>
      </c>
      <c r="AG193" s="13">
        <v>7</v>
      </c>
      <c r="AH193" s="13">
        <v>0</v>
      </c>
      <c r="AI193" s="13">
        <v>3</v>
      </c>
      <c r="AJ193" s="13" t="str">
        <f t="shared" si="2"/>
        <v>Under 30</v>
      </c>
      <c r="AK193" s="13" t="str">
        <f>IF(tblCleanData[[#This Row],[MonthlyIncome]]&lt;5000, "Low Income", IF(tblCleanData[[#This Row],[MonthlyIncome]]&lt;15000, "Medium Income", "High Income"))</f>
        <v>Low Income</v>
      </c>
      <c r="AL193" s="13">
        <f>IF(tblCleanData[[#This Row],[Attrition]]="No", 0,1)</f>
        <v>0</v>
      </c>
      <c r="AM193" s="13">
        <f>IF(tblCleanData[[#This Row],[OverTime]] = "No", 0, 1)</f>
        <v>0</v>
      </c>
      <c r="AN193" s="13" t="str">
        <f>CHOOSE(tblCleanData[[#This Row],[Education]], "Below College","College","Bachelor","Master","Doctor")</f>
        <v>Bachelor</v>
      </c>
      <c r="AO193" s="13" t="str">
        <f>VLOOKUP(tblCleanData[[#This Row],[EmployeeNumber]],tblHelpers[],15,TRUE)</f>
        <v>High Risk</v>
      </c>
      <c r="AP193" s="13">
        <f>VLOOKUP(tblCleanData[[#This Row],[EmployeeNumber]],tblHelpers[],14,0)</f>
        <v>62</v>
      </c>
    </row>
    <row r="194" spans="1:42" x14ac:dyDescent="0.25">
      <c r="A194" s="13">
        <v>35</v>
      </c>
      <c r="B194" s="13" t="s">
        <v>36</v>
      </c>
      <c r="C194" s="13" t="s">
        <v>37</v>
      </c>
      <c r="D194" s="13">
        <v>556</v>
      </c>
      <c r="E194" s="13" t="s">
        <v>62</v>
      </c>
      <c r="F194" s="13">
        <v>23</v>
      </c>
      <c r="G194" s="13">
        <v>2</v>
      </c>
      <c r="H194" s="13" t="s">
        <v>42</v>
      </c>
      <c r="I194" s="13">
        <v>1</v>
      </c>
      <c r="J194" s="13">
        <v>261</v>
      </c>
      <c r="K194" s="13">
        <v>2</v>
      </c>
      <c r="L194" s="13" t="s">
        <v>63</v>
      </c>
      <c r="M194" s="13">
        <v>50</v>
      </c>
      <c r="N194" s="13">
        <v>2</v>
      </c>
      <c r="O194" s="13">
        <v>2</v>
      </c>
      <c r="P194" s="13" t="s">
        <v>116</v>
      </c>
      <c r="Q194" s="13">
        <v>3</v>
      </c>
      <c r="R194" s="13" t="s">
        <v>66</v>
      </c>
      <c r="S194" s="20">
        <v>5916</v>
      </c>
      <c r="T194" s="13">
        <v>15497</v>
      </c>
      <c r="U194" s="13">
        <v>3</v>
      </c>
      <c r="V194" s="13" t="s">
        <v>52</v>
      </c>
      <c r="W194" s="13" t="s">
        <v>36</v>
      </c>
      <c r="X194" s="13">
        <v>13</v>
      </c>
      <c r="Y194" s="13">
        <v>3</v>
      </c>
      <c r="Z194" s="13">
        <v>1</v>
      </c>
      <c r="AA194" s="13">
        <v>80</v>
      </c>
      <c r="AB194" s="13">
        <v>0</v>
      </c>
      <c r="AC194" s="13">
        <v>8</v>
      </c>
      <c r="AD194" s="13">
        <v>1</v>
      </c>
      <c r="AE194" s="13">
        <v>3</v>
      </c>
      <c r="AF194" s="14">
        <v>1</v>
      </c>
      <c r="AG194" s="13">
        <v>0</v>
      </c>
      <c r="AH194" s="13">
        <v>0</v>
      </c>
      <c r="AI194" s="13">
        <v>1</v>
      </c>
      <c r="AJ194" s="13" t="str">
        <f t="shared" ref="AJ194:AJ257" si="3">IF(A194&lt;30,"Under 30", IF(A194&lt;40,"30-39", IF(A194&lt;50,"40-49", "50+")))</f>
        <v>30-39</v>
      </c>
      <c r="AK194" s="13" t="str">
        <f>IF(tblCleanData[[#This Row],[MonthlyIncome]]&lt;5000, "Low Income", IF(tblCleanData[[#This Row],[MonthlyIncome]]&lt;15000, "Medium Income", "High Income"))</f>
        <v>Medium Income</v>
      </c>
      <c r="AL194" s="13">
        <f>IF(tblCleanData[[#This Row],[Attrition]]="No", 0,1)</f>
        <v>1</v>
      </c>
      <c r="AM194" s="13">
        <f>IF(tblCleanData[[#This Row],[OverTime]] = "No", 0, 1)</f>
        <v>1</v>
      </c>
      <c r="AN194" s="13" t="str">
        <f>CHOOSE(tblCleanData[[#This Row],[Education]], "Below College","College","Bachelor","Master","Doctor")</f>
        <v>College</v>
      </c>
      <c r="AO194" s="13" t="str">
        <f>VLOOKUP(tblCleanData[[#This Row],[EmployeeNumber]],tblHelpers[],15,TRUE)</f>
        <v>High Risk</v>
      </c>
      <c r="AP194" s="13">
        <f>VLOOKUP(tblCleanData[[#This Row],[EmployeeNumber]],tblHelpers[],14,0)</f>
        <v>88</v>
      </c>
    </row>
    <row r="195" spans="1:42" x14ac:dyDescent="0.25">
      <c r="A195" s="13">
        <v>43</v>
      </c>
      <c r="B195" s="13" t="s">
        <v>59</v>
      </c>
      <c r="C195" s="13" t="s">
        <v>161</v>
      </c>
      <c r="D195" s="13">
        <v>1344</v>
      </c>
      <c r="E195" s="13" t="s">
        <v>62</v>
      </c>
      <c r="F195" s="13">
        <v>7</v>
      </c>
      <c r="G195" s="13">
        <v>3</v>
      </c>
      <c r="H195" s="13" t="s">
        <v>87</v>
      </c>
      <c r="I195" s="13">
        <v>1</v>
      </c>
      <c r="J195" s="13">
        <v>262</v>
      </c>
      <c r="K195" s="13">
        <v>4</v>
      </c>
      <c r="L195" s="13" t="s">
        <v>63</v>
      </c>
      <c r="M195" s="13">
        <v>37</v>
      </c>
      <c r="N195" s="13">
        <v>4</v>
      </c>
      <c r="O195" s="13">
        <v>1</v>
      </c>
      <c r="P195" s="13" t="s">
        <v>65</v>
      </c>
      <c r="Q195" s="13">
        <v>4</v>
      </c>
      <c r="R195" s="13" t="s">
        <v>109</v>
      </c>
      <c r="S195" s="20">
        <v>2089</v>
      </c>
      <c r="T195" s="13">
        <v>5228</v>
      </c>
      <c r="U195" s="13">
        <v>4</v>
      </c>
      <c r="V195" s="13" t="s">
        <v>52</v>
      </c>
      <c r="W195" s="13" t="s">
        <v>59</v>
      </c>
      <c r="X195" s="13">
        <v>14</v>
      </c>
      <c r="Y195" s="13">
        <v>3</v>
      </c>
      <c r="Z195" s="13">
        <v>4</v>
      </c>
      <c r="AA195" s="13">
        <v>80</v>
      </c>
      <c r="AB195" s="13">
        <v>3</v>
      </c>
      <c r="AC195" s="13">
        <v>7</v>
      </c>
      <c r="AD195" s="13">
        <v>3</v>
      </c>
      <c r="AE195" s="13">
        <v>4</v>
      </c>
      <c r="AF195" s="14">
        <v>5</v>
      </c>
      <c r="AG195" s="13">
        <v>4</v>
      </c>
      <c r="AH195" s="13">
        <v>2</v>
      </c>
      <c r="AI195" s="13">
        <v>2</v>
      </c>
      <c r="AJ195" s="13" t="str">
        <f t="shared" si="3"/>
        <v>40-49</v>
      </c>
      <c r="AK195" s="13" t="str">
        <f>IF(tblCleanData[[#This Row],[MonthlyIncome]]&lt;5000, "Low Income", IF(tblCleanData[[#This Row],[MonthlyIncome]]&lt;15000, "Medium Income", "High Income"))</f>
        <v>Low Income</v>
      </c>
      <c r="AL195" s="13">
        <f>IF(tblCleanData[[#This Row],[Attrition]]="No", 0,1)</f>
        <v>0</v>
      </c>
      <c r="AM195" s="13">
        <f>IF(tblCleanData[[#This Row],[OverTime]] = "No", 0, 1)</f>
        <v>0</v>
      </c>
      <c r="AN195" s="13" t="str">
        <f>CHOOSE(tblCleanData[[#This Row],[Education]], "Below College","College","Bachelor","Master","Doctor")</f>
        <v>Bachelor</v>
      </c>
      <c r="AO195" s="13" t="str">
        <f>VLOOKUP(tblCleanData[[#This Row],[EmployeeNumber]],tblHelpers[],15,TRUE)</f>
        <v>Medium Risk</v>
      </c>
      <c r="AP195" s="13">
        <f>VLOOKUP(tblCleanData[[#This Row],[EmployeeNumber]],tblHelpers[],14,0)</f>
        <v>36</v>
      </c>
    </row>
    <row r="196" spans="1:42" x14ac:dyDescent="0.25">
      <c r="A196" s="13">
        <v>45</v>
      </c>
      <c r="B196" s="13" t="s">
        <v>59</v>
      </c>
      <c r="C196" s="13" t="s">
        <v>161</v>
      </c>
      <c r="D196" s="13">
        <v>1195</v>
      </c>
      <c r="E196" s="13" t="s">
        <v>62</v>
      </c>
      <c r="F196" s="13">
        <v>2</v>
      </c>
      <c r="G196" s="13">
        <v>2</v>
      </c>
      <c r="H196" s="13" t="s">
        <v>87</v>
      </c>
      <c r="I196" s="13">
        <v>1</v>
      </c>
      <c r="J196" s="13">
        <v>264</v>
      </c>
      <c r="K196" s="13">
        <v>1</v>
      </c>
      <c r="L196" s="13" t="s">
        <v>63</v>
      </c>
      <c r="M196" s="13">
        <v>65</v>
      </c>
      <c r="N196" s="13">
        <v>2</v>
      </c>
      <c r="O196" s="13">
        <v>4</v>
      </c>
      <c r="P196" s="13" t="s">
        <v>169</v>
      </c>
      <c r="Q196" s="13">
        <v>4</v>
      </c>
      <c r="R196" s="13" t="s">
        <v>66</v>
      </c>
      <c r="S196" s="20">
        <v>16792</v>
      </c>
      <c r="T196" s="13">
        <v>20462</v>
      </c>
      <c r="U196" s="13">
        <v>9</v>
      </c>
      <c r="V196" s="13" t="s">
        <v>52</v>
      </c>
      <c r="W196" s="13" t="s">
        <v>59</v>
      </c>
      <c r="X196" s="13">
        <v>23</v>
      </c>
      <c r="Y196" s="13">
        <v>4</v>
      </c>
      <c r="Z196" s="13">
        <v>4</v>
      </c>
      <c r="AA196" s="13">
        <v>80</v>
      </c>
      <c r="AB196" s="13">
        <v>1</v>
      </c>
      <c r="AC196" s="13">
        <v>22</v>
      </c>
      <c r="AD196" s="13">
        <v>1</v>
      </c>
      <c r="AE196" s="13">
        <v>3</v>
      </c>
      <c r="AF196" s="14">
        <v>20</v>
      </c>
      <c r="AG196" s="13">
        <v>8</v>
      </c>
      <c r="AH196" s="13">
        <v>11</v>
      </c>
      <c r="AI196" s="13">
        <v>8</v>
      </c>
      <c r="AJ196" s="13" t="str">
        <f t="shared" si="3"/>
        <v>40-49</v>
      </c>
      <c r="AK196" s="13" t="str">
        <f>IF(tblCleanData[[#This Row],[MonthlyIncome]]&lt;5000, "Low Income", IF(tblCleanData[[#This Row],[MonthlyIncome]]&lt;15000, "Medium Income", "High Income"))</f>
        <v>High Income</v>
      </c>
      <c r="AL196" s="13">
        <f>IF(tblCleanData[[#This Row],[Attrition]]="No", 0,1)</f>
        <v>0</v>
      </c>
      <c r="AM196" s="13">
        <f>IF(tblCleanData[[#This Row],[OverTime]] = "No", 0, 1)</f>
        <v>0</v>
      </c>
      <c r="AN196" s="13" t="str">
        <f>CHOOSE(tblCleanData[[#This Row],[Education]], "Below College","College","Bachelor","Master","Doctor")</f>
        <v>College</v>
      </c>
      <c r="AO196" s="13" t="str">
        <f>VLOOKUP(tblCleanData[[#This Row],[EmployeeNumber]],tblHelpers[],15,TRUE)</f>
        <v>Low Risk</v>
      </c>
      <c r="AP196" s="13">
        <f>VLOOKUP(tblCleanData[[#This Row],[EmployeeNumber]],tblHelpers[],14,0)</f>
        <v>24</v>
      </c>
    </row>
    <row r="197" spans="1:42" x14ac:dyDescent="0.25">
      <c r="A197" s="13">
        <v>37</v>
      </c>
      <c r="B197" s="13" t="s">
        <v>59</v>
      </c>
      <c r="C197" s="13" t="s">
        <v>37</v>
      </c>
      <c r="D197" s="13">
        <v>290</v>
      </c>
      <c r="E197" s="13" t="s">
        <v>62</v>
      </c>
      <c r="F197" s="13">
        <v>21</v>
      </c>
      <c r="G197" s="13">
        <v>3</v>
      </c>
      <c r="H197" s="13" t="s">
        <v>42</v>
      </c>
      <c r="I197" s="13">
        <v>1</v>
      </c>
      <c r="J197" s="13">
        <v>267</v>
      </c>
      <c r="K197" s="13">
        <v>2</v>
      </c>
      <c r="L197" s="13" t="s">
        <v>63</v>
      </c>
      <c r="M197" s="13">
        <v>65</v>
      </c>
      <c r="N197" s="13">
        <v>4</v>
      </c>
      <c r="O197" s="13">
        <v>1</v>
      </c>
      <c r="P197" s="13" t="s">
        <v>65</v>
      </c>
      <c r="Q197" s="13">
        <v>1</v>
      </c>
      <c r="R197" s="13" t="s">
        <v>66</v>
      </c>
      <c r="S197" s="20">
        <v>3564</v>
      </c>
      <c r="T197" s="13">
        <v>22977</v>
      </c>
      <c r="U197" s="13">
        <v>1</v>
      </c>
      <c r="V197" s="13" t="s">
        <v>52</v>
      </c>
      <c r="W197" s="13" t="s">
        <v>36</v>
      </c>
      <c r="X197" s="13">
        <v>12</v>
      </c>
      <c r="Y197" s="13">
        <v>3</v>
      </c>
      <c r="Z197" s="13">
        <v>1</v>
      </c>
      <c r="AA197" s="13">
        <v>80</v>
      </c>
      <c r="AB197" s="13">
        <v>1</v>
      </c>
      <c r="AC197" s="13">
        <v>8</v>
      </c>
      <c r="AD197" s="13">
        <v>3</v>
      </c>
      <c r="AE197" s="13">
        <v>2</v>
      </c>
      <c r="AF197" s="14">
        <v>8</v>
      </c>
      <c r="AG197" s="13">
        <v>7</v>
      </c>
      <c r="AH197" s="13">
        <v>1</v>
      </c>
      <c r="AI197" s="13">
        <v>7</v>
      </c>
      <c r="AJ197" s="13" t="str">
        <f t="shared" si="3"/>
        <v>30-39</v>
      </c>
      <c r="AK197" s="13" t="str">
        <f>IF(tblCleanData[[#This Row],[MonthlyIncome]]&lt;5000, "Low Income", IF(tblCleanData[[#This Row],[MonthlyIncome]]&lt;15000, "Medium Income", "High Income"))</f>
        <v>Low Income</v>
      </c>
      <c r="AL197" s="13">
        <f>IF(tblCleanData[[#This Row],[Attrition]]="No", 0,1)</f>
        <v>0</v>
      </c>
      <c r="AM197" s="13">
        <f>IF(tblCleanData[[#This Row],[OverTime]] = "No", 0, 1)</f>
        <v>1</v>
      </c>
      <c r="AN197" s="13" t="str">
        <f>CHOOSE(tblCleanData[[#This Row],[Education]], "Below College","College","Bachelor","Master","Doctor")</f>
        <v>Bachelor</v>
      </c>
      <c r="AO197" s="13" t="str">
        <f>VLOOKUP(tblCleanData[[#This Row],[EmployeeNumber]],tblHelpers[],15,TRUE)</f>
        <v>High Risk</v>
      </c>
      <c r="AP197" s="13">
        <f>VLOOKUP(tblCleanData[[#This Row],[EmployeeNumber]],tblHelpers[],14,0)</f>
        <v>83</v>
      </c>
    </row>
    <row r="198" spans="1:42" x14ac:dyDescent="0.25">
      <c r="A198" s="13">
        <v>35</v>
      </c>
      <c r="B198" s="13" t="s">
        <v>59</v>
      </c>
      <c r="C198" s="13" t="s">
        <v>60</v>
      </c>
      <c r="D198" s="13">
        <v>138</v>
      </c>
      <c r="E198" s="13" t="s">
        <v>62</v>
      </c>
      <c r="F198" s="13">
        <v>2</v>
      </c>
      <c r="G198" s="13">
        <v>3</v>
      </c>
      <c r="H198" s="13" t="s">
        <v>87</v>
      </c>
      <c r="I198" s="13">
        <v>1</v>
      </c>
      <c r="J198" s="13">
        <v>269</v>
      </c>
      <c r="K198" s="13">
        <v>2</v>
      </c>
      <c r="L198" s="13" t="s">
        <v>43</v>
      </c>
      <c r="M198" s="13">
        <v>37</v>
      </c>
      <c r="N198" s="13">
        <v>3</v>
      </c>
      <c r="O198" s="13">
        <v>2</v>
      </c>
      <c r="P198" s="13" t="s">
        <v>76</v>
      </c>
      <c r="Q198" s="13">
        <v>2</v>
      </c>
      <c r="R198" s="13" t="s">
        <v>48</v>
      </c>
      <c r="S198" s="20">
        <v>4425</v>
      </c>
      <c r="T198" s="13">
        <v>15986</v>
      </c>
      <c r="U198" s="13">
        <v>5</v>
      </c>
      <c r="V198" s="13" t="s">
        <v>52</v>
      </c>
      <c r="W198" s="13" t="s">
        <v>59</v>
      </c>
      <c r="X198" s="13">
        <v>11</v>
      </c>
      <c r="Y198" s="13">
        <v>3</v>
      </c>
      <c r="Z198" s="13">
        <v>4</v>
      </c>
      <c r="AA198" s="13">
        <v>80</v>
      </c>
      <c r="AB198" s="13">
        <v>0</v>
      </c>
      <c r="AC198" s="13">
        <v>10</v>
      </c>
      <c r="AD198" s="13">
        <v>5</v>
      </c>
      <c r="AE198" s="13">
        <v>3</v>
      </c>
      <c r="AF198" s="14">
        <v>6</v>
      </c>
      <c r="AG198" s="13">
        <v>2</v>
      </c>
      <c r="AH198" s="13">
        <v>1</v>
      </c>
      <c r="AI198" s="13">
        <v>2</v>
      </c>
      <c r="AJ198" s="13" t="str">
        <f t="shared" si="3"/>
        <v>30-39</v>
      </c>
      <c r="AK198" s="13" t="str">
        <f>IF(tblCleanData[[#This Row],[MonthlyIncome]]&lt;5000, "Low Income", IF(tblCleanData[[#This Row],[MonthlyIncome]]&lt;15000, "Medium Income", "High Income"))</f>
        <v>Low Income</v>
      </c>
      <c r="AL198" s="13">
        <f>IF(tblCleanData[[#This Row],[Attrition]]="No", 0,1)</f>
        <v>0</v>
      </c>
      <c r="AM198" s="13">
        <f>IF(tblCleanData[[#This Row],[OverTime]] = "No", 0, 1)</f>
        <v>0</v>
      </c>
      <c r="AN198" s="13" t="str">
        <f>CHOOSE(tblCleanData[[#This Row],[Education]], "Below College","College","Bachelor","Master","Doctor")</f>
        <v>Bachelor</v>
      </c>
      <c r="AO198" s="13" t="str">
        <f>VLOOKUP(tblCleanData[[#This Row],[EmployeeNumber]],tblHelpers[],15,TRUE)</f>
        <v>Medium Risk</v>
      </c>
      <c r="AP198" s="13">
        <f>VLOOKUP(tblCleanData[[#This Row],[EmployeeNumber]],tblHelpers[],14,0)</f>
        <v>52</v>
      </c>
    </row>
    <row r="199" spans="1:42" x14ac:dyDescent="0.25">
      <c r="A199" s="13">
        <v>42</v>
      </c>
      <c r="B199" s="13" t="s">
        <v>59</v>
      </c>
      <c r="C199" s="13" t="s">
        <v>161</v>
      </c>
      <c r="D199" s="13">
        <v>926</v>
      </c>
      <c r="E199" s="13" t="s">
        <v>62</v>
      </c>
      <c r="F199" s="13">
        <v>21</v>
      </c>
      <c r="G199" s="13">
        <v>2</v>
      </c>
      <c r="H199" s="13" t="s">
        <v>87</v>
      </c>
      <c r="I199" s="13">
        <v>1</v>
      </c>
      <c r="J199" s="13">
        <v>270</v>
      </c>
      <c r="K199" s="13">
        <v>3</v>
      </c>
      <c r="L199" s="13" t="s">
        <v>43</v>
      </c>
      <c r="M199" s="13">
        <v>36</v>
      </c>
      <c r="N199" s="13">
        <v>3</v>
      </c>
      <c r="O199" s="13">
        <v>2</v>
      </c>
      <c r="P199" s="13" t="s">
        <v>116</v>
      </c>
      <c r="Q199" s="13">
        <v>3</v>
      </c>
      <c r="R199" s="13" t="s">
        <v>109</v>
      </c>
      <c r="S199" s="20">
        <v>5265</v>
      </c>
      <c r="T199" s="13">
        <v>16439</v>
      </c>
      <c r="U199" s="13">
        <v>2</v>
      </c>
      <c r="V199" s="13" t="s">
        <v>52</v>
      </c>
      <c r="W199" s="13" t="s">
        <v>59</v>
      </c>
      <c r="X199" s="13">
        <v>16</v>
      </c>
      <c r="Y199" s="13">
        <v>3</v>
      </c>
      <c r="Z199" s="13">
        <v>2</v>
      </c>
      <c r="AA199" s="13">
        <v>80</v>
      </c>
      <c r="AB199" s="13">
        <v>1</v>
      </c>
      <c r="AC199" s="13">
        <v>11</v>
      </c>
      <c r="AD199" s="13">
        <v>5</v>
      </c>
      <c r="AE199" s="13">
        <v>3</v>
      </c>
      <c r="AF199" s="14">
        <v>5</v>
      </c>
      <c r="AG199" s="13">
        <v>3</v>
      </c>
      <c r="AH199" s="13">
        <v>0</v>
      </c>
      <c r="AI199" s="13">
        <v>2</v>
      </c>
      <c r="AJ199" s="13" t="str">
        <f t="shared" si="3"/>
        <v>40-49</v>
      </c>
      <c r="AK199" s="13" t="str">
        <f>IF(tblCleanData[[#This Row],[MonthlyIncome]]&lt;5000, "Low Income", IF(tblCleanData[[#This Row],[MonthlyIncome]]&lt;15000, "Medium Income", "High Income"))</f>
        <v>Medium Income</v>
      </c>
      <c r="AL199" s="13">
        <f>IF(tblCleanData[[#This Row],[Attrition]]="No", 0,1)</f>
        <v>0</v>
      </c>
      <c r="AM199" s="13">
        <f>IF(tblCleanData[[#This Row],[OverTime]] = "No", 0, 1)</f>
        <v>0</v>
      </c>
      <c r="AN199" s="13" t="str">
        <f>CHOOSE(tblCleanData[[#This Row],[Education]], "Below College","College","Bachelor","Master","Doctor")</f>
        <v>College</v>
      </c>
      <c r="AO199" s="13" t="str">
        <f>VLOOKUP(tblCleanData[[#This Row],[EmployeeNumber]],tblHelpers[],15,TRUE)</f>
        <v>Medium Risk</v>
      </c>
      <c r="AP199" s="13">
        <f>VLOOKUP(tblCleanData[[#This Row],[EmployeeNumber]],tblHelpers[],14,0)</f>
        <v>43</v>
      </c>
    </row>
    <row r="200" spans="1:42" x14ac:dyDescent="0.25">
      <c r="A200" s="13">
        <v>38</v>
      </c>
      <c r="B200" s="13" t="s">
        <v>59</v>
      </c>
      <c r="C200" s="13" t="s">
        <v>37</v>
      </c>
      <c r="D200" s="13">
        <v>1261</v>
      </c>
      <c r="E200" s="13" t="s">
        <v>62</v>
      </c>
      <c r="F200" s="13">
        <v>2</v>
      </c>
      <c r="G200" s="13">
        <v>4</v>
      </c>
      <c r="H200" s="13" t="s">
        <v>42</v>
      </c>
      <c r="I200" s="13">
        <v>1</v>
      </c>
      <c r="J200" s="13">
        <v>271</v>
      </c>
      <c r="K200" s="13">
        <v>4</v>
      </c>
      <c r="L200" s="13" t="s">
        <v>63</v>
      </c>
      <c r="M200" s="13">
        <v>88</v>
      </c>
      <c r="N200" s="13">
        <v>3</v>
      </c>
      <c r="O200" s="13">
        <v>2</v>
      </c>
      <c r="P200" s="13" t="s">
        <v>116</v>
      </c>
      <c r="Q200" s="13">
        <v>3</v>
      </c>
      <c r="R200" s="13" t="s">
        <v>66</v>
      </c>
      <c r="S200" s="20">
        <v>6553</v>
      </c>
      <c r="T200" s="13">
        <v>7259</v>
      </c>
      <c r="U200" s="13">
        <v>9</v>
      </c>
      <c r="V200" s="13" t="s">
        <v>52</v>
      </c>
      <c r="W200" s="13" t="s">
        <v>59</v>
      </c>
      <c r="X200" s="13">
        <v>14</v>
      </c>
      <c r="Y200" s="13">
        <v>3</v>
      </c>
      <c r="Z200" s="13">
        <v>2</v>
      </c>
      <c r="AA200" s="13">
        <v>80</v>
      </c>
      <c r="AB200" s="13">
        <v>0</v>
      </c>
      <c r="AC200" s="13">
        <v>14</v>
      </c>
      <c r="AD200" s="13">
        <v>3</v>
      </c>
      <c r="AE200" s="13">
        <v>3</v>
      </c>
      <c r="AF200" s="14">
        <v>1</v>
      </c>
      <c r="AG200" s="13">
        <v>0</v>
      </c>
      <c r="AH200" s="13">
        <v>0</v>
      </c>
      <c r="AI200" s="13">
        <v>0</v>
      </c>
      <c r="AJ200" s="13" t="str">
        <f t="shared" si="3"/>
        <v>30-39</v>
      </c>
      <c r="AK200" s="13" t="str">
        <f>IF(tblCleanData[[#This Row],[MonthlyIncome]]&lt;5000, "Low Income", IF(tblCleanData[[#This Row],[MonthlyIncome]]&lt;15000, "Medium Income", "High Income"))</f>
        <v>Medium Income</v>
      </c>
      <c r="AL200" s="13">
        <f>IF(tblCleanData[[#This Row],[Attrition]]="No", 0,1)</f>
        <v>0</v>
      </c>
      <c r="AM200" s="13">
        <f>IF(tblCleanData[[#This Row],[OverTime]] = "No", 0, 1)</f>
        <v>0</v>
      </c>
      <c r="AN200" s="13" t="str">
        <f>CHOOSE(tblCleanData[[#This Row],[Education]], "Below College","College","Bachelor","Master","Doctor")</f>
        <v>Master</v>
      </c>
      <c r="AO200" s="13" t="str">
        <f>VLOOKUP(tblCleanData[[#This Row],[EmployeeNumber]],tblHelpers[],15,TRUE)</f>
        <v>High Risk</v>
      </c>
      <c r="AP200" s="13">
        <f>VLOOKUP(tblCleanData[[#This Row],[EmployeeNumber]],tblHelpers[],14,0)</f>
        <v>63</v>
      </c>
    </row>
    <row r="201" spans="1:42" x14ac:dyDescent="0.25">
      <c r="A201" s="13">
        <v>38</v>
      </c>
      <c r="B201" s="13" t="s">
        <v>59</v>
      </c>
      <c r="C201" s="13" t="s">
        <v>37</v>
      </c>
      <c r="D201" s="13">
        <v>1084</v>
      </c>
      <c r="E201" s="13" t="s">
        <v>62</v>
      </c>
      <c r="F201" s="13">
        <v>29</v>
      </c>
      <c r="G201" s="13">
        <v>3</v>
      </c>
      <c r="H201" s="13" t="s">
        <v>228</v>
      </c>
      <c r="I201" s="13">
        <v>1</v>
      </c>
      <c r="J201" s="13">
        <v>273</v>
      </c>
      <c r="K201" s="13">
        <v>4</v>
      </c>
      <c r="L201" s="13" t="s">
        <v>63</v>
      </c>
      <c r="M201" s="13">
        <v>54</v>
      </c>
      <c r="N201" s="13">
        <v>3</v>
      </c>
      <c r="O201" s="13">
        <v>2</v>
      </c>
      <c r="P201" s="13" t="s">
        <v>116</v>
      </c>
      <c r="Q201" s="13">
        <v>4</v>
      </c>
      <c r="R201" s="13" t="s">
        <v>66</v>
      </c>
      <c r="S201" s="20">
        <v>6261</v>
      </c>
      <c r="T201" s="13">
        <v>4185</v>
      </c>
      <c r="U201" s="13">
        <v>3</v>
      </c>
      <c r="V201" s="13" t="s">
        <v>52</v>
      </c>
      <c r="W201" s="13" t="s">
        <v>59</v>
      </c>
      <c r="X201" s="13">
        <v>18</v>
      </c>
      <c r="Y201" s="13">
        <v>3</v>
      </c>
      <c r="Z201" s="13">
        <v>1</v>
      </c>
      <c r="AA201" s="13">
        <v>80</v>
      </c>
      <c r="AB201" s="13">
        <v>1</v>
      </c>
      <c r="AC201" s="13">
        <v>9</v>
      </c>
      <c r="AD201" s="13">
        <v>3</v>
      </c>
      <c r="AE201" s="13">
        <v>1</v>
      </c>
      <c r="AF201" s="14">
        <v>7</v>
      </c>
      <c r="AG201" s="13">
        <v>7</v>
      </c>
      <c r="AH201" s="13">
        <v>1</v>
      </c>
      <c r="AI201" s="13">
        <v>7</v>
      </c>
      <c r="AJ201" s="13" t="str">
        <f t="shared" si="3"/>
        <v>30-39</v>
      </c>
      <c r="AK201" s="13" t="str">
        <f>IF(tblCleanData[[#This Row],[MonthlyIncome]]&lt;5000, "Low Income", IF(tblCleanData[[#This Row],[MonthlyIncome]]&lt;15000, "Medium Income", "High Income"))</f>
        <v>Medium Income</v>
      </c>
      <c r="AL201" s="13">
        <f>IF(tblCleanData[[#This Row],[Attrition]]="No", 0,1)</f>
        <v>0</v>
      </c>
      <c r="AM201" s="13">
        <f>IF(tblCleanData[[#This Row],[OverTime]] = "No", 0, 1)</f>
        <v>0</v>
      </c>
      <c r="AN201" s="13" t="str">
        <f>CHOOSE(tblCleanData[[#This Row],[Education]], "Below College","College","Bachelor","Master","Doctor")</f>
        <v>Bachelor</v>
      </c>
      <c r="AO201" s="13" t="str">
        <f>VLOOKUP(tblCleanData[[#This Row],[EmployeeNumber]],tblHelpers[],15,TRUE)</f>
        <v>Medium Risk</v>
      </c>
      <c r="AP201" s="13">
        <f>VLOOKUP(tblCleanData[[#This Row],[EmployeeNumber]],tblHelpers[],14,0)</f>
        <v>39</v>
      </c>
    </row>
    <row r="202" spans="1:42" x14ac:dyDescent="0.25">
      <c r="A202" s="13">
        <v>27</v>
      </c>
      <c r="B202" s="13" t="s">
        <v>59</v>
      </c>
      <c r="C202" s="13" t="s">
        <v>60</v>
      </c>
      <c r="D202" s="13">
        <v>472</v>
      </c>
      <c r="E202" s="13" t="s">
        <v>62</v>
      </c>
      <c r="F202" s="13">
        <v>1</v>
      </c>
      <c r="G202" s="13">
        <v>1</v>
      </c>
      <c r="H202" s="13" t="s">
        <v>228</v>
      </c>
      <c r="I202" s="13">
        <v>1</v>
      </c>
      <c r="J202" s="13">
        <v>274</v>
      </c>
      <c r="K202" s="13">
        <v>3</v>
      </c>
      <c r="L202" s="13" t="s">
        <v>63</v>
      </c>
      <c r="M202" s="13">
        <v>60</v>
      </c>
      <c r="N202" s="13">
        <v>2</v>
      </c>
      <c r="O202" s="13">
        <v>2</v>
      </c>
      <c r="P202" s="13" t="s">
        <v>116</v>
      </c>
      <c r="Q202" s="13">
        <v>1</v>
      </c>
      <c r="R202" s="13" t="s">
        <v>66</v>
      </c>
      <c r="S202" s="20">
        <v>4298</v>
      </c>
      <c r="T202" s="13">
        <v>9679</v>
      </c>
      <c r="U202" s="13">
        <v>5</v>
      </c>
      <c r="V202" s="13" t="s">
        <v>52</v>
      </c>
      <c r="W202" s="13" t="s">
        <v>59</v>
      </c>
      <c r="X202" s="13">
        <v>19</v>
      </c>
      <c r="Y202" s="13">
        <v>3</v>
      </c>
      <c r="Z202" s="13">
        <v>3</v>
      </c>
      <c r="AA202" s="13">
        <v>80</v>
      </c>
      <c r="AB202" s="13">
        <v>1</v>
      </c>
      <c r="AC202" s="13">
        <v>6</v>
      </c>
      <c r="AD202" s="13">
        <v>1</v>
      </c>
      <c r="AE202" s="13">
        <v>3</v>
      </c>
      <c r="AF202" s="14">
        <v>2</v>
      </c>
      <c r="AG202" s="13">
        <v>2</v>
      </c>
      <c r="AH202" s="13">
        <v>2</v>
      </c>
      <c r="AI202" s="13">
        <v>0</v>
      </c>
      <c r="AJ202" s="13" t="str">
        <f t="shared" si="3"/>
        <v>Under 30</v>
      </c>
      <c r="AK202" s="13" t="str">
        <f>IF(tblCleanData[[#This Row],[MonthlyIncome]]&lt;5000, "Low Income", IF(tblCleanData[[#This Row],[MonthlyIncome]]&lt;15000, "Medium Income", "High Income"))</f>
        <v>Low Income</v>
      </c>
      <c r="AL202" s="13">
        <f>IF(tblCleanData[[#This Row],[Attrition]]="No", 0,1)</f>
        <v>0</v>
      </c>
      <c r="AM202" s="13">
        <f>IF(tblCleanData[[#This Row],[OverTime]] = "No", 0, 1)</f>
        <v>0</v>
      </c>
      <c r="AN202" s="13" t="str">
        <f>CHOOSE(tblCleanData[[#This Row],[Education]], "Below College","College","Bachelor","Master","Doctor")</f>
        <v>Below College</v>
      </c>
      <c r="AO202" s="13" t="str">
        <f>VLOOKUP(tblCleanData[[#This Row],[EmployeeNumber]],tblHelpers[],15,TRUE)</f>
        <v>High Risk</v>
      </c>
      <c r="AP202" s="13">
        <f>VLOOKUP(tblCleanData[[#This Row],[EmployeeNumber]],tblHelpers[],14,0)</f>
        <v>85</v>
      </c>
    </row>
    <row r="203" spans="1:42" x14ac:dyDescent="0.25">
      <c r="A203" s="13">
        <v>49</v>
      </c>
      <c r="B203" s="13" t="s">
        <v>59</v>
      </c>
      <c r="C203" s="13" t="s">
        <v>161</v>
      </c>
      <c r="D203" s="13">
        <v>1002</v>
      </c>
      <c r="E203" s="13" t="s">
        <v>62</v>
      </c>
      <c r="F203" s="13">
        <v>18</v>
      </c>
      <c r="G203" s="13">
        <v>4</v>
      </c>
      <c r="H203" s="13" t="s">
        <v>42</v>
      </c>
      <c r="I203" s="13">
        <v>1</v>
      </c>
      <c r="J203" s="13">
        <v>275</v>
      </c>
      <c r="K203" s="13">
        <v>4</v>
      </c>
      <c r="L203" s="13" t="s">
        <v>63</v>
      </c>
      <c r="M203" s="13">
        <v>92</v>
      </c>
      <c r="N203" s="13">
        <v>3</v>
      </c>
      <c r="O203" s="13">
        <v>2</v>
      </c>
      <c r="P203" s="13" t="s">
        <v>116</v>
      </c>
      <c r="Q203" s="13">
        <v>4</v>
      </c>
      <c r="R203" s="13" t="s">
        <v>109</v>
      </c>
      <c r="S203" s="20">
        <v>6804</v>
      </c>
      <c r="T203" s="13">
        <v>23793</v>
      </c>
      <c r="U203" s="13">
        <v>1</v>
      </c>
      <c r="V203" s="13" t="s">
        <v>52</v>
      </c>
      <c r="W203" s="13" t="s">
        <v>36</v>
      </c>
      <c r="X203" s="13">
        <v>15</v>
      </c>
      <c r="Y203" s="13">
        <v>3</v>
      </c>
      <c r="Z203" s="13">
        <v>1</v>
      </c>
      <c r="AA203" s="13">
        <v>80</v>
      </c>
      <c r="AB203" s="13">
        <v>2</v>
      </c>
      <c r="AC203" s="13">
        <v>7</v>
      </c>
      <c r="AD203" s="13">
        <v>0</v>
      </c>
      <c r="AE203" s="13">
        <v>3</v>
      </c>
      <c r="AF203" s="14">
        <v>7</v>
      </c>
      <c r="AG203" s="13">
        <v>7</v>
      </c>
      <c r="AH203" s="13">
        <v>1</v>
      </c>
      <c r="AI203" s="13">
        <v>7</v>
      </c>
      <c r="AJ203" s="13" t="str">
        <f t="shared" si="3"/>
        <v>40-49</v>
      </c>
      <c r="AK203" s="13" t="str">
        <f>IF(tblCleanData[[#This Row],[MonthlyIncome]]&lt;5000, "Low Income", IF(tblCleanData[[#This Row],[MonthlyIncome]]&lt;15000, "Medium Income", "High Income"))</f>
        <v>Medium Income</v>
      </c>
      <c r="AL203" s="13">
        <f>IF(tblCleanData[[#This Row],[Attrition]]="No", 0,1)</f>
        <v>0</v>
      </c>
      <c r="AM203" s="13">
        <f>IF(tblCleanData[[#This Row],[OverTime]] = "No", 0, 1)</f>
        <v>1</v>
      </c>
      <c r="AN203" s="13" t="str">
        <f>CHOOSE(tblCleanData[[#This Row],[Education]], "Below College","College","Bachelor","Master","Doctor")</f>
        <v>Master</v>
      </c>
      <c r="AO203" s="13" t="str">
        <f>VLOOKUP(tblCleanData[[#This Row],[EmployeeNumber]],tblHelpers[],15,TRUE)</f>
        <v>Medium Risk</v>
      </c>
      <c r="AP203" s="13">
        <f>VLOOKUP(tblCleanData[[#This Row],[EmployeeNumber]],tblHelpers[],14,0)</f>
        <v>54</v>
      </c>
    </row>
    <row r="204" spans="1:42" x14ac:dyDescent="0.25">
      <c r="A204" s="13">
        <v>34</v>
      </c>
      <c r="B204" s="13" t="s">
        <v>59</v>
      </c>
      <c r="C204" s="13" t="s">
        <v>60</v>
      </c>
      <c r="D204" s="13">
        <v>878</v>
      </c>
      <c r="E204" s="13" t="s">
        <v>62</v>
      </c>
      <c r="F204" s="13">
        <v>10</v>
      </c>
      <c r="G204" s="13">
        <v>4</v>
      </c>
      <c r="H204" s="13" t="s">
        <v>87</v>
      </c>
      <c r="I204" s="13">
        <v>1</v>
      </c>
      <c r="J204" s="13">
        <v>277</v>
      </c>
      <c r="K204" s="13">
        <v>4</v>
      </c>
      <c r="L204" s="13" t="s">
        <v>63</v>
      </c>
      <c r="M204" s="13">
        <v>43</v>
      </c>
      <c r="N204" s="13">
        <v>3</v>
      </c>
      <c r="O204" s="13">
        <v>1</v>
      </c>
      <c r="P204" s="13" t="s">
        <v>65</v>
      </c>
      <c r="Q204" s="13">
        <v>3</v>
      </c>
      <c r="R204" s="13" t="s">
        <v>109</v>
      </c>
      <c r="S204" s="20">
        <v>3815</v>
      </c>
      <c r="T204" s="13">
        <v>5972</v>
      </c>
      <c r="U204" s="13">
        <v>1</v>
      </c>
      <c r="V204" s="13" t="s">
        <v>52</v>
      </c>
      <c r="W204" s="13" t="s">
        <v>36</v>
      </c>
      <c r="X204" s="13">
        <v>17</v>
      </c>
      <c r="Y204" s="13">
        <v>3</v>
      </c>
      <c r="Z204" s="13">
        <v>4</v>
      </c>
      <c r="AA204" s="13">
        <v>80</v>
      </c>
      <c r="AB204" s="13">
        <v>1</v>
      </c>
      <c r="AC204" s="13">
        <v>5</v>
      </c>
      <c r="AD204" s="13">
        <v>4</v>
      </c>
      <c r="AE204" s="13">
        <v>4</v>
      </c>
      <c r="AF204" s="14">
        <v>5</v>
      </c>
      <c r="AG204" s="13">
        <v>3</v>
      </c>
      <c r="AH204" s="13">
        <v>2</v>
      </c>
      <c r="AI204" s="13">
        <v>0</v>
      </c>
      <c r="AJ204" s="13" t="str">
        <f t="shared" si="3"/>
        <v>30-39</v>
      </c>
      <c r="AK204" s="13" t="str">
        <f>IF(tblCleanData[[#This Row],[MonthlyIncome]]&lt;5000, "Low Income", IF(tblCleanData[[#This Row],[MonthlyIncome]]&lt;15000, "Medium Income", "High Income"))</f>
        <v>Low Income</v>
      </c>
      <c r="AL204" s="13">
        <f>IF(tblCleanData[[#This Row],[Attrition]]="No", 0,1)</f>
        <v>0</v>
      </c>
      <c r="AM204" s="13">
        <f>IF(tblCleanData[[#This Row],[OverTime]] = "No", 0, 1)</f>
        <v>1</v>
      </c>
      <c r="AN204" s="13" t="str">
        <f>CHOOSE(tblCleanData[[#This Row],[Education]], "Below College","College","Bachelor","Master","Doctor")</f>
        <v>Master</v>
      </c>
      <c r="AO204" s="13" t="str">
        <f>VLOOKUP(tblCleanData[[#This Row],[EmployeeNumber]],tblHelpers[],15,TRUE)</f>
        <v>High Risk</v>
      </c>
      <c r="AP204" s="13">
        <f>VLOOKUP(tblCleanData[[#This Row],[EmployeeNumber]],tblHelpers[],14,0)</f>
        <v>78</v>
      </c>
    </row>
    <row r="205" spans="1:42" x14ac:dyDescent="0.25">
      <c r="A205" s="13">
        <v>40</v>
      </c>
      <c r="B205" s="13" t="s">
        <v>59</v>
      </c>
      <c r="C205" s="13" t="s">
        <v>37</v>
      </c>
      <c r="D205" s="13">
        <v>905</v>
      </c>
      <c r="E205" s="13" t="s">
        <v>62</v>
      </c>
      <c r="F205" s="13">
        <v>19</v>
      </c>
      <c r="G205" s="13">
        <v>2</v>
      </c>
      <c r="H205" s="13" t="s">
        <v>87</v>
      </c>
      <c r="I205" s="13">
        <v>1</v>
      </c>
      <c r="J205" s="13">
        <v>281</v>
      </c>
      <c r="K205" s="13">
        <v>3</v>
      </c>
      <c r="L205" s="13" t="s">
        <v>63</v>
      </c>
      <c r="M205" s="13">
        <v>99</v>
      </c>
      <c r="N205" s="13">
        <v>3</v>
      </c>
      <c r="O205" s="13">
        <v>2</v>
      </c>
      <c r="P205" s="13" t="s">
        <v>76</v>
      </c>
      <c r="Q205" s="13">
        <v>4</v>
      </c>
      <c r="R205" s="13" t="s">
        <v>66</v>
      </c>
      <c r="S205" s="20">
        <v>2741</v>
      </c>
      <c r="T205" s="13">
        <v>16523</v>
      </c>
      <c r="U205" s="13">
        <v>8</v>
      </c>
      <c r="V205" s="13" t="s">
        <v>52</v>
      </c>
      <c r="W205" s="13" t="s">
        <v>36</v>
      </c>
      <c r="X205" s="13">
        <v>15</v>
      </c>
      <c r="Y205" s="13">
        <v>3</v>
      </c>
      <c r="Z205" s="13">
        <v>3</v>
      </c>
      <c r="AA205" s="13">
        <v>80</v>
      </c>
      <c r="AB205" s="13">
        <v>1</v>
      </c>
      <c r="AC205" s="13">
        <v>15</v>
      </c>
      <c r="AD205" s="13">
        <v>2</v>
      </c>
      <c r="AE205" s="13">
        <v>4</v>
      </c>
      <c r="AF205" s="14">
        <v>7</v>
      </c>
      <c r="AG205" s="13">
        <v>2</v>
      </c>
      <c r="AH205" s="13">
        <v>3</v>
      </c>
      <c r="AI205" s="13">
        <v>7</v>
      </c>
      <c r="AJ205" s="13" t="str">
        <f t="shared" si="3"/>
        <v>40-49</v>
      </c>
      <c r="AK205" s="13" t="str">
        <f>IF(tblCleanData[[#This Row],[MonthlyIncome]]&lt;5000, "Low Income", IF(tblCleanData[[#This Row],[MonthlyIncome]]&lt;15000, "Medium Income", "High Income"))</f>
        <v>Low Income</v>
      </c>
      <c r="AL205" s="13">
        <f>IF(tblCleanData[[#This Row],[Attrition]]="No", 0,1)</f>
        <v>0</v>
      </c>
      <c r="AM205" s="13">
        <f>IF(tblCleanData[[#This Row],[OverTime]] = "No", 0, 1)</f>
        <v>1</v>
      </c>
      <c r="AN205" s="13" t="str">
        <f>CHOOSE(tblCleanData[[#This Row],[Education]], "Below College","College","Bachelor","Master","Doctor")</f>
        <v>College</v>
      </c>
      <c r="AO205" s="13" t="str">
        <f>VLOOKUP(tblCleanData[[#This Row],[EmployeeNumber]],tblHelpers[],15,TRUE)</f>
        <v>Medium Risk</v>
      </c>
      <c r="AP205" s="13">
        <f>VLOOKUP(tblCleanData[[#This Row],[EmployeeNumber]],tblHelpers[],14,0)</f>
        <v>54</v>
      </c>
    </row>
    <row r="206" spans="1:42" x14ac:dyDescent="0.25">
      <c r="A206" s="13">
        <v>38</v>
      </c>
      <c r="B206" s="13" t="s">
        <v>36</v>
      </c>
      <c r="C206" s="13" t="s">
        <v>37</v>
      </c>
      <c r="D206" s="13">
        <v>1180</v>
      </c>
      <c r="E206" s="13" t="s">
        <v>62</v>
      </c>
      <c r="F206" s="13">
        <v>29</v>
      </c>
      <c r="G206" s="13">
        <v>1</v>
      </c>
      <c r="H206" s="13" t="s">
        <v>87</v>
      </c>
      <c r="I206" s="13">
        <v>1</v>
      </c>
      <c r="J206" s="13">
        <v>282</v>
      </c>
      <c r="K206" s="13">
        <v>2</v>
      </c>
      <c r="L206" s="13" t="s">
        <v>63</v>
      </c>
      <c r="M206" s="13">
        <v>70</v>
      </c>
      <c r="N206" s="13">
        <v>3</v>
      </c>
      <c r="O206" s="13">
        <v>2</v>
      </c>
      <c r="P206" s="13" t="s">
        <v>122</v>
      </c>
      <c r="Q206" s="13">
        <v>1</v>
      </c>
      <c r="R206" s="13" t="s">
        <v>66</v>
      </c>
      <c r="S206" s="20">
        <v>6673</v>
      </c>
      <c r="T206" s="13">
        <v>11354</v>
      </c>
      <c r="U206" s="13">
        <v>7</v>
      </c>
      <c r="V206" s="13" t="s">
        <v>52</v>
      </c>
      <c r="W206" s="13" t="s">
        <v>36</v>
      </c>
      <c r="X206" s="13">
        <v>19</v>
      </c>
      <c r="Y206" s="13">
        <v>3</v>
      </c>
      <c r="Z206" s="13">
        <v>2</v>
      </c>
      <c r="AA206" s="13">
        <v>80</v>
      </c>
      <c r="AB206" s="13">
        <v>0</v>
      </c>
      <c r="AC206" s="13">
        <v>17</v>
      </c>
      <c r="AD206" s="13">
        <v>2</v>
      </c>
      <c r="AE206" s="13">
        <v>3</v>
      </c>
      <c r="AF206" s="14">
        <v>1</v>
      </c>
      <c r="AG206" s="13">
        <v>0</v>
      </c>
      <c r="AH206" s="13">
        <v>0</v>
      </c>
      <c r="AI206" s="13">
        <v>0</v>
      </c>
      <c r="AJ206" s="13" t="str">
        <f t="shared" si="3"/>
        <v>30-39</v>
      </c>
      <c r="AK206" s="13" t="str">
        <f>IF(tblCleanData[[#This Row],[MonthlyIncome]]&lt;5000, "Low Income", IF(tblCleanData[[#This Row],[MonthlyIncome]]&lt;15000, "Medium Income", "High Income"))</f>
        <v>Medium Income</v>
      </c>
      <c r="AL206" s="13">
        <f>IF(tblCleanData[[#This Row],[Attrition]]="No", 0,1)</f>
        <v>1</v>
      </c>
      <c r="AM206" s="13">
        <f>IF(tblCleanData[[#This Row],[OverTime]] = "No", 0, 1)</f>
        <v>1</v>
      </c>
      <c r="AN206" s="13" t="str">
        <f>CHOOSE(tblCleanData[[#This Row],[Education]], "Below College","College","Bachelor","Master","Doctor")</f>
        <v>Below College</v>
      </c>
      <c r="AO206" s="13" t="str">
        <f>VLOOKUP(tblCleanData[[#This Row],[EmployeeNumber]],tblHelpers[],15,TRUE)</f>
        <v>High Risk</v>
      </c>
      <c r="AP206" s="13">
        <f>VLOOKUP(tblCleanData[[#This Row],[EmployeeNumber]],tblHelpers[],14,0)</f>
        <v>100</v>
      </c>
    </row>
    <row r="207" spans="1:42" x14ac:dyDescent="0.25">
      <c r="A207" s="13">
        <v>29</v>
      </c>
      <c r="B207" s="13" t="s">
        <v>36</v>
      </c>
      <c r="C207" s="13" t="s">
        <v>37</v>
      </c>
      <c r="D207" s="13">
        <v>121</v>
      </c>
      <c r="E207" s="13" t="s">
        <v>39</v>
      </c>
      <c r="F207" s="13">
        <v>27</v>
      </c>
      <c r="G207" s="13">
        <v>3</v>
      </c>
      <c r="H207" s="13" t="s">
        <v>206</v>
      </c>
      <c r="I207" s="13">
        <v>1</v>
      </c>
      <c r="J207" s="13">
        <v>283</v>
      </c>
      <c r="K207" s="13">
        <v>2</v>
      </c>
      <c r="L207" s="13" t="s">
        <v>43</v>
      </c>
      <c r="M207" s="13">
        <v>35</v>
      </c>
      <c r="N207" s="13">
        <v>3</v>
      </c>
      <c r="O207" s="13">
        <v>3</v>
      </c>
      <c r="P207" s="13" t="s">
        <v>46</v>
      </c>
      <c r="Q207" s="13">
        <v>4</v>
      </c>
      <c r="R207" s="13" t="s">
        <v>66</v>
      </c>
      <c r="S207" s="20">
        <v>7639</v>
      </c>
      <c r="T207" s="13">
        <v>24525</v>
      </c>
      <c r="U207" s="13">
        <v>1</v>
      </c>
      <c r="V207" s="13" t="s">
        <v>52</v>
      </c>
      <c r="W207" s="13" t="s">
        <v>59</v>
      </c>
      <c r="X207" s="13">
        <v>22</v>
      </c>
      <c r="Y207" s="13">
        <v>4</v>
      </c>
      <c r="Z207" s="13">
        <v>4</v>
      </c>
      <c r="AA207" s="13">
        <v>80</v>
      </c>
      <c r="AB207" s="13">
        <v>3</v>
      </c>
      <c r="AC207" s="13">
        <v>10</v>
      </c>
      <c r="AD207" s="13">
        <v>3</v>
      </c>
      <c r="AE207" s="13">
        <v>2</v>
      </c>
      <c r="AF207" s="14">
        <v>10</v>
      </c>
      <c r="AG207" s="13">
        <v>4</v>
      </c>
      <c r="AH207" s="13">
        <v>1</v>
      </c>
      <c r="AI207" s="13">
        <v>9</v>
      </c>
      <c r="AJ207" s="13" t="str">
        <f t="shared" si="3"/>
        <v>Under 30</v>
      </c>
      <c r="AK207" s="13" t="str">
        <f>IF(tblCleanData[[#This Row],[MonthlyIncome]]&lt;5000, "Low Income", IF(tblCleanData[[#This Row],[MonthlyIncome]]&lt;15000, "Medium Income", "High Income"))</f>
        <v>Medium Income</v>
      </c>
      <c r="AL207" s="13">
        <f>IF(tblCleanData[[#This Row],[Attrition]]="No", 0,1)</f>
        <v>1</v>
      </c>
      <c r="AM207" s="13">
        <f>IF(tblCleanData[[#This Row],[OverTime]] = "No", 0, 1)</f>
        <v>0</v>
      </c>
      <c r="AN207" s="13" t="str">
        <f>CHOOSE(tblCleanData[[#This Row],[Education]], "Below College","College","Bachelor","Master","Doctor")</f>
        <v>Bachelor</v>
      </c>
      <c r="AO207" s="13" t="str">
        <f>VLOOKUP(tblCleanData[[#This Row],[EmployeeNumber]],tblHelpers[],15,TRUE)</f>
        <v>Medium Risk</v>
      </c>
      <c r="AP207" s="13">
        <f>VLOOKUP(tblCleanData[[#This Row],[EmployeeNumber]],tblHelpers[],14,0)</f>
        <v>49</v>
      </c>
    </row>
    <row r="208" spans="1:42" x14ac:dyDescent="0.25">
      <c r="A208" s="13">
        <v>22</v>
      </c>
      <c r="B208" s="13" t="s">
        <v>59</v>
      </c>
      <c r="C208" s="13" t="s">
        <v>37</v>
      </c>
      <c r="D208" s="13">
        <v>1136</v>
      </c>
      <c r="E208" s="13" t="s">
        <v>62</v>
      </c>
      <c r="F208" s="13">
        <v>5</v>
      </c>
      <c r="G208" s="13">
        <v>3</v>
      </c>
      <c r="H208" s="13" t="s">
        <v>42</v>
      </c>
      <c r="I208" s="13">
        <v>1</v>
      </c>
      <c r="J208" s="13">
        <v>284</v>
      </c>
      <c r="K208" s="13">
        <v>4</v>
      </c>
      <c r="L208" s="13" t="s">
        <v>63</v>
      </c>
      <c r="M208" s="13">
        <v>60</v>
      </c>
      <c r="N208" s="13">
        <v>4</v>
      </c>
      <c r="O208" s="13">
        <v>1</v>
      </c>
      <c r="P208" s="13" t="s">
        <v>65</v>
      </c>
      <c r="Q208" s="13">
        <v>2</v>
      </c>
      <c r="R208" s="13" t="s">
        <v>109</v>
      </c>
      <c r="S208" s="20">
        <v>2328</v>
      </c>
      <c r="T208" s="13">
        <v>12392</v>
      </c>
      <c r="U208" s="13">
        <v>1</v>
      </c>
      <c r="V208" s="13" t="s">
        <v>52</v>
      </c>
      <c r="W208" s="13" t="s">
        <v>36</v>
      </c>
      <c r="X208" s="13">
        <v>16</v>
      </c>
      <c r="Y208" s="13">
        <v>3</v>
      </c>
      <c r="Z208" s="13">
        <v>1</v>
      </c>
      <c r="AA208" s="13">
        <v>80</v>
      </c>
      <c r="AB208" s="13">
        <v>1</v>
      </c>
      <c r="AC208" s="13">
        <v>4</v>
      </c>
      <c r="AD208" s="13">
        <v>2</v>
      </c>
      <c r="AE208" s="13">
        <v>2</v>
      </c>
      <c r="AF208" s="14">
        <v>4</v>
      </c>
      <c r="AG208" s="13">
        <v>2</v>
      </c>
      <c r="AH208" s="13">
        <v>2</v>
      </c>
      <c r="AI208" s="13">
        <v>2</v>
      </c>
      <c r="AJ208" s="13" t="str">
        <f t="shared" si="3"/>
        <v>Under 30</v>
      </c>
      <c r="AK208" s="13" t="str">
        <f>IF(tblCleanData[[#This Row],[MonthlyIncome]]&lt;5000, "Low Income", IF(tblCleanData[[#This Row],[MonthlyIncome]]&lt;15000, "Medium Income", "High Income"))</f>
        <v>Low Income</v>
      </c>
      <c r="AL208" s="13">
        <f>IF(tblCleanData[[#This Row],[Attrition]]="No", 0,1)</f>
        <v>0</v>
      </c>
      <c r="AM208" s="13">
        <f>IF(tblCleanData[[#This Row],[OverTime]] = "No", 0, 1)</f>
        <v>1</v>
      </c>
      <c r="AN208" s="13" t="str">
        <f>CHOOSE(tblCleanData[[#This Row],[Education]], "Below College","College","Bachelor","Master","Doctor")</f>
        <v>Bachelor</v>
      </c>
      <c r="AO208" s="13" t="str">
        <f>VLOOKUP(tblCleanData[[#This Row],[EmployeeNumber]],tblHelpers[],15,TRUE)</f>
        <v>High Risk</v>
      </c>
      <c r="AP208" s="13">
        <f>VLOOKUP(tblCleanData[[#This Row],[EmployeeNumber]],tblHelpers[],14,0)</f>
        <v>94</v>
      </c>
    </row>
    <row r="209" spans="1:42" x14ac:dyDescent="0.25">
      <c r="A209" s="13">
        <v>36</v>
      </c>
      <c r="B209" s="13" t="s">
        <v>59</v>
      </c>
      <c r="C209" s="13" t="s">
        <v>60</v>
      </c>
      <c r="D209" s="13">
        <v>635</v>
      </c>
      <c r="E209" s="13" t="s">
        <v>62</v>
      </c>
      <c r="F209" s="13">
        <v>18</v>
      </c>
      <c r="G209" s="13">
        <v>1</v>
      </c>
      <c r="H209" s="13" t="s">
        <v>87</v>
      </c>
      <c r="I209" s="13">
        <v>1</v>
      </c>
      <c r="J209" s="13">
        <v>286</v>
      </c>
      <c r="K209" s="13">
        <v>2</v>
      </c>
      <c r="L209" s="13" t="s">
        <v>43</v>
      </c>
      <c r="M209" s="13">
        <v>73</v>
      </c>
      <c r="N209" s="13">
        <v>3</v>
      </c>
      <c r="O209" s="13">
        <v>1</v>
      </c>
      <c r="P209" s="13" t="s">
        <v>76</v>
      </c>
      <c r="Q209" s="13">
        <v>4</v>
      </c>
      <c r="R209" s="13" t="s">
        <v>48</v>
      </c>
      <c r="S209" s="20">
        <v>2153</v>
      </c>
      <c r="T209" s="13">
        <v>7703</v>
      </c>
      <c r="U209" s="13">
        <v>1</v>
      </c>
      <c r="V209" s="13" t="s">
        <v>52</v>
      </c>
      <c r="W209" s="13" t="s">
        <v>59</v>
      </c>
      <c r="X209" s="13">
        <v>13</v>
      </c>
      <c r="Y209" s="13">
        <v>3</v>
      </c>
      <c r="Z209" s="13">
        <v>1</v>
      </c>
      <c r="AA209" s="13">
        <v>80</v>
      </c>
      <c r="AB209" s="13">
        <v>0</v>
      </c>
      <c r="AC209" s="13">
        <v>8</v>
      </c>
      <c r="AD209" s="13">
        <v>2</v>
      </c>
      <c r="AE209" s="13">
        <v>3</v>
      </c>
      <c r="AF209" s="14">
        <v>8</v>
      </c>
      <c r="AG209" s="13">
        <v>1</v>
      </c>
      <c r="AH209" s="13">
        <v>1</v>
      </c>
      <c r="AI209" s="13">
        <v>7</v>
      </c>
      <c r="AJ209" s="13" t="str">
        <f t="shared" si="3"/>
        <v>30-39</v>
      </c>
      <c r="AK209" s="13" t="str">
        <f>IF(tblCleanData[[#This Row],[MonthlyIncome]]&lt;5000, "Low Income", IF(tblCleanData[[#This Row],[MonthlyIncome]]&lt;15000, "Medium Income", "High Income"))</f>
        <v>Low Income</v>
      </c>
      <c r="AL209" s="13">
        <f>IF(tblCleanData[[#This Row],[Attrition]]="No", 0,1)</f>
        <v>0</v>
      </c>
      <c r="AM209" s="13">
        <f>IF(tblCleanData[[#This Row],[OverTime]] = "No", 0, 1)</f>
        <v>0</v>
      </c>
      <c r="AN209" s="13" t="str">
        <f>CHOOSE(tblCleanData[[#This Row],[Education]], "Below College","College","Bachelor","Master","Doctor")</f>
        <v>Below College</v>
      </c>
      <c r="AO209" s="13" t="str">
        <f>VLOOKUP(tblCleanData[[#This Row],[EmployeeNumber]],tblHelpers[],15,TRUE)</f>
        <v>Medium Risk</v>
      </c>
      <c r="AP209" s="13">
        <f>VLOOKUP(tblCleanData[[#This Row],[EmployeeNumber]],tblHelpers[],14,0)</f>
        <v>39</v>
      </c>
    </row>
    <row r="210" spans="1:42" x14ac:dyDescent="0.25">
      <c r="A210" s="13">
        <v>40</v>
      </c>
      <c r="B210" s="13" t="s">
        <v>59</v>
      </c>
      <c r="C210" s="13" t="s">
        <v>161</v>
      </c>
      <c r="D210" s="13">
        <v>1151</v>
      </c>
      <c r="E210" s="13" t="s">
        <v>62</v>
      </c>
      <c r="F210" s="13">
        <v>9</v>
      </c>
      <c r="G210" s="13">
        <v>5</v>
      </c>
      <c r="H210" s="13" t="s">
        <v>42</v>
      </c>
      <c r="I210" s="13">
        <v>1</v>
      </c>
      <c r="J210" s="13">
        <v>287</v>
      </c>
      <c r="K210" s="13">
        <v>4</v>
      </c>
      <c r="L210" s="13" t="s">
        <v>63</v>
      </c>
      <c r="M210" s="13">
        <v>63</v>
      </c>
      <c r="N210" s="13">
        <v>2</v>
      </c>
      <c r="O210" s="13">
        <v>2</v>
      </c>
      <c r="P210" s="13" t="s">
        <v>122</v>
      </c>
      <c r="Q210" s="13">
        <v>4</v>
      </c>
      <c r="R210" s="13" t="s">
        <v>66</v>
      </c>
      <c r="S210" s="20">
        <v>4876</v>
      </c>
      <c r="T210" s="13">
        <v>14242</v>
      </c>
      <c r="U210" s="13">
        <v>9</v>
      </c>
      <c r="V210" s="13" t="s">
        <v>52</v>
      </c>
      <c r="W210" s="13" t="s">
        <v>59</v>
      </c>
      <c r="X210" s="13">
        <v>14</v>
      </c>
      <c r="Y210" s="13">
        <v>3</v>
      </c>
      <c r="Z210" s="13">
        <v>4</v>
      </c>
      <c r="AA210" s="13">
        <v>80</v>
      </c>
      <c r="AB210" s="13">
        <v>1</v>
      </c>
      <c r="AC210" s="13">
        <v>5</v>
      </c>
      <c r="AD210" s="13">
        <v>5</v>
      </c>
      <c r="AE210" s="13">
        <v>1</v>
      </c>
      <c r="AF210" s="14">
        <v>3</v>
      </c>
      <c r="AG210" s="13">
        <v>2</v>
      </c>
      <c r="AH210" s="13">
        <v>0</v>
      </c>
      <c r="AI210" s="13">
        <v>2</v>
      </c>
      <c r="AJ210" s="13" t="str">
        <f t="shared" si="3"/>
        <v>40-49</v>
      </c>
      <c r="AK210" s="13" t="str">
        <f>IF(tblCleanData[[#This Row],[MonthlyIncome]]&lt;5000, "Low Income", IF(tblCleanData[[#This Row],[MonthlyIncome]]&lt;15000, "Medium Income", "High Income"))</f>
        <v>Low Income</v>
      </c>
      <c r="AL210" s="13">
        <f>IF(tblCleanData[[#This Row],[Attrition]]="No", 0,1)</f>
        <v>0</v>
      </c>
      <c r="AM210" s="13">
        <f>IF(tblCleanData[[#This Row],[OverTime]] = "No", 0, 1)</f>
        <v>0</v>
      </c>
      <c r="AN210" s="13" t="str">
        <f>CHOOSE(tblCleanData[[#This Row],[Education]], "Below College","College","Bachelor","Master","Doctor")</f>
        <v>Doctor</v>
      </c>
      <c r="AO210" s="13" t="str">
        <f>VLOOKUP(tblCleanData[[#This Row],[EmployeeNumber]],tblHelpers[],15,TRUE)</f>
        <v>Medium Risk</v>
      </c>
      <c r="AP210" s="13">
        <f>VLOOKUP(tblCleanData[[#This Row],[EmployeeNumber]],tblHelpers[],14,0)</f>
        <v>36</v>
      </c>
    </row>
    <row r="211" spans="1:42" x14ac:dyDescent="0.25">
      <c r="A211" s="13">
        <v>46</v>
      </c>
      <c r="B211" s="13" t="s">
        <v>59</v>
      </c>
      <c r="C211" s="13" t="s">
        <v>37</v>
      </c>
      <c r="D211" s="13">
        <v>644</v>
      </c>
      <c r="E211" s="13" t="s">
        <v>62</v>
      </c>
      <c r="F211" s="13">
        <v>1</v>
      </c>
      <c r="G211" s="13">
        <v>4</v>
      </c>
      <c r="H211" s="13" t="s">
        <v>87</v>
      </c>
      <c r="I211" s="13">
        <v>1</v>
      </c>
      <c r="J211" s="13">
        <v>288</v>
      </c>
      <c r="K211" s="13">
        <v>4</v>
      </c>
      <c r="L211" s="13" t="s">
        <v>63</v>
      </c>
      <c r="M211" s="13">
        <v>97</v>
      </c>
      <c r="N211" s="13">
        <v>3</v>
      </c>
      <c r="O211" s="13">
        <v>3</v>
      </c>
      <c r="P211" s="13" t="s">
        <v>122</v>
      </c>
      <c r="Q211" s="13">
        <v>1</v>
      </c>
      <c r="R211" s="13" t="s">
        <v>109</v>
      </c>
      <c r="S211" s="20">
        <v>9396</v>
      </c>
      <c r="T211" s="13">
        <v>12368</v>
      </c>
      <c r="U211" s="13">
        <v>7</v>
      </c>
      <c r="V211" s="13" t="s">
        <v>52</v>
      </c>
      <c r="W211" s="13" t="s">
        <v>59</v>
      </c>
      <c r="X211" s="13">
        <v>16</v>
      </c>
      <c r="Y211" s="13">
        <v>3</v>
      </c>
      <c r="Z211" s="13">
        <v>3</v>
      </c>
      <c r="AA211" s="13">
        <v>80</v>
      </c>
      <c r="AB211" s="13">
        <v>1</v>
      </c>
      <c r="AC211" s="13">
        <v>17</v>
      </c>
      <c r="AD211" s="13">
        <v>3</v>
      </c>
      <c r="AE211" s="13">
        <v>3</v>
      </c>
      <c r="AF211" s="14">
        <v>4</v>
      </c>
      <c r="AG211" s="13">
        <v>2</v>
      </c>
      <c r="AH211" s="13">
        <v>0</v>
      </c>
      <c r="AI211" s="13">
        <v>3</v>
      </c>
      <c r="AJ211" s="13" t="str">
        <f t="shared" si="3"/>
        <v>40-49</v>
      </c>
      <c r="AK211" s="13" t="str">
        <f>IF(tblCleanData[[#This Row],[MonthlyIncome]]&lt;5000, "Low Income", IF(tblCleanData[[#This Row],[MonthlyIncome]]&lt;15000, "Medium Income", "High Income"))</f>
        <v>Medium Income</v>
      </c>
      <c r="AL211" s="13">
        <f>IF(tblCleanData[[#This Row],[Attrition]]="No", 0,1)</f>
        <v>0</v>
      </c>
      <c r="AM211" s="13">
        <f>IF(tblCleanData[[#This Row],[OverTime]] = "No", 0, 1)</f>
        <v>0</v>
      </c>
      <c r="AN211" s="13" t="str">
        <f>CHOOSE(tblCleanData[[#This Row],[Education]], "Below College","College","Bachelor","Master","Doctor")</f>
        <v>Master</v>
      </c>
      <c r="AO211" s="13" t="str">
        <f>VLOOKUP(tblCleanData[[#This Row],[EmployeeNumber]],tblHelpers[],15,TRUE)</f>
        <v>High Risk</v>
      </c>
      <c r="AP211" s="13">
        <f>VLOOKUP(tblCleanData[[#This Row],[EmployeeNumber]],tblHelpers[],14,0)</f>
        <v>55</v>
      </c>
    </row>
    <row r="212" spans="1:42" x14ac:dyDescent="0.25">
      <c r="A212" s="13">
        <v>32</v>
      </c>
      <c r="B212" s="13" t="s">
        <v>36</v>
      </c>
      <c r="C212" s="13" t="s">
        <v>37</v>
      </c>
      <c r="D212" s="13">
        <v>1045</v>
      </c>
      <c r="E212" s="13" t="s">
        <v>39</v>
      </c>
      <c r="F212" s="13">
        <v>4</v>
      </c>
      <c r="G212" s="13">
        <v>4</v>
      </c>
      <c r="H212" s="13" t="s">
        <v>87</v>
      </c>
      <c r="I212" s="13">
        <v>1</v>
      </c>
      <c r="J212" s="13">
        <v>291</v>
      </c>
      <c r="K212" s="13">
        <v>4</v>
      </c>
      <c r="L212" s="13" t="s">
        <v>63</v>
      </c>
      <c r="M212" s="13">
        <v>32</v>
      </c>
      <c r="N212" s="13">
        <v>1</v>
      </c>
      <c r="O212" s="13">
        <v>3</v>
      </c>
      <c r="P212" s="13" t="s">
        <v>46</v>
      </c>
      <c r="Q212" s="13">
        <v>4</v>
      </c>
      <c r="R212" s="13" t="s">
        <v>66</v>
      </c>
      <c r="S212" s="20">
        <v>10400</v>
      </c>
      <c r="T212" s="13">
        <v>25812</v>
      </c>
      <c r="U212" s="13">
        <v>1</v>
      </c>
      <c r="V212" s="13" t="s">
        <v>52</v>
      </c>
      <c r="W212" s="13" t="s">
        <v>59</v>
      </c>
      <c r="X212" s="13">
        <v>11</v>
      </c>
      <c r="Y212" s="13">
        <v>3</v>
      </c>
      <c r="Z212" s="13">
        <v>3</v>
      </c>
      <c r="AA212" s="13">
        <v>80</v>
      </c>
      <c r="AB212" s="13">
        <v>0</v>
      </c>
      <c r="AC212" s="13">
        <v>14</v>
      </c>
      <c r="AD212" s="13">
        <v>2</v>
      </c>
      <c r="AE212" s="13">
        <v>2</v>
      </c>
      <c r="AF212" s="14">
        <v>14</v>
      </c>
      <c r="AG212" s="13">
        <v>8</v>
      </c>
      <c r="AH212" s="13">
        <v>9</v>
      </c>
      <c r="AI212" s="13">
        <v>8</v>
      </c>
      <c r="AJ212" s="13" t="str">
        <f t="shared" si="3"/>
        <v>30-39</v>
      </c>
      <c r="AK212" s="13" t="str">
        <f>IF(tblCleanData[[#This Row],[MonthlyIncome]]&lt;5000, "Low Income", IF(tblCleanData[[#This Row],[MonthlyIncome]]&lt;15000, "Medium Income", "High Income"))</f>
        <v>Medium Income</v>
      </c>
      <c r="AL212" s="13">
        <f>IF(tblCleanData[[#This Row],[Attrition]]="No", 0,1)</f>
        <v>1</v>
      </c>
      <c r="AM212" s="13">
        <f>IF(tblCleanData[[#This Row],[OverTime]] = "No", 0, 1)</f>
        <v>0</v>
      </c>
      <c r="AN212" s="13" t="str">
        <f>CHOOSE(tblCleanData[[#This Row],[Education]], "Below College","College","Bachelor","Master","Doctor")</f>
        <v>Master</v>
      </c>
      <c r="AO212" s="13" t="str">
        <f>VLOOKUP(tblCleanData[[#This Row],[EmployeeNumber]],tblHelpers[],15,TRUE)</f>
        <v>Low Risk</v>
      </c>
      <c r="AP212" s="13">
        <f>VLOOKUP(tblCleanData[[#This Row],[EmployeeNumber]],tblHelpers[],14,0)</f>
        <v>34</v>
      </c>
    </row>
    <row r="213" spans="1:42" x14ac:dyDescent="0.25">
      <c r="A213" s="13">
        <v>30</v>
      </c>
      <c r="B213" s="13" t="s">
        <v>59</v>
      </c>
      <c r="C213" s="13" t="s">
        <v>161</v>
      </c>
      <c r="D213" s="13">
        <v>829</v>
      </c>
      <c r="E213" s="13" t="s">
        <v>62</v>
      </c>
      <c r="F213" s="13">
        <v>1</v>
      </c>
      <c r="G213" s="13">
        <v>1</v>
      </c>
      <c r="H213" s="13" t="s">
        <v>42</v>
      </c>
      <c r="I213" s="13">
        <v>1</v>
      </c>
      <c r="J213" s="13">
        <v>292</v>
      </c>
      <c r="K213" s="13">
        <v>3</v>
      </c>
      <c r="L213" s="13" t="s">
        <v>63</v>
      </c>
      <c r="M213" s="13">
        <v>88</v>
      </c>
      <c r="N213" s="13">
        <v>2</v>
      </c>
      <c r="O213" s="13">
        <v>3</v>
      </c>
      <c r="P213" s="13" t="s">
        <v>116</v>
      </c>
      <c r="Q213" s="13">
        <v>3</v>
      </c>
      <c r="R213" s="13" t="s">
        <v>48</v>
      </c>
      <c r="S213" s="20">
        <v>8474</v>
      </c>
      <c r="T213" s="13">
        <v>20925</v>
      </c>
      <c r="U213" s="13">
        <v>1</v>
      </c>
      <c r="V213" s="13" t="s">
        <v>52</v>
      </c>
      <c r="W213" s="13" t="s">
        <v>59</v>
      </c>
      <c r="X213" s="13">
        <v>22</v>
      </c>
      <c r="Y213" s="13">
        <v>4</v>
      </c>
      <c r="Z213" s="13">
        <v>3</v>
      </c>
      <c r="AA213" s="13">
        <v>80</v>
      </c>
      <c r="AB213" s="13">
        <v>0</v>
      </c>
      <c r="AC213" s="13">
        <v>12</v>
      </c>
      <c r="AD213" s="13">
        <v>2</v>
      </c>
      <c r="AE213" s="13">
        <v>3</v>
      </c>
      <c r="AF213" s="14">
        <v>11</v>
      </c>
      <c r="AG213" s="13">
        <v>8</v>
      </c>
      <c r="AH213" s="13">
        <v>5</v>
      </c>
      <c r="AI213" s="13">
        <v>8</v>
      </c>
      <c r="AJ213" s="13" t="str">
        <f t="shared" si="3"/>
        <v>30-39</v>
      </c>
      <c r="AK213" s="13" t="str">
        <f>IF(tblCleanData[[#This Row],[MonthlyIncome]]&lt;5000, "Low Income", IF(tblCleanData[[#This Row],[MonthlyIncome]]&lt;15000, "Medium Income", "High Income"))</f>
        <v>Medium Income</v>
      </c>
      <c r="AL213" s="13">
        <f>IF(tblCleanData[[#This Row],[Attrition]]="No", 0,1)</f>
        <v>0</v>
      </c>
      <c r="AM213" s="13">
        <f>IF(tblCleanData[[#This Row],[OverTime]] = "No", 0, 1)</f>
        <v>0</v>
      </c>
      <c r="AN213" s="13" t="str">
        <f>CHOOSE(tblCleanData[[#This Row],[Education]], "Below College","College","Bachelor","Master","Doctor")</f>
        <v>Below College</v>
      </c>
      <c r="AO213" s="13" t="str">
        <f>VLOOKUP(tblCleanData[[#This Row],[EmployeeNumber]],tblHelpers[],15,TRUE)</f>
        <v>Medium Risk</v>
      </c>
      <c r="AP213" s="13">
        <f>VLOOKUP(tblCleanData[[#This Row],[EmployeeNumber]],tblHelpers[],14,0)</f>
        <v>41</v>
      </c>
    </row>
    <row r="214" spans="1:42" x14ac:dyDescent="0.25">
      <c r="A214" s="13">
        <v>27</v>
      </c>
      <c r="B214" s="13" t="s">
        <v>59</v>
      </c>
      <c r="C214" s="13" t="s">
        <v>60</v>
      </c>
      <c r="D214" s="13">
        <v>1242</v>
      </c>
      <c r="E214" s="13" t="s">
        <v>39</v>
      </c>
      <c r="F214" s="13">
        <v>20</v>
      </c>
      <c r="G214" s="13">
        <v>3</v>
      </c>
      <c r="H214" s="13" t="s">
        <v>42</v>
      </c>
      <c r="I214" s="13">
        <v>1</v>
      </c>
      <c r="J214" s="13">
        <v>293</v>
      </c>
      <c r="K214" s="13">
        <v>4</v>
      </c>
      <c r="L214" s="13" t="s">
        <v>43</v>
      </c>
      <c r="M214" s="13">
        <v>90</v>
      </c>
      <c r="N214" s="13">
        <v>3</v>
      </c>
      <c r="O214" s="13">
        <v>2</v>
      </c>
      <c r="P214" s="13" t="s">
        <v>46</v>
      </c>
      <c r="Q214" s="13">
        <v>3</v>
      </c>
      <c r="R214" s="13" t="s">
        <v>48</v>
      </c>
      <c r="S214" s="20">
        <v>9981</v>
      </c>
      <c r="T214" s="13">
        <v>12916</v>
      </c>
      <c r="U214" s="13">
        <v>1</v>
      </c>
      <c r="V214" s="13" t="s">
        <v>52</v>
      </c>
      <c r="W214" s="13" t="s">
        <v>59</v>
      </c>
      <c r="X214" s="13">
        <v>14</v>
      </c>
      <c r="Y214" s="13">
        <v>3</v>
      </c>
      <c r="Z214" s="13">
        <v>4</v>
      </c>
      <c r="AA214" s="13">
        <v>80</v>
      </c>
      <c r="AB214" s="13">
        <v>0</v>
      </c>
      <c r="AC214" s="13">
        <v>7</v>
      </c>
      <c r="AD214" s="13">
        <v>2</v>
      </c>
      <c r="AE214" s="13">
        <v>3</v>
      </c>
      <c r="AF214" s="14">
        <v>7</v>
      </c>
      <c r="AG214" s="13">
        <v>7</v>
      </c>
      <c r="AH214" s="13">
        <v>0</v>
      </c>
      <c r="AI214" s="13">
        <v>7</v>
      </c>
      <c r="AJ214" s="13" t="str">
        <f t="shared" si="3"/>
        <v>Under 30</v>
      </c>
      <c r="AK214" s="13" t="str">
        <f>IF(tblCleanData[[#This Row],[MonthlyIncome]]&lt;5000, "Low Income", IF(tblCleanData[[#This Row],[MonthlyIncome]]&lt;15000, "Medium Income", "High Income"))</f>
        <v>Medium Income</v>
      </c>
      <c r="AL214" s="13">
        <f>IF(tblCleanData[[#This Row],[Attrition]]="No", 0,1)</f>
        <v>0</v>
      </c>
      <c r="AM214" s="13">
        <f>IF(tblCleanData[[#This Row],[OverTime]] = "No", 0, 1)</f>
        <v>0</v>
      </c>
      <c r="AN214" s="13" t="str">
        <f>CHOOSE(tblCleanData[[#This Row],[Education]], "Below College","College","Bachelor","Master","Doctor")</f>
        <v>Bachelor</v>
      </c>
      <c r="AO214" s="13" t="str">
        <f>VLOOKUP(tblCleanData[[#This Row],[EmployeeNumber]],tblHelpers[],15,TRUE)</f>
        <v>High Risk</v>
      </c>
      <c r="AP214" s="13">
        <f>VLOOKUP(tblCleanData[[#This Row],[EmployeeNumber]],tblHelpers[],14,0)</f>
        <v>56</v>
      </c>
    </row>
    <row r="215" spans="1:42" x14ac:dyDescent="0.25">
      <c r="A215" s="13">
        <v>51</v>
      </c>
      <c r="B215" s="13" t="s">
        <v>59</v>
      </c>
      <c r="C215" s="13" t="s">
        <v>37</v>
      </c>
      <c r="D215" s="13">
        <v>1469</v>
      </c>
      <c r="E215" s="13" t="s">
        <v>62</v>
      </c>
      <c r="F215" s="13">
        <v>8</v>
      </c>
      <c r="G215" s="13">
        <v>4</v>
      </c>
      <c r="H215" s="13" t="s">
        <v>42</v>
      </c>
      <c r="I215" s="13">
        <v>1</v>
      </c>
      <c r="J215" s="13">
        <v>296</v>
      </c>
      <c r="K215" s="13">
        <v>2</v>
      </c>
      <c r="L215" s="13" t="s">
        <v>63</v>
      </c>
      <c r="M215" s="13">
        <v>81</v>
      </c>
      <c r="N215" s="13">
        <v>2</v>
      </c>
      <c r="O215" s="13">
        <v>3</v>
      </c>
      <c r="P215" s="13" t="s">
        <v>186</v>
      </c>
      <c r="Q215" s="13">
        <v>2</v>
      </c>
      <c r="R215" s="13" t="s">
        <v>66</v>
      </c>
      <c r="S215" s="20">
        <v>12490</v>
      </c>
      <c r="T215" s="13">
        <v>15736</v>
      </c>
      <c r="U215" s="13">
        <v>5</v>
      </c>
      <c r="V215" s="13" t="s">
        <v>52</v>
      </c>
      <c r="W215" s="13" t="s">
        <v>59</v>
      </c>
      <c r="X215" s="13">
        <v>16</v>
      </c>
      <c r="Y215" s="13">
        <v>3</v>
      </c>
      <c r="Z215" s="13">
        <v>4</v>
      </c>
      <c r="AA215" s="13">
        <v>80</v>
      </c>
      <c r="AB215" s="13">
        <v>2</v>
      </c>
      <c r="AC215" s="13">
        <v>16</v>
      </c>
      <c r="AD215" s="13">
        <v>5</v>
      </c>
      <c r="AE215" s="13">
        <v>1</v>
      </c>
      <c r="AF215" s="14">
        <v>10</v>
      </c>
      <c r="AG215" s="13">
        <v>9</v>
      </c>
      <c r="AH215" s="13">
        <v>4</v>
      </c>
      <c r="AI215" s="13">
        <v>7</v>
      </c>
      <c r="AJ215" s="13" t="str">
        <f t="shared" si="3"/>
        <v>50+</v>
      </c>
      <c r="AK215" s="13" t="str">
        <f>IF(tblCleanData[[#This Row],[MonthlyIncome]]&lt;5000, "Low Income", IF(tblCleanData[[#This Row],[MonthlyIncome]]&lt;15000, "Medium Income", "High Income"))</f>
        <v>Medium Income</v>
      </c>
      <c r="AL215" s="13">
        <f>IF(tblCleanData[[#This Row],[Attrition]]="No", 0,1)</f>
        <v>0</v>
      </c>
      <c r="AM215" s="13">
        <f>IF(tblCleanData[[#This Row],[OverTime]] = "No", 0, 1)</f>
        <v>0</v>
      </c>
      <c r="AN215" s="13" t="str">
        <f>CHOOSE(tblCleanData[[#This Row],[Education]], "Below College","College","Bachelor","Master","Doctor")</f>
        <v>Master</v>
      </c>
      <c r="AO215" s="13" t="str">
        <f>VLOOKUP(tblCleanData[[#This Row],[EmployeeNumber]],tblHelpers[],15,TRUE)</f>
        <v>Medium Risk</v>
      </c>
      <c r="AP215" s="13">
        <f>VLOOKUP(tblCleanData[[#This Row],[EmployeeNumber]],tblHelpers[],14,0)</f>
        <v>47</v>
      </c>
    </row>
    <row r="216" spans="1:42" x14ac:dyDescent="0.25">
      <c r="A216" s="13">
        <v>30</v>
      </c>
      <c r="B216" s="13" t="s">
        <v>36</v>
      </c>
      <c r="C216" s="13" t="s">
        <v>37</v>
      </c>
      <c r="D216" s="13">
        <v>1005</v>
      </c>
      <c r="E216" s="13" t="s">
        <v>62</v>
      </c>
      <c r="F216" s="13">
        <v>3</v>
      </c>
      <c r="G216" s="13">
        <v>3</v>
      </c>
      <c r="H216" s="13" t="s">
        <v>228</v>
      </c>
      <c r="I216" s="13">
        <v>1</v>
      </c>
      <c r="J216" s="13">
        <v>297</v>
      </c>
      <c r="K216" s="13">
        <v>4</v>
      </c>
      <c r="L216" s="13" t="s">
        <v>43</v>
      </c>
      <c r="M216" s="13">
        <v>88</v>
      </c>
      <c r="N216" s="13">
        <v>3</v>
      </c>
      <c r="O216" s="13">
        <v>1</v>
      </c>
      <c r="P216" s="13" t="s">
        <v>65</v>
      </c>
      <c r="Q216" s="13">
        <v>1</v>
      </c>
      <c r="R216" s="13" t="s">
        <v>48</v>
      </c>
      <c r="S216" s="20">
        <v>2657</v>
      </c>
      <c r="T216" s="13">
        <v>8556</v>
      </c>
      <c r="U216" s="13">
        <v>5</v>
      </c>
      <c r="V216" s="13" t="s">
        <v>52</v>
      </c>
      <c r="W216" s="13" t="s">
        <v>36</v>
      </c>
      <c r="X216" s="13">
        <v>11</v>
      </c>
      <c r="Y216" s="13">
        <v>3</v>
      </c>
      <c r="Z216" s="13">
        <v>3</v>
      </c>
      <c r="AA216" s="13">
        <v>80</v>
      </c>
      <c r="AB216" s="13">
        <v>0</v>
      </c>
      <c r="AC216" s="13">
        <v>8</v>
      </c>
      <c r="AD216" s="13">
        <v>5</v>
      </c>
      <c r="AE216" s="13">
        <v>3</v>
      </c>
      <c r="AF216" s="14">
        <v>5</v>
      </c>
      <c r="AG216" s="13">
        <v>2</v>
      </c>
      <c r="AH216" s="13">
        <v>0</v>
      </c>
      <c r="AI216" s="13">
        <v>4</v>
      </c>
      <c r="AJ216" s="13" t="str">
        <f t="shared" si="3"/>
        <v>30-39</v>
      </c>
      <c r="AK216" s="13" t="str">
        <f>IF(tblCleanData[[#This Row],[MonthlyIncome]]&lt;5000, "Low Income", IF(tblCleanData[[#This Row],[MonthlyIncome]]&lt;15000, "Medium Income", "High Income"))</f>
        <v>Low Income</v>
      </c>
      <c r="AL216" s="13">
        <f>IF(tblCleanData[[#This Row],[Attrition]]="No", 0,1)</f>
        <v>1</v>
      </c>
      <c r="AM216" s="13">
        <f>IF(tblCleanData[[#This Row],[OverTime]] = "No", 0, 1)</f>
        <v>1</v>
      </c>
      <c r="AN216" s="13" t="str">
        <f>CHOOSE(tblCleanData[[#This Row],[Education]], "Below College","College","Bachelor","Master","Doctor")</f>
        <v>Bachelor</v>
      </c>
      <c r="AO216" s="13" t="str">
        <f>VLOOKUP(tblCleanData[[#This Row],[EmployeeNumber]],tblHelpers[],15,TRUE)</f>
        <v>High Risk</v>
      </c>
      <c r="AP216" s="13">
        <f>VLOOKUP(tblCleanData[[#This Row],[EmployeeNumber]],tblHelpers[],14,0)</f>
        <v>90</v>
      </c>
    </row>
    <row r="217" spans="1:42" x14ac:dyDescent="0.25">
      <c r="A217" s="13">
        <v>41</v>
      </c>
      <c r="B217" s="13" t="s">
        <v>59</v>
      </c>
      <c r="C217" s="13" t="s">
        <v>37</v>
      </c>
      <c r="D217" s="13">
        <v>896</v>
      </c>
      <c r="E217" s="13" t="s">
        <v>39</v>
      </c>
      <c r="F217" s="13">
        <v>6</v>
      </c>
      <c r="G217" s="13">
        <v>3</v>
      </c>
      <c r="H217" s="13" t="s">
        <v>42</v>
      </c>
      <c r="I217" s="13">
        <v>1</v>
      </c>
      <c r="J217" s="13">
        <v>298</v>
      </c>
      <c r="K217" s="13">
        <v>4</v>
      </c>
      <c r="L217" s="13" t="s">
        <v>43</v>
      </c>
      <c r="M217" s="13">
        <v>75</v>
      </c>
      <c r="N217" s="13">
        <v>3</v>
      </c>
      <c r="O217" s="13">
        <v>3</v>
      </c>
      <c r="P217" s="13" t="s">
        <v>169</v>
      </c>
      <c r="Q217" s="13">
        <v>4</v>
      </c>
      <c r="R217" s="13" t="s">
        <v>48</v>
      </c>
      <c r="S217" s="20">
        <v>13591</v>
      </c>
      <c r="T217" s="13">
        <v>14674</v>
      </c>
      <c r="U217" s="13">
        <v>3</v>
      </c>
      <c r="V217" s="13" t="s">
        <v>52</v>
      </c>
      <c r="W217" s="13" t="s">
        <v>36</v>
      </c>
      <c r="X217" s="13">
        <v>18</v>
      </c>
      <c r="Y217" s="13">
        <v>3</v>
      </c>
      <c r="Z217" s="13">
        <v>3</v>
      </c>
      <c r="AA217" s="13">
        <v>80</v>
      </c>
      <c r="AB217" s="13">
        <v>0</v>
      </c>
      <c r="AC217" s="13">
        <v>16</v>
      </c>
      <c r="AD217" s="13">
        <v>3</v>
      </c>
      <c r="AE217" s="13">
        <v>3</v>
      </c>
      <c r="AF217" s="14">
        <v>1</v>
      </c>
      <c r="AG217" s="13">
        <v>0</v>
      </c>
      <c r="AH217" s="13">
        <v>0</v>
      </c>
      <c r="AI217" s="13">
        <v>0</v>
      </c>
      <c r="AJ217" s="13" t="str">
        <f t="shared" si="3"/>
        <v>40-49</v>
      </c>
      <c r="AK217" s="13" t="str">
        <f>IF(tblCleanData[[#This Row],[MonthlyIncome]]&lt;5000, "Low Income", IF(tblCleanData[[#This Row],[MonthlyIncome]]&lt;15000, "Medium Income", "High Income"))</f>
        <v>Medium Income</v>
      </c>
      <c r="AL217" s="13">
        <f>IF(tblCleanData[[#This Row],[Attrition]]="No", 0,1)</f>
        <v>0</v>
      </c>
      <c r="AM217" s="13">
        <f>IF(tblCleanData[[#This Row],[OverTime]] = "No", 0, 1)</f>
        <v>1</v>
      </c>
      <c r="AN217" s="13" t="str">
        <f>CHOOSE(tblCleanData[[#This Row],[Education]], "Below College","College","Bachelor","Master","Doctor")</f>
        <v>Bachelor</v>
      </c>
      <c r="AO217" s="13" t="str">
        <f>VLOOKUP(tblCleanData[[#This Row],[EmployeeNumber]],tblHelpers[],15,TRUE)</f>
        <v>High Risk</v>
      </c>
      <c r="AP217" s="13">
        <f>VLOOKUP(tblCleanData[[#This Row],[EmployeeNumber]],tblHelpers[],14,0)</f>
        <v>71</v>
      </c>
    </row>
    <row r="218" spans="1:42" x14ac:dyDescent="0.25">
      <c r="A218" s="13">
        <v>30</v>
      </c>
      <c r="B218" s="13" t="s">
        <v>36</v>
      </c>
      <c r="C218" s="13" t="s">
        <v>60</v>
      </c>
      <c r="D218" s="13">
        <v>334</v>
      </c>
      <c r="E218" s="13" t="s">
        <v>39</v>
      </c>
      <c r="F218" s="13">
        <v>26</v>
      </c>
      <c r="G218" s="13">
        <v>4</v>
      </c>
      <c r="H218" s="13" t="s">
        <v>206</v>
      </c>
      <c r="I218" s="13">
        <v>1</v>
      </c>
      <c r="J218" s="13">
        <v>299</v>
      </c>
      <c r="K218" s="13">
        <v>3</v>
      </c>
      <c r="L218" s="13" t="s">
        <v>43</v>
      </c>
      <c r="M218" s="13">
        <v>52</v>
      </c>
      <c r="N218" s="13">
        <v>2</v>
      </c>
      <c r="O218" s="13">
        <v>2</v>
      </c>
      <c r="P218" s="13" t="s">
        <v>46</v>
      </c>
      <c r="Q218" s="13">
        <v>1</v>
      </c>
      <c r="R218" s="13" t="s">
        <v>48</v>
      </c>
      <c r="S218" s="20">
        <v>6696</v>
      </c>
      <c r="T218" s="13">
        <v>22967</v>
      </c>
      <c r="U218" s="13">
        <v>5</v>
      </c>
      <c r="V218" s="13" t="s">
        <v>52</v>
      </c>
      <c r="W218" s="13" t="s">
        <v>59</v>
      </c>
      <c r="X218" s="13">
        <v>15</v>
      </c>
      <c r="Y218" s="13">
        <v>3</v>
      </c>
      <c r="Z218" s="13">
        <v>3</v>
      </c>
      <c r="AA218" s="13">
        <v>80</v>
      </c>
      <c r="AB218" s="13">
        <v>0</v>
      </c>
      <c r="AC218" s="13">
        <v>9</v>
      </c>
      <c r="AD218" s="13">
        <v>5</v>
      </c>
      <c r="AE218" s="13">
        <v>2</v>
      </c>
      <c r="AF218" s="14">
        <v>6</v>
      </c>
      <c r="AG218" s="13">
        <v>3</v>
      </c>
      <c r="AH218" s="13">
        <v>0</v>
      </c>
      <c r="AI218" s="13">
        <v>1</v>
      </c>
      <c r="AJ218" s="13" t="str">
        <f t="shared" si="3"/>
        <v>30-39</v>
      </c>
      <c r="AK218" s="13" t="str">
        <f>IF(tblCleanData[[#This Row],[MonthlyIncome]]&lt;5000, "Low Income", IF(tblCleanData[[#This Row],[MonthlyIncome]]&lt;15000, "Medium Income", "High Income"))</f>
        <v>Medium Income</v>
      </c>
      <c r="AL218" s="13">
        <f>IF(tblCleanData[[#This Row],[Attrition]]="No", 0,1)</f>
        <v>1</v>
      </c>
      <c r="AM218" s="13">
        <f>IF(tblCleanData[[#This Row],[OverTime]] = "No", 0, 1)</f>
        <v>0</v>
      </c>
      <c r="AN218" s="13" t="str">
        <f>CHOOSE(tblCleanData[[#This Row],[Education]], "Below College","College","Bachelor","Master","Doctor")</f>
        <v>Master</v>
      </c>
      <c r="AO218" s="13" t="str">
        <f>VLOOKUP(tblCleanData[[#This Row],[EmployeeNumber]],tblHelpers[],15,TRUE)</f>
        <v>High Risk</v>
      </c>
      <c r="AP218" s="13">
        <f>VLOOKUP(tblCleanData[[#This Row],[EmployeeNumber]],tblHelpers[],14,0)</f>
        <v>58</v>
      </c>
    </row>
    <row r="219" spans="1:42" x14ac:dyDescent="0.25">
      <c r="A219" s="13">
        <v>29</v>
      </c>
      <c r="B219" s="13" t="s">
        <v>36</v>
      </c>
      <c r="C219" s="13" t="s">
        <v>37</v>
      </c>
      <c r="D219" s="13">
        <v>992</v>
      </c>
      <c r="E219" s="13" t="s">
        <v>62</v>
      </c>
      <c r="F219" s="13">
        <v>1</v>
      </c>
      <c r="G219" s="13">
        <v>3</v>
      </c>
      <c r="H219" s="13" t="s">
        <v>228</v>
      </c>
      <c r="I219" s="13">
        <v>1</v>
      </c>
      <c r="J219" s="13">
        <v>300</v>
      </c>
      <c r="K219" s="13">
        <v>3</v>
      </c>
      <c r="L219" s="13" t="s">
        <v>63</v>
      </c>
      <c r="M219" s="13">
        <v>85</v>
      </c>
      <c r="N219" s="13">
        <v>3</v>
      </c>
      <c r="O219" s="13">
        <v>1</v>
      </c>
      <c r="P219" s="13" t="s">
        <v>65</v>
      </c>
      <c r="Q219" s="13">
        <v>3</v>
      </c>
      <c r="R219" s="13" t="s">
        <v>48</v>
      </c>
      <c r="S219" s="20">
        <v>2058</v>
      </c>
      <c r="T219" s="13">
        <v>19757</v>
      </c>
      <c r="U219" s="13">
        <v>0</v>
      </c>
      <c r="V219" s="13" t="s">
        <v>52</v>
      </c>
      <c r="W219" s="13" t="s">
        <v>59</v>
      </c>
      <c r="X219" s="13">
        <v>14</v>
      </c>
      <c r="Y219" s="13">
        <v>3</v>
      </c>
      <c r="Z219" s="13">
        <v>4</v>
      </c>
      <c r="AA219" s="13">
        <v>80</v>
      </c>
      <c r="AB219" s="13">
        <v>0</v>
      </c>
      <c r="AC219" s="13">
        <v>7</v>
      </c>
      <c r="AD219" s="13">
        <v>1</v>
      </c>
      <c r="AE219" s="13">
        <v>2</v>
      </c>
      <c r="AF219" s="14">
        <v>6</v>
      </c>
      <c r="AG219" s="13">
        <v>2</v>
      </c>
      <c r="AH219" s="13">
        <v>1</v>
      </c>
      <c r="AI219" s="13">
        <v>5</v>
      </c>
      <c r="AJ219" s="13" t="str">
        <f t="shared" si="3"/>
        <v>Under 30</v>
      </c>
      <c r="AK219" s="13" t="str">
        <f>IF(tblCleanData[[#This Row],[MonthlyIncome]]&lt;5000, "Low Income", IF(tblCleanData[[#This Row],[MonthlyIncome]]&lt;15000, "Medium Income", "High Income"))</f>
        <v>Low Income</v>
      </c>
      <c r="AL219" s="13">
        <f>IF(tblCleanData[[#This Row],[Attrition]]="No", 0,1)</f>
        <v>1</v>
      </c>
      <c r="AM219" s="13">
        <f>IF(tblCleanData[[#This Row],[OverTime]] = "No", 0, 1)</f>
        <v>0</v>
      </c>
      <c r="AN219" s="13" t="str">
        <f>CHOOSE(tblCleanData[[#This Row],[Education]], "Below College","College","Bachelor","Master","Doctor")</f>
        <v>Bachelor</v>
      </c>
      <c r="AO219" s="13" t="str">
        <f>VLOOKUP(tblCleanData[[#This Row],[EmployeeNumber]],tblHelpers[],15,TRUE)</f>
        <v>High Risk</v>
      </c>
      <c r="AP219" s="13">
        <f>VLOOKUP(tblCleanData[[#This Row],[EmployeeNumber]],tblHelpers[],14,0)</f>
        <v>56</v>
      </c>
    </row>
    <row r="220" spans="1:42" x14ac:dyDescent="0.25">
      <c r="A220" s="13">
        <v>45</v>
      </c>
      <c r="B220" s="13" t="s">
        <v>59</v>
      </c>
      <c r="C220" s="13" t="s">
        <v>161</v>
      </c>
      <c r="D220" s="13">
        <v>1052</v>
      </c>
      <c r="E220" s="13" t="s">
        <v>39</v>
      </c>
      <c r="F220" s="13">
        <v>6</v>
      </c>
      <c r="G220" s="13">
        <v>3</v>
      </c>
      <c r="H220" s="13" t="s">
        <v>87</v>
      </c>
      <c r="I220" s="13">
        <v>1</v>
      </c>
      <c r="J220" s="13">
        <v>302</v>
      </c>
      <c r="K220" s="13">
        <v>4</v>
      </c>
      <c r="L220" s="13" t="s">
        <v>43</v>
      </c>
      <c r="M220" s="13">
        <v>57</v>
      </c>
      <c r="N220" s="13">
        <v>2</v>
      </c>
      <c r="O220" s="13">
        <v>3</v>
      </c>
      <c r="P220" s="13" t="s">
        <v>46</v>
      </c>
      <c r="Q220" s="13">
        <v>4</v>
      </c>
      <c r="R220" s="13" t="s">
        <v>48</v>
      </c>
      <c r="S220" s="20">
        <v>8865</v>
      </c>
      <c r="T220" s="13">
        <v>16840</v>
      </c>
      <c r="U220" s="13">
        <v>6</v>
      </c>
      <c r="V220" s="13" t="s">
        <v>52</v>
      </c>
      <c r="W220" s="13" t="s">
        <v>59</v>
      </c>
      <c r="X220" s="13">
        <v>12</v>
      </c>
      <c r="Y220" s="13">
        <v>3</v>
      </c>
      <c r="Z220" s="13">
        <v>4</v>
      </c>
      <c r="AA220" s="13">
        <v>80</v>
      </c>
      <c r="AB220" s="13">
        <v>0</v>
      </c>
      <c r="AC220" s="13">
        <v>23</v>
      </c>
      <c r="AD220" s="13">
        <v>2</v>
      </c>
      <c r="AE220" s="13">
        <v>3</v>
      </c>
      <c r="AF220" s="14">
        <v>19</v>
      </c>
      <c r="AG220" s="13">
        <v>7</v>
      </c>
      <c r="AH220" s="13">
        <v>12</v>
      </c>
      <c r="AI220" s="13">
        <v>8</v>
      </c>
      <c r="AJ220" s="13" t="str">
        <f t="shared" si="3"/>
        <v>40-49</v>
      </c>
      <c r="AK220" s="13" t="str">
        <f>IF(tblCleanData[[#This Row],[MonthlyIncome]]&lt;5000, "Low Income", IF(tblCleanData[[#This Row],[MonthlyIncome]]&lt;15000, "Medium Income", "High Income"))</f>
        <v>Medium Income</v>
      </c>
      <c r="AL220" s="13">
        <f>IF(tblCleanData[[#This Row],[Attrition]]="No", 0,1)</f>
        <v>0</v>
      </c>
      <c r="AM220" s="13">
        <f>IF(tblCleanData[[#This Row],[OverTime]] = "No", 0, 1)</f>
        <v>0</v>
      </c>
      <c r="AN220" s="13" t="str">
        <f>CHOOSE(tblCleanData[[#This Row],[Education]], "Below College","College","Bachelor","Master","Doctor")</f>
        <v>Bachelor</v>
      </c>
      <c r="AO220" s="13" t="str">
        <f>VLOOKUP(tblCleanData[[#This Row],[EmployeeNumber]],tblHelpers[],15,TRUE)</f>
        <v>Low Risk</v>
      </c>
      <c r="AP220" s="13">
        <f>VLOOKUP(tblCleanData[[#This Row],[EmployeeNumber]],tblHelpers[],14,0)</f>
        <v>24</v>
      </c>
    </row>
    <row r="221" spans="1:42" x14ac:dyDescent="0.25">
      <c r="A221" s="13">
        <v>54</v>
      </c>
      <c r="B221" s="13" t="s">
        <v>59</v>
      </c>
      <c r="C221" s="13" t="s">
        <v>37</v>
      </c>
      <c r="D221" s="13">
        <v>1147</v>
      </c>
      <c r="E221" s="13" t="s">
        <v>39</v>
      </c>
      <c r="F221" s="13">
        <v>3</v>
      </c>
      <c r="G221" s="13">
        <v>3</v>
      </c>
      <c r="H221" s="13" t="s">
        <v>206</v>
      </c>
      <c r="I221" s="13">
        <v>1</v>
      </c>
      <c r="J221" s="13">
        <v>303</v>
      </c>
      <c r="K221" s="13">
        <v>4</v>
      </c>
      <c r="L221" s="13" t="s">
        <v>43</v>
      </c>
      <c r="M221" s="13">
        <v>52</v>
      </c>
      <c r="N221" s="13">
        <v>3</v>
      </c>
      <c r="O221" s="13">
        <v>2</v>
      </c>
      <c r="P221" s="13" t="s">
        <v>46</v>
      </c>
      <c r="Q221" s="13">
        <v>1</v>
      </c>
      <c r="R221" s="13" t="s">
        <v>66</v>
      </c>
      <c r="S221" s="20">
        <v>5940</v>
      </c>
      <c r="T221" s="13">
        <v>17011</v>
      </c>
      <c r="U221" s="13">
        <v>2</v>
      </c>
      <c r="V221" s="13" t="s">
        <v>52</v>
      </c>
      <c r="W221" s="13" t="s">
        <v>59</v>
      </c>
      <c r="X221" s="13">
        <v>14</v>
      </c>
      <c r="Y221" s="13">
        <v>3</v>
      </c>
      <c r="Z221" s="13">
        <v>4</v>
      </c>
      <c r="AA221" s="13">
        <v>80</v>
      </c>
      <c r="AB221" s="13">
        <v>1</v>
      </c>
      <c r="AC221" s="13">
        <v>16</v>
      </c>
      <c r="AD221" s="13">
        <v>4</v>
      </c>
      <c r="AE221" s="13">
        <v>3</v>
      </c>
      <c r="AF221" s="14">
        <v>6</v>
      </c>
      <c r="AG221" s="13">
        <v>2</v>
      </c>
      <c r="AH221" s="13">
        <v>0</v>
      </c>
      <c r="AI221" s="13">
        <v>5</v>
      </c>
      <c r="AJ221" s="13" t="str">
        <f t="shared" si="3"/>
        <v>50+</v>
      </c>
      <c r="AK221" s="13" t="str">
        <f>IF(tblCleanData[[#This Row],[MonthlyIncome]]&lt;5000, "Low Income", IF(tblCleanData[[#This Row],[MonthlyIncome]]&lt;15000, "Medium Income", "High Income"))</f>
        <v>Medium Income</v>
      </c>
      <c r="AL221" s="13">
        <f>IF(tblCleanData[[#This Row],[Attrition]]="No", 0,1)</f>
        <v>0</v>
      </c>
      <c r="AM221" s="13">
        <f>IF(tblCleanData[[#This Row],[OverTime]] = "No", 0, 1)</f>
        <v>0</v>
      </c>
      <c r="AN221" s="13" t="str">
        <f>CHOOSE(tblCleanData[[#This Row],[Education]], "Below College","College","Bachelor","Master","Doctor")</f>
        <v>Bachelor</v>
      </c>
      <c r="AO221" s="13" t="str">
        <f>VLOOKUP(tblCleanData[[#This Row],[EmployeeNumber]],tblHelpers[],15,TRUE)</f>
        <v>Medium Risk</v>
      </c>
      <c r="AP221" s="13">
        <f>VLOOKUP(tblCleanData[[#This Row],[EmployeeNumber]],tblHelpers[],14,0)</f>
        <v>53</v>
      </c>
    </row>
    <row r="222" spans="1:42" x14ac:dyDescent="0.25">
      <c r="A222" s="13">
        <v>36</v>
      </c>
      <c r="B222" s="13" t="s">
        <v>59</v>
      </c>
      <c r="C222" s="13" t="s">
        <v>37</v>
      </c>
      <c r="D222" s="13">
        <v>1396</v>
      </c>
      <c r="E222" s="13" t="s">
        <v>62</v>
      </c>
      <c r="F222" s="13">
        <v>5</v>
      </c>
      <c r="G222" s="13">
        <v>2</v>
      </c>
      <c r="H222" s="13" t="s">
        <v>42</v>
      </c>
      <c r="I222" s="13">
        <v>1</v>
      </c>
      <c r="J222" s="13">
        <v>304</v>
      </c>
      <c r="K222" s="13">
        <v>4</v>
      </c>
      <c r="L222" s="13" t="s">
        <v>63</v>
      </c>
      <c r="M222" s="13">
        <v>62</v>
      </c>
      <c r="N222" s="13">
        <v>3</v>
      </c>
      <c r="O222" s="13">
        <v>2</v>
      </c>
      <c r="P222" s="13" t="s">
        <v>76</v>
      </c>
      <c r="Q222" s="13">
        <v>2</v>
      </c>
      <c r="R222" s="13" t="s">
        <v>48</v>
      </c>
      <c r="S222" s="20">
        <v>5914</v>
      </c>
      <c r="T222" s="13">
        <v>9945</v>
      </c>
      <c r="U222" s="13">
        <v>8</v>
      </c>
      <c r="V222" s="13" t="s">
        <v>52</v>
      </c>
      <c r="W222" s="13" t="s">
        <v>59</v>
      </c>
      <c r="X222" s="13">
        <v>16</v>
      </c>
      <c r="Y222" s="13">
        <v>3</v>
      </c>
      <c r="Z222" s="13">
        <v>4</v>
      </c>
      <c r="AA222" s="13">
        <v>80</v>
      </c>
      <c r="AB222" s="13">
        <v>0</v>
      </c>
      <c r="AC222" s="13">
        <v>16</v>
      </c>
      <c r="AD222" s="13">
        <v>3</v>
      </c>
      <c r="AE222" s="13">
        <v>4</v>
      </c>
      <c r="AF222" s="14">
        <v>13</v>
      </c>
      <c r="AG222" s="13">
        <v>11</v>
      </c>
      <c r="AH222" s="13">
        <v>3</v>
      </c>
      <c r="AI222" s="13">
        <v>7</v>
      </c>
      <c r="AJ222" s="13" t="str">
        <f t="shared" si="3"/>
        <v>30-39</v>
      </c>
      <c r="AK222" s="13" t="str">
        <f>IF(tblCleanData[[#This Row],[MonthlyIncome]]&lt;5000, "Low Income", IF(tblCleanData[[#This Row],[MonthlyIncome]]&lt;15000, "Medium Income", "High Income"))</f>
        <v>Medium Income</v>
      </c>
      <c r="AL222" s="13">
        <f>IF(tblCleanData[[#This Row],[Attrition]]="No", 0,1)</f>
        <v>0</v>
      </c>
      <c r="AM222" s="13">
        <f>IF(tblCleanData[[#This Row],[OverTime]] = "No", 0, 1)</f>
        <v>0</v>
      </c>
      <c r="AN222" s="13" t="str">
        <f>CHOOSE(tblCleanData[[#This Row],[Education]], "Below College","College","Bachelor","Master","Doctor")</f>
        <v>College</v>
      </c>
      <c r="AO222" s="13" t="str">
        <f>VLOOKUP(tblCleanData[[#This Row],[EmployeeNumber]],tblHelpers[],15,TRUE)</f>
        <v>Medium Risk</v>
      </c>
      <c r="AP222" s="13">
        <f>VLOOKUP(tblCleanData[[#This Row],[EmployeeNumber]],tblHelpers[],14,0)</f>
        <v>47</v>
      </c>
    </row>
    <row r="223" spans="1:42" x14ac:dyDescent="0.25">
      <c r="A223" s="13">
        <v>33</v>
      </c>
      <c r="B223" s="13" t="s">
        <v>59</v>
      </c>
      <c r="C223" s="13" t="s">
        <v>37</v>
      </c>
      <c r="D223" s="13">
        <v>147</v>
      </c>
      <c r="E223" s="13" t="s">
        <v>62</v>
      </c>
      <c r="F223" s="13">
        <v>4</v>
      </c>
      <c r="G223" s="13">
        <v>4</v>
      </c>
      <c r="H223" s="13" t="s">
        <v>87</v>
      </c>
      <c r="I223" s="13">
        <v>1</v>
      </c>
      <c r="J223" s="13">
        <v>305</v>
      </c>
      <c r="K223" s="13">
        <v>3</v>
      </c>
      <c r="L223" s="13" t="s">
        <v>43</v>
      </c>
      <c r="M223" s="13">
        <v>47</v>
      </c>
      <c r="N223" s="13">
        <v>2</v>
      </c>
      <c r="O223" s="13">
        <v>1</v>
      </c>
      <c r="P223" s="13" t="s">
        <v>65</v>
      </c>
      <c r="Q223" s="13">
        <v>2</v>
      </c>
      <c r="R223" s="13" t="s">
        <v>66</v>
      </c>
      <c r="S223" s="20">
        <v>2622</v>
      </c>
      <c r="T223" s="13">
        <v>13248</v>
      </c>
      <c r="U223" s="13">
        <v>6</v>
      </c>
      <c r="V223" s="13" t="s">
        <v>52</v>
      </c>
      <c r="W223" s="13" t="s">
        <v>59</v>
      </c>
      <c r="X223" s="13">
        <v>21</v>
      </c>
      <c r="Y223" s="13">
        <v>4</v>
      </c>
      <c r="Z223" s="13">
        <v>4</v>
      </c>
      <c r="AA223" s="13">
        <v>80</v>
      </c>
      <c r="AB223" s="13">
        <v>0</v>
      </c>
      <c r="AC223" s="13">
        <v>7</v>
      </c>
      <c r="AD223" s="13">
        <v>3</v>
      </c>
      <c r="AE223" s="13">
        <v>3</v>
      </c>
      <c r="AF223" s="14">
        <v>3</v>
      </c>
      <c r="AG223" s="13">
        <v>2</v>
      </c>
      <c r="AH223" s="13">
        <v>1</v>
      </c>
      <c r="AI223" s="13">
        <v>1</v>
      </c>
      <c r="AJ223" s="13" t="str">
        <f t="shared" si="3"/>
        <v>30-39</v>
      </c>
      <c r="AK223" s="13" t="str">
        <f>IF(tblCleanData[[#This Row],[MonthlyIncome]]&lt;5000, "Low Income", IF(tblCleanData[[#This Row],[MonthlyIncome]]&lt;15000, "Medium Income", "High Income"))</f>
        <v>Low Income</v>
      </c>
      <c r="AL223" s="13">
        <f>IF(tblCleanData[[#This Row],[Attrition]]="No", 0,1)</f>
        <v>0</v>
      </c>
      <c r="AM223" s="13">
        <f>IF(tblCleanData[[#This Row],[OverTime]] = "No", 0, 1)</f>
        <v>0</v>
      </c>
      <c r="AN223" s="13" t="str">
        <f>CHOOSE(tblCleanData[[#This Row],[Education]], "Below College","College","Bachelor","Master","Doctor")</f>
        <v>Master</v>
      </c>
      <c r="AO223" s="13" t="str">
        <f>VLOOKUP(tblCleanData[[#This Row],[EmployeeNumber]],tblHelpers[],15,TRUE)</f>
        <v>High Risk</v>
      </c>
      <c r="AP223" s="13">
        <f>VLOOKUP(tblCleanData[[#This Row],[EmployeeNumber]],tblHelpers[],14,0)</f>
        <v>59</v>
      </c>
    </row>
    <row r="224" spans="1:42" x14ac:dyDescent="0.25">
      <c r="A224" s="13">
        <v>37</v>
      </c>
      <c r="B224" s="13" t="s">
        <v>59</v>
      </c>
      <c r="C224" s="13" t="s">
        <v>60</v>
      </c>
      <c r="D224" s="13">
        <v>663</v>
      </c>
      <c r="E224" s="13" t="s">
        <v>62</v>
      </c>
      <c r="F224" s="13">
        <v>11</v>
      </c>
      <c r="G224" s="13">
        <v>3</v>
      </c>
      <c r="H224" s="13" t="s">
        <v>74</v>
      </c>
      <c r="I224" s="13">
        <v>1</v>
      </c>
      <c r="J224" s="13">
        <v>306</v>
      </c>
      <c r="K224" s="13">
        <v>2</v>
      </c>
      <c r="L224" s="13" t="s">
        <v>63</v>
      </c>
      <c r="M224" s="13">
        <v>47</v>
      </c>
      <c r="N224" s="13">
        <v>3</v>
      </c>
      <c r="O224" s="13">
        <v>3</v>
      </c>
      <c r="P224" s="13" t="s">
        <v>186</v>
      </c>
      <c r="Q224" s="13">
        <v>4</v>
      </c>
      <c r="R224" s="13" t="s">
        <v>109</v>
      </c>
      <c r="S224" s="20">
        <v>12185</v>
      </c>
      <c r="T224" s="13">
        <v>10056</v>
      </c>
      <c r="U224" s="13">
        <v>1</v>
      </c>
      <c r="V224" s="13" t="s">
        <v>52</v>
      </c>
      <c r="W224" s="13" t="s">
        <v>36</v>
      </c>
      <c r="X224" s="13">
        <v>14</v>
      </c>
      <c r="Y224" s="13">
        <v>3</v>
      </c>
      <c r="Z224" s="13">
        <v>3</v>
      </c>
      <c r="AA224" s="13">
        <v>80</v>
      </c>
      <c r="AB224" s="13">
        <v>3</v>
      </c>
      <c r="AC224" s="13">
        <v>10</v>
      </c>
      <c r="AD224" s="13">
        <v>1</v>
      </c>
      <c r="AE224" s="13">
        <v>3</v>
      </c>
      <c r="AF224" s="14">
        <v>10</v>
      </c>
      <c r="AG224" s="13">
        <v>8</v>
      </c>
      <c r="AH224" s="13">
        <v>0</v>
      </c>
      <c r="AI224" s="13">
        <v>7</v>
      </c>
      <c r="AJ224" s="13" t="str">
        <f t="shared" si="3"/>
        <v>30-39</v>
      </c>
      <c r="AK224" s="13" t="str">
        <f>IF(tblCleanData[[#This Row],[MonthlyIncome]]&lt;5000, "Low Income", IF(tblCleanData[[#This Row],[MonthlyIncome]]&lt;15000, "Medium Income", "High Income"))</f>
        <v>Medium Income</v>
      </c>
      <c r="AL224" s="13">
        <f>IF(tblCleanData[[#This Row],[Attrition]]="No", 0,1)</f>
        <v>0</v>
      </c>
      <c r="AM224" s="13">
        <f>IF(tblCleanData[[#This Row],[OverTime]] = "No", 0, 1)</f>
        <v>1</v>
      </c>
      <c r="AN224" s="13" t="str">
        <f>CHOOSE(tblCleanData[[#This Row],[Education]], "Below College","College","Bachelor","Master","Doctor")</f>
        <v>Bachelor</v>
      </c>
      <c r="AO224" s="13" t="str">
        <f>VLOOKUP(tblCleanData[[#This Row],[EmployeeNumber]],tblHelpers[],15,TRUE)</f>
        <v>High Risk</v>
      </c>
      <c r="AP224" s="13">
        <f>VLOOKUP(tblCleanData[[#This Row],[EmployeeNumber]],tblHelpers[],14,0)</f>
        <v>64</v>
      </c>
    </row>
    <row r="225" spans="1:42" x14ac:dyDescent="0.25">
      <c r="A225" s="13">
        <v>38</v>
      </c>
      <c r="B225" s="13" t="s">
        <v>59</v>
      </c>
      <c r="C225" s="13" t="s">
        <v>37</v>
      </c>
      <c r="D225" s="13">
        <v>119</v>
      </c>
      <c r="E225" s="13" t="s">
        <v>39</v>
      </c>
      <c r="F225" s="13">
        <v>3</v>
      </c>
      <c r="G225" s="13">
        <v>3</v>
      </c>
      <c r="H225" s="13" t="s">
        <v>42</v>
      </c>
      <c r="I225" s="13">
        <v>1</v>
      </c>
      <c r="J225" s="13">
        <v>307</v>
      </c>
      <c r="K225" s="13">
        <v>1</v>
      </c>
      <c r="L225" s="13" t="s">
        <v>63</v>
      </c>
      <c r="M225" s="13">
        <v>76</v>
      </c>
      <c r="N225" s="13">
        <v>3</v>
      </c>
      <c r="O225" s="13">
        <v>3</v>
      </c>
      <c r="P225" s="13" t="s">
        <v>46</v>
      </c>
      <c r="Q225" s="13">
        <v>3</v>
      </c>
      <c r="R225" s="13" t="s">
        <v>109</v>
      </c>
      <c r="S225" s="20">
        <v>10609</v>
      </c>
      <c r="T225" s="13">
        <v>9647</v>
      </c>
      <c r="U225" s="13">
        <v>0</v>
      </c>
      <c r="V225" s="13" t="s">
        <v>52</v>
      </c>
      <c r="W225" s="13" t="s">
        <v>59</v>
      </c>
      <c r="X225" s="13">
        <v>12</v>
      </c>
      <c r="Y225" s="13">
        <v>3</v>
      </c>
      <c r="Z225" s="13">
        <v>3</v>
      </c>
      <c r="AA225" s="13">
        <v>80</v>
      </c>
      <c r="AB225" s="13">
        <v>2</v>
      </c>
      <c r="AC225" s="13">
        <v>17</v>
      </c>
      <c r="AD225" s="13">
        <v>6</v>
      </c>
      <c r="AE225" s="13">
        <v>2</v>
      </c>
      <c r="AF225" s="14">
        <v>16</v>
      </c>
      <c r="AG225" s="13">
        <v>10</v>
      </c>
      <c r="AH225" s="13">
        <v>5</v>
      </c>
      <c r="AI225" s="13">
        <v>13</v>
      </c>
      <c r="AJ225" s="13" t="str">
        <f t="shared" si="3"/>
        <v>30-39</v>
      </c>
      <c r="AK225" s="13" t="str">
        <f>IF(tblCleanData[[#This Row],[MonthlyIncome]]&lt;5000, "Low Income", IF(tblCleanData[[#This Row],[MonthlyIncome]]&lt;15000, "Medium Income", "High Income"))</f>
        <v>Medium Income</v>
      </c>
      <c r="AL225" s="13">
        <f>IF(tblCleanData[[#This Row],[Attrition]]="No", 0,1)</f>
        <v>0</v>
      </c>
      <c r="AM225" s="13">
        <f>IF(tblCleanData[[#This Row],[OverTime]] = "No", 0, 1)</f>
        <v>0</v>
      </c>
      <c r="AN225" s="13" t="str">
        <f>CHOOSE(tblCleanData[[#This Row],[Education]], "Below College","College","Bachelor","Master","Doctor")</f>
        <v>Bachelor</v>
      </c>
      <c r="AO225" s="13" t="str">
        <f>VLOOKUP(tblCleanData[[#This Row],[EmployeeNumber]],tblHelpers[],15,TRUE)</f>
        <v>Medium Risk</v>
      </c>
      <c r="AP225" s="13">
        <f>VLOOKUP(tblCleanData[[#This Row],[EmployeeNumber]],tblHelpers[],14,0)</f>
        <v>41</v>
      </c>
    </row>
    <row r="226" spans="1:42" x14ac:dyDescent="0.25">
      <c r="A226" s="13">
        <v>31</v>
      </c>
      <c r="B226" s="13" t="s">
        <v>59</v>
      </c>
      <c r="C226" s="13" t="s">
        <v>161</v>
      </c>
      <c r="D226" s="13">
        <v>979</v>
      </c>
      <c r="E226" s="13" t="s">
        <v>62</v>
      </c>
      <c r="F226" s="13">
        <v>1</v>
      </c>
      <c r="G226" s="13">
        <v>4</v>
      </c>
      <c r="H226" s="13" t="s">
        <v>87</v>
      </c>
      <c r="I226" s="13">
        <v>1</v>
      </c>
      <c r="J226" s="13">
        <v>308</v>
      </c>
      <c r="K226" s="13">
        <v>3</v>
      </c>
      <c r="L226" s="13" t="s">
        <v>63</v>
      </c>
      <c r="M226" s="13">
        <v>90</v>
      </c>
      <c r="N226" s="13">
        <v>1</v>
      </c>
      <c r="O226" s="13">
        <v>2</v>
      </c>
      <c r="P226" s="13" t="s">
        <v>116</v>
      </c>
      <c r="Q226" s="13">
        <v>3</v>
      </c>
      <c r="R226" s="13" t="s">
        <v>66</v>
      </c>
      <c r="S226" s="20">
        <v>4345</v>
      </c>
      <c r="T226" s="13">
        <v>4381</v>
      </c>
      <c r="U226" s="13">
        <v>0</v>
      </c>
      <c r="V226" s="13" t="s">
        <v>52</v>
      </c>
      <c r="W226" s="13" t="s">
        <v>59</v>
      </c>
      <c r="X226" s="13">
        <v>12</v>
      </c>
      <c r="Y226" s="13">
        <v>3</v>
      </c>
      <c r="Z226" s="13">
        <v>4</v>
      </c>
      <c r="AA226" s="13">
        <v>80</v>
      </c>
      <c r="AB226" s="13">
        <v>1</v>
      </c>
      <c r="AC226" s="13">
        <v>6</v>
      </c>
      <c r="AD226" s="13">
        <v>2</v>
      </c>
      <c r="AE226" s="13">
        <v>3</v>
      </c>
      <c r="AF226" s="14">
        <v>5</v>
      </c>
      <c r="AG226" s="13">
        <v>4</v>
      </c>
      <c r="AH226" s="13">
        <v>1</v>
      </c>
      <c r="AI226" s="13">
        <v>4</v>
      </c>
      <c r="AJ226" s="13" t="str">
        <f t="shared" si="3"/>
        <v>30-39</v>
      </c>
      <c r="AK226" s="13" t="str">
        <f>IF(tblCleanData[[#This Row],[MonthlyIncome]]&lt;5000, "Low Income", IF(tblCleanData[[#This Row],[MonthlyIncome]]&lt;15000, "Medium Income", "High Income"))</f>
        <v>Low Income</v>
      </c>
      <c r="AL226" s="13">
        <f>IF(tblCleanData[[#This Row],[Attrition]]="No", 0,1)</f>
        <v>0</v>
      </c>
      <c r="AM226" s="13">
        <f>IF(tblCleanData[[#This Row],[OverTime]] = "No", 0, 1)</f>
        <v>0</v>
      </c>
      <c r="AN226" s="13" t="str">
        <f>CHOOSE(tblCleanData[[#This Row],[Education]], "Below College","College","Bachelor","Master","Doctor")</f>
        <v>Master</v>
      </c>
      <c r="AO226" s="13" t="str">
        <f>VLOOKUP(tblCleanData[[#This Row],[EmployeeNumber]],tblHelpers[],15,TRUE)</f>
        <v>Medium Risk</v>
      </c>
      <c r="AP226" s="13">
        <f>VLOOKUP(tblCleanData[[#This Row],[EmployeeNumber]],tblHelpers[],14,0)</f>
        <v>53</v>
      </c>
    </row>
    <row r="227" spans="1:42" x14ac:dyDescent="0.25">
      <c r="A227" s="13">
        <v>59</v>
      </c>
      <c r="B227" s="13" t="s">
        <v>59</v>
      </c>
      <c r="C227" s="13" t="s">
        <v>37</v>
      </c>
      <c r="D227" s="13">
        <v>142</v>
      </c>
      <c r="E227" s="13" t="s">
        <v>62</v>
      </c>
      <c r="F227" s="13">
        <v>3</v>
      </c>
      <c r="G227" s="13">
        <v>3</v>
      </c>
      <c r="H227" s="13" t="s">
        <v>42</v>
      </c>
      <c r="I227" s="13">
        <v>1</v>
      </c>
      <c r="J227" s="13">
        <v>309</v>
      </c>
      <c r="K227" s="13">
        <v>3</v>
      </c>
      <c r="L227" s="13" t="s">
        <v>63</v>
      </c>
      <c r="M227" s="13">
        <v>70</v>
      </c>
      <c r="N227" s="13">
        <v>2</v>
      </c>
      <c r="O227" s="13">
        <v>1</v>
      </c>
      <c r="P227" s="13" t="s">
        <v>65</v>
      </c>
      <c r="Q227" s="13">
        <v>4</v>
      </c>
      <c r="R227" s="13" t="s">
        <v>66</v>
      </c>
      <c r="S227" s="20">
        <v>2177</v>
      </c>
      <c r="T227" s="13">
        <v>8456</v>
      </c>
      <c r="U227" s="13">
        <v>3</v>
      </c>
      <c r="V227" s="13" t="s">
        <v>52</v>
      </c>
      <c r="W227" s="13" t="s">
        <v>59</v>
      </c>
      <c r="X227" s="13">
        <v>17</v>
      </c>
      <c r="Y227" s="13">
        <v>3</v>
      </c>
      <c r="Z227" s="13">
        <v>1</v>
      </c>
      <c r="AA227" s="13">
        <v>80</v>
      </c>
      <c r="AB227" s="13">
        <v>1</v>
      </c>
      <c r="AC227" s="13">
        <v>7</v>
      </c>
      <c r="AD227" s="13">
        <v>6</v>
      </c>
      <c r="AE227" s="13">
        <v>3</v>
      </c>
      <c r="AF227" s="14">
        <v>1</v>
      </c>
      <c r="AG227" s="13">
        <v>0</v>
      </c>
      <c r="AH227" s="13">
        <v>0</v>
      </c>
      <c r="AI227" s="13">
        <v>0</v>
      </c>
      <c r="AJ227" s="13" t="str">
        <f t="shared" si="3"/>
        <v>50+</v>
      </c>
      <c r="AK227" s="13" t="str">
        <f>IF(tblCleanData[[#This Row],[MonthlyIncome]]&lt;5000, "Low Income", IF(tblCleanData[[#This Row],[MonthlyIncome]]&lt;15000, "Medium Income", "High Income"))</f>
        <v>Low Income</v>
      </c>
      <c r="AL227" s="13">
        <f>IF(tblCleanData[[#This Row],[Attrition]]="No", 0,1)</f>
        <v>0</v>
      </c>
      <c r="AM227" s="13">
        <f>IF(tblCleanData[[#This Row],[OverTime]] = "No", 0, 1)</f>
        <v>0</v>
      </c>
      <c r="AN227" s="13" t="str">
        <f>CHOOSE(tblCleanData[[#This Row],[Education]], "Below College","College","Bachelor","Master","Doctor")</f>
        <v>Bachelor</v>
      </c>
      <c r="AO227" s="13" t="str">
        <f>VLOOKUP(tblCleanData[[#This Row],[EmployeeNumber]],tblHelpers[],15,TRUE)</f>
        <v>Medium Risk</v>
      </c>
      <c r="AP227" s="13">
        <f>VLOOKUP(tblCleanData[[#This Row],[EmployeeNumber]],tblHelpers[],14,0)</f>
        <v>51</v>
      </c>
    </row>
    <row r="228" spans="1:42" x14ac:dyDescent="0.25">
      <c r="A228" s="13">
        <v>37</v>
      </c>
      <c r="B228" s="13" t="s">
        <v>59</v>
      </c>
      <c r="C228" s="13" t="s">
        <v>60</v>
      </c>
      <c r="D228" s="13">
        <v>319</v>
      </c>
      <c r="E228" s="13" t="s">
        <v>39</v>
      </c>
      <c r="F228" s="13">
        <v>4</v>
      </c>
      <c r="G228" s="13">
        <v>4</v>
      </c>
      <c r="H228" s="13" t="s">
        <v>206</v>
      </c>
      <c r="I228" s="13">
        <v>1</v>
      </c>
      <c r="J228" s="13">
        <v>311</v>
      </c>
      <c r="K228" s="13">
        <v>1</v>
      </c>
      <c r="L228" s="13" t="s">
        <v>63</v>
      </c>
      <c r="M228" s="13">
        <v>41</v>
      </c>
      <c r="N228" s="13">
        <v>3</v>
      </c>
      <c r="O228" s="13">
        <v>1</v>
      </c>
      <c r="P228" s="13" t="s">
        <v>182</v>
      </c>
      <c r="Q228" s="13">
        <v>4</v>
      </c>
      <c r="R228" s="13" t="s">
        <v>109</v>
      </c>
      <c r="S228" s="20">
        <v>2793</v>
      </c>
      <c r="T228" s="13">
        <v>2539</v>
      </c>
      <c r="U228" s="13">
        <v>4</v>
      </c>
      <c r="V228" s="13" t="s">
        <v>52</v>
      </c>
      <c r="W228" s="13" t="s">
        <v>59</v>
      </c>
      <c r="X228" s="13">
        <v>17</v>
      </c>
      <c r="Y228" s="13">
        <v>3</v>
      </c>
      <c r="Z228" s="13">
        <v>3</v>
      </c>
      <c r="AA228" s="13">
        <v>80</v>
      </c>
      <c r="AB228" s="13">
        <v>1</v>
      </c>
      <c r="AC228" s="13">
        <v>13</v>
      </c>
      <c r="AD228" s="13">
        <v>2</v>
      </c>
      <c r="AE228" s="13">
        <v>3</v>
      </c>
      <c r="AF228" s="14">
        <v>9</v>
      </c>
      <c r="AG228" s="13">
        <v>8</v>
      </c>
      <c r="AH228" s="13">
        <v>5</v>
      </c>
      <c r="AI228" s="13">
        <v>8</v>
      </c>
      <c r="AJ228" s="13" t="str">
        <f t="shared" si="3"/>
        <v>30-39</v>
      </c>
      <c r="AK228" s="13" t="str">
        <f>IF(tblCleanData[[#This Row],[MonthlyIncome]]&lt;5000, "Low Income", IF(tblCleanData[[#This Row],[MonthlyIncome]]&lt;15000, "Medium Income", "High Income"))</f>
        <v>Low Income</v>
      </c>
      <c r="AL228" s="13">
        <f>IF(tblCleanData[[#This Row],[Attrition]]="No", 0,1)</f>
        <v>0</v>
      </c>
      <c r="AM228" s="13">
        <f>IF(tblCleanData[[#This Row],[OverTime]] = "No", 0, 1)</f>
        <v>0</v>
      </c>
      <c r="AN228" s="13" t="str">
        <f>CHOOSE(tblCleanData[[#This Row],[Education]], "Below College","College","Bachelor","Master","Doctor")</f>
        <v>Master</v>
      </c>
      <c r="AO228" s="13" t="str">
        <f>VLOOKUP(tblCleanData[[#This Row],[EmployeeNumber]],tblHelpers[],15,TRUE)</f>
        <v>Medium Risk</v>
      </c>
      <c r="AP228" s="13">
        <f>VLOOKUP(tblCleanData[[#This Row],[EmployeeNumber]],tblHelpers[],14,0)</f>
        <v>39</v>
      </c>
    </row>
    <row r="229" spans="1:42" x14ac:dyDescent="0.25">
      <c r="A229" s="13">
        <v>29</v>
      </c>
      <c r="B229" s="13" t="s">
        <v>59</v>
      </c>
      <c r="C229" s="13" t="s">
        <v>60</v>
      </c>
      <c r="D229" s="13">
        <v>1413</v>
      </c>
      <c r="E229" s="13" t="s">
        <v>39</v>
      </c>
      <c r="F229" s="13">
        <v>1</v>
      </c>
      <c r="G229" s="13">
        <v>1</v>
      </c>
      <c r="H229" s="13" t="s">
        <v>87</v>
      </c>
      <c r="I229" s="13">
        <v>1</v>
      </c>
      <c r="J229" s="13">
        <v>312</v>
      </c>
      <c r="K229" s="13">
        <v>2</v>
      </c>
      <c r="L229" s="13" t="s">
        <v>43</v>
      </c>
      <c r="M229" s="13">
        <v>42</v>
      </c>
      <c r="N229" s="13">
        <v>3</v>
      </c>
      <c r="O229" s="13">
        <v>3</v>
      </c>
      <c r="P229" s="13" t="s">
        <v>46</v>
      </c>
      <c r="Q229" s="13">
        <v>4</v>
      </c>
      <c r="R229" s="13" t="s">
        <v>66</v>
      </c>
      <c r="S229" s="20">
        <v>7918</v>
      </c>
      <c r="T229" s="13">
        <v>6599</v>
      </c>
      <c r="U229" s="13">
        <v>1</v>
      </c>
      <c r="V229" s="13" t="s">
        <v>52</v>
      </c>
      <c r="W229" s="13" t="s">
        <v>59</v>
      </c>
      <c r="X229" s="13">
        <v>14</v>
      </c>
      <c r="Y229" s="13">
        <v>3</v>
      </c>
      <c r="Z229" s="13">
        <v>4</v>
      </c>
      <c r="AA229" s="13">
        <v>80</v>
      </c>
      <c r="AB229" s="13">
        <v>1</v>
      </c>
      <c r="AC229" s="13">
        <v>11</v>
      </c>
      <c r="AD229" s="13">
        <v>5</v>
      </c>
      <c r="AE229" s="13">
        <v>3</v>
      </c>
      <c r="AF229" s="14">
        <v>11</v>
      </c>
      <c r="AG229" s="13">
        <v>10</v>
      </c>
      <c r="AH229" s="13">
        <v>4</v>
      </c>
      <c r="AI229" s="13">
        <v>1</v>
      </c>
      <c r="AJ229" s="13" t="str">
        <f t="shared" si="3"/>
        <v>Under 30</v>
      </c>
      <c r="AK229" s="13" t="str">
        <f>IF(tblCleanData[[#This Row],[MonthlyIncome]]&lt;5000, "Low Income", IF(tblCleanData[[#This Row],[MonthlyIncome]]&lt;15000, "Medium Income", "High Income"))</f>
        <v>Medium Income</v>
      </c>
      <c r="AL229" s="13">
        <f>IF(tblCleanData[[#This Row],[Attrition]]="No", 0,1)</f>
        <v>0</v>
      </c>
      <c r="AM229" s="13">
        <f>IF(tblCleanData[[#This Row],[OverTime]] = "No", 0, 1)</f>
        <v>0</v>
      </c>
      <c r="AN229" s="13" t="str">
        <f>CHOOSE(tblCleanData[[#This Row],[Education]], "Below College","College","Bachelor","Master","Doctor")</f>
        <v>Below College</v>
      </c>
      <c r="AO229" s="13" t="str">
        <f>VLOOKUP(tblCleanData[[#This Row],[EmployeeNumber]],tblHelpers[],15,TRUE)</f>
        <v>Medium Risk</v>
      </c>
      <c r="AP229" s="13">
        <f>VLOOKUP(tblCleanData[[#This Row],[EmployeeNumber]],tblHelpers[],14,0)</f>
        <v>44</v>
      </c>
    </row>
    <row r="230" spans="1:42" x14ac:dyDescent="0.25">
      <c r="A230" s="13">
        <v>35</v>
      </c>
      <c r="B230" s="13" t="s">
        <v>59</v>
      </c>
      <c r="C230" s="13" t="s">
        <v>60</v>
      </c>
      <c r="D230" s="13">
        <v>944</v>
      </c>
      <c r="E230" s="13" t="s">
        <v>39</v>
      </c>
      <c r="F230" s="13">
        <v>1</v>
      </c>
      <c r="G230" s="13">
        <v>3</v>
      </c>
      <c r="H230" s="13" t="s">
        <v>206</v>
      </c>
      <c r="I230" s="13">
        <v>1</v>
      </c>
      <c r="J230" s="13">
        <v>314</v>
      </c>
      <c r="K230" s="13">
        <v>3</v>
      </c>
      <c r="L230" s="13" t="s">
        <v>43</v>
      </c>
      <c r="M230" s="13">
        <v>92</v>
      </c>
      <c r="N230" s="13">
        <v>3</v>
      </c>
      <c r="O230" s="13">
        <v>3</v>
      </c>
      <c r="P230" s="13" t="s">
        <v>46</v>
      </c>
      <c r="Q230" s="13">
        <v>3</v>
      </c>
      <c r="R230" s="13" t="s">
        <v>48</v>
      </c>
      <c r="S230" s="20">
        <v>8789</v>
      </c>
      <c r="T230" s="13">
        <v>9096</v>
      </c>
      <c r="U230" s="13">
        <v>1</v>
      </c>
      <c r="V230" s="13" t="s">
        <v>52</v>
      </c>
      <c r="W230" s="13" t="s">
        <v>59</v>
      </c>
      <c r="X230" s="13">
        <v>14</v>
      </c>
      <c r="Y230" s="13">
        <v>3</v>
      </c>
      <c r="Z230" s="13">
        <v>1</v>
      </c>
      <c r="AA230" s="13">
        <v>80</v>
      </c>
      <c r="AB230" s="13">
        <v>0</v>
      </c>
      <c r="AC230" s="13">
        <v>10</v>
      </c>
      <c r="AD230" s="13">
        <v>3</v>
      </c>
      <c r="AE230" s="13">
        <v>4</v>
      </c>
      <c r="AF230" s="14">
        <v>10</v>
      </c>
      <c r="AG230" s="13">
        <v>7</v>
      </c>
      <c r="AH230" s="13">
        <v>0</v>
      </c>
      <c r="AI230" s="13">
        <v>8</v>
      </c>
      <c r="AJ230" s="13" t="str">
        <f t="shared" si="3"/>
        <v>30-39</v>
      </c>
      <c r="AK230" s="13" t="str">
        <f>IF(tblCleanData[[#This Row],[MonthlyIncome]]&lt;5000, "Low Income", IF(tblCleanData[[#This Row],[MonthlyIncome]]&lt;15000, "Medium Income", "High Income"))</f>
        <v>Medium Income</v>
      </c>
      <c r="AL230" s="13">
        <f>IF(tblCleanData[[#This Row],[Attrition]]="No", 0,1)</f>
        <v>0</v>
      </c>
      <c r="AM230" s="13">
        <f>IF(tblCleanData[[#This Row],[OverTime]] = "No", 0, 1)</f>
        <v>0</v>
      </c>
      <c r="AN230" s="13" t="str">
        <f>CHOOSE(tblCleanData[[#This Row],[Education]], "Below College","College","Bachelor","Master","Doctor")</f>
        <v>Bachelor</v>
      </c>
      <c r="AO230" s="13" t="str">
        <f>VLOOKUP(tblCleanData[[#This Row],[EmployeeNumber]],tblHelpers[],15,TRUE)</f>
        <v>Medium Risk</v>
      </c>
      <c r="AP230" s="13">
        <f>VLOOKUP(tblCleanData[[#This Row],[EmployeeNumber]],tblHelpers[],14,0)</f>
        <v>46</v>
      </c>
    </row>
    <row r="231" spans="1:42" x14ac:dyDescent="0.25">
      <c r="A231" s="13">
        <v>29</v>
      </c>
      <c r="B231" s="13" t="s">
        <v>36</v>
      </c>
      <c r="C231" s="13" t="s">
        <v>37</v>
      </c>
      <c r="D231" s="13">
        <v>896</v>
      </c>
      <c r="E231" s="13" t="s">
        <v>62</v>
      </c>
      <c r="F231" s="13">
        <v>18</v>
      </c>
      <c r="G231" s="13">
        <v>1</v>
      </c>
      <c r="H231" s="13" t="s">
        <v>87</v>
      </c>
      <c r="I231" s="13">
        <v>1</v>
      </c>
      <c r="J231" s="13">
        <v>315</v>
      </c>
      <c r="K231" s="13">
        <v>3</v>
      </c>
      <c r="L231" s="13" t="s">
        <v>63</v>
      </c>
      <c r="M231" s="13">
        <v>86</v>
      </c>
      <c r="N231" s="13">
        <v>2</v>
      </c>
      <c r="O231" s="13">
        <v>1</v>
      </c>
      <c r="P231" s="13" t="s">
        <v>65</v>
      </c>
      <c r="Q231" s="13">
        <v>4</v>
      </c>
      <c r="R231" s="13" t="s">
        <v>48</v>
      </c>
      <c r="S231" s="20">
        <v>2389</v>
      </c>
      <c r="T231" s="13">
        <v>14961</v>
      </c>
      <c r="U231" s="13">
        <v>1</v>
      </c>
      <c r="V231" s="13" t="s">
        <v>52</v>
      </c>
      <c r="W231" s="13" t="s">
        <v>36</v>
      </c>
      <c r="X231" s="13">
        <v>13</v>
      </c>
      <c r="Y231" s="13">
        <v>3</v>
      </c>
      <c r="Z231" s="13">
        <v>3</v>
      </c>
      <c r="AA231" s="13">
        <v>80</v>
      </c>
      <c r="AB231" s="13">
        <v>0</v>
      </c>
      <c r="AC231" s="13">
        <v>4</v>
      </c>
      <c r="AD231" s="13">
        <v>3</v>
      </c>
      <c r="AE231" s="13">
        <v>2</v>
      </c>
      <c r="AF231" s="14">
        <v>4</v>
      </c>
      <c r="AG231" s="13">
        <v>3</v>
      </c>
      <c r="AH231" s="13">
        <v>0</v>
      </c>
      <c r="AI231" s="13">
        <v>1</v>
      </c>
      <c r="AJ231" s="13" t="str">
        <f t="shared" si="3"/>
        <v>Under 30</v>
      </c>
      <c r="AK231" s="13" t="str">
        <f>IF(tblCleanData[[#This Row],[MonthlyIncome]]&lt;5000, "Low Income", IF(tblCleanData[[#This Row],[MonthlyIncome]]&lt;15000, "Medium Income", "High Income"))</f>
        <v>Low Income</v>
      </c>
      <c r="AL231" s="13">
        <f>IF(tblCleanData[[#This Row],[Attrition]]="No", 0,1)</f>
        <v>1</v>
      </c>
      <c r="AM231" s="13">
        <f>IF(tblCleanData[[#This Row],[OverTime]] = "No", 0, 1)</f>
        <v>1</v>
      </c>
      <c r="AN231" s="13" t="str">
        <f>CHOOSE(tblCleanData[[#This Row],[Education]], "Below College","College","Bachelor","Master","Doctor")</f>
        <v>Below College</v>
      </c>
      <c r="AO231" s="13" t="str">
        <f>VLOOKUP(tblCleanData[[#This Row],[EmployeeNumber]],tblHelpers[],15,TRUE)</f>
        <v>High Risk</v>
      </c>
      <c r="AP231" s="13">
        <f>VLOOKUP(tblCleanData[[#This Row],[EmployeeNumber]],tblHelpers[],14,0)</f>
        <v>81</v>
      </c>
    </row>
    <row r="232" spans="1:42" x14ac:dyDescent="0.25">
      <c r="A232" s="13">
        <v>52</v>
      </c>
      <c r="B232" s="13" t="s">
        <v>59</v>
      </c>
      <c r="C232" s="13" t="s">
        <v>37</v>
      </c>
      <c r="D232" s="13">
        <v>1323</v>
      </c>
      <c r="E232" s="13" t="s">
        <v>62</v>
      </c>
      <c r="F232" s="13">
        <v>2</v>
      </c>
      <c r="G232" s="13">
        <v>3</v>
      </c>
      <c r="H232" s="13" t="s">
        <v>42</v>
      </c>
      <c r="I232" s="13">
        <v>1</v>
      </c>
      <c r="J232" s="13">
        <v>316</v>
      </c>
      <c r="K232" s="13">
        <v>3</v>
      </c>
      <c r="L232" s="13" t="s">
        <v>43</v>
      </c>
      <c r="M232" s="13">
        <v>89</v>
      </c>
      <c r="N232" s="13">
        <v>2</v>
      </c>
      <c r="O232" s="13">
        <v>1</v>
      </c>
      <c r="P232" s="13" t="s">
        <v>76</v>
      </c>
      <c r="Q232" s="13">
        <v>4</v>
      </c>
      <c r="R232" s="13" t="s">
        <v>48</v>
      </c>
      <c r="S232" s="20">
        <v>3212</v>
      </c>
      <c r="T232" s="13">
        <v>3300</v>
      </c>
      <c r="U232" s="13">
        <v>7</v>
      </c>
      <c r="V232" s="13" t="s">
        <v>52</v>
      </c>
      <c r="W232" s="13" t="s">
        <v>59</v>
      </c>
      <c r="X232" s="13">
        <v>15</v>
      </c>
      <c r="Y232" s="13">
        <v>3</v>
      </c>
      <c r="Z232" s="13">
        <v>2</v>
      </c>
      <c r="AA232" s="13">
        <v>80</v>
      </c>
      <c r="AB232" s="13">
        <v>0</v>
      </c>
      <c r="AC232" s="13">
        <v>6</v>
      </c>
      <c r="AD232" s="13">
        <v>3</v>
      </c>
      <c r="AE232" s="13">
        <v>2</v>
      </c>
      <c r="AF232" s="14">
        <v>2</v>
      </c>
      <c r="AG232" s="13">
        <v>2</v>
      </c>
      <c r="AH232" s="13">
        <v>2</v>
      </c>
      <c r="AI232" s="13">
        <v>2</v>
      </c>
      <c r="AJ232" s="13" t="str">
        <f t="shared" si="3"/>
        <v>50+</v>
      </c>
      <c r="AK232" s="13" t="str">
        <f>IF(tblCleanData[[#This Row],[MonthlyIncome]]&lt;5000, "Low Income", IF(tblCleanData[[#This Row],[MonthlyIncome]]&lt;15000, "Medium Income", "High Income"))</f>
        <v>Low Income</v>
      </c>
      <c r="AL232" s="13">
        <f>IF(tblCleanData[[#This Row],[Attrition]]="No", 0,1)</f>
        <v>0</v>
      </c>
      <c r="AM232" s="13">
        <f>IF(tblCleanData[[#This Row],[OverTime]] = "No", 0, 1)</f>
        <v>0</v>
      </c>
      <c r="AN232" s="13" t="str">
        <f>CHOOSE(tblCleanData[[#This Row],[Education]], "Below College","College","Bachelor","Master","Doctor")</f>
        <v>Bachelor</v>
      </c>
      <c r="AO232" s="13" t="str">
        <f>VLOOKUP(tblCleanData[[#This Row],[EmployeeNumber]],tblHelpers[],15,TRUE)</f>
        <v>Medium Risk</v>
      </c>
      <c r="AP232" s="13">
        <f>VLOOKUP(tblCleanData[[#This Row],[EmployeeNumber]],tblHelpers[],14,0)</f>
        <v>51</v>
      </c>
    </row>
    <row r="233" spans="1:42" x14ac:dyDescent="0.25">
      <c r="A233" s="13">
        <v>42</v>
      </c>
      <c r="B233" s="13" t="s">
        <v>59</v>
      </c>
      <c r="C233" s="13" t="s">
        <v>37</v>
      </c>
      <c r="D233" s="13">
        <v>532</v>
      </c>
      <c r="E233" s="13" t="s">
        <v>62</v>
      </c>
      <c r="F233" s="13">
        <v>4</v>
      </c>
      <c r="G233" s="13">
        <v>2</v>
      </c>
      <c r="H233" s="13" t="s">
        <v>228</v>
      </c>
      <c r="I233" s="13">
        <v>1</v>
      </c>
      <c r="J233" s="13">
        <v>319</v>
      </c>
      <c r="K233" s="13">
        <v>3</v>
      </c>
      <c r="L233" s="13" t="s">
        <v>63</v>
      </c>
      <c r="M233" s="13">
        <v>58</v>
      </c>
      <c r="N233" s="13">
        <v>3</v>
      </c>
      <c r="O233" s="13">
        <v>5</v>
      </c>
      <c r="P233" s="13" t="s">
        <v>169</v>
      </c>
      <c r="Q233" s="13">
        <v>4</v>
      </c>
      <c r="R233" s="13" t="s">
        <v>66</v>
      </c>
      <c r="S233" s="20">
        <v>19232</v>
      </c>
      <c r="T233" s="13">
        <v>4933</v>
      </c>
      <c r="U233" s="13">
        <v>1</v>
      </c>
      <c r="V233" s="13" t="s">
        <v>52</v>
      </c>
      <c r="W233" s="13" t="s">
        <v>59</v>
      </c>
      <c r="X233" s="13">
        <v>11</v>
      </c>
      <c r="Y233" s="13">
        <v>3</v>
      </c>
      <c r="Z233" s="13">
        <v>4</v>
      </c>
      <c r="AA233" s="13">
        <v>80</v>
      </c>
      <c r="AB233" s="13">
        <v>0</v>
      </c>
      <c r="AC233" s="13">
        <v>22</v>
      </c>
      <c r="AD233" s="13">
        <v>3</v>
      </c>
      <c r="AE233" s="13">
        <v>3</v>
      </c>
      <c r="AF233" s="14">
        <v>22</v>
      </c>
      <c r="AG233" s="13">
        <v>17</v>
      </c>
      <c r="AH233" s="13">
        <v>11</v>
      </c>
      <c r="AI233" s="13">
        <v>15</v>
      </c>
      <c r="AJ233" s="13" t="str">
        <f t="shared" si="3"/>
        <v>40-49</v>
      </c>
      <c r="AK233" s="13" t="str">
        <f>IF(tblCleanData[[#This Row],[MonthlyIncome]]&lt;5000, "Low Income", IF(tblCleanData[[#This Row],[MonthlyIncome]]&lt;15000, "Medium Income", "High Income"))</f>
        <v>High Income</v>
      </c>
      <c r="AL233" s="13">
        <f>IF(tblCleanData[[#This Row],[Attrition]]="No", 0,1)</f>
        <v>0</v>
      </c>
      <c r="AM233" s="13">
        <f>IF(tblCleanData[[#This Row],[OverTime]] = "No", 0, 1)</f>
        <v>0</v>
      </c>
      <c r="AN233" s="13" t="str">
        <f>CHOOSE(tblCleanData[[#This Row],[Education]], "Below College","College","Bachelor","Master","Doctor")</f>
        <v>College</v>
      </c>
      <c r="AO233" s="13" t="str">
        <f>VLOOKUP(tblCleanData[[#This Row],[EmployeeNumber]],tblHelpers[],15,TRUE)</f>
        <v>Low Risk</v>
      </c>
      <c r="AP233" s="13">
        <f>VLOOKUP(tblCleanData[[#This Row],[EmployeeNumber]],tblHelpers[],14,0)</f>
        <v>24</v>
      </c>
    </row>
    <row r="234" spans="1:42" x14ac:dyDescent="0.25">
      <c r="A234" s="13">
        <v>59</v>
      </c>
      <c r="B234" s="13" t="s">
        <v>59</v>
      </c>
      <c r="C234" s="13" t="s">
        <v>37</v>
      </c>
      <c r="D234" s="13">
        <v>818</v>
      </c>
      <c r="E234" s="13" t="s">
        <v>397</v>
      </c>
      <c r="F234" s="13">
        <v>6</v>
      </c>
      <c r="G234" s="13">
        <v>2</v>
      </c>
      <c r="H234" s="13" t="s">
        <v>87</v>
      </c>
      <c r="I234" s="13">
        <v>1</v>
      </c>
      <c r="J234" s="13">
        <v>321</v>
      </c>
      <c r="K234" s="13">
        <v>2</v>
      </c>
      <c r="L234" s="13" t="s">
        <v>63</v>
      </c>
      <c r="M234" s="13">
        <v>52</v>
      </c>
      <c r="N234" s="13">
        <v>3</v>
      </c>
      <c r="O234" s="13">
        <v>1</v>
      </c>
      <c r="P234" s="13" t="s">
        <v>397</v>
      </c>
      <c r="Q234" s="13">
        <v>3</v>
      </c>
      <c r="R234" s="13" t="s">
        <v>66</v>
      </c>
      <c r="S234" s="20">
        <v>2267</v>
      </c>
      <c r="T234" s="13">
        <v>25657</v>
      </c>
      <c r="U234" s="13">
        <v>8</v>
      </c>
      <c r="V234" s="13" t="s">
        <v>52</v>
      </c>
      <c r="W234" s="13" t="s">
        <v>59</v>
      </c>
      <c r="X234" s="13">
        <v>17</v>
      </c>
      <c r="Y234" s="13">
        <v>3</v>
      </c>
      <c r="Z234" s="13">
        <v>4</v>
      </c>
      <c r="AA234" s="13">
        <v>80</v>
      </c>
      <c r="AB234" s="13">
        <v>0</v>
      </c>
      <c r="AC234" s="13">
        <v>7</v>
      </c>
      <c r="AD234" s="13">
        <v>2</v>
      </c>
      <c r="AE234" s="13">
        <v>2</v>
      </c>
      <c r="AF234" s="14">
        <v>2</v>
      </c>
      <c r="AG234" s="13">
        <v>2</v>
      </c>
      <c r="AH234" s="13">
        <v>2</v>
      </c>
      <c r="AI234" s="13">
        <v>2</v>
      </c>
      <c r="AJ234" s="13" t="str">
        <f t="shared" si="3"/>
        <v>50+</v>
      </c>
      <c r="AK234" s="13" t="str">
        <f>IF(tblCleanData[[#This Row],[MonthlyIncome]]&lt;5000, "Low Income", IF(tblCleanData[[#This Row],[MonthlyIncome]]&lt;15000, "Medium Income", "High Income"))</f>
        <v>Low Income</v>
      </c>
      <c r="AL234" s="13">
        <f>IF(tblCleanData[[#This Row],[Attrition]]="No", 0,1)</f>
        <v>0</v>
      </c>
      <c r="AM234" s="13">
        <f>IF(tblCleanData[[#This Row],[OverTime]] = "No", 0, 1)</f>
        <v>0</v>
      </c>
      <c r="AN234" s="13" t="str">
        <f>CHOOSE(tblCleanData[[#This Row],[Education]], "Below College","College","Bachelor","Master","Doctor")</f>
        <v>College</v>
      </c>
      <c r="AO234" s="13" t="str">
        <f>VLOOKUP(tblCleanData[[#This Row],[EmployeeNumber]],tblHelpers[],15,TRUE)</f>
        <v>High Risk</v>
      </c>
      <c r="AP234" s="13">
        <f>VLOOKUP(tblCleanData[[#This Row],[EmployeeNumber]],tblHelpers[],14,0)</f>
        <v>58</v>
      </c>
    </row>
    <row r="235" spans="1:42" x14ac:dyDescent="0.25">
      <c r="A235" s="13">
        <v>50</v>
      </c>
      <c r="B235" s="13" t="s">
        <v>59</v>
      </c>
      <c r="C235" s="13" t="s">
        <v>37</v>
      </c>
      <c r="D235" s="13">
        <v>854</v>
      </c>
      <c r="E235" s="13" t="s">
        <v>39</v>
      </c>
      <c r="F235" s="13">
        <v>1</v>
      </c>
      <c r="G235" s="13">
        <v>4</v>
      </c>
      <c r="H235" s="13" t="s">
        <v>87</v>
      </c>
      <c r="I235" s="13">
        <v>1</v>
      </c>
      <c r="J235" s="13">
        <v>323</v>
      </c>
      <c r="K235" s="13">
        <v>4</v>
      </c>
      <c r="L235" s="13" t="s">
        <v>43</v>
      </c>
      <c r="M235" s="13">
        <v>68</v>
      </c>
      <c r="N235" s="13">
        <v>3</v>
      </c>
      <c r="O235" s="13">
        <v>5</v>
      </c>
      <c r="P235" s="13" t="s">
        <v>169</v>
      </c>
      <c r="Q235" s="13">
        <v>4</v>
      </c>
      <c r="R235" s="13" t="s">
        <v>109</v>
      </c>
      <c r="S235" s="20">
        <v>19517</v>
      </c>
      <c r="T235" s="13">
        <v>24118</v>
      </c>
      <c r="U235" s="13">
        <v>3</v>
      </c>
      <c r="V235" s="13" t="s">
        <v>52</v>
      </c>
      <c r="W235" s="13" t="s">
        <v>59</v>
      </c>
      <c r="X235" s="13">
        <v>11</v>
      </c>
      <c r="Y235" s="13">
        <v>3</v>
      </c>
      <c r="Z235" s="13">
        <v>3</v>
      </c>
      <c r="AA235" s="13">
        <v>80</v>
      </c>
      <c r="AB235" s="13">
        <v>1</v>
      </c>
      <c r="AC235" s="13">
        <v>32</v>
      </c>
      <c r="AD235" s="13">
        <v>3</v>
      </c>
      <c r="AE235" s="13">
        <v>2</v>
      </c>
      <c r="AF235" s="14">
        <v>7</v>
      </c>
      <c r="AG235" s="13">
        <v>0</v>
      </c>
      <c r="AH235" s="13">
        <v>0</v>
      </c>
      <c r="AI235" s="13">
        <v>6</v>
      </c>
      <c r="AJ235" s="13" t="str">
        <f t="shared" si="3"/>
        <v>50+</v>
      </c>
      <c r="AK235" s="13" t="str">
        <f>IF(tblCleanData[[#This Row],[MonthlyIncome]]&lt;5000, "Low Income", IF(tblCleanData[[#This Row],[MonthlyIncome]]&lt;15000, "Medium Income", "High Income"))</f>
        <v>High Income</v>
      </c>
      <c r="AL235" s="13">
        <f>IF(tblCleanData[[#This Row],[Attrition]]="No", 0,1)</f>
        <v>0</v>
      </c>
      <c r="AM235" s="13">
        <f>IF(tblCleanData[[#This Row],[OverTime]] = "No", 0, 1)</f>
        <v>0</v>
      </c>
      <c r="AN235" s="13" t="str">
        <f>CHOOSE(tblCleanData[[#This Row],[Education]], "Below College","College","Bachelor","Master","Doctor")</f>
        <v>Master</v>
      </c>
      <c r="AO235" s="13" t="str">
        <f>VLOOKUP(tblCleanData[[#This Row],[EmployeeNumber]],tblHelpers[],15,TRUE)</f>
        <v>Low Risk</v>
      </c>
      <c r="AP235" s="13">
        <f>VLOOKUP(tblCleanData[[#This Row],[EmployeeNumber]],tblHelpers[],14,0)</f>
        <v>34</v>
      </c>
    </row>
    <row r="236" spans="1:42" x14ac:dyDescent="0.25">
      <c r="A236" s="13">
        <v>33</v>
      </c>
      <c r="B236" s="13" t="s">
        <v>36</v>
      </c>
      <c r="C236" s="13" t="s">
        <v>37</v>
      </c>
      <c r="D236" s="13">
        <v>813</v>
      </c>
      <c r="E236" s="13" t="s">
        <v>62</v>
      </c>
      <c r="F236" s="13">
        <v>14</v>
      </c>
      <c r="G236" s="13">
        <v>3</v>
      </c>
      <c r="H236" s="13" t="s">
        <v>87</v>
      </c>
      <c r="I236" s="13">
        <v>1</v>
      </c>
      <c r="J236" s="13">
        <v>325</v>
      </c>
      <c r="K236" s="13">
        <v>3</v>
      </c>
      <c r="L236" s="13" t="s">
        <v>63</v>
      </c>
      <c r="M236" s="13">
        <v>58</v>
      </c>
      <c r="N236" s="13">
        <v>3</v>
      </c>
      <c r="O236" s="13">
        <v>1</v>
      </c>
      <c r="P236" s="13" t="s">
        <v>76</v>
      </c>
      <c r="Q236" s="13">
        <v>4</v>
      </c>
      <c r="R236" s="13" t="s">
        <v>66</v>
      </c>
      <c r="S236" s="20">
        <v>2436</v>
      </c>
      <c r="T236" s="13">
        <v>22149</v>
      </c>
      <c r="U236" s="13">
        <v>5</v>
      </c>
      <c r="V236" s="13" t="s">
        <v>52</v>
      </c>
      <c r="W236" s="13" t="s">
        <v>36</v>
      </c>
      <c r="X236" s="13">
        <v>13</v>
      </c>
      <c r="Y236" s="13">
        <v>3</v>
      </c>
      <c r="Z236" s="13">
        <v>3</v>
      </c>
      <c r="AA236" s="13">
        <v>80</v>
      </c>
      <c r="AB236" s="13">
        <v>1</v>
      </c>
      <c r="AC236" s="13">
        <v>8</v>
      </c>
      <c r="AD236" s="13">
        <v>2</v>
      </c>
      <c r="AE236" s="13">
        <v>1</v>
      </c>
      <c r="AF236" s="14">
        <v>5</v>
      </c>
      <c r="AG236" s="13">
        <v>4</v>
      </c>
      <c r="AH236" s="13">
        <v>0</v>
      </c>
      <c r="AI236" s="13">
        <v>4</v>
      </c>
      <c r="AJ236" s="13" t="str">
        <f t="shared" si="3"/>
        <v>30-39</v>
      </c>
      <c r="AK236" s="13" t="str">
        <f>IF(tblCleanData[[#This Row],[MonthlyIncome]]&lt;5000, "Low Income", IF(tblCleanData[[#This Row],[MonthlyIncome]]&lt;15000, "Medium Income", "High Income"))</f>
        <v>Low Income</v>
      </c>
      <c r="AL236" s="13">
        <f>IF(tblCleanData[[#This Row],[Attrition]]="No", 0,1)</f>
        <v>1</v>
      </c>
      <c r="AM236" s="13">
        <f>IF(tblCleanData[[#This Row],[OverTime]] = "No", 0, 1)</f>
        <v>1</v>
      </c>
      <c r="AN236" s="13" t="str">
        <f>CHOOSE(tblCleanData[[#This Row],[Education]], "Below College","College","Bachelor","Master","Doctor")</f>
        <v>Bachelor</v>
      </c>
      <c r="AO236" s="13" t="str">
        <f>VLOOKUP(tblCleanData[[#This Row],[EmployeeNumber]],tblHelpers[],15,TRUE)</f>
        <v>High Risk</v>
      </c>
      <c r="AP236" s="13">
        <f>VLOOKUP(tblCleanData[[#This Row],[EmployeeNumber]],tblHelpers[],14,0)</f>
        <v>71</v>
      </c>
    </row>
    <row r="237" spans="1:42" x14ac:dyDescent="0.25">
      <c r="A237" s="13">
        <v>43</v>
      </c>
      <c r="B237" s="13" t="s">
        <v>59</v>
      </c>
      <c r="C237" s="13" t="s">
        <v>37</v>
      </c>
      <c r="D237" s="13">
        <v>1034</v>
      </c>
      <c r="E237" s="13" t="s">
        <v>39</v>
      </c>
      <c r="F237" s="13">
        <v>16</v>
      </c>
      <c r="G237" s="13">
        <v>3</v>
      </c>
      <c r="H237" s="13" t="s">
        <v>206</v>
      </c>
      <c r="I237" s="13">
        <v>1</v>
      </c>
      <c r="J237" s="13">
        <v>327</v>
      </c>
      <c r="K237" s="13">
        <v>4</v>
      </c>
      <c r="L237" s="13" t="s">
        <v>43</v>
      </c>
      <c r="M237" s="13">
        <v>80</v>
      </c>
      <c r="N237" s="13">
        <v>3</v>
      </c>
      <c r="O237" s="13">
        <v>4</v>
      </c>
      <c r="P237" s="13" t="s">
        <v>169</v>
      </c>
      <c r="Q237" s="13">
        <v>4</v>
      </c>
      <c r="R237" s="13" t="s">
        <v>66</v>
      </c>
      <c r="S237" s="20">
        <v>16064</v>
      </c>
      <c r="T237" s="13">
        <v>7744</v>
      </c>
      <c r="U237" s="13">
        <v>5</v>
      </c>
      <c r="V237" s="13" t="s">
        <v>52</v>
      </c>
      <c r="W237" s="13" t="s">
        <v>36</v>
      </c>
      <c r="X237" s="13">
        <v>22</v>
      </c>
      <c r="Y237" s="13">
        <v>4</v>
      </c>
      <c r="Z237" s="13">
        <v>3</v>
      </c>
      <c r="AA237" s="13">
        <v>80</v>
      </c>
      <c r="AB237" s="13">
        <v>1</v>
      </c>
      <c r="AC237" s="13">
        <v>22</v>
      </c>
      <c r="AD237" s="13">
        <v>3</v>
      </c>
      <c r="AE237" s="13">
        <v>3</v>
      </c>
      <c r="AF237" s="14">
        <v>17</v>
      </c>
      <c r="AG237" s="13">
        <v>13</v>
      </c>
      <c r="AH237" s="13">
        <v>1</v>
      </c>
      <c r="AI237" s="13">
        <v>9</v>
      </c>
      <c r="AJ237" s="13" t="str">
        <f t="shared" si="3"/>
        <v>40-49</v>
      </c>
      <c r="AK237" s="13" t="str">
        <f>IF(tblCleanData[[#This Row],[MonthlyIncome]]&lt;5000, "Low Income", IF(tblCleanData[[#This Row],[MonthlyIncome]]&lt;15000, "Medium Income", "High Income"))</f>
        <v>High Income</v>
      </c>
      <c r="AL237" s="13">
        <f>IF(tblCleanData[[#This Row],[Attrition]]="No", 0,1)</f>
        <v>0</v>
      </c>
      <c r="AM237" s="13">
        <f>IF(tblCleanData[[#This Row],[OverTime]] = "No", 0, 1)</f>
        <v>1</v>
      </c>
      <c r="AN237" s="13" t="str">
        <f>CHOOSE(tblCleanData[[#This Row],[Education]], "Below College","College","Bachelor","Master","Doctor")</f>
        <v>Bachelor</v>
      </c>
      <c r="AO237" s="13" t="str">
        <f>VLOOKUP(tblCleanData[[#This Row],[EmployeeNumber]],tblHelpers[],15,TRUE)</f>
        <v>Medium Risk</v>
      </c>
      <c r="AP237" s="13">
        <f>VLOOKUP(tblCleanData[[#This Row],[EmployeeNumber]],tblHelpers[],14,0)</f>
        <v>49</v>
      </c>
    </row>
    <row r="238" spans="1:42" x14ac:dyDescent="0.25">
      <c r="A238" s="13">
        <v>33</v>
      </c>
      <c r="B238" s="13" t="s">
        <v>36</v>
      </c>
      <c r="C238" s="13" t="s">
        <v>37</v>
      </c>
      <c r="D238" s="13">
        <v>465</v>
      </c>
      <c r="E238" s="13" t="s">
        <v>62</v>
      </c>
      <c r="F238" s="13">
        <v>2</v>
      </c>
      <c r="G238" s="13">
        <v>2</v>
      </c>
      <c r="H238" s="13" t="s">
        <v>42</v>
      </c>
      <c r="I238" s="13">
        <v>1</v>
      </c>
      <c r="J238" s="13">
        <v>328</v>
      </c>
      <c r="K238" s="13">
        <v>1</v>
      </c>
      <c r="L238" s="13" t="s">
        <v>43</v>
      </c>
      <c r="M238" s="13">
        <v>39</v>
      </c>
      <c r="N238" s="13">
        <v>3</v>
      </c>
      <c r="O238" s="13">
        <v>1</v>
      </c>
      <c r="P238" s="13" t="s">
        <v>76</v>
      </c>
      <c r="Q238" s="13">
        <v>1</v>
      </c>
      <c r="R238" s="13" t="s">
        <v>66</v>
      </c>
      <c r="S238" s="20">
        <v>2707</v>
      </c>
      <c r="T238" s="13">
        <v>21509</v>
      </c>
      <c r="U238" s="13">
        <v>7</v>
      </c>
      <c r="V238" s="13" t="s">
        <v>52</v>
      </c>
      <c r="W238" s="13" t="s">
        <v>59</v>
      </c>
      <c r="X238" s="13">
        <v>20</v>
      </c>
      <c r="Y238" s="13">
        <v>4</v>
      </c>
      <c r="Z238" s="13">
        <v>1</v>
      </c>
      <c r="AA238" s="13">
        <v>80</v>
      </c>
      <c r="AB238" s="13">
        <v>0</v>
      </c>
      <c r="AC238" s="13">
        <v>13</v>
      </c>
      <c r="AD238" s="13">
        <v>3</v>
      </c>
      <c r="AE238" s="13">
        <v>4</v>
      </c>
      <c r="AF238" s="14">
        <v>9</v>
      </c>
      <c r="AG238" s="13">
        <v>7</v>
      </c>
      <c r="AH238" s="13">
        <v>1</v>
      </c>
      <c r="AI238" s="13">
        <v>7</v>
      </c>
      <c r="AJ238" s="13" t="str">
        <f t="shared" si="3"/>
        <v>30-39</v>
      </c>
      <c r="AK238" s="13" t="str">
        <f>IF(tblCleanData[[#This Row],[MonthlyIncome]]&lt;5000, "Low Income", IF(tblCleanData[[#This Row],[MonthlyIncome]]&lt;15000, "Medium Income", "High Income"))</f>
        <v>Low Income</v>
      </c>
      <c r="AL238" s="13">
        <f>IF(tblCleanData[[#This Row],[Attrition]]="No", 0,1)</f>
        <v>1</v>
      </c>
      <c r="AM238" s="13">
        <f>IF(tblCleanData[[#This Row],[OverTime]] = "No", 0, 1)</f>
        <v>0</v>
      </c>
      <c r="AN238" s="13" t="str">
        <f>CHOOSE(tblCleanData[[#This Row],[Education]], "Below College","College","Bachelor","Master","Doctor")</f>
        <v>College</v>
      </c>
      <c r="AO238" s="13" t="str">
        <f>VLOOKUP(tblCleanData[[#This Row],[EmployeeNumber]],tblHelpers[],15,TRUE)</f>
        <v>High Risk</v>
      </c>
      <c r="AP238" s="13">
        <f>VLOOKUP(tblCleanData[[#This Row],[EmployeeNumber]],tblHelpers[],14,0)</f>
        <v>58</v>
      </c>
    </row>
    <row r="239" spans="1:42" x14ac:dyDescent="0.25">
      <c r="A239" s="13">
        <v>52</v>
      </c>
      <c r="B239" s="13" t="s">
        <v>59</v>
      </c>
      <c r="C239" s="13" t="s">
        <v>161</v>
      </c>
      <c r="D239" s="13">
        <v>771</v>
      </c>
      <c r="E239" s="13" t="s">
        <v>39</v>
      </c>
      <c r="F239" s="13">
        <v>2</v>
      </c>
      <c r="G239" s="13">
        <v>4</v>
      </c>
      <c r="H239" s="13" t="s">
        <v>42</v>
      </c>
      <c r="I239" s="13">
        <v>1</v>
      </c>
      <c r="J239" s="13">
        <v>329</v>
      </c>
      <c r="K239" s="13">
        <v>1</v>
      </c>
      <c r="L239" s="13" t="s">
        <v>63</v>
      </c>
      <c r="M239" s="13">
        <v>79</v>
      </c>
      <c r="N239" s="13">
        <v>2</v>
      </c>
      <c r="O239" s="13">
        <v>5</v>
      </c>
      <c r="P239" s="13" t="s">
        <v>169</v>
      </c>
      <c r="Q239" s="13">
        <v>3</v>
      </c>
      <c r="R239" s="13" t="s">
        <v>48</v>
      </c>
      <c r="S239" s="20">
        <v>19068</v>
      </c>
      <c r="T239" s="13">
        <v>21030</v>
      </c>
      <c r="U239" s="13">
        <v>1</v>
      </c>
      <c r="V239" s="13" t="s">
        <v>52</v>
      </c>
      <c r="W239" s="13" t="s">
        <v>36</v>
      </c>
      <c r="X239" s="13">
        <v>18</v>
      </c>
      <c r="Y239" s="13">
        <v>3</v>
      </c>
      <c r="Z239" s="13">
        <v>4</v>
      </c>
      <c r="AA239" s="13">
        <v>80</v>
      </c>
      <c r="AB239" s="13">
        <v>0</v>
      </c>
      <c r="AC239" s="13">
        <v>33</v>
      </c>
      <c r="AD239" s="13">
        <v>2</v>
      </c>
      <c r="AE239" s="13">
        <v>4</v>
      </c>
      <c r="AF239" s="14">
        <v>33</v>
      </c>
      <c r="AG239" s="13">
        <v>7</v>
      </c>
      <c r="AH239" s="13">
        <v>15</v>
      </c>
      <c r="AI239" s="13">
        <v>12</v>
      </c>
      <c r="AJ239" s="13" t="str">
        <f t="shared" si="3"/>
        <v>50+</v>
      </c>
      <c r="AK239" s="13" t="str">
        <f>IF(tblCleanData[[#This Row],[MonthlyIncome]]&lt;5000, "Low Income", IF(tblCleanData[[#This Row],[MonthlyIncome]]&lt;15000, "Medium Income", "High Income"))</f>
        <v>High Income</v>
      </c>
      <c r="AL239" s="13">
        <f>IF(tblCleanData[[#This Row],[Attrition]]="No", 0,1)</f>
        <v>0</v>
      </c>
      <c r="AM239" s="13">
        <f>IF(tblCleanData[[#This Row],[OverTime]] = "No", 0, 1)</f>
        <v>1</v>
      </c>
      <c r="AN239" s="13" t="str">
        <f>CHOOSE(tblCleanData[[#This Row],[Education]], "Below College","College","Bachelor","Master","Doctor")</f>
        <v>Master</v>
      </c>
      <c r="AO239" s="13" t="str">
        <f>VLOOKUP(tblCleanData[[#This Row],[EmployeeNumber]],tblHelpers[],15,TRUE)</f>
        <v>High Risk</v>
      </c>
      <c r="AP239" s="13">
        <f>VLOOKUP(tblCleanData[[#This Row],[EmployeeNumber]],tblHelpers[],14,0)</f>
        <v>61</v>
      </c>
    </row>
    <row r="240" spans="1:42" x14ac:dyDescent="0.25">
      <c r="A240" s="13">
        <v>32</v>
      </c>
      <c r="B240" s="13" t="s">
        <v>59</v>
      </c>
      <c r="C240" s="13" t="s">
        <v>37</v>
      </c>
      <c r="D240" s="13">
        <v>1401</v>
      </c>
      <c r="E240" s="13" t="s">
        <v>39</v>
      </c>
      <c r="F240" s="13">
        <v>4</v>
      </c>
      <c r="G240" s="13">
        <v>2</v>
      </c>
      <c r="H240" s="13" t="s">
        <v>42</v>
      </c>
      <c r="I240" s="13">
        <v>1</v>
      </c>
      <c r="J240" s="13">
        <v>330</v>
      </c>
      <c r="K240" s="13">
        <v>3</v>
      </c>
      <c r="L240" s="13" t="s">
        <v>43</v>
      </c>
      <c r="M240" s="13">
        <v>56</v>
      </c>
      <c r="N240" s="13">
        <v>3</v>
      </c>
      <c r="O240" s="13">
        <v>1</v>
      </c>
      <c r="P240" s="13" t="s">
        <v>182</v>
      </c>
      <c r="Q240" s="13">
        <v>2</v>
      </c>
      <c r="R240" s="13" t="s">
        <v>66</v>
      </c>
      <c r="S240" s="20">
        <v>3931</v>
      </c>
      <c r="T240" s="13">
        <v>20990</v>
      </c>
      <c r="U240" s="13">
        <v>2</v>
      </c>
      <c r="V240" s="13" t="s">
        <v>52</v>
      </c>
      <c r="W240" s="13" t="s">
        <v>59</v>
      </c>
      <c r="X240" s="13">
        <v>11</v>
      </c>
      <c r="Y240" s="13">
        <v>3</v>
      </c>
      <c r="Z240" s="13">
        <v>1</v>
      </c>
      <c r="AA240" s="13">
        <v>80</v>
      </c>
      <c r="AB240" s="13">
        <v>1</v>
      </c>
      <c r="AC240" s="13">
        <v>6</v>
      </c>
      <c r="AD240" s="13">
        <v>5</v>
      </c>
      <c r="AE240" s="13">
        <v>3</v>
      </c>
      <c r="AF240" s="14">
        <v>4</v>
      </c>
      <c r="AG240" s="13">
        <v>3</v>
      </c>
      <c r="AH240" s="13">
        <v>1</v>
      </c>
      <c r="AI240" s="13">
        <v>2</v>
      </c>
      <c r="AJ240" s="13" t="str">
        <f t="shared" si="3"/>
        <v>30-39</v>
      </c>
      <c r="AK240" s="13" t="str">
        <f>IF(tblCleanData[[#This Row],[MonthlyIncome]]&lt;5000, "Low Income", IF(tblCleanData[[#This Row],[MonthlyIncome]]&lt;15000, "Medium Income", "High Income"))</f>
        <v>Low Income</v>
      </c>
      <c r="AL240" s="13">
        <f>IF(tblCleanData[[#This Row],[Attrition]]="No", 0,1)</f>
        <v>0</v>
      </c>
      <c r="AM240" s="13">
        <f>IF(tblCleanData[[#This Row],[OverTime]] = "No", 0, 1)</f>
        <v>0</v>
      </c>
      <c r="AN240" s="13" t="str">
        <f>CHOOSE(tblCleanData[[#This Row],[Education]], "Below College","College","Bachelor","Master","Doctor")</f>
        <v>College</v>
      </c>
      <c r="AO240" s="13" t="str">
        <f>VLOOKUP(tblCleanData[[#This Row],[EmployeeNumber]],tblHelpers[],15,TRUE)</f>
        <v>High Risk</v>
      </c>
      <c r="AP240" s="13">
        <f>VLOOKUP(tblCleanData[[#This Row],[EmployeeNumber]],tblHelpers[],14,0)</f>
        <v>59</v>
      </c>
    </row>
    <row r="241" spans="1:42" x14ac:dyDescent="0.25">
      <c r="A241" s="13">
        <v>32</v>
      </c>
      <c r="B241" s="13" t="s">
        <v>36</v>
      </c>
      <c r="C241" s="13" t="s">
        <v>37</v>
      </c>
      <c r="D241" s="13">
        <v>515</v>
      </c>
      <c r="E241" s="13" t="s">
        <v>62</v>
      </c>
      <c r="F241" s="13">
        <v>1</v>
      </c>
      <c r="G241" s="13">
        <v>3</v>
      </c>
      <c r="H241" s="13" t="s">
        <v>42</v>
      </c>
      <c r="I241" s="13">
        <v>1</v>
      </c>
      <c r="J241" s="13">
        <v>331</v>
      </c>
      <c r="K241" s="13">
        <v>4</v>
      </c>
      <c r="L241" s="13" t="s">
        <v>63</v>
      </c>
      <c r="M241" s="13">
        <v>62</v>
      </c>
      <c r="N241" s="13">
        <v>2</v>
      </c>
      <c r="O241" s="13">
        <v>1</v>
      </c>
      <c r="P241" s="13" t="s">
        <v>76</v>
      </c>
      <c r="Q241" s="13">
        <v>3</v>
      </c>
      <c r="R241" s="13" t="s">
        <v>48</v>
      </c>
      <c r="S241" s="20">
        <v>3730</v>
      </c>
      <c r="T241" s="13">
        <v>9571</v>
      </c>
      <c r="U241" s="13">
        <v>0</v>
      </c>
      <c r="V241" s="13" t="s">
        <v>52</v>
      </c>
      <c r="W241" s="13" t="s">
        <v>36</v>
      </c>
      <c r="X241" s="13">
        <v>14</v>
      </c>
      <c r="Y241" s="13">
        <v>3</v>
      </c>
      <c r="Z241" s="13">
        <v>4</v>
      </c>
      <c r="AA241" s="13">
        <v>80</v>
      </c>
      <c r="AB241" s="13">
        <v>0</v>
      </c>
      <c r="AC241" s="13">
        <v>4</v>
      </c>
      <c r="AD241" s="13">
        <v>2</v>
      </c>
      <c r="AE241" s="13">
        <v>1</v>
      </c>
      <c r="AF241" s="14">
        <v>3</v>
      </c>
      <c r="AG241" s="13">
        <v>2</v>
      </c>
      <c r="AH241" s="13">
        <v>1</v>
      </c>
      <c r="AI241" s="13">
        <v>2</v>
      </c>
      <c r="AJ241" s="13" t="str">
        <f t="shared" si="3"/>
        <v>30-39</v>
      </c>
      <c r="AK241" s="13" t="str">
        <f>IF(tblCleanData[[#This Row],[MonthlyIncome]]&lt;5000, "Low Income", IF(tblCleanData[[#This Row],[MonthlyIncome]]&lt;15000, "Medium Income", "High Income"))</f>
        <v>Low Income</v>
      </c>
      <c r="AL241" s="13">
        <f>IF(tblCleanData[[#This Row],[Attrition]]="No", 0,1)</f>
        <v>1</v>
      </c>
      <c r="AM241" s="13">
        <f>IF(tblCleanData[[#This Row],[OverTime]] = "No", 0, 1)</f>
        <v>1</v>
      </c>
      <c r="AN241" s="13" t="str">
        <f>CHOOSE(tblCleanData[[#This Row],[Education]], "Below College","College","Bachelor","Master","Doctor")</f>
        <v>Bachelor</v>
      </c>
      <c r="AO241" s="13" t="str">
        <f>VLOOKUP(tblCleanData[[#This Row],[EmployeeNumber]],tblHelpers[],15,TRUE)</f>
        <v>High Risk</v>
      </c>
      <c r="AP241" s="13">
        <f>VLOOKUP(tblCleanData[[#This Row],[EmployeeNumber]],tblHelpers[],14,0)</f>
        <v>78</v>
      </c>
    </row>
    <row r="242" spans="1:42" x14ac:dyDescent="0.25">
      <c r="A242" s="13">
        <v>39</v>
      </c>
      <c r="B242" s="13" t="s">
        <v>59</v>
      </c>
      <c r="C242" s="13" t="s">
        <v>37</v>
      </c>
      <c r="D242" s="13">
        <v>1431</v>
      </c>
      <c r="E242" s="13" t="s">
        <v>62</v>
      </c>
      <c r="F242" s="13">
        <v>1</v>
      </c>
      <c r="G242" s="13">
        <v>4</v>
      </c>
      <c r="H242" s="13" t="s">
        <v>87</v>
      </c>
      <c r="I242" s="13">
        <v>1</v>
      </c>
      <c r="J242" s="13">
        <v>332</v>
      </c>
      <c r="K242" s="13">
        <v>3</v>
      </c>
      <c r="L242" s="13" t="s">
        <v>43</v>
      </c>
      <c r="M242" s="13">
        <v>96</v>
      </c>
      <c r="N242" s="13">
        <v>3</v>
      </c>
      <c r="O242" s="13">
        <v>1</v>
      </c>
      <c r="P242" s="13" t="s">
        <v>76</v>
      </c>
      <c r="Q242" s="13">
        <v>3</v>
      </c>
      <c r="R242" s="13" t="s">
        <v>109</v>
      </c>
      <c r="S242" s="20">
        <v>2232</v>
      </c>
      <c r="T242" s="13">
        <v>15417</v>
      </c>
      <c r="U242" s="13">
        <v>7</v>
      </c>
      <c r="V242" s="13" t="s">
        <v>52</v>
      </c>
      <c r="W242" s="13" t="s">
        <v>59</v>
      </c>
      <c r="X242" s="13">
        <v>14</v>
      </c>
      <c r="Y242" s="13">
        <v>3</v>
      </c>
      <c r="Z242" s="13">
        <v>3</v>
      </c>
      <c r="AA242" s="13">
        <v>80</v>
      </c>
      <c r="AB242" s="13">
        <v>3</v>
      </c>
      <c r="AC242" s="13">
        <v>7</v>
      </c>
      <c r="AD242" s="13">
        <v>1</v>
      </c>
      <c r="AE242" s="13">
        <v>3</v>
      </c>
      <c r="AF242" s="14">
        <v>3</v>
      </c>
      <c r="AG242" s="13">
        <v>2</v>
      </c>
      <c r="AH242" s="13">
        <v>1</v>
      </c>
      <c r="AI242" s="13">
        <v>2</v>
      </c>
      <c r="AJ242" s="13" t="str">
        <f t="shared" si="3"/>
        <v>30-39</v>
      </c>
      <c r="AK242" s="13" t="str">
        <f>IF(tblCleanData[[#This Row],[MonthlyIncome]]&lt;5000, "Low Income", IF(tblCleanData[[#This Row],[MonthlyIncome]]&lt;15000, "Medium Income", "High Income"))</f>
        <v>Low Income</v>
      </c>
      <c r="AL242" s="13">
        <f>IF(tblCleanData[[#This Row],[Attrition]]="No", 0,1)</f>
        <v>0</v>
      </c>
      <c r="AM242" s="13">
        <f>IF(tblCleanData[[#This Row],[OverTime]] = "No", 0, 1)</f>
        <v>0</v>
      </c>
      <c r="AN242" s="13" t="str">
        <f>CHOOSE(tblCleanData[[#This Row],[Education]], "Below College","College","Bachelor","Master","Doctor")</f>
        <v>Master</v>
      </c>
      <c r="AO242" s="13" t="str">
        <f>VLOOKUP(tblCleanData[[#This Row],[EmployeeNumber]],tblHelpers[],15,TRUE)</f>
        <v>Medium Risk</v>
      </c>
      <c r="AP242" s="13">
        <f>VLOOKUP(tblCleanData[[#This Row],[EmployeeNumber]],tblHelpers[],14,0)</f>
        <v>53</v>
      </c>
    </row>
    <row r="243" spans="1:42" x14ac:dyDescent="0.25">
      <c r="A243" s="13">
        <v>32</v>
      </c>
      <c r="B243" s="13" t="s">
        <v>59</v>
      </c>
      <c r="C243" s="13" t="s">
        <v>161</v>
      </c>
      <c r="D243" s="13">
        <v>976</v>
      </c>
      <c r="E243" s="13" t="s">
        <v>39</v>
      </c>
      <c r="F243" s="13">
        <v>26</v>
      </c>
      <c r="G243" s="13">
        <v>4</v>
      </c>
      <c r="H243" s="13" t="s">
        <v>206</v>
      </c>
      <c r="I243" s="13">
        <v>1</v>
      </c>
      <c r="J243" s="13">
        <v>333</v>
      </c>
      <c r="K243" s="13">
        <v>3</v>
      </c>
      <c r="L243" s="13" t="s">
        <v>63</v>
      </c>
      <c r="M243" s="13">
        <v>100</v>
      </c>
      <c r="N243" s="13">
        <v>3</v>
      </c>
      <c r="O243" s="13">
        <v>2</v>
      </c>
      <c r="P243" s="13" t="s">
        <v>46</v>
      </c>
      <c r="Q243" s="13">
        <v>4</v>
      </c>
      <c r="R243" s="13" t="s">
        <v>66</v>
      </c>
      <c r="S243" s="20">
        <v>4465</v>
      </c>
      <c r="T243" s="13">
        <v>12069</v>
      </c>
      <c r="U243" s="13">
        <v>0</v>
      </c>
      <c r="V243" s="13" t="s">
        <v>52</v>
      </c>
      <c r="W243" s="13" t="s">
        <v>59</v>
      </c>
      <c r="X243" s="13">
        <v>18</v>
      </c>
      <c r="Y243" s="13">
        <v>3</v>
      </c>
      <c r="Z243" s="13">
        <v>1</v>
      </c>
      <c r="AA243" s="13">
        <v>80</v>
      </c>
      <c r="AB243" s="13">
        <v>0</v>
      </c>
      <c r="AC243" s="13">
        <v>4</v>
      </c>
      <c r="AD243" s="13">
        <v>2</v>
      </c>
      <c r="AE243" s="13">
        <v>3</v>
      </c>
      <c r="AF243" s="14">
        <v>3</v>
      </c>
      <c r="AG243" s="13">
        <v>2</v>
      </c>
      <c r="AH243" s="13">
        <v>2</v>
      </c>
      <c r="AI243" s="13">
        <v>2</v>
      </c>
      <c r="AJ243" s="13" t="str">
        <f t="shared" si="3"/>
        <v>30-39</v>
      </c>
      <c r="AK243" s="13" t="str">
        <f>IF(tblCleanData[[#This Row],[MonthlyIncome]]&lt;5000, "Low Income", IF(tblCleanData[[#This Row],[MonthlyIncome]]&lt;15000, "Medium Income", "High Income"))</f>
        <v>Low Income</v>
      </c>
      <c r="AL243" s="13">
        <f>IF(tblCleanData[[#This Row],[Attrition]]="No", 0,1)</f>
        <v>0</v>
      </c>
      <c r="AM243" s="13">
        <f>IF(tblCleanData[[#This Row],[OverTime]] = "No", 0, 1)</f>
        <v>0</v>
      </c>
      <c r="AN243" s="13" t="str">
        <f>CHOOSE(tblCleanData[[#This Row],[Education]], "Below College","College","Bachelor","Master","Doctor")</f>
        <v>Master</v>
      </c>
      <c r="AO243" s="13" t="str">
        <f>VLOOKUP(tblCleanData[[#This Row],[EmployeeNumber]],tblHelpers[],15,TRUE)</f>
        <v>Medium Risk</v>
      </c>
      <c r="AP243" s="13">
        <f>VLOOKUP(tblCleanData[[#This Row],[EmployeeNumber]],tblHelpers[],14,0)</f>
        <v>46</v>
      </c>
    </row>
    <row r="244" spans="1:42" x14ac:dyDescent="0.25">
      <c r="A244" s="13">
        <v>41</v>
      </c>
      <c r="B244" s="13" t="s">
        <v>59</v>
      </c>
      <c r="C244" s="13" t="s">
        <v>37</v>
      </c>
      <c r="D244" s="13">
        <v>1411</v>
      </c>
      <c r="E244" s="13" t="s">
        <v>62</v>
      </c>
      <c r="F244" s="13">
        <v>19</v>
      </c>
      <c r="G244" s="13">
        <v>2</v>
      </c>
      <c r="H244" s="13" t="s">
        <v>42</v>
      </c>
      <c r="I244" s="13">
        <v>1</v>
      </c>
      <c r="J244" s="13">
        <v>334</v>
      </c>
      <c r="K244" s="13">
        <v>3</v>
      </c>
      <c r="L244" s="13" t="s">
        <v>63</v>
      </c>
      <c r="M244" s="13">
        <v>36</v>
      </c>
      <c r="N244" s="13">
        <v>3</v>
      </c>
      <c r="O244" s="13">
        <v>2</v>
      </c>
      <c r="P244" s="13" t="s">
        <v>65</v>
      </c>
      <c r="Q244" s="13">
        <v>1</v>
      </c>
      <c r="R244" s="13" t="s">
        <v>109</v>
      </c>
      <c r="S244" s="20">
        <v>3072</v>
      </c>
      <c r="T244" s="13">
        <v>19877</v>
      </c>
      <c r="U244" s="13">
        <v>2</v>
      </c>
      <c r="V244" s="13" t="s">
        <v>52</v>
      </c>
      <c r="W244" s="13" t="s">
        <v>59</v>
      </c>
      <c r="X244" s="13">
        <v>16</v>
      </c>
      <c r="Y244" s="13">
        <v>3</v>
      </c>
      <c r="Z244" s="13">
        <v>1</v>
      </c>
      <c r="AA244" s="13">
        <v>80</v>
      </c>
      <c r="AB244" s="13">
        <v>2</v>
      </c>
      <c r="AC244" s="13">
        <v>17</v>
      </c>
      <c r="AD244" s="13">
        <v>2</v>
      </c>
      <c r="AE244" s="13">
        <v>2</v>
      </c>
      <c r="AF244" s="14">
        <v>1</v>
      </c>
      <c r="AG244" s="13">
        <v>0</v>
      </c>
      <c r="AH244" s="13">
        <v>0</v>
      </c>
      <c r="AI244" s="13">
        <v>0</v>
      </c>
      <c r="AJ244" s="13" t="str">
        <f t="shared" si="3"/>
        <v>40-49</v>
      </c>
      <c r="AK244" s="13" t="str">
        <f>IF(tblCleanData[[#This Row],[MonthlyIncome]]&lt;5000, "Low Income", IF(tblCleanData[[#This Row],[MonthlyIncome]]&lt;15000, "Medium Income", "High Income"))</f>
        <v>Low Income</v>
      </c>
      <c r="AL244" s="13">
        <f>IF(tblCleanData[[#This Row],[Attrition]]="No", 0,1)</f>
        <v>0</v>
      </c>
      <c r="AM244" s="13">
        <f>IF(tblCleanData[[#This Row],[OverTime]] = "No", 0, 1)</f>
        <v>0</v>
      </c>
      <c r="AN244" s="13" t="str">
        <f>CHOOSE(tblCleanData[[#This Row],[Education]], "Below College","College","Bachelor","Master","Doctor")</f>
        <v>College</v>
      </c>
      <c r="AO244" s="13" t="str">
        <f>VLOOKUP(tblCleanData[[#This Row],[EmployeeNumber]],tblHelpers[],15,TRUE)</f>
        <v>High Risk</v>
      </c>
      <c r="AP244" s="13">
        <f>VLOOKUP(tblCleanData[[#This Row],[EmployeeNumber]],tblHelpers[],14,0)</f>
        <v>65</v>
      </c>
    </row>
    <row r="245" spans="1:42" x14ac:dyDescent="0.25">
      <c r="A245" s="13">
        <v>40</v>
      </c>
      <c r="B245" s="13" t="s">
        <v>59</v>
      </c>
      <c r="C245" s="13" t="s">
        <v>37</v>
      </c>
      <c r="D245" s="13">
        <v>1300</v>
      </c>
      <c r="E245" s="13" t="s">
        <v>62</v>
      </c>
      <c r="F245" s="13">
        <v>24</v>
      </c>
      <c r="G245" s="13">
        <v>2</v>
      </c>
      <c r="H245" s="13" t="s">
        <v>228</v>
      </c>
      <c r="I245" s="13">
        <v>1</v>
      </c>
      <c r="J245" s="13">
        <v>335</v>
      </c>
      <c r="K245" s="13">
        <v>1</v>
      </c>
      <c r="L245" s="13" t="s">
        <v>63</v>
      </c>
      <c r="M245" s="13">
        <v>62</v>
      </c>
      <c r="N245" s="13">
        <v>3</v>
      </c>
      <c r="O245" s="13">
        <v>2</v>
      </c>
      <c r="P245" s="13" t="s">
        <v>65</v>
      </c>
      <c r="Q245" s="13">
        <v>4</v>
      </c>
      <c r="R245" s="13" t="s">
        <v>109</v>
      </c>
      <c r="S245" s="20">
        <v>3319</v>
      </c>
      <c r="T245" s="13">
        <v>24447</v>
      </c>
      <c r="U245" s="13">
        <v>1</v>
      </c>
      <c r="V245" s="13" t="s">
        <v>52</v>
      </c>
      <c r="W245" s="13" t="s">
        <v>59</v>
      </c>
      <c r="X245" s="13">
        <v>17</v>
      </c>
      <c r="Y245" s="13">
        <v>3</v>
      </c>
      <c r="Z245" s="13">
        <v>1</v>
      </c>
      <c r="AA245" s="13">
        <v>80</v>
      </c>
      <c r="AB245" s="13">
        <v>2</v>
      </c>
      <c r="AC245" s="13">
        <v>9</v>
      </c>
      <c r="AD245" s="13">
        <v>3</v>
      </c>
      <c r="AE245" s="13">
        <v>3</v>
      </c>
      <c r="AF245" s="14">
        <v>9</v>
      </c>
      <c r="AG245" s="13">
        <v>8</v>
      </c>
      <c r="AH245" s="13">
        <v>4</v>
      </c>
      <c r="AI245" s="13">
        <v>7</v>
      </c>
      <c r="AJ245" s="13" t="str">
        <f t="shared" si="3"/>
        <v>40-49</v>
      </c>
      <c r="AK245" s="13" t="str">
        <f>IF(tblCleanData[[#This Row],[MonthlyIncome]]&lt;5000, "Low Income", IF(tblCleanData[[#This Row],[MonthlyIncome]]&lt;15000, "Medium Income", "High Income"))</f>
        <v>Low Income</v>
      </c>
      <c r="AL245" s="13">
        <f>IF(tblCleanData[[#This Row],[Attrition]]="No", 0,1)</f>
        <v>0</v>
      </c>
      <c r="AM245" s="13">
        <f>IF(tblCleanData[[#This Row],[OverTime]] = "No", 0, 1)</f>
        <v>0</v>
      </c>
      <c r="AN245" s="13" t="str">
        <f>CHOOSE(tblCleanData[[#This Row],[Education]], "Below College","College","Bachelor","Master","Doctor")</f>
        <v>College</v>
      </c>
      <c r="AO245" s="13" t="str">
        <f>VLOOKUP(tblCleanData[[#This Row],[EmployeeNumber]],tblHelpers[],15,TRUE)</f>
        <v>Low Risk</v>
      </c>
      <c r="AP245" s="13">
        <f>VLOOKUP(tblCleanData[[#This Row],[EmployeeNumber]],tblHelpers[],14,0)</f>
        <v>29</v>
      </c>
    </row>
    <row r="246" spans="1:42" x14ac:dyDescent="0.25">
      <c r="A246" s="13">
        <v>45</v>
      </c>
      <c r="B246" s="13" t="s">
        <v>59</v>
      </c>
      <c r="C246" s="13" t="s">
        <v>37</v>
      </c>
      <c r="D246" s="13">
        <v>252</v>
      </c>
      <c r="E246" s="13" t="s">
        <v>62</v>
      </c>
      <c r="F246" s="13">
        <v>1</v>
      </c>
      <c r="G246" s="13">
        <v>3</v>
      </c>
      <c r="H246" s="13" t="s">
        <v>74</v>
      </c>
      <c r="I246" s="13">
        <v>1</v>
      </c>
      <c r="J246" s="13">
        <v>336</v>
      </c>
      <c r="K246" s="13">
        <v>3</v>
      </c>
      <c r="L246" s="13" t="s">
        <v>63</v>
      </c>
      <c r="M246" s="13">
        <v>70</v>
      </c>
      <c r="N246" s="13">
        <v>4</v>
      </c>
      <c r="O246" s="13">
        <v>5</v>
      </c>
      <c r="P246" s="13" t="s">
        <v>169</v>
      </c>
      <c r="Q246" s="13">
        <v>4</v>
      </c>
      <c r="R246" s="13" t="s">
        <v>66</v>
      </c>
      <c r="S246" s="20">
        <v>19202</v>
      </c>
      <c r="T246" s="13">
        <v>15970</v>
      </c>
      <c r="U246" s="13">
        <v>0</v>
      </c>
      <c r="V246" s="13" t="s">
        <v>52</v>
      </c>
      <c r="W246" s="13" t="s">
        <v>59</v>
      </c>
      <c r="X246" s="13">
        <v>11</v>
      </c>
      <c r="Y246" s="13">
        <v>3</v>
      </c>
      <c r="Z246" s="13">
        <v>3</v>
      </c>
      <c r="AA246" s="13">
        <v>80</v>
      </c>
      <c r="AB246" s="13">
        <v>1</v>
      </c>
      <c r="AC246" s="13">
        <v>25</v>
      </c>
      <c r="AD246" s="13">
        <v>2</v>
      </c>
      <c r="AE246" s="13">
        <v>3</v>
      </c>
      <c r="AF246" s="14">
        <v>24</v>
      </c>
      <c r="AG246" s="13">
        <v>0</v>
      </c>
      <c r="AH246" s="13">
        <v>1</v>
      </c>
      <c r="AI246" s="13">
        <v>7</v>
      </c>
      <c r="AJ246" s="13" t="str">
        <f t="shared" si="3"/>
        <v>40-49</v>
      </c>
      <c r="AK246" s="13" t="str">
        <f>IF(tblCleanData[[#This Row],[MonthlyIncome]]&lt;5000, "Low Income", IF(tblCleanData[[#This Row],[MonthlyIncome]]&lt;15000, "Medium Income", "High Income"))</f>
        <v>High Income</v>
      </c>
      <c r="AL246" s="13">
        <f>IF(tblCleanData[[#This Row],[Attrition]]="No", 0,1)</f>
        <v>0</v>
      </c>
      <c r="AM246" s="13">
        <f>IF(tblCleanData[[#This Row],[OverTime]] = "No", 0, 1)</f>
        <v>0</v>
      </c>
      <c r="AN246" s="13" t="str">
        <f>CHOOSE(tblCleanData[[#This Row],[Education]], "Below College","College","Bachelor","Master","Doctor")</f>
        <v>Bachelor</v>
      </c>
      <c r="AO246" s="13" t="str">
        <f>VLOOKUP(tblCleanData[[#This Row],[EmployeeNumber]],tblHelpers[],15,TRUE)</f>
        <v>Low Risk</v>
      </c>
      <c r="AP246" s="13">
        <f>VLOOKUP(tblCleanData[[#This Row],[EmployeeNumber]],tblHelpers[],14,0)</f>
        <v>24</v>
      </c>
    </row>
    <row r="247" spans="1:42" x14ac:dyDescent="0.25">
      <c r="A247" s="13">
        <v>31</v>
      </c>
      <c r="B247" s="13" t="s">
        <v>59</v>
      </c>
      <c r="C247" s="13" t="s">
        <v>60</v>
      </c>
      <c r="D247" s="13">
        <v>1327</v>
      </c>
      <c r="E247" s="13" t="s">
        <v>62</v>
      </c>
      <c r="F247" s="13">
        <v>3</v>
      </c>
      <c r="G247" s="13">
        <v>4</v>
      </c>
      <c r="H247" s="13" t="s">
        <v>87</v>
      </c>
      <c r="I247" s="13">
        <v>1</v>
      </c>
      <c r="J247" s="13">
        <v>337</v>
      </c>
      <c r="K247" s="13">
        <v>2</v>
      </c>
      <c r="L247" s="13" t="s">
        <v>63</v>
      </c>
      <c r="M247" s="13">
        <v>73</v>
      </c>
      <c r="N247" s="13">
        <v>3</v>
      </c>
      <c r="O247" s="13">
        <v>3</v>
      </c>
      <c r="P247" s="13" t="s">
        <v>186</v>
      </c>
      <c r="Q247" s="13">
        <v>3</v>
      </c>
      <c r="R247" s="13" t="s">
        <v>109</v>
      </c>
      <c r="S247" s="20">
        <v>13675</v>
      </c>
      <c r="T247" s="13">
        <v>13523</v>
      </c>
      <c r="U247" s="13">
        <v>9</v>
      </c>
      <c r="V247" s="13" t="s">
        <v>52</v>
      </c>
      <c r="W247" s="13" t="s">
        <v>59</v>
      </c>
      <c r="X247" s="13">
        <v>12</v>
      </c>
      <c r="Y247" s="13">
        <v>3</v>
      </c>
      <c r="Z247" s="13">
        <v>1</v>
      </c>
      <c r="AA247" s="13">
        <v>80</v>
      </c>
      <c r="AB247" s="13">
        <v>1</v>
      </c>
      <c r="AC247" s="13">
        <v>9</v>
      </c>
      <c r="AD247" s="13">
        <v>3</v>
      </c>
      <c r="AE247" s="13">
        <v>3</v>
      </c>
      <c r="AF247" s="14">
        <v>2</v>
      </c>
      <c r="AG247" s="13">
        <v>2</v>
      </c>
      <c r="AH247" s="13">
        <v>2</v>
      </c>
      <c r="AI247" s="13">
        <v>2</v>
      </c>
      <c r="AJ247" s="13" t="str">
        <f t="shared" si="3"/>
        <v>30-39</v>
      </c>
      <c r="AK247" s="13" t="str">
        <f>IF(tblCleanData[[#This Row],[MonthlyIncome]]&lt;5000, "Low Income", IF(tblCleanData[[#This Row],[MonthlyIncome]]&lt;15000, "Medium Income", "High Income"))</f>
        <v>Medium Income</v>
      </c>
      <c r="AL247" s="13">
        <f>IF(tblCleanData[[#This Row],[Attrition]]="No", 0,1)</f>
        <v>0</v>
      </c>
      <c r="AM247" s="13">
        <f>IF(tblCleanData[[#This Row],[OverTime]] = "No", 0, 1)</f>
        <v>0</v>
      </c>
      <c r="AN247" s="13" t="str">
        <f>CHOOSE(tblCleanData[[#This Row],[Education]], "Below College","College","Bachelor","Master","Doctor")</f>
        <v>Master</v>
      </c>
      <c r="AO247" s="13" t="str">
        <f>VLOOKUP(tblCleanData[[#This Row],[EmployeeNumber]],tblHelpers[],15,TRUE)</f>
        <v>High Risk</v>
      </c>
      <c r="AP247" s="13">
        <f>VLOOKUP(tblCleanData[[#This Row],[EmployeeNumber]],tblHelpers[],14,0)</f>
        <v>63</v>
      </c>
    </row>
    <row r="248" spans="1:42" x14ac:dyDescent="0.25">
      <c r="A248" s="13">
        <v>33</v>
      </c>
      <c r="B248" s="13" t="s">
        <v>59</v>
      </c>
      <c r="C248" s="13" t="s">
        <v>37</v>
      </c>
      <c r="D248" s="13">
        <v>832</v>
      </c>
      <c r="E248" s="13" t="s">
        <v>62</v>
      </c>
      <c r="F248" s="13">
        <v>5</v>
      </c>
      <c r="G248" s="13">
        <v>4</v>
      </c>
      <c r="H248" s="13" t="s">
        <v>42</v>
      </c>
      <c r="I248" s="13">
        <v>1</v>
      </c>
      <c r="J248" s="13">
        <v>338</v>
      </c>
      <c r="K248" s="13">
        <v>3</v>
      </c>
      <c r="L248" s="13" t="s">
        <v>43</v>
      </c>
      <c r="M248" s="13">
        <v>63</v>
      </c>
      <c r="N248" s="13">
        <v>2</v>
      </c>
      <c r="O248" s="13">
        <v>1</v>
      </c>
      <c r="P248" s="13" t="s">
        <v>65</v>
      </c>
      <c r="Q248" s="13">
        <v>4</v>
      </c>
      <c r="R248" s="13" t="s">
        <v>66</v>
      </c>
      <c r="S248" s="20">
        <v>2911</v>
      </c>
      <c r="T248" s="13">
        <v>14776</v>
      </c>
      <c r="U248" s="13">
        <v>1</v>
      </c>
      <c r="V248" s="13" t="s">
        <v>52</v>
      </c>
      <c r="W248" s="13" t="s">
        <v>59</v>
      </c>
      <c r="X248" s="13">
        <v>13</v>
      </c>
      <c r="Y248" s="13">
        <v>3</v>
      </c>
      <c r="Z248" s="13">
        <v>3</v>
      </c>
      <c r="AA248" s="13">
        <v>80</v>
      </c>
      <c r="AB248" s="13">
        <v>1</v>
      </c>
      <c r="AC248" s="13">
        <v>2</v>
      </c>
      <c r="AD248" s="13">
        <v>2</v>
      </c>
      <c r="AE248" s="13">
        <v>2</v>
      </c>
      <c r="AF248" s="14">
        <v>2</v>
      </c>
      <c r="AG248" s="13">
        <v>2</v>
      </c>
      <c r="AH248" s="13">
        <v>0</v>
      </c>
      <c r="AI248" s="13">
        <v>2</v>
      </c>
      <c r="AJ248" s="13" t="str">
        <f t="shared" si="3"/>
        <v>30-39</v>
      </c>
      <c r="AK248" s="13" t="str">
        <f>IF(tblCleanData[[#This Row],[MonthlyIncome]]&lt;5000, "Low Income", IF(tblCleanData[[#This Row],[MonthlyIncome]]&lt;15000, "Medium Income", "High Income"))</f>
        <v>Low Income</v>
      </c>
      <c r="AL248" s="13">
        <f>IF(tblCleanData[[#This Row],[Attrition]]="No", 0,1)</f>
        <v>0</v>
      </c>
      <c r="AM248" s="13">
        <f>IF(tblCleanData[[#This Row],[OverTime]] = "No", 0, 1)</f>
        <v>0</v>
      </c>
      <c r="AN248" s="13" t="str">
        <f>CHOOSE(tblCleanData[[#This Row],[Education]], "Below College","College","Bachelor","Master","Doctor")</f>
        <v>Master</v>
      </c>
      <c r="AO248" s="13" t="str">
        <f>VLOOKUP(tblCleanData[[#This Row],[EmployeeNumber]],tblHelpers[],15,TRUE)</f>
        <v>High Risk</v>
      </c>
      <c r="AP248" s="13">
        <f>VLOOKUP(tblCleanData[[#This Row],[EmployeeNumber]],tblHelpers[],14,0)</f>
        <v>56</v>
      </c>
    </row>
    <row r="249" spans="1:42" x14ac:dyDescent="0.25">
      <c r="A249" s="13">
        <v>34</v>
      </c>
      <c r="B249" s="13" t="s">
        <v>59</v>
      </c>
      <c r="C249" s="13" t="s">
        <v>37</v>
      </c>
      <c r="D249" s="13">
        <v>470</v>
      </c>
      <c r="E249" s="13" t="s">
        <v>62</v>
      </c>
      <c r="F249" s="13">
        <v>2</v>
      </c>
      <c r="G249" s="13">
        <v>4</v>
      </c>
      <c r="H249" s="13" t="s">
        <v>42</v>
      </c>
      <c r="I249" s="13">
        <v>1</v>
      </c>
      <c r="J249" s="13">
        <v>339</v>
      </c>
      <c r="K249" s="13">
        <v>4</v>
      </c>
      <c r="L249" s="13" t="s">
        <v>63</v>
      </c>
      <c r="M249" s="13">
        <v>84</v>
      </c>
      <c r="N249" s="13">
        <v>2</v>
      </c>
      <c r="O249" s="13">
        <v>2</v>
      </c>
      <c r="P249" s="13" t="s">
        <v>116</v>
      </c>
      <c r="Q249" s="13">
        <v>1</v>
      </c>
      <c r="R249" s="13" t="s">
        <v>66</v>
      </c>
      <c r="S249" s="20">
        <v>5957</v>
      </c>
      <c r="T249" s="13">
        <v>23687</v>
      </c>
      <c r="U249" s="13">
        <v>6</v>
      </c>
      <c r="V249" s="13" t="s">
        <v>52</v>
      </c>
      <c r="W249" s="13" t="s">
        <v>59</v>
      </c>
      <c r="X249" s="13">
        <v>13</v>
      </c>
      <c r="Y249" s="13">
        <v>3</v>
      </c>
      <c r="Z249" s="13">
        <v>2</v>
      </c>
      <c r="AA249" s="13">
        <v>80</v>
      </c>
      <c r="AB249" s="13">
        <v>1</v>
      </c>
      <c r="AC249" s="13">
        <v>13</v>
      </c>
      <c r="AD249" s="13">
        <v>3</v>
      </c>
      <c r="AE249" s="13">
        <v>3</v>
      </c>
      <c r="AF249" s="14">
        <v>11</v>
      </c>
      <c r="AG249" s="13">
        <v>9</v>
      </c>
      <c r="AH249" s="13">
        <v>5</v>
      </c>
      <c r="AI249" s="13">
        <v>9</v>
      </c>
      <c r="AJ249" s="13" t="str">
        <f t="shared" si="3"/>
        <v>30-39</v>
      </c>
      <c r="AK249" s="13" t="str">
        <f>IF(tblCleanData[[#This Row],[MonthlyIncome]]&lt;5000, "Low Income", IF(tblCleanData[[#This Row],[MonthlyIncome]]&lt;15000, "Medium Income", "High Income"))</f>
        <v>Medium Income</v>
      </c>
      <c r="AL249" s="13">
        <f>IF(tblCleanData[[#This Row],[Attrition]]="No", 0,1)</f>
        <v>0</v>
      </c>
      <c r="AM249" s="13">
        <f>IF(tblCleanData[[#This Row],[OverTime]] = "No", 0, 1)</f>
        <v>0</v>
      </c>
      <c r="AN249" s="13" t="str">
        <f>CHOOSE(tblCleanData[[#This Row],[Education]], "Below College","College","Bachelor","Master","Doctor")</f>
        <v>Master</v>
      </c>
      <c r="AO249" s="13" t="str">
        <f>VLOOKUP(tblCleanData[[#This Row],[EmployeeNumber]],tblHelpers[],15,TRUE)</f>
        <v>Medium Risk</v>
      </c>
      <c r="AP249" s="13">
        <f>VLOOKUP(tblCleanData[[#This Row],[EmployeeNumber]],tblHelpers[],14,0)</f>
        <v>53</v>
      </c>
    </row>
    <row r="250" spans="1:42" x14ac:dyDescent="0.25">
      <c r="A250" s="13">
        <v>37</v>
      </c>
      <c r="B250" s="13" t="s">
        <v>59</v>
      </c>
      <c r="C250" s="13" t="s">
        <v>37</v>
      </c>
      <c r="D250" s="13">
        <v>1017</v>
      </c>
      <c r="E250" s="13" t="s">
        <v>62</v>
      </c>
      <c r="F250" s="13">
        <v>1</v>
      </c>
      <c r="G250" s="13">
        <v>2</v>
      </c>
      <c r="H250" s="13" t="s">
        <v>87</v>
      </c>
      <c r="I250" s="13">
        <v>1</v>
      </c>
      <c r="J250" s="13">
        <v>340</v>
      </c>
      <c r="K250" s="13">
        <v>3</v>
      </c>
      <c r="L250" s="13" t="s">
        <v>43</v>
      </c>
      <c r="M250" s="13">
        <v>83</v>
      </c>
      <c r="N250" s="13">
        <v>2</v>
      </c>
      <c r="O250" s="13">
        <v>1</v>
      </c>
      <c r="P250" s="13" t="s">
        <v>65</v>
      </c>
      <c r="Q250" s="13">
        <v>1</v>
      </c>
      <c r="R250" s="13" t="s">
        <v>66</v>
      </c>
      <c r="S250" s="20">
        <v>3920</v>
      </c>
      <c r="T250" s="13">
        <v>18697</v>
      </c>
      <c r="U250" s="13">
        <v>2</v>
      </c>
      <c r="V250" s="13" t="s">
        <v>52</v>
      </c>
      <c r="W250" s="13" t="s">
        <v>59</v>
      </c>
      <c r="X250" s="13">
        <v>14</v>
      </c>
      <c r="Y250" s="13">
        <v>3</v>
      </c>
      <c r="Z250" s="13">
        <v>1</v>
      </c>
      <c r="AA250" s="13">
        <v>80</v>
      </c>
      <c r="AB250" s="13">
        <v>1</v>
      </c>
      <c r="AC250" s="13">
        <v>17</v>
      </c>
      <c r="AD250" s="13">
        <v>2</v>
      </c>
      <c r="AE250" s="13">
        <v>2</v>
      </c>
      <c r="AF250" s="14">
        <v>3</v>
      </c>
      <c r="AG250" s="13">
        <v>1</v>
      </c>
      <c r="AH250" s="13">
        <v>0</v>
      </c>
      <c r="AI250" s="13">
        <v>2</v>
      </c>
      <c r="AJ250" s="13" t="str">
        <f t="shared" si="3"/>
        <v>30-39</v>
      </c>
      <c r="AK250" s="13" t="str">
        <f>IF(tblCleanData[[#This Row],[MonthlyIncome]]&lt;5000, "Low Income", IF(tblCleanData[[#This Row],[MonthlyIncome]]&lt;15000, "Medium Income", "High Income"))</f>
        <v>Low Income</v>
      </c>
      <c r="AL250" s="13">
        <f>IF(tblCleanData[[#This Row],[Attrition]]="No", 0,1)</f>
        <v>0</v>
      </c>
      <c r="AM250" s="13">
        <f>IF(tblCleanData[[#This Row],[OverTime]] = "No", 0, 1)</f>
        <v>0</v>
      </c>
      <c r="AN250" s="13" t="str">
        <f>CHOOSE(tblCleanData[[#This Row],[Education]], "Below College","College","Bachelor","Master","Doctor")</f>
        <v>College</v>
      </c>
      <c r="AO250" s="13" t="str">
        <f>VLOOKUP(tblCleanData[[#This Row],[EmployeeNumber]],tblHelpers[],15,TRUE)</f>
        <v>High Risk</v>
      </c>
      <c r="AP250" s="13">
        <f>VLOOKUP(tblCleanData[[#This Row],[EmployeeNumber]],tblHelpers[],14,0)</f>
        <v>65</v>
      </c>
    </row>
    <row r="251" spans="1:42" x14ac:dyDescent="0.25">
      <c r="A251" s="13">
        <v>45</v>
      </c>
      <c r="B251" s="13" t="s">
        <v>59</v>
      </c>
      <c r="C251" s="13" t="s">
        <v>60</v>
      </c>
      <c r="D251" s="13">
        <v>1199</v>
      </c>
      <c r="E251" s="13" t="s">
        <v>62</v>
      </c>
      <c r="F251" s="13">
        <v>7</v>
      </c>
      <c r="G251" s="13">
        <v>4</v>
      </c>
      <c r="H251" s="13" t="s">
        <v>42</v>
      </c>
      <c r="I251" s="13">
        <v>1</v>
      </c>
      <c r="J251" s="13">
        <v>341</v>
      </c>
      <c r="K251" s="13">
        <v>1</v>
      </c>
      <c r="L251" s="13" t="s">
        <v>63</v>
      </c>
      <c r="M251" s="13">
        <v>77</v>
      </c>
      <c r="N251" s="13">
        <v>4</v>
      </c>
      <c r="O251" s="13">
        <v>2</v>
      </c>
      <c r="P251" s="13" t="s">
        <v>116</v>
      </c>
      <c r="Q251" s="13">
        <v>3</v>
      </c>
      <c r="R251" s="13" t="s">
        <v>66</v>
      </c>
      <c r="S251" s="20">
        <v>6434</v>
      </c>
      <c r="T251" s="13">
        <v>5118</v>
      </c>
      <c r="U251" s="13">
        <v>4</v>
      </c>
      <c r="V251" s="13" t="s">
        <v>52</v>
      </c>
      <c r="W251" s="13" t="s">
        <v>59</v>
      </c>
      <c r="X251" s="13">
        <v>17</v>
      </c>
      <c r="Y251" s="13">
        <v>3</v>
      </c>
      <c r="Z251" s="13">
        <v>4</v>
      </c>
      <c r="AA251" s="13">
        <v>80</v>
      </c>
      <c r="AB251" s="13">
        <v>1</v>
      </c>
      <c r="AC251" s="13">
        <v>9</v>
      </c>
      <c r="AD251" s="13">
        <v>1</v>
      </c>
      <c r="AE251" s="13">
        <v>3</v>
      </c>
      <c r="AF251" s="14">
        <v>3</v>
      </c>
      <c r="AG251" s="13">
        <v>2</v>
      </c>
      <c r="AH251" s="13">
        <v>0</v>
      </c>
      <c r="AI251" s="13">
        <v>2</v>
      </c>
      <c r="AJ251" s="13" t="str">
        <f t="shared" si="3"/>
        <v>40-49</v>
      </c>
      <c r="AK251" s="13" t="str">
        <f>IF(tblCleanData[[#This Row],[MonthlyIncome]]&lt;5000, "Low Income", IF(tblCleanData[[#This Row],[MonthlyIncome]]&lt;15000, "Medium Income", "High Income"))</f>
        <v>Medium Income</v>
      </c>
      <c r="AL251" s="13">
        <f>IF(tblCleanData[[#This Row],[Attrition]]="No", 0,1)</f>
        <v>0</v>
      </c>
      <c r="AM251" s="13">
        <f>IF(tblCleanData[[#This Row],[OverTime]] = "No", 0, 1)</f>
        <v>0</v>
      </c>
      <c r="AN251" s="13" t="str">
        <f>CHOOSE(tblCleanData[[#This Row],[Education]], "Below College","College","Bachelor","Master","Doctor")</f>
        <v>Master</v>
      </c>
      <c r="AO251" s="13" t="str">
        <f>VLOOKUP(tblCleanData[[#This Row],[EmployeeNumber]],tblHelpers[],15,TRUE)</f>
        <v>Medium Risk</v>
      </c>
      <c r="AP251" s="13">
        <f>VLOOKUP(tblCleanData[[#This Row],[EmployeeNumber]],tblHelpers[],14,0)</f>
        <v>43</v>
      </c>
    </row>
    <row r="252" spans="1:42" x14ac:dyDescent="0.25">
      <c r="A252" s="13">
        <v>37</v>
      </c>
      <c r="B252" s="13" t="s">
        <v>36</v>
      </c>
      <c r="C252" s="13" t="s">
        <v>60</v>
      </c>
      <c r="D252" s="13">
        <v>504</v>
      </c>
      <c r="E252" s="13" t="s">
        <v>62</v>
      </c>
      <c r="F252" s="13">
        <v>10</v>
      </c>
      <c r="G252" s="13">
        <v>3</v>
      </c>
      <c r="H252" s="13" t="s">
        <v>87</v>
      </c>
      <c r="I252" s="13">
        <v>1</v>
      </c>
      <c r="J252" s="13">
        <v>342</v>
      </c>
      <c r="K252" s="13">
        <v>1</v>
      </c>
      <c r="L252" s="13" t="s">
        <v>63</v>
      </c>
      <c r="M252" s="13">
        <v>61</v>
      </c>
      <c r="N252" s="13">
        <v>3</v>
      </c>
      <c r="O252" s="13">
        <v>3</v>
      </c>
      <c r="P252" s="13" t="s">
        <v>116</v>
      </c>
      <c r="Q252" s="13">
        <v>3</v>
      </c>
      <c r="R252" s="13" t="s">
        <v>109</v>
      </c>
      <c r="S252" s="20">
        <v>10048</v>
      </c>
      <c r="T252" s="13">
        <v>22573</v>
      </c>
      <c r="U252" s="13">
        <v>6</v>
      </c>
      <c r="V252" s="13" t="s">
        <v>52</v>
      </c>
      <c r="W252" s="13" t="s">
        <v>59</v>
      </c>
      <c r="X252" s="13">
        <v>11</v>
      </c>
      <c r="Y252" s="13">
        <v>3</v>
      </c>
      <c r="Z252" s="13">
        <v>2</v>
      </c>
      <c r="AA252" s="13">
        <v>80</v>
      </c>
      <c r="AB252" s="13">
        <v>2</v>
      </c>
      <c r="AC252" s="13">
        <v>17</v>
      </c>
      <c r="AD252" s="13">
        <v>5</v>
      </c>
      <c r="AE252" s="13">
        <v>3</v>
      </c>
      <c r="AF252" s="14">
        <v>1</v>
      </c>
      <c r="AG252" s="13">
        <v>0</v>
      </c>
      <c r="AH252" s="13">
        <v>0</v>
      </c>
      <c r="AI252" s="13">
        <v>0</v>
      </c>
      <c r="AJ252" s="13" t="str">
        <f t="shared" si="3"/>
        <v>30-39</v>
      </c>
      <c r="AK252" s="13" t="str">
        <f>IF(tblCleanData[[#This Row],[MonthlyIncome]]&lt;5000, "Low Income", IF(tblCleanData[[#This Row],[MonthlyIncome]]&lt;15000, "Medium Income", "High Income"))</f>
        <v>Medium Income</v>
      </c>
      <c r="AL252" s="13">
        <f>IF(tblCleanData[[#This Row],[Attrition]]="No", 0,1)</f>
        <v>1</v>
      </c>
      <c r="AM252" s="13">
        <f>IF(tblCleanData[[#This Row],[OverTime]] = "No", 0, 1)</f>
        <v>0</v>
      </c>
      <c r="AN252" s="13" t="str">
        <f>CHOOSE(tblCleanData[[#This Row],[Education]], "Below College","College","Bachelor","Master","Doctor")</f>
        <v>Bachelor</v>
      </c>
      <c r="AO252" s="13" t="str">
        <f>VLOOKUP(tblCleanData[[#This Row],[EmployeeNumber]],tblHelpers[],15,TRUE)</f>
        <v>High Risk</v>
      </c>
      <c r="AP252" s="13">
        <f>VLOOKUP(tblCleanData[[#This Row],[EmployeeNumber]],tblHelpers[],14,0)</f>
        <v>63</v>
      </c>
    </row>
    <row r="253" spans="1:42" x14ac:dyDescent="0.25">
      <c r="A253" s="13">
        <v>39</v>
      </c>
      <c r="B253" s="13" t="s">
        <v>59</v>
      </c>
      <c r="C253" s="13" t="s">
        <v>60</v>
      </c>
      <c r="D253" s="13">
        <v>505</v>
      </c>
      <c r="E253" s="13" t="s">
        <v>62</v>
      </c>
      <c r="F253" s="13">
        <v>2</v>
      </c>
      <c r="G253" s="13">
        <v>4</v>
      </c>
      <c r="H253" s="13" t="s">
        <v>228</v>
      </c>
      <c r="I253" s="13">
        <v>1</v>
      </c>
      <c r="J253" s="13">
        <v>343</v>
      </c>
      <c r="K253" s="13">
        <v>3</v>
      </c>
      <c r="L253" s="13" t="s">
        <v>43</v>
      </c>
      <c r="M253" s="13">
        <v>64</v>
      </c>
      <c r="N253" s="13">
        <v>3</v>
      </c>
      <c r="O253" s="13">
        <v>3</v>
      </c>
      <c r="P253" s="13" t="s">
        <v>122</v>
      </c>
      <c r="Q253" s="13">
        <v>3</v>
      </c>
      <c r="R253" s="13" t="s">
        <v>48</v>
      </c>
      <c r="S253" s="20">
        <v>10938</v>
      </c>
      <c r="T253" s="13">
        <v>6420</v>
      </c>
      <c r="U253" s="13">
        <v>0</v>
      </c>
      <c r="V253" s="13" t="s">
        <v>52</v>
      </c>
      <c r="W253" s="13" t="s">
        <v>59</v>
      </c>
      <c r="X253" s="13">
        <v>25</v>
      </c>
      <c r="Y253" s="13">
        <v>4</v>
      </c>
      <c r="Z253" s="13">
        <v>4</v>
      </c>
      <c r="AA253" s="13">
        <v>80</v>
      </c>
      <c r="AB253" s="13">
        <v>0</v>
      </c>
      <c r="AC253" s="13">
        <v>20</v>
      </c>
      <c r="AD253" s="13">
        <v>1</v>
      </c>
      <c r="AE253" s="13">
        <v>3</v>
      </c>
      <c r="AF253" s="14">
        <v>19</v>
      </c>
      <c r="AG253" s="13">
        <v>6</v>
      </c>
      <c r="AH253" s="13">
        <v>11</v>
      </c>
      <c r="AI253" s="13">
        <v>8</v>
      </c>
      <c r="AJ253" s="13" t="str">
        <f t="shared" si="3"/>
        <v>30-39</v>
      </c>
      <c r="AK253" s="13" t="str">
        <f>IF(tblCleanData[[#This Row],[MonthlyIncome]]&lt;5000, "Low Income", IF(tblCleanData[[#This Row],[MonthlyIncome]]&lt;15000, "Medium Income", "High Income"))</f>
        <v>Medium Income</v>
      </c>
      <c r="AL253" s="13">
        <f>IF(tblCleanData[[#This Row],[Attrition]]="No", 0,1)</f>
        <v>0</v>
      </c>
      <c r="AM253" s="13">
        <f>IF(tblCleanData[[#This Row],[OverTime]] = "No", 0, 1)</f>
        <v>0</v>
      </c>
      <c r="AN253" s="13" t="str">
        <f>CHOOSE(tblCleanData[[#This Row],[Education]], "Below College","College","Bachelor","Master","Doctor")</f>
        <v>Master</v>
      </c>
      <c r="AO253" s="13" t="str">
        <f>VLOOKUP(tblCleanData[[#This Row],[EmployeeNumber]],tblHelpers[],15,TRUE)</f>
        <v>Medium Risk</v>
      </c>
      <c r="AP253" s="13">
        <f>VLOOKUP(tblCleanData[[#This Row],[EmployeeNumber]],tblHelpers[],14,0)</f>
        <v>41</v>
      </c>
    </row>
    <row r="254" spans="1:42" x14ac:dyDescent="0.25">
      <c r="A254" s="13">
        <v>29</v>
      </c>
      <c r="B254" s="13" t="s">
        <v>59</v>
      </c>
      <c r="C254" s="13" t="s">
        <v>37</v>
      </c>
      <c r="D254" s="13">
        <v>665</v>
      </c>
      <c r="E254" s="13" t="s">
        <v>62</v>
      </c>
      <c r="F254" s="13">
        <v>15</v>
      </c>
      <c r="G254" s="13">
        <v>3</v>
      </c>
      <c r="H254" s="13" t="s">
        <v>42</v>
      </c>
      <c r="I254" s="13">
        <v>1</v>
      </c>
      <c r="J254" s="13">
        <v>346</v>
      </c>
      <c r="K254" s="13">
        <v>3</v>
      </c>
      <c r="L254" s="13" t="s">
        <v>63</v>
      </c>
      <c r="M254" s="13">
        <v>60</v>
      </c>
      <c r="N254" s="13">
        <v>3</v>
      </c>
      <c r="O254" s="13">
        <v>1</v>
      </c>
      <c r="P254" s="13" t="s">
        <v>65</v>
      </c>
      <c r="Q254" s="13">
        <v>4</v>
      </c>
      <c r="R254" s="13" t="s">
        <v>48</v>
      </c>
      <c r="S254" s="20">
        <v>2340</v>
      </c>
      <c r="T254" s="13">
        <v>22673</v>
      </c>
      <c r="U254" s="13">
        <v>1</v>
      </c>
      <c r="V254" s="13" t="s">
        <v>52</v>
      </c>
      <c r="W254" s="13" t="s">
        <v>59</v>
      </c>
      <c r="X254" s="13">
        <v>19</v>
      </c>
      <c r="Y254" s="13">
        <v>3</v>
      </c>
      <c r="Z254" s="13">
        <v>1</v>
      </c>
      <c r="AA254" s="13">
        <v>80</v>
      </c>
      <c r="AB254" s="13">
        <v>0</v>
      </c>
      <c r="AC254" s="13">
        <v>6</v>
      </c>
      <c r="AD254" s="13">
        <v>1</v>
      </c>
      <c r="AE254" s="13">
        <v>3</v>
      </c>
      <c r="AF254" s="14">
        <v>6</v>
      </c>
      <c r="AG254" s="13">
        <v>5</v>
      </c>
      <c r="AH254" s="13">
        <v>1</v>
      </c>
      <c r="AI254" s="13">
        <v>5</v>
      </c>
      <c r="AJ254" s="13" t="str">
        <f t="shared" si="3"/>
        <v>Under 30</v>
      </c>
      <c r="AK254" s="13" t="str">
        <f>IF(tblCleanData[[#This Row],[MonthlyIncome]]&lt;5000, "Low Income", IF(tblCleanData[[#This Row],[MonthlyIncome]]&lt;15000, "Medium Income", "High Income"))</f>
        <v>Low Income</v>
      </c>
      <c r="AL254" s="13">
        <f>IF(tblCleanData[[#This Row],[Attrition]]="No", 0,1)</f>
        <v>0</v>
      </c>
      <c r="AM254" s="13">
        <f>IF(tblCleanData[[#This Row],[OverTime]] = "No", 0, 1)</f>
        <v>0</v>
      </c>
      <c r="AN254" s="13" t="str">
        <f>CHOOSE(tblCleanData[[#This Row],[Education]], "Below College","College","Bachelor","Master","Doctor")</f>
        <v>Bachelor</v>
      </c>
      <c r="AO254" s="13" t="str">
        <f>VLOOKUP(tblCleanData[[#This Row],[EmployeeNumber]],tblHelpers[],15,TRUE)</f>
        <v>Medium Risk</v>
      </c>
      <c r="AP254" s="13">
        <f>VLOOKUP(tblCleanData[[#This Row],[EmployeeNumber]],tblHelpers[],14,0)</f>
        <v>49</v>
      </c>
    </row>
    <row r="255" spans="1:42" x14ac:dyDescent="0.25">
      <c r="A255" s="13">
        <v>42</v>
      </c>
      <c r="B255" s="13" t="s">
        <v>59</v>
      </c>
      <c r="C255" s="13" t="s">
        <v>37</v>
      </c>
      <c r="D255" s="13">
        <v>916</v>
      </c>
      <c r="E255" s="13" t="s">
        <v>62</v>
      </c>
      <c r="F255" s="13">
        <v>17</v>
      </c>
      <c r="G255" s="13">
        <v>2</v>
      </c>
      <c r="H255" s="13" t="s">
        <v>42</v>
      </c>
      <c r="I255" s="13">
        <v>1</v>
      </c>
      <c r="J255" s="13">
        <v>347</v>
      </c>
      <c r="K255" s="13">
        <v>4</v>
      </c>
      <c r="L255" s="13" t="s">
        <v>43</v>
      </c>
      <c r="M255" s="13">
        <v>82</v>
      </c>
      <c r="N255" s="13">
        <v>4</v>
      </c>
      <c r="O255" s="13">
        <v>2</v>
      </c>
      <c r="P255" s="13" t="s">
        <v>65</v>
      </c>
      <c r="Q255" s="13">
        <v>1</v>
      </c>
      <c r="R255" s="13" t="s">
        <v>48</v>
      </c>
      <c r="S255" s="20">
        <v>6545</v>
      </c>
      <c r="T255" s="13">
        <v>23016</v>
      </c>
      <c r="U255" s="13">
        <v>3</v>
      </c>
      <c r="V255" s="13" t="s">
        <v>52</v>
      </c>
      <c r="W255" s="13" t="s">
        <v>36</v>
      </c>
      <c r="X255" s="13">
        <v>13</v>
      </c>
      <c r="Y255" s="13">
        <v>3</v>
      </c>
      <c r="Z255" s="13">
        <v>3</v>
      </c>
      <c r="AA255" s="13">
        <v>80</v>
      </c>
      <c r="AB255" s="13">
        <v>0</v>
      </c>
      <c r="AC255" s="13">
        <v>10</v>
      </c>
      <c r="AD255" s="13">
        <v>1</v>
      </c>
      <c r="AE255" s="13">
        <v>3</v>
      </c>
      <c r="AF255" s="14">
        <v>3</v>
      </c>
      <c r="AG255" s="13">
        <v>2</v>
      </c>
      <c r="AH255" s="13">
        <v>0</v>
      </c>
      <c r="AI255" s="13">
        <v>2</v>
      </c>
      <c r="AJ255" s="13" t="str">
        <f t="shared" si="3"/>
        <v>40-49</v>
      </c>
      <c r="AK255" s="13" t="str">
        <f>IF(tblCleanData[[#This Row],[MonthlyIncome]]&lt;5000, "Low Income", IF(tblCleanData[[#This Row],[MonthlyIncome]]&lt;15000, "Medium Income", "High Income"))</f>
        <v>Medium Income</v>
      </c>
      <c r="AL255" s="13">
        <f>IF(tblCleanData[[#This Row],[Attrition]]="No", 0,1)</f>
        <v>0</v>
      </c>
      <c r="AM255" s="13">
        <f>IF(tblCleanData[[#This Row],[OverTime]] = "No", 0, 1)</f>
        <v>1</v>
      </c>
      <c r="AN255" s="13" t="str">
        <f>CHOOSE(tblCleanData[[#This Row],[Education]], "Below College","College","Bachelor","Master","Doctor")</f>
        <v>College</v>
      </c>
      <c r="AO255" s="13" t="str">
        <f>VLOOKUP(tblCleanData[[#This Row],[EmployeeNumber]],tblHelpers[],15,TRUE)</f>
        <v>High Risk</v>
      </c>
      <c r="AP255" s="13">
        <f>VLOOKUP(tblCleanData[[#This Row],[EmployeeNumber]],tblHelpers[],14,0)</f>
        <v>80</v>
      </c>
    </row>
    <row r="256" spans="1:42" x14ac:dyDescent="0.25">
      <c r="A256" s="13">
        <v>29</v>
      </c>
      <c r="B256" s="13" t="s">
        <v>59</v>
      </c>
      <c r="C256" s="13" t="s">
        <v>37</v>
      </c>
      <c r="D256" s="13">
        <v>1247</v>
      </c>
      <c r="E256" s="13" t="s">
        <v>39</v>
      </c>
      <c r="F256" s="13">
        <v>20</v>
      </c>
      <c r="G256" s="13">
        <v>2</v>
      </c>
      <c r="H256" s="13" t="s">
        <v>206</v>
      </c>
      <c r="I256" s="13">
        <v>1</v>
      </c>
      <c r="J256" s="13">
        <v>349</v>
      </c>
      <c r="K256" s="13">
        <v>4</v>
      </c>
      <c r="L256" s="13" t="s">
        <v>63</v>
      </c>
      <c r="M256" s="13">
        <v>45</v>
      </c>
      <c r="N256" s="13">
        <v>3</v>
      </c>
      <c r="O256" s="13">
        <v>2</v>
      </c>
      <c r="P256" s="13" t="s">
        <v>46</v>
      </c>
      <c r="Q256" s="13">
        <v>4</v>
      </c>
      <c r="R256" s="13" t="s">
        <v>109</v>
      </c>
      <c r="S256" s="20">
        <v>6931</v>
      </c>
      <c r="T256" s="13">
        <v>10732</v>
      </c>
      <c r="U256" s="13">
        <v>2</v>
      </c>
      <c r="V256" s="13" t="s">
        <v>52</v>
      </c>
      <c r="W256" s="13" t="s">
        <v>59</v>
      </c>
      <c r="X256" s="13">
        <v>14</v>
      </c>
      <c r="Y256" s="13">
        <v>3</v>
      </c>
      <c r="Z256" s="13">
        <v>4</v>
      </c>
      <c r="AA256" s="13">
        <v>80</v>
      </c>
      <c r="AB256" s="13">
        <v>1</v>
      </c>
      <c r="AC256" s="13">
        <v>10</v>
      </c>
      <c r="AD256" s="13">
        <v>2</v>
      </c>
      <c r="AE256" s="13">
        <v>3</v>
      </c>
      <c r="AF256" s="14">
        <v>3</v>
      </c>
      <c r="AG256" s="13">
        <v>2</v>
      </c>
      <c r="AH256" s="13">
        <v>0</v>
      </c>
      <c r="AI256" s="13">
        <v>2</v>
      </c>
      <c r="AJ256" s="13" t="str">
        <f t="shared" si="3"/>
        <v>Under 30</v>
      </c>
      <c r="AK256" s="13" t="str">
        <f>IF(tblCleanData[[#This Row],[MonthlyIncome]]&lt;5000, "Low Income", IF(tblCleanData[[#This Row],[MonthlyIncome]]&lt;15000, "Medium Income", "High Income"))</f>
        <v>Medium Income</v>
      </c>
      <c r="AL256" s="13">
        <f>IF(tblCleanData[[#This Row],[Attrition]]="No", 0,1)</f>
        <v>0</v>
      </c>
      <c r="AM256" s="13">
        <f>IF(tblCleanData[[#This Row],[OverTime]] = "No", 0, 1)</f>
        <v>0</v>
      </c>
      <c r="AN256" s="13" t="str">
        <f>CHOOSE(tblCleanData[[#This Row],[Education]], "Below College","College","Bachelor","Master","Doctor")</f>
        <v>College</v>
      </c>
      <c r="AO256" s="13" t="str">
        <f>VLOOKUP(tblCleanData[[#This Row],[EmployeeNumber]],tblHelpers[],15,TRUE)</f>
        <v>High Risk</v>
      </c>
      <c r="AP256" s="13">
        <f>VLOOKUP(tblCleanData[[#This Row],[EmployeeNumber]],tblHelpers[],14,0)</f>
        <v>56</v>
      </c>
    </row>
    <row r="257" spans="1:42" x14ac:dyDescent="0.25">
      <c r="A257" s="13">
        <v>25</v>
      </c>
      <c r="B257" s="13" t="s">
        <v>59</v>
      </c>
      <c r="C257" s="13" t="s">
        <v>37</v>
      </c>
      <c r="D257" s="13">
        <v>685</v>
      </c>
      <c r="E257" s="13" t="s">
        <v>62</v>
      </c>
      <c r="F257" s="13">
        <v>1</v>
      </c>
      <c r="G257" s="13">
        <v>3</v>
      </c>
      <c r="H257" s="13" t="s">
        <v>42</v>
      </c>
      <c r="I257" s="13">
        <v>1</v>
      </c>
      <c r="J257" s="13">
        <v>350</v>
      </c>
      <c r="K257" s="13">
        <v>1</v>
      </c>
      <c r="L257" s="13" t="s">
        <v>43</v>
      </c>
      <c r="M257" s="13">
        <v>62</v>
      </c>
      <c r="N257" s="13">
        <v>3</v>
      </c>
      <c r="O257" s="13">
        <v>2</v>
      </c>
      <c r="P257" s="13" t="s">
        <v>116</v>
      </c>
      <c r="Q257" s="13">
        <v>3</v>
      </c>
      <c r="R257" s="13" t="s">
        <v>66</v>
      </c>
      <c r="S257" s="20">
        <v>4898</v>
      </c>
      <c r="T257" s="13">
        <v>7505</v>
      </c>
      <c r="U257" s="13">
        <v>0</v>
      </c>
      <c r="V257" s="13" t="s">
        <v>52</v>
      </c>
      <c r="W257" s="13" t="s">
        <v>59</v>
      </c>
      <c r="X257" s="13">
        <v>12</v>
      </c>
      <c r="Y257" s="13">
        <v>3</v>
      </c>
      <c r="Z257" s="13">
        <v>4</v>
      </c>
      <c r="AA257" s="13">
        <v>80</v>
      </c>
      <c r="AB257" s="13">
        <v>2</v>
      </c>
      <c r="AC257" s="13">
        <v>5</v>
      </c>
      <c r="AD257" s="13">
        <v>3</v>
      </c>
      <c r="AE257" s="13">
        <v>3</v>
      </c>
      <c r="AF257" s="14">
        <v>4</v>
      </c>
      <c r="AG257" s="13">
        <v>2</v>
      </c>
      <c r="AH257" s="13">
        <v>1</v>
      </c>
      <c r="AI257" s="13">
        <v>2</v>
      </c>
      <c r="AJ257" s="13" t="str">
        <f t="shared" si="3"/>
        <v>Under 30</v>
      </c>
      <c r="AK257" s="13" t="str">
        <f>IF(tblCleanData[[#This Row],[MonthlyIncome]]&lt;5000, "Low Income", IF(tblCleanData[[#This Row],[MonthlyIncome]]&lt;15000, "Medium Income", "High Income"))</f>
        <v>Low Income</v>
      </c>
      <c r="AL257" s="13">
        <f>IF(tblCleanData[[#This Row],[Attrition]]="No", 0,1)</f>
        <v>0</v>
      </c>
      <c r="AM257" s="13">
        <f>IF(tblCleanData[[#This Row],[OverTime]] = "No", 0, 1)</f>
        <v>0</v>
      </c>
      <c r="AN257" s="13" t="str">
        <f>CHOOSE(tblCleanData[[#This Row],[Education]], "Below College","College","Bachelor","Master","Doctor")</f>
        <v>Bachelor</v>
      </c>
      <c r="AO257" s="13" t="str">
        <f>VLOOKUP(tblCleanData[[#This Row],[EmployeeNumber]],tblHelpers[],15,TRUE)</f>
        <v>High Risk</v>
      </c>
      <c r="AP257" s="13">
        <f>VLOOKUP(tblCleanData[[#This Row],[EmployeeNumber]],tblHelpers[],14,0)</f>
        <v>63</v>
      </c>
    </row>
    <row r="258" spans="1:42" x14ac:dyDescent="0.25">
      <c r="A258" s="13">
        <v>42</v>
      </c>
      <c r="B258" s="13" t="s">
        <v>59</v>
      </c>
      <c r="C258" s="13" t="s">
        <v>37</v>
      </c>
      <c r="D258" s="13">
        <v>269</v>
      </c>
      <c r="E258" s="13" t="s">
        <v>62</v>
      </c>
      <c r="F258" s="13">
        <v>2</v>
      </c>
      <c r="G258" s="13">
        <v>3</v>
      </c>
      <c r="H258" s="13" t="s">
        <v>87</v>
      </c>
      <c r="I258" s="13">
        <v>1</v>
      </c>
      <c r="J258" s="13">
        <v>351</v>
      </c>
      <c r="K258" s="13">
        <v>4</v>
      </c>
      <c r="L258" s="13" t="s">
        <v>43</v>
      </c>
      <c r="M258" s="13">
        <v>56</v>
      </c>
      <c r="N258" s="13">
        <v>2</v>
      </c>
      <c r="O258" s="13">
        <v>1</v>
      </c>
      <c r="P258" s="13" t="s">
        <v>76</v>
      </c>
      <c r="Q258" s="13">
        <v>1</v>
      </c>
      <c r="R258" s="13" t="s">
        <v>109</v>
      </c>
      <c r="S258" s="20">
        <v>2593</v>
      </c>
      <c r="T258" s="13">
        <v>8007</v>
      </c>
      <c r="U258" s="13">
        <v>0</v>
      </c>
      <c r="V258" s="13" t="s">
        <v>52</v>
      </c>
      <c r="W258" s="13" t="s">
        <v>36</v>
      </c>
      <c r="X258" s="13">
        <v>11</v>
      </c>
      <c r="Y258" s="13">
        <v>3</v>
      </c>
      <c r="Z258" s="13">
        <v>3</v>
      </c>
      <c r="AA258" s="13">
        <v>80</v>
      </c>
      <c r="AB258" s="13">
        <v>1</v>
      </c>
      <c r="AC258" s="13">
        <v>10</v>
      </c>
      <c r="AD258" s="13">
        <v>4</v>
      </c>
      <c r="AE258" s="13">
        <v>3</v>
      </c>
      <c r="AF258" s="14">
        <v>9</v>
      </c>
      <c r="AG258" s="13">
        <v>6</v>
      </c>
      <c r="AH258" s="13">
        <v>7</v>
      </c>
      <c r="AI258" s="13">
        <v>8</v>
      </c>
      <c r="AJ258" s="13" t="str">
        <f t="shared" ref="AJ258:AJ321" si="4">IF(A258&lt;30,"Under 30", IF(A258&lt;40,"30-39", IF(A258&lt;50,"40-49", "50+")))</f>
        <v>40-49</v>
      </c>
      <c r="AK258" s="13" t="str">
        <f>IF(tblCleanData[[#This Row],[MonthlyIncome]]&lt;5000, "Low Income", IF(tblCleanData[[#This Row],[MonthlyIncome]]&lt;15000, "Medium Income", "High Income"))</f>
        <v>Low Income</v>
      </c>
      <c r="AL258" s="13">
        <f>IF(tblCleanData[[#This Row],[Attrition]]="No", 0,1)</f>
        <v>0</v>
      </c>
      <c r="AM258" s="13">
        <f>IF(tblCleanData[[#This Row],[OverTime]] = "No", 0, 1)</f>
        <v>1</v>
      </c>
      <c r="AN258" s="13" t="str">
        <f>CHOOSE(tblCleanData[[#This Row],[Education]], "Below College","College","Bachelor","Master","Doctor")</f>
        <v>Bachelor</v>
      </c>
      <c r="AO258" s="13" t="str">
        <f>VLOOKUP(tblCleanData[[#This Row],[EmployeeNumber]],tblHelpers[],15,TRUE)</f>
        <v>High Risk</v>
      </c>
      <c r="AP258" s="13">
        <f>VLOOKUP(tblCleanData[[#This Row],[EmployeeNumber]],tblHelpers[],14,0)</f>
        <v>73</v>
      </c>
    </row>
    <row r="259" spans="1:42" x14ac:dyDescent="0.25">
      <c r="A259" s="13">
        <v>40</v>
      </c>
      <c r="B259" s="13" t="s">
        <v>59</v>
      </c>
      <c r="C259" s="13" t="s">
        <v>37</v>
      </c>
      <c r="D259" s="13">
        <v>1416</v>
      </c>
      <c r="E259" s="13" t="s">
        <v>62</v>
      </c>
      <c r="F259" s="13">
        <v>2</v>
      </c>
      <c r="G259" s="13">
        <v>2</v>
      </c>
      <c r="H259" s="13" t="s">
        <v>87</v>
      </c>
      <c r="I259" s="13">
        <v>1</v>
      </c>
      <c r="J259" s="13">
        <v>352</v>
      </c>
      <c r="K259" s="13">
        <v>1</v>
      </c>
      <c r="L259" s="13" t="s">
        <v>63</v>
      </c>
      <c r="M259" s="13">
        <v>49</v>
      </c>
      <c r="N259" s="13">
        <v>3</v>
      </c>
      <c r="O259" s="13">
        <v>5</v>
      </c>
      <c r="P259" s="13" t="s">
        <v>186</v>
      </c>
      <c r="Q259" s="13">
        <v>3</v>
      </c>
      <c r="R259" s="13" t="s">
        <v>109</v>
      </c>
      <c r="S259" s="20">
        <v>19436</v>
      </c>
      <c r="T259" s="13">
        <v>5949</v>
      </c>
      <c r="U259" s="13">
        <v>0</v>
      </c>
      <c r="V259" s="13" t="s">
        <v>52</v>
      </c>
      <c r="W259" s="13" t="s">
        <v>59</v>
      </c>
      <c r="X259" s="13">
        <v>19</v>
      </c>
      <c r="Y259" s="13">
        <v>3</v>
      </c>
      <c r="Z259" s="13">
        <v>4</v>
      </c>
      <c r="AA259" s="13">
        <v>80</v>
      </c>
      <c r="AB259" s="13">
        <v>1</v>
      </c>
      <c r="AC259" s="13">
        <v>22</v>
      </c>
      <c r="AD259" s="13">
        <v>5</v>
      </c>
      <c r="AE259" s="13">
        <v>3</v>
      </c>
      <c r="AF259" s="14">
        <v>21</v>
      </c>
      <c r="AG259" s="13">
        <v>7</v>
      </c>
      <c r="AH259" s="13">
        <v>3</v>
      </c>
      <c r="AI259" s="13">
        <v>9</v>
      </c>
      <c r="AJ259" s="13" t="str">
        <f t="shared" si="4"/>
        <v>40-49</v>
      </c>
      <c r="AK259" s="13" t="str">
        <f>IF(tblCleanData[[#This Row],[MonthlyIncome]]&lt;5000, "Low Income", IF(tblCleanData[[#This Row],[MonthlyIncome]]&lt;15000, "Medium Income", "High Income"))</f>
        <v>High Income</v>
      </c>
      <c r="AL259" s="13">
        <f>IF(tblCleanData[[#This Row],[Attrition]]="No", 0,1)</f>
        <v>0</v>
      </c>
      <c r="AM259" s="13">
        <f>IF(tblCleanData[[#This Row],[OverTime]] = "No", 0, 1)</f>
        <v>0</v>
      </c>
      <c r="AN259" s="13" t="str">
        <f>CHOOSE(tblCleanData[[#This Row],[Education]], "Below College","College","Bachelor","Master","Doctor")</f>
        <v>College</v>
      </c>
      <c r="AO259" s="13" t="str">
        <f>VLOOKUP(tblCleanData[[#This Row],[EmployeeNumber]],tblHelpers[],15,TRUE)</f>
        <v>Low Risk</v>
      </c>
      <c r="AP259" s="13">
        <f>VLOOKUP(tblCleanData[[#This Row],[EmployeeNumber]],tblHelpers[],14,0)</f>
        <v>31</v>
      </c>
    </row>
    <row r="260" spans="1:42" x14ac:dyDescent="0.25">
      <c r="A260" s="13">
        <v>51</v>
      </c>
      <c r="B260" s="13" t="s">
        <v>59</v>
      </c>
      <c r="C260" s="13" t="s">
        <v>37</v>
      </c>
      <c r="D260" s="13">
        <v>833</v>
      </c>
      <c r="E260" s="13" t="s">
        <v>62</v>
      </c>
      <c r="F260" s="13">
        <v>1</v>
      </c>
      <c r="G260" s="13">
        <v>3</v>
      </c>
      <c r="H260" s="13" t="s">
        <v>42</v>
      </c>
      <c r="I260" s="13">
        <v>1</v>
      </c>
      <c r="J260" s="13">
        <v>353</v>
      </c>
      <c r="K260" s="13">
        <v>3</v>
      </c>
      <c r="L260" s="13" t="s">
        <v>63</v>
      </c>
      <c r="M260" s="13">
        <v>96</v>
      </c>
      <c r="N260" s="13">
        <v>3</v>
      </c>
      <c r="O260" s="13">
        <v>1</v>
      </c>
      <c r="P260" s="13" t="s">
        <v>65</v>
      </c>
      <c r="Q260" s="13">
        <v>4</v>
      </c>
      <c r="R260" s="13" t="s">
        <v>66</v>
      </c>
      <c r="S260" s="20">
        <v>2723</v>
      </c>
      <c r="T260" s="13">
        <v>23231</v>
      </c>
      <c r="U260" s="13">
        <v>1</v>
      </c>
      <c r="V260" s="13" t="s">
        <v>52</v>
      </c>
      <c r="W260" s="13" t="s">
        <v>59</v>
      </c>
      <c r="X260" s="13">
        <v>11</v>
      </c>
      <c r="Y260" s="13">
        <v>3</v>
      </c>
      <c r="Z260" s="13">
        <v>2</v>
      </c>
      <c r="AA260" s="13">
        <v>80</v>
      </c>
      <c r="AB260" s="13">
        <v>0</v>
      </c>
      <c r="AC260" s="13">
        <v>1</v>
      </c>
      <c r="AD260" s="13">
        <v>0</v>
      </c>
      <c r="AE260" s="13">
        <v>2</v>
      </c>
      <c r="AF260" s="14">
        <v>1</v>
      </c>
      <c r="AG260" s="13">
        <v>0</v>
      </c>
      <c r="AH260" s="13">
        <v>0</v>
      </c>
      <c r="AI260" s="13">
        <v>0</v>
      </c>
      <c r="AJ260" s="13" t="str">
        <f t="shared" si="4"/>
        <v>50+</v>
      </c>
      <c r="AK260" s="13" t="str">
        <f>IF(tblCleanData[[#This Row],[MonthlyIncome]]&lt;5000, "Low Income", IF(tblCleanData[[#This Row],[MonthlyIncome]]&lt;15000, "Medium Income", "High Income"))</f>
        <v>Low Income</v>
      </c>
      <c r="AL260" s="13">
        <f>IF(tblCleanData[[#This Row],[Attrition]]="No", 0,1)</f>
        <v>0</v>
      </c>
      <c r="AM260" s="13">
        <f>IF(tblCleanData[[#This Row],[OverTime]] = "No", 0, 1)</f>
        <v>0</v>
      </c>
      <c r="AN260" s="13" t="str">
        <f>CHOOSE(tblCleanData[[#This Row],[Education]], "Below College","College","Bachelor","Master","Doctor")</f>
        <v>Bachelor</v>
      </c>
      <c r="AO260" s="13" t="str">
        <f>VLOOKUP(tblCleanData[[#This Row],[EmployeeNumber]],tblHelpers[],15,TRUE)</f>
        <v>Medium Risk</v>
      </c>
      <c r="AP260" s="13">
        <f>VLOOKUP(tblCleanData[[#This Row],[EmployeeNumber]],tblHelpers[],14,0)</f>
        <v>51</v>
      </c>
    </row>
    <row r="261" spans="1:42" x14ac:dyDescent="0.25">
      <c r="A261" s="13">
        <v>31</v>
      </c>
      <c r="B261" s="13" t="s">
        <v>36</v>
      </c>
      <c r="C261" s="13" t="s">
        <v>60</v>
      </c>
      <c r="D261" s="13">
        <v>307</v>
      </c>
      <c r="E261" s="13" t="s">
        <v>62</v>
      </c>
      <c r="F261" s="13">
        <v>29</v>
      </c>
      <c r="G261" s="13">
        <v>2</v>
      </c>
      <c r="H261" s="13" t="s">
        <v>87</v>
      </c>
      <c r="I261" s="13">
        <v>1</v>
      </c>
      <c r="J261" s="13">
        <v>355</v>
      </c>
      <c r="K261" s="13">
        <v>3</v>
      </c>
      <c r="L261" s="13" t="s">
        <v>63</v>
      </c>
      <c r="M261" s="13">
        <v>71</v>
      </c>
      <c r="N261" s="13">
        <v>2</v>
      </c>
      <c r="O261" s="13">
        <v>1</v>
      </c>
      <c r="P261" s="13" t="s">
        <v>76</v>
      </c>
      <c r="Q261" s="13">
        <v>2</v>
      </c>
      <c r="R261" s="13" t="s">
        <v>48</v>
      </c>
      <c r="S261" s="20">
        <v>3479</v>
      </c>
      <c r="T261" s="13">
        <v>11652</v>
      </c>
      <c r="U261" s="13">
        <v>0</v>
      </c>
      <c r="V261" s="13" t="s">
        <v>52</v>
      </c>
      <c r="W261" s="13" t="s">
        <v>59</v>
      </c>
      <c r="X261" s="13">
        <v>11</v>
      </c>
      <c r="Y261" s="13">
        <v>3</v>
      </c>
      <c r="Z261" s="13">
        <v>2</v>
      </c>
      <c r="AA261" s="13">
        <v>80</v>
      </c>
      <c r="AB261" s="13">
        <v>0</v>
      </c>
      <c r="AC261" s="13">
        <v>6</v>
      </c>
      <c r="AD261" s="13">
        <v>2</v>
      </c>
      <c r="AE261" s="13">
        <v>4</v>
      </c>
      <c r="AF261" s="14">
        <v>5</v>
      </c>
      <c r="AG261" s="13">
        <v>4</v>
      </c>
      <c r="AH261" s="13">
        <v>1</v>
      </c>
      <c r="AI261" s="13">
        <v>4</v>
      </c>
      <c r="AJ261" s="13" t="str">
        <f t="shared" si="4"/>
        <v>30-39</v>
      </c>
      <c r="AK261" s="13" t="str">
        <f>IF(tblCleanData[[#This Row],[MonthlyIncome]]&lt;5000, "Low Income", IF(tblCleanData[[#This Row],[MonthlyIncome]]&lt;15000, "Medium Income", "High Income"))</f>
        <v>Low Income</v>
      </c>
      <c r="AL261" s="13">
        <f>IF(tblCleanData[[#This Row],[Attrition]]="No", 0,1)</f>
        <v>1</v>
      </c>
      <c r="AM261" s="13">
        <f>IF(tblCleanData[[#This Row],[OverTime]] = "No", 0, 1)</f>
        <v>0</v>
      </c>
      <c r="AN261" s="13" t="str">
        <f>CHOOSE(tblCleanData[[#This Row],[Education]], "Below College","College","Bachelor","Master","Doctor")</f>
        <v>College</v>
      </c>
      <c r="AO261" s="13" t="str">
        <f>VLOOKUP(tblCleanData[[#This Row],[EmployeeNumber]],tblHelpers[],15,TRUE)</f>
        <v>High Risk</v>
      </c>
      <c r="AP261" s="13">
        <f>VLOOKUP(tblCleanData[[#This Row],[EmployeeNumber]],tblHelpers[],14,0)</f>
        <v>59</v>
      </c>
    </row>
    <row r="262" spans="1:42" x14ac:dyDescent="0.25">
      <c r="A262" s="13">
        <v>32</v>
      </c>
      <c r="B262" s="13" t="s">
        <v>59</v>
      </c>
      <c r="C262" s="13" t="s">
        <v>60</v>
      </c>
      <c r="D262" s="13">
        <v>1311</v>
      </c>
      <c r="E262" s="13" t="s">
        <v>62</v>
      </c>
      <c r="F262" s="13">
        <v>7</v>
      </c>
      <c r="G262" s="13">
        <v>3</v>
      </c>
      <c r="H262" s="13" t="s">
        <v>42</v>
      </c>
      <c r="I262" s="13">
        <v>1</v>
      </c>
      <c r="J262" s="13">
        <v>359</v>
      </c>
      <c r="K262" s="13">
        <v>2</v>
      </c>
      <c r="L262" s="13" t="s">
        <v>63</v>
      </c>
      <c r="M262" s="13">
        <v>100</v>
      </c>
      <c r="N262" s="13">
        <v>4</v>
      </c>
      <c r="O262" s="13">
        <v>1</v>
      </c>
      <c r="P262" s="13" t="s">
        <v>76</v>
      </c>
      <c r="Q262" s="13">
        <v>2</v>
      </c>
      <c r="R262" s="13" t="s">
        <v>66</v>
      </c>
      <c r="S262" s="20">
        <v>2794</v>
      </c>
      <c r="T262" s="13">
        <v>26062</v>
      </c>
      <c r="U262" s="13">
        <v>1</v>
      </c>
      <c r="V262" s="13" t="s">
        <v>52</v>
      </c>
      <c r="W262" s="13" t="s">
        <v>59</v>
      </c>
      <c r="X262" s="13">
        <v>20</v>
      </c>
      <c r="Y262" s="13">
        <v>4</v>
      </c>
      <c r="Z262" s="13">
        <v>3</v>
      </c>
      <c r="AA262" s="13">
        <v>80</v>
      </c>
      <c r="AB262" s="13">
        <v>0</v>
      </c>
      <c r="AC262" s="13">
        <v>5</v>
      </c>
      <c r="AD262" s="13">
        <v>3</v>
      </c>
      <c r="AE262" s="13">
        <v>1</v>
      </c>
      <c r="AF262" s="14">
        <v>5</v>
      </c>
      <c r="AG262" s="13">
        <v>1</v>
      </c>
      <c r="AH262" s="13">
        <v>0</v>
      </c>
      <c r="AI262" s="13">
        <v>3</v>
      </c>
      <c r="AJ262" s="13" t="str">
        <f t="shared" si="4"/>
        <v>30-39</v>
      </c>
      <c r="AK262" s="13" t="str">
        <f>IF(tblCleanData[[#This Row],[MonthlyIncome]]&lt;5000, "Low Income", IF(tblCleanData[[#This Row],[MonthlyIncome]]&lt;15000, "Medium Income", "High Income"))</f>
        <v>Low Income</v>
      </c>
      <c r="AL262" s="13">
        <f>IF(tblCleanData[[#This Row],[Attrition]]="No", 0,1)</f>
        <v>0</v>
      </c>
      <c r="AM262" s="13">
        <f>IF(tblCleanData[[#This Row],[OverTime]] = "No", 0, 1)</f>
        <v>0</v>
      </c>
      <c r="AN262" s="13" t="str">
        <f>CHOOSE(tblCleanData[[#This Row],[Education]], "Below College","College","Bachelor","Master","Doctor")</f>
        <v>Bachelor</v>
      </c>
      <c r="AO262" s="13" t="str">
        <f>VLOOKUP(tblCleanData[[#This Row],[EmployeeNumber]],tblHelpers[],15,TRUE)</f>
        <v>High Risk</v>
      </c>
      <c r="AP262" s="13">
        <f>VLOOKUP(tblCleanData[[#This Row],[EmployeeNumber]],tblHelpers[],14,0)</f>
        <v>59</v>
      </c>
    </row>
    <row r="263" spans="1:42" x14ac:dyDescent="0.25">
      <c r="A263" s="13">
        <v>38</v>
      </c>
      <c r="B263" s="13" t="s">
        <v>59</v>
      </c>
      <c r="C263" s="13" t="s">
        <v>161</v>
      </c>
      <c r="D263" s="13">
        <v>1327</v>
      </c>
      <c r="E263" s="13" t="s">
        <v>39</v>
      </c>
      <c r="F263" s="13">
        <v>2</v>
      </c>
      <c r="G263" s="13">
        <v>2</v>
      </c>
      <c r="H263" s="13" t="s">
        <v>42</v>
      </c>
      <c r="I263" s="13">
        <v>1</v>
      </c>
      <c r="J263" s="13">
        <v>361</v>
      </c>
      <c r="K263" s="13">
        <v>4</v>
      </c>
      <c r="L263" s="13" t="s">
        <v>63</v>
      </c>
      <c r="M263" s="13">
        <v>39</v>
      </c>
      <c r="N263" s="13">
        <v>2</v>
      </c>
      <c r="O263" s="13">
        <v>2</v>
      </c>
      <c r="P263" s="13" t="s">
        <v>46</v>
      </c>
      <c r="Q263" s="13">
        <v>4</v>
      </c>
      <c r="R263" s="13" t="s">
        <v>66</v>
      </c>
      <c r="S263" s="20">
        <v>5249</v>
      </c>
      <c r="T263" s="13">
        <v>19682</v>
      </c>
      <c r="U263" s="13">
        <v>3</v>
      </c>
      <c r="V263" s="13" t="s">
        <v>52</v>
      </c>
      <c r="W263" s="13" t="s">
        <v>59</v>
      </c>
      <c r="X263" s="13">
        <v>18</v>
      </c>
      <c r="Y263" s="13">
        <v>3</v>
      </c>
      <c r="Z263" s="13">
        <v>4</v>
      </c>
      <c r="AA263" s="13">
        <v>80</v>
      </c>
      <c r="AB263" s="13">
        <v>1</v>
      </c>
      <c r="AC263" s="13">
        <v>13</v>
      </c>
      <c r="AD263" s="13">
        <v>0</v>
      </c>
      <c r="AE263" s="13">
        <v>3</v>
      </c>
      <c r="AF263" s="14">
        <v>8</v>
      </c>
      <c r="AG263" s="13">
        <v>7</v>
      </c>
      <c r="AH263" s="13">
        <v>7</v>
      </c>
      <c r="AI263" s="13">
        <v>5</v>
      </c>
      <c r="AJ263" s="13" t="str">
        <f t="shared" si="4"/>
        <v>30-39</v>
      </c>
      <c r="AK263" s="13" t="str">
        <f>IF(tblCleanData[[#This Row],[MonthlyIncome]]&lt;5000, "Low Income", IF(tblCleanData[[#This Row],[MonthlyIncome]]&lt;15000, "Medium Income", "High Income"))</f>
        <v>Medium Income</v>
      </c>
      <c r="AL263" s="13">
        <f>IF(tblCleanData[[#This Row],[Attrition]]="No", 0,1)</f>
        <v>0</v>
      </c>
      <c r="AM263" s="13">
        <f>IF(tblCleanData[[#This Row],[OverTime]] = "No", 0, 1)</f>
        <v>0</v>
      </c>
      <c r="AN263" s="13" t="str">
        <f>CHOOSE(tblCleanData[[#This Row],[Education]], "Below College","College","Bachelor","Master","Doctor")</f>
        <v>College</v>
      </c>
      <c r="AO263" s="13" t="str">
        <f>VLOOKUP(tblCleanData[[#This Row],[EmployeeNumber]],tblHelpers[],15,TRUE)</f>
        <v>Medium Risk</v>
      </c>
      <c r="AP263" s="13">
        <f>VLOOKUP(tblCleanData[[#This Row],[EmployeeNumber]],tblHelpers[],14,0)</f>
        <v>39</v>
      </c>
    </row>
    <row r="264" spans="1:42" x14ac:dyDescent="0.25">
      <c r="A264" s="13">
        <v>32</v>
      </c>
      <c r="B264" s="13" t="s">
        <v>59</v>
      </c>
      <c r="C264" s="13" t="s">
        <v>37</v>
      </c>
      <c r="D264" s="13">
        <v>128</v>
      </c>
      <c r="E264" s="13" t="s">
        <v>62</v>
      </c>
      <c r="F264" s="13">
        <v>2</v>
      </c>
      <c r="G264" s="13">
        <v>1</v>
      </c>
      <c r="H264" s="13" t="s">
        <v>228</v>
      </c>
      <c r="I264" s="13">
        <v>1</v>
      </c>
      <c r="J264" s="13">
        <v>362</v>
      </c>
      <c r="K264" s="13">
        <v>4</v>
      </c>
      <c r="L264" s="13" t="s">
        <v>63</v>
      </c>
      <c r="M264" s="13">
        <v>84</v>
      </c>
      <c r="N264" s="13">
        <v>2</v>
      </c>
      <c r="O264" s="13">
        <v>2</v>
      </c>
      <c r="P264" s="13" t="s">
        <v>76</v>
      </c>
      <c r="Q264" s="13">
        <v>1</v>
      </c>
      <c r="R264" s="13" t="s">
        <v>48</v>
      </c>
      <c r="S264" s="20">
        <v>2176</v>
      </c>
      <c r="T264" s="13">
        <v>19737</v>
      </c>
      <c r="U264" s="13">
        <v>4</v>
      </c>
      <c r="V264" s="13" t="s">
        <v>52</v>
      </c>
      <c r="W264" s="13" t="s">
        <v>59</v>
      </c>
      <c r="X264" s="13">
        <v>13</v>
      </c>
      <c r="Y264" s="13">
        <v>3</v>
      </c>
      <c r="Z264" s="13">
        <v>4</v>
      </c>
      <c r="AA264" s="13">
        <v>80</v>
      </c>
      <c r="AB264" s="13">
        <v>0</v>
      </c>
      <c r="AC264" s="13">
        <v>9</v>
      </c>
      <c r="AD264" s="13">
        <v>5</v>
      </c>
      <c r="AE264" s="13">
        <v>3</v>
      </c>
      <c r="AF264" s="14">
        <v>6</v>
      </c>
      <c r="AG264" s="13">
        <v>2</v>
      </c>
      <c r="AH264" s="13">
        <v>0</v>
      </c>
      <c r="AI264" s="13">
        <v>4</v>
      </c>
      <c r="AJ264" s="13" t="str">
        <f t="shared" si="4"/>
        <v>30-39</v>
      </c>
      <c r="AK264" s="13" t="str">
        <f>IF(tblCleanData[[#This Row],[MonthlyIncome]]&lt;5000, "Low Income", IF(tblCleanData[[#This Row],[MonthlyIncome]]&lt;15000, "Medium Income", "High Income"))</f>
        <v>Low Income</v>
      </c>
      <c r="AL264" s="13">
        <f>IF(tblCleanData[[#This Row],[Attrition]]="No", 0,1)</f>
        <v>0</v>
      </c>
      <c r="AM264" s="13">
        <f>IF(tblCleanData[[#This Row],[OverTime]] = "No", 0, 1)</f>
        <v>0</v>
      </c>
      <c r="AN264" s="13" t="str">
        <f>CHOOSE(tblCleanData[[#This Row],[Education]], "Below College","College","Bachelor","Master","Doctor")</f>
        <v>Below College</v>
      </c>
      <c r="AO264" s="13" t="str">
        <f>VLOOKUP(tblCleanData[[#This Row],[EmployeeNumber]],tblHelpers[],15,TRUE)</f>
        <v>High Risk</v>
      </c>
      <c r="AP264" s="13">
        <f>VLOOKUP(tblCleanData[[#This Row],[EmployeeNumber]],tblHelpers[],14,0)</f>
        <v>58</v>
      </c>
    </row>
    <row r="265" spans="1:42" x14ac:dyDescent="0.25">
      <c r="A265" s="13">
        <v>46</v>
      </c>
      <c r="B265" s="13" t="s">
        <v>59</v>
      </c>
      <c r="C265" s="13" t="s">
        <v>37</v>
      </c>
      <c r="D265" s="13">
        <v>488</v>
      </c>
      <c r="E265" s="13" t="s">
        <v>39</v>
      </c>
      <c r="F265" s="13">
        <v>2</v>
      </c>
      <c r="G265" s="13">
        <v>3</v>
      </c>
      <c r="H265" s="13" t="s">
        <v>228</v>
      </c>
      <c r="I265" s="13">
        <v>1</v>
      </c>
      <c r="J265" s="13">
        <v>363</v>
      </c>
      <c r="K265" s="13">
        <v>3</v>
      </c>
      <c r="L265" s="13" t="s">
        <v>43</v>
      </c>
      <c r="M265" s="13">
        <v>75</v>
      </c>
      <c r="N265" s="13">
        <v>1</v>
      </c>
      <c r="O265" s="13">
        <v>4</v>
      </c>
      <c r="P265" s="13" t="s">
        <v>169</v>
      </c>
      <c r="Q265" s="13">
        <v>2</v>
      </c>
      <c r="R265" s="13" t="s">
        <v>66</v>
      </c>
      <c r="S265" s="20">
        <v>16872</v>
      </c>
      <c r="T265" s="13">
        <v>14977</v>
      </c>
      <c r="U265" s="13">
        <v>3</v>
      </c>
      <c r="V265" s="13" t="s">
        <v>52</v>
      </c>
      <c r="W265" s="13" t="s">
        <v>36</v>
      </c>
      <c r="X265" s="13">
        <v>12</v>
      </c>
      <c r="Y265" s="13">
        <v>3</v>
      </c>
      <c r="Z265" s="13">
        <v>2</v>
      </c>
      <c r="AA265" s="13">
        <v>80</v>
      </c>
      <c r="AB265" s="13">
        <v>1</v>
      </c>
      <c r="AC265" s="13">
        <v>28</v>
      </c>
      <c r="AD265" s="13">
        <v>2</v>
      </c>
      <c r="AE265" s="13">
        <v>2</v>
      </c>
      <c r="AF265" s="14">
        <v>7</v>
      </c>
      <c r="AG265" s="13">
        <v>7</v>
      </c>
      <c r="AH265" s="13">
        <v>7</v>
      </c>
      <c r="AI265" s="13">
        <v>7</v>
      </c>
      <c r="AJ265" s="13" t="str">
        <f t="shared" si="4"/>
        <v>40-49</v>
      </c>
      <c r="AK265" s="13" t="str">
        <f>IF(tblCleanData[[#This Row],[MonthlyIncome]]&lt;5000, "Low Income", IF(tblCleanData[[#This Row],[MonthlyIncome]]&lt;15000, "Medium Income", "High Income"))</f>
        <v>High Income</v>
      </c>
      <c r="AL265" s="13">
        <f>IF(tblCleanData[[#This Row],[Attrition]]="No", 0,1)</f>
        <v>0</v>
      </c>
      <c r="AM265" s="13">
        <f>IF(tblCleanData[[#This Row],[OverTime]] = "No", 0, 1)</f>
        <v>1</v>
      </c>
      <c r="AN265" s="13" t="str">
        <f>CHOOSE(tblCleanData[[#This Row],[Education]], "Below College","College","Bachelor","Master","Doctor")</f>
        <v>Bachelor</v>
      </c>
      <c r="AO265" s="13" t="str">
        <f>VLOOKUP(tblCleanData[[#This Row],[EmployeeNumber]],tblHelpers[],15,TRUE)</f>
        <v>High Risk</v>
      </c>
      <c r="AP265" s="13">
        <f>VLOOKUP(tblCleanData[[#This Row],[EmployeeNumber]],tblHelpers[],14,0)</f>
        <v>67</v>
      </c>
    </row>
    <row r="266" spans="1:42" x14ac:dyDescent="0.25">
      <c r="A266" s="13">
        <v>28</v>
      </c>
      <c r="B266" s="13" t="s">
        <v>36</v>
      </c>
      <c r="C266" s="13" t="s">
        <v>37</v>
      </c>
      <c r="D266" s="13">
        <v>529</v>
      </c>
      <c r="E266" s="13" t="s">
        <v>62</v>
      </c>
      <c r="F266" s="13">
        <v>2</v>
      </c>
      <c r="G266" s="13">
        <v>4</v>
      </c>
      <c r="H266" s="13" t="s">
        <v>42</v>
      </c>
      <c r="I266" s="13">
        <v>1</v>
      </c>
      <c r="J266" s="13">
        <v>364</v>
      </c>
      <c r="K266" s="13">
        <v>1</v>
      </c>
      <c r="L266" s="13" t="s">
        <v>63</v>
      </c>
      <c r="M266" s="13">
        <v>79</v>
      </c>
      <c r="N266" s="13">
        <v>3</v>
      </c>
      <c r="O266" s="13">
        <v>1</v>
      </c>
      <c r="P266" s="13" t="s">
        <v>76</v>
      </c>
      <c r="Q266" s="13">
        <v>3</v>
      </c>
      <c r="R266" s="13" t="s">
        <v>48</v>
      </c>
      <c r="S266" s="20">
        <v>3485</v>
      </c>
      <c r="T266" s="13">
        <v>14935</v>
      </c>
      <c r="U266" s="13">
        <v>2</v>
      </c>
      <c r="V266" s="13" t="s">
        <v>52</v>
      </c>
      <c r="W266" s="13" t="s">
        <v>59</v>
      </c>
      <c r="X266" s="13">
        <v>11</v>
      </c>
      <c r="Y266" s="13">
        <v>3</v>
      </c>
      <c r="Z266" s="13">
        <v>3</v>
      </c>
      <c r="AA266" s="13">
        <v>80</v>
      </c>
      <c r="AB266" s="13">
        <v>0</v>
      </c>
      <c r="AC266" s="13">
        <v>5</v>
      </c>
      <c r="AD266" s="13">
        <v>5</v>
      </c>
      <c r="AE266" s="13">
        <v>1</v>
      </c>
      <c r="AF266" s="14">
        <v>0</v>
      </c>
      <c r="AG266" s="13">
        <v>0</v>
      </c>
      <c r="AH266" s="13">
        <v>0</v>
      </c>
      <c r="AI266" s="13">
        <v>0</v>
      </c>
      <c r="AJ266" s="13" t="str">
        <f t="shared" si="4"/>
        <v>Under 30</v>
      </c>
      <c r="AK266" s="13" t="str">
        <f>IF(tblCleanData[[#This Row],[MonthlyIncome]]&lt;5000, "Low Income", IF(tblCleanData[[#This Row],[MonthlyIncome]]&lt;15000, "Medium Income", "High Income"))</f>
        <v>Low Income</v>
      </c>
      <c r="AL266" s="13">
        <f>IF(tblCleanData[[#This Row],[Attrition]]="No", 0,1)</f>
        <v>1</v>
      </c>
      <c r="AM266" s="13">
        <f>IF(tblCleanData[[#This Row],[OverTime]] = "No", 0, 1)</f>
        <v>0</v>
      </c>
      <c r="AN266" s="13" t="str">
        <f>CHOOSE(tblCleanData[[#This Row],[Education]], "Below College","College","Bachelor","Master","Doctor")</f>
        <v>Master</v>
      </c>
      <c r="AO266" s="13" t="str">
        <f>VLOOKUP(tblCleanData[[#This Row],[EmployeeNumber]],tblHelpers[],15,TRUE)</f>
        <v>High Risk</v>
      </c>
      <c r="AP266" s="13">
        <f>VLOOKUP(tblCleanData[[#This Row],[EmployeeNumber]],tblHelpers[],14,0)</f>
        <v>73</v>
      </c>
    </row>
    <row r="267" spans="1:42" x14ac:dyDescent="0.25">
      <c r="A267" s="13">
        <v>29</v>
      </c>
      <c r="B267" s="13" t="s">
        <v>59</v>
      </c>
      <c r="C267" s="13" t="s">
        <v>37</v>
      </c>
      <c r="D267" s="13">
        <v>1210</v>
      </c>
      <c r="E267" s="13" t="s">
        <v>39</v>
      </c>
      <c r="F267" s="13">
        <v>2</v>
      </c>
      <c r="G267" s="13">
        <v>3</v>
      </c>
      <c r="H267" s="13" t="s">
        <v>87</v>
      </c>
      <c r="I267" s="13">
        <v>1</v>
      </c>
      <c r="J267" s="13">
        <v>366</v>
      </c>
      <c r="K267" s="13">
        <v>1</v>
      </c>
      <c r="L267" s="13" t="s">
        <v>63</v>
      </c>
      <c r="M267" s="13">
        <v>78</v>
      </c>
      <c r="N267" s="13">
        <v>2</v>
      </c>
      <c r="O267" s="13">
        <v>2</v>
      </c>
      <c r="P267" s="13" t="s">
        <v>46</v>
      </c>
      <c r="Q267" s="13">
        <v>2</v>
      </c>
      <c r="R267" s="13" t="s">
        <v>66</v>
      </c>
      <c r="S267" s="20">
        <v>6644</v>
      </c>
      <c r="T267" s="13">
        <v>3687</v>
      </c>
      <c r="U267" s="13">
        <v>2</v>
      </c>
      <c r="V267" s="13" t="s">
        <v>52</v>
      </c>
      <c r="W267" s="13" t="s">
        <v>59</v>
      </c>
      <c r="X267" s="13">
        <v>19</v>
      </c>
      <c r="Y267" s="13">
        <v>3</v>
      </c>
      <c r="Z267" s="13">
        <v>2</v>
      </c>
      <c r="AA267" s="13">
        <v>80</v>
      </c>
      <c r="AB267" s="13">
        <v>2</v>
      </c>
      <c r="AC267" s="13">
        <v>10</v>
      </c>
      <c r="AD267" s="13">
        <v>2</v>
      </c>
      <c r="AE267" s="13">
        <v>3</v>
      </c>
      <c r="AF267" s="14">
        <v>0</v>
      </c>
      <c r="AG267" s="13">
        <v>0</v>
      </c>
      <c r="AH267" s="13">
        <v>0</v>
      </c>
      <c r="AI267" s="13">
        <v>0</v>
      </c>
      <c r="AJ267" s="13" t="str">
        <f t="shared" si="4"/>
        <v>Under 30</v>
      </c>
      <c r="AK267" s="13" t="str">
        <f>IF(tblCleanData[[#This Row],[MonthlyIncome]]&lt;5000, "Low Income", IF(tblCleanData[[#This Row],[MonthlyIncome]]&lt;15000, "Medium Income", "High Income"))</f>
        <v>Medium Income</v>
      </c>
      <c r="AL267" s="13">
        <f>IF(tblCleanData[[#This Row],[Attrition]]="No", 0,1)</f>
        <v>0</v>
      </c>
      <c r="AM267" s="13">
        <f>IF(tblCleanData[[#This Row],[OverTime]] = "No", 0, 1)</f>
        <v>0</v>
      </c>
      <c r="AN267" s="13" t="str">
        <f>CHOOSE(tblCleanData[[#This Row],[Education]], "Below College","College","Bachelor","Master","Doctor")</f>
        <v>Bachelor</v>
      </c>
      <c r="AO267" s="13" t="str">
        <f>VLOOKUP(tblCleanData[[#This Row],[EmployeeNumber]],tblHelpers[],15,TRUE)</f>
        <v>High Risk</v>
      </c>
      <c r="AP267" s="13">
        <f>VLOOKUP(tblCleanData[[#This Row],[EmployeeNumber]],tblHelpers[],14,0)</f>
        <v>79</v>
      </c>
    </row>
    <row r="268" spans="1:42" x14ac:dyDescent="0.25">
      <c r="A268" s="13">
        <v>31</v>
      </c>
      <c r="B268" s="13" t="s">
        <v>59</v>
      </c>
      <c r="C268" s="13" t="s">
        <v>37</v>
      </c>
      <c r="D268" s="13">
        <v>1463</v>
      </c>
      <c r="E268" s="13" t="s">
        <v>62</v>
      </c>
      <c r="F268" s="13">
        <v>23</v>
      </c>
      <c r="G268" s="13">
        <v>3</v>
      </c>
      <c r="H268" s="13" t="s">
        <v>87</v>
      </c>
      <c r="I268" s="13">
        <v>1</v>
      </c>
      <c r="J268" s="13">
        <v>367</v>
      </c>
      <c r="K268" s="13">
        <v>2</v>
      </c>
      <c r="L268" s="13" t="s">
        <v>63</v>
      </c>
      <c r="M268" s="13">
        <v>64</v>
      </c>
      <c r="N268" s="13">
        <v>2</v>
      </c>
      <c r="O268" s="13">
        <v>2</v>
      </c>
      <c r="P268" s="13" t="s">
        <v>122</v>
      </c>
      <c r="Q268" s="13">
        <v>4</v>
      </c>
      <c r="R268" s="13" t="s">
        <v>66</v>
      </c>
      <c r="S268" s="20">
        <v>5582</v>
      </c>
      <c r="T268" s="13">
        <v>14408</v>
      </c>
      <c r="U268" s="13">
        <v>0</v>
      </c>
      <c r="V268" s="13" t="s">
        <v>52</v>
      </c>
      <c r="W268" s="13" t="s">
        <v>59</v>
      </c>
      <c r="X268" s="13">
        <v>21</v>
      </c>
      <c r="Y268" s="13">
        <v>4</v>
      </c>
      <c r="Z268" s="13">
        <v>2</v>
      </c>
      <c r="AA268" s="13">
        <v>80</v>
      </c>
      <c r="AB268" s="13">
        <v>1</v>
      </c>
      <c r="AC268" s="13">
        <v>10</v>
      </c>
      <c r="AD268" s="13">
        <v>2</v>
      </c>
      <c r="AE268" s="13">
        <v>3</v>
      </c>
      <c r="AF268" s="14">
        <v>9</v>
      </c>
      <c r="AG268" s="13">
        <v>0</v>
      </c>
      <c r="AH268" s="13">
        <v>7</v>
      </c>
      <c r="AI268" s="13">
        <v>8</v>
      </c>
      <c r="AJ268" s="13" t="str">
        <f t="shared" si="4"/>
        <v>30-39</v>
      </c>
      <c r="AK268" s="13" t="str">
        <f>IF(tblCleanData[[#This Row],[MonthlyIncome]]&lt;5000, "Low Income", IF(tblCleanData[[#This Row],[MonthlyIncome]]&lt;15000, "Medium Income", "High Income"))</f>
        <v>Medium Income</v>
      </c>
      <c r="AL268" s="13">
        <f>IF(tblCleanData[[#This Row],[Attrition]]="No", 0,1)</f>
        <v>0</v>
      </c>
      <c r="AM268" s="13">
        <f>IF(tblCleanData[[#This Row],[OverTime]] = "No", 0, 1)</f>
        <v>0</v>
      </c>
      <c r="AN268" s="13" t="str">
        <f>CHOOSE(tblCleanData[[#This Row],[Education]], "Below College","College","Bachelor","Master","Doctor")</f>
        <v>Bachelor</v>
      </c>
      <c r="AO268" s="13" t="str">
        <f>VLOOKUP(tblCleanData[[#This Row],[EmployeeNumber]],tblHelpers[],15,TRUE)</f>
        <v>Medium Risk</v>
      </c>
      <c r="AP268" s="13">
        <f>VLOOKUP(tblCleanData[[#This Row],[EmployeeNumber]],tblHelpers[],14,0)</f>
        <v>39</v>
      </c>
    </row>
    <row r="269" spans="1:42" x14ac:dyDescent="0.25">
      <c r="A269" s="13">
        <v>25</v>
      </c>
      <c r="B269" s="13" t="s">
        <v>59</v>
      </c>
      <c r="C269" s="13" t="s">
        <v>161</v>
      </c>
      <c r="D269" s="13">
        <v>675</v>
      </c>
      <c r="E269" s="13" t="s">
        <v>62</v>
      </c>
      <c r="F269" s="13">
        <v>5</v>
      </c>
      <c r="G269" s="13">
        <v>2</v>
      </c>
      <c r="H269" s="13" t="s">
        <v>42</v>
      </c>
      <c r="I269" s="13">
        <v>1</v>
      </c>
      <c r="J269" s="13">
        <v>369</v>
      </c>
      <c r="K269" s="13">
        <v>2</v>
      </c>
      <c r="L269" s="13" t="s">
        <v>63</v>
      </c>
      <c r="M269" s="13">
        <v>85</v>
      </c>
      <c r="N269" s="13">
        <v>4</v>
      </c>
      <c r="O269" s="13">
        <v>2</v>
      </c>
      <c r="P269" s="13" t="s">
        <v>122</v>
      </c>
      <c r="Q269" s="13">
        <v>1</v>
      </c>
      <c r="R269" s="13" t="s">
        <v>109</v>
      </c>
      <c r="S269" s="20">
        <v>4000</v>
      </c>
      <c r="T269" s="13">
        <v>18384</v>
      </c>
      <c r="U269" s="13">
        <v>1</v>
      </c>
      <c r="V269" s="13" t="s">
        <v>52</v>
      </c>
      <c r="W269" s="13" t="s">
        <v>59</v>
      </c>
      <c r="X269" s="13">
        <v>12</v>
      </c>
      <c r="Y269" s="13">
        <v>3</v>
      </c>
      <c r="Z269" s="13">
        <v>4</v>
      </c>
      <c r="AA269" s="13">
        <v>80</v>
      </c>
      <c r="AB269" s="13">
        <v>2</v>
      </c>
      <c r="AC269" s="13">
        <v>6</v>
      </c>
      <c r="AD269" s="13">
        <v>2</v>
      </c>
      <c r="AE269" s="13">
        <v>3</v>
      </c>
      <c r="AF269" s="14">
        <v>6</v>
      </c>
      <c r="AG269" s="13">
        <v>3</v>
      </c>
      <c r="AH269" s="13">
        <v>1</v>
      </c>
      <c r="AI269" s="13">
        <v>5</v>
      </c>
      <c r="AJ269" s="13" t="str">
        <f t="shared" si="4"/>
        <v>Under 30</v>
      </c>
      <c r="AK269" s="13" t="str">
        <f>IF(tblCleanData[[#This Row],[MonthlyIncome]]&lt;5000, "Low Income", IF(tblCleanData[[#This Row],[MonthlyIncome]]&lt;15000, "Medium Income", "High Income"))</f>
        <v>Low Income</v>
      </c>
      <c r="AL269" s="13">
        <f>IF(tblCleanData[[#This Row],[Attrition]]="No", 0,1)</f>
        <v>0</v>
      </c>
      <c r="AM269" s="13">
        <f>IF(tblCleanData[[#This Row],[OverTime]] = "No", 0, 1)</f>
        <v>0</v>
      </c>
      <c r="AN269" s="13" t="str">
        <f>CHOOSE(tblCleanData[[#This Row],[Education]], "Below College","College","Bachelor","Master","Doctor")</f>
        <v>College</v>
      </c>
      <c r="AO269" s="13" t="str">
        <f>VLOOKUP(tblCleanData[[#This Row],[EmployeeNumber]],tblHelpers[],15,TRUE)</f>
        <v>High Risk</v>
      </c>
      <c r="AP269" s="13">
        <f>VLOOKUP(tblCleanData[[#This Row],[EmployeeNumber]],tblHelpers[],14,0)</f>
        <v>68</v>
      </c>
    </row>
    <row r="270" spans="1:42" x14ac:dyDescent="0.25">
      <c r="A270" s="13">
        <v>45</v>
      </c>
      <c r="B270" s="13" t="s">
        <v>59</v>
      </c>
      <c r="C270" s="13" t="s">
        <v>37</v>
      </c>
      <c r="D270" s="13">
        <v>1385</v>
      </c>
      <c r="E270" s="13" t="s">
        <v>62</v>
      </c>
      <c r="F270" s="13">
        <v>20</v>
      </c>
      <c r="G270" s="13">
        <v>2</v>
      </c>
      <c r="H270" s="13" t="s">
        <v>87</v>
      </c>
      <c r="I270" s="13">
        <v>1</v>
      </c>
      <c r="J270" s="13">
        <v>372</v>
      </c>
      <c r="K270" s="13">
        <v>3</v>
      </c>
      <c r="L270" s="13" t="s">
        <v>63</v>
      </c>
      <c r="M270" s="13">
        <v>79</v>
      </c>
      <c r="N270" s="13">
        <v>3</v>
      </c>
      <c r="O270" s="13">
        <v>4</v>
      </c>
      <c r="P270" s="13" t="s">
        <v>122</v>
      </c>
      <c r="Q270" s="13">
        <v>4</v>
      </c>
      <c r="R270" s="13" t="s">
        <v>66</v>
      </c>
      <c r="S270" s="20">
        <v>13496</v>
      </c>
      <c r="T270" s="13">
        <v>7501</v>
      </c>
      <c r="U270" s="13">
        <v>0</v>
      </c>
      <c r="V270" s="13" t="s">
        <v>52</v>
      </c>
      <c r="W270" s="13" t="s">
        <v>36</v>
      </c>
      <c r="X270" s="13">
        <v>14</v>
      </c>
      <c r="Y270" s="13">
        <v>3</v>
      </c>
      <c r="Z270" s="13">
        <v>2</v>
      </c>
      <c r="AA270" s="13">
        <v>80</v>
      </c>
      <c r="AB270" s="13">
        <v>0</v>
      </c>
      <c r="AC270" s="13">
        <v>21</v>
      </c>
      <c r="AD270" s="13">
        <v>2</v>
      </c>
      <c r="AE270" s="13">
        <v>3</v>
      </c>
      <c r="AF270" s="14">
        <v>20</v>
      </c>
      <c r="AG270" s="13">
        <v>7</v>
      </c>
      <c r="AH270" s="13">
        <v>4</v>
      </c>
      <c r="AI270" s="13">
        <v>10</v>
      </c>
      <c r="AJ270" s="13" t="str">
        <f t="shared" si="4"/>
        <v>40-49</v>
      </c>
      <c r="AK270" s="13" t="str">
        <f>IF(tblCleanData[[#This Row],[MonthlyIncome]]&lt;5000, "Low Income", IF(tblCleanData[[#This Row],[MonthlyIncome]]&lt;15000, "Medium Income", "High Income"))</f>
        <v>Medium Income</v>
      </c>
      <c r="AL270" s="13">
        <f>IF(tblCleanData[[#This Row],[Attrition]]="No", 0,1)</f>
        <v>0</v>
      </c>
      <c r="AM270" s="13">
        <f>IF(tblCleanData[[#This Row],[OverTime]] = "No", 0, 1)</f>
        <v>1</v>
      </c>
      <c r="AN270" s="13" t="str">
        <f>CHOOSE(tblCleanData[[#This Row],[Education]], "Below College","College","Bachelor","Master","Doctor")</f>
        <v>College</v>
      </c>
      <c r="AO270" s="13" t="str">
        <f>VLOOKUP(tblCleanData[[#This Row],[EmployeeNumber]],tblHelpers[],15,TRUE)</f>
        <v>Medium Risk</v>
      </c>
      <c r="AP270" s="13">
        <f>VLOOKUP(tblCleanData[[#This Row],[EmployeeNumber]],tblHelpers[],14,0)</f>
        <v>49</v>
      </c>
    </row>
    <row r="271" spans="1:42" x14ac:dyDescent="0.25">
      <c r="A271" s="13">
        <v>36</v>
      </c>
      <c r="B271" s="13" t="s">
        <v>59</v>
      </c>
      <c r="C271" s="13" t="s">
        <v>37</v>
      </c>
      <c r="D271" s="13">
        <v>1403</v>
      </c>
      <c r="E271" s="13" t="s">
        <v>62</v>
      </c>
      <c r="F271" s="13">
        <v>6</v>
      </c>
      <c r="G271" s="13">
        <v>3</v>
      </c>
      <c r="H271" s="13" t="s">
        <v>42</v>
      </c>
      <c r="I271" s="13">
        <v>1</v>
      </c>
      <c r="J271" s="13">
        <v>373</v>
      </c>
      <c r="K271" s="13">
        <v>4</v>
      </c>
      <c r="L271" s="13" t="s">
        <v>63</v>
      </c>
      <c r="M271" s="13">
        <v>47</v>
      </c>
      <c r="N271" s="13">
        <v>3</v>
      </c>
      <c r="O271" s="13">
        <v>1</v>
      </c>
      <c r="P271" s="13" t="s">
        <v>76</v>
      </c>
      <c r="Q271" s="13">
        <v>4</v>
      </c>
      <c r="R271" s="13" t="s">
        <v>66</v>
      </c>
      <c r="S271" s="20">
        <v>3210</v>
      </c>
      <c r="T271" s="13">
        <v>20251</v>
      </c>
      <c r="U271" s="13">
        <v>0</v>
      </c>
      <c r="V271" s="13" t="s">
        <v>52</v>
      </c>
      <c r="W271" s="13" t="s">
        <v>59</v>
      </c>
      <c r="X271" s="13">
        <v>11</v>
      </c>
      <c r="Y271" s="13">
        <v>3</v>
      </c>
      <c r="Z271" s="13">
        <v>3</v>
      </c>
      <c r="AA271" s="13">
        <v>80</v>
      </c>
      <c r="AB271" s="13">
        <v>1</v>
      </c>
      <c r="AC271" s="13">
        <v>16</v>
      </c>
      <c r="AD271" s="13">
        <v>4</v>
      </c>
      <c r="AE271" s="13">
        <v>3</v>
      </c>
      <c r="AF271" s="14">
        <v>15</v>
      </c>
      <c r="AG271" s="13">
        <v>13</v>
      </c>
      <c r="AH271" s="13">
        <v>10</v>
      </c>
      <c r="AI271" s="13">
        <v>11</v>
      </c>
      <c r="AJ271" s="13" t="str">
        <f t="shared" si="4"/>
        <v>30-39</v>
      </c>
      <c r="AK271" s="13" t="str">
        <f>IF(tblCleanData[[#This Row],[MonthlyIncome]]&lt;5000, "Low Income", IF(tblCleanData[[#This Row],[MonthlyIncome]]&lt;15000, "Medium Income", "High Income"))</f>
        <v>Low Income</v>
      </c>
      <c r="AL271" s="13">
        <f>IF(tblCleanData[[#This Row],[Attrition]]="No", 0,1)</f>
        <v>0</v>
      </c>
      <c r="AM271" s="13">
        <f>IF(tblCleanData[[#This Row],[OverTime]] = "No", 0, 1)</f>
        <v>0</v>
      </c>
      <c r="AN271" s="13" t="str">
        <f>CHOOSE(tblCleanData[[#This Row],[Education]], "Below College","College","Bachelor","Master","Doctor")</f>
        <v>Bachelor</v>
      </c>
      <c r="AO271" s="13" t="str">
        <f>VLOOKUP(tblCleanData[[#This Row],[EmployeeNumber]],tblHelpers[],15,TRUE)</f>
        <v>Low Risk</v>
      </c>
      <c r="AP271" s="13">
        <f>VLOOKUP(tblCleanData[[#This Row],[EmployeeNumber]],tblHelpers[],14,0)</f>
        <v>34</v>
      </c>
    </row>
    <row r="272" spans="1:42" x14ac:dyDescent="0.25">
      <c r="A272" s="13">
        <v>55</v>
      </c>
      <c r="B272" s="13" t="s">
        <v>59</v>
      </c>
      <c r="C272" s="13" t="s">
        <v>37</v>
      </c>
      <c r="D272" s="13">
        <v>452</v>
      </c>
      <c r="E272" s="13" t="s">
        <v>62</v>
      </c>
      <c r="F272" s="13">
        <v>1</v>
      </c>
      <c r="G272" s="13">
        <v>3</v>
      </c>
      <c r="H272" s="13" t="s">
        <v>87</v>
      </c>
      <c r="I272" s="13">
        <v>1</v>
      </c>
      <c r="J272" s="13">
        <v>374</v>
      </c>
      <c r="K272" s="13">
        <v>4</v>
      </c>
      <c r="L272" s="13" t="s">
        <v>63</v>
      </c>
      <c r="M272" s="13">
        <v>81</v>
      </c>
      <c r="N272" s="13">
        <v>3</v>
      </c>
      <c r="O272" s="13">
        <v>5</v>
      </c>
      <c r="P272" s="13" t="s">
        <v>169</v>
      </c>
      <c r="Q272" s="13">
        <v>1</v>
      </c>
      <c r="R272" s="13" t="s">
        <v>48</v>
      </c>
      <c r="S272" s="20">
        <v>19045</v>
      </c>
      <c r="T272" s="13">
        <v>18938</v>
      </c>
      <c r="U272" s="13">
        <v>0</v>
      </c>
      <c r="V272" s="13" t="s">
        <v>52</v>
      </c>
      <c r="W272" s="13" t="s">
        <v>36</v>
      </c>
      <c r="X272" s="13">
        <v>14</v>
      </c>
      <c r="Y272" s="13">
        <v>3</v>
      </c>
      <c r="Z272" s="13">
        <v>3</v>
      </c>
      <c r="AA272" s="13">
        <v>80</v>
      </c>
      <c r="AB272" s="13">
        <v>0</v>
      </c>
      <c r="AC272" s="13">
        <v>37</v>
      </c>
      <c r="AD272" s="13">
        <v>2</v>
      </c>
      <c r="AE272" s="13">
        <v>3</v>
      </c>
      <c r="AF272" s="14">
        <v>36</v>
      </c>
      <c r="AG272" s="13">
        <v>10</v>
      </c>
      <c r="AH272" s="13">
        <v>4</v>
      </c>
      <c r="AI272" s="13">
        <v>13</v>
      </c>
      <c r="AJ272" s="13" t="str">
        <f t="shared" si="4"/>
        <v>50+</v>
      </c>
      <c r="AK272" s="13" t="str">
        <f>IF(tblCleanData[[#This Row],[MonthlyIncome]]&lt;5000, "Low Income", IF(tblCleanData[[#This Row],[MonthlyIncome]]&lt;15000, "Medium Income", "High Income"))</f>
        <v>High Income</v>
      </c>
      <c r="AL272" s="13">
        <f>IF(tblCleanData[[#This Row],[Attrition]]="No", 0,1)</f>
        <v>0</v>
      </c>
      <c r="AM272" s="13">
        <f>IF(tblCleanData[[#This Row],[OverTime]] = "No", 0, 1)</f>
        <v>1</v>
      </c>
      <c r="AN272" s="13" t="str">
        <f>CHOOSE(tblCleanData[[#This Row],[Education]], "Below College","College","Bachelor","Master","Doctor")</f>
        <v>Bachelor</v>
      </c>
      <c r="AO272" s="13" t="str">
        <f>VLOOKUP(tblCleanData[[#This Row],[EmployeeNumber]],tblHelpers[],15,TRUE)</f>
        <v>High Risk</v>
      </c>
      <c r="AP272" s="13">
        <f>VLOOKUP(tblCleanData[[#This Row],[EmployeeNumber]],tblHelpers[],14,0)</f>
        <v>73</v>
      </c>
    </row>
    <row r="273" spans="1:42" x14ac:dyDescent="0.25">
      <c r="A273" s="13">
        <v>47</v>
      </c>
      <c r="B273" s="13" t="s">
        <v>36</v>
      </c>
      <c r="C273" s="13" t="s">
        <v>161</v>
      </c>
      <c r="D273" s="13">
        <v>666</v>
      </c>
      <c r="E273" s="13" t="s">
        <v>62</v>
      </c>
      <c r="F273" s="13">
        <v>29</v>
      </c>
      <c r="G273" s="13">
        <v>4</v>
      </c>
      <c r="H273" s="13" t="s">
        <v>42</v>
      </c>
      <c r="I273" s="13">
        <v>1</v>
      </c>
      <c r="J273" s="13">
        <v>376</v>
      </c>
      <c r="K273" s="13">
        <v>1</v>
      </c>
      <c r="L273" s="13" t="s">
        <v>63</v>
      </c>
      <c r="M273" s="13">
        <v>88</v>
      </c>
      <c r="N273" s="13">
        <v>3</v>
      </c>
      <c r="O273" s="13">
        <v>3</v>
      </c>
      <c r="P273" s="13" t="s">
        <v>169</v>
      </c>
      <c r="Q273" s="13">
        <v>2</v>
      </c>
      <c r="R273" s="13" t="s">
        <v>66</v>
      </c>
      <c r="S273" s="20">
        <v>11849</v>
      </c>
      <c r="T273" s="13">
        <v>10268</v>
      </c>
      <c r="U273" s="13">
        <v>1</v>
      </c>
      <c r="V273" s="13" t="s">
        <v>52</v>
      </c>
      <c r="W273" s="13" t="s">
        <v>36</v>
      </c>
      <c r="X273" s="13">
        <v>12</v>
      </c>
      <c r="Y273" s="13">
        <v>3</v>
      </c>
      <c r="Z273" s="13">
        <v>4</v>
      </c>
      <c r="AA273" s="13">
        <v>80</v>
      </c>
      <c r="AB273" s="13">
        <v>1</v>
      </c>
      <c r="AC273" s="13">
        <v>10</v>
      </c>
      <c r="AD273" s="13">
        <v>2</v>
      </c>
      <c r="AE273" s="13">
        <v>2</v>
      </c>
      <c r="AF273" s="14">
        <v>10</v>
      </c>
      <c r="AG273" s="13">
        <v>7</v>
      </c>
      <c r="AH273" s="13">
        <v>9</v>
      </c>
      <c r="AI273" s="13">
        <v>9</v>
      </c>
      <c r="AJ273" s="13" t="str">
        <f t="shared" si="4"/>
        <v>40-49</v>
      </c>
      <c r="AK273" s="13" t="str">
        <f>IF(tblCleanData[[#This Row],[MonthlyIncome]]&lt;5000, "Low Income", IF(tblCleanData[[#This Row],[MonthlyIncome]]&lt;15000, "Medium Income", "High Income"))</f>
        <v>Medium Income</v>
      </c>
      <c r="AL273" s="13">
        <f>IF(tblCleanData[[#This Row],[Attrition]]="No", 0,1)</f>
        <v>1</v>
      </c>
      <c r="AM273" s="13">
        <f>IF(tblCleanData[[#This Row],[OverTime]] = "No", 0, 1)</f>
        <v>1</v>
      </c>
      <c r="AN273" s="13" t="str">
        <f>CHOOSE(tblCleanData[[#This Row],[Education]], "Below College","College","Bachelor","Master","Doctor")</f>
        <v>Master</v>
      </c>
      <c r="AO273" s="13" t="str">
        <f>VLOOKUP(tblCleanData[[#This Row],[EmployeeNumber]],tblHelpers[],15,TRUE)</f>
        <v>High Risk</v>
      </c>
      <c r="AP273" s="13">
        <f>VLOOKUP(tblCleanData[[#This Row],[EmployeeNumber]],tblHelpers[],14,0)</f>
        <v>67</v>
      </c>
    </row>
    <row r="274" spans="1:42" x14ac:dyDescent="0.25">
      <c r="A274" s="13">
        <v>28</v>
      </c>
      <c r="B274" s="13" t="s">
        <v>59</v>
      </c>
      <c r="C274" s="13" t="s">
        <v>37</v>
      </c>
      <c r="D274" s="13">
        <v>1158</v>
      </c>
      <c r="E274" s="13" t="s">
        <v>62</v>
      </c>
      <c r="F274" s="13">
        <v>9</v>
      </c>
      <c r="G274" s="13">
        <v>3</v>
      </c>
      <c r="H274" s="13" t="s">
        <v>87</v>
      </c>
      <c r="I274" s="13">
        <v>1</v>
      </c>
      <c r="J274" s="13">
        <v>377</v>
      </c>
      <c r="K274" s="13">
        <v>4</v>
      </c>
      <c r="L274" s="13" t="s">
        <v>63</v>
      </c>
      <c r="M274" s="13">
        <v>94</v>
      </c>
      <c r="N274" s="13">
        <v>3</v>
      </c>
      <c r="O274" s="13">
        <v>1</v>
      </c>
      <c r="P274" s="13" t="s">
        <v>65</v>
      </c>
      <c r="Q274" s="13">
        <v>4</v>
      </c>
      <c r="R274" s="13" t="s">
        <v>66</v>
      </c>
      <c r="S274" s="20">
        <v>2070</v>
      </c>
      <c r="T274" s="13">
        <v>2613</v>
      </c>
      <c r="U274" s="13">
        <v>1</v>
      </c>
      <c r="V274" s="13" t="s">
        <v>52</v>
      </c>
      <c r="W274" s="13" t="s">
        <v>59</v>
      </c>
      <c r="X274" s="13">
        <v>23</v>
      </c>
      <c r="Y274" s="13">
        <v>4</v>
      </c>
      <c r="Z274" s="13">
        <v>4</v>
      </c>
      <c r="AA274" s="13">
        <v>80</v>
      </c>
      <c r="AB274" s="13">
        <v>1</v>
      </c>
      <c r="AC274" s="13">
        <v>5</v>
      </c>
      <c r="AD274" s="13">
        <v>3</v>
      </c>
      <c r="AE274" s="13">
        <v>2</v>
      </c>
      <c r="AF274" s="14">
        <v>5</v>
      </c>
      <c r="AG274" s="13">
        <v>2</v>
      </c>
      <c r="AH274" s="13">
        <v>0</v>
      </c>
      <c r="AI274" s="13">
        <v>4</v>
      </c>
      <c r="AJ274" s="13" t="str">
        <f t="shared" si="4"/>
        <v>Under 30</v>
      </c>
      <c r="AK274" s="13" t="str">
        <f>IF(tblCleanData[[#This Row],[MonthlyIncome]]&lt;5000, "Low Income", IF(tblCleanData[[#This Row],[MonthlyIncome]]&lt;15000, "Medium Income", "High Income"))</f>
        <v>Low Income</v>
      </c>
      <c r="AL274" s="13">
        <f>IF(tblCleanData[[#This Row],[Attrition]]="No", 0,1)</f>
        <v>0</v>
      </c>
      <c r="AM274" s="13">
        <f>IF(tblCleanData[[#This Row],[OverTime]] = "No", 0, 1)</f>
        <v>0</v>
      </c>
      <c r="AN274" s="13" t="str">
        <f>CHOOSE(tblCleanData[[#This Row],[Education]], "Below College","College","Bachelor","Master","Doctor")</f>
        <v>Bachelor</v>
      </c>
      <c r="AO274" s="13" t="str">
        <f>VLOOKUP(tblCleanData[[#This Row],[EmployeeNumber]],tblHelpers[],15,TRUE)</f>
        <v>High Risk</v>
      </c>
      <c r="AP274" s="13">
        <f>VLOOKUP(tblCleanData[[#This Row],[EmployeeNumber]],tblHelpers[],14,0)</f>
        <v>56</v>
      </c>
    </row>
    <row r="275" spans="1:42" x14ac:dyDescent="0.25">
      <c r="A275" s="13">
        <v>37</v>
      </c>
      <c r="B275" s="13" t="s">
        <v>59</v>
      </c>
      <c r="C275" s="13" t="s">
        <v>37</v>
      </c>
      <c r="D275" s="13">
        <v>228</v>
      </c>
      <c r="E275" s="13" t="s">
        <v>39</v>
      </c>
      <c r="F275" s="13">
        <v>6</v>
      </c>
      <c r="G275" s="13">
        <v>4</v>
      </c>
      <c r="H275" s="13" t="s">
        <v>87</v>
      </c>
      <c r="I275" s="13">
        <v>1</v>
      </c>
      <c r="J275" s="13">
        <v>378</v>
      </c>
      <c r="K275" s="13">
        <v>3</v>
      </c>
      <c r="L275" s="13" t="s">
        <v>63</v>
      </c>
      <c r="M275" s="13">
        <v>98</v>
      </c>
      <c r="N275" s="13">
        <v>3</v>
      </c>
      <c r="O275" s="13">
        <v>2</v>
      </c>
      <c r="P275" s="13" t="s">
        <v>46</v>
      </c>
      <c r="Q275" s="13">
        <v>4</v>
      </c>
      <c r="R275" s="13" t="s">
        <v>66</v>
      </c>
      <c r="S275" s="20">
        <v>6502</v>
      </c>
      <c r="T275" s="13">
        <v>22825</v>
      </c>
      <c r="U275" s="13">
        <v>4</v>
      </c>
      <c r="V275" s="13" t="s">
        <v>52</v>
      </c>
      <c r="W275" s="13" t="s">
        <v>59</v>
      </c>
      <c r="X275" s="13">
        <v>14</v>
      </c>
      <c r="Y275" s="13">
        <v>3</v>
      </c>
      <c r="Z275" s="13">
        <v>2</v>
      </c>
      <c r="AA275" s="13">
        <v>80</v>
      </c>
      <c r="AB275" s="13">
        <v>1</v>
      </c>
      <c r="AC275" s="13">
        <v>7</v>
      </c>
      <c r="AD275" s="13">
        <v>5</v>
      </c>
      <c r="AE275" s="13">
        <v>4</v>
      </c>
      <c r="AF275" s="14">
        <v>5</v>
      </c>
      <c r="AG275" s="13">
        <v>4</v>
      </c>
      <c r="AH275" s="13">
        <v>0</v>
      </c>
      <c r="AI275" s="13">
        <v>1</v>
      </c>
      <c r="AJ275" s="13" t="str">
        <f t="shared" si="4"/>
        <v>30-39</v>
      </c>
      <c r="AK275" s="13" t="str">
        <f>IF(tblCleanData[[#This Row],[MonthlyIncome]]&lt;5000, "Low Income", IF(tblCleanData[[#This Row],[MonthlyIncome]]&lt;15000, "Medium Income", "High Income"))</f>
        <v>Medium Income</v>
      </c>
      <c r="AL275" s="13">
        <f>IF(tblCleanData[[#This Row],[Attrition]]="No", 0,1)</f>
        <v>0</v>
      </c>
      <c r="AM275" s="13">
        <f>IF(tblCleanData[[#This Row],[OverTime]] = "No", 0, 1)</f>
        <v>0</v>
      </c>
      <c r="AN275" s="13" t="str">
        <f>CHOOSE(tblCleanData[[#This Row],[Education]], "Below College","College","Bachelor","Master","Doctor")</f>
        <v>Master</v>
      </c>
      <c r="AO275" s="13" t="str">
        <f>VLOOKUP(tblCleanData[[#This Row],[EmployeeNumber]],tblHelpers[],15,TRUE)</f>
        <v>Medium Risk</v>
      </c>
      <c r="AP275" s="13">
        <f>VLOOKUP(tblCleanData[[#This Row],[EmployeeNumber]],tblHelpers[],14,0)</f>
        <v>46</v>
      </c>
    </row>
    <row r="276" spans="1:42" x14ac:dyDescent="0.25">
      <c r="A276" s="13">
        <v>21</v>
      </c>
      <c r="B276" s="13" t="s">
        <v>59</v>
      </c>
      <c r="C276" s="13" t="s">
        <v>37</v>
      </c>
      <c r="D276" s="13">
        <v>996</v>
      </c>
      <c r="E276" s="13" t="s">
        <v>62</v>
      </c>
      <c r="F276" s="13">
        <v>3</v>
      </c>
      <c r="G276" s="13">
        <v>2</v>
      </c>
      <c r="H276" s="13" t="s">
        <v>87</v>
      </c>
      <c r="I276" s="13">
        <v>1</v>
      </c>
      <c r="J276" s="13">
        <v>379</v>
      </c>
      <c r="K276" s="13">
        <v>4</v>
      </c>
      <c r="L276" s="13" t="s">
        <v>63</v>
      </c>
      <c r="M276" s="13">
        <v>100</v>
      </c>
      <c r="N276" s="13">
        <v>2</v>
      </c>
      <c r="O276" s="13">
        <v>1</v>
      </c>
      <c r="P276" s="13" t="s">
        <v>65</v>
      </c>
      <c r="Q276" s="13">
        <v>3</v>
      </c>
      <c r="R276" s="13" t="s">
        <v>48</v>
      </c>
      <c r="S276" s="20">
        <v>3230</v>
      </c>
      <c r="T276" s="13">
        <v>10531</v>
      </c>
      <c r="U276" s="13">
        <v>1</v>
      </c>
      <c r="V276" s="13" t="s">
        <v>52</v>
      </c>
      <c r="W276" s="13" t="s">
        <v>59</v>
      </c>
      <c r="X276" s="13">
        <v>17</v>
      </c>
      <c r="Y276" s="13">
        <v>3</v>
      </c>
      <c r="Z276" s="13">
        <v>1</v>
      </c>
      <c r="AA276" s="13">
        <v>80</v>
      </c>
      <c r="AB276" s="13">
        <v>0</v>
      </c>
      <c r="AC276" s="13">
        <v>3</v>
      </c>
      <c r="AD276" s="13">
        <v>4</v>
      </c>
      <c r="AE276" s="13">
        <v>4</v>
      </c>
      <c r="AF276" s="14">
        <v>3</v>
      </c>
      <c r="AG276" s="13">
        <v>2</v>
      </c>
      <c r="AH276" s="13">
        <v>1</v>
      </c>
      <c r="AI276" s="13">
        <v>0</v>
      </c>
      <c r="AJ276" s="13" t="str">
        <f t="shared" si="4"/>
        <v>Under 30</v>
      </c>
      <c r="AK276" s="13" t="str">
        <f>IF(tblCleanData[[#This Row],[MonthlyIncome]]&lt;5000, "Low Income", IF(tblCleanData[[#This Row],[MonthlyIncome]]&lt;15000, "Medium Income", "High Income"))</f>
        <v>Low Income</v>
      </c>
      <c r="AL276" s="13">
        <f>IF(tblCleanData[[#This Row],[Attrition]]="No", 0,1)</f>
        <v>0</v>
      </c>
      <c r="AM276" s="13">
        <f>IF(tblCleanData[[#This Row],[OverTime]] = "No", 0, 1)</f>
        <v>0</v>
      </c>
      <c r="AN276" s="13" t="str">
        <f>CHOOSE(tblCleanData[[#This Row],[Education]], "Below College","College","Bachelor","Master","Doctor")</f>
        <v>College</v>
      </c>
      <c r="AO276" s="13" t="str">
        <f>VLOOKUP(tblCleanData[[#This Row],[EmployeeNumber]],tblHelpers[],15,TRUE)</f>
        <v>High Risk</v>
      </c>
      <c r="AP276" s="13">
        <f>VLOOKUP(tblCleanData[[#This Row],[EmployeeNumber]],tblHelpers[],14,0)</f>
        <v>63</v>
      </c>
    </row>
    <row r="277" spans="1:42" x14ac:dyDescent="0.25">
      <c r="A277" s="13">
        <v>37</v>
      </c>
      <c r="B277" s="13" t="s">
        <v>59</v>
      </c>
      <c r="C277" s="13" t="s">
        <v>161</v>
      </c>
      <c r="D277" s="13">
        <v>728</v>
      </c>
      <c r="E277" s="13" t="s">
        <v>62</v>
      </c>
      <c r="F277" s="13">
        <v>1</v>
      </c>
      <c r="G277" s="13">
        <v>4</v>
      </c>
      <c r="H277" s="13" t="s">
        <v>87</v>
      </c>
      <c r="I277" s="13">
        <v>1</v>
      </c>
      <c r="J277" s="13">
        <v>380</v>
      </c>
      <c r="K277" s="13">
        <v>1</v>
      </c>
      <c r="L277" s="13" t="s">
        <v>43</v>
      </c>
      <c r="M277" s="13">
        <v>80</v>
      </c>
      <c r="N277" s="13">
        <v>3</v>
      </c>
      <c r="O277" s="13">
        <v>3</v>
      </c>
      <c r="P277" s="13" t="s">
        <v>186</v>
      </c>
      <c r="Q277" s="13">
        <v>4</v>
      </c>
      <c r="R277" s="13" t="s">
        <v>109</v>
      </c>
      <c r="S277" s="20">
        <v>13603</v>
      </c>
      <c r="T277" s="13">
        <v>11677</v>
      </c>
      <c r="U277" s="13">
        <v>2</v>
      </c>
      <c r="V277" s="13" t="s">
        <v>52</v>
      </c>
      <c r="W277" s="13" t="s">
        <v>36</v>
      </c>
      <c r="X277" s="13">
        <v>18</v>
      </c>
      <c r="Y277" s="13">
        <v>3</v>
      </c>
      <c r="Z277" s="13">
        <v>1</v>
      </c>
      <c r="AA277" s="13">
        <v>80</v>
      </c>
      <c r="AB277" s="13">
        <v>2</v>
      </c>
      <c r="AC277" s="13">
        <v>15</v>
      </c>
      <c r="AD277" s="13">
        <v>2</v>
      </c>
      <c r="AE277" s="13">
        <v>3</v>
      </c>
      <c r="AF277" s="14">
        <v>5</v>
      </c>
      <c r="AG277" s="13">
        <v>2</v>
      </c>
      <c r="AH277" s="13">
        <v>0</v>
      </c>
      <c r="AI277" s="13">
        <v>2</v>
      </c>
      <c r="AJ277" s="13" t="str">
        <f t="shared" si="4"/>
        <v>30-39</v>
      </c>
      <c r="AK277" s="13" t="str">
        <f>IF(tblCleanData[[#This Row],[MonthlyIncome]]&lt;5000, "Low Income", IF(tblCleanData[[#This Row],[MonthlyIncome]]&lt;15000, "Medium Income", "High Income"))</f>
        <v>Medium Income</v>
      </c>
      <c r="AL277" s="13">
        <f>IF(tblCleanData[[#This Row],[Attrition]]="No", 0,1)</f>
        <v>0</v>
      </c>
      <c r="AM277" s="13">
        <f>IF(tblCleanData[[#This Row],[OverTime]] = "No", 0, 1)</f>
        <v>1</v>
      </c>
      <c r="AN277" s="13" t="str">
        <f>CHOOSE(tblCleanData[[#This Row],[Education]], "Below College","College","Bachelor","Master","Doctor")</f>
        <v>Master</v>
      </c>
      <c r="AO277" s="13" t="str">
        <f>VLOOKUP(tblCleanData[[#This Row],[EmployeeNumber]],tblHelpers[],15,TRUE)</f>
        <v>High Risk</v>
      </c>
      <c r="AP277" s="13">
        <f>VLOOKUP(tblCleanData[[#This Row],[EmployeeNumber]],tblHelpers[],14,0)</f>
        <v>71</v>
      </c>
    </row>
    <row r="278" spans="1:42" x14ac:dyDescent="0.25">
      <c r="A278" s="13">
        <v>35</v>
      </c>
      <c r="B278" s="13" t="s">
        <v>59</v>
      </c>
      <c r="C278" s="13" t="s">
        <v>37</v>
      </c>
      <c r="D278" s="13">
        <v>1315</v>
      </c>
      <c r="E278" s="13" t="s">
        <v>62</v>
      </c>
      <c r="F278" s="13">
        <v>22</v>
      </c>
      <c r="G278" s="13">
        <v>3</v>
      </c>
      <c r="H278" s="13" t="s">
        <v>42</v>
      </c>
      <c r="I278" s="13">
        <v>1</v>
      </c>
      <c r="J278" s="13">
        <v>381</v>
      </c>
      <c r="K278" s="13">
        <v>2</v>
      </c>
      <c r="L278" s="13" t="s">
        <v>43</v>
      </c>
      <c r="M278" s="13">
        <v>71</v>
      </c>
      <c r="N278" s="13">
        <v>4</v>
      </c>
      <c r="O278" s="13">
        <v>3</v>
      </c>
      <c r="P278" s="13" t="s">
        <v>169</v>
      </c>
      <c r="Q278" s="13">
        <v>2</v>
      </c>
      <c r="R278" s="13" t="s">
        <v>109</v>
      </c>
      <c r="S278" s="20">
        <v>11996</v>
      </c>
      <c r="T278" s="13">
        <v>19100</v>
      </c>
      <c r="U278" s="13">
        <v>7</v>
      </c>
      <c r="V278" s="13" t="s">
        <v>52</v>
      </c>
      <c r="W278" s="13" t="s">
        <v>59</v>
      </c>
      <c r="X278" s="13">
        <v>18</v>
      </c>
      <c r="Y278" s="13">
        <v>3</v>
      </c>
      <c r="Z278" s="13">
        <v>2</v>
      </c>
      <c r="AA278" s="13">
        <v>80</v>
      </c>
      <c r="AB278" s="13">
        <v>1</v>
      </c>
      <c r="AC278" s="13">
        <v>10</v>
      </c>
      <c r="AD278" s="13">
        <v>6</v>
      </c>
      <c r="AE278" s="13">
        <v>2</v>
      </c>
      <c r="AF278" s="14">
        <v>7</v>
      </c>
      <c r="AG278" s="13">
        <v>7</v>
      </c>
      <c r="AH278" s="13">
        <v>6</v>
      </c>
      <c r="AI278" s="13">
        <v>2</v>
      </c>
      <c r="AJ278" s="13" t="str">
        <f t="shared" si="4"/>
        <v>30-39</v>
      </c>
      <c r="AK278" s="13" t="str">
        <f>IF(tblCleanData[[#This Row],[MonthlyIncome]]&lt;5000, "Low Income", IF(tblCleanData[[#This Row],[MonthlyIncome]]&lt;15000, "Medium Income", "High Income"))</f>
        <v>Medium Income</v>
      </c>
      <c r="AL278" s="13">
        <f>IF(tblCleanData[[#This Row],[Attrition]]="No", 0,1)</f>
        <v>0</v>
      </c>
      <c r="AM278" s="13">
        <f>IF(tblCleanData[[#This Row],[OverTime]] = "No", 0, 1)</f>
        <v>0</v>
      </c>
      <c r="AN278" s="13" t="str">
        <f>CHOOSE(tblCleanData[[#This Row],[Education]], "Below College","College","Bachelor","Master","Doctor")</f>
        <v>Bachelor</v>
      </c>
      <c r="AO278" s="13" t="str">
        <f>VLOOKUP(tblCleanData[[#This Row],[EmployeeNumber]],tblHelpers[],15,TRUE)</f>
        <v>Medium Risk</v>
      </c>
      <c r="AP278" s="13">
        <f>VLOOKUP(tblCleanData[[#This Row],[EmployeeNumber]],tblHelpers[],14,0)</f>
        <v>52</v>
      </c>
    </row>
    <row r="279" spans="1:42" x14ac:dyDescent="0.25">
      <c r="A279" s="13">
        <v>38</v>
      </c>
      <c r="B279" s="13" t="s">
        <v>59</v>
      </c>
      <c r="C279" s="13" t="s">
        <v>37</v>
      </c>
      <c r="D279" s="13">
        <v>322</v>
      </c>
      <c r="E279" s="13" t="s">
        <v>39</v>
      </c>
      <c r="F279" s="13">
        <v>7</v>
      </c>
      <c r="G279" s="13">
        <v>2</v>
      </c>
      <c r="H279" s="13" t="s">
        <v>87</v>
      </c>
      <c r="I279" s="13">
        <v>1</v>
      </c>
      <c r="J279" s="13">
        <v>382</v>
      </c>
      <c r="K279" s="13">
        <v>1</v>
      </c>
      <c r="L279" s="13" t="s">
        <v>43</v>
      </c>
      <c r="M279" s="13">
        <v>44</v>
      </c>
      <c r="N279" s="13">
        <v>4</v>
      </c>
      <c r="O279" s="13">
        <v>2</v>
      </c>
      <c r="P279" s="13" t="s">
        <v>46</v>
      </c>
      <c r="Q279" s="13">
        <v>1</v>
      </c>
      <c r="R279" s="13" t="s">
        <v>109</v>
      </c>
      <c r="S279" s="20">
        <v>5605</v>
      </c>
      <c r="T279" s="13">
        <v>19191</v>
      </c>
      <c r="U279" s="13">
        <v>1</v>
      </c>
      <c r="V279" s="13" t="s">
        <v>52</v>
      </c>
      <c r="W279" s="13" t="s">
        <v>36</v>
      </c>
      <c r="X279" s="13">
        <v>24</v>
      </c>
      <c r="Y279" s="13">
        <v>4</v>
      </c>
      <c r="Z279" s="13">
        <v>3</v>
      </c>
      <c r="AA279" s="13">
        <v>80</v>
      </c>
      <c r="AB279" s="13">
        <v>1</v>
      </c>
      <c r="AC279" s="13">
        <v>8</v>
      </c>
      <c r="AD279" s="13">
        <v>3</v>
      </c>
      <c r="AE279" s="13">
        <v>3</v>
      </c>
      <c r="AF279" s="14">
        <v>8</v>
      </c>
      <c r="AG279" s="13">
        <v>0</v>
      </c>
      <c r="AH279" s="13">
        <v>7</v>
      </c>
      <c r="AI279" s="13">
        <v>7</v>
      </c>
      <c r="AJ279" s="13" t="str">
        <f t="shared" si="4"/>
        <v>30-39</v>
      </c>
      <c r="AK279" s="13" t="str">
        <f>IF(tblCleanData[[#This Row],[MonthlyIncome]]&lt;5000, "Low Income", IF(tblCleanData[[#This Row],[MonthlyIncome]]&lt;15000, "Medium Income", "High Income"))</f>
        <v>Medium Income</v>
      </c>
      <c r="AL279" s="13">
        <f>IF(tblCleanData[[#This Row],[Attrition]]="No", 0,1)</f>
        <v>0</v>
      </c>
      <c r="AM279" s="13">
        <f>IF(tblCleanData[[#This Row],[OverTime]] = "No", 0, 1)</f>
        <v>1</v>
      </c>
      <c r="AN279" s="13" t="str">
        <f>CHOOSE(tblCleanData[[#This Row],[Education]], "Below College","College","Bachelor","Master","Doctor")</f>
        <v>College</v>
      </c>
      <c r="AO279" s="13" t="str">
        <f>VLOOKUP(tblCleanData[[#This Row],[EmployeeNumber]],tblHelpers[],15,TRUE)</f>
        <v>High Risk</v>
      </c>
      <c r="AP279" s="13">
        <f>VLOOKUP(tblCleanData[[#This Row],[EmployeeNumber]],tblHelpers[],14,0)</f>
        <v>83</v>
      </c>
    </row>
    <row r="280" spans="1:42" x14ac:dyDescent="0.25">
      <c r="A280" s="13">
        <v>26</v>
      </c>
      <c r="B280" s="13" t="s">
        <v>59</v>
      </c>
      <c r="C280" s="13" t="s">
        <v>60</v>
      </c>
      <c r="D280" s="13">
        <v>1479</v>
      </c>
      <c r="E280" s="13" t="s">
        <v>62</v>
      </c>
      <c r="F280" s="13">
        <v>1</v>
      </c>
      <c r="G280" s="13">
        <v>3</v>
      </c>
      <c r="H280" s="13" t="s">
        <v>42</v>
      </c>
      <c r="I280" s="13">
        <v>1</v>
      </c>
      <c r="J280" s="13">
        <v>384</v>
      </c>
      <c r="K280" s="13">
        <v>3</v>
      </c>
      <c r="L280" s="13" t="s">
        <v>43</v>
      </c>
      <c r="M280" s="13">
        <v>84</v>
      </c>
      <c r="N280" s="13">
        <v>3</v>
      </c>
      <c r="O280" s="13">
        <v>2</v>
      </c>
      <c r="P280" s="13" t="s">
        <v>116</v>
      </c>
      <c r="Q280" s="13">
        <v>2</v>
      </c>
      <c r="R280" s="13" t="s">
        <v>109</v>
      </c>
      <c r="S280" s="20">
        <v>6397</v>
      </c>
      <c r="T280" s="13">
        <v>26767</v>
      </c>
      <c r="U280" s="13">
        <v>1</v>
      </c>
      <c r="V280" s="13" t="s">
        <v>52</v>
      </c>
      <c r="W280" s="13" t="s">
        <v>59</v>
      </c>
      <c r="X280" s="13">
        <v>20</v>
      </c>
      <c r="Y280" s="13">
        <v>4</v>
      </c>
      <c r="Z280" s="13">
        <v>1</v>
      </c>
      <c r="AA280" s="13">
        <v>80</v>
      </c>
      <c r="AB280" s="13">
        <v>1</v>
      </c>
      <c r="AC280" s="13">
        <v>6</v>
      </c>
      <c r="AD280" s="13">
        <v>6</v>
      </c>
      <c r="AE280" s="13">
        <v>1</v>
      </c>
      <c r="AF280" s="14">
        <v>6</v>
      </c>
      <c r="AG280" s="13">
        <v>5</v>
      </c>
      <c r="AH280" s="13">
        <v>1</v>
      </c>
      <c r="AI280" s="13">
        <v>4</v>
      </c>
      <c r="AJ280" s="13" t="str">
        <f t="shared" si="4"/>
        <v>Under 30</v>
      </c>
      <c r="AK280" s="13" t="str">
        <f>IF(tblCleanData[[#This Row],[MonthlyIncome]]&lt;5000, "Low Income", IF(tblCleanData[[#This Row],[MonthlyIncome]]&lt;15000, "Medium Income", "High Income"))</f>
        <v>Medium Income</v>
      </c>
      <c r="AL280" s="13">
        <f>IF(tblCleanData[[#This Row],[Attrition]]="No", 0,1)</f>
        <v>0</v>
      </c>
      <c r="AM280" s="13">
        <f>IF(tblCleanData[[#This Row],[OverTime]] = "No", 0, 1)</f>
        <v>0</v>
      </c>
      <c r="AN280" s="13" t="str">
        <f>CHOOSE(tblCleanData[[#This Row],[Education]], "Below College","College","Bachelor","Master","Doctor")</f>
        <v>Bachelor</v>
      </c>
      <c r="AO280" s="13" t="str">
        <f>VLOOKUP(tblCleanData[[#This Row],[EmployeeNumber]],tblHelpers[],15,TRUE)</f>
        <v>High Risk</v>
      </c>
      <c r="AP280" s="13">
        <f>VLOOKUP(tblCleanData[[#This Row],[EmployeeNumber]],tblHelpers[],14,0)</f>
        <v>62</v>
      </c>
    </row>
    <row r="281" spans="1:42" x14ac:dyDescent="0.25">
      <c r="A281" s="13">
        <v>50</v>
      </c>
      <c r="B281" s="13" t="s">
        <v>59</v>
      </c>
      <c r="C281" s="13" t="s">
        <v>37</v>
      </c>
      <c r="D281" s="13">
        <v>797</v>
      </c>
      <c r="E281" s="13" t="s">
        <v>62</v>
      </c>
      <c r="F281" s="13">
        <v>4</v>
      </c>
      <c r="G281" s="13">
        <v>1</v>
      </c>
      <c r="H281" s="13" t="s">
        <v>42</v>
      </c>
      <c r="I281" s="13">
        <v>1</v>
      </c>
      <c r="J281" s="13">
        <v>385</v>
      </c>
      <c r="K281" s="13">
        <v>1</v>
      </c>
      <c r="L281" s="13" t="s">
        <v>63</v>
      </c>
      <c r="M281" s="13">
        <v>96</v>
      </c>
      <c r="N281" s="13">
        <v>3</v>
      </c>
      <c r="O281" s="13">
        <v>5</v>
      </c>
      <c r="P281" s="13" t="s">
        <v>186</v>
      </c>
      <c r="Q281" s="13">
        <v>2</v>
      </c>
      <c r="R281" s="13" t="s">
        <v>109</v>
      </c>
      <c r="S281" s="20">
        <v>19144</v>
      </c>
      <c r="T281" s="13">
        <v>15815</v>
      </c>
      <c r="U281" s="13">
        <v>3</v>
      </c>
      <c r="V281" s="13" t="s">
        <v>52</v>
      </c>
      <c r="W281" s="13" t="s">
        <v>59</v>
      </c>
      <c r="X281" s="13">
        <v>14</v>
      </c>
      <c r="Y281" s="13">
        <v>3</v>
      </c>
      <c r="Z281" s="13">
        <v>1</v>
      </c>
      <c r="AA281" s="13">
        <v>80</v>
      </c>
      <c r="AB281" s="13">
        <v>2</v>
      </c>
      <c r="AC281" s="13">
        <v>28</v>
      </c>
      <c r="AD281" s="13">
        <v>4</v>
      </c>
      <c r="AE281" s="13">
        <v>2</v>
      </c>
      <c r="AF281" s="14">
        <v>10</v>
      </c>
      <c r="AG281" s="13">
        <v>4</v>
      </c>
      <c r="AH281" s="13">
        <v>1</v>
      </c>
      <c r="AI281" s="13">
        <v>6</v>
      </c>
      <c r="AJ281" s="13" t="str">
        <f t="shared" si="4"/>
        <v>50+</v>
      </c>
      <c r="AK281" s="13" t="str">
        <f>IF(tblCleanData[[#This Row],[MonthlyIncome]]&lt;5000, "Low Income", IF(tblCleanData[[#This Row],[MonthlyIncome]]&lt;15000, "Medium Income", "High Income"))</f>
        <v>High Income</v>
      </c>
      <c r="AL281" s="13">
        <f>IF(tblCleanData[[#This Row],[Attrition]]="No", 0,1)</f>
        <v>0</v>
      </c>
      <c r="AM281" s="13">
        <f>IF(tblCleanData[[#This Row],[OverTime]] = "No", 0, 1)</f>
        <v>0</v>
      </c>
      <c r="AN281" s="13" t="str">
        <f>CHOOSE(tblCleanData[[#This Row],[Education]], "Below College","College","Bachelor","Master","Doctor")</f>
        <v>Below College</v>
      </c>
      <c r="AO281" s="13" t="str">
        <f>VLOOKUP(tblCleanData[[#This Row],[EmployeeNumber]],tblHelpers[],15,TRUE)</f>
        <v>Medium Risk</v>
      </c>
      <c r="AP281" s="13">
        <f>VLOOKUP(tblCleanData[[#This Row],[EmployeeNumber]],tblHelpers[],14,0)</f>
        <v>47</v>
      </c>
    </row>
    <row r="282" spans="1:42" x14ac:dyDescent="0.25">
      <c r="A282" s="13">
        <v>53</v>
      </c>
      <c r="B282" s="13" t="s">
        <v>59</v>
      </c>
      <c r="C282" s="13" t="s">
        <v>37</v>
      </c>
      <c r="D282" s="13">
        <v>1070</v>
      </c>
      <c r="E282" s="13" t="s">
        <v>62</v>
      </c>
      <c r="F282" s="13">
        <v>3</v>
      </c>
      <c r="G282" s="13">
        <v>4</v>
      </c>
      <c r="H282" s="13" t="s">
        <v>87</v>
      </c>
      <c r="I282" s="13">
        <v>1</v>
      </c>
      <c r="J282" s="13">
        <v>386</v>
      </c>
      <c r="K282" s="13">
        <v>3</v>
      </c>
      <c r="L282" s="13" t="s">
        <v>63</v>
      </c>
      <c r="M282" s="13">
        <v>45</v>
      </c>
      <c r="N282" s="13">
        <v>3</v>
      </c>
      <c r="O282" s="13">
        <v>4</v>
      </c>
      <c r="P282" s="13" t="s">
        <v>186</v>
      </c>
      <c r="Q282" s="13">
        <v>3</v>
      </c>
      <c r="R282" s="13" t="s">
        <v>66</v>
      </c>
      <c r="S282" s="20">
        <v>17584</v>
      </c>
      <c r="T282" s="13">
        <v>21016</v>
      </c>
      <c r="U282" s="13">
        <v>3</v>
      </c>
      <c r="V282" s="13" t="s">
        <v>52</v>
      </c>
      <c r="W282" s="13" t="s">
        <v>36</v>
      </c>
      <c r="X282" s="13">
        <v>16</v>
      </c>
      <c r="Y282" s="13">
        <v>3</v>
      </c>
      <c r="Z282" s="13">
        <v>4</v>
      </c>
      <c r="AA282" s="13">
        <v>80</v>
      </c>
      <c r="AB282" s="13">
        <v>3</v>
      </c>
      <c r="AC282" s="13">
        <v>21</v>
      </c>
      <c r="AD282" s="13">
        <v>5</v>
      </c>
      <c r="AE282" s="13">
        <v>2</v>
      </c>
      <c r="AF282" s="14">
        <v>5</v>
      </c>
      <c r="AG282" s="13">
        <v>3</v>
      </c>
      <c r="AH282" s="13">
        <v>1</v>
      </c>
      <c r="AI282" s="13">
        <v>3</v>
      </c>
      <c r="AJ282" s="13" t="str">
        <f t="shared" si="4"/>
        <v>50+</v>
      </c>
      <c r="AK282" s="13" t="str">
        <f>IF(tblCleanData[[#This Row],[MonthlyIncome]]&lt;5000, "Low Income", IF(tblCleanData[[#This Row],[MonthlyIncome]]&lt;15000, "Medium Income", "High Income"))</f>
        <v>High Income</v>
      </c>
      <c r="AL282" s="13">
        <f>IF(tblCleanData[[#This Row],[Attrition]]="No", 0,1)</f>
        <v>0</v>
      </c>
      <c r="AM282" s="13">
        <f>IF(tblCleanData[[#This Row],[OverTime]] = "No", 0, 1)</f>
        <v>1</v>
      </c>
      <c r="AN282" s="13" t="str">
        <f>CHOOSE(tblCleanData[[#This Row],[Education]], "Below College","College","Bachelor","Master","Doctor")</f>
        <v>Master</v>
      </c>
      <c r="AO282" s="13" t="str">
        <f>VLOOKUP(tblCleanData[[#This Row],[EmployeeNumber]],tblHelpers[],15,TRUE)</f>
        <v>High Risk</v>
      </c>
      <c r="AP282" s="13">
        <f>VLOOKUP(tblCleanData[[#This Row],[EmployeeNumber]],tblHelpers[],14,0)</f>
        <v>73</v>
      </c>
    </row>
    <row r="283" spans="1:42" x14ac:dyDescent="0.25">
      <c r="A283" s="13">
        <v>42</v>
      </c>
      <c r="B283" s="13" t="s">
        <v>59</v>
      </c>
      <c r="C283" s="13" t="s">
        <v>37</v>
      </c>
      <c r="D283" s="13">
        <v>635</v>
      </c>
      <c r="E283" s="13" t="s">
        <v>39</v>
      </c>
      <c r="F283" s="13">
        <v>1</v>
      </c>
      <c r="G283" s="13">
        <v>1</v>
      </c>
      <c r="H283" s="13" t="s">
        <v>42</v>
      </c>
      <c r="I283" s="13">
        <v>1</v>
      </c>
      <c r="J283" s="13">
        <v>387</v>
      </c>
      <c r="K283" s="13">
        <v>2</v>
      </c>
      <c r="L283" s="13" t="s">
        <v>63</v>
      </c>
      <c r="M283" s="13">
        <v>99</v>
      </c>
      <c r="N283" s="13">
        <v>3</v>
      </c>
      <c r="O283" s="13">
        <v>2</v>
      </c>
      <c r="P283" s="13" t="s">
        <v>46</v>
      </c>
      <c r="Q283" s="13">
        <v>3</v>
      </c>
      <c r="R283" s="13" t="s">
        <v>66</v>
      </c>
      <c r="S283" s="20">
        <v>4907</v>
      </c>
      <c r="T283" s="13">
        <v>24532</v>
      </c>
      <c r="U283" s="13">
        <v>1</v>
      </c>
      <c r="V283" s="13" t="s">
        <v>52</v>
      </c>
      <c r="W283" s="13" t="s">
        <v>59</v>
      </c>
      <c r="X283" s="13">
        <v>25</v>
      </c>
      <c r="Y283" s="13">
        <v>4</v>
      </c>
      <c r="Z283" s="13">
        <v>3</v>
      </c>
      <c r="AA283" s="13">
        <v>80</v>
      </c>
      <c r="AB283" s="13">
        <v>0</v>
      </c>
      <c r="AC283" s="13">
        <v>20</v>
      </c>
      <c r="AD283" s="13">
        <v>3</v>
      </c>
      <c r="AE283" s="13">
        <v>3</v>
      </c>
      <c r="AF283" s="14">
        <v>20</v>
      </c>
      <c r="AG283" s="13">
        <v>16</v>
      </c>
      <c r="AH283" s="13">
        <v>11</v>
      </c>
      <c r="AI283" s="13">
        <v>6</v>
      </c>
      <c r="AJ283" s="13" t="str">
        <f t="shared" si="4"/>
        <v>40-49</v>
      </c>
      <c r="AK283" s="13" t="str">
        <f>IF(tblCleanData[[#This Row],[MonthlyIncome]]&lt;5000, "Low Income", IF(tblCleanData[[#This Row],[MonthlyIncome]]&lt;15000, "Medium Income", "High Income"))</f>
        <v>Low Income</v>
      </c>
      <c r="AL283" s="13">
        <f>IF(tblCleanData[[#This Row],[Attrition]]="No", 0,1)</f>
        <v>0</v>
      </c>
      <c r="AM283" s="13">
        <f>IF(tblCleanData[[#This Row],[OverTime]] = "No", 0, 1)</f>
        <v>0</v>
      </c>
      <c r="AN283" s="13" t="str">
        <f>CHOOSE(tblCleanData[[#This Row],[Education]], "Below College","College","Bachelor","Master","Doctor")</f>
        <v>Below College</v>
      </c>
      <c r="AO283" s="13" t="str">
        <f>VLOOKUP(tblCleanData[[#This Row],[EmployeeNumber]],tblHelpers[],15,TRUE)</f>
        <v>Low Risk</v>
      </c>
      <c r="AP283" s="13">
        <f>VLOOKUP(tblCleanData[[#This Row],[EmployeeNumber]],tblHelpers[],14,0)</f>
        <v>31</v>
      </c>
    </row>
    <row r="284" spans="1:42" x14ac:dyDescent="0.25">
      <c r="A284" s="13">
        <v>29</v>
      </c>
      <c r="B284" s="13" t="s">
        <v>59</v>
      </c>
      <c r="C284" s="13" t="s">
        <v>60</v>
      </c>
      <c r="D284" s="13">
        <v>442</v>
      </c>
      <c r="E284" s="13" t="s">
        <v>39</v>
      </c>
      <c r="F284" s="13">
        <v>2</v>
      </c>
      <c r="G284" s="13">
        <v>2</v>
      </c>
      <c r="H284" s="13" t="s">
        <v>42</v>
      </c>
      <c r="I284" s="13">
        <v>1</v>
      </c>
      <c r="J284" s="13">
        <v>388</v>
      </c>
      <c r="K284" s="13">
        <v>2</v>
      </c>
      <c r="L284" s="13" t="s">
        <v>63</v>
      </c>
      <c r="M284" s="13">
        <v>44</v>
      </c>
      <c r="N284" s="13">
        <v>3</v>
      </c>
      <c r="O284" s="13">
        <v>2</v>
      </c>
      <c r="P284" s="13" t="s">
        <v>46</v>
      </c>
      <c r="Q284" s="13">
        <v>4</v>
      </c>
      <c r="R284" s="13" t="s">
        <v>48</v>
      </c>
      <c r="S284" s="20">
        <v>4554</v>
      </c>
      <c r="T284" s="13">
        <v>20260</v>
      </c>
      <c r="U284" s="13">
        <v>1</v>
      </c>
      <c r="V284" s="13" t="s">
        <v>52</v>
      </c>
      <c r="W284" s="13" t="s">
        <v>59</v>
      </c>
      <c r="X284" s="13">
        <v>18</v>
      </c>
      <c r="Y284" s="13">
        <v>3</v>
      </c>
      <c r="Z284" s="13">
        <v>1</v>
      </c>
      <c r="AA284" s="13">
        <v>80</v>
      </c>
      <c r="AB284" s="13">
        <v>0</v>
      </c>
      <c r="AC284" s="13">
        <v>10</v>
      </c>
      <c r="AD284" s="13">
        <v>3</v>
      </c>
      <c r="AE284" s="13">
        <v>2</v>
      </c>
      <c r="AF284" s="14">
        <v>10</v>
      </c>
      <c r="AG284" s="13">
        <v>7</v>
      </c>
      <c r="AH284" s="13">
        <v>0</v>
      </c>
      <c r="AI284" s="13">
        <v>9</v>
      </c>
      <c r="AJ284" s="13" t="str">
        <f t="shared" si="4"/>
        <v>Under 30</v>
      </c>
      <c r="AK284" s="13" t="str">
        <f>IF(tblCleanData[[#This Row],[MonthlyIncome]]&lt;5000, "Low Income", IF(tblCleanData[[#This Row],[MonthlyIncome]]&lt;15000, "Medium Income", "High Income"))</f>
        <v>Low Income</v>
      </c>
      <c r="AL284" s="13">
        <f>IF(tblCleanData[[#This Row],[Attrition]]="No", 0,1)</f>
        <v>0</v>
      </c>
      <c r="AM284" s="13">
        <f>IF(tblCleanData[[#This Row],[OverTime]] = "No", 0, 1)</f>
        <v>0</v>
      </c>
      <c r="AN284" s="13" t="str">
        <f>CHOOSE(tblCleanData[[#This Row],[Education]], "Below College","College","Bachelor","Master","Doctor")</f>
        <v>College</v>
      </c>
      <c r="AO284" s="13" t="str">
        <f>VLOOKUP(tblCleanData[[#This Row],[EmployeeNumber]],tblHelpers[],15,TRUE)</f>
        <v>Medium Risk</v>
      </c>
      <c r="AP284" s="13">
        <f>VLOOKUP(tblCleanData[[#This Row],[EmployeeNumber]],tblHelpers[],14,0)</f>
        <v>49</v>
      </c>
    </row>
    <row r="285" spans="1:42" x14ac:dyDescent="0.25">
      <c r="A285" s="13">
        <v>55</v>
      </c>
      <c r="B285" s="13" t="s">
        <v>59</v>
      </c>
      <c r="C285" s="13" t="s">
        <v>37</v>
      </c>
      <c r="D285" s="13">
        <v>147</v>
      </c>
      <c r="E285" s="13" t="s">
        <v>62</v>
      </c>
      <c r="F285" s="13">
        <v>20</v>
      </c>
      <c r="G285" s="13">
        <v>2</v>
      </c>
      <c r="H285" s="13" t="s">
        <v>228</v>
      </c>
      <c r="I285" s="13">
        <v>1</v>
      </c>
      <c r="J285" s="13">
        <v>389</v>
      </c>
      <c r="K285" s="13">
        <v>2</v>
      </c>
      <c r="L285" s="13" t="s">
        <v>63</v>
      </c>
      <c r="M285" s="13">
        <v>37</v>
      </c>
      <c r="N285" s="13">
        <v>3</v>
      </c>
      <c r="O285" s="13">
        <v>2</v>
      </c>
      <c r="P285" s="13" t="s">
        <v>76</v>
      </c>
      <c r="Q285" s="13">
        <v>4</v>
      </c>
      <c r="R285" s="13" t="s">
        <v>66</v>
      </c>
      <c r="S285" s="20">
        <v>5415</v>
      </c>
      <c r="T285" s="13">
        <v>15972</v>
      </c>
      <c r="U285" s="13">
        <v>3</v>
      </c>
      <c r="V285" s="13" t="s">
        <v>52</v>
      </c>
      <c r="W285" s="13" t="s">
        <v>36</v>
      </c>
      <c r="X285" s="13">
        <v>19</v>
      </c>
      <c r="Y285" s="13">
        <v>3</v>
      </c>
      <c r="Z285" s="13">
        <v>4</v>
      </c>
      <c r="AA285" s="13">
        <v>80</v>
      </c>
      <c r="AB285" s="13">
        <v>1</v>
      </c>
      <c r="AC285" s="13">
        <v>12</v>
      </c>
      <c r="AD285" s="13">
        <v>4</v>
      </c>
      <c r="AE285" s="13">
        <v>3</v>
      </c>
      <c r="AF285" s="14">
        <v>10</v>
      </c>
      <c r="AG285" s="13">
        <v>7</v>
      </c>
      <c r="AH285" s="13">
        <v>0</v>
      </c>
      <c r="AI285" s="13">
        <v>8</v>
      </c>
      <c r="AJ285" s="13" t="str">
        <f t="shared" si="4"/>
        <v>50+</v>
      </c>
      <c r="AK285" s="13" t="str">
        <f>IF(tblCleanData[[#This Row],[MonthlyIncome]]&lt;5000, "Low Income", IF(tblCleanData[[#This Row],[MonthlyIncome]]&lt;15000, "Medium Income", "High Income"))</f>
        <v>Medium Income</v>
      </c>
      <c r="AL285" s="13">
        <f>IF(tblCleanData[[#This Row],[Attrition]]="No", 0,1)</f>
        <v>0</v>
      </c>
      <c r="AM285" s="13">
        <f>IF(tblCleanData[[#This Row],[OverTime]] = "No", 0, 1)</f>
        <v>1</v>
      </c>
      <c r="AN285" s="13" t="str">
        <f>CHOOSE(tblCleanData[[#This Row],[Education]], "Below College","College","Bachelor","Master","Doctor")</f>
        <v>College</v>
      </c>
      <c r="AO285" s="13" t="str">
        <f>VLOOKUP(tblCleanData[[#This Row],[EmployeeNumber]],tblHelpers[],15,TRUE)</f>
        <v>High Risk</v>
      </c>
      <c r="AP285" s="13">
        <f>VLOOKUP(tblCleanData[[#This Row],[EmployeeNumber]],tblHelpers[],14,0)</f>
        <v>59</v>
      </c>
    </row>
    <row r="286" spans="1:42" x14ac:dyDescent="0.25">
      <c r="A286" s="13">
        <v>26</v>
      </c>
      <c r="B286" s="13" t="s">
        <v>59</v>
      </c>
      <c r="C286" s="13" t="s">
        <v>60</v>
      </c>
      <c r="D286" s="13">
        <v>496</v>
      </c>
      <c r="E286" s="13" t="s">
        <v>62</v>
      </c>
      <c r="F286" s="13">
        <v>11</v>
      </c>
      <c r="G286" s="13">
        <v>2</v>
      </c>
      <c r="H286" s="13" t="s">
        <v>87</v>
      </c>
      <c r="I286" s="13">
        <v>1</v>
      </c>
      <c r="J286" s="13">
        <v>390</v>
      </c>
      <c r="K286" s="13">
        <v>1</v>
      </c>
      <c r="L286" s="13" t="s">
        <v>63</v>
      </c>
      <c r="M286" s="13">
        <v>60</v>
      </c>
      <c r="N286" s="13">
        <v>3</v>
      </c>
      <c r="O286" s="13">
        <v>2</v>
      </c>
      <c r="P286" s="13" t="s">
        <v>122</v>
      </c>
      <c r="Q286" s="13">
        <v>1</v>
      </c>
      <c r="R286" s="13" t="s">
        <v>66</v>
      </c>
      <c r="S286" s="20">
        <v>4741</v>
      </c>
      <c r="T286" s="13">
        <v>22722</v>
      </c>
      <c r="U286" s="13">
        <v>1</v>
      </c>
      <c r="V286" s="13" t="s">
        <v>52</v>
      </c>
      <c r="W286" s="13" t="s">
        <v>36</v>
      </c>
      <c r="X286" s="13">
        <v>13</v>
      </c>
      <c r="Y286" s="13">
        <v>3</v>
      </c>
      <c r="Z286" s="13">
        <v>3</v>
      </c>
      <c r="AA286" s="13">
        <v>80</v>
      </c>
      <c r="AB286" s="13">
        <v>1</v>
      </c>
      <c r="AC286" s="13">
        <v>5</v>
      </c>
      <c r="AD286" s="13">
        <v>3</v>
      </c>
      <c r="AE286" s="13">
        <v>3</v>
      </c>
      <c r="AF286" s="14">
        <v>5</v>
      </c>
      <c r="AG286" s="13">
        <v>3</v>
      </c>
      <c r="AH286" s="13">
        <v>3</v>
      </c>
      <c r="AI286" s="13">
        <v>3</v>
      </c>
      <c r="AJ286" s="13" t="str">
        <f t="shared" si="4"/>
        <v>Under 30</v>
      </c>
      <c r="AK286" s="13" t="str">
        <f>IF(tblCleanData[[#This Row],[MonthlyIncome]]&lt;5000, "Low Income", IF(tblCleanData[[#This Row],[MonthlyIncome]]&lt;15000, "Medium Income", "High Income"))</f>
        <v>Low Income</v>
      </c>
      <c r="AL286" s="13">
        <f>IF(tblCleanData[[#This Row],[Attrition]]="No", 0,1)</f>
        <v>0</v>
      </c>
      <c r="AM286" s="13">
        <f>IF(tblCleanData[[#This Row],[OverTime]] = "No", 0, 1)</f>
        <v>1</v>
      </c>
      <c r="AN286" s="13" t="str">
        <f>CHOOSE(tblCleanData[[#This Row],[Education]], "Below College","College","Bachelor","Master","Doctor")</f>
        <v>College</v>
      </c>
      <c r="AO286" s="13" t="str">
        <f>VLOOKUP(tblCleanData[[#This Row],[EmployeeNumber]],tblHelpers[],15,TRUE)</f>
        <v>High Risk</v>
      </c>
      <c r="AP286" s="13">
        <f>VLOOKUP(tblCleanData[[#This Row],[EmployeeNumber]],tblHelpers[],14,0)</f>
        <v>100</v>
      </c>
    </row>
    <row r="287" spans="1:42" x14ac:dyDescent="0.25">
      <c r="A287" s="13">
        <v>37</v>
      </c>
      <c r="B287" s="13" t="s">
        <v>59</v>
      </c>
      <c r="C287" s="13" t="s">
        <v>37</v>
      </c>
      <c r="D287" s="13">
        <v>1372</v>
      </c>
      <c r="E287" s="13" t="s">
        <v>62</v>
      </c>
      <c r="F287" s="13">
        <v>1</v>
      </c>
      <c r="G287" s="13">
        <v>3</v>
      </c>
      <c r="H287" s="13" t="s">
        <v>42</v>
      </c>
      <c r="I287" s="13">
        <v>1</v>
      </c>
      <c r="J287" s="13">
        <v>391</v>
      </c>
      <c r="K287" s="13">
        <v>4</v>
      </c>
      <c r="L287" s="13" t="s">
        <v>43</v>
      </c>
      <c r="M287" s="13">
        <v>42</v>
      </c>
      <c r="N287" s="13">
        <v>3</v>
      </c>
      <c r="O287" s="13">
        <v>1</v>
      </c>
      <c r="P287" s="13" t="s">
        <v>65</v>
      </c>
      <c r="Q287" s="13">
        <v>4</v>
      </c>
      <c r="R287" s="13" t="s">
        <v>48</v>
      </c>
      <c r="S287" s="20">
        <v>2115</v>
      </c>
      <c r="T287" s="13">
        <v>15881</v>
      </c>
      <c r="U287" s="13">
        <v>1</v>
      </c>
      <c r="V287" s="13" t="s">
        <v>52</v>
      </c>
      <c r="W287" s="13" t="s">
        <v>59</v>
      </c>
      <c r="X287" s="13">
        <v>12</v>
      </c>
      <c r="Y287" s="13">
        <v>3</v>
      </c>
      <c r="Z287" s="13">
        <v>2</v>
      </c>
      <c r="AA287" s="13">
        <v>80</v>
      </c>
      <c r="AB287" s="13">
        <v>0</v>
      </c>
      <c r="AC287" s="13">
        <v>17</v>
      </c>
      <c r="AD287" s="13">
        <v>3</v>
      </c>
      <c r="AE287" s="13">
        <v>3</v>
      </c>
      <c r="AF287" s="14">
        <v>17</v>
      </c>
      <c r="AG287" s="13">
        <v>12</v>
      </c>
      <c r="AH287" s="13">
        <v>5</v>
      </c>
      <c r="AI287" s="13">
        <v>7</v>
      </c>
      <c r="AJ287" s="13" t="str">
        <f t="shared" si="4"/>
        <v>30-39</v>
      </c>
      <c r="AK287" s="13" t="str">
        <f>IF(tblCleanData[[#This Row],[MonthlyIncome]]&lt;5000, "Low Income", IF(tblCleanData[[#This Row],[MonthlyIncome]]&lt;15000, "Medium Income", "High Income"))</f>
        <v>Low Income</v>
      </c>
      <c r="AL287" s="13">
        <f>IF(tblCleanData[[#This Row],[Attrition]]="No", 0,1)</f>
        <v>0</v>
      </c>
      <c r="AM287" s="13">
        <f>IF(tblCleanData[[#This Row],[OverTime]] = "No", 0, 1)</f>
        <v>0</v>
      </c>
      <c r="AN287" s="13" t="str">
        <f>CHOOSE(tblCleanData[[#This Row],[Education]], "Below College","College","Bachelor","Master","Doctor")</f>
        <v>Bachelor</v>
      </c>
      <c r="AO287" s="13" t="str">
        <f>VLOOKUP(tblCleanData[[#This Row],[EmployeeNumber]],tblHelpers[],15,TRUE)</f>
        <v>Low Risk</v>
      </c>
      <c r="AP287" s="13">
        <f>VLOOKUP(tblCleanData[[#This Row],[EmployeeNumber]],tblHelpers[],14,0)</f>
        <v>34</v>
      </c>
    </row>
    <row r="288" spans="1:42" x14ac:dyDescent="0.25">
      <c r="A288" s="13">
        <v>44</v>
      </c>
      <c r="B288" s="13" t="s">
        <v>36</v>
      </c>
      <c r="C288" s="13" t="s">
        <v>60</v>
      </c>
      <c r="D288" s="13">
        <v>920</v>
      </c>
      <c r="E288" s="13" t="s">
        <v>62</v>
      </c>
      <c r="F288" s="13">
        <v>24</v>
      </c>
      <c r="G288" s="13">
        <v>3</v>
      </c>
      <c r="H288" s="13" t="s">
        <v>42</v>
      </c>
      <c r="I288" s="13">
        <v>1</v>
      </c>
      <c r="J288" s="13">
        <v>392</v>
      </c>
      <c r="K288" s="13">
        <v>4</v>
      </c>
      <c r="L288" s="13" t="s">
        <v>63</v>
      </c>
      <c r="M288" s="13">
        <v>43</v>
      </c>
      <c r="N288" s="13">
        <v>3</v>
      </c>
      <c r="O288" s="13">
        <v>1</v>
      </c>
      <c r="P288" s="13" t="s">
        <v>76</v>
      </c>
      <c r="Q288" s="13">
        <v>3</v>
      </c>
      <c r="R288" s="13" t="s">
        <v>109</v>
      </c>
      <c r="S288" s="20">
        <v>3161</v>
      </c>
      <c r="T288" s="13">
        <v>19920</v>
      </c>
      <c r="U288" s="13">
        <v>3</v>
      </c>
      <c r="V288" s="13" t="s">
        <v>52</v>
      </c>
      <c r="W288" s="13" t="s">
        <v>36</v>
      </c>
      <c r="X288" s="13">
        <v>22</v>
      </c>
      <c r="Y288" s="13">
        <v>4</v>
      </c>
      <c r="Z288" s="13">
        <v>4</v>
      </c>
      <c r="AA288" s="13">
        <v>80</v>
      </c>
      <c r="AB288" s="13">
        <v>1</v>
      </c>
      <c r="AC288" s="13">
        <v>19</v>
      </c>
      <c r="AD288" s="13">
        <v>0</v>
      </c>
      <c r="AE288" s="13">
        <v>1</v>
      </c>
      <c r="AF288" s="14">
        <v>1</v>
      </c>
      <c r="AG288" s="13">
        <v>0</v>
      </c>
      <c r="AH288" s="13">
        <v>0</v>
      </c>
      <c r="AI288" s="13">
        <v>0</v>
      </c>
      <c r="AJ288" s="13" t="str">
        <f t="shared" si="4"/>
        <v>40-49</v>
      </c>
      <c r="AK288" s="13" t="str">
        <f>IF(tblCleanData[[#This Row],[MonthlyIncome]]&lt;5000, "Low Income", IF(tblCleanData[[#This Row],[MonthlyIncome]]&lt;15000, "Medium Income", "High Income"))</f>
        <v>Low Income</v>
      </c>
      <c r="AL288" s="13">
        <f>IF(tblCleanData[[#This Row],[Attrition]]="No", 0,1)</f>
        <v>1</v>
      </c>
      <c r="AM288" s="13">
        <f>IF(tblCleanData[[#This Row],[OverTime]] = "No", 0, 1)</f>
        <v>1</v>
      </c>
      <c r="AN288" s="13" t="str">
        <f>CHOOSE(tblCleanData[[#This Row],[Education]], "Below College","College","Bachelor","Master","Doctor")</f>
        <v>Bachelor</v>
      </c>
      <c r="AO288" s="13" t="str">
        <f>VLOOKUP(tblCleanData[[#This Row],[EmployeeNumber]],tblHelpers[],15,TRUE)</f>
        <v>High Risk</v>
      </c>
      <c r="AP288" s="13">
        <f>VLOOKUP(tblCleanData[[#This Row],[EmployeeNumber]],tblHelpers[],14,0)</f>
        <v>78</v>
      </c>
    </row>
    <row r="289" spans="1:42" x14ac:dyDescent="0.25">
      <c r="A289" s="13">
        <v>38</v>
      </c>
      <c r="B289" s="13" t="s">
        <v>59</v>
      </c>
      <c r="C289" s="13" t="s">
        <v>37</v>
      </c>
      <c r="D289" s="13">
        <v>688</v>
      </c>
      <c r="E289" s="13" t="s">
        <v>62</v>
      </c>
      <c r="F289" s="13">
        <v>23</v>
      </c>
      <c r="G289" s="13">
        <v>4</v>
      </c>
      <c r="H289" s="13" t="s">
        <v>42</v>
      </c>
      <c r="I289" s="13">
        <v>1</v>
      </c>
      <c r="J289" s="13">
        <v>393</v>
      </c>
      <c r="K289" s="13">
        <v>4</v>
      </c>
      <c r="L289" s="13" t="s">
        <v>63</v>
      </c>
      <c r="M289" s="13">
        <v>82</v>
      </c>
      <c r="N289" s="13">
        <v>3</v>
      </c>
      <c r="O289" s="13">
        <v>2</v>
      </c>
      <c r="P289" s="13" t="s">
        <v>122</v>
      </c>
      <c r="Q289" s="13">
        <v>4</v>
      </c>
      <c r="R289" s="13" t="s">
        <v>109</v>
      </c>
      <c r="S289" s="20">
        <v>5745</v>
      </c>
      <c r="T289" s="13">
        <v>18899</v>
      </c>
      <c r="U289" s="13">
        <v>9</v>
      </c>
      <c r="V289" s="13" t="s">
        <v>52</v>
      </c>
      <c r="W289" s="13" t="s">
        <v>59</v>
      </c>
      <c r="X289" s="13">
        <v>14</v>
      </c>
      <c r="Y289" s="13">
        <v>3</v>
      </c>
      <c r="Z289" s="13">
        <v>2</v>
      </c>
      <c r="AA289" s="13">
        <v>80</v>
      </c>
      <c r="AB289" s="13">
        <v>1</v>
      </c>
      <c r="AC289" s="13">
        <v>10</v>
      </c>
      <c r="AD289" s="13">
        <v>2</v>
      </c>
      <c r="AE289" s="13">
        <v>3</v>
      </c>
      <c r="AF289" s="14">
        <v>2</v>
      </c>
      <c r="AG289" s="13">
        <v>2</v>
      </c>
      <c r="AH289" s="13">
        <v>1</v>
      </c>
      <c r="AI289" s="13">
        <v>2</v>
      </c>
      <c r="AJ289" s="13" t="str">
        <f t="shared" si="4"/>
        <v>30-39</v>
      </c>
      <c r="AK289" s="13" t="str">
        <f>IF(tblCleanData[[#This Row],[MonthlyIncome]]&lt;5000, "Low Income", IF(tblCleanData[[#This Row],[MonthlyIncome]]&lt;15000, "Medium Income", "High Income"))</f>
        <v>Medium Income</v>
      </c>
      <c r="AL289" s="13">
        <f>IF(tblCleanData[[#This Row],[Attrition]]="No", 0,1)</f>
        <v>0</v>
      </c>
      <c r="AM289" s="13">
        <f>IF(tblCleanData[[#This Row],[OverTime]] = "No", 0, 1)</f>
        <v>0</v>
      </c>
      <c r="AN289" s="13" t="str">
        <f>CHOOSE(tblCleanData[[#This Row],[Education]], "Below College","College","Bachelor","Master","Doctor")</f>
        <v>Master</v>
      </c>
      <c r="AO289" s="13" t="str">
        <f>VLOOKUP(tblCleanData[[#This Row],[EmployeeNumber]],tblHelpers[],15,TRUE)</f>
        <v>High Risk</v>
      </c>
      <c r="AP289" s="13">
        <f>VLOOKUP(tblCleanData[[#This Row],[EmployeeNumber]],tblHelpers[],14,0)</f>
        <v>56</v>
      </c>
    </row>
    <row r="290" spans="1:42" x14ac:dyDescent="0.25">
      <c r="A290" s="13">
        <v>26</v>
      </c>
      <c r="B290" s="13" t="s">
        <v>36</v>
      </c>
      <c r="C290" s="13" t="s">
        <v>37</v>
      </c>
      <c r="D290" s="13">
        <v>1449</v>
      </c>
      <c r="E290" s="13" t="s">
        <v>62</v>
      </c>
      <c r="F290" s="13">
        <v>16</v>
      </c>
      <c r="G290" s="13">
        <v>4</v>
      </c>
      <c r="H290" s="13" t="s">
        <v>87</v>
      </c>
      <c r="I290" s="13">
        <v>1</v>
      </c>
      <c r="J290" s="13">
        <v>394</v>
      </c>
      <c r="K290" s="13">
        <v>1</v>
      </c>
      <c r="L290" s="13" t="s">
        <v>63</v>
      </c>
      <c r="M290" s="13">
        <v>45</v>
      </c>
      <c r="N290" s="13">
        <v>3</v>
      </c>
      <c r="O290" s="13">
        <v>1</v>
      </c>
      <c r="P290" s="13" t="s">
        <v>76</v>
      </c>
      <c r="Q290" s="13">
        <v>2</v>
      </c>
      <c r="R290" s="13" t="s">
        <v>109</v>
      </c>
      <c r="S290" s="20">
        <v>2373</v>
      </c>
      <c r="T290" s="13">
        <v>14180</v>
      </c>
      <c r="U290" s="13">
        <v>2</v>
      </c>
      <c r="V290" s="13" t="s">
        <v>52</v>
      </c>
      <c r="W290" s="13" t="s">
        <v>36</v>
      </c>
      <c r="X290" s="13">
        <v>13</v>
      </c>
      <c r="Y290" s="13">
        <v>3</v>
      </c>
      <c r="Z290" s="13">
        <v>4</v>
      </c>
      <c r="AA290" s="13">
        <v>80</v>
      </c>
      <c r="AB290" s="13">
        <v>1</v>
      </c>
      <c r="AC290" s="13">
        <v>5</v>
      </c>
      <c r="AD290" s="13">
        <v>2</v>
      </c>
      <c r="AE290" s="13">
        <v>3</v>
      </c>
      <c r="AF290" s="14">
        <v>3</v>
      </c>
      <c r="AG290" s="13">
        <v>2</v>
      </c>
      <c r="AH290" s="13">
        <v>0</v>
      </c>
      <c r="AI290" s="13">
        <v>2</v>
      </c>
      <c r="AJ290" s="13" t="str">
        <f t="shared" si="4"/>
        <v>Under 30</v>
      </c>
      <c r="AK290" s="13" t="str">
        <f>IF(tblCleanData[[#This Row],[MonthlyIncome]]&lt;5000, "Low Income", IF(tblCleanData[[#This Row],[MonthlyIncome]]&lt;15000, "Medium Income", "High Income"))</f>
        <v>Low Income</v>
      </c>
      <c r="AL290" s="13">
        <f>IF(tblCleanData[[#This Row],[Attrition]]="No", 0,1)</f>
        <v>1</v>
      </c>
      <c r="AM290" s="13">
        <f>IF(tblCleanData[[#This Row],[OverTime]] = "No", 0, 1)</f>
        <v>1</v>
      </c>
      <c r="AN290" s="13" t="str">
        <f>CHOOSE(tblCleanData[[#This Row],[Education]], "Below College","College","Bachelor","Master","Doctor")</f>
        <v>Master</v>
      </c>
      <c r="AO290" s="13" t="str">
        <f>VLOOKUP(tblCleanData[[#This Row],[EmployeeNumber]],tblHelpers[],15,TRUE)</f>
        <v>High Risk</v>
      </c>
      <c r="AP290" s="13">
        <f>VLOOKUP(tblCleanData[[#This Row],[EmployeeNumber]],tblHelpers[],14,0)</f>
        <v>94</v>
      </c>
    </row>
    <row r="291" spans="1:42" x14ac:dyDescent="0.25">
      <c r="A291" s="13">
        <v>28</v>
      </c>
      <c r="B291" s="13" t="s">
        <v>59</v>
      </c>
      <c r="C291" s="13" t="s">
        <v>37</v>
      </c>
      <c r="D291" s="13">
        <v>1117</v>
      </c>
      <c r="E291" s="13" t="s">
        <v>62</v>
      </c>
      <c r="F291" s="13">
        <v>8</v>
      </c>
      <c r="G291" s="13">
        <v>2</v>
      </c>
      <c r="H291" s="13" t="s">
        <v>42</v>
      </c>
      <c r="I291" s="13">
        <v>1</v>
      </c>
      <c r="J291" s="13">
        <v>395</v>
      </c>
      <c r="K291" s="13">
        <v>4</v>
      </c>
      <c r="L291" s="13" t="s">
        <v>43</v>
      </c>
      <c r="M291" s="13">
        <v>66</v>
      </c>
      <c r="N291" s="13">
        <v>3</v>
      </c>
      <c r="O291" s="13">
        <v>1</v>
      </c>
      <c r="P291" s="13" t="s">
        <v>65</v>
      </c>
      <c r="Q291" s="13">
        <v>4</v>
      </c>
      <c r="R291" s="13" t="s">
        <v>48</v>
      </c>
      <c r="S291" s="20">
        <v>3310</v>
      </c>
      <c r="T291" s="13">
        <v>4488</v>
      </c>
      <c r="U291" s="13">
        <v>1</v>
      </c>
      <c r="V291" s="13" t="s">
        <v>52</v>
      </c>
      <c r="W291" s="13" t="s">
        <v>59</v>
      </c>
      <c r="X291" s="13">
        <v>21</v>
      </c>
      <c r="Y291" s="13">
        <v>4</v>
      </c>
      <c r="Z291" s="13">
        <v>4</v>
      </c>
      <c r="AA291" s="13">
        <v>80</v>
      </c>
      <c r="AB291" s="13">
        <v>0</v>
      </c>
      <c r="AC291" s="13">
        <v>5</v>
      </c>
      <c r="AD291" s="13">
        <v>3</v>
      </c>
      <c r="AE291" s="13">
        <v>3</v>
      </c>
      <c r="AF291" s="14">
        <v>5</v>
      </c>
      <c r="AG291" s="13">
        <v>3</v>
      </c>
      <c r="AH291" s="13">
        <v>0</v>
      </c>
      <c r="AI291" s="13">
        <v>2</v>
      </c>
      <c r="AJ291" s="13" t="str">
        <f t="shared" si="4"/>
        <v>Under 30</v>
      </c>
      <c r="AK291" s="13" t="str">
        <f>IF(tblCleanData[[#This Row],[MonthlyIncome]]&lt;5000, "Low Income", IF(tblCleanData[[#This Row],[MonthlyIncome]]&lt;15000, "Medium Income", "High Income"))</f>
        <v>Low Income</v>
      </c>
      <c r="AL291" s="13">
        <f>IF(tblCleanData[[#This Row],[Attrition]]="No", 0,1)</f>
        <v>0</v>
      </c>
      <c r="AM291" s="13">
        <f>IF(tblCleanData[[#This Row],[OverTime]] = "No", 0, 1)</f>
        <v>0</v>
      </c>
      <c r="AN291" s="13" t="str">
        <f>CHOOSE(tblCleanData[[#This Row],[Education]], "Below College","College","Bachelor","Master","Doctor")</f>
        <v>College</v>
      </c>
      <c r="AO291" s="13" t="str">
        <f>VLOOKUP(tblCleanData[[#This Row],[EmployeeNumber]],tblHelpers[],15,TRUE)</f>
        <v>High Risk</v>
      </c>
      <c r="AP291" s="13">
        <f>VLOOKUP(tblCleanData[[#This Row],[EmployeeNumber]],tblHelpers[],14,0)</f>
        <v>56</v>
      </c>
    </row>
    <row r="292" spans="1:42" x14ac:dyDescent="0.25">
      <c r="A292" s="13">
        <v>49</v>
      </c>
      <c r="B292" s="13" t="s">
        <v>59</v>
      </c>
      <c r="C292" s="13" t="s">
        <v>60</v>
      </c>
      <c r="D292" s="13">
        <v>636</v>
      </c>
      <c r="E292" s="13" t="s">
        <v>62</v>
      </c>
      <c r="F292" s="13">
        <v>10</v>
      </c>
      <c r="G292" s="13">
        <v>4</v>
      </c>
      <c r="H292" s="13" t="s">
        <v>42</v>
      </c>
      <c r="I292" s="13">
        <v>1</v>
      </c>
      <c r="J292" s="13">
        <v>396</v>
      </c>
      <c r="K292" s="13">
        <v>3</v>
      </c>
      <c r="L292" s="13" t="s">
        <v>43</v>
      </c>
      <c r="M292" s="13">
        <v>35</v>
      </c>
      <c r="N292" s="13">
        <v>3</v>
      </c>
      <c r="O292" s="13">
        <v>5</v>
      </c>
      <c r="P292" s="13" t="s">
        <v>186</v>
      </c>
      <c r="Q292" s="13">
        <v>1</v>
      </c>
      <c r="R292" s="13" t="s">
        <v>48</v>
      </c>
      <c r="S292" s="20">
        <v>18665</v>
      </c>
      <c r="T292" s="13">
        <v>25594</v>
      </c>
      <c r="U292" s="13">
        <v>9</v>
      </c>
      <c r="V292" s="13" t="s">
        <v>52</v>
      </c>
      <c r="W292" s="13" t="s">
        <v>36</v>
      </c>
      <c r="X292" s="13">
        <v>11</v>
      </c>
      <c r="Y292" s="13">
        <v>3</v>
      </c>
      <c r="Z292" s="13">
        <v>4</v>
      </c>
      <c r="AA292" s="13">
        <v>80</v>
      </c>
      <c r="AB292" s="13">
        <v>0</v>
      </c>
      <c r="AC292" s="13">
        <v>22</v>
      </c>
      <c r="AD292" s="13">
        <v>4</v>
      </c>
      <c r="AE292" s="13">
        <v>3</v>
      </c>
      <c r="AF292" s="14">
        <v>3</v>
      </c>
      <c r="AG292" s="13">
        <v>2</v>
      </c>
      <c r="AH292" s="13">
        <v>1</v>
      </c>
      <c r="AI292" s="13">
        <v>2</v>
      </c>
      <c r="AJ292" s="13" t="str">
        <f t="shared" si="4"/>
        <v>40-49</v>
      </c>
      <c r="AK292" s="13" t="str">
        <f>IF(tblCleanData[[#This Row],[MonthlyIncome]]&lt;5000, "Low Income", IF(tblCleanData[[#This Row],[MonthlyIncome]]&lt;15000, "Medium Income", "High Income"))</f>
        <v>High Income</v>
      </c>
      <c r="AL292" s="13">
        <f>IF(tblCleanData[[#This Row],[Attrition]]="No", 0,1)</f>
        <v>0</v>
      </c>
      <c r="AM292" s="13">
        <f>IF(tblCleanData[[#This Row],[OverTime]] = "No", 0, 1)</f>
        <v>1</v>
      </c>
      <c r="AN292" s="13" t="str">
        <f>CHOOSE(tblCleanData[[#This Row],[Education]], "Below College","College","Bachelor","Master","Doctor")</f>
        <v>Master</v>
      </c>
      <c r="AO292" s="13" t="str">
        <f>VLOOKUP(tblCleanData[[#This Row],[EmployeeNumber]],tblHelpers[],15,TRUE)</f>
        <v>High Risk</v>
      </c>
      <c r="AP292" s="13">
        <f>VLOOKUP(tblCleanData[[#This Row],[EmployeeNumber]],tblHelpers[],14,0)</f>
        <v>80</v>
      </c>
    </row>
    <row r="293" spans="1:42" x14ac:dyDescent="0.25">
      <c r="A293" s="13">
        <v>36</v>
      </c>
      <c r="B293" s="13" t="s">
        <v>59</v>
      </c>
      <c r="C293" s="13" t="s">
        <v>37</v>
      </c>
      <c r="D293" s="13">
        <v>506</v>
      </c>
      <c r="E293" s="13" t="s">
        <v>62</v>
      </c>
      <c r="F293" s="13">
        <v>3</v>
      </c>
      <c r="G293" s="13">
        <v>3</v>
      </c>
      <c r="H293" s="13" t="s">
        <v>228</v>
      </c>
      <c r="I293" s="13">
        <v>1</v>
      </c>
      <c r="J293" s="13">
        <v>397</v>
      </c>
      <c r="K293" s="13">
        <v>3</v>
      </c>
      <c r="L293" s="13" t="s">
        <v>63</v>
      </c>
      <c r="M293" s="13">
        <v>30</v>
      </c>
      <c r="N293" s="13">
        <v>3</v>
      </c>
      <c r="O293" s="13">
        <v>2</v>
      </c>
      <c r="P293" s="13" t="s">
        <v>65</v>
      </c>
      <c r="Q293" s="13">
        <v>2</v>
      </c>
      <c r="R293" s="13" t="s">
        <v>48</v>
      </c>
      <c r="S293" s="20">
        <v>4485</v>
      </c>
      <c r="T293" s="13">
        <v>26285</v>
      </c>
      <c r="U293" s="13">
        <v>4</v>
      </c>
      <c r="V293" s="13" t="s">
        <v>52</v>
      </c>
      <c r="W293" s="13" t="s">
        <v>59</v>
      </c>
      <c r="X293" s="13">
        <v>12</v>
      </c>
      <c r="Y293" s="13">
        <v>3</v>
      </c>
      <c r="Z293" s="13">
        <v>4</v>
      </c>
      <c r="AA293" s="13">
        <v>80</v>
      </c>
      <c r="AB293" s="13">
        <v>0</v>
      </c>
      <c r="AC293" s="13">
        <v>10</v>
      </c>
      <c r="AD293" s="13">
        <v>2</v>
      </c>
      <c r="AE293" s="13">
        <v>3</v>
      </c>
      <c r="AF293" s="14">
        <v>8</v>
      </c>
      <c r="AG293" s="13">
        <v>0</v>
      </c>
      <c r="AH293" s="13">
        <v>7</v>
      </c>
      <c r="AI293" s="13">
        <v>7</v>
      </c>
      <c r="AJ293" s="13" t="str">
        <f t="shared" si="4"/>
        <v>30-39</v>
      </c>
      <c r="AK293" s="13" t="str">
        <f>IF(tblCleanData[[#This Row],[MonthlyIncome]]&lt;5000, "Low Income", IF(tblCleanData[[#This Row],[MonthlyIncome]]&lt;15000, "Medium Income", "High Income"))</f>
        <v>Low Income</v>
      </c>
      <c r="AL293" s="13">
        <f>IF(tblCleanData[[#This Row],[Attrition]]="No", 0,1)</f>
        <v>0</v>
      </c>
      <c r="AM293" s="13">
        <f>IF(tblCleanData[[#This Row],[OverTime]] = "No", 0, 1)</f>
        <v>0</v>
      </c>
      <c r="AN293" s="13" t="str">
        <f>CHOOSE(tblCleanData[[#This Row],[Education]], "Below College","College","Bachelor","Master","Doctor")</f>
        <v>Bachelor</v>
      </c>
      <c r="AO293" s="13" t="str">
        <f>VLOOKUP(tblCleanData[[#This Row],[EmployeeNumber]],tblHelpers[],15,TRUE)</f>
        <v>Medium Risk</v>
      </c>
      <c r="AP293" s="13">
        <f>VLOOKUP(tblCleanData[[#This Row],[EmployeeNumber]],tblHelpers[],14,0)</f>
        <v>52</v>
      </c>
    </row>
    <row r="294" spans="1:42" x14ac:dyDescent="0.25">
      <c r="A294" s="13">
        <v>31</v>
      </c>
      <c r="B294" s="13" t="s">
        <v>59</v>
      </c>
      <c r="C294" s="13" t="s">
        <v>60</v>
      </c>
      <c r="D294" s="13">
        <v>444</v>
      </c>
      <c r="E294" s="13" t="s">
        <v>39</v>
      </c>
      <c r="F294" s="13">
        <v>5</v>
      </c>
      <c r="G294" s="13">
        <v>3</v>
      </c>
      <c r="H294" s="13" t="s">
        <v>206</v>
      </c>
      <c r="I294" s="13">
        <v>1</v>
      </c>
      <c r="J294" s="13">
        <v>399</v>
      </c>
      <c r="K294" s="13">
        <v>4</v>
      </c>
      <c r="L294" s="13" t="s">
        <v>43</v>
      </c>
      <c r="M294" s="13">
        <v>84</v>
      </c>
      <c r="N294" s="13">
        <v>3</v>
      </c>
      <c r="O294" s="13">
        <v>1</v>
      </c>
      <c r="P294" s="13" t="s">
        <v>182</v>
      </c>
      <c r="Q294" s="13">
        <v>2</v>
      </c>
      <c r="R294" s="13" t="s">
        <v>109</v>
      </c>
      <c r="S294" s="20">
        <v>2789</v>
      </c>
      <c r="T294" s="13">
        <v>3909</v>
      </c>
      <c r="U294" s="13">
        <v>1</v>
      </c>
      <c r="V294" s="13" t="s">
        <v>52</v>
      </c>
      <c r="W294" s="13" t="s">
        <v>59</v>
      </c>
      <c r="X294" s="13">
        <v>11</v>
      </c>
      <c r="Y294" s="13">
        <v>3</v>
      </c>
      <c r="Z294" s="13">
        <v>3</v>
      </c>
      <c r="AA294" s="13">
        <v>80</v>
      </c>
      <c r="AB294" s="13">
        <v>1</v>
      </c>
      <c r="AC294" s="13">
        <v>2</v>
      </c>
      <c r="AD294" s="13">
        <v>5</v>
      </c>
      <c r="AE294" s="13">
        <v>2</v>
      </c>
      <c r="AF294" s="14">
        <v>2</v>
      </c>
      <c r="AG294" s="13">
        <v>2</v>
      </c>
      <c r="AH294" s="13">
        <v>2</v>
      </c>
      <c r="AI294" s="13">
        <v>2</v>
      </c>
      <c r="AJ294" s="13" t="str">
        <f t="shared" si="4"/>
        <v>30-39</v>
      </c>
      <c r="AK294" s="13" t="str">
        <f>IF(tblCleanData[[#This Row],[MonthlyIncome]]&lt;5000, "Low Income", IF(tblCleanData[[#This Row],[MonthlyIncome]]&lt;15000, "Medium Income", "High Income"))</f>
        <v>Low Income</v>
      </c>
      <c r="AL294" s="13">
        <f>IF(tblCleanData[[#This Row],[Attrition]]="No", 0,1)</f>
        <v>0</v>
      </c>
      <c r="AM294" s="13">
        <f>IF(tblCleanData[[#This Row],[OverTime]] = "No", 0, 1)</f>
        <v>0</v>
      </c>
      <c r="AN294" s="13" t="str">
        <f>CHOOSE(tblCleanData[[#This Row],[Education]], "Below College","College","Bachelor","Master","Doctor")</f>
        <v>Bachelor</v>
      </c>
      <c r="AO294" s="13" t="str">
        <f>VLOOKUP(tblCleanData[[#This Row],[EmployeeNumber]],tblHelpers[],15,TRUE)</f>
        <v>High Risk</v>
      </c>
      <c r="AP294" s="13">
        <f>VLOOKUP(tblCleanData[[#This Row],[EmployeeNumber]],tblHelpers[],14,0)</f>
        <v>69</v>
      </c>
    </row>
    <row r="295" spans="1:42" x14ac:dyDescent="0.25">
      <c r="A295" s="13">
        <v>26</v>
      </c>
      <c r="B295" s="13" t="s">
        <v>36</v>
      </c>
      <c r="C295" s="13" t="s">
        <v>37</v>
      </c>
      <c r="D295" s="13">
        <v>950</v>
      </c>
      <c r="E295" s="13" t="s">
        <v>39</v>
      </c>
      <c r="F295" s="13">
        <v>4</v>
      </c>
      <c r="G295" s="13">
        <v>4</v>
      </c>
      <c r="H295" s="13" t="s">
        <v>206</v>
      </c>
      <c r="I295" s="13">
        <v>1</v>
      </c>
      <c r="J295" s="13">
        <v>401</v>
      </c>
      <c r="K295" s="13">
        <v>4</v>
      </c>
      <c r="L295" s="13" t="s">
        <v>63</v>
      </c>
      <c r="M295" s="13">
        <v>48</v>
      </c>
      <c r="N295" s="13">
        <v>2</v>
      </c>
      <c r="O295" s="13">
        <v>2</v>
      </c>
      <c r="P295" s="13" t="s">
        <v>46</v>
      </c>
      <c r="Q295" s="13">
        <v>4</v>
      </c>
      <c r="R295" s="13" t="s">
        <v>48</v>
      </c>
      <c r="S295" s="20">
        <v>5828</v>
      </c>
      <c r="T295" s="13">
        <v>8450</v>
      </c>
      <c r="U295" s="13">
        <v>1</v>
      </c>
      <c r="V295" s="13" t="s">
        <v>52</v>
      </c>
      <c r="W295" s="13" t="s">
        <v>36</v>
      </c>
      <c r="X295" s="13">
        <v>12</v>
      </c>
      <c r="Y295" s="13">
        <v>3</v>
      </c>
      <c r="Z295" s="13">
        <v>2</v>
      </c>
      <c r="AA295" s="13">
        <v>80</v>
      </c>
      <c r="AB295" s="13">
        <v>0</v>
      </c>
      <c r="AC295" s="13">
        <v>8</v>
      </c>
      <c r="AD295" s="13">
        <v>0</v>
      </c>
      <c r="AE295" s="13">
        <v>3</v>
      </c>
      <c r="AF295" s="14">
        <v>8</v>
      </c>
      <c r="AG295" s="13">
        <v>7</v>
      </c>
      <c r="AH295" s="13">
        <v>7</v>
      </c>
      <c r="AI295" s="13">
        <v>4</v>
      </c>
      <c r="AJ295" s="13" t="str">
        <f t="shared" si="4"/>
        <v>Under 30</v>
      </c>
      <c r="AK295" s="13" t="str">
        <f>IF(tblCleanData[[#This Row],[MonthlyIncome]]&lt;5000, "Low Income", IF(tblCleanData[[#This Row],[MonthlyIncome]]&lt;15000, "Medium Income", "High Income"))</f>
        <v>Medium Income</v>
      </c>
      <c r="AL295" s="13">
        <f>IF(tblCleanData[[#This Row],[Attrition]]="No", 0,1)</f>
        <v>1</v>
      </c>
      <c r="AM295" s="13">
        <f>IF(tblCleanData[[#This Row],[OverTime]] = "No", 0, 1)</f>
        <v>1</v>
      </c>
      <c r="AN295" s="13" t="str">
        <f>CHOOSE(tblCleanData[[#This Row],[Education]], "Below College","College","Bachelor","Master","Doctor")</f>
        <v>Master</v>
      </c>
      <c r="AO295" s="13" t="str">
        <f>VLOOKUP(tblCleanData[[#This Row],[EmployeeNumber]],tblHelpers[],15,TRUE)</f>
        <v>High Risk</v>
      </c>
      <c r="AP295" s="13">
        <f>VLOOKUP(tblCleanData[[#This Row],[EmployeeNumber]],tblHelpers[],14,0)</f>
        <v>74</v>
      </c>
    </row>
    <row r="296" spans="1:42" x14ac:dyDescent="0.25">
      <c r="A296" s="13">
        <v>37</v>
      </c>
      <c r="B296" s="13" t="s">
        <v>59</v>
      </c>
      <c r="C296" s="13" t="s">
        <v>60</v>
      </c>
      <c r="D296" s="13">
        <v>889</v>
      </c>
      <c r="E296" s="13" t="s">
        <v>62</v>
      </c>
      <c r="F296" s="13">
        <v>9</v>
      </c>
      <c r="G296" s="13">
        <v>3</v>
      </c>
      <c r="H296" s="13" t="s">
        <v>87</v>
      </c>
      <c r="I296" s="13">
        <v>1</v>
      </c>
      <c r="J296" s="13">
        <v>403</v>
      </c>
      <c r="K296" s="13">
        <v>2</v>
      </c>
      <c r="L296" s="13" t="s">
        <v>63</v>
      </c>
      <c r="M296" s="13">
        <v>53</v>
      </c>
      <c r="N296" s="13">
        <v>3</v>
      </c>
      <c r="O296" s="13">
        <v>1</v>
      </c>
      <c r="P296" s="13" t="s">
        <v>65</v>
      </c>
      <c r="Q296" s="13">
        <v>4</v>
      </c>
      <c r="R296" s="13" t="s">
        <v>66</v>
      </c>
      <c r="S296" s="20">
        <v>2326</v>
      </c>
      <c r="T296" s="13">
        <v>11411</v>
      </c>
      <c r="U296" s="13">
        <v>1</v>
      </c>
      <c r="V296" s="13" t="s">
        <v>52</v>
      </c>
      <c r="W296" s="13" t="s">
        <v>36</v>
      </c>
      <c r="X296" s="13">
        <v>12</v>
      </c>
      <c r="Y296" s="13">
        <v>3</v>
      </c>
      <c r="Z296" s="13">
        <v>3</v>
      </c>
      <c r="AA296" s="13">
        <v>80</v>
      </c>
      <c r="AB296" s="13">
        <v>3</v>
      </c>
      <c r="AC296" s="13">
        <v>4</v>
      </c>
      <c r="AD296" s="13">
        <v>3</v>
      </c>
      <c r="AE296" s="13">
        <v>2</v>
      </c>
      <c r="AF296" s="14">
        <v>4</v>
      </c>
      <c r="AG296" s="13">
        <v>2</v>
      </c>
      <c r="AH296" s="13">
        <v>1</v>
      </c>
      <c r="AI296" s="13">
        <v>2</v>
      </c>
      <c r="AJ296" s="13" t="str">
        <f t="shared" si="4"/>
        <v>30-39</v>
      </c>
      <c r="AK296" s="13" t="str">
        <f>IF(tblCleanData[[#This Row],[MonthlyIncome]]&lt;5000, "Low Income", IF(tblCleanData[[#This Row],[MonthlyIncome]]&lt;15000, "Medium Income", "High Income"))</f>
        <v>Low Income</v>
      </c>
      <c r="AL296" s="13">
        <f>IF(tblCleanData[[#This Row],[Attrition]]="No", 0,1)</f>
        <v>0</v>
      </c>
      <c r="AM296" s="13">
        <f>IF(tblCleanData[[#This Row],[OverTime]] = "No", 0, 1)</f>
        <v>1</v>
      </c>
      <c r="AN296" s="13" t="str">
        <f>CHOOSE(tblCleanData[[#This Row],[Education]], "Below College","College","Bachelor","Master","Doctor")</f>
        <v>Bachelor</v>
      </c>
      <c r="AO296" s="13" t="str">
        <f>VLOOKUP(tblCleanData[[#This Row],[EmployeeNumber]],tblHelpers[],15,TRUE)</f>
        <v>High Risk</v>
      </c>
      <c r="AP296" s="13">
        <f>VLOOKUP(tblCleanData[[#This Row],[EmployeeNumber]],tblHelpers[],14,0)</f>
        <v>71</v>
      </c>
    </row>
    <row r="297" spans="1:42" x14ac:dyDescent="0.25">
      <c r="A297" s="13">
        <v>42</v>
      </c>
      <c r="B297" s="13" t="s">
        <v>59</v>
      </c>
      <c r="C297" s="13" t="s">
        <v>60</v>
      </c>
      <c r="D297" s="13">
        <v>555</v>
      </c>
      <c r="E297" s="13" t="s">
        <v>39</v>
      </c>
      <c r="F297" s="13">
        <v>26</v>
      </c>
      <c r="G297" s="13">
        <v>3</v>
      </c>
      <c r="H297" s="13" t="s">
        <v>206</v>
      </c>
      <c r="I297" s="13">
        <v>1</v>
      </c>
      <c r="J297" s="13">
        <v>404</v>
      </c>
      <c r="K297" s="13">
        <v>3</v>
      </c>
      <c r="L297" s="13" t="s">
        <v>43</v>
      </c>
      <c r="M297" s="13">
        <v>77</v>
      </c>
      <c r="N297" s="13">
        <v>3</v>
      </c>
      <c r="O297" s="13">
        <v>4</v>
      </c>
      <c r="P297" s="13" t="s">
        <v>46</v>
      </c>
      <c r="Q297" s="13">
        <v>2</v>
      </c>
      <c r="R297" s="13" t="s">
        <v>66</v>
      </c>
      <c r="S297" s="20">
        <v>13525</v>
      </c>
      <c r="T297" s="13">
        <v>14864</v>
      </c>
      <c r="U297" s="13">
        <v>5</v>
      </c>
      <c r="V297" s="13" t="s">
        <v>52</v>
      </c>
      <c r="W297" s="13" t="s">
        <v>59</v>
      </c>
      <c r="X297" s="13">
        <v>14</v>
      </c>
      <c r="Y297" s="13">
        <v>3</v>
      </c>
      <c r="Z297" s="13">
        <v>4</v>
      </c>
      <c r="AA297" s="13">
        <v>80</v>
      </c>
      <c r="AB297" s="13">
        <v>1</v>
      </c>
      <c r="AC297" s="13">
        <v>23</v>
      </c>
      <c r="AD297" s="13">
        <v>2</v>
      </c>
      <c r="AE297" s="13">
        <v>4</v>
      </c>
      <c r="AF297" s="14">
        <v>20</v>
      </c>
      <c r="AG297" s="13">
        <v>4</v>
      </c>
      <c r="AH297" s="13">
        <v>4</v>
      </c>
      <c r="AI297" s="13">
        <v>8</v>
      </c>
      <c r="AJ297" s="13" t="str">
        <f t="shared" si="4"/>
        <v>40-49</v>
      </c>
      <c r="AK297" s="13" t="str">
        <f>IF(tblCleanData[[#This Row],[MonthlyIncome]]&lt;5000, "Low Income", IF(tblCleanData[[#This Row],[MonthlyIncome]]&lt;15000, "Medium Income", "High Income"))</f>
        <v>Medium Income</v>
      </c>
      <c r="AL297" s="13">
        <f>IF(tblCleanData[[#This Row],[Attrition]]="No", 0,1)</f>
        <v>0</v>
      </c>
      <c r="AM297" s="13">
        <f>IF(tblCleanData[[#This Row],[OverTime]] = "No", 0, 1)</f>
        <v>0</v>
      </c>
      <c r="AN297" s="13" t="str">
        <f>CHOOSE(tblCleanData[[#This Row],[Education]], "Below College","College","Bachelor","Master","Doctor")</f>
        <v>Bachelor</v>
      </c>
      <c r="AO297" s="13" t="str">
        <f>VLOOKUP(tblCleanData[[#This Row],[EmployeeNumber]],tblHelpers[],15,TRUE)</f>
        <v>Medium Risk</v>
      </c>
      <c r="AP297" s="13">
        <f>VLOOKUP(tblCleanData[[#This Row],[EmployeeNumber]],tblHelpers[],14,0)</f>
        <v>37</v>
      </c>
    </row>
    <row r="298" spans="1:42" x14ac:dyDescent="0.25">
      <c r="A298" s="13">
        <v>18</v>
      </c>
      <c r="B298" s="13" t="s">
        <v>36</v>
      </c>
      <c r="C298" s="13" t="s">
        <v>37</v>
      </c>
      <c r="D298" s="13">
        <v>230</v>
      </c>
      <c r="E298" s="13" t="s">
        <v>62</v>
      </c>
      <c r="F298" s="13">
        <v>3</v>
      </c>
      <c r="G298" s="13">
        <v>3</v>
      </c>
      <c r="H298" s="13" t="s">
        <v>42</v>
      </c>
      <c r="I298" s="13">
        <v>1</v>
      </c>
      <c r="J298" s="13">
        <v>405</v>
      </c>
      <c r="K298" s="13">
        <v>3</v>
      </c>
      <c r="L298" s="13" t="s">
        <v>63</v>
      </c>
      <c r="M298" s="13">
        <v>54</v>
      </c>
      <c r="N298" s="13">
        <v>3</v>
      </c>
      <c r="O298" s="13">
        <v>1</v>
      </c>
      <c r="P298" s="13" t="s">
        <v>76</v>
      </c>
      <c r="Q298" s="13">
        <v>3</v>
      </c>
      <c r="R298" s="13" t="s">
        <v>48</v>
      </c>
      <c r="S298" s="20">
        <v>1420</v>
      </c>
      <c r="T298" s="13">
        <v>25233</v>
      </c>
      <c r="U298" s="13">
        <v>1</v>
      </c>
      <c r="V298" s="13" t="s">
        <v>52</v>
      </c>
      <c r="W298" s="13" t="s">
        <v>59</v>
      </c>
      <c r="X298" s="13">
        <v>13</v>
      </c>
      <c r="Y298" s="13">
        <v>3</v>
      </c>
      <c r="Z298" s="13">
        <v>3</v>
      </c>
      <c r="AA298" s="13">
        <v>80</v>
      </c>
      <c r="AB298" s="13">
        <v>0</v>
      </c>
      <c r="AC298" s="13">
        <v>0</v>
      </c>
      <c r="AD298" s="13">
        <v>2</v>
      </c>
      <c r="AE298" s="13">
        <v>3</v>
      </c>
      <c r="AF298" s="14">
        <v>0</v>
      </c>
      <c r="AG298" s="13">
        <v>0</v>
      </c>
      <c r="AH298" s="13">
        <v>0</v>
      </c>
      <c r="AI298" s="13">
        <v>0</v>
      </c>
      <c r="AJ298" s="13" t="str">
        <f t="shared" si="4"/>
        <v>Under 30</v>
      </c>
      <c r="AK298" s="13" t="str">
        <f>IF(tblCleanData[[#This Row],[MonthlyIncome]]&lt;5000, "Low Income", IF(tblCleanData[[#This Row],[MonthlyIncome]]&lt;15000, "Medium Income", "High Income"))</f>
        <v>Low Income</v>
      </c>
      <c r="AL298" s="13">
        <f>IF(tblCleanData[[#This Row],[Attrition]]="No", 0,1)</f>
        <v>1</v>
      </c>
      <c r="AM298" s="13">
        <f>IF(tblCleanData[[#This Row],[OverTime]] = "No", 0, 1)</f>
        <v>0</v>
      </c>
      <c r="AN298" s="13" t="str">
        <f>CHOOSE(tblCleanData[[#This Row],[Education]], "Below College","College","Bachelor","Master","Doctor")</f>
        <v>Bachelor</v>
      </c>
      <c r="AO298" s="13" t="str">
        <f>VLOOKUP(tblCleanData[[#This Row],[EmployeeNumber]],tblHelpers[],15,TRUE)</f>
        <v>High Risk</v>
      </c>
      <c r="AP298" s="13">
        <f>VLOOKUP(tblCleanData[[#This Row],[EmployeeNumber]],tblHelpers[],14,0)</f>
        <v>73</v>
      </c>
    </row>
    <row r="299" spans="1:42" x14ac:dyDescent="0.25">
      <c r="A299" s="13">
        <v>35</v>
      </c>
      <c r="B299" s="13" t="s">
        <v>59</v>
      </c>
      <c r="C299" s="13" t="s">
        <v>37</v>
      </c>
      <c r="D299" s="13">
        <v>1232</v>
      </c>
      <c r="E299" s="13" t="s">
        <v>39</v>
      </c>
      <c r="F299" s="13">
        <v>16</v>
      </c>
      <c r="G299" s="13">
        <v>3</v>
      </c>
      <c r="H299" s="13" t="s">
        <v>206</v>
      </c>
      <c r="I299" s="13">
        <v>1</v>
      </c>
      <c r="J299" s="13">
        <v>406</v>
      </c>
      <c r="K299" s="13">
        <v>3</v>
      </c>
      <c r="L299" s="13" t="s">
        <v>63</v>
      </c>
      <c r="M299" s="13">
        <v>96</v>
      </c>
      <c r="N299" s="13">
        <v>3</v>
      </c>
      <c r="O299" s="13">
        <v>3</v>
      </c>
      <c r="P299" s="13" t="s">
        <v>46</v>
      </c>
      <c r="Q299" s="13">
        <v>2</v>
      </c>
      <c r="R299" s="13" t="s">
        <v>66</v>
      </c>
      <c r="S299" s="20">
        <v>8020</v>
      </c>
      <c r="T299" s="13">
        <v>5100</v>
      </c>
      <c r="U299" s="13">
        <v>0</v>
      </c>
      <c r="V299" s="13" t="s">
        <v>52</v>
      </c>
      <c r="W299" s="13" t="s">
        <v>59</v>
      </c>
      <c r="X299" s="13">
        <v>15</v>
      </c>
      <c r="Y299" s="13">
        <v>3</v>
      </c>
      <c r="Z299" s="13">
        <v>3</v>
      </c>
      <c r="AA299" s="13">
        <v>80</v>
      </c>
      <c r="AB299" s="13">
        <v>2</v>
      </c>
      <c r="AC299" s="13">
        <v>12</v>
      </c>
      <c r="AD299" s="13">
        <v>3</v>
      </c>
      <c r="AE299" s="13">
        <v>2</v>
      </c>
      <c r="AF299" s="14">
        <v>11</v>
      </c>
      <c r="AG299" s="13">
        <v>9</v>
      </c>
      <c r="AH299" s="13">
        <v>6</v>
      </c>
      <c r="AI299" s="13">
        <v>9</v>
      </c>
      <c r="AJ299" s="13" t="str">
        <f t="shared" si="4"/>
        <v>30-39</v>
      </c>
      <c r="AK299" s="13" t="str">
        <f>IF(tblCleanData[[#This Row],[MonthlyIncome]]&lt;5000, "Low Income", IF(tblCleanData[[#This Row],[MonthlyIncome]]&lt;15000, "Medium Income", "High Income"))</f>
        <v>Medium Income</v>
      </c>
      <c r="AL299" s="13">
        <f>IF(tblCleanData[[#This Row],[Attrition]]="No", 0,1)</f>
        <v>0</v>
      </c>
      <c r="AM299" s="13">
        <f>IF(tblCleanData[[#This Row],[OverTime]] = "No", 0, 1)</f>
        <v>0</v>
      </c>
      <c r="AN299" s="13" t="str">
        <f>CHOOSE(tblCleanData[[#This Row],[Education]], "Below College","College","Bachelor","Master","Doctor")</f>
        <v>Bachelor</v>
      </c>
      <c r="AO299" s="13" t="str">
        <f>VLOOKUP(tblCleanData[[#This Row],[EmployeeNumber]],tblHelpers[],15,TRUE)</f>
        <v>Medium Risk</v>
      </c>
      <c r="AP299" s="13">
        <f>VLOOKUP(tblCleanData[[#This Row],[EmployeeNumber]],tblHelpers[],14,0)</f>
        <v>47</v>
      </c>
    </row>
    <row r="300" spans="1:42" x14ac:dyDescent="0.25">
      <c r="A300" s="13">
        <v>36</v>
      </c>
      <c r="B300" s="13" t="s">
        <v>59</v>
      </c>
      <c r="C300" s="13" t="s">
        <v>60</v>
      </c>
      <c r="D300" s="13">
        <v>566</v>
      </c>
      <c r="E300" s="13" t="s">
        <v>62</v>
      </c>
      <c r="F300" s="13">
        <v>18</v>
      </c>
      <c r="G300" s="13">
        <v>4</v>
      </c>
      <c r="H300" s="13" t="s">
        <v>42</v>
      </c>
      <c r="I300" s="13">
        <v>1</v>
      </c>
      <c r="J300" s="13">
        <v>407</v>
      </c>
      <c r="K300" s="13">
        <v>3</v>
      </c>
      <c r="L300" s="13" t="s">
        <v>63</v>
      </c>
      <c r="M300" s="13">
        <v>81</v>
      </c>
      <c r="N300" s="13">
        <v>4</v>
      </c>
      <c r="O300" s="13">
        <v>1</v>
      </c>
      <c r="P300" s="13" t="s">
        <v>76</v>
      </c>
      <c r="Q300" s="13">
        <v>4</v>
      </c>
      <c r="R300" s="13" t="s">
        <v>66</v>
      </c>
      <c r="S300" s="20">
        <v>3688</v>
      </c>
      <c r="T300" s="13">
        <v>7122</v>
      </c>
      <c r="U300" s="13">
        <v>4</v>
      </c>
      <c r="V300" s="13" t="s">
        <v>52</v>
      </c>
      <c r="W300" s="13" t="s">
        <v>59</v>
      </c>
      <c r="X300" s="13">
        <v>18</v>
      </c>
      <c r="Y300" s="13">
        <v>3</v>
      </c>
      <c r="Z300" s="13">
        <v>4</v>
      </c>
      <c r="AA300" s="13">
        <v>80</v>
      </c>
      <c r="AB300" s="13">
        <v>2</v>
      </c>
      <c r="AC300" s="13">
        <v>4</v>
      </c>
      <c r="AD300" s="13">
        <v>2</v>
      </c>
      <c r="AE300" s="13">
        <v>3</v>
      </c>
      <c r="AF300" s="14">
        <v>1</v>
      </c>
      <c r="AG300" s="13">
        <v>0</v>
      </c>
      <c r="AH300" s="13">
        <v>0</v>
      </c>
      <c r="AI300" s="13">
        <v>0</v>
      </c>
      <c r="AJ300" s="13" t="str">
        <f t="shared" si="4"/>
        <v>30-39</v>
      </c>
      <c r="AK300" s="13" t="str">
        <f>IF(tblCleanData[[#This Row],[MonthlyIncome]]&lt;5000, "Low Income", IF(tblCleanData[[#This Row],[MonthlyIncome]]&lt;15000, "Medium Income", "High Income"))</f>
        <v>Low Income</v>
      </c>
      <c r="AL300" s="13">
        <f>IF(tblCleanData[[#This Row],[Attrition]]="No", 0,1)</f>
        <v>0</v>
      </c>
      <c r="AM300" s="13">
        <f>IF(tblCleanData[[#This Row],[OverTime]] = "No", 0, 1)</f>
        <v>0</v>
      </c>
      <c r="AN300" s="13" t="str">
        <f>CHOOSE(tblCleanData[[#This Row],[Education]], "Below College","College","Bachelor","Master","Doctor")</f>
        <v>Master</v>
      </c>
      <c r="AO300" s="13" t="str">
        <f>VLOOKUP(tblCleanData[[#This Row],[EmployeeNumber]],tblHelpers[],15,TRUE)</f>
        <v>High Risk</v>
      </c>
      <c r="AP300" s="13">
        <f>VLOOKUP(tblCleanData[[#This Row],[EmployeeNumber]],tblHelpers[],14,0)</f>
        <v>56</v>
      </c>
    </row>
    <row r="301" spans="1:42" x14ac:dyDescent="0.25">
      <c r="A301" s="13">
        <v>51</v>
      </c>
      <c r="B301" s="13" t="s">
        <v>59</v>
      </c>
      <c r="C301" s="13" t="s">
        <v>37</v>
      </c>
      <c r="D301" s="13">
        <v>1302</v>
      </c>
      <c r="E301" s="13" t="s">
        <v>62</v>
      </c>
      <c r="F301" s="13">
        <v>2</v>
      </c>
      <c r="G301" s="13">
        <v>3</v>
      </c>
      <c r="H301" s="13" t="s">
        <v>87</v>
      </c>
      <c r="I301" s="13">
        <v>1</v>
      </c>
      <c r="J301" s="13">
        <v>408</v>
      </c>
      <c r="K301" s="13">
        <v>4</v>
      </c>
      <c r="L301" s="13" t="s">
        <v>63</v>
      </c>
      <c r="M301" s="13">
        <v>84</v>
      </c>
      <c r="N301" s="13">
        <v>1</v>
      </c>
      <c r="O301" s="13">
        <v>2</v>
      </c>
      <c r="P301" s="13" t="s">
        <v>116</v>
      </c>
      <c r="Q301" s="13">
        <v>2</v>
      </c>
      <c r="R301" s="13" t="s">
        <v>109</v>
      </c>
      <c r="S301" s="20">
        <v>5482</v>
      </c>
      <c r="T301" s="13">
        <v>16321</v>
      </c>
      <c r="U301" s="13">
        <v>5</v>
      </c>
      <c r="V301" s="13" t="s">
        <v>52</v>
      </c>
      <c r="W301" s="13" t="s">
        <v>59</v>
      </c>
      <c r="X301" s="13">
        <v>18</v>
      </c>
      <c r="Y301" s="13">
        <v>3</v>
      </c>
      <c r="Z301" s="13">
        <v>4</v>
      </c>
      <c r="AA301" s="13">
        <v>80</v>
      </c>
      <c r="AB301" s="13">
        <v>1</v>
      </c>
      <c r="AC301" s="13">
        <v>13</v>
      </c>
      <c r="AD301" s="13">
        <v>3</v>
      </c>
      <c r="AE301" s="13">
        <v>3</v>
      </c>
      <c r="AF301" s="14">
        <v>4</v>
      </c>
      <c r="AG301" s="13">
        <v>1</v>
      </c>
      <c r="AH301" s="13">
        <v>1</v>
      </c>
      <c r="AI301" s="13">
        <v>2</v>
      </c>
      <c r="AJ301" s="13" t="str">
        <f t="shared" si="4"/>
        <v>50+</v>
      </c>
      <c r="AK301" s="13" t="str">
        <f>IF(tblCleanData[[#This Row],[MonthlyIncome]]&lt;5000, "Low Income", IF(tblCleanData[[#This Row],[MonthlyIncome]]&lt;15000, "Medium Income", "High Income"))</f>
        <v>Medium Income</v>
      </c>
      <c r="AL301" s="13">
        <f>IF(tblCleanData[[#This Row],[Attrition]]="No", 0,1)</f>
        <v>0</v>
      </c>
      <c r="AM301" s="13">
        <f>IF(tblCleanData[[#This Row],[OverTime]] = "No", 0, 1)</f>
        <v>0</v>
      </c>
      <c r="AN301" s="13" t="str">
        <f>CHOOSE(tblCleanData[[#This Row],[Education]], "Below College","College","Bachelor","Master","Doctor")</f>
        <v>Bachelor</v>
      </c>
      <c r="AO301" s="13" t="str">
        <f>VLOOKUP(tblCleanData[[#This Row],[EmployeeNumber]],tblHelpers[],15,TRUE)</f>
        <v>Medium Risk</v>
      </c>
      <c r="AP301" s="13">
        <f>VLOOKUP(tblCleanData[[#This Row],[EmployeeNumber]],tblHelpers[],14,0)</f>
        <v>54</v>
      </c>
    </row>
    <row r="302" spans="1:42" x14ac:dyDescent="0.25">
      <c r="A302" s="13">
        <v>41</v>
      </c>
      <c r="B302" s="13" t="s">
        <v>59</v>
      </c>
      <c r="C302" s="13" t="s">
        <v>37</v>
      </c>
      <c r="D302" s="13">
        <v>334</v>
      </c>
      <c r="E302" s="13" t="s">
        <v>39</v>
      </c>
      <c r="F302" s="13">
        <v>2</v>
      </c>
      <c r="G302" s="13">
        <v>4</v>
      </c>
      <c r="H302" s="13" t="s">
        <v>42</v>
      </c>
      <c r="I302" s="13">
        <v>1</v>
      </c>
      <c r="J302" s="13">
        <v>410</v>
      </c>
      <c r="K302" s="13">
        <v>4</v>
      </c>
      <c r="L302" s="13" t="s">
        <v>63</v>
      </c>
      <c r="M302" s="13">
        <v>88</v>
      </c>
      <c r="N302" s="13">
        <v>3</v>
      </c>
      <c r="O302" s="13">
        <v>4</v>
      </c>
      <c r="P302" s="13" t="s">
        <v>169</v>
      </c>
      <c r="Q302" s="13">
        <v>2</v>
      </c>
      <c r="R302" s="13" t="s">
        <v>48</v>
      </c>
      <c r="S302" s="20">
        <v>16015</v>
      </c>
      <c r="T302" s="13">
        <v>15896</v>
      </c>
      <c r="U302" s="13">
        <v>1</v>
      </c>
      <c r="V302" s="13" t="s">
        <v>52</v>
      </c>
      <c r="W302" s="13" t="s">
        <v>59</v>
      </c>
      <c r="X302" s="13">
        <v>19</v>
      </c>
      <c r="Y302" s="13">
        <v>3</v>
      </c>
      <c r="Z302" s="13">
        <v>2</v>
      </c>
      <c r="AA302" s="13">
        <v>80</v>
      </c>
      <c r="AB302" s="13">
        <v>0</v>
      </c>
      <c r="AC302" s="13">
        <v>22</v>
      </c>
      <c r="AD302" s="13">
        <v>2</v>
      </c>
      <c r="AE302" s="13">
        <v>3</v>
      </c>
      <c r="AF302" s="14">
        <v>22</v>
      </c>
      <c r="AG302" s="13">
        <v>10</v>
      </c>
      <c r="AH302" s="13">
        <v>0</v>
      </c>
      <c r="AI302" s="13">
        <v>4</v>
      </c>
      <c r="AJ302" s="13" t="str">
        <f t="shared" si="4"/>
        <v>40-49</v>
      </c>
      <c r="AK302" s="13" t="str">
        <f>IF(tblCleanData[[#This Row],[MonthlyIncome]]&lt;5000, "Low Income", IF(tblCleanData[[#This Row],[MonthlyIncome]]&lt;15000, "Medium Income", "High Income"))</f>
        <v>High Income</v>
      </c>
      <c r="AL302" s="13">
        <f>IF(tblCleanData[[#This Row],[Attrition]]="No", 0,1)</f>
        <v>0</v>
      </c>
      <c r="AM302" s="13">
        <f>IF(tblCleanData[[#This Row],[OverTime]] = "No", 0, 1)</f>
        <v>0</v>
      </c>
      <c r="AN302" s="13" t="str">
        <f>CHOOSE(tblCleanData[[#This Row],[Education]], "Below College","College","Bachelor","Master","Doctor")</f>
        <v>Master</v>
      </c>
      <c r="AO302" s="13" t="str">
        <f>VLOOKUP(tblCleanData[[#This Row],[EmployeeNumber]],tblHelpers[],15,TRUE)</f>
        <v>Medium Risk</v>
      </c>
      <c r="AP302" s="13">
        <f>VLOOKUP(tblCleanData[[#This Row],[EmployeeNumber]],tblHelpers[],14,0)</f>
        <v>37</v>
      </c>
    </row>
    <row r="303" spans="1:42" x14ac:dyDescent="0.25">
      <c r="A303" s="13">
        <v>18</v>
      </c>
      <c r="B303" s="13" t="s">
        <v>59</v>
      </c>
      <c r="C303" s="13" t="s">
        <v>37</v>
      </c>
      <c r="D303" s="13">
        <v>812</v>
      </c>
      <c r="E303" s="13" t="s">
        <v>39</v>
      </c>
      <c r="F303" s="13">
        <v>10</v>
      </c>
      <c r="G303" s="13">
        <v>3</v>
      </c>
      <c r="H303" s="13" t="s">
        <v>87</v>
      </c>
      <c r="I303" s="13">
        <v>1</v>
      </c>
      <c r="J303" s="13">
        <v>411</v>
      </c>
      <c r="K303" s="13">
        <v>4</v>
      </c>
      <c r="L303" s="13" t="s">
        <v>43</v>
      </c>
      <c r="M303" s="13">
        <v>69</v>
      </c>
      <c r="N303" s="13">
        <v>2</v>
      </c>
      <c r="O303" s="13">
        <v>1</v>
      </c>
      <c r="P303" s="13" t="s">
        <v>182</v>
      </c>
      <c r="Q303" s="13">
        <v>3</v>
      </c>
      <c r="R303" s="13" t="s">
        <v>48</v>
      </c>
      <c r="S303" s="20">
        <v>1200</v>
      </c>
      <c r="T303" s="13">
        <v>9724</v>
      </c>
      <c r="U303" s="13">
        <v>1</v>
      </c>
      <c r="V303" s="13" t="s">
        <v>52</v>
      </c>
      <c r="W303" s="13" t="s">
        <v>59</v>
      </c>
      <c r="X303" s="13">
        <v>12</v>
      </c>
      <c r="Y303" s="13">
        <v>3</v>
      </c>
      <c r="Z303" s="13">
        <v>1</v>
      </c>
      <c r="AA303" s="13">
        <v>80</v>
      </c>
      <c r="AB303" s="13">
        <v>0</v>
      </c>
      <c r="AC303" s="13">
        <v>0</v>
      </c>
      <c r="AD303" s="13">
        <v>2</v>
      </c>
      <c r="AE303" s="13">
        <v>3</v>
      </c>
      <c r="AF303" s="14">
        <v>0</v>
      </c>
      <c r="AG303" s="13">
        <v>0</v>
      </c>
      <c r="AH303" s="13">
        <v>0</v>
      </c>
      <c r="AI303" s="13">
        <v>0</v>
      </c>
      <c r="AJ303" s="13" t="str">
        <f t="shared" si="4"/>
        <v>Under 30</v>
      </c>
      <c r="AK303" s="13" t="str">
        <f>IF(tblCleanData[[#This Row],[MonthlyIncome]]&lt;5000, "Low Income", IF(tblCleanData[[#This Row],[MonthlyIncome]]&lt;15000, "Medium Income", "High Income"))</f>
        <v>Low Income</v>
      </c>
      <c r="AL303" s="13">
        <f>IF(tblCleanData[[#This Row],[Attrition]]="No", 0,1)</f>
        <v>0</v>
      </c>
      <c r="AM303" s="13">
        <f>IF(tblCleanData[[#This Row],[OverTime]] = "No", 0, 1)</f>
        <v>0</v>
      </c>
      <c r="AN303" s="13" t="str">
        <f>CHOOSE(tblCleanData[[#This Row],[Education]], "Below College","College","Bachelor","Master","Doctor")</f>
        <v>Bachelor</v>
      </c>
      <c r="AO303" s="13" t="str">
        <f>VLOOKUP(tblCleanData[[#This Row],[EmployeeNumber]],tblHelpers[],15,TRUE)</f>
        <v>High Risk</v>
      </c>
      <c r="AP303" s="13">
        <f>VLOOKUP(tblCleanData[[#This Row],[EmployeeNumber]],tblHelpers[],14,0)</f>
        <v>73</v>
      </c>
    </row>
    <row r="304" spans="1:42" x14ac:dyDescent="0.25">
      <c r="A304" s="13">
        <v>28</v>
      </c>
      <c r="B304" s="13" t="s">
        <v>59</v>
      </c>
      <c r="C304" s="13" t="s">
        <v>37</v>
      </c>
      <c r="D304" s="13">
        <v>1476</v>
      </c>
      <c r="E304" s="13" t="s">
        <v>62</v>
      </c>
      <c r="F304" s="13">
        <v>16</v>
      </c>
      <c r="G304" s="13">
        <v>2</v>
      </c>
      <c r="H304" s="13" t="s">
        <v>87</v>
      </c>
      <c r="I304" s="13">
        <v>1</v>
      </c>
      <c r="J304" s="13">
        <v>412</v>
      </c>
      <c r="K304" s="13">
        <v>2</v>
      </c>
      <c r="L304" s="13" t="s">
        <v>63</v>
      </c>
      <c r="M304" s="13">
        <v>68</v>
      </c>
      <c r="N304" s="13">
        <v>4</v>
      </c>
      <c r="O304" s="13">
        <v>2</v>
      </c>
      <c r="P304" s="13" t="s">
        <v>122</v>
      </c>
      <c r="Q304" s="13">
        <v>1</v>
      </c>
      <c r="R304" s="13" t="s">
        <v>48</v>
      </c>
      <c r="S304" s="20">
        <v>5661</v>
      </c>
      <c r="T304" s="13">
        <v>4824</v>
      </c>
      <c r="U304" s="13">
        <v>0</v>
      </c>
      <c r="V304" s="13" t="s">
        <v>52</v>
      </c>
      <c r="W304" s="13" t="s">
        <v>59</v>
      </c>
      <c r="X304" s="13">
        <v>19</v>
      </c>
      <c r="Y304" s="13">
        <v>3</v>
      </c>
      <c r="Z304" s="13">
        <v>3</v>
      </c>
      <c r="AA304" s="13">
        <v>80</v>
      </c>
      <c r="AB304" s="13">
        <v>0</v>
      </c>
      <c r="AC304" s="13">
        <v>9</v>
      </c>
      <c r="AD304" s="13">
        <v>2</v>
      </c>
      <c r="AE304" s="13">
        <v>3</v>
      </c>
      <c r="AF304" s="14">
        <v>8</v>
      </c>
      <c r="AG304" s="13">
        <v>3</v>
      </c>
      <c r="AH304" s="13">
        <v>0</v>
      </c>
      <c r="AI304" s="13">
        <v>7</v>
      </c>
      <c r="AJ304" s="13" t="str">
        <f t="shared" si="4"/>
        <v>Under 30</v>
      </c>
      <c r="AK304" s="13" t="str">
        <f>IF(tblCleanData[[#This Row],[MonthlyIncome]]&lt;5000, "Low Income", IF(tblCleanData[[#This Row],[MonthlyIncome]]&lt;15000, "Medium Income", "High Income"))</f>
        <v>Medium Income</v>
      </c>
      <c r="AL304" s="13">
        <f>IF(tblCleanData[[#This Row],[Attrition]]="No", 0,1)</f>
        <v>0</v>
      </c>
      <c r="AM304" s="13">
        <f>IF(tblCleanData[[#This Row],[OverTime]] = "No", 0, 1)</f>
        <v>0</v>
      </c>
      <c r="AN304" s="13" t="str">
        <f>CHOOSE(tblCleanData[[#This Row],[Education]], "Below College","College","Bachelor","Master","Doctor")</f>
        <v>College</v>
      </c>
      <c r="AO304" s="13" t="str">
        <f>VLOOKUP(tblCleanData[[#This Row],[EmployeeNumber]],tblHelpers[],15,TRUE)</f>
        <v>High Risk</v>
      </c>
      <c r="AP304" s="13">
        <f>VLOOKUP(tblCleanData[[#This Row],[EmployeeNumber]],tblHelpers[],14,0)</f>
        <v>68</v>
      </c>
    </row>
    <row r="305" spans="1:42" x14ac:dyDescent="0.25">
      <c r="A305" s="13">
        <v>31</v>
      </c>
      <c r="B305" s="13" t="s">
        <v>59</v>
      </c>
      <c r="C305" s="13" t="s">
        <v>37</v>
      </c>
      <c r="D305" s="13">
        <v>218</v>
      </c>
      <c r="E305" s="13" t="s">
        <v>39</v>
      </c>
      <c r="F305" s="13">
        <v>7</v>
      </c>
      <c r="G305" s="13">
        <v>3</v>
      </c>
      <c r="H305" s="13" t="s">
        <v>228</v>
      </c>
      <c r="I305" s="13">
        <v>1</v>
      </c>
      <c r="J305" s="13">
        <v>416</v>
      </c>
      <c r="K305" s="13">
        <v>2</v>
      </c>
      <c r="L305" s="13" t="s">
        <v>63</v>
      </c>
      <c r="M305" s="13">
        <v>100</v>
      </c>
      <c r="N305" s="13">
        <v>4</v>
      </c>
      <c r="O305" s="13">
        <v>2</v>
      </c>
      <c r="P305" s="13" t="s">
        <v>46</v>
      </c>
      <c r="Q305" s="13">
        <v>4</v>
      </c>
      <c r="R305" s="13" t="s">
        <v>66</v>
      </c>
      <c r="S305" s="20">
        <v>6929</v>
      </c>
      <c r="T305" s="13">
        <v>12241</v>
      </c>
      <c r="U305" s="13">
        <v>4</v>
      </c>
      <c r="V305" s="13" t="s">
        <v>52</v>
      </c>
      <c r="W305" s="13" t="s">
        <v>59</v>
      </c>
      <c r="X305" s="13">
        <v>11</v>
      </c>
      <c r="Y305" s="13">
        <v>3</v>
      </c>
      <c r="Z305" s="13">
        <v>2</v>
      </c>
      <c r="AA305" s="13">
        <v>80</v>
      </c>
      <c r="AB305" s="13">
        <v>1</v>
      </c>
      <c r="AC305" s="13">
        <v>10</v>
      </c>
      <c r="AD305" s="13">
        <v>3</v>
      </c>
      <c r="AE305" s="13">
        <v>2</v>
      </c>
      <c r="AF305" s="14">
        <v>8</v>
      </c>
      <c r="AG305" s="13">
        <v>7</v>
      </c>
      <c r="AH305" s="13">
        <v>7</v>
      </c>
      <c r="AI305" s="13">
        <v>7</v>
      </c>
      <c r="AJ305" s="13" t="str">
        <f t="shared" si="4"/>
        <v>30-39</v>
      </c>
      <c r="AK305" s="13" t="str">
        <f>IF(tblCleanData[[#This Row],[MonthlyIncome]]&lt;5000, "Low Income", IF(tblCleanData[[#This Row],[MonthlyIncome]]&lt;15000, "Medium Income", "High Income"))</f>
        <v>Medium Income</v>
      </c>
      <c r="AL305" s="13">
        <f>IF(tblCleanData[[#This Row],[Attrition]]="No", 0,1)</f>
        <v>0</v>
      </c>
      <c r="AM305" s="13">
        <f>IF(tblCleanData[[#This Row],[OverTime]] = "No", 0, 1)</f>
        <v>0</v>
      </c>
      <c r="AN305" s="13" t="str">
        <f>CHOOSE(tblCleanData[[#This Row],[Education]], "Below College","College","Bachelor","Master","Doctor")</f>
        <v>Bachelor</v>
      </c>
      <c r="AO305" s="13" t="str">
        <f>VLOOKUP(tblCleanData[[#This Row],[EmployeeNumber]],tblHelpers[],15,TRUE)</f>
        <v>Medium Risk</v>
      </c>
      <c r="AP305" s="13">
        <f>VLOOKUP(tblCleanData[[#This Row],[EmployeeNumber]],tblHelpers[],14,0)</f>
        <v>39</v>
      </c>
    </row>
    <row r="306" spans="1:42" x14ac:dyDescent="0.25">
      <c r="A306" s="13">
        <v>39</v>
      </c>
      <c r="B306" s="13" t="s">
        <v>59</v>
      </c>
      <c r="C306" s="13" t="s">
        <v>37</v>
      </c>
      <c r="D306" s="13">
        <v>1132</v>
      </c>
      <c r="E306" s="13" t="s">
        <v>62</v>
      </c>
      <c r="F306" s="13">
        <v>1</v>
      </c>
      <c r="G306" s="13">
        <v>3</v>
      </c>
      <c r="H306" s="13" t="s">
        <v>87</v>
      </c>
      <c r="I306" s="13">
        <v>1</v>
      </c>
      <c r="J306" s="13">
        <v>417</v>
      </c>
      <c r="K306" s="13">
        <v>3</v>
      </c>
      <c r="L306" s="13" t="s">
        <v>63</v>
      </c>
      <c r="M306" s="13">
        <v>48</v>
      </c>
      <c r="N306" s="13">
        <v>4</v>
      </c>
      <c r="O306" s="13">
        <v>3</v>
      </c>
      <c r="P306" s="13" t="s">
        <v>122</v>
      </c>
      <c r="Q306" s="13">
        <v>4</v>
      </c>
      <c r="R306" s="13" t="s">
        <v>109</v>
      </c>
      <c r="S306" s="20">
        <v>9613</v>
      </c>
      <c r="T306" s="13">
        <v>10942</v>
      </c>
      <c r="U306" s="13">
        <v>0</v>
      </c>
      <c r="V306" s="13" t="s">
        <v>52</v>
      </c>
      <c r="W306" s="13" t="s">
        <v>59</v>
      </c>
      <c r="X306" s="13">
        <v>17</v>
      </c>
      <c r="Y306" s="13">
        <v>3</v>
      </c>
      <c r="Z306" s="13">
        <v>1</v>
      </c>
      <c r="AA306" s="13">
        <v>80</v>
      </c>
      <c r="AB306" s="13">
        <v>3</v>
      </c>
      <c r="AC306" s="13">
        <v>19</v>
      </c>
      <c r="AD306" s="13">
        <v>5</v>
      </c>
      <c r="AE306" s="13">
        <v>2</v>
      </c>
      <c r="AF306" s="14">
        <v>18</v>
      </c>
      <c r="AG306" s="13">
        <v>10</v>
      </c>
      <c r="AH306" s="13">
        <v>3</v>
      </c>
      <c r="AI306" s="13">
        <v>7</v>
      </c>
      <c r="AJ306" s="13" t="str">
        <f t="shared" si="4"/>
        <v>30-39</v>
      </c>
      <c r="AK306" s="13" t="str">
        <f>IF(tblCleanData[[#This Row],[MonthlyIncome]]&lt;5000, "Low Income", IF(tblCleanData[[#This Row],[MonthlyIncome]]&lt;15000, "Medium Income", "High Income"))</f>
        <v>Medium Income</v>
      </c>
      <c r="AL306" s="13">
        <f>IF(tblCleanData[[#This Row],[Attrition]]="No", 0,1)</f>
        <v>0</v>
      </c>
      <c r="AM306" s="13">
        <f>IF(tblCleanData[[#This Row],[OverTime]] = "No", 0, 1)</f>
        <v>0</v>
      </c>
      <c r="AN306" s="13" t="str">
        <f>CHOOSE(tblCleanData[[#This Row],[Education]], "Below College","College","Bachelor","Master","Doctor")</f>
        <v>Bachelor</v>
      </c>
      <c r="AO306" s="13" t="str">
        <f>VLOOKUP(tblCleanData[[#This Row],[EmployeeNumber]],tblHelpers[],15,TRUE)</f>
        <v>Low Risk</v>
      </c>
      <c r="AP306" s="13">
        <f>VLOOKUP(tblCleanData[[#This Row],[EmployeeNumber]],tblHelpers[],14,0)</f>
        <v>34</v>
      </c>
    </row>
    <row r="307" spans="1:42" x14ac:dyDescent="0.25">
      <c r="A307" s="13">
        <v>36</v>
      </c>
      <c r="B307" s="13" t="s">
        <v>59</v>
      </c>
      <c r="C307" s="13" t="s">
        <v>161</v>
      </c>
      <c r="D307" s="13">
        <v>1105</v>
      </c>
      <c r="E307" s="13" t="s">
        <v>62</v>
      </c>
      <c r="F307" s="13">
        <v>24</v>
      </c>
      <c r="G307" s="13">
        <v>4</v>
      </c>
      <c r="H307" s="13" t="s">
        <v>42</v>
      </c>
      <c r="I307" s="13">
        <v>1</v>
      </c>
      <c r="J307" s="13">
        <v>419</v>
      </c>
      <c r="K307" s="13">
        <v>2</v>
      </c>
      <c r="L307" s="13" t="s">
        <v>43</v>
      </c>
      <c r="M307" s="13">
        <v>47</v>
      </c>
      <c r="N307" s="13">
        <v>3</v>
      </c>
      <c r="O307" s="13">
        <v>2</v>
      </c>
      <c r="P307" s="13" t="s">
        <v>76</v>
      </c>
      <c r="Q307" s="13">
        <v>2</v>
      </c>
      <c r="R307" s="13" t="s">
        <v>66</v>
      </c>
      <c r="S307" s="20">
        <v>5674</v>
      </c>
      <c r="T307" s="13">
        <v>6927</v>
      </c>
      <c r="U307" s="13">
        <v>7</v>
      </c>
      <c r="V307" s="13" t="s">
        <v>52</v>
      </c>
      <c r="W307" s="13" t="s">
        <v>59</v>
      </c>
      <c r="X307" s="13">
        <v>15</v>
      </c>
      <c r="Y307" s="13">
        <v>3</v>
      </c>
      <c r="Z307" s="13">
        <v>3</v>
      </c>
      <c r="AA307" s="13">
        <v>80</v>
      </c>
      <c r="AB307" s="13">
        <v>1</v>
      </c>
      <c r="AC307" s="13">
        <v>11</v>
      </c>
      <c r="AD307" s="13">
        <v>3</v>
      </c>
      <c r="AE307" s="13">
        <v>3</v>
      </c>
      <c r="AF307" s="14">
        <v>9</v>
      </c>
      <c r="AG307" s="13">
        <v>8</v>
      </c>
      <c r="AH307" s="13">
        <v>0</v>
      </c>
      <c r="AI307" s="13">
        <v>8</v>
      </c>
      <c r="AJ307" s="13" t="str">
        <f t="shared" si="4"/>
        <v>30-39</v>
      </c>
      <c r="AK307" s="13" t="str">
        <f>IF(tblCleanData[[#This Row],[MonthlyIncome]]&lt;5000, "Low Income", IF(tblCleanData[[#This Row],[MonthlyIncome]]&lt;15000, "Medium Income", "High Income"))</f>
        <v>Medium Income</v>
      </c>
      <c r="AL307" s="13">
        <f>IF(tblCleanData[[#This Row],[Attrition]]="No", 0,1)</f>
        <v>0</v>
      </c>
      <c r="AM307" s="13">
        <f>IF(tblCleanData[[#This Row],[OverTime]] = "No", 0, 1)</f>
        <v>0</v>
      </c>
      <c r="AN307" s="13" t="str">
        <f>CHOOSE(tblCleanData[[#This Row],[Education]], "Below College","College","Bachelor","Master","Doctor")</f>
        <v>Master</v>
      </c>
      <c r="AO307" s="13" t="str">
        <f>VLOOKUP(tblCleanData[[#This Row],[EmployeeNumber]],tblHelpers[],15,TRUE)</f>
        <v>Medium Risk</v>
      </c>
      <c r="AP307" s="13">
        <f>VLOOKUP(tblCleanData[[#This Row],[EmployeeNumber]],tblHelpers[],14,0)</f>
        <v>52</v>
      </c>
    </row>
    <row r="308" spans="1:42" x14ac:dyDescent="0.25">
      <c r="A308" s="13">
        <v>32</v>
      </c>
      <c r="B308" s="13" t="s">
        <v>59</v>
      </c>
      <c r="C308" s="13" t="s">
        <v>37</v>
      </c>
      <c r="D308" s="13">
        <v>906</v>
      </c>
      <c r="E308" s="13" t="s">
        <v>39</v>
      </c>
      <c r="F308" s="13">
        <v>7</v>
      </c>
      <c r="G308" s="13">
        <v>3</v>
      </c>
      <c r="H308" s="13" t="s">
        <v>42</v>
      </c>
      <c r="I308" s="13">
        <v>1</v>
      </c>
      <c r="J308" s="13">
        <v>420</v>
      </c>
      <c r="K308" s="13">
        <v>4</v>
      </c>
      <c r="L308" s="13" t="s">
        <v>63</v>
      </c>
      <c r="M308" s="13">
        <v>91</v>
      </c>
      <c r="N308" s="13">
        <v>2</v>
      </c>
      <c r="O308" s="13">
        <v>2</v>
      </c>
      <c r="P308" s="13" t="s">
        <v>46</v>
      </c>
      <c r="Q308" s="13">
        <v>3</v>
      </c>
      <c r="R308" s="13" t="s">
        <v>66</v>
      </c>
      <c r="S308" s="20">
        <v>5484</v>
      </c>
      <c r="T308" s="13">
        <v>16985</v>
      </c>
      <c r="U308" s="13">
        <v>1</v>
      </c>
      <c r="V308" s="13" t="s">
        <v>52</v>
      </c>
      <c r="W308" s="13" t="s">
        <v>59</v>
      </c>
      <c r="X308" s="13">
        <v>14</v>
      </c>
      <c r="Y308" s="13">
        <v>3</v>
      </c>
      <c r="Z308" s="13">
        <v>3</v>
      </c>
      <c r="AA308" s="13">
        <v>80</v>
      </c>
      <c r="AB308" s="13">
        <v>1</v>
      </c>
      <c r="AC308" s="13">
        <v>13</v>
      </c>
      <c r="AD308" s="13">
        <v>3</v>
      </c>
      <c r="AE308" s="13">
        <v>2</v>
      </c>
      <c r="AF308" s="14">
        <v>13</v>
      </c>
      <c r="AG308" s="13">
        <v>8</v>
      </c>
      <c r="AH308" s="13">
        <v>4</v>
      </c>
      <c r="AI308" s="13">
        <v>8</v>
      </c>
      <c r="AJ308" s="13" t="str">
        <f t="shared" si="4"/>
        <v>30-39</v>
      </c>
      <c r="AK308" s="13" t="str">
        <f>IF(tblCleanData[[#This Row],[MonthlyIncome]]&lt;5000, "Low Income", IF(tblCleanData[[#This Row],[MonthlyIncome]]&lt;15000, "Medium Income", "High Income"))</f>
        <v>Medium Income</v>
      </c>
      <c r="AL308" s="13">
        <f>IF(tblCleanData[[#This Row],[Attrition]]="No", 0,1)</f>
        <v>0</v>
      </c>
      <c r="AM308" s="13">
        <f>IF(tblCleanData[[#This Row],[OverTime]] = "No", 0, 1)</f>
        <v>0</v>
      </c>
      <c r="AN308" s="13" t="str">
        <f>CHOOSE(tblCleanData[[#This Row],[Education]], "Below College","College","Bachelor","Master","Doctor")</f>
        <v>Bachelor</v>
      </c>
      <c r="AO308" s="13" t="str">
        <f>VLOOKUP(tblCleanData[[#This Row],[EmployeeNumber]],tblHelpers[],15,TRUE)</f>
        <v>Medium Risk</v>
      </c>
      <c r="AP308" s="13">
        <f>VLOOKUP(tblCleanData[[#This Row],[EmployeeNumber]],tblHelpers[],14,0)</f>
        <v>41</v>
      </c>
    </row>
    <row r="309" spans="1:42" x14ac:dyDescent="0.25">
      <c r="A309" s="13">
        <v>38</v>
      </c>
      <c r="B309" s="13" t="s">
        <v>59</v>
      </c>
      <c r="C309" s="13" t="s">
        <v>37</v>
      </c>
      <c r="D309" s="13">
        <v>849</v>
      </c>
      <c r="E309" s="13" t="s">
        <v>62</v>
      </c>
      <c r="F309" s="13">
        <v>25</v>
      </c>
      <c r="G309" s="13">
        <v>2</v>
      </c>
      <c r="H309" s="13" t="s">
        <v>42</v>
      </c>
      <c r="I309" s="13">
        <v>1</v>
      </c>
      <c r="J309" s="13">
        <v>421</v>
      </c>
      <c r="K309" s="13">
        <v>1</v>
      </c>
      <c r="L309" s="13" t="s">
        <v>43</v>
      </c>
      <c r="M309" s="13">
        <v>81</v>
      </c>
      <c r="N309" s="13">
        <v>2</v>
      </c>
      <c r="O309" s="13">
        <v>3</v>
      </c>
      <c r="P309" s="13" t="s">
        <v>186</v>
      </c>
      <c r="Q309" s="13">
        <v>2</v>
      </c>
      <c r="R309" s="13" t="s">
        <v>66</v>
      </c>
      <c r="S309" s="20">
        <v>12061</v>
      </c>
      <c r="T309" s="13">
        <v>26707</v>
      </c>
      <c r="U309" s="13">
        <v>3</v>
      </c>
      <c r="V309" s="13" t="s">
        <v>52</v>
      </c>
      <c r="W309" s="13" t="s">
        <v>59</v>
      </c>
      <c r="X309" s="13">
        <v>17</v>
      </c>
      <c r="Y309" s="13">
        <v>3</v>
      </c>
      <c r="Z309" s="13">
        <v>3</v>
      </c>
      <c r="AA309" s="13">
        <v>80</v>
      </c>
      <c r="AB309" s="13">
        <v>1</v>
      </c>
      <c r="AC309" s="13">
        <v>19</v>
      </c>
      <c r="AD309" s="13">
        <v>2</v>
      </c>
      <c r="AE309" s="13">
        <v>3</v>
      </c>
      <c r="AF309" s="14">
        <v>10</v>
      </c>
      <c r="AG309" s="13">
        <v>8</v>
      </c>
      <c r="AH309" s="13">
        <v>0</v>
      </c>
      <c r="AI309" s="13">
        <v>1</v>
      </c>
      <c r="AJ309" s="13" t="str">
        <f t="shared" si="4"/>
        <v>30-39</v>
      </c>
      <c r="AK309" s="13" t="str">
        <f>IF(tblCleanData[[#This Row],[MonthlyIncome]]&lt;5000, "Low Income", IF(tblCleanData[[#This Row],[MonthlyIncome]]&lt;15000, "Medium Income", "High Income"))</f>
        <v>Medium Income</v>
      </c>
      <c r="AL309" s="13">
        <f>IF(tblCleanData[[#This Row],[Attrition]]="No", 0,1)</f>
        <v>0</v>
      </c>
      <c r="AM309" s="13">
        <f>IF(tblCleanData[[#This Row],[OverTime]] = "No", 0, 1)</f>
        <v>0</v>
      </c>
      <c r="AN309" s="13" t="str">
        <f>CHOOSE(tblCleanData[[#This Row],[Education]], "Below College","College","Bachelor","Master","Doctor")</f>
        <v>College</v>
      </c>
      <c r="AO309" s="13" t="str">
        <f>VLOOKUP(tblCleanData[[#This Row],[EmployeeNumber]],tblHelpers[],15,TRUE)</f>
        <v>Medium Risk</v>
      </c>
      <c r="AP309" s="13">
        <f>VLOOKUP(tblCleanData[[#This Row],[EmployeeNumber]],tblHelpers[],14,0)</f>
        <v>52</v>
      </c>
    </row>
    <row r="310" spans="1:42" x14ac:dyDescent="0.25">
      <c r="A310" s="13">
        <v>58</v>
      </c>
      <c r="B310" s="13" t="s">
        <v>59</v>
      </c>
      <c r="C310" s="13" t="s">
        <v>161</v>
      </c>
      <c r="D310" s="13">
        <v>390</v>
      </c>
      <c r="E310" s="13" t="s">
        <v>62</v>
      </c>
      <c r="F310" s="13">
        <v>1</v>
      </c>
      <c r="G310" s="13">
        <v>4</v>
      </c>
      <c r="H310" s="13" t="s">
        <v>42</v>
      </c>
      <c r="I310" s="13">
        <v>1</v>
      </c>
      <c r="J310" s="13">
        <v>422</v>
      </c>
      <c r="K310" s="13">
        <v>4</v>
      </c>
      <c r="L310" s="13" t="s">
        <v>63</v>
      </c>
      <c r="M310" s="13">
        <v>32</v>
      </c>
      <c r="N310" s="13">
        <v>1</v>
      </c>
      <c r="O310" s="13">
        <v>2</v>
      </c>
      <c r="P310" s="13" t="s">
        <v>122</v>
      </c>
      <c r="Q310" s="13">
        <v>3</v>
      </c>
      <c r="R310" s="13" t="s">
        <v>109</v>
      </c>
      <c r="S310" s="20">
        <v>5660</v>
      </c>
      <c r="T310" s="13">
        <v>17056</v>
      </c>
      <c r="U310" s="13">
        <v>2</v>
      </c>
      <c r="V310" s="13" t="s">
        <v>52</v>
      </c>
      <c r="W310" s="13" t="s">
        <v>36</v>
      </c>
      <c r="X310" s="13">
        <v>13</v>
      </c>
      <c r="Y310" s="13">
        <v>3</v>
      </c>
      <c r="Z310" s="13">
        <v>4</v>
      </c>
      <c r="AA310" s="13">
        <v>80</v>
      </c>
      <c r="AB310" s="13">
        <v>1</v>
      </c>
      <c r="AC310" s="13">
        <v>12</v>
      </c>
      <c r="AD310" s="13">
        <v>2</v>
      </c>
      <c r="AE310" s="13">
        <v>3</v>
      </c>
      <c r="AF310" s="14">
        <v>5</v>
      </c>
      <c r="AG310" s="13">
        <v>3</v>
      </c>
      <c r="AH310" s="13">
        <v>1</v>
      </c>
      <c r="AI310" s="13">
        <v>2</v>
      </c>
      <c r="AJ310" s="13" t="str">
        <f t="shared" si="4"/>
        <v>50+</v>
      </c>
      <c r="AK310" s="13" t="str">
        <f>IF(tblCleanData[[#This Row],[MonthlyIncome]]&lt;5000, "Low Income", IF(tblCleanData[[#This Row],[MonthlyIncome]]&lt;15000, "Medium Income", "High Income"))</f>
        <v>Medium Income</v>
      </c>
      <c r="AL310" s="13">
        <f>IF(tblCleanData[[#This Row],[Attrition]]="No", 0,1)</f>
        <v>0</v>
      </c>
      <c r="AM310" s="13">
        <f>IF(tblCleanData[[#This Row],[OverTime]] = "No", 0, 1)</f>
        <v>1</v>
      </c>
      <c r="AN310" s="13" t="str">
        <f>CHOOSE(tblCleanData[[#This Row],[Education]], "Below College","College","Bachelor","Master","Doctor")</f>
        <v>Master</v>
      </c>
      <c r="AO310" s="13" t="str">
        <f>VLOOKUP(tblCleanData[[#This Row],[EmployeeNumber]],tblHelpers[],15,TRUE)</f>
        <v>High Risk</v>
      </c>
      <c r="AP310" s="13">
        <f>VLOOKUP(tblCleanData[[#This Row],[EmployeeNumber]],tblHelpers[],14,0)</f>
        <v>73</v>
      </c>
    </row>
    <row r="311" spans="1:42" x14ac:dyDescent="0.25">
      <c r="A311" s="13">
        <v>31</v>
      </c>
      <c r="B311" s="13" t="s">
        <v>59</v>
      </c>
      <c r="C311" s="13" t="s">
        <v>37</v>
      </c>
      <c r="D311" s="13">
        <v>691</v>
      </c>
      <c r="E311" s="13" t="s">
        <v>62</v>
      </c>
      <c r="F311" s="13">
        <v>5</v>
      </c>
      <c r="G311" s="13">
        <v>4</v>
      </c>
      <c r="H311" s="13" t="s">
        <v>228</v>
      </c>
      <c r="I311" s="13">
        <v>1</v>
      </c>
      <c r="J311" s="13">
        <v>423</v>
      </c>
      <c r="K311" s="13">
        <v>3</v>
      </c>
      <c r="L311" s="13" t="s">
        <v>63</v>
      </c>
      <c r="M311" s="13">
        <v>86</v>
      </c>
      <c r="N311" s="13">
        <v>3</v>
      </c>
      <c r="O311" s="13">
        <v>1</v>
      </c>
      <c r="P311" s="13" t="s">
        <v>65</v>
      </c>
      <c r="Q311" s="13">
        <v>4</v>
      </c>
      <c r="R311" s="13" t="s">
        <v>66</v>
      </c>
      <c r="S311" s="20">
        <v>4821</v>
      </c>
      <c r="T311" s="13">
        <v>10077</v>
      </c>
      <c r="U311" s="13">
        <v>0</v>
      </c>
      <c r="V311" s="13" t="s">
        <v>52</v>
      </c>
      <c r="W311" s="13" t="s">
        <v>36</v>
      </c>
      <c r="X311" s="13">
        <v>12</v>
      </c>
      <c r="Y311" s="13">
        <v>3</v>
      </c>
      <c r="Z311" s="13">
        <v>3</v>
      </c>
      <c r="AA311" s="13">
        <v>80</v>
      </c>
      <c r="AB311" s="13">
        <v>1</v>
      </c>
      <c r="AC311" s="13">
        <v>6</v>
      </c>
      <c r="AD311" s="13">
        <v>4</v>
      </c>
      <c r="AE311" s="13">
        <v>3</v>
      </c>
      <c r="AF311" s="14">
        <v>5</v>
      </c>
      <c r="AG311" s="13">
        <v>2</v>
      </c>
      <c r="AH311" s="13">
        <v>0</v>
      </c>
      <c r="AI311" s="13">
        <v>3</v>
      </c>
      <c r="AJ311" s="13" t="str">
        <f t="shared" si="4"/>
        <v>30-39</v>
      </c>
      <c r="AK311" s="13" t="str">
        <f>IF(tblCleanData[[#This Row],[MonthlyIncome]]&lt;5000, "Low Income", IF(tblCleanData[[#This Row],[MonthlyIncome]]&lt;15000, "Medium Income", "High Income"))</f>
        <v>Low Income</v>
      </c>
      <c r="AL311" s="13">
        <f>IF(tblCleanData[[#This Row],[Attrition]]="No", 0,1)</f>
        <v>0</v>
      </c>
      <c r="AM311" s="13">
        <f>IF(tblCleanData[[#This Row],[OverTime]] = "No", 0, 1)</f>
        <v>1</v>
      </c>
      <c r="AN311" s="13" t="str">
        <f>CHOOSE(tblCleanData[[#This Row],[Education]], "Below College","College","Bachelor","Master","Doctor")</f>
        <v>Master</v>
      </c>
      <c r="AO311" s="13" t="str">
        <f>VLOOKUP(tblCleanData[[#This Row],[EmployeeNumber]],tblHelpers[],15,TRUE)</f>
        <v>High Risk</v>
      </c>
      <c r="AP311" s="13">
        <f>VLOOKUP(tblCleanData[[#This Row],[EmployeeNumber]],tblHelpers[],14,0)</f>
        <v>71</v>
      </c>
    </row>
    <row r="312" spans="1:42" x14ac:dyDescent="0.25">
      <c r="A312" s="13">
        <v>31</v>
      </c>
      <c r="B312" s="13" t="s">
        <v>59</v>
      </c>
      <c r="C312" s="13" t="s">
        <v>37</v>
      </c>
      <c r="D312" s="13">
        <v>106</v>
      </c>
      <c r="E312" s="13" t="s">
        <v>397</v>
      </c>
      <c r="F312" s="13">
        <v>2</v>
      </c>
      <c r="G312" s="13">
        <v>3</v>
      </c>
      <c r="H312" s="13" t="s">
        <v>397</v>
      </c>
      <c r="I312" s="13">
        <v>1</v>
      </c>
      <c r="J312" s="13">
        <v>424</v>
      </c>
      <c r="K312" s="13">
        <v>1</v>
      </c>
      <c r="L312" s="13" t="s">
        <v>63</v>
      </c>
      <c r="M312" s="13">
        <v>62</v>
      </c>
      <c r="N312" s="13">
        <v>2</v>
      </c>
      <c r="O312" s="13">
        <v>2</v>
      </c>
      <c r="P312" s="13" t="s">
        <v>397</v>
      </c>
      <c r="Q312" s="13">
        <v>1</v>
      </c>
      <c r="R312" s="13" t="s">
        <v>66</v>
      </c>
      <c r="S312" s="20">
        <v>6410</v>
      </c>
      <c r="T312" s="13">
        <v>17822</v>
      </c>
      <c r="U312" s="13">
        <v>3</v>
      </c>
      <c r="V312" s="13" t="s">
        <v>52</v>
      </c>
      <c r="W312" s="13" t="s">
        <v>59</v>
      </c>
      <c r="X312" s="13">
        <v>12</v>
      </c>
      <c r="Y312" s="13">
        <v>3</v>
      </c>
      <c r="Z312" s="13">
        <v>4</v>
      </c>
      <c r="AA312" s="13">
        <v>80</v>
      </c>
      <c r="AB312" s="13">
        <v>0</v>
      </c>
      <c r="AC312" s="13">
        <v>9</v>
      </c>
      <c r="AD312" s="13">
        <v>1</v>
      </c>
      <c r="AE312" s="13">
        <v>3</v>
      </c>
      <c r="AF312" s="14">
        <v>2</v>
      </c>
      <c r="AG312" s="13">
        <v>2</v>
      </c>
      <c r="AH312" s="13">
        <v>1</v>
      </c>
      <c r="AI312" s="13">
        <v>0</v>
      </c>
      <c r="AJ312" s="13" t="str">
        <f t="shared" si="4"/>
        <v>30-39</v>
      </c>
      <c r="AK312" s="13" t="str">
        <f>IF(tblCleanData[[#This Row],[MonthlyIncome]]&lt;5000, "Low Income", IF(tblCleanData[[#This Row],[MonthlyIncome]]&lt;15000, "Medium Income", "High Income"))</f>
        <v>Medium Income</v>
      </c>
      <c r="AL312" s="13">
        <f>IF(tblCleanData[[#This Row],[Attrition]]="No", 0,1)</f>
        <v>0</v>
      </c>
      <c r="AM312" s="13">
        <f>IF(tblCleanData[[#This Row],[OverTime]] = "No", 0, 1)</f>
        <v>0</v>
      </c>
      <c r="AN312" s="13" t="str">
        <f>CHOOSE(tblCleanData[[#This Row],[Education]], "Below College","College","Bachelor","Master","Doctor")</f>
        <v>Bachelor</v>
      </c>
      <c r="AO312" s="13" t="str">
        <f>VLOOKUP(tblCleanData[[#This Row],[EmployeeNumber]],tblHelpers[],15,TRUE)</f>
        <v>High Risk</v>
      </c>
      <c r="AP312" s="13">
        <f>VLOOKUP(tblCleanData[[#This Row],[EmployeeNumber]],tblHelpers[],14,0)</f>
        <v>75</v>
      </c>
    </row>
    <row r="313" spans="1:42" x14ac:dyDescent="0.25">
      <c r="A313" s="13">
        <v>45</v>
      </c>
      <c r="B313" s="13" t="s">
        <v>59</v>
      </c>
      <c r="C313" s="13" t="s">
        <v>60</v>
      </c>
      <c r="D313" s="13">
        <v>1249</v>
      </c>
      <c r="E313" s="13" t="s">
        <v>62</v>
      </c>
      <c r="F313" s="13">
        <v>7</v>
      </c>
      <c r="G313" s="13">
        <v>3</v>
      </c>
      <c r="H313" s="13" t="s">
        <v>42</v>
      </c>
      <c r="I313" s="13">
        <v>1</v>
      </c>
      <c r="J313" s="13">
        <v>425</v>
      </c>
      <c r="K313" s="13">
        <v>1</v>
      </c>
      <c r="L313" s="13" t="s">
        <v>63</v>
      </c>
      <c r="M313" s="13">
        <v>97</v>
      </c>
      <c r="N313" s="13">
        <v>3</v>
      </c>
      <c r="O313" s="13">
        <v>3</v>
      </c>
      <c r="P313" s="13" t="s">
        <v>76</v>
      </c>
      <c r="Q313" s="13">
        <v>1</v>
      </c>
      <c r="R313" s="13" t="s">
        <v>109</v>
      </c>
      <c r="S313" s="20">
        <v>5210</v>
      </c>
      <c r="T313" s="13">
        <v>20308</v>
      </c>
      <c r="U313" s="13">
        <v>1</v>
      </c>
      <c r="V313" s="13" t="s">
        <v>52</v>
      </c>
      <c r="W313" s="13" t="s">
        <v>59</v>
      </c>
      <c r="X313" s="13">
        <v>18</v>
      </c>
      <c r="Y313" s="13">
        <v>3</v>
      </c>
      <c r="Z313" s="13">
        <v>1</v>
      </c>
      <c r="AA313" s="13">
        <v>80</v>
      </c>
      <c r="AB313" s="13">
        <v>1</v>
      </c>
      <c r="AC313" s="13">
        <v>24</v>
      </c>
      <c r="AD313" s="13">
        <v>2</v>
      </c>
      <c r="AE313" s="13">
        <v>3</v>
      </c>
      <c r="AF313" s="14">
        <v>24</v>
      </c>
      <c r="AG313" s="13">
        <v>9</v>
      </c>
      <c r="AH313" s="13">
        <v>9</v>
      </c>
      <c r="AI313" s="13">
        <v>11</v>
      </c>
      <c r="AJ313" s="13" t="str">
        <f t="shared" si="4"/>
        <v>40-49</v>
      </c>
      <c r="AK313" s="13" t="str">
        <f>IF(tblCleanData[[#This Row],[MonthlyIncome]]&lt;5000, "Low Income", IF(tblCleanData[[#This Row],[MonthlyIncome]]&lt;15000, "Medium Income", "High Income"))</f>
        <v>Medium Income</v>
      </c>
      <c r="AL313" s="13">
        <f>IF(tblCleanData[[#This Row],[Attrition]]="No", 0,1)</f>
        <v>0</v>
      </c>
      <c r="AM313" s="13">
        <f>IF(tblCleanData[[#This Row],[OverTime]] = "No", 0, 1)</f>
        <v>0</v>
      </c>
      <c r="AN313" s="13" t="str">
        <f>CHOOSE(tblCleanData[[#This Row],[Education]], "Below College","College","Bachelor","Master","Doctor")</f>
        <v>Bachelor</v>
      </c>
      <c r="AO313" s="13" t="str">
        <f>VLOOKUP(tblCleanData[[#This Row],[EmployeeNumber]],tblHelpers[],15,TRUE)</f>
        <v>Medium Risk</v>
      </c>
      <c r="AP313" s="13">
        <f>VLOOKUP(tblCleanData[[#This Row],[EmployeeNumber]],tblHelpers[],14,0)</f>
        <v>43</v>
      </c>
    </row>
    <row r="314" spans="1:42" x14ac:dyDescent="0.25">
      <c r="A314" s="13">
        <v>31</v>
      </c>
      <c r="B314" s="13" t="s">
        <v>59</v>
      </c>
      <c r="C314" s="13" t="s">
        <v>37</v>
      </c>
      <c r="D314" s="13">
        <v>192</v>
      </c>
      <c r="E314" s="13" t="s">
        <v>62</v>
      </c>
      <c r="F314" s="13">
        <v>2</v>
      </c>
      <c r="G314" s="13">
        <v>4</v>
      </c>
      <c r="H314" s="13" t="s">
        <v>42</v>
      </c>
      <c r="I314" s="13">
        <v>1</v>
      </c>
      <c r="J314" s="13">
        <v>426</v>
      </c>
      <c r="K314" s="13">
        <v>3</v>
      </c>
      <c r="L314" s="13" t="s">
        <v>63</v>
      </c>
      <c r="M314" s="13">
        <v>32</v>
      </c>
      <c r="N314" s="13">
        <v>3</v>
      </c>
      <c r="O314" s="13">
        <v>1</v>
      </c>
      <c r="P314" s="13" t="s">
        <v>65</v>
      </c>
      <c r="Q314" s="13">
        <v>4</v>
      </c>
      <c r="R314" s="13" t="s">
        <v>109</v>
      </c>
      <c r="S314" s="20">
        <v>2695</v>
      </c>
      <c r="T314" s="13">
        <v>7747</v>
      </c>
      <c r="U314" s="13">
        <v>0</v>
      </c>
      <c r="V314" s="13" t="s">
        <v>52</v>
      </c>
      <c r="W314" s="13" t="s">
        <v>36</v>
      </c>
      <c r="X314" s="13">
        <v>18</v>
      </c>
      <c r="Y314" s="13">
        <v>3</v>
      </c>
      <c r="Z314" s="13">
        <v>2</v>
      </c>
      <c r="AA314" s="13">
        <v>80</v>
      </c>
      <c r="AB314" s="13">
        <v>1</v>
      </c>
      <c r="AC314" s="13">
        <v>3</v>
      </c>
      <c r="AD314" s="13">
        <v>2</v>
      </c>
      <c r="AE314" s="13">
        <v>1</v>
      </c>
      <c r="AF314" s="14">
        <v>2</v>
      </c>
      <c r="AG314" s="13">
        <v>2</v>
      </c>
      <c r="AH314" s="13">
        <v>2</v>
      </c>
      <c r="AI314" s="13">
        <v>2</v>
      </c>
      <c r="AJ314" s="13" t="str">
        <f t="shared" si="4"/>
        <v>30-39</v>
      </c>
      <c r="AK314" s="13" t="str">
        <f>IF(tblCleanData[[#This Row],[MonthlyIncome]]&lt;5000, "Low Income", IF(tblCleanData[[#This Row],[MonthlyIncome]]&lt;15000, "Medium Income", "High Income"))</f>
        <v>Low Income</v>
      </c>
      <c r="AL314" s="13">
        <f>IF(tblCleanData[[#This Row],[Attrition]]="No", 0,1)</f>
        <v>0</v>
      </c>
      <c r="AM314" s="13">
        <f>IF(tblCleanData[[#This Row],[OverTime]] = "No", 0, 1)</f>
        <v>1</v>
      </c>
      <c r="AN314" s="13" t="str">
        <f>CHOOSE(tblCleanData[[#This Row],[Education]], "Below College","College","Bachelor","Master","Doctor")</f>
        <v>Master</v>
      </c>
      <c r="AO314" s="13" t="str">
        <f>VLOOKUP(tblCleanData[[#This Row],[EmployeeNumber]],tblHelpers[],15,TRUE)</f>
        <v>High Risk</v>
      </c>
      <c r="AP314" s="13">
        <f>VLOOKUP(tblCleanData[[#This Row],[EmployeeNumber]],tblHelpers[],14,0)</f>
        <v>81</v>
      </c>
    </row>
    <row r="315" spans="1:42" x14ac:dyDescent="0.25">
      <c r="A315" s="13">
        <v>33</v>
      </c>
      <c r="B315" s="13" t="s">
        <v>59</v>
      </c>
      <c r="C315" s="13" t="s">
        <v>60</v>
      </c>
      <c r="D315" s="13">
        <v>553</v>
      </c>
      <c r="E315" s="13" t="s">
        <v>62</v>
      </c>
      <c r="F315" s="13">
        <v>5</v>
      </c>
      <c r="G315" s="13">
        <v>4</v>
      </c>
      <c r="H315" s="13" t="s">
        <v>42</v>
      </c>
      <c r="I315" s="13">
        <v>1</v>
      </c>
      <c r="J315" s="13">
        <v>428</v>
      </c>
      <c r="K315" s="13">
        <v>4</v>
      </c>
      <c r="L315" s="13" t="s">
        <v>43</v>
      </c>
      <c r="M315" s="13">
        <v>74</v>
      </c>
      <c r="N315" s="13">
        <v>3</v>
      </c>
      <c r="O315" s="13">
        <v>3</v>
      </c>
      <c r="P315" s="13" t="s">
        <v>169</v>
      </c>
      <c r="Q315" s="13">
        <v>2</v>
      </c>
      <c r="R315" s="13" t="s">
        <v>66</v>
      </c>
      <c r="S315" s="20">
        <v>11878</v>
      </c>
      <c r="T315" s="13">
        <v>23364</v>
      </c>
      <c r="U315" s="13">
        <v>6</v>
      </c>
      <c r="V315" s="13" t="s">
        <v>52</v>
      </c>
      <c r="W315" s="13" t="s">
        <v>59</v>
      </c>
      <c r="X315" s="13">
        <v>11</v>
      </c>
      <c r="Y315" s="13">
        <v>3</v>
      </c>
      <c r="Z315" s="13">
        <v>2</v>
      </c>
      <c r="AA315" s="13">
        <v>80</v>
      </c>
      <c r="AB315" s="13">
        <v>2</v>
      </c>
      <c r="AC315" s="13">
        <v>12</v>
      </c>
      <c r="AD315" s="13">
        <v>2</v>
      </c>
      <c r="AE315" s="13">
        <v>3</v>
      </c>
      <c r="AF315" s="14">
        <v>10</v>
      </c>
      <c r="AG315" s="13">
        <v>6</v>
      </c>
      <c r="AH315" s="13">
        <v>8</v>
      </c>
      <c r="AI315" s="13">
        <v>8</v>
      </c>
      <c r="AJ315" s="13" t="str">
        <f t="shared" si="4"/>
        <v>30-39</v>
      </c>
      <c r="AK315" s="13" t="str">
        <f>IF(tblCleanData[[#This Row],[MonthlyIncome]]&lt;5000, "Low Income", IF(tblCleanData[[#This Row],[MonthlyIncome]]&lt;15000, "Medium Income", "High Income"))</f>
        <v>Medium Income</v>
      </c>
      <c r="AL315" s="13">
        <f>IF(tblCleanData[[#This Row],[Attrition]]="No", 0,1)</f>
        <v>0</v>
      </c>
      <c r="AM315" s="13">
        <f>IF(tblCleanData[[#This Row],[OverTime]] = "No", 0, 1)</f>
        <v>0</v>
      </c>
      <c r="AN315" s="13" t="str">
        <f>CHOOSE(tblCleanData[[#This Row],[Education]], "Below College","College","Bachelor","Master","Doctor")</f>
        <v>Master</v>
      </c>
      <c r="AO315" s="13" t="str">
        <f>VLOOKUP(tblCleanData[[#This Row],[EmployeeNumber]],tblHelpers[],15,TRUE)</f>
        <v>Medium Risk</v>
      </c>
      <c r="AP315" s="13">
        <f>VLOOKUP(tblCleanData[[#This Row],[EmployeeNumber]],tblHelpers[],14,0)</f>
        <v>52</v>
      </c>
    </row>
    <row r="316" spans="1:42" x14ac:dyDescent="0.25">
      <c r="A316" s="13">
        <v>39</v>
      </c>
      <c r="B316" s="13" t="s">
        <v>59</v>
      </c>
      <c r="C316" s="13" t="s">
        <v>37</v>
      </c>
      <c r="D316" s="13">
        <v>117</v>
      </c>
      <c r="E316" s="13" t="s">
        <v>62</v>
      </c>
      <c r="F316" s="13">
        <v>10</v>
      </c>
      <c r="G316" s="13">
        <v>1</v>
      </c>
      <c r="H316" s="13" t="s">
        <v>87</v>
      </c>
      <c r="I316" s="13">
        <v>1</v>
      </c>
      <c r="J316" s="13">
        <v>429</v>
      </c>
      <c r="K316" s="13">
        <v>3</v>
      </c>
      <c r="L316" s="13" t="s">
        <v>63</v>
      </c>
      <c r="M316" s="13">
        <v>99</v>
      </c>
      <c r="N316" s="13">
        <v>3</v>
      </c>
      <c r="O316" s="13">
        <v>4</v>
      </c>
      <c r="P316" s="13" t="s">
        <v>169</v>
      </c>
      <c r="Q316" s="13">
        <v>1</v>
      </c>
      <c r="R316" s="13" t="s">
        <v>66</v>
      </c>
      <c r="S316" s="20">
        <v>17068</v>
      </c>
      <c r="T316" s="13">
        <v>5355</v>
      </c>
      <c r="U316" s="13">
        <v>1</v>
      </c>
      <c r="V316" s="13" t="s">
        <v>52</v>
      </c>
      <c r="W316" s="13" t="s">
        <v>36</v>
      </c>
      <c r="X316" s="13">
        <v>14</v>
      </c>
      <c r="Y316" s="13">
        <v>3</v>
      </c>
      <c r="Z316" s="13">
        <v>4</v>
      </c>
      <c r="AA316" s="13">
        <v>80</v>
      </c>
      <c r="AB316" s="13">
        <v>0</v>
      </c>
      <c r="AC316" s="13">
        <v>21</v>
      </c>
      <c r="AD316" s="13">
        <v>3</v>
      </c>
      <c r="AE316" s="13">
        <v>3</v>
      </c>
      <c r="AF316" s="14">
        <v>21</v>
      </c>
      <c r="AG316" s="13">
        <v>9</v>
      </c>
      <c r="AH316" s="13">
        <v>11</v>
      </c>
      <c r="AI316" s="13">
        <v>10</v>
      </c>
      <c r="AJ316" s="13" t="str">
        <f t="shared" si="4"/>
        <v>30-39</v>
      </c>
      <c r="AK316" s="13" t="str">
        <f>IF(tblCleanData[[#This Row],[MonthlyIncome]]&lt;5000, "Low Income", IF(tblCleanData[[#This Row],[MonthlyIncome]]&lt;15000, "Medium Income", "High Income"))</f>
        <v>High Income</v>
      </c>
      <c r="AL316" s="13">
        <f>IF(tblCleanData[[#This Row],[Attrition]]="No", 0,1)</f>
        <v>0</v>
      </c>
      <c r="AM316" s="13">
        <f>IF(tblCleanData[[#This Row],[OverTime]] = "No", 0, 1)</f>
        <v>1</v>
      </c>
      <c r="AN316" s="13" t="str">
        <f>CHOOSE(tblCleanData[[#This Row],[Education]], "Below College","College","Bachelor","Master","Doctor")</f>
        <v>Below College</v>
      </c>
      <c r="AO316" s="13" t="str">
        <f>VLOOKUP(tblCleanData[[#This Row],[EmployeeNumber]],tblHelpers[],15,TRUE)</f>
        <v>High Risk</v>
      </c>
      <c r="AP316" s="13">
        <f>VLOOKUP(tblCleanData[[#This Row],[EmployeeNumber]],tblHelpers[],14,0)</f>
        <v>78</v>
      </c>
    </row>
    <row r="317" spans="1:42" x14ac:dyDescent="0.25">
      <c r="A317" s="13">
        <v>43</v>
      </c>
      <c r="B317" s="13" t="s">
        <v>59</v>
      </c>
      <c r="C317" s="13" t="s">
        <v>60</v>
      </c>
      <c r="D317" s="13">
        <v>185</v>
      </c>
      <c r="E317" s="13" t="s">
        <v>62</v>
      </c>
      <c r="F317" s="13">
        <v>10</v>
      </c>
      <c r="G317" s="13">
        <v>4</v>
      </c>
      <c r="H317" s="13" t="s">
        <v>42</v>
      </c>
      <c r="I317" s="13">
        <v>1</v>
      </c>
      <c r="J317" s="13">
        <v>430</v>
      </c>
      <c r="K317" s="13">
        <v>3</v>
      </c>
      <c r="L317" s="13" t="s">
        <v>43</v>
      </c>
      <c r="M317" s="13">
        <v>33</v>
      </c>
      <c r="N317" s="13">
        <v>3</v>
      </c>
      <c r="O317" s="13">
        <v>1</v>
      </c>
      <c r="P317" s="13" t="s">
        <v>76</v>
      </c>
      <c r="Q317" s="13">
        <v>4</v>
      </c>
      <c r="R317" s="13" t="s">
        <v>48</v>
      </c>
      <c r="S317" s="20">
        <v>2455</v>
      </c>
      <c r="T317" s="13">
        <v>10675</v>
      </c>
      <c r="U317" s="13">
        <v>0</v>
      </c>
      <c r="V317" s="13" t="s">
        <v>52</v>
      </c>
      <c r="W317" s="13" t="s">
        <v>59</v>
      </c>
      <c r="X317" s="13">
        <v>19</v>
      </c>
      <c r="Y317" s="13">
        <v>3</v>
      </c>
      <c r="Z317" s="13">
        <v>1</v>
      </c>
      <c r="AA317" s="13">
        <v>80</v>
      </c>
      <c r="AB317" s="13">
        <v>0</v>
      </c>
      <c r="AC317" s="13">
        <v>9</v>
      </c>
      <c r="AD317" s="13">
        <v>5</v>
      </c>
      <c r="AE317" s="13">
        <v>3</v>
      </c>
      <c r="AF317" s="14">
        <v>8</v>
      </c>
      <c r="AG317" s="13">
        <v>7</v>
      </c>
      <c r="AH317" s="13">
        <v>1</v>
      </c>
      <c r="AI317" s="13">
        <v>7</v>
      </c>
      <c r="AJ317" s="13" t="str">
        <f t="shared" si="4"/>
        <v>40-49</v>
      </c>
      <c r="AK317" s="13" t="str">
        <f>IF(tblCleanData[[#This Row],[MonthlyIncome]]&lt;5000, "Low Income", IF(tblCleanData[[#This Row],[MonthlyIncome]]&lt;15000, "Medium Income", "High Income"))</f>
        <v>Low Income</v>
      </c>
      <c r="AL317" s="13">
        <f>IF(tblCleanData[[#This Row],[Attrition]]="No", 0,1)</f>
        <v>0</v>
      </c>
      <c r="AM317" s="13">
        <f>IF(tblCleanData[[#This Row],[OverTime]] = "No", 0, 1)</f>
        <v>0</v>
      </c>
      <c r="AN317" s="13" t="str">
        <f>CHOOSE(tblCleanData[[#This Row],[Education]], "Below College","College","Bachelor","Master","Doctor")</f>
        <v>Master</v>
      </c>
      <c r="AO317" s="13" t="str">
        <f>VLOOKUP(tblCleanData[[#This Row],[EmployeeNumber]],tblHelpers[],15,TRUE)</f>
        <v>Low Risk</v>
      </c>
      <c r="AP317" s="13">
        <f>VLOOKUP(tblCleanData[[#This Row],[EmployeeNumber]],tblHelpers[],14,0)</f>
        <v>29</v>
      </c>
    </row>
    <row r="318" spans="1:42" x14ac:dyDescent="0.25">
      <c r="A318" s="13">
        <v>49</v>
      </c>
      <c r="B318" s="13" t="s">
        <v>59</v>
      </c>
      <c r="C318" s="13" t="s">
        <v>37</v>
      </c>
      <c r="D318" s="13">
        <v>1091</v>
      </c>
      <c r="E318" s="13" t="s">
        <v>62</v>
      </c>
      <c r="F318" s="13">
        <v>1</v>
      </c>
      <c r="G318" s="13">
        <v>2</v>
      </c>
      <c r="H318" s="13" t="s">
        <v>228</v>
      </c>
      <c r="I318" s="13">
        <v>1</v>
      </c>
      <c r="J318" s="13">
        <v>431</v>
      </c>
      <c r="K318" s="13">
        <v>3</v>
      </c>
      <c r="L318" s="13" t="s">
        <v>43</v>
      </c>
      <c r="M318" s="13">
        <v>90</v>
      </c>
      <c r="N318" s="13">
        <v>2</v>
      </c>
      <c r="O318" s="13">
        <v>4</v>
      </c>
      <c r="P318" s="13" t="s">
        <v>122</v>
      </c>
      <c r="Q318" s="13">
        <v>3</v>
      </c>
      <c r="R318" s="13" t="s">
        <v>48</v>
      </c>
      <c r="S318" s="20">
        <v>13964</v>
      </c>
      <c r="T318" s="13">
        <v>17810</v>
      </c>
      <c r="U318" s="13">
        <v>7</v>
      </c>
      <c r="V318" s="13" t="s">
        <v>52</v>
      </c>
      <c r="W318" s="13" t="s">
        <v>36</v>
      </c>
      <c r="X318" s="13">
        <v>12</v>
      </c>
      <c r="Y318" s="13">
        <v>3</v>
      </c>
      <c r="Z318" s="13">
        <v>4</v>
      </c>
      <c r="AA318" s="13">
        <v>80</v>
      </c>
      <c r="AB318" s="13">
        <v>0</v>
      </c>
      <c r="AC318" s="13">
        <v>25</v>
      </c>
      <c r="AD318" s="13">
        <v>2</v>
      </c>
      <c r="AE318" s="13">
        <v>3</v>
      </c>
      <c r="AF318" s="14">
        <v>7</v>
      </c>
      <c r="AG318" s="13">
        <v>1</v>
      </c>
      <c r="AH318" s="13">
        <v>0</v>
      </c>
      <c r="AI318" s="13">
        <v>7</v>
      </c>
      <c r="AJ318" s="13" t="str">
        <f t="shared" si="4"/>
        <v>40-49</v>
      </c>
      <c r="AK318" s="13" t="str">
        <f>IF(tblCleanData[[#This Row],[MonthlyIncome]]&lt;5000, "Low Income", IF(tblCleanData[[#This Row],[MonthlyIncome]]&lt;15000, "Medium Income", "High Income"))</f>
        <v>Medium Income</v>
      </c>
      <c r="AL318" s="13">
        <f>IF(tblCleanData[[#This Row],[Attrition]]="No", 0,1)</f>
        <v>0</v>
      </c>
      <c r="AM318" s="13">
        <f>IF(tblCleanData[[#This Row],[OverTime]] = "No", 0, 1)</f>
        <v>1</v>
      </c>
      <c r="AN318" s="13" t="str">
        <f>CHOOSE(tblCleanData[[#This Row],[Education]], "Below College","College","Bachelor","Master","Doctor")</f>
        <v>College</v>
      </c>
      <c r="AO318" s="13" t="str">
        <f>VLOOKUP(tblCleanData[[#This Row],[EmployeeNumber]],tblHelpers[],15,TRUE)</f>
        <v>High Risk</v>
      </c>
      <c r="AP318" s="13">
        <f>VLOOKUP(tblCleanData[[#This Row],[EmployeeNumber]],tblHelpers[],14,0)</f>
        <v>61</v>
      </c>
    </row>
    <row r="319" spans="1:42" x14ac:dyDescent="0.25">
      <c r="A319" s="13">
        <v>52</v>
      </c>
      <c r="B319" s="13" t="s">
        <v>36</v>
      </c>
      <c r="C319" s="13" t="s">
        <v>37</v>
      </c>
      <c r="D319" s="13">
        <v>723</v>
      </c>
      <c r="E319" s="13" t="s">
        <v>62</v>
      </c>
      <c r="F319" s="13">
        <v>8</v>
      </c>
      <c r="G319" s="13">
        <v>4</v>
      </c>
      <c r="H319" s="13" t="s">
        <v>87</v>
      </c>
      <c r="I319" s="13">
        <v>1</v>
      </c>
      <c r="J319" s="13">
        <v>433</v>
      </c>
      <c r="K319" s="13">
        <v>3</v>
      </c>
      <c r="L319" s="13" t="s">
        <v>63</v>
      </c>
      <c r="M319" s="13">
        <v>85</v>
      </c>
      <c r="N319" s="13">
        <v>2</v>
      </c>
      <c r="O319" s="13">
        <v>2</v>
      </c>
      <c r="P319" s="13" t="s">
        <v>65</v>
      </c>
      <c r="Q319" s="13">
        <v>2</v>
      </c>
      <c r="R319" s="13" t="s">
        <v>66</v>
      </c>
      <c r="S319" s="20">
        <v>4941</v>
      </c>
      <c r="T319" s="13">
        <v>17747</v>
      </c>
      <c r="U319" s="13">
        <v>2</v>
      </c>
      <c r="V319" s="13" t="s">
        <v>52</v>
      </c>
      <c r="W319" s="13" t="s">
        <v>59</v>
      </c>
      <c r="X319" s="13">
        <v>15</v>
      </c>
      <c r="Y319" s="13">
        <v>3</v>
      </c>
      <c r="Z319" s="13">
        <v>1</v>
      </c>
      <c r="AA319" s="13">
        <v>80</v>
      </c>
      <c r="AB319" s="13">
        <v>0</v>
      </c>
      <c r="AC319" s="13">
        <v>11</v>
      </c>
      <c r="AD319" s="13">
        <v>3</v>
      </c>
      <c r="AE319" s="13">
        <v>2</v>
      </c>
      <c r="AF319" s="14">
        <v>8</v>
      </c>
      <c r="AG319" s="13">
        <v>2</v>
      </c>
      <c r="AH319" s="13">
        <v>7</v>
      </c>
      <c r="AI319" s="13">
        <v>7</v>
      </c>
      <c r="AJ319" s="13" t="str">
        <f t="shared" si="4"/>
        <v>50+</v>
      </c>
      <c r="AK319" s="13" t="str">
        <f>IF(tblCleanData[[#This Row],[MonthlyIncome]]&lt;5000, "Low Income", IF(tblCleanData[[#This Row],[MonthlyIncome]]&lt;15000, "Medium Income", "High Income"))</f>
        <v>Low Income</v>
      </c>
      <c r="AL319" s="13">
        <f>IF(tblCleanData[[#This Row],[Attrition]]="No", 0,1)</f>
        <v>1</v>
      </c>
      <c r="AM319" s="13">
        <f>IF(tblCleanData[[#This Row],[OverTime]] = "No", 0, 1)</f>
        <v>0</v>
      </c>
      <c r="AN319" s="13" t="str">
        <f>CHOOSE(tblCleanData[[#This Row],[Education]], "Below College","College","Bachelor","Master","Doctor")</f>
        <v>Master</v>
      </c>
      <c r="AO319" s="13" t="str">
        <f>VLOOKUP(tblCleanData[[#This Row],[EmployeeNumber]],tblHelpers[],15,TRUE)</f>
        <v>Medium Risk</v>
      </c>
      <c r="AP319" s="13">
        <f>VLOOKUP(tblCleanData[[#This Row],[EmployeeNumber]],tblHelpers[],14,0)</f>
        <v>47</v>
      </c>
    </row>
    <row r="320" spans="1:42" x14ac:dyDescent="0.25">
      <c r="A320" s="13">
        <v>27</v>
      </c>
      <c r="B320" s="13" t="s">
        <v>59</v>
      </c>
      <c r="C320" s="13" t="s">
        <v>37</v>
      </c>
      <c r="D320" s="13">
        <v>1220</v>
      </c>
      <c r="E320" s="13" t="s">
        <v>62</v>
      </c>
      <c r="F320" s="13">
        <v>5</v>
      </c>
      <c r="G320" s="13">
        <v>3</v>
      </c>
      <c r="H320" s="13" t="s">
        <v>42</v>
      </c>
      <c r="I320" s="13">
        <v>1</v>
      </c>
      <c r="J320" s="13">
        <v>434</v>
      </c>
      <c r="K320" s="13">
        <v>3</v>
      </c>
      <c r="L320" s="13" t="s">
        <v>43</v>
      </c>
      <c r="M320" s="13">
        <v>85</v>
      </c>
      <c r="N320" s="13">
        <v>3</v>
      </c>
      <c r="O320" s="13">
        <v>1</v>
      </c>
      <c r="P320" s="13" t="s">
        <v>65</v>
      </c>
      <c r="Q320" s="13">
        <v>2</v>
      </c>
      <c r="R320" s="13" t="s">
        <v>48</v>
      </c>
      <c r="S320" s="20">
        <v>2478</v>
      </c>
      <c r="T320" s="13">
        <v>20938</v>
      </c>
      <c r="U320" s="13">
        <v>1</v>
      </c>
      <c r="V320" s="13" t="s">
        <v>52</v>
      </c>
      <c r="W320" s="13" t="s">
        <v>36</v>
      </c>
      <c r="X320" s="13">
        <v>12</v>
      </c>
      <c r="Y320" s="13">
        <v>3</v>
      </c>
      <c r="Z320" s="13">
        <v>2</v>
      </c>
      <c r="AA320" s="13">
        <v>80</v>
      </c>
      <c r="AB320" s="13">
        <v>0</v>
      </c>
      <c r="AC320" s="13">
        <v>4</v>
      </c>
      <c r="AD320" s="13">
        <v>2</v>
      </c>
      <c r="AE320" s="13">
        <v>2</v>
      </c>
      <c r="AF320" s="14">
        <v>4</v>
      </c>
      <c r="AG320" s="13">
        <v>3</v>
      </c>
      <c r="AH320" s="13">
        <v>1</v>
      </c>
      <c r="AI320" s="13">
        <v>2</v>
      </c>
      <c r="AJ320" s="13" t="str">
        <f t="shared" si="4"/>
        <v>Under 30</v>
      </c>
      <c r="AK320" s="13" t="str">
        <f>IF(tblCleanData[[#This Row],[MonthlyIncome]]&lt;5000, "Low Income", IF(tblCleanData[[#This Row],[MonthlyIncome]]&lt;15000, "Medium Income", "High Income"))</f>
        <v>Low Income</v>
      </c>
      <c r="AL320" s="13">
        <f>IF(tblCleanData[[#This Row],[Attrition]]="No", 0,1)</f>
        <v>0</v>
      </c>
      <c r="AM320" s="13">
        <f>IF(tblCleanData[[#This Row],[OverTime]] = "No", 0, 1)</f>
        <v>1</v>
      </c>
      <c r="AN320" s="13" t="str">
        <f>CHOOSE(tblCleanData[[#This Row],[Education]], "Below College","College","Bachelor","Master","Doctor")</f>
        <v>Bachelor</v>
      </c>
      <c r="AO320" s="13" t="str">
        <f>VLOOKUP(tblCleanData[[#This Row],[EmployeeNumber]],tblHelpers[],15,TRUE)</f>
        <v>High Risk</v>
      </c>
      <c r="AP320" s="13">
        <f>VLOOKUP(tblCleanData[[#This Row],[EmployeeNumber]],tblHelpers[],14,0)</f>
        <v>94</v>
      </c>
    </row>
    <row r="321" spans="1:42" x14ac:dyDescent="0.25">
      <c r="A321" s="13">
        <v>32</v>
      </c>
      <c r="B321" s="13" t="s">
        <v>59</v>
      </c>
      <c r="C321" s="13" t="s">
        <v>37</v>
      </c>
      <c r="D321" s="13">
        <v>588</v>
      </c>
      <c r="E321" s="13" t="s">
        <v>39</v>
      </c>
      <c r="F321" s="13">
        <v>8</v>
      </c>
      <c r="G321" s="13">
        <v>2</v>
      </c>
      <c r="H321" s="13" t="s">
        <v>228</v>
      </c>
      <c r="I321" s="13">
        <v>1</v>
      </c>
      <c r="J321" s="13">
        <v>436</v>
      </c>
      <c r="K321" s="13">
        <v>3</v>
      </c>
      <c r="L321" s="13" t="s">
        <v>43</v>
      </c>
      <c r="M321" s="13">
        <v>65</v>
      </c>
      <c r="N321" s="13">
        <v>2</v>
      </c>
      <c r="O321" s="13">
        <v>2</v>
      </c>
      <c r="P321" s="13" t="s">
        <v>46</v>
      </c>
      <c r="Q321" s="13">
        <v>2</v>
      </c>
      <c r="R321" s="13" t="s">
        <v>66</v>
      </c>
      <c r="S321" s="20">
        <v>5228</v>
      </c>
      <c r="T321" s="13">
        <v>24624</v>
      </c>
      <c r="U321" s="13">
        <v>1</v>
      </c>
      <c r="V321" s="13" t="s">
        <v>52</v>
      </c>
      <c r="W321" s="13" t="s">
        <v>36</v>
      </c>
      <c r="X321" s="13">
        <v>11</v>
      </c>
      <c r="Y321" s="13">
        <v>3</v>
      </c>
      <c r="Z321" s="13">
        <v>4</v>
      </c>
      <c r="AA321" s="13">
        <v>80</v>
      </c>
      <c r="AB321" s="13">
        <v>0</v>
      </c>
      <c r="AC321" s="13">
        <v>13</v>
      </c>
      <c r="AD321" s="13">
        <v>2</v>
      </c>
      <c r="AE321" s="13">
        <v>3</v>
      </c>
      <c r="AF321" s="14">
        <v>13</v>
      </c>
      <c r="AG321" s="13">
        <v>12</v>
      </c>
      <c r="AH321" s="13">
        <v>11</v>
      </c>
      <c r="AI321" s="13">
        <v>9</v>
      </c>
      <c r="AJ321" s="13" t="str">
        <f t="shared" si="4"/>
        <v>30-39</v>
      </c>
      <c r="AK321" s="13" t="str">
        <f>IF(tblCleanData[[#This Row],[MonthlyIncome]]&lt;5000, "Low Income", IF(tblCleanData[[#This Row],[MonthlyIncome]]&lt;15000, "Medium Income", "High Income"))</f>
        <v>Medium Income</v>
      </c>
      <c r="AL321" s="13">
        <f>IF(tblCleanData[[#This Row],[Attrition]]="No", 0,1)</f>
        <v>0</v>
      </c>
      <c r="AM321" s="13">
        <f>IF(tblCleanData[[#This Row],[OverTime]] = "No", 0, 1)</f>
        <v>1</v>
      </c>
      <c r="AN321" s="13" t="str">
        <f>CHOOSE(tblCleanData[[#This Row],[Education]], "Below College","College","Bachelor","Master","Doctor")</f>
        <v>College</v>
      </c>
      <c r="AO321" s="13" t="str">
        <f>VLOOKUP(tblCleanData[[#This Row],[EmployeeNumber]],tblHelpers[],15,TRUE)</f>
        <v>High Risk</v>
      </c>
      <c r="AP321" s="13">
        <f>VLOOKUP(tblCleanData[[#This Row],[EmployeeNumber]],tblHelpers[],14,0)</f>
        <v>72</v>
      </c>
    </row>
    <row r="322" spans="1:42" x14ac:dyDescent="0.25">
      <c r="A322" s="13">
        <v>27</v>
      </c>
      <c r="B322" s="13" t="s">
        <v>59</v>
      </c>
      <c r="C322" s="13" t="s">
        <v>37</v>
      </c>
      <c r="D322" s="13">
        <v>1377</v>
      </c>
      <c r="E322" s="13" t="s">
        <v>39</v>
      </c>
      <c r="F322" s="13">
        <v>2</v>
      </c>
      <c r="G322" s="13">
        <v>3</v>
      </c>
      <c r="H322" s="13" t="s">
        <v>42</v>
      </c>
      <c r="I322" s="13">
        <v>1</v>
      </c>
      <c r="J322" s="13">
        <v>437</v>
      </c>
      <c r="K322" s="13">
        <v>4</v>
      </c>
      <c r="L322" s="13" t="s">
        <v>63</v>
      </c>
      <c r="M322" s="13">
        <v>74</v>
      </c>
      <c r="N322" s="13">
        <v>3</v>
      </c>
      <c r="O322" s="13">
        <v>2</v>
      </c>
      <c r="P322" s="13" t="s">
        <v>46</v>
      </c>
      <c r="Q322" s="13">
        <v>3</v>
      </c>
      <c r="R322" s="13" t="s">
        <v>48</v>
      </c>
      <c r="S322" s="20">
        <v>4478</v>
      </c>
      <c r="T322" s="13">
        <v>5242</v>
      </c>
      <c r="U322" s="13">
        <v>1</v>
      </c>
      <c r="V322" s="13" t="s">
        <v>52</v>
      </c>
      <c r="W322" s="13" t="s">
        <v>36</v>
      </c>
      <c r="X322" s="13">
        <v>11</v>
      </c>
      <c r="Y322" s="13">
        <v>3</v>
      </c>
      <c r="Z322" s="13">
        <v>1</v>
      </c>
      <c r="AA322" s="13">
        <v>80</v>
      </c>
      <c r="AB322" s="13">
        <v>0</v>
      </c>
      <c r="AC322" s="13">
        <v>5</v>
      </c>
      <c r="AD322" s="13">
        <v>3</v>
      </c>
      <c r="AE322" s="13">
        <v>3</v>
      </c>
      <c r="AF322" s="14">
        <v>5</v>
      </c>
      <c r="AG322" s="13">
        <v>4</v>
      </c>
      <c r="AH322" s="13">
        <v>0</v>
      </c>
      <c r="AI322" s="13">
        <v>4</v>
      </c>
      <c r="AJ322" s="13" t="str">
        <f t="shared" ref="AJ322:AJ385" si="5">IF(A322&lt;30,"Under 30", IF(A322&lt;40,"30-39", IF(A322&lt;50,"40-49", "50+")))</f>
        <v>Under 30</v>
      </c>
      <c r="AK322" s="13" t="str">
        <f>IF(tblCleanData[[#This Row],[MonthlyIncome]]&lt;5000, "Low Income", IF(tblCleanData[[#This Row],[MonthlyIncome]]&lt;15000, "Medium Income", "High Income"))</f>
        <v>Low Income</v>
      </c>
      <c r="AL322" s="13">
        <f>IF(tblCleanData[[#This Row],[Attrition]]="No", 0,1)</f>
        <v>0</v>
      </c>
      <c r="AM322" s="13">
        <f>IF(tblCleanData[[#This Row],[OverTime]] = "No", 0, 1)</f>
        <v>1</v>
      </c>
      <c r="AN322" s="13" t="str">
        <f>CHOOSE(tblCleanData[[#This Row],[Education]], "Below College","College","Bachelor","Master","Doctor")</f>
        <v>Bachelor</v>
      </c>
      <c r="AO322" s="13" t="str">
        <f>VLOOKUP(tblCleanData[[#This Row],[EmployeeNumber]],tblHelpers[],15,TRUE)</f>
        <v>High Risk</v>
      </c>
      <c r="AP322" s="13">
        <f>VLOOKUP(tblCleanData[[#This Row],[EmployeeNumber]],tblHelpers[],14,0)</f>
        <v>88</v>
      </c>
    </row>
    <row r="323" spans="1:42" x14ac:dyDescent="0.25">
      <c r="A323" s="13">
        <v>31</v>
      </c>
      <c r="B323" s="13" t="s">
        <v>59</v>
      </c>
      <c r="C323" s="13" t="s">
        <v>37</v>
      </c>
      <c r="D323" s="13">
        <v>691</v>
      </c>
      <c r="E323" s="13" t="s">
        <v>39</v>
      </c>
      <c r="F323" s="13">
        <v>7</v>
      </c>
      <c r="G323" s="13">
        <v>3</v>
      </c>
      <c r="H323" s="13" t="s">
        <v>206</v>
      </c>
      <c r="I323" s="13">
        <v>1</v>
      </c>
      <c r="J323" s="13">
        <v>438</v>
      </c>
      <c r="K323" s="13">
        <v>4</v>
      </c>
      <c r="L323" s="13" t="s">
        <v>63</v>
      </c>
      <c r="M323" s="13">
        <v>73</v>
      </c>
      <c r="N323" s="13">
        <v>3</v>
      </c>
      <c r="O323" s="13">
        <v>2</v>
      </c>
      <c r="P323" s="13" t="s">
        <v>46</v>
      </c>
      <c r="Q323" s="13">
        <v>4</v>
      </c>
      <c r="R323" s="13" t="s">
        <v>109</v>
      </c>
      <c r="S323" s="20">
        <v>7547</v>
      </c>
      <c r="T323" s="13">
        <v>7143</v>
      </c>
      <c r="U323" s="13">
        <v>4</v>
      </c>
      <c r="V323" s="13" t="s">
        <v>52</v>
      </c>
      <c r="W323" s="13" t="s">
        <v>59</v>
      </c>
      <c r="X323" s="13">
        <v>12</v>
      </c>
      <c r="Y323" s="13">
        <v>3</v>
      </c>
      <c r="Z323" s="13">
        <v>4</v>
      </c>
      <c r="AA323" s="13">
        <v>80</v>
      </c>
      <c r="AB323" s="13">
        <v>3</v>
      </c>
      <c r="AC323" s="13">
        <v>13</v>
      </c>
      <c r="AD323" s="13">
        <v>3</v>
      </c>
      <c r="AE323" s="13">
        <v>3</v>
      </c>
      <c r="AF323" s="14">
        <v>7</v>
      </c>
      <c r="AG323" s="13">
        <v>7</v>
      </c>
      <c r="AH323" s="13">
        <v>1</v>
      </c>
      <c r="AI323" s="13">
        <v>7</v>
      </c>
      <c r="AJ323" s="13" t="str">
        <f t="shared" si="5"/>
        <v>30-39</v>
      </c>
      <c r="AK323" s="13" t="str">
        <f>IF(tblCleanData[[#This Row],[MonthlyIncome]]&lt;5000, "Low Income", IF(tblCleanData[[#This Row],[MonthlyIncome]]&lt;15000, "Medium Income", "High Income"))</f>
        <v>Medium Income</v>
      </c>
      <c r="AL323" s="13">
        <f>IF(tblCleanData[[#This Row],[Attrition]]="No", 0,1)</f>
        <v>0</v>
      </c>
      <c r="AM323" s="13">
        <f>IF(tblCleanData[[#This Row],[OverTime]] = "No", 0, 1)</f>
        <v>0</v>
      </c>
      <c r="AN323" s="13" t="str">
        <f>CHOOSE(tblCleanData[[#This Row],[Education]], "Below College","College","Bachelor","Master","Doctor")</f>
        <v>Bachelor</v>
      </c>
      <c r="AO323" s="13" t="str">
        <f>VLOOKUP(tblCleanData[[#This Row],[EmployeeNumber]],tblHelpers[],15,TRUE)</f>
        <v>Medium Risk</v>
      </c>
      <c r="AP323" s="13">
        <f>VLOOKUP(tblCleanData[[#This Row],[EmployeeNumber]],tblHelpers[],14,0)</f>
        <v>39</v>
      </c>
    </row>
    <row r="324" spans="1:42" x14ac:dyDescent="0.25">
      <c r="A324" s="13">
        <v>32</v>
      </c>
      <c r="B324" s="13" t="s">
        <v>59</v>
      </c>
      <c r="C324" s="13" t="s">
        <v>37</v>
      </c>
      <c r="D324" s="13">
        <v>1018</v>
      </c>
      <c r="E324" s="13" t="s">
        <v>62</v>
      </c>
      <c r="F324" s="13">
        <v>2</v>
      </c>
      <c r="G324" s="13">
        <v>4</v>
      </c>
      <c r="H324" s="13" t="s">
        <v>87</v>
      </c>
      <c r="I324" s="13">
        <v>1</v>
      </c>
      <c r="J324" s="13">
        <v>439</v>
      </c>
      <c r="K324" s="13">
        <v>1</v>
      </c>
      <c r="L324" s="13" t="s">
        <v>43</v>
      </c>
      <c r="M324" s="13">
        <v>74</v>
      </c>
      <c r="N324" s="13">
        <v>4</v>
      </c>
      <c r="O324" s="13">
        <v>2</v>
      </c>
      <c r="P324" s="13" t="s">
        <v>65</v>
      </c>
      <c r="Q324" s="13">
        <v>4</v>
      </c>
      <c r="R324" s="13" t="s">
        <v>48</v>
      </c>
      <c r="S324" s="20">
        <v>5055</v>
      </c>
      <c r="T324" s="13">
        <v>10557</v>
      </c>
      <c r="U324" s="13">
        <v>7</v>
      </c>
      <c r="V324" s="13" t="s">
        <v>52</v>
      </c>
      <c r="W324" s="13" t="s">
        <v>59</v>
      </c>
      <c r="X324" s="13">
        <v>16</v>
      </c>
      <c r="Y324" s="13">
        <v>3</v>
      </c>
      <c r="Z324" s="13">
        <v>3</v>
      </c>
      <c r="AA324" s="13">
        <v>80</v>
      </c>
      <c r="AB324" s="13">
        <v>0</v>
      </c>
      <c r="AC324" s="13">
        <v>10</v>
      </c>
      <c r="AD324" s="13">
        <v>0</v>
      </c>
      <c r="AE324" s="13">
        <v>2</v>
      </c>
      <c r="AF324" s="14">
        <v>7</v>
      </c>
      <c r="AG324" s="13">
        <v>7</v>
      </c>
      <c r="AH324" s="13">
        <v>0</v>
      </c>
      <c r="AI324" s="13">
        <v>7</v>
      </c>
      <c r="AJ324" s="13" t="str">
        <f t="shared" si="5"/>
        <v>30-39</v>
      </c>
      <c r="AK324" s="13" t="str">
        <f>IF(tblCleanData[[#This Row],[MonthlyIncome]]&lt;5000, "Low Income", IF(tblCleanData[[#This Row],[MonthlyIncome]]&lt;15000, "Medium Income", "High Income"))</f>
        <v>Medium Income</v>
      </c>
      <c r="AL324" s="13">
        <f>IF(tblCleanData[[#This Row],[Attrition]]="No", 0,1)</f>
        <v>0</v>
      </c>
      <c r="AM324" s="13">
        <f>IF(tblCleanData[[#This Row],[OverTime]] = "No", 0, 1)</f>
        <v>0</v>
      </c>
      <c r="AN324" s="13" t="str">
        <f>CHOOSE(tblCleanData[[#This Row],[Education]], "Below College","College","Bachelor","Master","Doctor")</f>
        <v>Master</v>
      </c>
      <c r="AO324" s="13" t="str">
        <f>VLOOKUP(tblCleanData[[#This Row],[EmployeeNumber]],tblHelpers[],15,TRUE)</f>
        <v>Medium Risk</v>
      </c>
      <c r="AP324" s="13">
        <f>VLOOKUP(tblCleanData[[#This Row],[EmployeeNumber]],tblHelpers[],14,0)</f>
        <v>39</v>
      </c>
    </row>
    <row r="325" spans="1:42" x14ac:dyDescent="0.25">
      <c r="A325" s="13">
        <v>28</v>
      </c>
      <c r="B325" s="13" t="s">
        <v>36</v>
      </c>
      <c r="C325" s="13" t="s">
        <v>37</v>
      </c>
      <c r="D325" s="13">
        <v>1157</v>
      </c>
      <c r="E325" s="13" t="s">
        <v>62</v>
      </c>
      <c r="F325" s="13">
        <v>2</v>
      </c>
      <c r="G325" s="13">
        <v>4</v>
      </c>
      <c r="H325" s="13" t="s">
        <v>87</v>
      </c>
      <c r="I325" s="13">
        <v>1</v>
      </c>
      <c r="J325" s="13">
        <v>440</v>
      </c>
      <c r="K325" s="13">
        <v>1</v>
      </c>
      <c r="L325" s="13" t="s">
        <v>63</v>
      </c>
      <c r="M325" s="13">
        <v>84</v>
      </c>
      <c r="N325" s="13">
        <v>1</v>
      </c>
      <c r="O325" s="13">
        <v>1</v>
      </c>
      <c r="P325" s="13" t="s">
        <v>65</v>
      </c>
      <c r="Q325" s="13">
        <v>4</v>
      </c>
      <c r="R325" s="13" t="s">
        <v>66</v>
      </c>
      <c r="S325" s="20">
        <v>3464</v>
      </c>
      <c r="T325" s="13">
        <v>24737</v>
      </c>
      <c r="U325" s="13">
        <v>5</v>
      </c>
      <c r="V325" s="13" t="s">
        <v>52</v>
      </c>
      <c r="W325" s="13" t="s">
        <v>36</v>
      </c>
      <c r="X325" s="13">
        <v>13</v>
      </c>
      <c r="Y325" s="13">
        <v>3</v>
      </c>
      <c r="Z325" s="13">
        <v>4</v>
      </c>
      <c r="AA325" s="13">
        <v>80</v>
      </c>
      <c r="AB325" s="13">
        <v>0</v>
      </c>
      <c r="AC325" s="13">
        <v>5</v>
      </c>
      <c r="AD325" s="13">
        <v>4</v>
      </c>
      <c r="AE325" s="13">
        <v>2</v>
      </c>
      <c r="AF325" s="14">
        <v>3</v>
      </c>
      <c r="AG325" s="13">
        <v>2</v>
      </c>
      <c r="AH325" s="13">
        <v>2</v>
      </c>
      <c r="AI325" s="13">
        <v>2</v>
      </c>
      <c r="AJ325" s="13" t="str">
        <f t="shared" si="5"/>
        <v>Under 30</v>
      </c>
      <c r="AK325" s="13" t="str">
        <f>IF(tblCleanData[[#This Row],[MonthlyIncome]]&lt;5000, "Low Income", IF(tblCleanData[[#This Row],[MonthlyIncome]]&lt;15000, "Medium Income", "High Income"))</f>
        <v>Low Income</v>
      </c>
      <c r="AL325" s="13">
        <f>IF(tblCleanData[[#This Row],[Attrition]]="No", 0,1)</f>
        <v>1</v>
      </c>
      <c r="AM325" s="13">
        <f>IF(tblCleanData[[#This Row],[OverTime]] = "No", 0, 1)</f>
        <v>1</v>
      </c>
      <c r="AN325" s="13" t="str">
        <f>CHOOSE(tblCleanData[[#This Row],[Education]], "Below College","College","Bachelor","Master","Doctor")</f>
        <v>Master</v>
      </c>
      <c r="AO325" s="13" t="str">
        <f>VLOOKUP(tblCleanData[[#This Row],[EmployeeNumber]],tblHelpers[],15,TRUE)</f>
        <v>High Risk</v>
      </c>
      <c r="AP325" s="13">
        <f>VLOOKUP(tblCleanData[[#This Row],[EmployeeNumber]],tblHelpers[],14,0)</f>
        <v>81</v>
      </c>
    </row>
    <row r="326" spans="1:42" x14ac:dyDescent="0.25">
      <c r="A326" s="13">
        <v>30</v>
      </c>
      <c r="B326" s="13" t="s">
        <v>59</v>
      </c>
      <c r="C326" s="13" t="s">
        <v>37</v>
      </c>
      <c r="D326" s="13">
        <v>1275</v>
      </c>
      <c r="E326" s="13" t="s">
        <v>62</v>
      </c>
      <c r="F326" s="13">
        <v>28</v>
      </c>
      <c r="G326" s="13">
        <v>2</v>
      </c>
      <c r="H326" s="13" t="s">
        <v>87</v>
      </c>
      <c r="I326" s="13">
        <v>1</v>
      </c>
      <c r="J326" s="13">
        <v>441</v>
      </c>
      <c r="K326" s="13">
        <v>4</v>
      </c>
      <c r="L326" s="13" t="s">
        <v>43</v>
      </c>
      <c r="M326" s="13">
        <v>64</v>
      </c>
      <c r="N326" s="13">
        <v>3</v>
      </c>
      <c r="O326" s="13">
        <v>2</v>
      </c>
      <c r="P326" s="13" t="s">
        <v>65</v>
      </c>
      <c r="Q326" s="13">
        <v>4</v>
      </c>
      <c r="R326" s="13" t="s">
        <v>66</v>
      </c>
      <c r="S326" s="20">
        <v>5775</v>
      </c>
      <c r="T326" s="13">
        <v>11934</v>
      </c>
      <c r="U326" s="13">
        <v>1</v>
      </c>
      <c r="V326" s="13" t="s">
        <v>52</v>
      </c>
      <c r="W326" s="13" t="s">
        <v>59</v>
      </c>
      <c r="X326" s="13">
        <v>13</v>
      </c>
      <c r="Y326" s="13">
        <v>3</v>
      </c>
      <c r="Z326" s="13">
        <v>4</v>
      </c>
      <c r="AA326" s="13">
        <v>80</v>
      </c>
      <c r="AB326" s="13">
        <v>2</v>
      </c>
      <c r="AC326" s="13">
        <v>11</v>
      </c>
      <c r="AD326" s="13">
        <v>2</v>
      </c>
      <c r="AE326" s="13">
        <v>3</v>
      </c>
      <c r="AF326" s="14">
        <v>10</v>
      </c>
      <c r="AG326" s="13">
        <v>8</v>
      </c>
      <c r="AH326" s="13">
        <v>1</v>
      </c>
      <c r="AI326" s="13">
        <v>9</v>
      </c>
      <c r="AJ326" s="13" t="str">
        <f t="shared" si="5"/>
        <v>30-39</v>
      </c>
      <c r="AK326" s="13" t="str">
        <f>IF(tblCleanData[[#This Row],[MonthlyIncome]]&lt;5000, "Low Income", IF(tblCleanData[[#This Row],[MonthlyIncome]]&lt;15000, "Medium Income", "High Income"))</f>
        <v>Medium Income</v>
      </c>
      <c r="AL326" s="13">
        <f>IF(tblCleanData[[#This Row],[Attrition]]="No", 0,1)</f>
        <v>0</v>
      </c>
      <c r="AM326" s="13">
        <f>IF(tblCleanData[[#This Row],[OverTime]] = "No", 0, 1)</f>
        <v>0</v>
      </c>
      <c r="AN326" s="13" t="str">
        <f>CHOOSE(tblCleanData[[#This Row],[Education]], "Below College","College","Bachelor","Master","Doctor")</f>
        <v>College</v>
      </c>
      <c r="AO326" s="13" t="str">
        <f>VLOOKUP(tblCleanData[[#This Row],[EmployeeNumber]],tblHelpers[],15,TRUE)</f>
        <v>Medium Risk</v>
      </c>
      <c r="AP326" s="13">
        <f>VLOOKUP(tblCleanData[[#This Row],[EmployeeNumber]],tblHelpers[],14,0)</f>
        <v>39</v>
      </c>
    </row>
    <row r="327" spans="1:42" x14ac:dyDescent="0.25">
      <c r="A327" s="13">
        <v>31</v>
      </c>
      <c r="B327" s="13" t="s">
        <v>59</v>
      </c>
      <c r="C327" s="13" t="s">
        <v>60</v>
      </c>
      <c r="D327" s="13">
        <v>798</v>
      </c>
      <c r="E327" s="13" t="s">
        <v>62</v>
      </c>
      <c r="F327" s="13">
        <v>7</v>
      </c>
      <c r="G327" s="13">
        <v>2</v>
      </c>
      <c r="H327" s="13" t="s">
        <v>42</v>
      </c>
      <c r="I327" s="13">
        <v>1</v>
      </c>
      <c r="J327" s="13">
        <v>442</v>
      </c>
      <c r="K327" s="13">
        <v>3</v>
      </c>
      <c r="L327" s="13" t="s">
        <v>43</v>
      </c>
      <c r="M327" s="13">
        <v>48</v>
      </c>
      <c r="N327" s="13">
        <v>2</v>
      </c>
      <c r="O327" s="13">
        <v>3</v>
      </c>
      <c r="P327" s="13" t="s">
        <v>116</v>
      </c>
      <c r="Q327" s="13">
        <v>3</v>
      </c>
      <c r="R327" s="13" t="s">
        <v>66</v>
      </c>
      <c r="S327" s="20">
        <v>8943</v>
      </c>
      <c r="T327" s="13">
        <v>14034</v>
      </c>
      <c r="U327" s="13">
        <v>1</v>
      </c>
      <c r="V327" s="13" t="s">
        <v>52</v>
      </c>
      <c r="W327" s="13" t="s">
        <v>59</v>
      </c>
      <c r="X327" s="13">
        <v>24</v>
      </c>
      <c r="Y327" s="13">
        <v>4</v>
      </c>
      <c r="Z327" s="13">
        <v>1</v>
      </c>
      <c r="AA327" s="13">
        <v>80</v>
      </c>
      <c r="AB327" s="13">
        <v>1</v>
      </c>
      <c r="AC327" s="13">
        <v>10</v>
      </c>
      <c r="AD327" s="13">
        <v>2</v>
      </c>
      <c r="AE327" s="13">
        <v>3</v>
      </c>
      <c r="AF327" s="14">
        <v>10</v>
      </c>
      <c r="AG327" s="13">
        <v>9</v>
      </c>
      <c r="AH327" s="13">
        <v>8</v>
      </c>
      <c r="AI327" s="13">
        <v>9</v>
      </c>
      <c r="AJ327" s="13" t="str">
        <f t="shared" si="5"/>
        <v>30-39</v>
      </c>
      <c r="AK327" s="13" t="str">
        <f>IF(tblCleanData[[#This Row],[MonthlyIncome]]&lt;5000, "Low Income", IF(tblCleanData[[#This Row],[MonthlyIncome]]&lt;15000, "Medium Income", "High Income"))</f>
        <v>Medium Income</v>
      </c>
      <c r="AL327" s="13">
        <f>IF(tblCleanData[[#This Row],[Attrition]]="No", 0,1)</f>
        <v>0</v>
      </c>
      <c r="AM327" s="13">
        <f>IF(tblCleanData[[#This Row],[OverTime]] = "No", 0, 1)</f>
        <v>0</v>
      </c>
      <c r="AN327" s="13" t="str">
        <f>CHOOSE(tblCleanData[[#This Row],[Education]], "Below College","College","Bachelor","Master","Doctor")</f>
        <v>College</v>
      </c>
      <c r="AO327" s="13" t="str">
        <f>VLOOKUP(tblCleanData[[#This Row],[EmployeeNumber]],tblHelpers[],15,TRUE)</f>
        <v>Medium Risk</v>
      </c>
      <c r="AP327" s="13">
        <f>VLOOKUP(tblCleanData[[#This Row],[EmployeeNumber]],tblHelpers[],14,0)</f>
        <v>46</v>
      </c>
    </row>
    <row r="328" spans="1:42" x14ac:dyDescent="0.25">
      <c r="A328" s="13">
        <v>39</v>
      </c>
      <c r="B328" s="13" t="s">
        <v>59</v>
      </c>
      <c r="C328" s="13" t="s">
        <v>60</v>
      </c>
      <c r="D328" s="13">
        <v>672</v>
      </c>
      <c r="E328" s="13" t="s">
        <v>62</v>
      </c>
      <c r="F328" s="13">
        <v>7</v>
      </c>
      <c r="G328" s="13">
        <v>2</v>
      </c>
      <c r="H328" s="13" t="s">
        <v>87</v>
      </c>
      <c r="I328" s="13">
        <v>1</v>
      </c>
      <c r="J328" s="13">
        <v>444</v>
      </c>
      <c r="K328" s="13">
        <v>3</v>
      </c>
      <c r="L328" s="13" t="s">
        <v>63</v>
      </c>
      <c r="M328" s="13">
        <v>54</v>
      </c>
      <c r="N328" s="13">
        <v>2</v>
      </c>
      <c r="O328" s="13">
        <v>5</v>
      </c>
      <c r="P328" s="13" t="s">
        <v>169</v>
      </c>
      <c r="Q328" s="13">
        <v>4</v>
      </c>
      <c r="R328" s="13" t="s">
        <v>66</v>
      </c>
      <c r="S328" s="20">
        <v>19272</v>
      </c>
      <c r="T328" s="13">
        <v>21141</v>
      </c>
      <c r="U328" s="13">
        <v>1</v>
      </c>
      <c r="V328" s="13" t="s">
        <v>52</v>
      </c>
      <c r="W328" s="13" t="s">
        <v>59</v>
      </c>
      <c r="X328" s="13">
        <v>15</v>
      </c>
      <c r="Y328" s="13">
        <v>3</v>
      </c>
      <c r="Z328" s="13">
        <v>1</v>
      </c>
      <c r="AA328" s="13">
        <v>80</v>
      </c>
      <c r="AB328" s="13">
        <v>1</v>
      </c>
      <c r="AC328" s="13">
        <v>21</v>
      </c>
      <c r="AD328" s="13">
        <v>2</v>
      </c>
      <c r="AE328" s="13">
        <v>3</v>
      </c>
      <c r="AF328" s="14">
        <v>21</v>
      </c>
      <c r="AG328" s="13">
        <v>9</v>
      </c>
      <c r="AH328" s="13">
        <v>13</v>
      </c>
      <c r="AI328" s="13">
        <v>3</v>
      </c>
      <c r="AJ328" s="13" t="str">
        <f t="shared" si="5"/>
        <v>30-39</v>
      </c>
      <c r="AK328" s="13" t="str">
        <f>IF(tblCleanData[[#This Row],[MonthlyIncome]]&lt;5000, "Low Income", IF(tblCleanData[[#This Row],[MonthlyIncome]]&lt;15000, "Medium Income", "High Income"))</f>
        <v>High Income</v>
      </c>
      <c r="AL328" s="13">
        <f>IF(tblCleanData[[#This Row],[Attrition]]="No", 0,1)</f>
        <v>0</v>
      </c>
      <c r="AM328" s="13">
        <f>IF(tblCleanData[[#This Row],[OverTime]] = "No", 0, 1)</f>
        <v>0</v>
      </c>
      <c r="AN328" s="13" t="str">
        <f>CHOOSE(tblCleanData[[#This Row],[Education]], "Below College","College","Bachelor","Master","Doctor")</f>
        <v>College</v>
      </c>
      <c r="AO328" s="13" t="str">
        <f>VLOOKUP(tblCleanData[[#This Row],[EmployeeNumber]],tblHelpers[],15,TRUE)</f>
        <v>Low Risk</v>
      </c>
      <c r="AP328" s="13">
        <f>VLOOKUP(tblCleanData[[#This Row],[EmployeeNumber]],tblHelpers[],14,0)</f>
        <v>34</v>
      </c>
    </row>
    <row r="329" spans="1:42" x14ac:dyDescent="0.25">
      <c r="A329" s="13">
        <v>39</v>
      </c>
      <c r="B329" s="13" t="s">
        <v>36</v>
      </c>
      <c r="C329" s="13" t="s">
        <v>37</v>
      </c>
      <c r="D329" s="13">
        <v>1162</v>
      </c>
      <c r="E329" s="13" t="s">
        <v>39</v>
      </c>
      <c r="F329" s="13">
        <v>3</v>
      </c>
      <c r="G329" s="13">
        <v>2</v>
      </c>
      <c r="H329" s="13" t="s">
        <v>87</v>
      </c>
      <c r="I329" s="13">
        <v>1</v>
      </c>
      <c r="J329" s="13">
        <v>445</v>
      </c>
      <c r="K329" s="13">
        <v>4</v>
      </c>
      <c r="L329" s="13" t="s">
        <v>43</v>
      </c>
      <c r="M329" s="13">
        <v>41</v>
      </c>
      <c r="N329" s="13">
        <v>3</v>
      </c>
      <c r="O329" s="13">
        <v>2</v>
      </c>
      <c r="P329" s="13" t="s">
        <v>46</v>
      </c>
      <c r="Q329" s="13">
        <v>3</v>
      </c>
      <c r="R329" s="13" t="s">
        <v>66</v>
      </c>
      <c r="S329" s="20">
        <v>5238</v>
      </c>
      <c r="T329" s="13">
        <v>17778</v>
      </c>
      <c r="U329" s="13">
        <v>4</v>
      </c>
      <c r="V329" s="13" t="s">
        <v>52</v>
      </c>
      <c r="W329" s="13" t="s">
        <v>36</v>
      </c>
      <c r="X329" s="13">
        <v>18</v>
      </c>
      <c r="Y329" s="13">
        <v>3</v>
      </c>
      <c r="Z329" s="13">
        <v>1</v>
      </c>
      <c r="AA329" s="13">
        <v>80</v>
      </c>
      <c r="AB329" s="13">
        <v>0</v>
      </c>
      <c r="AC329" s="13">
        <v>12</v>
      </c>
      <c r="AD329" s="13">
        <v>3</v>
      </c>
      <c r="AE329" s="13">
        <v>2</v>
      </c>
      <c r="AF329" s="14">
        <v>1</v>
      </c>
      <c r="AG329" s="13">
        <v>0</v>
      </c>
      <c r="AH329" s="13">
        <v>0</v>
      </c>
      <c r="AI329" s="13">
        <v>0</v>
      </c>
      <c r="AJ329" s="13" t="str">
        <f t="shared" si="5"/>
        <v>30-39</v>
      </c>
      <c r="AK329" s="13" t="str">
        <f>IF(tblCleanData[[#This Row],[MonthlyIncome]]&lt;5000, "Low Income", IF(tblCleanData[[#This Row],[MonthlyIncome]]&lt;15000, "Medium Income", "High Income"))</f>
        <v>Medium Income</v>
      </c>
      <c r="AL329" s="13">
        <f>IF(tblCleanData[[#This Row],[Attrition]]="No", 0,1)</f>
        <v>1</v>
      </c>
      <c r="AM329" s="13">
        <f>IF(tblCleanData[[#This Row],[OverTime]] = "No", 0, 1)</f>
        <v>1</v>
      </c>
      <c r="AN329" s="13" t="str">
        <f>CHOOSE(tblCleanData[[#This Row],[Education]], "Below College","College","Bachelor","Master","Doctor")</f>
        <v>College</v>
      </c>
      <c r="AO329" s="13" t="str">
        <f>VLOOKUP(tblCleanData[[#This Row],[EmployeeNumber]],tblHelpers[],15,TRUE)</f>
        <v>High Risk</v>
      </c>
      <c r="AP329" s="13">
        <f>VLOOKUP(tblCleanData[[#This Row],[EmployeeNumber]],tblHelpers[],14,0)</f>
        <v>88</v>
      </c>
    </row>
    <row r="330" spans="1:42" x14ac:dyDescent="0.25">
      <c r="A330" s="13">
        <v>33</v>
      </c>
      <c r="B330" s="13" t="s">
        <v>59</v>
      </c>
      <c r="C330" s="13" t="s">
        <v>60</v>
      </c>
      <c r="D330" s="13">
        <v>508</v>
      </c>
      <c r="E330" s="13" t="s">
        <v>39</v>
      </c>
      <c r="F330" s="13">
        <v>10</v>
      </c>
      <c r="G330" s="13">
        <v>3</v>
      </c>
      <c r="H330" s="13" t="s">
        <v>206</v>
      </c>
      <c r="I330" s="13">
        <v>1</v>
      </c>
      <c r="J330" s="13">
        <v>446</v>
      </c>
      <c r="K330" s="13">
        <v>2</v>
      </c>
      <c r="L330" s="13" t="s">
        <v>63</v>
      </c>
      <c r="M330" s="13">
        <v>46</v>
      </c>
      <c r="N330" s="13">
        <v>2</v>
      </c>
      <c r="O330" s="13">
        <v>2</v>
      </c>
      <c r="P330" s="13" t="s">
        <v>46</v>
      </c>
      <c r="Q330" s="13">
        <v>4</v>
      </c>
      <c r="R330" s="13" t="s">
        <v>48</v>
      </c>
      <c r="S330" s="20">
        <v>4682</v>
      </c>
      <c r="T330" s="13">
        <v>4317</v>
      </c>
      <c r="U330" s="13">
        <v>3</v>
      </c>
      <c r="V330" s="13" t="s">
        <v>52</v>
      </c>
      <c r="W330" s="13" t="s">
        <v>59</v>
      </c>
      <c r="X330" s="13">
        <v>14</v>
      </c>
      <c r="Y330" s="13">
        <v>3</v>
      </c>
      <c r="Z330" s="13">
        <v>3</v>
      </c>
      <c r="AA330" s="13">
        <v>80</v>
      </c>
      <c r="AB330" s="13">
        <v>0</v>
      </c>
      <c r="AC330" s="13">
        <v>9</v>
      </c>
      <c r="AD330" s="13">
        <v>6</v>
      </c>
      <c r="AE330" s="13">
        <v>2</v>
      </c>
      <c r="AF330" s="14">
        <v>7</v>
      </c>
      <c r="AG330" s="13">
        <v>7</v>
      </c>
      <c r="AH330" s="13">
        <v>0</v>
      </c>
      <c r="AI330" s="13">
        <v>1</v>
      </c>
      <c r="AJ330" s="13" t="str">
        <f t="shared" si="5"/>
        <v>30-39</v>
      </c>
      <c r="AK330" s="13" t="str">
        <f>IF(tblCleanData[[#This Row],[MonthlyIncome]]&lt;5000, "Low Income", IF(tblCleanData[[#This Row],[MonthlyIncome]]&lt;15000, "Medium Income", "High Income"))</f>
        <v>Low Income</v>
      </c>
      <c r="AL330" s="13">
        <f>IF(tblCleanData[[#This Row],[Attrition]]="No", 0,1)</f>
        <v>0</v>
      </c>
      <c r="AM330" s="13">
        <f>IF(tblCleanData[[#This Row],[OverTime]] = "No", 0, 1)</f>
        <v>0</v>
      </c>
      <c r="AN330" s="13" t="str">
        <f>CHOOSE(tblCleanData[[#This Row],[Education]], "Below College","College","Bachelor","Master","Doctor")</f>
        <v>Bachelor</v>
      </c>
      <c r="AO330" s="13" t="str">
        <f>VLOOKUP(tblCleanData[[#This Row],[EmployeeNumber]],tblHelpers[],15,TRUE)</f>
        <v>Medium Risk</v>
      </c>
      <c r="AP330" s="13">
        <f>VLOOKUP(tblCleanData[[#This Row],[EmployeeNumber]],tblHelpers[],14,0)</f>
        <v>39</v>
      </c>
    </row>
    <row r="331" spans="1:42" x14ac:dyDescent="0.25">
      <c r="A331" s="13">
        <v>47</v>
      </c>
      <c r="B331" s="13" t="s">
        <v>59</v>
      </c>
      <c r="C331" s="13" t="s">
        <v>37</v>
      </c>
      <c r="D331" s="13">
        <v>1482</v>
      </c>
      <c r="E331" s="13" t="s">
        <v>62</v>
      </c>
      <c r="F331" s="13">
        <v>5</v>
      </c>
      <c r="G331" s="13">
        <v>5</v>
      </c>
      <c r="H331" s="13" t="s">
        <v>42</v>
      </c>
      <c r="I331" s="13">
        <v>1</v>
      </c>
      <c r="J331" s="13">
        <v>447</v>
      </c>
      <c r="K331" s="13">
        <v>4</v>
      </c>
      <c r="L331" s="13" t="s">
        <v>63</v>
      </c>
      <c r="M331" s="13">
        <v>42</v>
      </c>
      <c r="N331" s="13">
        <v>3</v>
      </c>
      <c r="O331" s="13">
        <v>5</v>
      </c>
      <c r="P331" s="13" t="s">
        <v>186</v>
      </c>
      <c r="Q331" s="13">
        <v>3</v>
      </c>
      <c r="R331" s="13" t="s">
        <v>66</v>
      </c>
      <c r="S331" s="20">
        <v>18300</v>
      </c>
      <c r="T331" s="13">
        <v>16375</v>
      </c>
      <c r="U331" s="13">
        <v>4</v>
      </c>
      <c r="V331" s="13" t="s">
        <v>52</v>
      </c>
      <c r="W331" s="13" t="s">
        <v>59</v>
      </c>
      <c r="X331" s="13">
        <v>11</v>
      </c>
      <c r="Y331" s="13">
        <v>3</v>
      </c>
      <c r="Z331" s="13">
        <v>2</v>
      </c>
      <c r="AA331" s="13">
        <v>80</v>
      </c>
      <c r="AB331" s="13">
        <v>1</v>
      </c>
      <c r="AC331" s="13">
        <v>21</v>
      </c>
      <c r="AD331" s="13">
        <v>2</v>
      </c>
      <c r="AE331" s="13">
        <v>3</v>
      </c>
      <c r="AF331" s="14">
        <v>3</v>
      </c>
      <c r="AG331" s="13">
        <v>2</v>
      </c>
      <c r="AH331" s="13">
        <v>1</v>
      </c>
      <c r="AI331" s="13">
        <v>1</v>
      </c>
      <c r="AJ331" s="13" t="str">
        <f t="shared" si="5"/>
        <v>40-49</v>
      </c>
      <c r="AK331" s="13" t="str">
        <f>IF(tblCleanData[[#This Row],[MonthlyIncome]]&lt;5000, "Low Income", IF(tblCleanData[[#This Row],[MonthlyIncome]]&lt;15000, "Medium Income", "High Income"))</f>
        <v>High Income</v>
      </c>
      <c r="AL331" s="13">
        <f>IF(tblCleanData[[#This Row],[Attrition]]="No", 0,1)</f>
        <v>0</v>
      </c>
      <c r="AM331" s="13">
        <f>IF(tblCleanData[[#This Row],[OverTime]] = "No", 0, 1)</f>
        <v>0</v>
      </c>
      <c r="AN331" s="13" t="str">
        <f>CHOOSE(tblCleanData[[#This Row],[Education]], "Below College","College","Bachelor","Master","Doctor")</f>
        <v>Doctor</v>
      </c>
      <c r="AO331" s="13" t="str">
        <f>VLOOKUP(tblCleanData[[#This Row],[EmployeeNumber]],tblHelpers[],15,TRUE)</f>
        <v>Medium Risk</v>
      </c>
      <c r="AP331" s="13">
        <f>VLOOKUP(tblCleanData[[#This Row],[EmployeeNumber]],tblHelpers[],14,0)</f>
        <v>43</v>
      </c>
    </row>
    <row r="332" spans="1:42" x14ac:dyDescent="0.25">
      <c r="A332" s="13">
        <v>43</v>
      </c>
      <c r="B332" s="13" t="s">
        <v>59</v>
      </c>
      <c r="C332" s="13" t="s">
        <v>60</v>
      </c>
      <c r="D332" s="13">
        <v>559</v>
      </c>
      <c r="E332" s="13" t="s">
        <v>62</v>
      </c>
      <c r="F332" s="13">
        <v>10</v>
      </c>
      <c r="G332" s="13">
        <v>4</v>
      </c>
      <c r="H332" s="13" t="s">
        <v>42</v>
      </c>
      <c r="I332" s="13">
        <v>1</v>
      </c>
      <c r="J332" s="13">
        <v>448</v>
      </c>
      <c r="K332" s="13">
        <v>3</v>
      </c>
      <c r="L332" s="13" t="s">
        <v>43</v>
      </c>
      <c r="M332" s="13">
        <v>82</v>
      </c>
      <c r="N332" s="13">
        <v>2</v>
      </c>
      <c r="O332" s="13">
        <v>2</v>
      </c>
      <c r="P332" s="13" t="s">
        <v>76</v>
      </c>
      <c r="Q332" s="13">
        <v>3</v>
      </c>
      <c r="R332" s="13" t="s">
        <v>109</v>
      </c>
      <c r="S332" s="20">
        <v>5257</v>
      </c>
      <c r="T332" s="13">
        <v>6227</v>
      </c>
      <c r="U332" s="13">
        <v>1</v>
      </c>
      <c r="V332" s="13" t="s">
        <v>52</v>
      </c>
      <c r="W332" s="13" t="s">
        <v>59</v>
      </c>
      <c r="X332" s="13">
        <v>11</v>
      </c>
      <c r="Y332" s="13">
        <v>3</v>
      </c>
      <c r="Z332" s="13">
        <v>2</v>
      </c>
      <c r="AA332" s="13">
        <v>80</v>
      </c>
      <c r="AB332" s="13">
        <v>1</v>
      </c>
      <c r="AC332" s="13">
        <v>9</v>
      </c>
      <c r="AD332" s="13">
        <v>3</v>
      </c>
      <c r="AE332" s="13">
        <v>4</v>
      </c>
      <c r="AF332" s="14">
        <v>9</v>
      </c>
      <c r="AG332" s="13">
        <v>7</v>
      </c>
      <c r="AH332" s="13">
        <v>0</v>
      </c>
      <c r="AI332" s="13">
        <v>0</v>
      </c>
      <c r="AJ332" s="13" t="str">
        <f t="shared" si="5"/>
        <v>40-49</v>
      </c>
      <c r="AK332" s="13" t="str">
        <f>IF(tblCleanData[[#This Row],[MonthlyIncome]]&lt;5000, "Low Income", IF(tblCleanData[[#This Row],[MonthlyIncome]]&lt;15000, "Medium Income", "High Income"))</f>
        <v>Medium Income</v>
      </c>
      <c r="AL332" s="13">
        <f>IF(tblCleanData[[#This Row],[Attrition]]="No", 0,1)</f>
        <v>0</v>
      </c>
      <c r="AM332" s="13">
        <f>IF(tblCleanData[[#This Row],[OverTime]] = "No", 0, 1)</f>
        <v>0</v>
      </c>
      <c r="AN332" s="13" t="str">
        <f>CHOOSE(tblCleanData[[#This Row],[Education]], "Below College","College","Bachelor","Master","Doctor")</f>
        <v>Master</v>
      </c>
      <c r="AO332" s="13" t="str">
        <f>VLOOKUP(tblCleanData[[#This Row],[EmployeeNumber]],tblHelpers[],15,TRUE)</f>
        <v>Medium Risk</v>
      </c>
      <c r="AP332" s="13">
        <f>VLOOKUP(tblCleanData[[#This Row],[EmployeeNumber]],tblHelpers[],14,0)</f>
        <v>36</v>
      </c>
    </row>
    <row r="333" spans="1:42" x14ac:dyDescent="0.25">
      <c r="A333" s="13">
        <v>27</v>
      </c>
      <c r="B333" s="13" t="s">
        <v>59</v>
      </c>
      <c r="C333" s="13" t="s">
        <v>161</v>
      </c>
      <c r="D333" s="13">
        <v>210</v>
      </c>
      <c r="E333" s="13" t="s">
        <v>39</v>
      </c>
      <c r="F333" s="13">
        <v>1</v>
      </c>
      <c r="G333" s="13">
        <v>1</v>
      </c>
      <c r="H333" s="13" t="s">
        <v>206</v>
      </c>
      <c r="I333" s="13">
        <v>1</v>
      </c>
      <c r="J333" s="13">
        <v>449</v>
      </c>
      <c r="K333" s="13">
        <v>3</v>
      </c>
      <c r="L333" s="13" t="s">
        <v>63</v>
      </c>
      <c r="M333" s="13">
        <v>73</v>
      </c>
      <c r="N333" s="13">
        <v>3</v>
      </c>
      <c r="O333" s="13">
        <v>2</v>
      </c>
      <c r="P333" s="13" t="s">
        <v>46</v>
      </c>
      <c r="Q333" s="13">
        <v>2</v>
      </c>
      <c r="R333" s="13" t="s">
        <v>66</v>
      </c>
      <c r="S333" s="20">
        <v>6349</v>
      </c>
      <c r="T333" s="13">
        <v>22107</v>
      </c>
      <c r="U333" s="13">
        <v>0</v>
      </c>
      <c r="V333" s="13" t="s">
        <v>52</v>
      </c>
      <c r="W333" s="13" t="s">
        <v>36</v>
      </c>
      <c r="X333" s="13">
        <v>13</v>
      </c>
      <c r="Y333" s="13">
        <v>3</v>
      </c>
      <c r="Z333" s="13">
        <v>4</v>
      </c>
      <c r="AA333" s="13">
        <v>80</v>
      </c>
      <c r="AB333" s="13">
        <v>1</v>
      </c>
      <c r="AC333" s="13">
        <v>6</v>
      </c>
      <c r="AD333" s="13">
        <v>0</v>
      </c>
      <c r="AE333" s="13">
        <v>3</v>
      </c>
      <c r="AF333" s="14">
        <v>5</v>
      </c>
      <c r="AG333" s="13">
        <v>4</v>
      </c>
      <c r="AH333" s="13">
        <v>1</v>
      </c>
      <c r="AI333" s="13">
        <v>4</v>
      </c>
      <c r="AJ333" s="13" t="str">
        <f t="shared" si="5"/>
        <v>Under 30</v>
      </c>
      <c r="AK333" s="13" t="str">
        <f>IF(tblCleanData[[#This Row],[MonthlyIncome]]&lt;5000, "Low Income", IF(tblCleanData[[#This Row],[MonthlyIncome]]&lt;15000, "Medium Income", "High Income"))</f>
        <v>Medium Income</v>
      </c>
      <c r="AL333" s="13">
        <f>IF(tblCleanData[[#This Row],[Attrition]]="No", 0,1)</f>
        <v>0</v>
      </c>
      <c r="AM333" s="13">
        <f>IF(tblCleanData[[#This Row],[OverTime]] = "No", 0, 1)</f>
        <v>1</v>
      </c>
      <c r="AN333" s="13" t="str">
        <f>CHOOSE(tblCleanData[[#This Row],[Education]], "Below College","College","Bachelor","Master","Doctor")</f>
        <v>Below College</v>
      </c>
      <c r="AO333" s="13" t="str">
        <f>VLOOKUP(tblCleanData[[#This Row],[EmployeeNumber]],tblHelpers[],15,TRUE)</f>
        <v>High Risk</v>
      </c>
      <c r="AP333" s="13">
        <f>VLOOKUP(tblCleanData[[#This Row],[EmployeeNumber]],tblHelpers[],14,0)</f>
        <v>94</v>
      </c>
    </row>
    <row r="334" spans="1:42" x14ac:dyDescent="0.25">
      <c r="A334" s="13">
        <v>54</v>
      </c>
      <c r="B334" s="13" t="s">
        <v>59</v>
      </c>
      <c r="C334" s="13" t="s">
        <v>60</v>
      </c>
      <c r="D334" s="13">
        <v>928</v>
      </c>
      <c r="E334" s="13" t="s">
        <v>62</v>
      </c>
      <c r="F334" s="13">
        <v>20</v>
      </c>
      <c r="G334" s="13">
        <v>4</v>
      </c>
      <c r="H334" s="13" t="s">
        <v>42</v>
      </c>
      <c r="I334" s="13">
        <v>1</v>
      </c>
      <c r="J334" s="13">
        <v>450</v>
      </c>
      <c r="K334" s="13">
        <v>4</v>
      </c>
      <c r="L334" s="13" t="s">
        <v>43</v>
      </c>
      <c r="M334" s="13">
        <v>31</v>
      </c>
      <c r="N334" s="13">
        <v>3</v>
      </c>
      <c r="O334" s="13">
        <v>2</v>
      </c>
      <c r="P334" s="13" t="s">
        <v>65</v>
      </c>
      <c r="Q334" s="13">
        <v>3</v>
      </c>
      <c r="R334" s="13" t="s">
        <v>48</v>
      </c>
      <c r="S334" s="20">
        <v>4869</v>
      </c>
      <c r="T334" s="13">
        <v>16885</v>
      </c>
      <c r="U334" s="13">
        <v>3</v>
      </c>
      <c r="V334" s="13" t="s">
        <v>52</v>
      </c>
      <c r="W334" s="13" t="s">
        <v>59</v>
      </c>
      <c r="X334" s="13">
        <v>12</v>
      </c>
      <c r="Y334" s="13">
        <v>3</v>
      </c>
      <c r="Z334" s="13">
        <v>4</v>
      </c>
      <c r="AA334" s="13">
        <v>80</v>
      </c>
      <c r="AB334" s="13">
        <v>0</v>
      </c>
      <c r="AC334" s="13">
        <v>20</v>
      </c>
      <c r="AD334" s="13">
        <v>4</v>
      </c>
      <c r="AE334" s="13">
        <v>2</v>
      </c>
      <c r="AF334" s="14">
        <v>4</v>
      </c>
      <c r="AG334" s="13">
        <v>3</v>
      </c>
      <c r="AH334" s="13">
        <v>0</v>
      </c>
      <c r="AI334" s="13">
        <v>3</v>
      </c>
      <c r="AJ334" s="13" t="str">
        <f t="shared" si="5"/>
        <v>50+</v>
      </c>
      <c r="AK334" s="13" t="str">
        <f>IF(tblCleanData[[#This Row],[MonthlyIncome]]&lt;5000, "Low Income", IF(tblCleanData[[#This Row],[MonthlyIncome]]&lt;15000, "Medium Income", "High Income"))</f>
        <v>Low Income</v>
      </c>
      <c r="AL334" s="13">
        <f>IF(tblCleanData[[#This Row],[Attrition]]="No", 0,1)</f>
        <v>0</v>
      </c>
      <c r="AM334" s="13">
        <f>IF(tblCleanData[[#This Row],[OverTime]] = "No", 0, 1)</f>
        <v>0</v>
      </c>
      <c r="AN334" s="13" t="str">
        <f>CHOOSE(tblCleanData[[#This Row],[Education]], "Below College","College","Bachelor","Master","Doctor")</f>
        <v>Master</v>
      </c>
      <c r="AO334" s="13" t="str">
        <f>VLOOKUP(tblCleanData[[#This Row],[EmployeeNumber]],tblHelpers[],15,TRUE)</f>
        <v>Medium Risk</v>
      </c>
      <c r="AP334" s="13">
        <f>VLOOKUP(tblCleanData[[#This Row],[EmployeeNumber]],tblHelpers[],14,0)</f>
        <v>48</v>
      </c>
    </row>
    <row r="335" spans="1:42" x14ac:dyDescent="0.25">
      <c r="A335" s="13">
        <v>43</v>
      </c>
      <c r="B335" s="13" t="s">
        <v>59</v>
      </c>
      <c r="C335" s="13" t="s">
        <v>37</v>
      </c>
      <c r="D335" s="13">
        <v>1001</v>
      </c>
      <c r="E335" s="13" t="s">
        <v>62</v>
      </c>
      <c r="F335" s="13">
        <v>7</v>
      </c>
      <c r="G335" s="13">
        <v>3</v>
      </c>
      <c r="H335" s="13" t="s">
        <v>42</v>
      </c>
      <c r="I335" s="13">
        <v>1</v>
      </c>
      <c r="J335" s="13">
        <v>451</v>
      </c>
      <c r="K335" s="13">
        <v>3</v>
      </c>
      <c r="L335" s="13" t="s">
        <v>43</v>
      </c>
      <c r="M335" s="13">
        <v>43</v>
      </c>
      <c r="N335" s="13">
        <v>3</v>
      </c>
      <c r="O335" s="13">
        <v>3</v>
      </c>
      <c r="P335" s="13" t="s">
        <v>122</v>
      </c>
      <c r="Q335" s="13">
        <v>1</v>
      </c>
      <c r="R335" s="13" t="s">
        <v>66</v>
      </c>
      <c r="S335" s="20">
        <v>9985</v>
      </c>
      <c r="T335" s="13">
        <v>9262</v>
      </c>
      <c r="U335" s="13">
        <v>8</v>
      </c>
      <c r="V335" s="13" t="s">
        <v>52</v>
      </c>
      <c r="W335" s="13" t="s">
        <v>59</v>
      </c>
      <c r="X335" s="13">
        <v>16</v>
      </c>
      <c r="Y335" s="13">
        <v>3</v>
      </c>
      <c r="Z335" s="13">
        <v>1</v>
      </c>
      <c r="AA335" s="13">
        <v>80</v>
      </c>
      <c r="AB335" s="13">
        <v>1</v>
      </c>
      <c r="AC335" s="13">
        <v>10</v>
      </c>
      <c r="AD335" s="13">
        <v>1</v>
      </c>
      <c r="AE335" s="13">
        <v>2</v>
      </c>
      <c r="AF335" s="14">
        <v>1</v>
      </c>
      <c r="AG335" s="13">
        <v>0</v>
      </c>
      <c r="AH335" s="13">
        <v>0</v>
      </c>
      <c r="AI335" s="13">
        <v>0</v>
      </c>
      <c r="AJ335" s="13" t="str">
        <f t="shared" si="5"/>
        <v>40-49</v>
      </c>
      <c r="AK335" s="13" t="str">
        <f>IF(tblCleanData[[#This Row],[MonthlyIncome]]&lt;5000, "Low Income", IF(tblCleanData[[#This Row],[MonthlyIncome]]&lt;15000, "Medium Income", "High Income"))</f>
        <v>Medium Income</v>
      </c>
      <c r="AL335" s="13">
        <f>IF(tblCleanData[[#This Row],[Attrition]]="No", 0,1)</f>
        <v>0</v>
      </c>
      <c r="AM335" s="13">
        <f>IF(tblCleanData[[#This Row],[OverTime]] = "No", 0, 1)</f>
        <v>0</v>
      </c>
      <c r="AN335" s="13" t="str">
        <f>CHOOSE(tblCleanData[[#This Row],[Education]], "Below College","College","Bachelor","Master","Doctor")</f>
        <v>Bachelor</v>
      </c>
      <c r="AO335" s="13" t="str">
        <f>VLOOKUP(tblCleanData[[#This Row],[EmployeeNumber]],tblHelpers[],15,TRUE)</f>
        <v>High Risk</v>
      </c>
      <c r="AP335" s="13">
        <f>VLOOKUP(tblCleanData[[#This Row],[EmployeeNumber]],tblHelpers[],14,0)</f>
        <v>65</v>
      </c>
    </row>
    <row r="336" spans="1:42" x14ac:dyDescent="0.25">
      <c r="A336" s="13">
        <v>45</v>
      </c>
      <c r="B336" s="13" t="s">
        <v>59</v>
      </c>
      <c r="C336" s="13" t="s">
        <v>37</v>
      </c>
      <c r="D336" s="13">
        <v>549</v>
      </c>
      <c r="E336" s="13" t="s">
        <v>62</v>
      </c>
      <c r="F336" s="13">
        <v>8</v>
      </c>
      <c r="G336" s="13">
        <v>4</v>
      </c>
      <c r="H336" s="13" t="s">
        <v>74</v>
      </c>
      <c r="I336" s="13">
        <v>1</v>
      </c>
      <c r="J336" s="13">
        <v>452</v>
      </c>
      <c r="K336" s="13">
        <v>4</v>
      </c>
      <c r="L336" s="13" t="s">
        <v>63</v>
      </c>
      <c r="M336" s="13">
        <v>75</v>
      </c>
      <c r="N336" s="13">
        <v>3</v>
      </c>
      <c r="O336" s="13">
        <v>2</v>
      </c>
      <c r="P336" s="13" t="s">
        <v>65</v>
      </c>
      <c r="Q336" s="13">
        <v>4</v>
      </c>
      <c r="R336" s="13" t="s">
        <v>66</v>
      </c>
      <c r="S336" s="20">
        <v>3697</v>
      </c>
      <c r="T336" s="13">
        <v>9278</v>
      </c>
      <c r="U336" s="13">
        <v>9</v>
      </c>
      <c r="V336" s="13" t="s">
        <v>52</v>
      </c>
      <c r="W336" s="13" t="s">
        <v>59</v>
      </c>
      <c r="X336" s="13">
        <v>14</v>
      </c>
      <c r="Y336" s="13">
        <v>3</v>
      </c>
      <c r="Z336" s="13">
        <v>1</v>
      </c>
      <c r="AA336" s="13">
        <v>80</v>
      </c>
      <c r="AB336" s="13">
        <v>2</v>
      </c>
      <c r="AC336" s="13">
        <v>12</v>
      </c>
      <c r="AD336" s="13">
        <v>3</v>
      </c>
      <c r="AE336" s="13">
        <v>3</v>
      </c>
      <c r="AF336" s="14">
        <v>10</v>
      </c>
      <c r="AG336" s="13">
        <v>9</v>
      </c>
      <c r="AH336" s="13">
        <v>9</v>
      </c>
      <c r="AI336" s="13">
        <v>8</v>
      </c>
      <c r="AJ336" s="13" t="str">
        <f t="shared" si="5"/>
        <v>40-49</v>
      </c>
      <c r="AK336" s="13" t="str">
        <f>IF(tblCleanData[[#This Row],[MonthlyIncome]]&lt;5000, "Low Income", IF(tblCleanData[[#This Row],[MonthlyIncome]]&lt;15000, "Medium Income", "High Income"))</f>
        <v>Low Income</v>
      </c>
      <c r="AL336" s="13">
        <f>IF(tblCleanData[[#This Row],[Attrition]]="No", 0,1)</f>
        <v>0</v>
      </c>
      <c r="AM336" s="13">
        <f>IF(tblCleanData[[#This Row],[OverTime]] = "No", 0, 1)</f>
        <v>0</v>
      </c>
      <c r="AN336" s="13" t="str">
        <f>CHOOSE(tblCleanData[[#This Row],[Education]], "Below College","College","Bachelor","Master","Doctor")</f>
        <v>Master</v>
      </c>
      <c r="AO336" s="13" t="str">
        <f>VLOOKUP(tblCleanData[[#This Row],[EmployeeNumber]],tblHelpers[],15,TRUE)</f>
        <v>Low Risk</v>
      </c>
      <c r="AP336" s="13">
        <f>VLOOKUP(tblCleanData[[#This Row],[EmployeeNumber]],tblHelpers[],14,0)</f>
        <v>29</v>
      </c>
    </row>
    <row r="337" spans="1:42" x14ac:dyDescent="0.25">
      <c r="A337" s="13">
        <v>40</v>
      </c>
      <c r="B337" s="13" t="s">
        <v>59</v>
      </c>
      <c r="C337" s="13" t="s">
        <v>37</v>
      </c>
      <c r="D337" s="13">
        <v>1124</v>
      </c>
      <c r="E337" s="13" t="s">
        <v>39</v>
      </c>
      <c r="F337" s="13">
        <v>1</v>
      </c>
      <c r="G337" s="13">
        <v>2</v>
      </c>
      <c r="H337" s="13" t="s">
        <v>87</v>
      </c>
      <c r="I337" s="13">
        <v>1</v>
      </c>
      <c r="J337" s="13">
        <v>453</v>
      </c>
      <c r="K337" s="13">
        <v>2</v>
      </c>
      <c r="L337" s="13" t="s">
        <v>63</v>
      </c>
      <c r="M337" s="13">
        <v>57</v>
      </c>
      <c r="N337" s="13">
        <v>1</v>
      </c>
      <c r="O337" s="13">
        <v>2</v>
      </c>
      <c r="P337" s="13" t="s">
        <v>46</v>
      </c>
      <c r="Q337" s="13">
        <v>4</v>
      </c>
      <c r="R337" s="13" t="s">
        <v>66</v>
      </c>
      <c r="S337" s="20">
        <v>7457</v>
      </c>
      <c r="T337" s="13">
        <v>13273</v>
      </c>
      <c r="U337" s="13">
        <v>2</v>
      </c>
      <c r="V337" s="13" t="s">
        <v>52</v>
      </c>
      <c r="W337" s="13" t="s">
        <v>36</v>
      </c>
      <c r="X337" s="13">
        <v>22</v>
      </c>
      <c r="Y337" s="13">
        <v>4</v>
      </c>
      <c r="Z337" s="13">
        <v>3</v>
      </c>
      <c r="AA337" s="13">
        <v>80</v>
      </c>
      <c r="AB337" s="13">
        <v>3</v>
      </c>
      <c r="AC337" s="13">
        <v>6</v>
      </c>
      <c r="AD337" s="13">
        <v>2</v>
      </c>
      <c r="AE337" s="13">
        <v>2</v>
      </c>
      <c r="AF337" s="14">
        <v>4</v>
      </c>
      <c r="AG337" s="13">
        <v>3</v>
      </c>
      <c r="AH337" s="13">
        <v>0</v>
      </c>
      <c r="AI337" s="13">
        <v>2</v>
      </c>
      <c r="AJ337" s="13" t="str">
        <f t="shared" si="5"/>
        <v>40-49</v>
      </c>
      <c r="AK337" s="13" t="str">
        <f>IF(tblCleanData[[#This Row],[MonthlyIncome]]&lt;5000, "Low Income", IF(tblCleanData[[#This Row],[MonthlyIncome]]&lt;15000, "Medium Income", "High Income"))</f>
        <v>Medium Income</v>
      </c>
      <c r="AL337" s="13">
        <f>IF(tblCleanData[[#This Row],[Attrition]]="No", 0,1)</f>
        <v>0</v>
      </c>
      <c r="AM337" s="13">
        <f>IF(tblCleanData[[#This Row],[OverTime]] = "No", 0, 1)</f>
        <v>1</v>
      </c>
      <c r="AN337" s="13" t="str">
        <f>CHOOSE(tblCleanData[[#This Row],[Education]], "Below College","College","Bachelor","Master","Doctor")</f>
        <v>College</v>
      </c>
      <c r="AO337" s="13" t="str">
        <f>VLOOKUP(tblCleanData[[#This Row],[EmployeeNumber]],tblHelpers[],15,TRUE)</f>
        <v>High Risk</v>
      </c>
      <c r="AP337" s="13">
        <f>VLOOKUP(tblCleanData[[#This Row],[EmployeeNumber]],tblHelpers[],14,0)</f>
        <v>61</v>
      </c>
    </row>
    <row r="338" spans="1:42" x14ac:dyDescent="0.25">
      <c r="A338" s="13">
        <v>29</v>
      </c>
      <c r="B338" s="13" t="s">
        <v>36</v>
      </c>
      <c r="C338" s="13" t="s">
        <v>37</v>
      </c>
      <c r="D338" s="13">
        <v>318</v>
      </c>
      <c r="E338" s="13" t="s">
        <v>62</v>
      </c>
      <c r="F338" s="13">
        <v>8</v>
      </c>
      <c r="G338" s="13">
        <v>4</v>
      </c>
      <c r="H338" s="13" t="s">
        <v>74</v>
      </c>
      <c r="I338" s="13">
        <v>1</v>
      </c>
      <c r="J338" s="13">
        <v>454</v>
      </c>
      <c r="K338" s="13">
        <v>2</v>
      </c>
      <c r="L338" s="13" t="s">
        <v>63</v>
      </c>
      <c r="M338" s="13">
        <v>77</v>
      </c>
      <c r="N338" s="13">
        <v>1</v>
      </c>
      <c r="O338" s="13">
        <v>1</v>
      </c>
      <c r="P338" s="13" t="s">
        <v>76</v>
      </c>
      <c r="Q338" s="13">
        <v>1</v>
      </c>
      <c r="R338" s="13" t="s">
        <v>66</v>
      </c>
      <c r="S338" s="20">
        <v>2119</v>
      </c>
      <c r="T338" s="13">
        <v>4759</v>
      </c>
      <c r="U338" s="13">
        <v>1</v>
      </c>
      <c r="V338" s="13" t="s">
        <v>52</v>
      </c>
      <c r="W338" s="13" t="s">
        <v>36</v>
      </c>
      <c r="X338" s="13">
        <v>11</v>
      </c>
      <c r="Y338" s="13">
        <v>3</v>
      </c>
      <c r="Z338" s="13">
        <v>4</v>
      </c>
      <c r="AA338" s="13">
        <v>80</v>
      </c>
      <c r="AB338" s="13">
        <v>0</v>
      </c>
      <c r="AC338" s="13">
        <v>7</v>
      </c>
      <c r="AD338" s="13">
        <v>4</v>
      </c>
      <c r="AE338" s="13">
        <v>2</v>
      </c>
      <c r="AF338" s="14">
        <v>7</v>
      </c>
      <c r="AG338" s="13">
        <v>7</v>
      </c>
      <c r="AH338" s="13">
        <v>0</v>
      </c>
      <c r="AI338" s="13">
        <v>7</v>
      </c>
      <c r="AJ338" s="13" t="str">
        <f t="shared" si="5"/>
        <v>Under 30</v>
      </c>
      <c r="AK338" s="13" t="str">
        <f>IF(tblCleanData[[#This Row],[MonthlyIncome]]&lt;5000, "Low Income", IF(tblCleanData[[#This Row],[MonthlyIncome]]&lt;15000, "Medium Income", "High Income"))</f>
        <v>Low Income</v>
      </c>
      <c r="AL338" s="13">
        <f>IF(tblCleanData[[#This Row],[Attrition]]="No", 0,1)</f>
        <v>1</v>
      </c>
      <c r="AM338" s="13">
        <f>IF(tblCleanData[[#This Row],[OverTime]] = "No", 0, 1)</f>
        <v>1</v>
      </c>
      <c r="AN338" s="13" t="str">
        <f>CHOOSE(tblCleanData[[#This Row],[Education]], "Below College","College","Bachelor","Master","Doctor")</f>
        <v>Master</v>
      </c>
      <c r="AO338" s="13" t="str">
        <f>VLOOKUP(tblCleanData[[#This Row],[EmployeeNumber]],tblHelpers[],15,TRUE)</f>
        <v>High Risk</v>
      </c>
      <c r="AP338" s="13">
        <f>VLOOKUP(tblCleanData[[#This Row],[EmployeeNumber]],tblHelpers[],14,0)</f>
        <v>93</v>
      </c>
    </row>
    <row r="339" spans="1:42" x14ac:dyDescent="0.25">
      <c r="A339" s="13">
        <v>29</v>
      </c>
      <c r="B339" s="13" t="s">
        <v>59</v>
      </c>
      <c r="C339" s="13" t="s">
        <v>37</v>
      </c>
      <c r="D339" s="13">
        <v>738</v>
      </c>
      <c r="E339" s="13" t="s">
        <v>62</v>
      </c>
      <c r="F339" s="13">
        <v>9</v>
      </c>
      <c r="G339" s="13">
        <v>5</v>
      </c>
      <c r="H339" s="13" t="s">
        <v>74</v>
      </c>
      <c r="I339" s="13">
        <v>1</v>
      </c>
      <c r="J339" s="13">
        <v>455</v>
      </c>
      <c r="K339" s="13">
        <v>2</v>
      </c>
      <c r="L339" s="13" t="s">
        <v>63</v>
      </c>
      <c r="M339" s="13">
        <v>30</v>
      </c>
      <c r="N339" s="13">
        <v>2</v>
      </c>
      <c r="O339" s="13">
        <v>1</v>
      </c>
      <c r="P339" s="13" t="s">
        <v>76</v>
      </c>
      <c r="Q339" s="13">
        <v>4</v>
      </c>
      <c r="R339" s="13" t="s">
        <v>48</v>
      </c>
      <c r="S339" s="20">
        <v>3983</v>
      </c>
      <c r="T339" s="13">
        <v>7621</v>
      </c>
      <c r="U339" s="13">
        <v>0</v>
      </c>
      <c r="V339" s="13" t="s">
        <v>52</v>
      </c>
      <c r="W339" s="13" t="s">
        <v>59</v>
      </c>
      <c r="X339" s="13">
        <v>17</v>
      </c>
      <c r="Y339" s="13">
        <v>3</v>
      </c>
      <c r="Z339" s="13">
        <v>3</v>
      </c>
      <c r="AA339" s="13">
        <v>80</v>
      </c>
      <c r="AB339" s="13">
        <v>0</v>
      </c>
      <c r="AC339" s="13">
        <v>4</v>
      </c>
      <c r="AD339" s="13">
        <v>2</v>
      </c>
      <c r="AE339" s="13">
        <v>3</v>
      </c>
      <c r="AF339" s="14">
        <v>3</v>
      </c>
      <c r="AG339" s="13">
        <v>2</v>
      </c>
      <c r="AH339" s="13">
        <v>2</v>
      </c>
      <c r="AI339" s="13">
        <v>2</v>
      </c>
      <c r="AJ339" s="13" t="str">
        <f t="shared" si="5"/>
        <v>Under 30</v>
      </c>
      <c r="AK339" s="13" t="str">
        <f>IF(tblCleanData[[#This Row],[MonthlyIncome]]&lt;5000, "Low Income", IF(tblCleanData[[#This Row],[MonthlyIncome]]&lt;15000, "Medium Income", "High Income"))</f>
        <v>Low Income</v>
      </c>
      <c r="AL339" s="13">
        <f>IF(tblCleanData[[#This Row],[Attrition]]="No", 0,1)</f>
        <v>0</v>
      </c>
      <c r="AM339" s="13">
        <f>IF(tblCleanData[[#This Row],[OverTime]] = "No", 0, 1)</f>
        <v>0</v>
      </c>
      <c r="AN339" s="13" t="str">
        <f>CHOOSE(tblCleanData[[#This Row],[Education]], "Below College","College","Bachelor","Master","Doctor")</f>
        <v>Doctor</v>
      </c>
      <c r="AO339" s="13" t="str">
        <f>VLOOKUP(tblCleanData[[#This Row],[EmployeeNumber]],tblHelpers[],15,TRUE)</f>
        <v>High Risk</v>
      </c>
      <c r="AP339" s="13">
        <f>VLOOKUP(tblCleanData[[#This Row],[EmployeeNumber]],tblHelpers[],14,0)</f>
        <v>56</v>
      </c>
    </row>
    <row r="340" spans="1:42" x14ac:dyDescent="0.25">
      <c r="A340" s="13">
        <v>30</v>
      </c>
      <c r="B340" s="13" t="s">
        <v>59</v>
      </c>
      <c r="C340" s="13" t="s">
        <v>37</v>
      </c>
      <c r="D340" s="13">
        <v>570</v>
      </c>
      <c r="E340" s="13" t="s">
        <v>39</v>
      </c>
      <c r="F340" s="13">
        <v>5</v>
      </c>
      <c r="G340" s="13">
        <v>3</v>
      </c>
      <c r="H340" s="13" t="s">
        <v>206</v>
      </c>
      <c r="I340" s="13">
        <v>1</v>
      </c>
      <c r="J340" s="13">
        <v>456</v>
      </c>
      <c r="K340" s="13">
        <v>4</v>
      </c>
      <c r="L340" s="13" t="s">
        <v>43</v>
      </c>
      <c r="M340" s="13">
        <v>30</v>
      </c>
      <c r="N340" s="13">
        <v>2</v>
      </c>
      <c r="O340" s="13">
        <v>2</v>
      </c>
      <c r="P340" s="13" t="s">
        <v>46</v>
      </c>
      <c r="Q340" s="13">
        <v>3</v>
      </c>
      <c r="R340" s="13" t="s">
        <v>109</v>
      </c>
      <c r="S340" s="20">
        <v>6118</v>
      </c>
      <c r="T340" s="13">
        <v>5431</v>
      </c>
      <c r="U340" s="13">
        <v>1</v>
      </c>
      <c r="V340" s="13" t="s">
        <v>52</v>
      </c>
      <c r="W340" s="13" t="s">
        <v>59</v>
      </c>
      <c r="X340" s="13">
        <v>13</v>
      </c>
      <c r="Y340" s="13">
        <v>3</v>
      </c>
      <c r="Z340" s="13">
        <v>3</v>
      </c>
      <c r="AA340" s="13">
        <v>80</v>
      </c>
      <c r="AB340" s="13">
        <v>3</v>
      </c>
      <c r="AC340" s="13">
        <v>10</v>
      </c>
      <c r="AD340" s="13">
        <v>2</v>
      </c>
      <c r="AE340" s="13">
        <v>3</v>
      </c>
      <c r="AF340" s="14">
        <v>10</v>
      </c>
      <c r="AG340" s="13">
        <v>9</v>
      </c>
      <c r="AH340" s="13">
        <v>1</v>
      </c>
      <c r="AI340" s="13">
        <v>2</v>
      </c>
      <c r="AJ340" s="13" t="str">
        <f t="shared" si="5"/>
        <v>30-39</v>
      </c>
      <c r="AK340" s="13" t="str">
        <f>IF(tblCleanData[[#This Row],[MonthlyIncome]]&lt;5000, "Low Income", IF(tblCleanData[[#This Row],[MonthlyIncome]]&lt;15000, "Medium Income", "High Income"))</f>
        <v>Medium Income</v>
      </c>
      <c r="AL340" s="13">
        <f>IF(tblCleanData[[#This Row],[Attrition]]="No", 0,1)</f>
        <v>0</v>
      </c>
      <c r="AM340" s="13">
        <f>IF(tblCleanData[[#This Row],[OverTime]] = "No", 0, 1)</f>
        <v>0</v>
      </c>
      <c r="AN340" s="13" t="str">
        <f>CHOOSE(tblCleanData[[#This Row],[Education]], "Below College","College","Bachelor","Master","Doctor")</f>
        <v>Bachelor</v>
      </c>
      <c r="AO340" s="13" t="str">
        <f>VLOOKUP(tblCleanData[[#This Row],[EmployeeNumber]],tblHelpers[],15,TRUE)</f>
        <v>Medium Risk</v>
      </c>
      <c r="AP340" s="13">
        <f>VLOOKUP(tblCleanData[[#This Row],[EmployeeNumber]],tblHelpers[],14,0)</f>
        <v>46</v>
      </c>
    </row>
    <row r="341" spans="1:42" x14ac:dyDescent="0.25">
      <c r="A341" s="13">
        <v>27</v>
      </c>
      <c r="B341" s="13" t="s">
        <v>59</v>
      </c>
      <c r="C341" s="13" t="s">
        <v>37</v>
      </c>
      <c r="D341" s="13">
        <v>1130</v>
      </c>
      <c r="E341" s="13" t="s">
        <v>39</v>
      </c>
      <c r="F341" s="13">
        <v>8</v>
      </c>
      <c r="G341" s="13">
        <v>4</v>
      </c>
      <c r="H341" s="13" t="s">
        <v>206</v>
      </c>
      <c r="I341" s="13">
        <v>1</v>
      </c>
      <c r="J341" s="13">
        <v>458</v>
      </c>
      <c r="K341" s="13">
        <v>2</v>
      </c>
      <c r="L341" s="13" t="s">
        <v>43</v>
      </c>
      <c r="M341" s="13">
        <v>56</v>
      </c>
      <c r="N341" s="13">
        <v>3</v>
      </c>
      <c r="O341" s="13">
        <v>2</v>
      </c>
      <c r="P341" s="13" t="s">
        <v>46</v>
      </c>
      <c r="Q341" s="13">
        <v>2</v>
      </c>
      <c r="R341" s="13" t="s">
        <v>66</v>
      </c>
      <c r="S341" s="20">
        <v>6214</v>
      </c>
      <c r="T341" s="13">
        <v>3415</v>
      </c>
      <c r="U341" s="13">
        <v>1</v>
      </c>
      <c r="V341" s="13" t="s">
        <v>52</v>
      </c>
      <c r="W341" s="13" t="s">
        <v>59</v>
      </c>
      <c r="X341" s="13">
        <v>18</v>
      </c>
      <c r="Y341" s="13">
        <v>3</v>
      </c>
      <c r="Z341" s="13">
        <v>1</v>
      </c>
      <c r="AA341" s="13">
        <v>80</v>
      </c>
      <c r="AB341" s="13">
        <v>1</v>
      </c>
      <c r="AC341" s="13">
        <v>8</v>
      </c>
      <c r="AD341" s="13">
        <v>3</v>
      </c>
      <c r="AE341" s="13">
        <v>3</v>
      </c>
      <c r="AF341" s="14">
        <v>8</v>
      </c>
      <c r="AG341" s="13">
        <v>7</v>
      </c>
      <c r="AH341" s="13">
        <v>0</v>
      </c>
      <c r="AI341" s="13">
        <v>7</v>
      </c>
      <c r="AJ341" s="13" t="str">
        <f t="shared" si="5"/>
        <v>Under 30</v>
      </c>
      <c r="AK341" s="13" t="str">
        <f>IF(tblCleanData[[#This Row],[MonthlyIncome]]&lt;5000, "Low Income", IF(tblCleanData[[#This Row],[MonthlyIncome]]&lt;15000, "Medium Income", "High Income"))</f>
        <v>Medium Income</v>
      </c>
      <c r="AL341" s="13">
        <f>IF(tblCleanData[[#This Row],[Attrition]]="No", 0,1)</f>
        <v>0</v>
      </c>
      <c r="AM341" s="13">
        <f>IF(tblCleanData[[#This Row],[OverTime]] = "No", 0, 1)</f>
        <v>0</v>
      </c>
      <c r="AN341" s="13" t="str">
        <f>CHOOSE(tblCleanData[[#This Row],[Education]], "Below College","College","Bachelor","Master","Doctor")</f>
        <v>Master</v>
      </c>
      <c r="AO341" s="13" t="str">
        <f>VLOOKUP(tblCleanData[[#This Row],[EmployeeNumber]],tblHelpers[],15,TRUE)</f>
        <v>High Risk</v>
      </c>
      <c r="AP341" s="13">
        <f>VLOOKUP(tblCleanData[[#This Row],[EmployeeNumber]],tblHelpers[],14,0)</f>
        <v>62</v>
      </c>
    </row>
    <row r="342" spans="1:42" x14ac:dyDescent="0.25">
      <c r="A342" s="13">
        <v>37</v>
      </c>
      <c r="B342" s="13" t="s">
        <v>59</v>
      </c>
      <c r="C342" s="13" t="s">
        <v>37</v>
      </c>
      <c r="D342" s="13">
        <v>1192</v>
      </c>
      <c r="E342" s="13" t="s">
        <v>62</v>
      </c>
      <c r="F342" s="13">
        <v>5</v>
      </c>
      <c r="G342" s="13">
        <v>2</v>
      </c>
      <c r="H342" s="13" t="s">
        <v>87</v>
      </c>
      <c r="I342" s="13">
        <v>1</v>
      </c>
      <c r="J342" s="13">
        <v>460</v>
      </c>
      <c r="K342" s="13">
        <v>4</v>
      </c>
      <c r="L342" s="13" t="s">
        <v>63</v>
      </c>
      <c r="M342" s="13">
        <v>61</v>
      </c>
      <c r="N342" s="13">
        <v>3</v>
      </c>
      <c r="O342" s="13">
        <v>2</v>
      </c>
      <c r="P342" s="13" t="s">
        <v>116</v>
      </c>
      <c r="Q342" s="13">
        <v>4</v>
      </c>
      <c r="R342" s="13" t="s">
        <v>109</v>
      </c>
      <c r="S342" s="20">
        <v>6347</v>
      </c>
      <c r="T342" s="13">
        <v>23177</v>
      </c>
      <c r="U342" s="13">
        <v>7</v>
      </c>
      <c r="V342" s="13" t="s">
        <v>52</v>
      </c>
      <c r="W342" s="13" t="s">
        <v>59</v>
      </c>
      <c r="X342" s="13">
        <v>16</v>
      </c>
      <c r="Y342" s="13">
        <v>3</v>
      </c>
      <c r="Z342" s="13">
        <v>3</v>
      </c>
      <c r="AA342" s="13">
        <v>80</v>
      </c>
      <c r="AB342" s="13">
        <v>2</v>
      </c>
      <c r="AC342" s="13">
        <v>8</v>
      </c>
      <c r="AD342" s="13">
        <v>2</v>
      </c>
      <c r="AE342" s="13">
        <v>2</v>
      </c>
      <c r="AF342" s="14">
        <v>6</v>
      </c>
      <c r="AG342" s="13">
        <v>2</v>
      </c>
      <c r="AH342" s="13">
        <v>0</v>
      </c>
      <c r="AI342" s="13">
        <v>4</v>
      </c>
      <c r="AJ342" s="13" t="str">
        <f t="shared" si="5"/>
        <v>30-39</v>
      </c>
      <c r="AK342" s="13" t="str">
        <f>IF(tblCleanData[[#This Row],[MonthlyIncome]]&lt;5000, "Low Income", IF(tblCleanData[[#This Row],[MonthlyIncome]]&lt;15000, "Medium Income", "High Income"))</f>
        <v>Medium Income</v>
      </c>
      <c r="AL342" s="13">
        <f>IF(tblCleanData[[#This Row],[Attrition]]="No", 0,1)</f>
        <v>0</v>
      </c>
      <c r="AM342" s="13">
        <f>IF(tblCleanData[[#This Row],[OverTime]] = "No", 0, 1)</f>
        <v>0</v>
      </c>
      <c r="AN342" s="13" t="str">
        <f>CHOOSE(tblCleanData[[#This Row],[Education]], "Below College","College","Bachelor","Master","Doctor")</f>
        <v>College</v>
      </c>
      <c r="AO342" s="13" t="str">
        <f>VLOOKUP(tblCleanData[[#This Row],[EmployeeNumber]],tblHelpers[],15,TRUE)</f>
        <v>Medium Risk</v>
      </c>
      <c r="AP342" s="13">
        <f>VLOOKUP(tblCleanData[[#This Row],[EmployeeNumber]],tblHelpers[],14,0)</f>
        <v>39</v>
      </c>
    </row>
    <row r="343" spans="1:42" x14ac:dyDescent="0.25">
      <c r="A343" s="13">
        <v>38</v>
      </c>
      <c r="B343" s="13" t="s">
        <v>59</v>
      </c>
      <c r="C343" s="13" t="s">
        <v>37</v>
      </c>
      <c r="D343" s="13">
        <v>343</v>
      </c>
      <c r="E343" s="13" t="s">
        <v>62</v>
      </c>
      <c r="F343" s="13">
        <v>15</v>
      </c>
      <c r="G343" s="13">
        <v>2</v>
      </c>
      <c r="H343" s="13" t="s">
        <v>42</v>
      </c>
      <c r="I343" s="13">
        <v>1</v>
      </c>
      <c r="J343" s="13">
        <v>461</v>
      </c>
      <c r="K343" s="13">
        <v>3</v>
      </c>
      <c r="L343" s="13" t="s">
        <v>63</v>
      </c>
      <c r="M343" s="13">
        <v>92</v>
      </c>
      <c r="N343" s="13">
        <v>2</v>
      </c>
      <c r="O343" s="13">
        <v>3</v>
      </c>
      <c r="P343" s="13" t="s">
        <v>186</v>
      </c>
      <c r="Q343" s="13">
        <v>4</v>
      </c>
      <c r="R343" s="13" t="s">
        <v>109</v>
      </c>
      <c r="S343" s="20">
        <v>11510</v>
      </c>
      <c r="T343" s="13">
        <v>15682</v>
      </c>
      <c r="U343" s="13">
        <v>0</v>
      </c>
      <c r="V343" s="13" t="s">
        <v>52</v>
      </c>
      <c r="W343" s="13" t="s">
        <v>36</v>
      </c>
      <c r="X343" s="13">
        <v>14</v>
      </c>
      <c r="Y343" s="13">
        <v>3</v>
      </c>
      <c r="Z343" s="13">
        <v>2</v>
      </c>
      <c r="AA343" s="13">
        <v>80</v>
      </c>
      <c r="AB343" s="13">
        <v>1</v>
      </c>
      <c r="AC343" s="13">
        <v>12</v>
      </c>
      <c r="AD343" s="13">
        <v>3</v>
      </c>
      <c r="AE343" s="13">
        <v>3</v>
      </c>
      <c r="AF343" s="14">
        <v>11</v>
      </c>
      <c r="AG343" s="13">
        <v>10</v>
      </c>
      <c r="AH343" s="13">
        <v>2</v>
      </c>
      <c r="AI343" s="13">
        <v>9</v>
      </c>
      <c r="AJ343" s="13" t="str">
        <f t="shared" si="5"/>
        <v>30-39</v>
      </c>
      <c r="AK343" s="13" t="str">
        <f>IF(tblCleanData[[#This Row],[MonthlyIncome]]&lt;5000, "Low Income", IF(tblCleanData[[#This Row],[MonthlyIncome]]&lt;15000, "Medium Income", "High Income"))</f>
        <v>Medium Income</v>
      </c>
      <c r="AL343" s="13">
        <f>IF(tblCleanData[[#This Row],[Attrition]]="No", 0,1)</f>
        <v>0</v>
      </c>
      <c r="AM343" s="13">
        <f>IF(tblCleanData[[#This Row],[OverTime]] = "No", 0, 1)</f>
        <v>1</v>
      </c>
      <c r="AN343" s="13" t="str">
        <f>CHOOSE(tblCleanData[[#This Row],[Education]], "Below College","College","Bachelor","Master","Doctor")</f>
        <v>College</v>
      </c>
      <c r="AO343" s="13" t="str">
        <f>VLOOKUP(tblCleanData[[#This Row],[EmployeeNumber]],tblHelpers[],15,TRUE)</f>
        <v>High Risk</v>
      </c>
      <c r="AP343" s="13">
        <f>VLOOKUP(tblCleanData[[#This Row],[EmployeeNumber]],tblHelpers[],14,0)</f>
        <v>59</v>
      </c>
    </row>
    <row r="344" spans="1:42" x14ac:dyDescent="0.25">
      <c r="A344" s="13">
        <v>31</v>
      </c>
      <c r="B344" s="13" t="s">
        <v>59</v>
      </c>
      <c r="C344" s="13" t="s">
        <v>37</v>
      </c>
      <c r="D344" s="13">
        <v>1232</v>
      </c>
      <c r="E344" s="13" t="s">
        <v>62</v>
      </c>
      <c r="F344" s="13">
        <v>7</v>
      </c>
      <c r="G344" s="13">
        <v>4</v>
      </c>
      <c r="H344" s="13" t="s">
        <v>87</v>
      </c>
      <c r="I344" s="13">
        <v>1</v>
      </c>
      <c r="J344" s="13">
        <v>462</v>
      </c>
      <c r="K344" s="13">
        <v>3</v>
      </c>
      <c r="L344" s="13" t="s">
        <v>43</v>
      </c>
      <c r="M344" s="13">
        <v>39</v>
      </c>
      <c r="N344" s="13">
        <v>3</v>
      </c>
      <c r="O344" s="13">
        <v>3</v>
      </c>
      <c r="P344" s="13" t="s">
        <v>116</v>
      </c>
      <c r="Q344" s="13">
        <v>4</v>
      </c>
      <c r="R344" s="13" t="s">
        <v>48</v>
      </c>
      <c r="S344" s="20">
        <v>7143</v>
      </c>
      <c r="T344" s="13">
        <v>25713</v>
      </c>
      <c r="U344" s="13">
        <v>1</v>
      </c>
      <c r="V344" s="13" t="s">
        <v>52</v>
      </c>
      <c r="W344" s="13" t="s">
        <v>36</v>
      </c>
      <c r="X344" s="13">
        <v>14</v>
      </c>
      <c r="Y344" s="13">
        <v>3</v>
      </c>
      <c r="Z344" s="13">
        <v>3</v>
      </c>
      <c r="AA344" s="13">
        <v>80</v>
      </c>
      <c r="AB344" s="13">
        <v>0</v>
      </c>
      <c r="AC344" s="13">
        <v>11</v>
      </c>
      <c r="AD344" s="13">
        <v>2</v>
      </c>
      <c r="AE344" s="13">
        <v>2</v>
      </c>
      <c r="AF344" s="14">
        <v>11</v>
      </c>
      <c r="AG344" s="13">
        <v>9</v>
      </c>
      <c r="AH344" s="13">
        <v>4</v>
      </c>
      <c r="AI344" s="13">
        <v>10</v>
      </c>
      <c r="AJ344" s="13" t="str">
        <f t="shared" si="5"/>
        <v>30-39</v>
      </c>
      <c r="AK344" s="13" t="str">
        <f>IF(tblCleanData[[#This Row],[MonthlyIncome]]&lt;5000, "Low Income", IF(tblCleanData[[#This Row],[MonthlyIncome]]&lt;15000, "Medium Income", "High Income"))</f>
        <v>Medium Income</v>
      </c>
      <c r="AL344" s="13">
        <f>IF(tblCleanData[[#This Row],[Attrition]]="No", 0,1)</f>
        <v>0</v>
      </c>
      <c r="AM344" s="13">
        <f>IF(tblCleanData[[#This Row],[OverTime]] = "No", 0, 1)</f>
        <v>1</v>
      </c>
      <c r="AN344" s="13" t="str">
        <f>CHOOSE(tblCleanData[[#This Row],[Education]], "Below College","College","Bachelor","Master","Doctor")</f>
        <v>Master</v>
      </c>
      <c r="AO344" s="13" t="str">
        <f>VLOOKUP(tblCleanData[[#This Row],[EmployeeNumber]],tblHelpers[],15,TRUE)</f>
        <v>High Risk</v>
      </c>
      <c r="AP344" s="13">
        <f>VLOOKUP(tblCleanData[[#This Row],[EmployeeNumber]],tblHelpers[],14,0)</f>
        <v>59</v>
      </c>
    </row>
    <row r="345" spans="1:42" x14ac:dyDescent="0.25">
      <c r="A345" s="13">
        <v>29</v>
      </c>
      <c r="B345" s="13" t="s">
        <v>59</v>
      </c>
      <c r="C345" s="13" t="s">
        <v>37</v>
      </c>
      <c r="D345" s="13">
        <v>144</v>
      </c>
      <c r="E345" s="13" t="s">
        <v>39</v>
      </c>
      <c r="F345" s="13">
        <v>10</v>
      </c>
      <c r="G345" s="13">
        <v>1</v>
      </c>
      <c r="H345" s="13" t="s">
        <v>206</v>
      </c>
      <c r="I345" s="13">
        <v>1</v>
      </c>
      <c r="J345" s="13">
        <v>463</v>
      </c>
      <c r="K345" s="13">
        <v>4</v>
      </c>
      <c r="L345" s="13" t="s">
        <v>43</v>
      </c>
      <c r="M345" s="13">
        <v>39</v>
      </c>
      <c r="N345" s="13">
        <v>2</v>
      </c>
      <c r="O345" s="13">
        <v>2</v>
      </c>
      <c r="P345" s="13" t="s">
        <v>46</v>
      </c>
      <c r="Q345" s="13">
        <v>2</v>
      </c>
      <c r="R345" s="13" t="s">
        <v>109</v>
      </c>
      <c r="S345" s="20">
        <v>8268</v>
      </c>
      <c r="T345" s="13">
        <v>11866</v>
      </c>
      <c r="U345" s="13">
        <v>1</v>
      </c>
      <c r="V345" s="13" t="s">
        <v>52</v>
      </c>
      <c r="W345" s="13" t="s">
        <v>36</v>
      </c>
      <c r="X345" s="13">
        <v>14</v>
      </c>
      <c r="Y345" s="13">
        <v>3</v>
      </c>
      <c r="Z345" s="13">
        <v>1</v>
      </c>
      <c r="AA345" s="13">
        <v>80</v>
      </c>
      <c r="AB345" s="13">
        <v>2</v>
      </c>
      <c r="AC345" s="13">
        <v>7</v>
      </c>
      <c r="AD345" s="13">
        <v>2</v>
      </c>
      <c r="AE345" s="13">
        <v>3</v>
      </c>
      <c r="AF345" s="14">
        <v>7</v>
      </c>
      <c r="AG345" s="13">
        <v>7</v>
      </c>
      <c r="AH345" s="13">
        <v>1</v>
      </c>
      <c r="AI345" s="13">
        <v>7</v>
      </c>
      <c r="AJ345" s="13" t="str">
        <f t="shared" si="5"/>
        <v>Under 30</v>
      </c>
      <c r="AK345" s="13" t="str">
        <f>IF(tblCleanData[[#This Row],[MonthlyIncome]]&lt;5000, "Low Income", IF(tblCleanData[[#This Row],[MonthlyIncome]]&lt;15000, "Medium Income", "High Income"))</f>
        <v>Medium Income</v>
      </c>
      <c r="AL345" s="13">
        <f>IF(tblCleanData[[#This Row],[Attrition]]="No", 0,1)</f>
        <v>0</v>
      </c>
      <c r="AM345" s="13">
        <f>IF(tblCleanData[[#This Row],[OverTime]] = "No", 0, 1)</f>
        <v>1</v>
      </c>
      <c r="AN345" s="13" t="str">
        <f>CHOOSE(tblCleanData[[#This Row],[Education]], "Below College","College","Bachelor","Master","Doctor")</f>
        <v>Below College</v>
      </c>
      <c r="AO345" s="13" t="str">
        <f>VLOOKUP(tblCleanData[[#This Row],[EmployeeNumber]],tblHelpers[],15,TRUE)</f>
        <v>High Risk</v>
      </c>
      <c r="AP345" s="13">
        <f>VLOOKUP(tblCleanData[[#This Row],[EmployeeNumber]],tblHelpers[],14,0)</f>
        <v>87</v>
      </c>
    </row>
    <row r="346" spans="1:42" x14ac:dyDescent="0.25">
      <c r="A346" s="13">
        <v>35</v>
      </c>
      <c r="B346" s="13" t="s">
        <v>59</v>
      </c>
      <c r="C346" s="13" t="s">
        <v>37</v>
      </c>
      <c r="D346" s="13">
        <v>1296</v>
      </c>
      <c r="E346" s="13" t="s">
        <v>62</v>
      </c>
      <c r="F346" s="13">
        <v>5</v>
      </c>
      <c r="G346" s="13">
        <v>4</v>
      </c>
      <c r="H346" s="13" t="s">
        <v>228</v>
      </c>
      <c r="I346" s="13">
        <v>1</v>
      </c>
      <c r="J346" s="13">
        <v>464</v>
      </c>
      <c r="K346" s="13">
        <v>3</v>
      </c>
      <c r="L346" s="13" t="s">
        <v>63</v>
      </c>
      <c r="M346" s="13">
        <v>62</v>
      </c>
      <c r="N346" s="13">
        <v>3</v>
      </c>
      <c r="O346" s="13">
        <v>3</v>
      </c>
      <c r="P346" s="13" t="s">
        <v>116</v>
      </c>
      <c r="Q346" s="13">
        <v>2</v>
      </c>
      <c r="R346" s="13" t="s">
        <v>48</v>
      </c>
      <c r="S346" s="20">
        <v>8095</v>
      </c>
      <c r="T346" s="13">
        <v>18264</v>
      </c>
      <c r="U346" s="13">
        <v>0</v>
      </c>
      <c r="V346" s="13" t="s">
        <v>52</v>
      </c>
      <c r="W346" s="13" t="s">
        <v>59</v>
      </c>
      <c r="X346" s="13">
        <v>13</v>
      </c>
      <c r="Y346" s="13">
        <v>3</v>
      </c>
      <c r="Z346" s="13">
        <v>4</v>
      </c>
      <c r="AA346" s="13">
        <v>80</v>
      </c>
      <c r="AB346" s="13">
        <v>0</v>
      </c>
      <c r="AC346" s="13">
        <v>17</v>
      </c>
      <c r="AD346" s="13">
        <v>5</v>
      </c>
      <c r="AE346" s="13">
        <v>3</v>
      </c>
      <c r="AF346" s="14">
        <v>16</v>
      </c>
      <c r="AG346" s="13">
        <v>6</v>
      </c>
      <c r="AH346" s="13">
        <v>0</v>
      </c>
      <c r="AI346" s="13">
        <v>13</v>
      </c>
      <c r="AJ346" s="13" t="str">
        <f t="shared" si="5"/>
        <v>30-39</v>
      </c>
      <c r="AK346" s="13" t="str">
        <f>IF(tblCleanData[[#This Row],[MonthlyIncome]]&lt;5000, "Low Income", IF(tblCleanData[[#This Row],[MonthlyIncome]]&lt;15000, "Medium Income", "High Income"))</f>
        <v>Medium Income</v>
      </c>
      <c r="AL346" s="13">
        <f>IF(tblCleanData[[#This Row],[Attrition]]="No", 0,1)</f>
        <v>0</v>
      </c>
      <c r="AM346" s="13">
        <f>IF(tblCleanData[[#This Row],[OverTime]] = "No", 0, 1)</f>
        <v>0</v>
      </c>
      <c r="AN346" s="13" t="str">
        <f>CHOOSE(tblCleanData[[#This Row],[Education]], "Below College","College","Bachelor","Master","Doctor")</f>
        <v>Master</v>
      </c>
      <c r="AO346" s="13" t="str">
        <f>VLOOKUP(tblCleanData[[#This Row],[EmployeeNumber]],tblHelpers[],15,TRUE)</f>
        <v>Medium Risk</v>
      </c>
      <c r="AP346" s="13">
        <f>VLOOKUP(tblCleanData[[#This Row],[EmployeeNumber]],tblHelpers[],14,0)</f>
        <v>47</v>
      </c>
    </row>
    <row r="347" spans="1:42" x14ac:dyDescent="0.25">
      <c r="A347" s="13">
        <v>23</v>
      </c>
      <c r="B347" s="13" t="s">
        <v>59</v>
      </c>
      <c r="C347" s="13" t="s">
        <v>37</v>
      </c>
      <c r="D347" s="13">
        <v>1309</v>
      </c>
      <c r="E347" s="13" t="s">
        <v>62</v>
      </c>
      <c r="F347" s="13">
        <v>26</v>
      </c>
      <c r="G347" s="13">
        <v>1</v>
      </c>
      <c r="H347" s="13" t="s">
        <v>42</v>
      </c>
      <c r="I347" s="13">
        <v>1</v>
      </c>
      <c r="J347" s="13">
        <v>465</v>
      </c>
      <c r="K347" s="13">
        <v>3</v>
      </c>
      <c r="L347" s="13" t="s">
        <v>63</v>
      </c>
      <c r="M347" s="13">
        <v>83</v>
      </c>
      <c r="N347" s="13">
        <v>3</v>
      </c>
      <c r="O347" s="13">
        <v>1</v>
      </c>
      <c r="P347" s="13" t="s">
        <v>65</v>
      </c>
      <c r="Q347" s="13">
        <v>4</v>
      </c>
      <c r="R347" s="13" t="s">
        <v>109</v>
      </c>
      <c r="S347" s="20">
        <v>2904</v>
      </c>
      <c r="T347" s="13">
        <v>16092</v>
      </c>
      <c r="U347" s="13">
        <v>1</v>
      </c>
      <c r="V347" s="13" t="s">
        <v>52</v>
      </c>
      <c r="W347" s="13" t="s">
        <v>59</v>
      </c>
      <c r="X347" s="13">
        <v>12</v>
      </c>
      <c r="Y347" s="13">
        <v>3</v>
      </c>
      <c r="Z347" s="13">
        <v>3</v>
      </c>
      <c r="AA347" s="13">
        <v>80</v>
      </c>
      <c r="AB347" s="13">
        <v>2</v>
      </c>
      <c r="AC347" s="13">
        <v>4</v>
      </c>
      <c r="AD347" s="13">
        <v>2</v>
      </c>
      <c r="AE347" s="13">
        <v>2</v>
      </c>
      <c r="AF347" s="14">
        <v>4</v>
      </c>
      <c r="AG347" s="13">
        <v>2</v>
      </c>
      <c r="AH347" s="13">
        <v>0</v>
      </c>
      <c r="AI347" s="13">
        <v>2</v>
      </c>
      <c r="AJ347" s="13" t="str">
        <f t="shared" si="5"/>
        <v>Under 30</v>
      </c>
      <c r="AK347" s="13" t="str">
        <f>IF(tblCleanData[[#This Row],[MonthlyIncome]]&lt;5000, "Low Income", IF(tblCleanData[[#This Row],[MonthlyIncome]]&lt;15000, "Medium Income", "High Income"))</f>
        <v>Low Income</v>
      </c>
      <c r="AL347" s="13">
        <f>IF(tblCleanData[[#This Row],[Attrition]]="No", 0,1)</f>
        <v>0</v>
      </c>
      <c r="AM347" s="13">
        <f>IF(tblCleanData[[#This Row],[OverTime]] = "No", 0, 1)</f>
        <v>0</v>
      </c>
      <c r="AN347" s="13" t="str">
        <f>CHOOSE(tblCleanData[[#This Row],[Education]], "Below College","College","Bachelor","Master","Doctor")</f>
        <v>Below College</v>
      </c>
      <c r="AO347" s="13" t="str">
        <f>VLOOKUP(tblCleanData[[#This Row],[EmployeeNumber]],tblHelpers[],15,TRUE)</f>
        <v>High Risk</v>
      </c>
      <c r="AP347" s="13">
        <f>VLOOKUP(tblCleanData[[#This Row],[EmployeeNumber]],tblHelpers[],14,0)</f>
        <v>56</v>
      </c>
    </row>
    <row r="348" spans="1:42" x14ac:dyDescent="0.25">
      <c r="A348" s="13">
        <v>41</v>
      </c>
      <c r="B348" s="13" t="s">
        <v>59</v>
      </c>
      <c r="C348" s="13" t="s">
        <v>37</v>
      </c>
      <c r="D348" s="13">
        <v>483</v>
      </c>
      <c r="E348" s="13" t="s">
        <v>62</v>
      </c>
      <c r="F348" s="13">
        <v>6</v>
      </c>
      <c r="G348" s="13">
        <v>3</v>
      </c>
      <c r="H348" s="13" t="s">
        <v>87</v>
      </c>
      <c r="I348" s="13">
        <v>1</v>
      </c>
      <c r="J348" s="13">
        <v>466</v>
      </c>
      <c r="K348" s="13">
        <v>4</v>
      </c>
      <c r="L348" s="13" t="s">
        <v>63</v>
      </c>
      <c r="M348" s="13">
        <v>95</v>
      </c>
      <c r="N348" s="13">
        <v>2</v>
      </c>
      <c r="O348" s="13">
        <v>2</v>
      </c>
      <c r="P348" s="13" t="s">
        <v>116</v>
      </c>
      <c r="Q348" s="13">
        <v>2</v>
      </c>
      <c r="R348" s="13" t="s">
        <v>48</v>
      </c>
      <c r="S348" s="20">
        <v>6032</v>
      </c>
      <c r="T348" s="13">
        <v>10110</v>
      </c>
      <c r="U348" s="13">
        <v>6</v>
      </c>
      <c r="V348" s="13" t="s">
        <v>52</v>
      </c>
      <c r="W348" s="13" t="s">
        <v>36</v>
      </c>
      <c r="X348" s="13">
        <v>15</v>
      </c>
      <c r="Y348" s="13">
        <v>3</v>
      </c>
      <c r="Z348" s="13">
        <v>4</v>
      </c>
      <c r="AA348" s="13">
        <v>80</v>
      </c>
      <c r="AB348" s="13">
        <v>0</v>
      </c>
      <c r="AC348" s="13">
        <v>8</v>
      </c>
      <c r="AD348" s="13">
        <v>3</v>
      </c>
      <c r="AE348" s="13">
        <v>3</v>
      </c>
      <c r="AF348" s="14">
        <v>5</v>
      </c>
      <c r="AG348" s="13">
        <v>4</v>
      </c>
      <c r="AH348" s="13">
        <v>1</v>
      </c>
      <c r="AI348" s="13">
        <v>2</v>
      </c>
      <c r="AJ348" s="13" t="str">
        <f t="shared" si="5"/>
        <v>40-49</v>
      </c>
      <c r="AK348" s="13" t="str">
        <f>IF(tblCleanData[[#This Row],[MonthlyIncome]]&lt;5000, "Low Income", IF(tblCleanData[[#This Row],[MonthlyIncome]]&lt;15000, "Medium Income", "High Income"))</f>
        <v>Medium Income</v>
      </c>
      <c r="AL348" s="13">
        <f>IF(tblCleanData[[#This Row],[Attrition]]="No", 0,1)</f>
        <v>0</v>
      </c>
      <c r="AM348" s="13">
        <f>IF(tblCleanData[[#This Row],[OverTime]] = "No", 0, 1)</f>
        <v>1</v>
      </c>
      <c r="AN348" s="13" t="str">
        <f>CHOOSE(tblCleanData[[#This Row],[Education]], "Below College","College","Bachelor","Master","Doctor")</f>
        <v>Bachelor</v>
      </c>
      <c r="AO348" s="13" t="str">
        <f>VLOOKUP(tblCleanData[[#This Row],[EmployeeNumber]],tblHelpers[],15,TRUE)</f>
        <v>High Risk</v>
      </c>
      <c r="AP348" s="13">
        <f>VLOOKUP(tblCleanData[[#This Row],[EmployeeNumber]],tblHelpers[],14,0)</f>
        <v>74</v>
      </c>
    </row>
    <row r="349" spans="1:42" x14ac:dyDescent="0.25">
      <c r="A349" s="13">
        <v>47</v>
      </c>
      <c r="B349" s="13" t="s">
        <v>59</v>
      </c>
      <c r="C349" s="13" t="s">
        <v>60</v>
      </c>
      <c r="D349" s="13">
        <v>1309</v>
      </c>
      <c r="E349" s="13" t="s">
        <v>39</v>
      </c>
      <c r="F349" s="13">
        <v>4</v>
      </c>
      <c r="G349" s="13">
        <v>1</v>
      </c>
      <c r="H349" s="13" t="s">
        <v>87</v>
      </c>
      <c r="I349" s="13">
        <v>1</v>
      </c>
      <c r="J349" s="13">
        <v>467</v>
      </c>
      <c r="K349" s="13">
        <v>2</v>
      </c>
      <c r="L349" s="13" t="s">
        <v>63</v>
      </c>
      <c r="M349" s="13">
        <v>99</v>
      </c>
      <c r="N349" s="13">
        <v>3</v>
      </c>
      <c r="O349" s="13">
        <v>2</v>
      </c>
      <c r="P349" s="13" t="s">
        <v>182</v>
      </c>
      <c r="Q349" s="13">
        <v>3</v>
      </c>
      <c r="R349" s="13" t="s">
        <v>48</v>
      </c>
      <c r="S349" s="20">
        <v>2976</v>
      </c>
      <c r="T349" s="13">
        <v>25751</v>
      </c>
      <c r="U349" s="13">
        <v>3</v>
      </c>
      <c r="V349" s="13" t="s">
        <v>52</v>
      </c>
      <c r="W349" s="13" t="s">
        <v>59</v>
      </c>
      <c r="X349" s="13">
        <v>19</v>
      </c>
      <c r="Y349" s="13">
        <v>3</v>
      </c>
      <c r="Z349" s="13">
        <v>1</v>
      </c>
      <c r="AA349" s="13">
        <v>80</v>
      </c>
      <c r="AB349" s="13">
        <v>0</v>
      </c>
      <c r="AC349" s="13">
        <v>5</v>
      </c>
      <c r="AD349" s="13">
        <v>3</v>
      </c>
      <c r="AE349" s="13">
        <v>3</v>
      </c>
      <c r="AF349" s="14">
        <v>0</v>
      </c>
      <c r="AG349" s="13">
        <v>0</v>
      </c>
      <c r="AH349" s="13">
        <v>0</v>
      </c>
      <c r="AI349" s="13">
        <v>0</v>
      </c>
      <c r="AJ349" s="13" t="str">
        <f t="shared" si="5"/>
        <v>40-49</v>
      </c>
      <c r="AK349" s="13" t="str">
        <f>IF(tblCleanData[[#This Row],[MonthlyIncome]]&lt;5000, "Low Income", IF(tblCleanData[[#This Row],[MonthlyIncome]]&lt;15000, "Medium Income", "High Income"))</f>
        <v>Low Income</v>
      </c>
      <c r="AL349" s="13">
        <f>IF(tblCleanData[[#This Row],[Attrition]]="No", 0,1)</f>
        <v>0</v>
      </c>
      <c r="AM349" s="13">
        <f>IF(tblCleanData[[#This Row],[OverTime]] = "No", 0, 1)</f>
        <v>0</v>
      </c>
      <c r="AN349" s="13" t="str">
        <f>CHOOSE(tblCleanData[[#This Row],[Education]], "Below College","College","Bachelor","Master","Doctor")</f>
        <v>Below College</v>
      </c>
      <c r="AO349" s="13" t="str">
        <f>VLOOKUP(tblCleanData[[#This Row],[EmployeeNumber]],tblHelpers[],15,TRUE)</f>
        <v>Medium Risk</v>
      </c>
      <c r="AP349" s="13">
        <f>VLOOKUP(tblCleanData[[#This Row],[EmployeeNumber]],tblHelpers[],14,0)</f>
        <v>53</v>
      </c>
    </row>
    <row r="350" spans="1:42" x14ac:dyDescent="0.25">
      <c r="A350" s="13">
        <v>42</v>
      </c>
      <c r="B350" s="13" t="s">
        <v>59</v>
      </c>
      <c r="C350" s="13" t="s">
        <v>37</v>
      </c>
      <c r="D350" s="13">
        <v>810</v>
      </c>
      <c r="E350" s="13" t="s">
        <v>62</v>
      </c>
      <c r="F350" s="13">
        <v>23</v>
      </c>
      <c r="G350" s="13">
        <v>5</v>
      </c>
      <c r="H350" s="13" t="s">
        <v>42</v>
      </c>
      <c r="I350" s="13">
        <v>1</v>
      </c>
      <c r="J350" s="13">
        <v>468</v>
      </c>
      <c r="K350" s="13">
        <v>1</v>
      </c>
      <c r="L350" s="13" t="s">
        <v>43</v>
      </c>
      <c r="M350" s="13">
        <v>44</v>
      </c>
      <c r="N350" s="13">
        <v>3</v>
      </c>
      <c r="O350" s="13">
        <v>4</v>
      </c>
      <c r="P350" s="13" t="s">
        <v>186</v>
      </c>
      <c r="Q350" s="13">
        <v>4</v>
      </c>
      <c r="R350" s="13" t="s">
        <v>48</v>
      </c>
      <c r="S350" s="20">
        <v>15992</v>
      </c>
      <c r="T350" s="13">
        <v>15901</v>
      </c>
      <c r="U350" s="13">
        <v>2</v>
      </c>
      <c r="V350" s="13" t="s">
        <v>52</v>
      </c>
      <c r="W350" s="13" t="s">
        <v>59</v>
      </c>
      <c r="X350" s="13">
        <v>14</v>
      </c>
      <c r="Y350" s="13">
        <v>3</v>
      </c>
      <c r="Z350" s="13">
        <v>2</v>
      </c>
      <c r="AA350" s="13">
        <v>80</v>
      </c>
      <c r="AB350" s="13">
        <v>0</v>
      </c>
      <c r="AC350" s="13">
        <v>16</v>
      </c>
      <c r="AD350" s="13">
        <v>2</v>
      </c>
      <c r="AE350" s="13">
        <v>3</v>
      </c>
      <c r="AF350" s="14">
        <v>1</v>
      </c>
      <c r="AG350" s="13">
        <v>0</v>
      </c>
      <c r="AH350" s="13">
        <v>0</v>
      </c>
      <c r="AI350" s="13">
        <v>0</v>
      </c>
      <c r="AJ350" s="13" t="str">
        <f t="shared" si="5"/>
        <v>40-49</v>
      </c>
      <c r="AK350" s="13" t="str">
        <f>IF(tblCleanData[[#This Row],[MonthlyIncome]]&lt;5000, "Low Income", IF(tblCleanData[[#This Row],[MonthlyIncome]]&lt;15000, "Medium Income", "High Income"))</f>
        <v>High Income</v>
      </c>
      <c r="AL350" s="13">
        <f>IF(tblCleanData[[#This Row],[Attrition]]="No", 0,1)</f>
        <v>0</v>
      </c>
      <c r="AM350" s="13">
        <f>IF(tblCleanData[[#This Row],[OverTime]] = "No", 0, 1)</f>
        <v>0</v>
      </c>
      <c r="AN350" s="13" t="str">
        <f>CHOOSE(tblCleanData[[#This Row],[Education]], "Below College","College","Bachelor","Master","Doctor")</f>
        <v>Doctor</v>
      </c>
      <c r="AO350" s="13" t="str">
        <f>VLOOKUP(tblCleanData[[#This Row],[EmployeeNumber]],tblHelpers[],15,TRUE)</f>
        <v>Medium Risk</v>
      </c>
      <c r="AP350" s="13">
        <f>VLOOKUP(tblCleanData[[#This Row],[EmployeeNumber]],tblHelpers[],14,0)</f>
        <v>46</v>
      </c>
    </row>
    <row r="351" spans="1:42" x14ac:dyDescent="0.25">
      <c r="A351" s="13">
        <v>29</v>
      </c>
      <c r="B351" s="13" t="s">
        <v>59</v>
      </c>
      <c r="C351" s="13" t="s">
        <v>161</v>
      </c>
      <c r="D351" s="13">
        <v>746</v>
      </c>
      <c r="E351" s="13" t="s">
        <v>39</v>
      </c>
      <c r="F351" s="13">
        <v>2</v>
      </c>
      <c r="G351" s="13">
        <v>3</v>
      </c>
      <c r="H351" s="13" t="s">
        <v>42</v>
      </c>
      <c r="I351" s="13">
        <v>1</v>
      </c>
      <c r="J351" s="13">
        <v>469</v>
      </c>
      <c r="K351" s="13">
        <v>4</v>
      </c>
      <c r="L351" s="13" t="s">
        <v>63</v>
      </c>
      <c r="M351" s="13">
        <v>61</v>
      </c>
      <c r="N351" s="13">
        <v>3</v>
      </c>
      <c r="O351" s="13">
        <v>2</v>
      </c>
      <c r="P351" s="13" t="s">
        <v>46</v>
      </c>
      <c r="Q351" s="13">
        <v>3</v>
      </c>
      <c r="R351" s="13" t="s">
        <v>66</v>
      </c>
      <c r="S351" s="20">
        <v>4649</v>
      </c>
      <c r="T351" s="13">
        <v>16928</v>
      </c>
      <c r="U351" s="13">
        <v>1</v>
      </c>
      <c r="V351" s="13" t="s">
        <v>52</v>
      </c>
      <c r="W351" s="13" t="s">
        <v>59</v>
      </c>
      <c r="X351" s="13">
        <v>14</v>
      </c>
      <c r="Y351" s="13">
        <v>3</v>
      </c>
      <c r="Z351" s="13">
        <v>1</v>
      </c>
      <c r="AA351" s="13">
        <v>80</v>
      </c>
      <c r="AB351" s="13">
        <v>1</v>
      </c>
      <c r="AC351" s="13">
        <v>4</v>
      </c>
      <c r="AD351" s="13">
        <v>3</v>
      </c>
      <c r="AE351" s="13">
        <v>2</v>
      </c>
      <c r="AF351" s="14">
        <v>4</v>
      </c>
      <c r="AG351" s="13">
        <v>3</v>
      </c>
      <c r="AH351" s="13">
        <v>0</v>
      </c>
      <c r="AI351" s="13">
        <v>2</v>
      </c>
      <c r="AJ351" s="13" t="str">
        <f t="shared" si="5"/>
        <v>Under 30</v>
      </c>
      <c r="AK351" s="13" t="str">
        <f>IF(tblCleanData[[#This Row],[MonthlyIncome]]&lt;5000, "Low Income", IF(tblCleanData[[#This Row],[MonthlyIncome]]&lt;15000, "Medium Income", "High Income"))</f>
        <v>Low Income</v>
      </c>
      <c r="AL351" s="13">
        <f>IF(tblCleanData[[#This Row],[Attrition]]="No", 0,1)</f>
        <v>0</v>
      </c>
      <c r="AM351" s="13">
        <f>IF(tblCleanData[[#This Row],[OverTime]] = "No", 0, 1)</f>
        <v>0</v>
      </c>
      <c r="AN351" s="13" t="str">
        <f>CHOOSE(tblCleanData[[#This Row],[Education]], "Below College","College","Bachelor","Master","Doctor")</f>
        <v>Bachelor</v>
      </c>
      <c r="AO351" s="13" t="str">
        <f>VLOOKUP(tblCleanData[[#This Row],[EmployeeNumber]],tblHelpers[],15,TRUE)</f>
        <v>High Risk</v>
      </c>
      <c r="AP351" s="13">
        <f>VLOOKUP(tblCleanData[[#This Row],[EmployeeNumber]],tblHelpers[],14,0)</f>
        <v>63</v>
      </c>
    </row>
    <row r="352" spans="1:42" x14ac:dyDescent="0.25">
      <c r="A352" s="13">
        <v>42</v>
      </c>
      <c r="B352" s="13" t="s">
        <v>59</v>
      </c>
      <c r="C352" s="13" t="s">
        <v>37</v>
      </c>
      <c r="D352" s="13">
        <v>544</v>
      </c>
      <c r="E352" s="13" t="s">
        <v>397</v>
      </c>
      <c r="F352" s="13">
        <v>2</v>
      </c>
      <c r="G352" s="13">
        <v>1</v>
      </c>
      <c r="H352" s="13" t="s">
        <v>228</v>
      </c>
      <c r="I352" s="13">
        <v>1</v>
      </c>
      <c r="J352" s="13">
        <v>470</v>
      </c>
      <c r="K352" s="13">
        <v>3</v>
      </c>
      <c r="L352" s="13" t="s">
        <v>63</v>
      </c>
      <c r="M352" s="13">
        <v>52</v>
      </c>
      <c r="N352" s="13">
        <v>3</v>
      </c>
      <c r="O352" s="13">
        <v>1</v>
      </c>
      <c r="P352" s="13" t="s">
        <v>397</v>
      </c>
      <c r="Q352" s="13">
        <v>3</v>
      </c>
      <c r="R352" s="13" t="s">
        <v>109</v>
      </c>
      <c r="S352" s="20">
        <v>2696</v>
      </c>
      <c r="T352" s="13">
        <v>24017</v>
      </c>
      <c r="U352" s="13">
        <v>0</v>
      </c>
      <c r="V352" s="13" t="s">
        <v>52</v>
      </c>
      <c r="W352" s="13" t="s">
        <v>36</v>
      </c>
      <c r="X352" s="13">
        <v>11</v>
      </c>
      <c r="Y352" s="13">
        <v>3</v>
      </c>
      <c r="Z352" s="13">
        <v>3</v>
      </c>
      <c r="AA352" s="13">
        <v>80</v>
      </c>
      <c r="AB352" s="13">
        <v>1</v>
      </c>
      <c r="AC352" s="13">
        <v>4</v>
      </c>
      <c r="AD352" s="13">
        <v>5</v>
      </c>
      <c r="AE352" s="13">
        <v>3</v>
      </c>
      <c r="AF352" s="14">
        <v>3</v>
      </c>
      <c r="AG352" s="13">
        <v>2</v>
      </c>
      <c r="AH352" s="13">
        <v>1</v>
      </c>
      <c r="AI352" s="13">
        <v>0</v>
      </c>
      <c r="AJ352" s="13" t="str">
        <f t="shared" si="5"/>
        <v>40-49</v>
      </c>
      <c r="AK352" s="13" t="str">
        <f>IF(tblCleanData[[#This Row],[MonthlyIncome]]&lt;5000, "Low Income", IF(tblCleanData[[#This Row],[MonthlyIncome]]&lt;15000, "Medium Income", "High Income"))</f>
        <v>Low Income</v>
      </c>
      <c r="AL352" s="13">
        <f>IF(tblCleanData[[#This Row],[Attrition]]="No", 0,1)</f>
        <v>0</v>
      </c>
      <c r="AM352" s="13">
        <f>IF(tblCleanData[[#This Row],[OverTime]] = "No", 0, 1)</f>
        <v>1</v>
      </c>
      <c r="AN352" s="13" t="str">
        <f>CHOOSE(tblCleanData[[#This Row],[Education]], "Below College","College","Bachelor","Master","Doctor")</f>
        <v>Below College</v>
      </c>
      <c r="AO352" s="13" t="str">
        <f>VLOOKUP(tblCleanData[[#This Row],[EmployeeNumber]],tblHelpers[],15,TRUE)</f>
        <v>High Risk</v>
      </c>
      <c r="AP352" s="13">
        <f>VLOOKUP(tblCleanData[[#This Row],[EmployeeNumber]],tblHelpers[],14,0)</f>
        <v>68</v>
      </c>
    </row>
    <row r="353" spans="1:42" x14ac:dyDescent="0.25">
      <c r="A353" s="13">
        <v>32</v>
      </c>
      <c r="B353" s="13" t="s">
        <v>59</v>
      </c>
      <c r="C353" s="13" t="s">
        <v>37</v>
      </c>
      <c r="D353" s="13">
        <v>1062</v>
      </c>
      <c r="E353" s="13" t="s">
        <v>62</v>
      </c>
      <c r="F353" s="13">
        <v>2</v>
      </c>
      <c r="G353" s="13">
        <v>3</v>
      </c>
      <c r="H353" s="13" t="s">
        <v>87</v>
      </c>
      <c r="I353" s="13">
        <v>1</v>
      </c>
      <c r="J353" s="13">
        <v>471</v>
      </c>
      <c r="K353" s="13">
        <v>3</v>
      </c>
      <c r="L353" s="13" t="s">
        <v>43</v>
      </c>
      <c r="M353" s="13">
        <v>75</v>
      </c>
      <c r="N353" s="13">
        <v>3</v>
      </c>
      <c r="O353" s="13">
        <v>1</v>
      </c>
      <c r="P353" s="13" t="s">
        <v>76</v>
      </c>
      <c r="Q353" s="13">
        <v>2</v>
      </c>
      <c r="R353" s="13" t="s">
        <v>66</v>
      </c>
      <c r="S353" s="20">
        <v>2370</v>
      </c>
      <c r="T353" s="13">
        <v>3956</v>
      </c>
      <c r="U353" s="13">
        <v>1</v>
      </c>
      <c r="V353" s="13" t="s">
        <v>52</v>
      </c>
      <c r="W353" s="13" t="s">
        <v>59</v>
      </c>
      <c r="X353" s="13">
        <v>13</v>
      </c>
      <c r="Y353" s="13">
        <v>3</v>
      </c>
      <c r="Z353" s="13">
        <v>3</v>
      </c>
      <c r="AA353" s="13">
        <v>80</v>
      </c>
      <c r="AB353" s="13">
        <v>1</v>
      </c>
      <c r="AC353" s="13">
        <v>8</v>
      </c>
      <c r="AD353" s="13">
        <v>4</v>
      </c>
      <c r="AE353" s="13">
        <v>3</v>
      </c>
      <c r="AF353" s="14">
        <v>8</v>
      </c>
      <c r="AG353" s="13">
        <v>0</v>
      </c>
      <c r="AH353" s="13">
        <v>0</v>
      </c>
      <c r="AI353" s="13">
        <v>7</v>
      </c>
      <c r="AJ353" s="13" t="str">
        <f t="shared" si="5"/>
        <v>30-39</v>
      </c>
      <c r="AK353" s="13" t="str">
        <f>IF(tblCleanData[[#This Row],[MonthlyIncome]]&lt;5000, "Low Income", IF(tblCleanData[[#This Row],[MonthlyIncome]]&lt;15000, "Medium Income", "High Income"))</f>
        <v>Low Income</v>
      </c>
      <c r="AL353" s="13">
        <f>IF(tblCleanData[[#This Row],[Attrition]]="No", 0,1)</f>
        <v>0</v>
      </c>
      <c r="AM353" s="13">
        <f>IF(tblCleanData[[#This Row],[OverTime]] = "No", 0, 1)</f>
        <v>0</v>
      </c>
      <c r="AN353" s="13" t="str">
        <f>CHOOSE(tblCleanData[[#This Row],[Education]], "Below College","College","Bachelor","Master","Doctor")</f>
        <v>Bachelor</v>
      </c>
      <c r="AO353" s="13" t="str">
        <f>VLOOKUP(tblCleanData[[#This Row],[EmployeeNumber]],tblHelpers[],15,TRUE)</f>
        <v>Medium Risk</v>
      </c>
      <c r="AP353" s="13">
        <f>VLOOKUP(tblCleanData[[#This Row],[EmployeeNumber]],tblHelpers[],14,0)</f>
        <v>52</v>
      </c>
    </row>
    <row r="354" spans="1:42" x14ac:dyDescent="0.25">
      <c r="A354" s="13">
        <v>48</v>
      </c>
      <c r="B354" s="13" t="s">
        <v>59</v>
      </c>
      <c r="C354" s="13" t="s">
        <v>37</v>
      </c>
      <c r="D354" s="13">
        <v>530</v>
      </c>
      <c r="E354" s="13" t="s">
        <v>39</v>
      </c>
      <c r="F354" s="13">
        <v>29</v>
      </c>
      <c r="G354" s="13">
        <v>1</v>
      </c>
      <c r="H354" s="13" t="s">
        <v>87</v>
      </c>
      <c r="I354" s="13">
        <v>1</v>
      </c>
      <c r="J354" s="13">
        <v>473</v>
      </c>
      <c r="K354" s="13">
        <v>1</v>
      </c>
      <c r="L354" s="13" t="s">
        <v>43</v>
      </c>
      <c r="M354" s="13">
        <v>91</v>
      </c>
      <c r="N354" s="13">
        <v>3</v>
      </c>
      <c r="O354" s="13">
        <v>3</v>
      </c>
      <c r="P354" s="13" t="s">
        <v>169</v>
      </c>
      <c r="Q354" s="13">
        <v>3</v>
      </c>
      <c r="R354" s="13" t="s">
        <v>66</v>
      </c>
      <c r="S354" s="20">
        <v>12504</v>
      </c>
      <c r="T354" s="13">
        <v>23978</v>
      </c>
      <c r="U354" s="13">
        <v>3</v>
      </c>
      <c r="V354" s="13" t="s">
        <v>52</v>
      </c>
      <c r="W354" s="13" t="s">
        <v>59</v>
      </c>
      <c r="X354" s="13">
        <v>21</v>
      </c>
      <c r="Y354" s="13">
        <v>4</v>
      </c>
      <c r="Z354" s="13">
        <v>2</v>
      </c>
      <c r="AA354" s="13">
        <v>80</v>
      </c>
      <c r="AB354" s="13">
        <v>1</v>
      </c>
      <c r="AC354" s="13">
        <v>15</v>
      </c>
      <c r="AD354" s="13">
        <v>3</v>
      </c>
      <c r="AE354" s="13">
        <v>1</v>
      </c>
      <c r="AF354" s="14">
        <v>0</v>
      </c>
      <c r="AG354" s="13">
        <v>0</v>
      </c>
      <c r="AH354" s="13">
        <v>0</v>
      </c>
      <c r="AI354" s="13">
        <v>0</v>
      </c>
      <c r="AJ354" s="13" t="str">
        <f t="shared" si="5"/>
        <v>40-49</v>
      </c>
      <c r="AK354" s="13" t="str">
        <f>IF(tblCleanData[[#This Row],[MonthlyIncome]]&lt;5000, "Low Income", IF(tblCleanData[[#This Row],[MonthlyIncome]]&lt;15000, "Medium Income", "High Income"))</f>
        <v>Medium Income</v>
      </c>
      <c r="AL354" s="13">
        <f>IF(tblCleanData[[#This Row],[Attrition]]="No", 0,1)</f>
        <v>0</v>
      </c>
      <c r="AM354" s="13">
        <f>IF(tblCleanData[[#This Row],[OverTime]] = "No", 0, 1)</f>
        <v>0</v>
      </c>
      <c r="AN354" s="13" t="str">
        <f>CHOOSE(tblCleanData[[#This Row],[Education]], "Below College","College","Bachelor","Master","Doctor")</f>
        <v>Below College</v>
      </c>
      <c r="AO354" s="13" t="str">
        <f>VLOOKUP(tblCleanData[[#This Row],[EmployeeNumber]],tblHelpers[],15,TRUE)</f>
        <v>Medium Risk</v>
      </c>
      <c r="AP354" s="13">
        <f>VLOOKUP(tblCleanData[[#This Row],[EmployeeNumber]],tblHelpers[],14,0)</f>
        <v>53</v>
      </c>
    </row>
    <row r="355" spans="1:42" x14ac:dyDescent="0.25">
      <c r="A355" s="13">
        <v>37</v>
      </c>
      <c r="B355" s="13" t="s">
        <v>59</v>
      </c>
      <c r="C355" s="13" t="s">
        <v>37</v>
      </c>
      <c r="D355" s="13">
        <v>1319</v>
      </c>
      <c r="E355" s="13" t="s">
        <v>62</v>
      </c>
      <c r="F355" s="13">
        <v>6</v>
      </c>
      <c r="G355" s="13">
        <v>3</v>
      </c>
      <c r="H355" s="13" t="s">
        <v>87</v>
      </c>
      <c r="I355" s="13">
        <v>1</v>
      </c>
      <c r="J355" s="13">
        <v>474</v>
      </c>
      <c r="K355" s="13">
        <v>3</v>
      </c>
      <c r="L355" s="13" t="s">
        <v>63</v>
      </c>
      <c r="M355" s="13">
        <v>51</v>
      </c>
      <c r="N355" s="13">
        <v>4</v>
      </c>
      <c r="O355" s="13">
        <v>2</v>
      </c>
      <c r="P355" s="13" t="s">
        <v>65</v>
      </c>
      <c r="Q355" s="13">
        <v>1</v>
      </c>
      <c r="R355" s="13" t="s">
        <v>109</v>
      </c>
      <c r="S355" s="20">
        <v>5974</v>
      </c>
      <c r="T355" s="13">
        <v>17001</v>
      </c>
      <c r="U355" s="13">
        <v>4</v>
      </c>
      <c r="V355" s="13" t="s">
        <v>52</v>
      </c>
      <c r="W355" s="13" t="s">
        <v>36</v>
      </c>
      <c r="X355" s="13">
        <v>13</v>
      </c>
      <c r="Y355" s="13">
        <v>3</v>
      </c>
      <c r="Z355" s="13">
        <v>1</v>
      </c>
      <c r="AA355" s="13">
        <v>80</v>
      </c>
      <c r="AB355" s="13">
        <v>2</v>
      </c>
      <c r="AC355" s="13">
        <v>13</v>
      </c>
      <c r="AD355" s="13">
        <v>2</v>
      </c>
      <c r="AE355" s="13">
        <v>3</v>
      </c>
      <c r="AF355" s="14">
        <v>7</v>
      </c>
      <c r="AG355" s="13">
        <v>7</v>
      </c>
      <c r="AH355" s="13">
        <v>6</v>
      </c>
      <c r="AI355" s="13">
        <v>7</v>
      </c>
      <c r="AJ355" s="13" t="str">
        <f t="shared" si="5"/>
        <v>30-39</v>
      </c>
      <c r="AK355" s="13" t="str">
        <f>IF(tblCleanData[[#This Row],[MonthlyIncome]]&lt;5000, "Low Income", IF(tblCleanData[[#This Row],[MonthlyIncome]]&lt;15000, "Medium Income", "High Income"))</f>
        <v>Medium Income</v>
      </c>
      <c r="AL355" s="13">
        <f>IF(tblCleanData[[#This Row],[Attrition]]="No", 0,1)</f>
        <v>0</v>
      </c>
      <c r="AM355" s="13">
        <f>IF(tblCleanData[[#This Row],[OverTime]] = "No", 0, 1)</f>
        <v>1</v>
      </c>
      <c r="AN355" s="13" t="str">
        <f>CHOOSE(tblCleanData[[#This Row],[Education]], "Below College","College","Bachelor","Master","Doctor")</f>
        <v>Bachelor</v>
      </c>
      <c r="AO355" s="13" t="str">
        <f>VLOOKUP(tblCleanData[[#This Row],[EmployeeNumber]],tblHelpers[],15,TRUE)</f>
        <v>High Risk</v>
      </c>
      <c r="AP355" s="13">
        <f>VLOOKUP(tblCleanData[[#This Row],[EmployeeNumber]],tblHelpers[],14,0)</f>
        <v>83</v>
      </c>
    </row>
    <row r="356" spans="1:42" x14ac:dyDescent="0.25">
      <c r="A356" s="13">
        <v>30</v>
      </c>
      <c r="B356" s="13" t="s">
        <v>59</v>
      </c>
      <c r="C356" s="13" t="s">
        <v>161</v>
      </c>
      <c r="D356" s="13">
        <v>641</v>
      </c>
      <c r="E356" s="13" t="s">
        <v>39</v>
      </c>
      <c r="F356" s="13">
        <v>25</v>
      </c>
      <c r="G356" s="13">
        <v>2</v>
      </c>
      <c r="H356" s="13" t="s">
        <v>228</v>
      </c>
      <c r="I356" s="13">
        <v>1</v>
      </c>
      <c r="J356" s="13">
        <v>475</v>
      </c>
      <c r="K356" s="13">
        <v>4</v>
      </c>
      <c r="L356" s="13" t="s">
        <v>43</v>
      </c>
      <c r="M356" s="13">
        <v>85</v>
      </c>
      <c r="N356" s="13">
        <v>3</v>
      </c>
      <c r="O356" s="13">
        <v>2</v>
      </c>
      <c r="P356" s="13" t="s">
        <v>46</v>
      </c>
      <c r="Q356" s="13">
        <v>3</v>
      </c>
      <c r="R356" s="13" t="s">
        <v>66</v>
      </c>
      <c r="S356" s="20">
        <v>4736</v>
      </c>
      <c r="T356" s="13">
        <v>6069</v>
      </c>
      <c r="U356" s="13">
        <v>7</v>
      </c>
      <c r="V356" s="13" t="s">
        <v>52</v>
      </c>
      <c r="W356" s="13" t="s">
        <v>36</v>
      </c>
      <c r="X356" s="13">
        <v>12</v>
      </c>
      <c r="Y356" s="13">
        <v>3</v>
      </c>
      <c r="Z356" s="13">
        <v>2</v>
      </c>
      <c r="AA356" s="13">
        <v>80</v>
      </c>
      <c r="AB356" s="13">
        <v>1</v>
      </c>
      <c r="AC356" s="13">
        <v>4</v>
      </c>
      <c r="AD356" s="13">
        <v>2</v>
      </c>
      <c r="AE356" s="13">
        <v>4</v>
      </c>
      <c r="AF356" s="14">
        <v>2</v>
      </c>
      <c r="AG356" s="13">
        <v>2</v>
      </c>
      <c r="AH356" s="13">
        <v>2</v>
      </c>
      <c r="AI356" s="13">
        <v>2</v>
      </c>
      <c r="AJ356" s="13" t="str">
        <f t="shared" si="5"/>
        <v>30-39</v>
      </c>
      <c r="AK356" s="13" t="str">
        <f>IF(tblCleanData[[#This Row],[MonthlyIncome]]&lt;5000, "Low Income", IF(tblCleanData[[#This Row],[MonthlyIncome]]&lt;15000, "Medium Income", "High Income"))</f>
        <v>Low Income</v>
      </c>
      <c r="AL356" s="13">
        <f>IF(tblCleanData[[#This Row],[Attrition]]="No", 0,1)</f>
        <v>0</v>
      </c>
      <c r="AM356" s="13">
        <f>IF(tblCleanData[[#This Row],[OverTime]] = "No", 0, 1)</f>
        <v>1</v>
      </c>
      <c r="AN356" s="13" t="str">
        <f>CHOOSE(tblCleanData[[#This Row],[Education]], "Below College","College","Bachelor","Master","Doctor")</f>
        <v>College</v>
      </c>
      <c r="AO356" s="13" t="str">
        <f>VLOOKUP(tblCleanData[[#This Row],[EmployeeNumber]],tblHelpers[],15,TRUE)</f>
        <v>High Risk</v>
      </c>
      <c r="AP356" s="13">
        <f>VLOOKUP(tblCleanData[[#This Row],[EmployeeNumber]],tblHelpers[],14,0)</f>
        <v>88</v>
      </c>
    </row>
    <row r="357" spans="1:42" x14ac:dyDescent="0.25">
      <c r="A357" s="13">
        <v>26</v>
      </c>
      <c r="B357" s="13" t="s">
        <v>59</v>
      </c>
      <c r="C357" s="13" t="s">
        <v>37</v>
      </c>
      <c r="D357" s="13">
        <v>933</v>
      </c>
      <c r="E357" s="13" t="s">
        <v>39</v>
      </c>
      <c r="F357" s="13">
        <v>1</v>
      </c>
      <c r="G357" s="13">
        <v>3</v>
      </c>
      <c r="H357" s="13" t="s">
        <v>42</v>
      </c>
      <c r="I357" s="13">
        <v>1</v>
      </c>
      <c r="J357" s="13">
        <v>476</v>
      </c>
      <c r="K357" s="13">
        <v>3</v>
      </c>
      <c r="L357" s="13" t="s">
        <v>63</v>
      </c>
      <c r="M357" s="13">
        <v>57</v>
      </c>
      <c r="N357" s="13">
        <v>3</v>
      </c>
      <c r="O357" s="13">
        <v>2</v>
      </c>
      <c r="P357" s="13" t="s">
        <v>46</v>
      </c>
      <c r="Q357" s="13">
        <v>3</v>
      </c>
      <c r="R357" s="13" t="s">
        <v>66</v>
      </c>
      <c r="S357" s="20">
        <v>5296</v>
      </c>
      <c r="T357" s="13">
        <v>20156</v>
      </c>
      <c r="U357" s="13">
        <v>1</v>
      </c>
      <c r="V357" s="13" t="s">
        <v>52</v>
      </c>
      <c r="W357" s="13" t="s">
        <v>59</v>
      </c>
      <c r="X357" s="13">
        <v>17</v>
      </c>
      <c r="Y357" s="13">
        <v>3</v>
      </c>
      <c r="Z357" s="13">
        <v>2</v>
      </c>
      <c r="AA357" s="13">
        <v>80</v>
      </c>
      <c r="AB357" s="13">
        <v>1</v>
      </c>
      <c r="AC357" s="13">
        <v>8</v>
      </c>
      <c r="AD357" s="13">
        <v>3</v>
      </c>
      <c r="AE357" s="13">
        <v>3</v>
      </c>
      <c r="AF357" s="14">
        <v>8</v>
      </c>
      <c r="AG357" s="13">
        <v>7</v>
      </c>
      <c r="AH357" s="13">
        <v>7</v>
      </c>
      <c r="AI357" s="13">
        <v>7</v>
      </c>
      <c r="AJ357" s="13" t="str">
        <f t="shared" si="5"/>
        <v>Under 30</v>
      </c>
      <c r="AK357" s="13" t="str">
        <f>IF(tblCleanData[[#This Row],[MonthlyIncome]]&lt;5000, "Low Income", IF(tblCleanData[[#This Row],[MonthlyIncome]]&lt;15000, "Medium Income", "High Income"))</f>
        <v>Medium Income</v>
      </c>
      <c r="AL357" s="13">
        <f>IF(tblCleanData[[#This Row],[Attrition]]="No", 0,1)</f>
        <v>0</v>
      </c>
      <c r="AM357" s="13">
        <f>IF(tblCleanData[[#This Row],[OverTime]] = "No", 0, 1)</f>
        <v>0</v>
      </c>
      <c r="AN357" s="13" t="str">
        <f>CHOOSE(tblCleanData[[#This Row],[Education]], "Below College","College","Bachelor","Master","Doctor")</f>
        <v>Bachelor</v>
      </c>
      <c r="AO357" s="13" t="str">
        <f>VLOOKUP(tblCleanData[[#This Row],[EmployeeNumber]],tblHelpers[],15,TRUE)</f>
        <v>High Risk</v>
      </c>
      <c r="AP357" s="13">
        <f>VLOOKUP(tblCleanData[[#This Row],[EmployeeNumber]],tblHelpers[],14,0)</f>
        <v>56</v>
      </c>
    </row>
    <row r="358" spans="1:42" x14ac:dyDescent="0.25">
      <c r="A358" s="13">
        <v>42</v>
      </c>
      <c r="B358" s="13" t="s">
        <v>59</v>
      </c>
      <c r="C358" s="13" t="s">
        <v>37</v>
      </c>
      <c r="D358" s="13">
        <v>1332</v>
      </c>
      <c r="E358" s="13" t="s">
        <v>62</v>
      </c>
      <c r="F358" s="13">
        <v>2</v>
      </c>
      <c r="G358" s="13">
        <v>4</v>
      </c>
      <c r="H358" s="13" t="s">
        <v>74</v>
      </c>
      <c r="I358" s="13">
        <v>1</v>
      </c>
      <c r="J358" s="13">
        <v>477</v>
      </c>
      <c r="K358" s="13">
        <v>1</v>
      </c>
      <c r="L358" s="13" t="s">
        <v>63</v>
      </c>
      <c r="M358" s="13">
        <v>98</v>
      </c>
      <c r="N358" s="13">
        <v>2</v>
      </c>
      <c r="O358" s="13">
        <v>2</v>
      </c>
      <c r="P358" s="13" t="s">
        <v>122</v>
      </c>
      <c r="Q358" s="13">
        <v>4</v>
      </c>
      <c r="R358" s="13" t="s">
        <v>48</v>
      </c>
      <c r="S358" s="20">
        <v>6781</v>
      </c>
      <c r="T358" s="13">
        <v>17078</v>
      </c>
      <c r="U358" s="13">
        <v>3</v>
      </c>
      <c r="V358" s="13" t="s">
        <v>52</v>
      </c>
      <c r="W358" s="13" t="s">
        <v>59</v>
      </c>
      <c r="X358" s="13">
        <v>23</v>
      </c>
      <c r="Y358" s="13">
        <v>4</v>
      </c>
      <c r="Z358" s="13">
        <v>2</v>
      </c>
      <c r="AA358" s="13">
        <v>80</v>
      </c>
      <c r="AB358" s="13">
        <v>0</v>
      </c>
      <c r="AC358" s="13">
        <v>14</v>
      </c>
      <c r="AD358" s="13">
        <v>6</v>
      </c>
      <c r="AE358" s="13">
        <v>3</v>
      </c>
      <c r="AF358" s="14">
        <v>1</v>
      </c>
      <c r="AG358" s="13">
        <v>0</v>
      </c>
      <c r="AH358" s="13">
        <v>0</v>
      </c>
      <c r="AI358" s="13">
        <v>0</v>
      </c>
      <c r="AJ358" s="13" t="str">
        <f t="shared" si="5"/>
        <v>40-49</v>
      </c>
      <c r="AK358" s="13" t="str">
        <f>IF(tblCleanData[[#This Row],[MonthlyIncome]]&lt;5000, "Low Income", IF(tblCleanData[[#This Row],[MonthlyIncome]]&lt;15000, "Medium Income", "High Income"))</f>
        <v>Medium Income</v>
      </c>
      <c r="AL358" s="13">
        <f>IF(tblCleanData[[#This Row],[Attrition]]="No", 0,1)</f>
        <v>0</v>
      </c>
      <c r="AM358" s="13">
        <f>IF(tblCleanData[[#This Row],[OverTime]] = "No", 0, 1)</f>
        <v>0</v>
      </c>
      <c r="AN358" s="13" t="str">
        <f>CHOOSE(tblCleanData[[#This Row],[Education]], "Below College","College","Bachelor","Master","Doctor")</f>
        <v>Master</v>
      </c>
      <c r="AO358" s="13" t="str">
        <f>VLOOKUP(tblCleanData[[#This Row],[EmployeeNumber]],tblHelpers[],15,TRUE)</f>
        <v>Medium Risk</v>
      </c>
      <c r="AP358" s="13">
        <f>VLOOKUP(tblCleanData[[#This Row],[EmployeeNumber]],tblHelpers[],14,0)</f>
        <v>46</v>
      </c>
    </row>
    <row r="359" spans="1:42" x14ac:dyDescent="0.25">
      <c r="A359" s="13">
        <v>21</v>
      </c>
      <c r="B359" s="13" t="s">
        <v>36</v>
      </c>
      <c r="C359" s="13" t="s">
        <v>60</v>
      </c>
      <c r="D359" s="13">
        <v>756</v>
      </c>
      <c r="E359" s="13" t="s">
        <v>39</v>
      </c>
      <c r="F359" s="13">
        <v>1</v>
      </c>
      <c r="G359" s="13">
        <v>1</v>
      </c>
      <c r="H359" s="13" t="s">
        <v>228</v>
      </c>
      <c r="I359" s="13">
        <v>1</v>
      </c>
      <c r="J359" s="13">
        <v>478</v>
      </c>
      <c r="K359" s="13">
        <v>1</v>
      </c>
      <c r="L359" s="13" t="s">
        <v>43</v>
      </c>
      <c r="M359" s="13">
        <v>99</v>
      </c>
      <c r="N359" s="13">
        <v>2</v>
      </c>
      <c r="O359" s="13">
        <v>1</v>
      </c>
      <c r="P359" s="13" t="s">
        <v>182</v>
      </c>
      <c r="Q359" s="13">
        <v>2</v>
      </c>
      <c r="R359" s="13" t="s">
        <v>48</v>
      </c>
      <c r="S359" s="20">
        <v>2174</v>
      </c>
      <c r="T359" s="13">
        <v>9150</v>
      </c>
      <c r="U359" s="13">
        <v>1</v>
      </c>
      <c r="V359" s="13" t="s">
        <v>52</v>
      </c>
      <c r="W359" s="13" t="s">
        <v>36</v>
      </c>
      <c r="X359" s="13">
        <v>11</v>
      </c>
      <c r="Y359" s="13">
        <v>3</v>
      </c>
      <c r="Z359" s="13">
        <v>3</v>
      </c>
      <c r="AA359" s="13">
        <v>80</v>
      </c>
      <c r="AB359" s="13">
        <v>0</v>
      </c>
      <c r="AC359" s="13">
        <v>3</v>
      </c>
      <c r="AD359" s="13">
        <v>3</v>
      </c>
      <c r="AE359" s="13">
        <v>3</v>
      </c>
      <c r="AF359" s="14">
        <v>3</v>
      </c>
      <c r="AG359" s="13">
        <v>2</v>
      </c>
      <c r="AH359" s="13">
        <v>1</v>
      </c>
      <c r="AI359" s="13">
        <v>2</v>
      </c>
      <c r="AJ359" s="13" t="str">
        <f t="shared" si="5"/>
        <v>Under 30</v>
      </c>
      <c r="AK359" s="13" t="str">
        <f>IF(tblCleanData[[#This Row],[MonthlyIncome]]&lt;5000, "Low Income", IF(tblCleanData[[#This Row],[MonthlyIncome]]&lt;15000, "Medium Income", "High Income"))</f>
        <v>Low Income</v>
      </c>
      <c r="AL359" s="13">
        <f>IF(tblCleanData[[#This Row],[Attrition]]="No", 0,1)</f>
        <v>1</v>
      </c>
      <c r="AM359" s="13">
        <f>IF(tblCleanData[[#This Row],[OverTime]] = "No", 0, 1)</f>
        <v>1</v>
      </c>
      <c r="AN359" s="13" t="str">
        <f>CHOOSE(tblCleanData[[#This Row],[Education]], "Below College","College","Bachelor","Master","Doctor")</f>
        <v>Below College</v>
      </c>
      <c r="AO359" s="13" t="str">
        <f>VLOOKUP(tblCleanData[[#This Row],[EmployeeNumber]],tblHelpers[],15,TRUE)</f>
        <v>High Risk</v>
      </c>
      <c r="AP359" s="13">
        <f>VLOOKUP(tblCleanData[[#This Row],[EmployeeNumber]],tblHelpers[],14,0)</f>
        <v>94</v>
      </c>
    </row>
    <row r="360" spans="1:42" x14ac:dyDescent="0.25">
      <c r="A360" s="13">
        <v>36</v>
      </c>
      <c r="B360" s="13" t="s">
        <v>59</v>
      </c>
      <c r="C360" s="13" t="s">
        <v>161</v>
      </c>
      <c r="D360" s="13">
        <v>845</v>
      </c>
      <c r="E360" s="13" t="s">
        <v>39</v>
      </c>
      <c r="F360" s="13">
        <v>1</v>
      </c>
      <c r="G360" s="13">
        <v>5</v>
      </c>
      <c r="H360" s="13" t="s">
        <v>87</v>
      </c>
      <c r="I360" s="13">
        <v>1</v>
      </c>
      <c r="J360" s="13">
        <v>479</v>
      </c>
      <c r="K360" s="13">
        <v>4</v>
      </c>
      <c r="L360" s="13" t="s">
        <v>43</v>
      </c>
      <c r="M360" s="13">
        <v>45</v>
      </c>
      <c r="N360" s="13">
        <v>3</v>
      </c>
      <c r="O360" s="13">
        <v>2</v>
      </c>
      <c r="P360" s="13" t="s">
        <v>46</v>
      </c>
      <c r="Q360" s="13">
        <v>4</v>
      </c>
      <c r="R360" s="13" t="s">
        <v>48</v>
      </c>
      <c r="S360" s="20">
        <v>6653</v>
      </c>
      <c r="T360" s="13">
        <v>15276</v>
      </c>
      <c r="U360" s="13">
        <v>4</v>
      </c>
      <c r="V360" s="13" t="s">
        <v>52</v>
      </c>
      <c r="W360" s="13" t="s">
        <v>59</v>
      </c>
      <c r="X360" s="13">
        <v>15</v>
      </c>
      <c r="Y360" s="13">
        <v>3</v>
      </c>
      <c r="Z360" s="13">
        <v>2</v>
      </c>
      <c r="AA360" s="13">
        <v>80</v>
      </c>
      <c r="AB360" s="13">
        <v>0</v>
      </c>
      <c r="AC360" s="13">
        <v>7</v>
      </c>
      <c r="AD360" s="13">
        <v>6</v>
      </c>
      <c r="AE360" s="13">
        <v>3</v>
      </c>
      <c r="AF360" s="14">
        <v>1</v>
      </c>
      <c r="AG360" s="13">
        <v>0</v>
      </c>
      <c r="AH360" s="13">
        <v>0</v>
      </c>
      <c r="AI360" s="13">
        <v>0</v>
      </c>
      <c r="AJ360" s="13" t="str">
        <f t="shared" si="5"/>
        <v>30-39</v>
      </c>
      <c r="AK360" s="13" t="str">
        <f>IF(tblCleanData[[#This Row],[MonthlyIncome]]&lt;5000, "Low Income", IF(tblCleanData[[#This Row],[MonthlyIncome]]&lt;15000, "Medium Income", "High Income"))</f>
        <v>Medium Income</v>
      </c>
      <c r="AL360" s="13">
        <f>IF(tblCleanData[[#This Row],[Attrition]]="No", 0,1)</f>
        <v>0</v>
      </c>
      <c r="AM360" s="13">
        <f>IF(tblCleanData[[#This Row],[OverTime]] = "No", 0, 1)</f>
        <v>0</v>
      </c>
      <c r="AN360" s="13" t="str">
        <f>CHOOSE(tblCleanData[[#This Row],[Education]], "Below College","College","Bachelor","Master","Doctor")</f>
        <v>Doctor</v>
      </c>
      <c r="AO360" s="13" t="str">
        <f>VLOOKUP(tblCleanData[[#This Row],[EmployeeNumber]],tblHelpers[],15,TRUE)</f>
        <v>High Risk</v>
      </c>
      <c r="AP360" s="13">
        <f>VLOOKUP(tblCleanData[[#This Row],[EmployeeNumber]],tblHelpers[],14,0)</f>
        <v>56</v>
      </c>
    </row>
    <row r="361" spans="1:42" x14ac:dyDescent="0.25">
      <c r="A361" s="13">
        <v>36</v>
      </c>
      <c r="B361" s="13" t="s">
        <v>59</v>
      </c>
      <c r="C361" s="13" t="s">
        <v>60</v>
      </c>
      <c r="D361" s="13">
        <v>541</v>
      </c>
      <c r="E361" s="13" t="s">
        <v>39</v>
      </c>
      <c r="F361" s="13">
        <v>3</v>
      </c>
      <c r="G361" s="13">
        <v>4</v>
      </c>
      <c r="H361" s="13" t="s">
        <v>87</v>
      </c>
      <c r="I361" s="13">
        <v>1</v>
      </c>
      <c r="J361" s="13">
        <v>481</v>
      </c>
      <c r="K361" s="13">
        <v>1</v>
      </c>
      <c r="L361" s="13" t="s">
        <v>63</v>
      </c>
      <c r="M361" s="13">
        <v>48</v>
      </c>
      <c r="N361" s="13">
        <v>2</v>
      </c>
      <c r="O361" s="13">
        <v>3</v>
      </c>
      <c r="P361" s="13" t="s">
        <v>46</v>
      </c>
      <c r="Q361" s="13">
        <v>4</v>
      </c>
      <c r="R361" s="13" t="s">
        <v>66</v>
      </c>
      <c r="S361" s="20">
        <v>9699</v>
      </c>
      <c r="T361" s="13">
        <v>7246</v>
      </c>
      <c r="U361" s="13">
        <v>4</v>
      </c>
      <c r="V361" s="13" t="s">
        <v>52</v>
      </c>
      <c r="W361" s="13" t="s">
        <v>59</v>
      </c>
      <c r="X361" s="13">
        <v>11</v>
      </c>
      <c r="Y361" s="13">
        <v>3</v>
      </c>
      <c r="Z361" s="13">
        <v>1</v>
      </c>
      <c r="AA361" s="13">
        <v>80</v>
      </c>
      <c r="AB361" s="13">
        <v>1</v>
      </c>
      <c r="AC361" s="13">
        <v>16</v>
      </c>
      <c r="AD361" s="13">
        <v>2</v>
      </c>
      <c r="AE361" s="13">
        <v>3</v>
      </c>
      <c r="AF361" s="14">
        <v>13</v>
      </c>
      <c r="AG361" s="13">
        <v>9</v>
      </c>
      <c r="AH361" s="13">
        <v>1</v>
      </c>
      <c r="AI361" s="13">
        <v>12</v>
      </c>
      <c r="AJ361" s="13" t="str">
        <f t="shared" si="5"/>
        <v>30-39</v>
      </c>
      <c r="AK361" s="13" t="str">
        <f>IF(tblCleanData[[#This Row],[MonthlyIncome]]&lt;5000, "Low Income", IF(tblCleanData[[#This Row],[MonthlyIncome]]&lt;15000, "Medium Income", "High Income"))</f>
        <v>Medium Income</v>
      </c>
      <c r="AL361" s="13">
        <f>IF(tblCleanData[[#This Row],[Attrition]]="No", 0,1)</f>
        <v>0</v>
      </c>
      <c r="AM361" s="13">
        <f>IF(tblCleanData[[#This Row],[OverTime]] = "No", 0, 1)</f>
        <v>0</v>
      </c>
      <c r="AN361" s="13" t="str">
        <f>CHOOSE(tblCleanData[[#This Row],[Education]], "Below College","College","Bachelor","Master","Doctor")</f>
        <v>Master</v>
      </c>
      <c r="AO361" s="13" t="str">
        <f>VLOOKUP(tblCleanData[[#This Row],[EmployeeNumber]],tblHelpers[],15,TRUE)</f>
        <v>Low Risk</v>
      </c>
      <c r="AP361" s="13">
        <f>VLOOKUP(tblCleanData[[#This Row],[EmployeeNumber]],tblHelpers[],14,0)</f>
        <v>34</v>
      </c>
    </row>
    <row r="362" spans="1:42" x14ac:dyDescent="0.25">
      <c r="A362" s="13">
        <v>57</v>
      </c>
      <c r="B362" s="13" t="s">
        <v>59</v>
      </c>
      <c r="C362" s="13" t="s">
        <v>37</v>
      </c>
      <c r="D362" s="13">
        <v>593</v>
      </c>
      <c r="E362" s="13" t="s">
        <v>62</v>
      </c>
      <c r="F362" s="13">
        <v>1</v>
      </c>
      <c r="G362" s="13">
        <v>4</v>
      </c>
      <c r="H362" s="13" t="s">
        <v>87</v>
      </c>
      <c r="I362" s="13">
        <v>1</v>
      </c>
      <c r="J362" s="13">
        <v>482</v>
      </c>
      <c r="K362" s="13">
        <v>4</v>
      </c>
      <c r="L362" s="13" t="s">
        <v>63</v>
      </c>
      <c r="M362" s="13">
        <v>88</v>
      </c>
      <c r="N362" s="13">
        <v>3</v>
      </c>
      <c r="O362" s="13">
        <v>2</v>
      </c>
      <c r="P362" s="13" t="s">
        <v>122</v>
      </c>
      <c r="Q362" s="13">
        <v>3</v>
      </c>
      <c r="R362" s="13" t="s">
        <v>66</v>
      </c>
      <c r="S362" s="20">
        <v>6755</v>
      </c>
      <c r="T362" s="13">
        <v>2967</v>
      </c>
      <c r="U362" s="13">
        <v>2</v>
      </c>
      <c r="V362" s="13" t="s">
        <v>52</v>
      </c>
      <c r="W362" s="13" t="s">
        <v>59</v>
      </c>
      <c r="X362" s="13">
        <v>11</v>
      </c>
      <c r="Y362" s="13">
        <v>3</v>
      </c>
      <c r="Z362" s="13">
        <v>3</v>
      </c>
      <c r="AA362" s="13">
        <v>80</v>
      </c>
      <c r="AB362" s="13">
        <v>0</v>
      </c>
      <c r="AC362" s="13">
        <v>15</v>
      </c>
      <c r="AD362" s="13">
        <v>2</v>
      </c>
      <c r="AE362" s="13">
        <v>3</v>
      </c>
      <c r="AF362" s="14">
        <v>3</v>
      </c>
      <c r="AG362" s="13">
        <v>2</v>
      </c>
      <c r="AH362" s="13">
        <v>1</v>
      </c>
      <c r="AI362" s="13">
        <v>2</v>
      </c>
      <c r="AJ362" s="13" t="str">
        <f t="shared" si="5"/>
        <v>50+</v>
      </c>
      <c r="AK362" s="13" t="str">
        <f>IF(tblCleanData[[#This Row],[MonthlyIncome]]&lt;5000, "Low Income", IF(tblCleanData[[#This Row],[MonthlyIncome]]&lt;15000, "Medium Income", "High Income"))</f>
        <v>Medium Income</v>
      </c>
      <c r="AL362" s="13">
        <f>IF(tblCleanData[[#This Row],[Attrition]]="No", 0,1)</f>
        <v>0</v>
      </c>
      <c r="AM362" s="13">
        <f>IF(tblCleanData[[#This Row],[OverTime]] = "No", 0, 1)</f>
        <v>0</v>
      </c>
      <c r="AN362" s="13" t="str">
        <f>CHOOSE(tblCleanData[[#This Row],[Education]], "Below College","College","Bachelor","Master","Doctor")</f>
        <v>Master</v>
      </c>
      <c r="AO362" s="13" t="str">
        <f>VLOOKUP(tblCleanData[[#This Row],[EmployeeNumber]],tblHelpers[],15,TRUE)</f>
        <v>Medium Risk</v>
      </c>
      <c r="AP362" s="13">
        <f>VLOOKUP(tblCleanData[[#This Row],[EmployeeNumber]],tblHelpers[],14,0)</f>
        <v>48</v>
      </c>
    </row>
    <row r="363" spans="1:42" x14ac:dyDescent="0.25">
      <c r="A363" s="13">
        <v>40</v>
      </c>
      <c r="B363" s="13" t="s">
        <v>59</v>
      </c>
      <c r="C363" s="13" t="s">
        <v>37</v>
      </c>
      <c r="D363" s="13">
        <v>1171</v>
      </c>
      <c r="E363" s="13" t="s">
        <v>62</v>
      </c>
      <c r="F363" s="13">
        <v>10</v>
      </c>
      <c r="G363" s="13">
        <v>4</v>
      </c>
      <c r="H363" s="13" t="s">
        <v>42</v>
      </c>
      <c r="I363" s="13">
        <v>1</v>
      </c>
      <c r="J363" s="13">
        <v>483</v>
      </c>
      <c r="K363" s="13">
        <v>4</v>
      </c>
      <c r="L363" s="13" t="s">
        <v>43</v>
      </c>
      <c r="M363" s="13">
        <v>46</v>
      </c>
      <c r="N363" s="13">
        <v>4</v>
      </c>
      <c r="O363" s="13">
        <v>1</v>
      </c>
      <c r="P363" s="13" t="s">
        <v>76</v>
      </c>
      <c r="Q363" s="13">
        <v>3</v>
      </c>
      <c r="R363" s="13" t="s">
        <v>66</v>
      </c>
      <c r="S363" s="20">
        <v>2213</v>
      </c>
      <c r="T363" s="13">
        <v>22495</v>
      </c>
      <c r="U363" s="13">
        <v>3</v>
      </c>
      <c r="V363" s="13" t="s">
        <v>52</v>
      </c>
      <c r="W363" s="13" t="s">
        <v>36</v>
      </c>
      <c r="X363" s="13">
        <v>13</v>
      </c>
      <c r="Y363" s="13">
        <v>3</v>
      </c>
      <c r="Z363" s="13">
        <v>3</v>
      </c>
      <c r="AA363" s="13">
        <v>80</v>
      </c>
      <c r="AB363" s="13">
        <v>1</v>
      </c>
      <c r="AC363" s="13">
        <v>10</v>
      </c>
      <c r="AD363" s="13">
        <v>3</v>
      </c>
      <c r="AE363" s="13">
        <v>3</v>
      </c>
      <c r="AF363" s="14">
        <v>7</v>
      </c>
      <c r="AG363" s="13">
        <v>7</v>
      </c>
      <c r="AH363" s="13">
        <v>1</v>
      </c>
      <c r="AI363" s="13">
        <v>7</v>
      </c>
      <c r="AJ363" s="13" t="str">
        <f t="shared" si="5"/>
        <v>40-49</v>
      </c>
      <c r="AK363" s="13" t="str">
        <f>IF(tblCleanData[[#This Row],[MonthlyIncome]]&lt;5000, "Low Income", IF(tblCleanData[[#This Row],[MonthlyIncome]]&lt;15000, "Medium Income", "High Income"))</f>
        <v>Low Income</v>
      </c>
      <c r="AL363" s="13">
        <f>IF(tblCleanData[[#This Row],[Attrition]]="No", 0,1)</f>
        <v>0</v>
      </c>
      <c r="AM363" s="13">
        <f>IF(tblCleanData[[#This Row],[OverTime]] = "No", 0, 1)</f>
        <v>1</v>
      </c>
      <c r="AN363" s="13" t="str">
        <f>CHOOSE(tblCleanData[[#This Row],[Education]], "Below College","College","Bachelor","Master","Doctor")</f>
        <v>Master</v>
      </c>
      <c r="AO363" s="13" t="str">
        <f>VLOOKUP(tblCleanData[[#This Row],[EmployeeNumber]],tblHelpers[],15,TRUE)</f>
        <v>High Risk</v>
      </c>
      <c r="AP363" s="13">
        <f>VLOOKUP(tblCleanData[[#This Row],[EmployeeNumber]],tblHelpers[],14,0)</f>
        <v>61</v>
      </c>
    </row>
    <row r="364" spans="1:42" x14ac:dyDescent="0.25">
      <c r="A364" s="13">
        <v>21</v>
      </c>
      <c r="B364" s="13" t="s">
        <v>59</v>
      </c>
      <c r="C364" s="13" t="s">
        <v>161</v>
      </c>
      <c r="D364" s="13">
        <v>895</v>
      </c>
      <c r="E364" s="13" t="s">
        <v>39</v>
      </c>
      <c r="F364" s="13">
        <v>9</v>
      </c>
      <c r="G364" s="13">
        <v>2</v>
      </c>
      <c r="H364" s="13" t="s">
        <v>87</v>
      </c>
      <c r="I364" s="13">
        <v>1</v>
      </c>
      <c r="J364" s="13">
        <v>484</v>
      </c>
      <c r="K364" s="13">
        <v>1</v>
      </c>
      <c r="L364" s="13" t="s">
        <v>63</v>
      </c>
      <c r="M364" s="13">
        <v>39</v>
      </c>
      <c r="N364" s="13">
        <v>3</v>
      </c>
      <c r="O364" s="13">
        <v>1</v>
      </c>
      <c r="P364" s="13" t="s">
        <v>182</v>
      </c>
      <c r="Q364" s="13">
        <v>4</v>
      </c>
      <c r="R364" s="13" t="s">
        <v>48</v>
      </c>
      <c r="S364" s="20">
        <v>2610</v>
      </c>
      <c r="T364" s="13">
        <v>2851</v>
      </c>
      <c r="U364" s="13">
        <v>1</v>
      </c>
      <c r="V364" s="13" t="s">
        <v>52</v>
      </c>
      <c r="W364" s="13" t="s">
        <v>59</v>
      </c>
      <c r="X364" s="13">
        <v>24</v>
      </c>
      <c r="Y364" s="13">
        <v>4</v>
      </c>
      <c r="Z364" s="13">
        <v>3</v>
      </c>
      <c r="AA364" s="13">
        <v>80</v>
      </c>
      <c r="AB364" s="13">
        <v>0</v>
      </c>
      <c r="AC364" s="13">
        <v>3</v>
      </c>
      <c r="AD364" s="13">
        <v>3</v>
      </c>
      <c r="AE364" s="13">
        <v>2</v>
      </c>
      <c r="AF364" s="14">
        <v>3</v>
      </c>
      <c r="AG364" s="13">
        <v>2</v>
      </c>
      <c r="AH364" s="13">
        <v>2</v>
      </c>
      <c r="AI364" s="13">
        <v>2</v>
      </c>
      <c r="AJ364" s="13" t="str">
        <f t="shared" si="5"/>
        <v>Under 30</v>
      </c>
      <c r="AK364" s="13" t="str">
        <f>IF(tblCleanData[[#This Row],[MonthlyIncome]]&lt;5000, "Low Income", IF(tblCleanData[[#This Row],[MonthlyIncome]]&lt;15000, "Medium Income", "High Income"))</f>
        <v>Low Income</v>
      </c>
      <c r="AL364" s="13">
        <f>IF(tblCleanData[[#This Row],[Attrition]]="No", 0,1)</f>
        <v>0</v>
      </c>
      <c r="AM364" s="13">
        <f>IF(tblCleanData[[#This Row],[OverTime]] = "No", 0, 1)</f>
        <v>0</v>
      </c>
      <c r="AN364" s="13" t="str">
        <f>CHOOSE(tblCleanData[[#This Row],[Education]], "Below College","College","Bachelor","Master","Doctor")</f>
        <v>College</v>
      </c>
      <c r="AO364" s="13" t="str">
        <f>VLOOKUP(tblCleanData[[#This Row],[EmployeeNumber]],tblHelpers[],15,TRUE)</f>
        <v>High Risk</v>
      </c>
      <c r="AP364" s="13">
        <f>VLOOKUP(tblCleanData[[#This Row],[EmployeeNumber]],tblHelpers[],14,0)</f>
        <v>56</v>
      </c>
    </row>
    <row r="365" spans="1:42" x14ac:dyDescent="0.25">
      <c r="A365" s="13">
        <v>33</v>
      </c>
      <c r="B365" s="13" t="s">
        <v>36</v>
      </c>
      <c r="C365" s="13" t="s">
        <v>37</v>
      </c>
      <c r="D365" s="13">
        <v>350</v>
      </c>
      <c r="E365" s="13" t="s">
        <v>39</v>
      </c>
      <c r="F365" s="13">
        <v>5</v>
      </c>
      <c r="G365" s="13">
        <v>3</v>
      </c>
      <c r="H365" s="13" t="s">
        <v>206</v>
      </c>
      <c r="I365" s="13">
        <v>1</v>
      </c>
      <c r="J365" s="13">
        <v>485</v>
      </c>
      <c r="K365" s="13">
        <v>4</v>
      </c>
      <c r="L365" s="13" t="s">
        <v>43</v>
      </c>
      <c r="M365" s="13">
        <v>34</v>
      </c>
      <c r="N365" s="13">
        <v>3</v>
      </c>
      <c r="O365" s="13">
        <v>1</v>
      </c>
      <c r="P365" s="13" t="s">
        <v>182</v>
      </c>
      <c r="Q365" s="13">
        <v>3</v>
      </c>
      <c r="R365" s="13" t="s">
        <v>48</v>
      </c>
      <c r="S365" s="20">
        <v>2851</v>
      </c>
      <c r="T365" s="13">
        <v>9150</v>
      </c>
      <c r="U365" s="13">
        <v>1</v>
      </c>
      <c r="V365" s="13" t="s">
        <v>52</v>
      </c>
      <c r="W365" s="13" t="s">
        <v>36</v>
      </c>
      <c r="X365" s="13">
        <v>13</v>
      </c>
      <c r="Y365" s="13">
        <v>3</v>
      </c>
      <c r="Z365" s="13">
        <v>2</v>
      </c>
      <c r="AA365" s="13">
        <v>80</v>
      </c>
      <c r="AB365" s="13">
        <v>0</v>
      </c>
      <c r="AC365" s="13">
        <v>1</v>
      </c>
      <c r="AD365" s="13">
        <v>2</v>
      </c>
      <c r="AE365" s="13">
        <v>3</v>
      </c>
      <c r="AF365" s="14">
        <v>1</v>
      </c>
      <c r="AG365" s="13">
        <v>0</v>
      </c>
      <c r="AH365" s="13">
        <v>0</v>
      </c>
      <c r="AI365" s="13">
        <v>0</v>
      </c>
      <c r="AJ365" s="13" t="str">
        <f t="shared" si="5"/>
        <v>30-39</v>
      </c>
      <c r="AK365" s="13" t="str">
        <f>IF(tblCleanData[[#This Row],[MonthlyIncome]]&lt;5000, "Low Income", IF(tblCleanData[[#This Row],[MonthlyIncome]]&lt;15000, "Medium Income", "High Income"))</f>
        <v>Low Income</v>
      </c>
      <c r="AL365" s="13">
        <f>IF(tblCleanData[[#This Row],[Attrition]]="No", 0,1)</f>
        <v>1</v>
      </c>
      <c r="AM365" s="13">
        <f>IF(tblCleanData[[#This Row],[OverTime]] = "No", 0, 1)</f>
        <v>1</v>
      </c>
      <c r="AN365" s="13" t="str">
        <f>CHOOSE(tblCleanData[[#This Row],[Education]], "Below College","College","Bachelor","Master","Doctor")</f>
        <v>Bachelor</v>
      </c>
      <c r="AO365" s="13" t="str">
        <f>VLOOKUP(tblCleanData[[#This Row],[EmployeeNumber]],tblHelpers[],15,TRUE)</f>
        <v>High Risk</v>
      </c>
      <c r="AP365" s="13">
        <f>VLOOKUP(tblCleanData[[#This Row],[EmployeeNumber]],tblHelpers[],14,0)</f>
        <v>88</v>
      </c>
    </row>
    <row r="366" spans="1:42" x14ac:dyDescent="0.25">
      <c r="A366" s="13">
        <v>37</v>
      </c>
      <c r="B366" s="13" t="s">
        <v>59</v>
      </c>
      <c r="C366" s="13" t="s">
        <v>37</v>
      </c>
      <c r="D366" s="13">
        <v>921</v>
      </c>
      <c r="E366" s="13" t="s">
        <v>62</v>
      </c>
      <c r="F366" s="13">
        <v>10</v>
      </c>
      <c r="G366" s="13">
        <v>3</v>
      </c>
      <c r="H366" s="13" t="s">
        <v>87</v>
      </c>
      <c r="I366" s="13">
        <v>1</v>
      </c>
      <c r="J366" s="13">
        <v>486</v>
      </c>
      <c r="K366" s="13">
        <v>3</v>
      </c>
      <c r="L366" s="13" t="s">
        <v>43</v>
      </c>
      <c r="M366" s="13">
        <v>98</v>
      </c>
      <c r="N366" s="13">
        <v>3</v>
      </c>
      <c r="O366" s="13">
        <v>1</v>
      </c>
      <c r="P366" s="13" t="s">
        <v>76</v>
      </c>
      <c r="Q366" s="13">
        <v>1</v>
      </c>
      <c r="R366" s="13" t="s">
        <v>66</v>
      </c>
      <c r="S366" s="20">
        <v>3452</v>
      </c>
      <c r="T366" s="13">
        <v>17663</v>
      </c>
      <c r="U366" s="13">
        <v>6</v>
      </c>
      <c r="V366" s="13" t="s">
        <v>52</v>
      </c>
      <c r="W366" s="13" t="s">
        <v>59</v>
      </c>
      <c r="X366" s="13">
        <v>20</v>
      </c>
      <c r="Y366" s="13">
        <v>4</v>
      </c>
      <c r="Z366" s="13">
        <v>2</v>
      </c>
      <c r="AA366" s="13">
        <v>80</v>
      </c>
      <c r="AB366" s="13">
        <v>1</v>
      </c>
      <c r="AC366" s="13">
        <v>17</v>
      </c>
      <c r="AD366" s="13">
        <v>3</v>
      </c>
      <c r="AE366" s="13">
        <v>3</v>
      </c>
      <c r="AF366" s="14">
        <v>5</v>
      </c>
      <c r="AG366" s="13">
        <v>4</v>
      </c>
      <c r="AH366" s="13">
        <v>0</v>
      </c>
      <c r="AI366" s="13">
        <v>3</v>
      </c>
      <c r="AJ366" s="13" t="str">
        <f t="shared" si="5"/>
        <v>30-39</v>
      </c>
      <c r="AK366" s="13" t="str">
        <f>IF(tblCleanData[[#This Row],[MonthlyIncome]]&lt;5000, "Low Income", IF(tblCleanData[[#This Row],[MonthlyIncome]]&lt;15000, "Medium Income", "High Income"))</f>
        <v>Low Income</v>
      </c>
      <c r="AL366" s="13">
        <f>IF(tblCleanData[[#This Row],[Attrition]]="No", 0,1)</f>
        <v>0</v>
      </c>
      <c r="AM366" s="13">
        <f>IF(tblCleanData[[#This Row],[OverTime]] = "No", 0, 1)</f>
        <v>0</v>
      </c>
      <c r="AN366" s="13" t="str">
        <f>CHOOSE(tblCleanData[[#This Row],[Education]], "Below College","College","Bachelor","Master","Doctor")</f>
        <v>Bachelor</v>
      </c>
      <c r="AO366" s="13" t="str">
        <f>VLOOKUP(tblCleanData[[#This Row],[EmployeeNumber]],tblHelpers[],15,TRUE)</f>
        <v>High Risk</v>
      </c>
      <c r="AP366" s="13">
        <f>VLOOKUP(tblCleanData[[#This Row],[EmployeeNumber]],tblHelpers[],14,0)</f>
        <v>65</v>
      </c>
    </row>
    <row r="367" spans="1:42" x14ac:dyDescent="0.25">
      <c r="A367" s="13">
        <v>46</v>
      </c>
      <c r="B367" s="13" t="s">
        <v>59</v>
      </c>
      <c r="C367" s="13" t="s">
        <v>161</v>
      </c>
      <c r="D367" s="13">
        <v>1144</v>
      </c>
      <c r="E367" s="13" t="s">
        <v>62</v>
      </c>
      <c r="F367" s="13">
        <v>7</v>
      </c>
      <c r="G367" s="13">
        <v>4</v>
      </c>
      <c r="H367" s="13" t="s">
        <v>87</v>
      </c>
      <c r="I367" s="13">
        <v>1</v>
      </c>
      <c r="J367" s="13">
        <v>487</v>
      </c>
      <c r="K367" s="13">
        <v>3</v>
      </c>
      <c r="L367" s="13" t="s">
        <v>43</v>
      </c>
      <c r="M367" s="13">
        <v>30</v>
      </c>
      <c r="N367" s="13">
        <v>3</v>
      </c>
      <c r="O367" s="13">
        <v>2</v>
      </c>
      <c r="P367" s="13" t="s">
        <v>116</v>
      </c>
      <c r="Q367" s="13">
        <v>3</v>
      </c>
      <c r="R367" s="13" t="s">
        <v>66</v>
      </c>
      <c r="S367" s="20">
        <v>5258</v>
      </c>
      <c r="T367" s="13">
        <v>16044</v>
      </c>
      <c r="U367" s="13">
        <v>2</v>
      </c>
      <c r="V367" s="13" t="s">
        <v>52</v>
      </c>
      <c r="W367" s="13" t="s">
        <v>59</v>
      </c>
      <c r="X367" s="13">
        <v>14</v>
      </c>
      <c r="Y367" s="13">
        <v>3</v>
      </c>
      <c r="Z367" s="13">
        <v>3</v>
      </c>
      <c r="AA367" s="13">
        <v>80</v>
      </c>
      <c r="AB367" s="13">
        <v>0</v>
      </c>
      <c r="AC367" s="13">
        <v>7</v>
      </c>
      <c r="AD367" s="13">
        <v>2</v>
      </c>
      <c r="AE367" s="13">
        <v>4</v>
      </c>
      <c r="AF367" s="14">
        <v>1</v>
      </c>
      <c r="AG367" s="13">
        <v>0</v>
      </c>
      <c r="AH367" s="13">
        <v>0</v>
      </c>
      <c r="AI367" s="13">
        <v>0</v>
      </c>
      <c r="AJ367" s="13" t="str">
        <f t="shared" si="5"/>
        <v>40-49</v>
      </c>
      <c r="AK367" s="13" t="str">
        <f>IF(tblCleanData[[#This Row],[MonthlyIncome]]&lt;5000, "Low Income", IF(tblCleanData[[#This Row],[MonthlyIncome]]&lt;15000, "Medium Income", "High Income"))</f>
        <v>Medium Income</v>
      </c>
      <c r="AL367" s="13">
        <f>IF(tblCleanData[[#This Row],[Attrition]]="No", 0,1)</f>
        <v>0</v>
      </c>
      <c r="AM367" s="13">
        <f>IF(tblCleanData[[#This Row],[OverTime]] = "No", 0, 1)</f>
        <v>0</v>
      </c>
      <c r="AN367" s="13" t="str">
        <f>CHOOSE(tblCleanData[[#This Row],[Education]], "Below College","College","Bachelor","Master","Doctor")</f>
        <v>Master</v>
      </c>
      <c r="AO367" s="13" t="str">
        <f>VLOOKUP(tblCleanData[[#This Row],[EmployeeNumber]],tblHelpers[],15,TRUE)</f>
        <v>Medium Risk</v>
      </c>
      <c r="AP367" s="13">
        <f>VLOOKUP(tblCleanData[[#This Row],[EmployeeNumber]],tblHelpers[],14,0)</f>
        <v>53</v>
      </c>
    </row>
    <row r="368" spans="1:42" x14ac:dyDescent="0.25">
      <c r="A368" s="13">
        <v>41</v>
      </c>
      <c r="B368" s="13" t="s">
        <v>36</v>
      </c>
      <c r="C368" s="13" t="s">
        <v>60</v>
      </c>
      <c r="D368" s="13">
        <v>143</v>
      </c>
      <c r="E368" s="13" t="s">
        <v>39</v>
      </c>
      <c r="F368" s="13">
        <v>4</v>
      </c>
      <c r="G368" s="13">
        <v>3</v>
      </c>
      <c r="H368" s="13" t="s">
        <v>206</v>
      </c>
      <c r="I368" s="13">
        <v>1</v>
      </c>
      <c r="J368" s="13">
        <v>488</v>
      </c>
      <c r="K368" s="13">
        <v>1</v>
      </c>
      <c r="L368" s="13" t="s">
        <v>63</v>
      </c>
      <c r="M368" s="13">
        <v>56</v>
      </c>
      <c r="N368" s="13">
        <v>3</v>
      </c>
      <c r="O368" s="13">
        <v>2</v>
      </c>
      <c r="P368" s="13" t="s">
        <v>46</v>
      </c>
      <c r="Q368" s="13">
        <v>2</v>
      </c>
      <c r="R368" s="13" t="s">
        <v>48</v>
      </c>
      <c r="S368" s="20">
        <v>9355</v>
      </c>
      <c r="T368" s="13">
        <v>9558</v>
      </c>
      <c r="U368" s="13">
        <v>1</v>
      </c>
      <c r="V368" s="13" t="s">
        <v>52</v>
      </c>
      <c r="W368" s="13" t="s">
        <v>59</v>
      </c>
      <c r="X368" s="13">
        <v>18</v>
      </c>
      <c r="Y368" s="13">
        <v>3</v>
      </c>
      <c r="Z368" s="13">
        <v>3</v>
      </c>
      <c r="AA368" s="13">
        <v>80</v>
      </c>
      <c r="AB368" s="13">
        <v>0</v>
      </c>
      <c r="AC368" s="13">
        <v>8</v>
      </c>
      <c r="AD368" s="13">
        <v>5</v>
      </c>
      <c r="AE368" s="13">
        <v>3</v>
      </c>
      <c r="AF368" s="14">
        <v>8</v>
      </c>
      <c r="AG368" s="13">
        <v>7</v>
      </c>
      <c r="AH368" s="13">
        <v>7</v>
      </c>
      <c r="AI368" s="13">
        <v>7</v>
      </c>
      <c r="AJ368" s="13" t="str">
        <f t="shared" si="5"/>
        <v>40-49</v>
      </c>
      <c r="AK368" s="13" t="str">
        <f>IF(tblCleanData[[#This Row],[MonthlyIncome]]&lt;5000, "Low Income", IF(tblCleanData[[#This Row],[MonthlyIncome]]&lt;15000, "Medium Income", "High Income"))</f>
        <v>Medium Income</v>
      </c>
      <c r="AL368" s="13">
        <f>IF(tblCleanData[[#This Row],[Attrition]]="No", 0,1)</f>
        <v>1</v>
      </c>
      <c r="AM368" s="13">
        <f>IF(tblCleanData[[#This Row],[OverTime]] = "No", 0, 1)</f>
        <v>0</v>
      </c>
      <c r="AN368" s="13" t="str">
        <f>CHOOSE(tblCleanData[[#This Row],[Education]], "Below College","College","Bachelor","Master","Doctor")</f>
        <v>Bachelor</v>
      </c>
      <c r="AO368" s="13" t="str">
        <f>VLOOKUP(tblCleanData[[#This Row],[EmployeeNumber]],tblHelpers[],15,TRUE)</f>
        <v>Medium Risk</v>
      </c>
      <c r="AP368" s="13">
        <f>VLOOKUP(tblCleanData[[#This Row],[EmployeeNumber]],tblHelpers[],14,0)</f>
        <v>42</v>
      </c>
    </row>
    <row r="369" spans="1:42" x14ac:dyDescent="0.25">
      <c r="A369" s="13">
        <v>50</v>
      </c>
      <c r="B369" s="13" t="s">
        <v>59</v>
      </c>
      <c r="C369" s="13" t="s">
        <v>37</v>
      </c>
      <c r="D369" s="13">
        <v>1046</v>
      </c>
      <c r="E369" s="13" t="s">
        <v>62</v>
      </c>
      <c r="F369" s="13">
        <v>10</v>
      </c>
      <c r="G369" s="13">
        <v>3</v>
      </c>
      <c r="H369" s="13" t="s">
        <v>228</v>
      </c>
      <c r="I369" s="13">
        <v>1</v>
      </c>
      <c r="J369" s="13">
        <v>491</v>
      </c>
      <c r="K369" s="13">
        <v>4</v>
      </c>
      <c r="L369" s="13" t="s">
        <v>63</v>
      </c>
      <c r="M369" s="13">
        <v>100</v>
      </c>
      <c r="N369" s="13">
        <v>2</v>
      </c>
      <c r="O369" s="13">
        <v>3</v>
      </c>
      <c r="P369" s="13" t="s">
        <v>122</v>
      </c>
      <c r="Q369" s="13">
        <v>4</v>
      </c>
      <c r="R369" s="13" t="s">
        <v>48</v>
      </c>
      <c r="S369" s="20">
        <v>10496</v>
      </c>
      <c r="T369" s="13">
        <v>2755</v>
      </c>
      <c r="U369" s="13">
        <v>6</v>
      </c>
      <c r="V369" s="13" t="s">
        <v>52</v>
      </c>
      <c r="W369" s="13" t="s">
        <v>59</v>
      </c>
      <c r="X369" s="13">
        <v>15</v>
      </c>
      <c r="Y369" s="13">
        <v>3</v>
      </c>
      <c r="Z369" s="13">
        <v>4</v>
      </c>
      <c r="AA369" s="13">
        <v>80</v>
      </c>
      <c r="AB369" s="13">
        <v>0</v>
      </c>
      <c r="AC369" s="13">
        <v>20</v>
      </c>
      <c r="AD369" s="13">
        <v>2</v>
      </c>
      <c r="AE369" s="13">
        <v>3</v>
      </c>
      <c r="AF369" s="14">
        <v>4</v>
      </c>
      <c r="AG369" s="13">
        <v>3</v>
      </c>
      <c r="AH369" s="13">
        <v>1</v>
      </c>
      <c r="AI369" s="13">
        <v>3</v>
      </c>
      <c r="AJ369" s="13" t="str">
        <f t="shared" si="5"/>
        <v>50+</v>
      </c>
      <c r="AK369" s="13" t="str">
        <f>IF(tblCleanData[[#This Row],[MonthlyIncome]]&lt;5000, "Low Income", IF(tblCleanData[[#This Row],[MonthlyIncome]]&lt;15000, "Medium Income", "High Income"))</f>
        <v>Medium Income</v>
      </c>
      <c r="AL369" s="13">
        <f>IF(tblCleanData[[#This Row],[Attrition]]="No", 0,1)</f>
        <v>0</v>
      </c>
      <c r="AM369" s="13">
        <f>IF(tblCleanData[[#This Row],[OverTime]] = "No", 0, 1)</f>
        <v>0</v>
      </c>
      <c r="AN369" s="13" t="str">
        <f>CHOOSE(tblCleanData[[#This Row],[Education]], "Below College","College","Bachelor","Master","Doctor")</f>
        <v>Bachelor</v>
      </c>
      <c r="AO369" s="13" t="str">
        <f>VLOOKUP(tblCleanData[[#This Row],[EmployeeNumber]],tblHelpers[],15,TRUE)</f>
        <v>Medium Risk</v>
      </c>
      <c r="AP369" s="13">
        <f>VLOOKUP(tblCleanData[[#This Row],[EmployeeNumber]],tblHelpers[],14,0)</f>
        <v>41</v>
      </c>
    </row>
    <row r="370" spans="1:42" x14ac:dyDescent="0.25">
      <c r="A370" s="13">
        <v>40</v>
      </c>
      <c r="B370" s="13" t="s">
        <v>36</v>
      </c>
      <c r="C370" s="13" t="s">
        <v>37</v>
      </c>
      <c r="D370" s="13">
        <v>575</v>
      </c>
      <c r="E370" s="13" t="s">
        <v>39</v>
      </c>
      <c r="F370" s="13">
        <v>22</v>
      </c>
      <c r="G370" s="13">
        <v>2</v>
      </c>
      <c r="H370" s="13" t="s">
        <v>206</v>
      </c>
      <c r="I370" s="13">
        <v>1</v>
      </c>
      <c r="J370" s="13">
        <v>492</v>
      </c>
      <c r="K370" s="13">
        <v>3</v>
      </c>
      <c r="L370" s="13" t="s">
        <v>63</v>
      </c>
      <c r="M370" s="13">
        <v>68</v>
      </c>
      <c r="N370" s="13">
        <v>2</v>
      </c>
      <c r="O370" s="13">
        <v>2</v>
      </c>
      <c r="P370" s="13" t="s">
        <v>46</v>
      </c>
      <c r="Q370" s="13">
        <v>3</v>
      </c>
      <c r="R370" s="13" t="s">
        <v>66</v>
      </c>
      <c r="S370" s="20">
        <v>6380</v>
      </c>
      <c r="T370" s="13">
        <v>6110</v>
      </c>
      <c r="U370" s="13">
        <v>2</v>
      </c>
      <c r="V370" s="13" t="s">
        <v>52</v>
      </c>
      <c r="W370" s="13" t="s">
        <v>36</v>
      </c>
      <c r="X370" s="13">
        <v>12</v>
      </c>
      <c r="Y370" s="13">
        <v>3</v>
      </c>
      <c r="Z370" s="13">
        <v>1</v>
      </c>
      <c r="AA370" s="13">
        <v>80</v>
      </c>
      <c r="AB370" s="13">
        <v>2</v>
      </c>
      <c r="AC370" s="13">
        <v>8</v>
      </c>
      <c r="AD370" s="13">
        <v>6</v>
      </c>
      <c r="AE370" s="13">
        <v>3</v>
      </c>
      <c r="AF370" s="14">
        <v>6</v>
      </c>
      <c r="AG370" s="13">
        <v>4</v>
      </c>
      <c r="AH370" s="13">
        <v>1</v>
      </c>
      <c r="AI370" s="13">
        <v>0</v>
      </c>
      <c r="AJ370" s="13" t="str">
        <f t="shared" si="5"/>
        <v>40-49</v>
      </c>
      <c r="AK370" s="13" t="str">
        <f>IF(tblCleanData[[#This Row],[MonthlyIncome]]&lt;5000, "Low Income", IF(tblCleanData[[#This Row],[MonthlyIncome]]&lt;15000, "Medium Income", "High Income"))</f>
        <v>Medium Income</v>
      </c>
      <c r="AL370" s="13">
        <f>IF(tblCleanData[[#This Row],[Attrition]]="No", 0,1)</f>
        <v>1</v>
      </c>
      <c r="AM370" s="13">
        <f>IF(tblCleanData[[#This Row],[OverTime]] = "No", 0, 1)</f>
        <v>1</v>
      </c>
      <c r="AN370" s="13" t="str">
        <f>CHOOSE(tblCleanData[[#This Row],[Education]], "Below College","College","Bachelor","Master","Doctor")</f>
        <v>College</v>
      </c>
      <c r="AO370" s="13" t="str">
        <f>VLOOKUP(tblCleanData[[#This Row],[EmployeeNumber]],tblHelpers[],15,TRUE)</f>
        <v>High Risk</v>
      </c>
      <c r="AP370" s="13">
        <f>VLOOKUP(tblCleanData[[#This Row],[EmployeeNumber]],tblHelpers[],14,0)</f>
        <v>61</v>
      </c>
    </row>
    <row r="371" spans="1:42" x14ac:dyDescent="0.25">
      <c r="A371" s="13">
        <v>31</v>
      </c>
      <c r="B371" s="13" t="s">
        <v>59</v>
      </c>
      <c r="C371" s="13" t="s">
        <v>37</v>
      </c>
      <c r="D371" s="13">
        <v>408</v>
      </c>
      <c r="E371" s="13" t="s">
        <v>62</v>
      </c>
      <c r="F371" s="13">
        <v>9</v>
      </c>
      <c r="G371" s="13">
        <v>4</v>
      </c>
      <c r="H371" s="13" t="s">
        <v>42</v>
      </c>
      <c r="I371" s="13">
        <v>1</v>
      </c>
      <c r="J371" s="13">
        <v>493</v>
      </c>
      <c r="K371" s="13">
        <v>3</v>
      </c>
      <c r="L371" s="13" t="s">
        <v>63</v>
      </c>
      <c r="M371" s="13">
        <v>42</v>
      </c>
      <c r="N371" s="13">
        <v>2</v>
      </c>
      <c r="O371" s="13">
        <v>1</v>
      </c>
      <c r="P371" s="13" t="s">
        <v>65</v>
      </c>
      <c r="Q371" s="13">
        <v>2</v>
      </c>
      <c r="R371" s="13" t="s">
        <v>48</v>
      </c>
      <c r="S371" s="20">
        <v>2657</v>
      </c>
      <c r="T371" s="13">
        <v>7551</v>
      </c>
      <c r="U371" s="13">
        <v>0</v>
      </c>
      <c r="V371" s="13" t="s">
        <v>52</v>
      </c>
      <c r="W371" s="13" t="s">
        <v>36</v>
      </c>
      <c r="X371" s="13">
        <v>16</v>
      </c>
      <c r="Y371" s="13">
        <v>3</v>
      </c>
      <c r="Z371" s="13">
        <v>4</v>
      </c>
      <c r="AA371" s="13">
        <v>80</v>
      </c>
      <c r="AB371" s="13">
        <v>0</v>
      </c>
      <c r="AC371" s="13">
        <v>3</v>
      </c>
      <c r="AD371" s="13">
        <v>5</v>
      </c>
      <c r="AE371" s="13">
        <v>3</v>
      </c>
      <c r="AF371" s="14">
        <v>2</v>
      </c>
      <c r="AG371" s="13">
        <v>2</v>
      </c>
      <c r="AH371" s="13">
        <v>2</v>
      </c>
      <c r="AI371" s="13">
        <v>2</v>
      </c>
      <c r="AJ371" s="13" t="str">
        <f t="shared" si="5"/>
        <v>30-39</v>
      </c>
      <c r="AK371" s="13" t="str">
        <f>IF(tblCleanData[[#This Row],[MonthlyIncome]]&lt;5000, "Low Income", IF(tblCleanData[[#This Row],[MonthlyIncome]]&lt;15000, "Medium Income", "High Income"))</f>
        <v>Low Income</v>
      </c>
      <c r="AL371" s="13">
        <f>IF(tblCleanData[[#This Row],[Attrition]]="No", 0,1)</f>
        <v>0</v>
      </c>
      <c r="AM371" s="13">
        <f>IF(tblCleanData[[#This Row],[OverTime]] = "No", 0, 1)</f>
        <v>1</v>
      </c>
      <c r="AN371" s="13" t="str">
        <f>CHOOSE(tblCleanData[[#This Row],[Education]], "Below College","College","Bachelor","Master","Doctor")</f>
        <v>Master</v>
      </c>
      <c r="AO371" s="13" t="str">
        <f>VLOOKUP(tblCleanData[[#This Row],[EmployeeNumber]],tblHelpers[],15,TRUE)</f>
        <v>High Risk</v>
      </c>
      <c r="AP371" s="13">
        <f>VLOOKUP(tblCleanData[[#This Row],[EmployeeNumber]],tblHelpers[],14,0)</f>
        <v>94</v>
      </c>
    </row>
    <row r="372" spans="1:42" x14ac:dyDescent="0.25">
      <c r="A372" s="13">
        <v>21</v>
      </c>
      <c r="B372" s="13" t="s">
        <v>36</v>
      </c>
      <c r="C372" s="13" t="s">
        <v>37</v>
      </c>
      <c r="D372" s="13">
        <v>156</v>
      </c>
      <c r="E372" s="13" t="s">
        <v>39</v>
      </c>
      <c r="F372" s="13">
        <v>12</v>
      </c>
      <c r="G372" s="13">
        <v>3</v>
      </c>
      <c r="H372" s="13" t="s">
        <v>42</v>
      </c>
      <c r="I372" s="13">
        <v>1</v>
      </c>
      <c r="J372" s="13">
        <v>494</v>
      </c>
      <c r="K372" s="13">
        <v>3</v>
      </c>
      <c r="L372" s="13" t="s">
        <v>43</v>
      </c>
      <c r="M372" s="13">
        <v>90</v>
      </c>
      <c r="N372" s="13">
        <v>4</v>
      </c>
      <c r="O372" s="13">
        <v>1</v>
      </c>
      <c r="P372" s="13" t="s">
        <v>182</v>
      </c>
      <c r="Q372" s="13">
        <v>2</v>
      </c>
      <c r="R372" s="13" t="s">
        <v>48</v>
      </c>
      <c r="S372" s="20">
        <v>2716</v>
      </c>
      <c r="T372" s="13">
        <v>25422</v>
      </c>
      <c r="U372" s="13">
        <v>1</v>
      </c>
      <c r="V372" s="13" t="s">
        <v>52</v>
      </c>
      <c r="W372" s="13" t="s">
        <v>59</v>
      </c>
      <c r="X372" s="13">
        <v>15</v>
      </c>
      <c r="Y372" s="13">
        <v>3</v>
      </c>
      <c r="Z372" s="13">
        <v>4</v>
      </c>
      <c r="AA372" s="13">
        <v>80</v>
      </c>
      <c r="AB372" s="13">
        <v>0</v>
      </c>
      <c r="AC372" s="13">
        <v>1</v>
      </c>
      <c r="AD372" s="13">
        <v>0</v>
      </c>
      <c r="AE372" s="13">
        <v>3</v>
      </c>
      <c r="AF372" s="14">
        <v>1</v>
      </c>
      <c r="AG372" s="13">
        <v>0</v>
      </c>
      <c r="AH372" s="13">
        <v>0</v>
      </c>
      <c r="AI372" s="13">
        <v>0</v>
      </c>
      <c r="AJ372" s="13" t="str">
        <f t="shared" si="5"/>
        <v>Under 30</v>
      </c>
      <c r="AK372" s="13" t="str">
        <f>IF(tblCleanData[[#This Row],[MonthlyIncome]]&lt;5000, "Low Income", IF(tblCleanData[[#This Row],[MonthlyIncome]]&lt;15000, "Medium Income", "High Income"))</f>
        <v>Low Income</v>
      </c>
      <c r="AL372" s="13">
        <f>IF(tblCleanData[[#This Row],[Attrition]]="No", 0,1)</f>
        <v>1</v>
      </c>
      <c r="AM372" s="13">
        <f>IF(tblCleanData[[#This Row],[OverTime]] = "No", 0, 1)</f>
        <v>0</v>
      </c>
      <c r="AN372" s="13" t="str">
        <f>CHOOSE(tblCleanData[[#This Row],[Education]], "Below College","College","Bachelor","Master","Doctor")</f>
        <v>Bachelor</v>
      </c>
      <c r="AO372" s="13" t="str">
        <f>VLOOKUP(tblCleanData[[#This Row],[EmployeeNumber]],tblHelpers[],15,TRUE)</f>
        <v>High Risk</v>
      </c>
      <c r="AP372" s="13">
        <f>VLOOKUP(tblCleanData[[#This Row],[EmployeeNumber]],tblHelpers[],14,0)</f>
        <v>79</v>
      </c>
    </row>
    <row r="373" spans="1:42" x14ac:dyDescent="0.25">
      <c r="A373" s="13">
        <v>29</v>
      </c>
      <c r="B373" s="13" t="s">
        <v>59</v>
      </c>
      <c r="C373" s="13" t="s">
        <v>37</v>
      </c>
      <c r="D373" s="13">
        <v>1283</v>
      </c>
      <c r="E373" s="13" t="s">
        <v>62</v>
      </c>
      <c r="F373" s="13">
        <v>23</v>
      </c>
      <c r="G373" s="13">
        <v>3</v>
      </c>
      <c r="H373" s="13" t="s">
        <v>42</v>
      </c>
      <c r="I373" s="13">
        <v>1</v>
      </c>
      <c r="J373" s="13">
        <v>495</v>
      </c>
      <c r="K373" s="13">
        <v>4</v>
      </c>
      <c r="L373" s="13" t="s">
        <v>63</v>
      </c>
      <c r="M373" s="13">
        <v>54</v>
      </c>
      <c r="N373" s="13">
        <v>3</v>
      </c>
      <c r="O373" s="13">
        <v>1</v>
      </c>
      <c r="P373" s="13" t="s">
        <v>65</v>
      </c>
      <c r="Q373" s="13">
        <v>4</v>
      </c>
      <c r="R373" s="13" t="s">
        <v>48</v>
      </c>
      <c r="S373" s="20">
        <v>2201</v>
      </c>
      <c r="T373" s="13">
        <v>18168</v>
      </c>
      <c r="U373" s="13">
        <v>9</v>
      </c>
      <c r="V373" s="13" t="s">
        <v>52</v>
      </c>
      <c r="W373" s="13" t="s">
        <v>59</v>
      </c>
      <c r="X373" s="13">
        <v>16</v>
      </c>
      <c r="Y373" s="13">
        <v>3</v>
      </c>
      <c r="Z373" s="13">
        <v>4</v>
      </c>
      <c r="AA373" s="13">
        <v>80</v>
      </c>
      <c r="AB373" s="13">
        <v>0</v>
      </c>
      <c r="AC373" s="13">
        <v>6</v>
      </c>
      <c r="AD373" s="13">
        <v>4</v>
      </c>
      <c r="AE373" s="13">
        <v>3</v>
      </c>
      <c r="AF373" s="14">
        <v>3</v>
      </c>
      <c r="AG373" s="13">
        <v>2</v>
      </c>
      <c r="AH373" s="13">
        <v>1</v>
      </c>
      <c r="AI373" s="13">
        <v>2</v>
      </c>
      <c r="AJ373" s="13" t="str">
        <f t="shared" si="5"/>
        <v>Under 30</v>
      </c>
      <c r="AK373" s="13" t="str">
        <f>IF(tblCleanData[[#This Row],[MonthlyIncome]]&lt;5000, "Low Income", IF(tblCleanData[[#This Row],[MonthlyIncome]]&lt;15000, "Medium Income", "High Income"))</f>
        <v>Low Income</v>
      </c>
      <c r="AL373" s="13">
        <f>IF(tblCleanData[[#This Row],[Attrition]]="No", 0,1)</f>
        <v>0</v>
      </c>
      <c r="AM373" s="13">
        <f>IF(tblCleanData[[#This Row],[OverTime]] = "No", 0, 1)</f>
        <v>0</v>
      </c>
      <c r="AN373" s="13" t="str">
        <f>CHOOSE(tblCleanData[[#This Row],[Education]], "Below College","College","Bachelor","Master","Doctor")</f>
        <v>Bachelor</v>
      </c>
      <c r="AO373" s="13" t="str">
        <f>VLOOKUP(tblCleanData[[#This Row],[EmployeeNumber]],tblHelpers[],15,TRUE)</f>
        <v>High Risk</v>
      </c>
      <c r="AP373" s="13">
        <f>VLOOKUP(tblCleanData[[#This Row],[EmployeeNumber]],tblHelpers[],14,0)</f>
        <v>56</v>
      </c>
    </row>
    <row r="374" spans="1:42" x14ac:dyDescent="0.25">
      <c r="A374" s="13">
        <v>35</v>
      </c>
      <c r="B374" s="13" t="s">
        <v>59</v>
      </c>
      <c r="C374" s="13" t="s">
        <v>37</v>
      </c>
      <c r="D374" s="13">
        <v>755</v>
      </c>
      <c r="E374" s="13" t="s">
        <v>62</v>
      </c>
      <c r="F374" s="13">
        <v>9</v>
      </c>
      <c r="G374" s="13">
        <v>4</v>
      </c>
      <c r="H374" s="13" t="s">
        <v>42</v>
      </c>
      <c r="I374" s="13">
        <v>1</v>
      </c>
      <c r="J374" s="13">
        <v>496</v>
      </c>
      <c r="K374" s="13">
        <v>3</v>
      </c>
      <c r="L374" s="13" t="s">
        <v>63</v>
      </c>
      <c r="M374" s="13">
        <v>97</v>
      </c>
      <c r="N374" s="13">
        <v>2</v>
      </c>
      <c r="O374" s="13">
        <v>2</v>
      </c>
      <c r="P374" s="13" t="s">
        <v>122</v>
      </c>
      <c r="Q374" s="13">
        <v>2</v>
      </c>
      <c r="R374" s="13" t="s">
        <v>48</v>
      </c>
      <c r="S374" s="20">
        <v>6540</v>
      </c>
      <c r="T374" s="13">
        <v>19394</v>
      </c>
      <c r="U374" s="13">
        <v>9</v>
      </c>
      <c r="V374" s="13" t="s">
        <v>52</v>
      </c>
      <c r="W374" s="13" t="s">
        <v>59</v>
      </c>
      <c r="X374" s="13">
        <v>19</v>
      </c>
      <c r="Y374" s="13">
        <v>3</v>
      </c>
      <c r="Z374" s="13">
        <v>3</v>
      </c>
      <c r="AA374" s="13">
        <v>80</v>
      </c>
      <c r="AB374" s="13">
        <v>0</v>
      </c>
      <c r="AC374" s="13">
        <v>10</v>
      </c>
      <c r="AD374" s="13">
        <v>5</v>
      </c>
      <c r="AE374" s="13">
        <v>3</v>
      </c>
      <c r="AF374" s="14">
        <v>1</v>
      </c>
      <c r="AG374" s="13">
        <v>1</v>
      </c>
      <c r="AH374" s="13">
        <v>0</v>
      </c>
      <c r="AI374" s="13">
        <v>0</v>
      </c>
      <c r="AJ374" s="13" t="str">
        <f t="shared" si="5"/>
        <v>30-39</v>
      </c>
      <c r="AK374" s="13" t="str">
        <f>IF(tblCleanData[[#This Row],[MonthlyIncome]]&lt;5000, "Low Income", IF(tblCleanData[[#This Row],[MonthlyIncome]]&lt;15000, "Medium Income", "High Income"))</f>
        <v>Medium Income</v>
      </c>
      <c r="AL374" s="13">
        <f>IF(tblCleanData[[#This Row],[Attrition]]="No", 0,1)</f>
        <v>0</v>
      </c>
      <c r="AM374" s="13">
        <f>IF(tblCleanData[[#This Row],[OverTime]] = "No", 0, 1)</f>
        <v>0</v>
      </c>
      <c r="AN374" s="13" t="str">
        <f>CHOOSE(tblCleanData[[#This Row],[Education]], "Below College","College","Bachelor","Master","Doctor")</f>
        <v>Master</v>
      </c>
      <c r="AO374" s="13" t="str">
        <f>VLOOKUP(tblCleanData[[#This Row],[EmployeeNumber]],tblHelpers[],15,TRUE)</f>
        <v>High Risk</v>
      </c>
      <c r="AP374" s="13">
        <f>VLOOKUP(tblCleanData[[#This Row],[EmployeeNumber]],tblHelpers[],14,0)</f>
        <v>69</v>
      </c>
    </row>
    <row r="375" spans="1:42" x14ac:dyDescent="0.25">
      <c r="A375" s="13">
        <v>27</v>
      </c>
      <c r="B375" s="13" t="s">
        <v>59</v>
      </c>
      <c r="C375" s="13" t="s">
        <v>37</v>
      </c>
      <c r="D375" s="13">
        <v>1469</v>
      </c>
      <c r="E375" s="13" t="s">
        <v>62</v>
      </c>
      <c r="F375" s="13">
        <v>1</v>
      </c>
      <c r="G375" s="13">
        <v>2</v>
      </c>
      <c r="H375" s="13" t="s">
        <v>87</v>
      </c>
      <c r="I375" s="13">
        <v>1</v>
      </c>
      <c r="J375" s="13">
        <v>497</v>
      </c>
      <c r="K375" s="13">
        <v>4</v>
      </c>
      <c r="L375" s="13" t="s">
        <v>63</v>
      </c>
      <c r="M375" s="13">
        <v>82</v>
      </c>
      <c r="N375" s="13">
        <v>3</v>
      </c>
      <c r="O375" s="13">
        <v>1</v>
      </c>
      <c r="P375" s="13" t="s">
        <v>76</v>
      </c>
      <c r="Q375" s="13">
        <v>2</v>
      </c>
      <c r="R375" s="13" t="s">
        <v>109</v>
      </c>
      <c r="S375" s="20">
        <v>3816</v>
      </c>
      <c r="T375" s="13">
        <v>17881</v>
      </c>
      <c r="U375" s="13">
        <v>1</v>
      </c>
      <c r="V375" s="13" t="s">
        <v>52</v>
      </c>
      <c r="W375" s="13" t="s">
        <v>59</v>
      </c>
      <c r="X375" s="13">
        <v>11</v>
      </c>
      <c r="Y375" s="13">
        <v>3</v>
      </c>
      <c r="Z375" s="13">
        <v>2</v>
      </c>
      <c r="AA375" s="13">
        <v>80</v>
      </c>
      <c r="AB375" s="13">
        <v>1</v>
      </c>
      <c r="AC375" s="13">
        <v>5</v>
      </c>
      <c r="AD375" s="13">
        <v>2</v>
      </c>
      <c r="AE375" s="13">
        <v>3</v>
      </c>
      <c r="AF375" s="14">
        <v>5</v>
      </c>
      <c r="AG375" s="13">
        <v>2</v>
      </c>
      <c r="AH375" s="13">
        <v>0</v>
      </c>
      <c r="AI375" s="13">
        <v>4</v>
      </c>
      <c r="AJ375" s="13" t="str">
        <f t="shared" si="5"/>
        <v>Under 30</v>
      </c>
      <c r="AK375" s="13" t="str">
        <f>IF(tblCleanData[[#This Row],[MonthlyIncome]]&lt;5000, "Low Income", IF(tblCleanData[[#This Row],[MonthlyIncome]]&lt;15000, "Medium Income", "High Income"))</f>
        <v>Low Income</v>
      </c>
      <c r="AL375" s="13">
        <f>IF(tblCleanData[[#This Row],[Attrition]]="No", 0,1)</f>
        <v>0</v>
      </c>
      <c r="AM375" s="13">
        <f>IF(tblCleanData[[#This Row],[OverTime]] = "No", 0, 1)</f>
        <v>0</v>
      </c>
      <c r="AN375" s="13" t="str">
        <f>CHOOSE(tblCleanData[[#This Row],[Education]], "Below College","College","Bachelor","Master","Doctor")</f>
        <v>College</v>
      </c>
      <c r="AO375" s="13" t="str">
        <f>VLOOKUP(tblCleanData[[#This Row],[EmployeeNumber]],tblHelpers[],15,TRUE)</f>
        <v>High Risk</v>
      </c>
      <c r="AP375" s="13">
        <f>VLOOKUP(tblCleanData[[#This Row],[EmployeeNumber]],tblHelpers[],14,0)</f>
        <v>69</v>
      </c>
    </row>
    <row r="376" spans="1:42" x14ac:dyDescent="0.25">
      <c r="A376" s="13">
        <v>28</v>
      </c>
      <c r="B376" s="13" t="s">
        <v>59</v>
      </c>
      <c r="C376" s="13" t="s">
        <v>37</v>
      </c>
      <c r="D376" s="13">
        <v>304</v>
      </c>
      <c r="E376" s="13" t="s">
        <v>39</v>
      </c>
      <c r="F376" s="13">
        <v>9</v>
      </c>
      <c r="G376" s="13">
        <v>4</v>
      </c>
      <c r="H376" s="13" t="s">
        <v>42</v>
      </c>
      <c r="I376" s="13">
        <v>1</v>
      </c>
      <c r="J376" s="13">
        <v>498</v>
      </c>
      <c r="K376" s="13">
        <v>2</v>
      </c>
      <c r="L376" s="13" t="s">
        <v>63</v>
      </c>
      <c r="M376" s="13">
        <v>92</v>
      </c>
      <c r="N376" s="13">
        <v>3</v>
      </c>
      <c r="O376" s="13">
        <v>2</v>
      </c>
      <c r="P376" s="13" t="s">
        <v>46</v>
      </c>
      <c r="Q376" s="13">
        <v>4</v>
      </c>
      <c r="R376" s="13" t="s">
        <v>48</v>
      </c>
      <c r="S376" s="20">
        <v>5253</v>
      </c>
      <c r="T376" s="13">
        <v>20750</v>
      </c>
      <c r="U376" s="13">
        <v>1</v>
      </c>
      <c r="V376" s="13" t="s">
        <v>52</v>
      </c>
      <c r="W376" s="13" t="s">
        <v>59</v>
      </c>
      <c r="X376" s="13">
        <v>16</v>
      </c>
      <c r="Y376" s="13">
        <v>3</v>
      </c>
      <c r="Z376" s="13">
        <v>4</v>
      </c>
      <c r="AA376" s="13">
        <v>80</v>
      </c>
      <c r="AB376" s="13">
        <v>0</v>
      </c>
      <c r="AC376" s="13">
        <v>7</v>
      </c>
      <c r="AD376" s="13">
        <v>1</v>
      </c>
      <c r="AE376" s="13">
        <v>3</v>
      </c>
      <c r="AF376" s="14">
        <v>7</v>
      </c>
      <c r="AG376" s="13">
        <v>5</v>
      </c>
      <c r="AH376" s="13">
        <v>0</v>
      </c>
      <c r="AI376" s="13">
        <v>7</v>
      </c>
      <c r="AJ376" s="13" t="str">
        <f t="shared" si="5"/>
        <v>Under 30</v>
      </c>
      <c r="AK376" s="13" t="str">
        <f>IF(tblCleanData[[#This Row],[MonthlyIncome]]&lt;5000, "Low Income", IF(tblCleanData[[#This Row],[MonthlyIncome]]&lt;15000, "Medium Income", "High Income"))</f>
        <v>Medium Income</v>
      </c>
      <c r="AL376" s="13">
        <f>IF(tblCleanData[[#This Row],[Attrition]]="No", 0,1)</f>
        <v>0</v>
      </c>
      <c r="AM376" s="13">
        <f>IF(tblCleanData[[#This Row],[OverTime]] = "No", 0, 1)</f>
        <v>0</v>
      </c>
      <c r="AN376" s="13" t="str">
        <f>CHOOSE(tblCleanData[[#This Row],[Education]], "Below College","College","Bachelor","Master","Doctor")</f>
        <v>Master</v>
      </c>
      <c r="AO376" s="13" t="str">
        <f>VLOOKUP(tblCleanData[[#This Row],[EmployeeNumber]],tblHelpers[],15,TRUE)</f>
        <v>Medium Risk</v>
      </c>
      <c r="AP376" s="13">
        <f>VLOOKUP(tblCleanData[[#This Row],[EmployeeNumber]],tblHelpers[],14,0)</f>
        <v>49</v>
      </c>
    </row>
    <row r="377" spans="1:42" x14ac:dyDescent="0.25">
      <c r="A377" s="13">
        <v>49</v>
      </c>
      <c r="B377" s="13" t="s">
        <v>59</v>
      </c>
      <c r="C377" s="13" t="s">
        <v>37</v>
      </c>
      <c r="D377" s="13">
        <v>1261</v>
      </c>
      <c r="E377" s="13" t="s">
        <v>62</v>
      </c>
      <c r="F377" s="13">
        <v>7</v>
      </c>
      <c r="G377" s="13">
        <v>3</v>
      </c>
      <c r="H377" s="13" t="s">
        <v>74</v>
      </c>
      <c r="I377" s="13">
        <v>1</v>
      </c>
      <c r="J377" s="13">
        <v>499</v>
      </c>
      <c r="K377" s="13">
        <v>2</v>
      </c>
      <c r="L377" s="13" t="s">
        <v>63</v>
      </c>
      <c r="M377" s="13">
        <v>31</v>
      </c>
      <c r="N377" s="13">
        <v>2</v>
      </c>
      <c r="O377" s="13">
        <v>3</v>
      </c>
      <c r="P377" s="13" t="s">
        <v>122</v>
      </c>
      <c r="Q377" s="13">
        <v>3</v>
      </c>
      <c r="R377" s="13" t="s">
        <v>48</v>
      </c>
      <c r="S377" s="20">
        <v>10965</v>
      </c>
      <c r="T377" s="13">
        <v>12066</v>
      </c>
      <c r="U377" s="13">
        <v>8</v>
      </c>
      <c r="V377" s="13" t="s">
        <v>52</v>
      </c>
      <c r="W377" s="13" t="s">
        <v>59</v>
      </c>
      <c r="X377" s="13">
        <v>24</v>
      </c>
      <c r="Y377" s="13">
        <v>4</v>
      </c>
      <c r="Z377" s="13">
        <v>3</v>
      </c>
      <c r="AA377" s="13">
        <v>80</v>
      </c>
      <c r="AB377" s="13">
        <v>0</v>
      </c>
      <c r="AC377" s="13">
        <v>26</v>
      </c>
      <c r="AD377" s="13">
        <v>2</v>
      </c>
      <c r="AE377" s="13">
        <v>3</v>
      </c>
      <c r="AF377" s="14">
        <v>5</v>
      </c>
      <c r="AG377" s="13">
        <v>2</v>
      </c>
      <c r="AH377" s="13">
        <v>0</v>
      </c>
      <c r="AI377" s="13">
        <v>0</v>
      </c>
      <c r="AJ377" s="13" t="str">
        <f t="shared" si="5"/>
        <v>40-49</v>
      </c>
      <c r="AK377" s="13" t="str">
        <f>IF(tblCleanData[[#This Row],[MonthlyIncome]]&lt;5000, "Low Income", IF(tblCleanData[[#This Row],[MonthlyIncome]]&lt;15000, "Medium Income", "High Income"))</f>
        <v>Medium Income</v>
      </c>
      <c r="AL377" s="13">
        <f>IF(tblCleanData[[#This Row],[Attrition]]="No", 0,1)</f>
        <v>0</v>
      </c>
      <c r="AM377" s="13">
        <f>IF(tblCleanData[[#This Row],[OverTime]] = "No", 0, 1)</f>
        <v>0</v>
      </c>
      <c r="AN377" s="13" t="str">
        <f>CHOOSE(tblCleanData[[#This Row],[Education]], "Below College","College","Bachelor","Master","Doctor")</f>
        <v>Bachelor</v>
      </c>
      <c r="AO377" s="13" t="str">
        <f>VLOOKUP(tblCleanData[[#This Row],[EmployeeNumber]],tblHelpers[],15,TRUE)</f>
        <v>Medium Risk</v>
      </c>
      <c r="AP377" s="13">
        <f>VLOOKUP(tblCleanData[[#This Row],[EmployeeNumber]],tblHelpers[],14,0)</f>
        <v>43</v>
      </c>
    </row>
    <row r="378" spans="1:42" x14ac:dyDescent="0.25">
      <c r="A378" s="13">
        <v>51</v>
      </c>
      <c r="B378" s="13" t="s">
        <v>59</v>
      </c>
      <c r="C378" s="13" t="s">
        <v>37</v>
      </c>
      <c r="D378" s="13">
        <v>1178</v>
      </c>
      <c r="E378" s="13" t="s">
        <v>39</v>
      </c>
      <c r="F378" s="13">
        <v>14</v>
      </c>
      <c r="G378" s="13">
        <v>2</v>
      </c>
      <c r="H378" s="13" t="s">
        <v>42</v>
      </c>
      <c r="I378" s="13">
        <v>1</v>
      </c>
      <c r="J378" s="13">
        <v>500</v>
      </c>
      <c r="K378" s="13">
        <v>3</v>
      </c>
      <c r="L378" s="13" t="s">
        <v>43</v>
      </c>
      <c r="M378" s="13">
        <v>87</v>
      </c>
      <c r="N378" s="13">
        <v>3</v>
      </c>
      <c r="O378" s="13">
        <v>2</v>
      </c>
      <c r="P378" s="13" t="s">
        <v>46</v>
      </c>
      <c r="Q378" s="13">
        <v>4</v>
      </c>
      <c r="R378" s="13" t="s">
        <v>66</v>
      </c>
      <c r="S378" s="20">
        <v>4936</v>
      </c>
      <c r="T378" s="13">
        <v>14862</v>
      </c>
      <c r="U378" s="13">
        <v>4</v>
      </c>
      <c r="V378" s="13" t="s">
        <v>52</v>
      </c>
      <c r="W378" s="13" t="s">
        <v>59</v>
      </c>
      <c r="X378" s="13">
        <v>11</v>
      </c>
      <c r="Y378" s="13">
        <v>3</v>
      </c>
      <c r="Z378" s="13">
        <v>3</v>
      </c>
      <c r="AA378" s="13">
        <v>80</v>
      </c>
      <c r="AB378" s="13">
        <v>1</v>
      </c>
      <c r="AC378" s="13">
        <v>18</v>
      </c>
      <c r="AD378" s="13">
        <v>2</v>
      </c>
      <c r="AE378" s="13">
        <v>2</v>
      </c>
      <c r="AF378" s="14">
        <v>7</v>
      </c>
      <c r="AG378" s="13">
        <v>7</v>
      </c>
      <c r="AH378" s="13">
        <v>0</v>
      </c>
      <c r="AI378" s="13">
        <v>7</v>
      </c>
      <c r="AJ378" s="13" t="str">
        <f t="shared" si="5"/>
        <v>50+</v>
      </c>
      <c r="AK378" s="13" t="str">
        <f>IF(tblCleanData[[#This Row],[MonthlyIncome]]&lt;5000, "Low Income", IF(tblCleanData[[#This Row],[MonthlyIncome]]&lt;15000, "Medium Income", "High Income"))</f>
        <v>Low Income</v>
      </c>
      <c r="AL378" s="13">
        <f>IF(tblCleanData[[#This Row],[Attrition]]="No", 0,1)</f>
        <v>0</v>
      </c>
      <c r="AM378" s="13">
        <f>IF(tblCleanData[[#This Row],[OverTime]] = "No", 0, 1)</f>
        <v>0</v>
      </c>
      <c r="AN378" s="13" t="str">
        <f>CHOOSE(tblCleanData[[#This Row],[Education]], "Below College","College","Bachelor","Master","Doctor")</f>
        <v>College</v>
      </c>
      <c r="AO378" s="13" t="str">
        <f>VLOOKUP(tblCleanData[[#This Row],[EmployeeNumber]],tblHelpers[],15,TRUE)</f>
        <v>Low Risk</v>
      </c>
      <c r="AP378" s="13">
        <f>VLOOKUP(tblCleanData[[#This Row],[EmployeeNumber]],tblHelpers[],14,0)</f>
        <v>34</v>
      </c>
    </row>
    <row r="379" spans="1:42" x14ac:dyDescent="0.25">
      <c r="A379" s="13">
        <v>36</v>
      </c>
      <c r="B379" s="13" t="s">
        <v>59</v>
      </c>
      <c r="C379" s="13" t="s">
        <v>37</v>
      </c>
      <c r="D379" s="13">
        <v>329</v>
      </c>
      <c r="E379" s="13" t="s">
        <v>62</v>
      </c>
      <c r="F379" s="13">
        <v>2</v>
      </c>
      <c r="G379" s="13">
        <v>3</v>
      </c>
      <c r="H379" s="13" t="s">
        <v>42</v>
      </c>
      <c r="I379" s="13">
        <v>1</v>
      </c>
      <c r="J379" s="13">
        <v>501</v>
      </c>
      <c r="K379" s="13">
        <v>4</v>
      </c>
      <c r="L379" s="13" t="s">
        <v>43</v>
      </c>
      <c r="M379" s="13">
        <v>96</v>
      </c>
      <c r="N379" s="13">
        <v>3</v>
      </c>
      <c r="O379" s="13">
        <v>1</v>
      </c>
      <c r="P379" s="13" t="s">
        <v>65</v>
      </c>
      <c r="Q379" s="13">
        <v>3</v>
      </c>
      <c r="R379" s="13" t="s">
        <v>66</v>
      </c>
      <c r="S379" s="20">
        <v>2543</v>
      </c>
      <c r="T379" s="13">
        <v>11868</v>
      </c>
      <c r="U379" s="13">
        <v>4</v>
      </c>
      <c r="V379" s="13" t="s">
        <v>52</v>
      </c>
      <c r="W379" s="13" t="s">
        <v>59</v>
      </c>
      <c r="X379" s="13">
        <v>13</v>
      </c>
      <c r="Y379" s="13">
        <v>3</v>
      </c>
      <c r="Z379" s="13">
        <v>2</v>
      </c>
      <c r="AA379" s="13">
        <v>80</v>
      </c>
      <c r="AB379" s="13">
        <v>1</v>
      </c>
      <c r="AC379" s="13">
        <v>6</v>
      </c>
      <c r="AD379" s="13">
        <v>3</v>
      </c>
      <c r="AE379" s="13">
        <v>3</v>
      </c>
      <c r="AF379" s="14">
        <v>2</v>
      </c>
      <c r="AG379" s="13">
        <v>2</v>
      </c>
      <c r="AH379" s="13">
        <v>2</v>
      </c>
      <c r="AI379" s="13">
        <v>2</v>
      </c>
      <c r="AJ379" s="13" t="str">
        <f t="shared" si="5"/>
        <v>30-39</v>
      </c>
      <c r="AK379" s="13" t="str">
        <f>IF(tblCleanData[[#This Row],[MonthlyIncome]]&lt;5000, "Low Income", IF(tblCleanData[[#This Row],[MonthlyIncome]]&lt;15000, "Medium Income", "High Income"))</f>
        <v>Low Income</v>
      </c>
      <c r="AL379" s="13">
        <f>IF(tblCleanData[[#This Row],[Attrition]]="No", 0,1)</f>
        <v>0</v>
      </c>
      <c r="AM379" s="13">
        <f>IF(tblCleanData[[#This Row],[OverTime]] = "No", 0, 1)</f>
        <v>0</v>
      </c>
      <c r="AN379" s="13" t="str">
        <f>CHOOSE(tblCleanData[[#This Row],[Education]], "Below College","College","Bachelor","Master","Doctor")</f>
        <v>Bachelor</v>
      </c>
      <c r="AO379" s="13" t="str">
        <f>VLOOKUP(tblCleanData[[#This Row],[EmployeeNumber]],tblHelpers[],15,TRUE)</f>
        <v>High Risk</v>
      </c>
      <c r="AP379" s="13">
        <f>VLOOKUP(tblCleanData[[#This Row],[EmployeeNumber]],tblHelpers[],14,0)</f>
        <v>63</v>
      </c>
    </row>
    <row r="380" spans="1:42" x14ac:dyDescent="0.25">
      <c r="A380" s="13">
        <v>34</v>
      </c>
      <c r="B380" s="13" t="s">
        <v>36</v>
      </c>
      <c r="C380" s="13" t="s">
        <v>161</v>
      </c>
      <c r="D380" s="13">
        <v>1362</v>
      </c>
      <c r="E380" s="13" t="s">
        <v>39</v>
      </c>
      <c r="F380" s="13">
        <v>19</v>
      </c>
      <c r="G380" s="13">
        <v>3</v>
      </c>
      <c r="H380" s="13" t="s">
        <v>206</v>
      </c>
      <c r="I380" s="13">
        <v>1</v>
      </c>
      <c r="J380" s="13">
        <v>502</v>
      </c>
      <c r="K380" s="13">
        <v>1</v>
      </c>
      <c r="L380" s="13" t="s">
        <v>63</v>
      </c>
      <c r="M380" s="13">
        <v>67</v>
      </c>
      <c r="N380" s="13">
        <v>4</v>
      </c>
      <c r="O380" s="13">
        <v>2</v>
      </c>
      <c r="P380" s="13" t="s">
        <v>46</v>
      </c>
      <c r="Q380" s="13">
        <v>4</v>
      </c>
      <c r="R380" s="13" t="s">
        <v>48</v>
      </c>
      <c r="S380" s="20">
        <v>5304</v>
      </c>
      <c r="T380" s="13">
        <v>4652</v>
      </c>
      <c r="U380" s="13">
        <v>8</v>
      </c>
      <c r="V380" s="13" t="s">
        <v>52</v>
      </c>
      <c r="W380" s="13" t="s">
        <v>36</v>
      </c>
      <c r="X380" s="13">
        <v>13</v>
      </c>
      <c r="Y380" s="13">
        <v>3</v>
      </c>
      <c r="Z380" s="13">
        <v>2</v>
      </c>
      <c r="AA380" s="13">
        <v>80</v>
      </c>
      <c r="AB380" s="13">
        <v>0</v>
      </c>
      <c r="AC380" s="13">
        <v>9</v>
      </c>
      <c r="AD380" s="13">
        <v>3</v>
      </c>
      <c r="AE380" s="13">
        <v>2</v>
      </c>
      <c r="AF380" s="14">
        <v>5</v>
      </c>
      <c r="AG380" s="13">
        <v>2</v>
      </c>
      <c r="AH380" s="13">
        <v>0</v>
      </c>
      <c r="AI380" s="13">
        <v>4</v>
      </c>
      <c r="AJ380" s="13" t="str">
        <f t="shared" si="5"/>
        <v>30-39</v>
      </c>
      <c r="AK380" s="13" t="str">
        <f>IF(tblCleanData[[#This Row],[MonthlyIncome]]&lt;5000, "Low Income", IF(tblCleanData[[#This Row],[MonthlyIncome]]&lt;15000, "Medium Income", "High Income"))</f>
        <v>Medium Income</v>
      </c>
      <c r="AL380" s="13">
        <f>IF(tblCleanData[[#This Row],[Attrition]]="No", 0,1)</f>
        <v>1</v>
      </c>
      <c r="AM380" s="13">
        <f>IF(tblCleanData[[#This Row],[OverTime]] = "No", 0, 1)</f>
        <v>1</v>
      </c>
      <c r="AN380" s="13" t="str">
        <f>CHOOSE(tblCleanData[[#This Row],[Education]], "Below College","College","Bachelor","Master","Doctor")</f>
        <v>Bachelor</v>
      </c>
      <c r="AO380" s="13" t="str">
        <f>VLOOKUP(tblCleanData[[#This Row],[EmployeeNumber]],tblHelpers[],15,TRUE)</f>
        <v>High Risk</v>
      </c>
      <c r="AP380" s="13">
        <f>VLOOKUP(tblCleanData[[#This Row],[EmployeeNumber]],tblHelpers[],14,0)</f>
        <v>71</v>
      </c>
    </row>
    <row r="381" spans="1:42" x14ac:dyDescent="0.25">
      <c r="A381" s="13">
        <v>55</v>
      </c>
      <c r="B381" s="13" t="s">
        <v>59</v>
      </c>
      <c r="C381" s="13" t="s">
        <v>37</v>
      </c>
      <c r="D381" s="13">
        <v>1311</v>
      </c>
      <c r="E381" s="13" t="s">
        <v>62</v>
      </c>
      <c r="F381" s="13">
        <v>2</v>
      </c>
      <c r="G381" s="13">
        <v>3</v>
      </c>
      <c r="H381" s="13" t="s">
        <v>42</v>
      </c>
      <c r="I381" s="13">
        <v>1</v>
      </c>
      <c r="J381" s="13">
        <v>505</v>
      </c>
      <c r="K381" s="13">
        <v>3</v>
      </c>
      <c r="L381" s="13" t="s">
        <v>43</v>
      </c>
      <c r="M381" s="13">
        <v>97</v>
      </c>
      <c r="N381" s="13">
        <v>3</v>
      </c>
      <c r="O381" s="13">
        <v>4</v>
      </c>
      <c r="P381" s="13" t="s">
        <v>169</v>
      </c>
      <c r="Q381" s="13">
        <v>4</v>
      </c>
      <c r="R381" s="13" t="s">
        <v>48</v>
      </c>
      <c r="S381" s="20">
        <v>16659</v>
      </c>
      <c r="T381" s="13">
        <v>23258</v>
      </c>
      <c r="U381" s="13">
        <v>2</v>
      </c>
      <c r="V381" s="13" t="s">
        <v>52</v>
      </c>
      <c r="W381" s="13" t="s">
        <v>36</v>
      </c>
      <c r="X381" s="13">
        <v>13</v>
      </c>
      <c r="Y381" s="13">
        <v>3</v>
      </c>
      <c r="Z381" s="13">
        <v>3</v>
      </c>
      <c r="AA381" s="13">
        <v>80</v>
      </c>
      <c r="AB381" s="13">
        <v>0</v>
      </c>
      <c r="AC381" s="13">
        <v>30</v>
      </c>
      <c r="AD381" s="13">
        <v>2</v>
      </c>
      <c r="AE381" s="13">
        <v>3</v>
      </c>
      <c r="AF381" s="14">
        <v>5</v>
      </c>
      <c r="AG381" s="13">
        <v>4</v>
      </c>
      <c r="AH381" s="13">
        <v>1</v>
      </c>
      <c r="AI381" s="13">
        <v>2</v>
      </c>
      <c r="AJ381" s="13" t="str">
        <f t="shared" si="5"/>
        <v>50+</v>
      </c>
      <c r="AK381" s="13" t="str">
        <f>IF(tblCleanData[[#This Row],[MonthlyIncome]]&lt;5000, "Low Income", IF(tblCleanData[[#This Row],[MonthlyIncome]]&lt;15000, "Medium Income", "High Income"))</f>
        <v>High Income</v>
      </c>
      <c r="AL381" s="13">
        <f>IF(tblCleanData[[#This Row],[Attrition]]="No", 0,1)</f>
        <v>0</v>
      </c>
      <c r="AM381" s="13">
        <f>IF(tblCleanData[[#This Row],[OverTime]] = "No", 0, 1)</f>
        <v>1</v>
      </c>
      <c r="AN381" s="13" t="str">
        <f>CHOOSE(tblCleanData[[#This Row],[Education]], "Below College","College","Bachelor","Master","Doctor")</f>
        <v>Bachelor</v>
      </c>
      <c r="AO381" s="13" t="str">
        <f>VLOOKUP(tblCleanData[[#This Row],[EmployeeNumber]],tblHelpers[],15,TRUE)</f>
        <v>High Risk</v>
      </c>
      <c r="AP381" s="13">
        <f>VLOOKUP(tblCleanData[[#This Row],[EmployeeNumber]],tblHelpers[],14,0)</f>
        <v>66</v>
      </c>
    </row>
    <row r="382" spans="1:42" x14ac:dyDescent="0.25">
      <c r="A382" s="13">
        <v>24</v>
      </c>
      <c r="B382" s="13" t="s">
        <v>59</v>
      </c>
      <c r="C382" s="13" t="s">
        <v>37</v>
      </c>
      <c r="D382" s="13">
        <v>1371</v>
      </c>
      <c r="E382" s="13" t="s">
        <v>39</v>
      </c>
      <c r="F382" s="13">
        <v>10</v>
      </c>
      <c r="G382" s="13">
        <v>4</v>
      </c>
      <c r="H382" s="13" t="s">
        <v>206</v>
      </c>
      <c r="I382" s="13">
        <v>1</v>
      </c>
      <c r="J382" s="13">
        <v>507</v>
      </c>
      <c r="K382" s="13">
        <v>4</v>
      </c>
      <c r="L382" s="13" t="s">
        <v>43</v>
      </c>
      <c r="M382" s="13">
        <v>77</v>
      </c>
      <c r="N382" s="13">
        <v>3</v>
      </c>
      <c r="O382" s="13">
        <v>2</v>
      </c>
      <c r="P382" s="13" t="s">
        <v>46</v>
      </c>
      <c r="Q382" s="13">
        <v>3</v>
      </c>
      <c r="R382" s="13" t="s">
        <v>109</v>
      </c>
      <c r="S382" s="20">
        <v>4260</v>
      </c>
      <c r="T382" s="13">
        <v>5915</v>
      </c>
      <c r="U382" s="13">
        <v>1</v>
      </c>
      <c r="V382" s="13" t="s">
        <v>52</v>
      </c>
      <c r="W382" s="13" t="s">
        <v>36</v>
      </c>
      <c r="X382" s="13">
        <v>12</v>
      </c>
      <c r="Y382" s="13">
        <v>3</v>
      </c>
      <c r="Z382" s="13">
        <v>4</v>
      </c>
      <c r="AA382" s="13">
        <v>80</v>
      </c>
      <c r="AB382" s="13">
        <v>1</v>
      </c>
      <c r="AC382" s="13">
        <v>5</v>
      </c>
      <c r="AD382" s="13">
        <v>2</v>
      </c>
      <c r="AE382" s="13">
        <v>4</v>
      </c>
      <c r="AF382" s="14">
        <v>5</v>
      </c>
      <c r="AG382" s="13">
        <v>2</v>
      </c>
      <c r="AH382" s="13">
        <v>0</v>
      </c>
      <c r="AI382" s="13">
        <v>3</v>
      </c>
      <c r="AJ382" s="13" t="str">
        <f t="shared" si="5"/>
        <v>Under 30</v>
      </c>
      <c r="AK382" s="13" t="str">
        <f>IF(tblCleanData[[#This Row],[MonthlyIncome]]&lt;5000, "Low Income", IF(tblCleanData[[#This Row],[MonthlyIncome]]&lt;15000, "Medium Income", "High Income"))</f>
        <v>Low Income</v>
      </c>
      <c r="AL382" s="13">
        <f>IF(tblCleanData[[#This Row],[Attrition]]="No", 0,1)</f>
        <v>0</v>
      </c>
      <c r="AM382" s="13">
        <f>IF(tblCleanData[[#This Row],[OverTime]] = "No", 0, 1)</f>
        <v>1</v>
      </c>
      <c r="AN382" s="13" t="str">
        <f>CHOOSE(tblCleanData[[#This Row],[Education]], "Below College","College","Bachelor","Master","Doctor")</f>
        <v>Master</v>
      </c>
      <c r="AO382" s="13" t="str">
        <f>VLOOKUP(tblCleanData[[#This Row],[EmployeeNumber]],tblHelpers[],15,TRUE)</f>
        <v>High Risk</v>
      </c>
      <c r="AP382" s="13">
        <f>VLOOKUP(tblCleanData[[#This Row],[EmployeeNumber]],tblHelpers[],14,0)</f>
        <v>88</v>
      </c>
    </row>
    <row r="383" spans="1:42" x14ac:dyDescent="0.25">
      <c r="A383" s="13">
        <v>30</v>
      </c>
      <c r="B383" s="13" t="s">
        <v>59</v>
      </c>
      <c r="C383" s="13" t="s">
        <v>37</v>
      </c>
      <c r="D383" s="13">
        <v>202</v>
      </c>
      <c r="E383" s="13" t="s">
        <v>39</v>
      </c>
      <c r="F383" s="13">
        <v>2</v>
      </c>
      <c r="G383" s="13">
        <v>1</v>
      </c>
      <c r="H383" s="13" t="s">
        <v>228</v>
      </c>
      <c r="I383" s="13">
        <v>1</v>
      </c>
      <c r="J383" s="13">
        <v>508</v>
      </c>
      <c r="K383" s="13">
        <v>3</v>
      </c>
      <c r="L383" s="13" t="s">
        <v>63</v>
      </c>
      <c r="M383" s="13">
        <v>72</v>
      </c>
      <c r="N383" s="13">
        <v>3</v>
      </c>
      <c r="O383" s="13">
        <v>1</v>
      </c>
      <c r="P383" s="13" t="s">
        <v>182</v>
      </c>
      <c r="Q383" s="13">
        <v>2</v>
      </c>
      <c r="R383" s="13" t="s">
        <v>66</v>
      </c>
      <c r="S383" s="20">
        <v>2476</v>
      </c>
      <c r="T383" s="13">
        <v>17434</v>
      </c>
      <c r="U383" s="13">
        <v>1</v>
      </c>
      <c r="V383" s="13" t="s">
        <v>52</v>
      </c>
      <c r="W383" s="13" t="s">
        <v>59</v>
      </c>
      <c r="X383" s="13">
        <v>18</v>
      </c>
      <c r="Y383" s="13">
        <v>3</v>
      </c>
      <c r="Z383" s="13">
        <v>1</v>
      </c>
      <c r="AA383" s="13">
        <v>80</v>
      </c>
      <c r="AB383" s="13">
        <v>1</v>
      </c>
      <c r="AC383" s="13">
        <v>1</v>
      </c>
      <c r="AD383" s="13">
        <v>3</v>
      </c>
      <c r="AE383" s="13">
        <v>3</v>
      </c>
      <c r="AF383" s="14">
        <v>1</v>
      </c>
      <c r="AG383" s="13">
        <v>0</v>
      </c>
      <c r="AH383" s="13">
        <v>0</v>
      </c>
      <c r="AI383" s="13">
        <v>0</v>
      </c>
      <c r="AJ383" s="13" t="str">
        <f t="shared" si="5"/>
        <v>30-39</v>
      </c>
      <c r="AK383" s="13" t="str">
        <f>IF(tblCleanData[[#This Row],[MonthlyIncome]]&lt;5000, "Low Income", IF(tblCleanData[[#This Row],[MonthlyIncome]]&lt;15000, "Medium Income", "High Income"))</f>
        <v>Low Income</v>
      </c>
      <c r="AL383" s="13">
        <f>IF(tblCleanData[[#This Row],[Attrition]]="No", 0,1)</f>
        <v>0</v>
      </c>
      <c r="AM383" s="13">
        <f>IF(tblCleanData[[#This Row],[OverTime]] = "No", 0, 1)</f>
        <v>0</v>
      </c>
      <c r="AN383" s="13" t="str">
        <f>CHOOSE(tblCleanData[[#This Row],[Education]], "Below College","College","Bachelor","Master","Doctor")</f>
        <v>Below College</v>
      </c>
      <c r="AO383" s="13" t="str">
        <f>VLOOKUP(tblCleanData[[#This Row],[EmployeeNumber]],tblHelpers[],15,TRUE)</f>
        <v>High Risk</v>
      </c>
      <c r="AP383" s="13">
        <f>VLOOKUP(tblCleanData[[#This Row],[EmployeeNumber]],tblHelpers[],14,0)</f>
        <v>69</v>
      </c>
    </row>
    <row r="384" spans="1:42" x14ac:dyDescent="0.25">
      <c r="A384" s="13">
        <v>26</v>
      </c>
      <c r="B384" s="13" t="s">
        <v>36</v>
      </c>
      <c r="C384" s="13" t="s">
        <v>60</v>
      </c>
      <c r="D384" s="13">
        <v>575</v>
      </c>
      <c r="E384" s="13" t="s">
        <v>62</v>
      </c>
      <c r="F384" s="13">
        <v>3</v>
      </c>
      <c r="G384" s="13">
        <v>1</v>
      </c>
      <c r="H384" s="13" t="s">
        <v>228</v>
      </c>
      <c r="I384" s="13">
        <v>1</v>
      </c>
      <c r="J384" s="13">
        <v>510</v>
      </c>
      <c r="K384" s="13">
        <v>3</v>
      </c>
      <c r="L384" s="13" t="s">
        <v>63</v>
      </c>
      <c r="M384" s="13">
        <v>73</v>
      </c>
      <c r="N384" s="13">
        <v>3</v>
      </c>
      <c r="O384" s="13">
        <v>1</v>
      </c>
      <c r="P384" s="13" t="s">
        <v>65</v>
      </c>
      <c r="Q384" s="13">
        <v>1</v>
      </c>
      <c r="R384" s="13" t="s">
        <v>48</v>
      </c>
      <c r="S384" s="20">
        <v>3102</v>
      </c>
      <c r="T384" s="13">
        <v>6582</v>
      </c>
      <c r="U384" s="13">
        <v>0</v>
      </c>
      <c r="V384" s="13" t="s">
        <v>52</v>
      </c>
      <c r="W384" s="13" t="s">
        <v>59</v>
      </c>
      <c r="X384" s="13">
        <v>22</v>
      </c>
      <c r="Y384" s="13">
        <v>4</v>
      </c>
      <c r="Z384" s="13">
        <v>3</v>
      </c>
      <c r="AA384" s="13">
        <v>80</v>
      </c>
      <c r="AB384" s="13">
        <v>0</v>
      </c>
      <c r="AC384" s="13">
        <v>7</v>
      </c>
      <c r="AD384" s="13">
        <v>2</v>
      </c>
      <c r="AE384" s="13">
        <v>3</v>
      </c>
      <c r="AF384" s="14">
        <v>6</v>
      </c>
      <c r="AG384" s="13">
        <v>4</v>
      </c>
      <c r="AH384" s="13">
        <v>0</v>
      </c>
      <c r="AI384" s="13">
        <v>4</v>
      </c>
      <c r="AJ384" s="13" t="str">
        <f t="shared" si="5"/>
        <v>Under 30</v>
      </c>
      <c r="AK384" s="13" t="str">
        <f>IF(tblCleanData[[#This Row],[MonthlyIncome]]&lt;5000, "Low Income", IF(tblCleanData[[#This Row],[MonthlyIncome]]&lt;15000, "Medium Income", "High Income"))</f>
        <v>Low Income</v>
      </c>
      <c r="AL384" s="13">
        <f>IF(tblCleanData[[#This Row],[Attrition]]="No", 0,1)</f>
        <v>1</v>
      </c>
      <c r="AM384" s="13">
        <f>IF(tblCleanData[[#This Row],[OverTime]] = "No", 0, 1)</f>
        <v>0</v>
      </c>
      <c r="AN384" s="13" t="str">
        <f>CHOOSE(tblCleanData[[#This Row],[Education]], "Below College","College","Bachelor","Master","Doctor")</f>
        <v>Below College</v>
      </c>
      <c r="AO384" s="13" t="str">
        <f>VLOOKUP(tblCleanData[[#This Row],[EmployeeNumber]],tblHelpers[],15,TRUE)</f>
        <v>High Risk</v>
      </c>
      <c r="AP384" s="13">
        <f>VLOOKUP(tblCleanData[[#This Row],[EmployeeNumber]],tblHelpers[],14,0)</f>
        <v>68</v>
      </c>
    </row>
    <row r="385" spans="1:42" x14ac:dyDescent="0.25">
      <c r="A385" s="13">
        <v>22</v>
      </c>
      <c r="B385" s="13" t="s">
        <v>59</v>
      </c>
      <c r="C385" s="13" t="s">
        <v>37</v>
      </c>
      <c r="D385" s="13">
        <v>253</v>
      </c>
      <c r="E385" s="13" t="s">
        <v>62</v>
      </c>
      <c r="F385" s="13">
        <v>11</v>
      </c>
      <c r="G385" s="13">
        <v>3</v>
      </c>
      <c r="H385" s="13" t="s">
        <v>87</v>
      </c>
      <c r="I385" s="13">
        <v>1</v>
      </c>
      <c r="J385" s="13">
        <v>511</v>
      </c>
      <c r="K385" s="13">
        <v>1</v>
      </c>
      <c r="L385" s="13" t="s">
        <v>43</v>
      </c>
      <c r="M385" s="13">
        <v>43</v>
      </c>
      <c r="N385" s="13">
        <v>3</v>
      </c>
      <c r="O385" s="13">
        <v>1</v>
      </c>
      <c r="P385" s="13" t="s">
        <v>65</v>
      </c>
      <c r="Q385" s="13">
        <v>2</v>
      </c>
      <c r="R385" s="13" t="s">
        <v>66</v>
      </c>
      <c r="S385" s="20">
        <v>2244</v>
      </c>
      <c r="T385" s="13">
        <v>24440</v>
      </c>
      <c r="U385" s="13">
        <v>1</v>
      </c>
      <c r="V385" s="13" t="s">
        <v>52</v>
      </c>
      <c r="W385" s="13" t="s">
        <v>59</v>
      </c>
      <c r="X385" s="13">
        <v>13</v>
      </c>
      <c r="Y385" s="13">
        <v>3</v>
      </c>
      <c r="Z385" s="13">
        <v>4</v>
      </c>
      <c r="AA385" s="13">
        <v>80</v>
      </c>
      <c r="AB385" s="13">
        <v>1</v>
      </c>
      <c r="AC385" s="13">
        <v>2</v>
      </c>
      <c r="AD385" s="13">
        <v>1</v>
      </c>
      <c r="AE385" s="13">
        <v>3</v>
      </c>
      <c r="AF385" s="14">
        <v>2</v>
      </c>
      <c r="AG385" s="13">
        <v>1</v>
      </c>
      <c r="AH385" s="13">
        <v>1</v>
      </c>
      <c r="AI385" s="13">
        <v>2</v>
      </c>
      <c r="AJ385" s="13" t="str">
        <f t="shared" si="5"/>
        <v>Under 30</v>
      </c>
      <c r="AK385" s="13" t="str">
        <f>IF(tblCleanData[[#This Row],[MonthlyIncome]]&lt;5000, "Low Income", IF(tblCleanData[[#This Row],[MonthlyIncome]]&lt;15000, "Medium Income", "High Income"))</f>
        <v>Low Income</v>
      </c>
      <c r="AL385" s="13">
        <f>IF(tblCleanData[[#This Row],[Attrition]]="No", 0,1)</f>
        <v>0</v>
      </c>
      <c r="AM385" s="13">
        <f>IF(tblCleanData[[#This Row],[OverTime]] = "No", 0, 1)</f>
        <v>0</v>
      </c>
      <c r="AN385" s="13" t="str">
        <f>CHOOSE(tblCleanData[[#This Row],[Education]], "Below College","College","Bachelor","Master","Doctor")</f>
        <v>Bachelor</v>
      </c>
      <c r="AO385" s="13" t="str">
        <f>VLOOKUP(tblCleanData[[#This Row],[EmployeeNumber]],tblHelpers[],15,TRUE)</f>
        <v>High Risk</v>
      </c>
      <c r="AP385" s="13">
        <f>VLOOKUP(tblCleanData[[#This Row],[EmployeeNumber]],tblHelpers[],14,0)</f>
        <v>79</v>
      </c>
    </row>
    <row r="386" spans="1:42" x14ac:dyDescent="0.25">
      <c r="A386" s="13">
        <v>36</v>
      </c>
      <c r="B386" s="13" t="s">
        <v>59</v>
      </c>
      <c r="C386" s="13" t="s">
        <v>37</v>
      </c>
      <c r="D386" s="13">
        <v>164</v>
      </c>
      <c r="E386" s="13" t="s">
        <v>39</v>
      </c>
      <c r="F386" s="13">
        <v>2</v>
      </c>
      <c r="G386" s="13">
        <v>2</v>
      </c>
      <c r="H386" s="13" t="s">
        <v>87</v>
      </c>
      <c r="I386" s="13">
        <v>1</v>
      </c>
      <c r="J386" s="13">
        <v>513</v>
      </c>
      <c r="K386" s="13">
        <v>2</v>
      </c>
      <c r="L386" s="13" t="s">
        <v>63</v>
      </c>
      <c r="M386" s="13">
        <v>61</v>
      </c>
      <c r="N386" s="13">
        <v>2</v>
      </c>
      <c r="O386" s="13">
        <v>3</v>
      </c>
      <c r="P386" s="13" t="s">
        <v>46</v>
      </c>
      <c r="Q386" s="13">
        <v>3</v>
      </c>
      <c r="R386" s="13" t="s">
        <v>66</v>
      </c>
      <c r="S386" s="20">
        <v>7596</v>
      </c>
      <c r="T386" s="13">
        <v>3809</v>
      </c>
      <c r="U386" s="13">
        <v>1</v>
      </c>
      <c r="V386" s="13" t="s">
        <v>52</v>
      </c>
      <c r="W386" s="13" t="s">
        <v>59</v>
      </c>
      <c r="X386" s="13">
        <v>13</v>
      </c>
      <c r="Y386" s="13">
        <v>3</v>
      </c>
      <c r="Z386" s="13">
        <v>2</v>
      </c>
      <c r="AA386" s="13">
        <v>80</v>
      </c>
      <c r="AB386" s="13">
        <v>2</v>
      </c>
      <c r="AC386" s="13">
        <v>10</v>
      </c>
      <c r="AD386" s="13">
        <v>2</v>
      </c>
      <c r="AE386" s="13">
        <v>3</v>
      </c>
      <c r="AF386" s="14">
        <v>10</v>
      </c>
      <c r="AG386" s="13">
        <v>9</v>
      </c>
      <c r="AH386" s="13">
        <v>9</v>
      </c>
      <c r="AI386" s="13">
        <v>0</v>
      </c>
      <c r="AJ386" s="13" t="str">
        <f t="shared" ref="AJ386:AJ449" si="6">IF(A386&lt;30,"Under 30", IF(A386&lt;40,"30-39", IF(A386&lt;50,"40-49", "50+")))</f>
        <v>30-39</v>
      </c>
      <c r="AK386" s="13" t="str">
        <f>IF(tblCleanData[[#This Row],[MonthlyIncome]]&lt;5000, "Low Income", IF(tblCleanData[[#This Row],[MonthlyIncome]]&lt;15000, "Medium Income", "High Income"))</f>
        <v>Medium Income</v>
      </c>
      <c r="AL386" s="13">
        <f>IF(tblCleanData[[#This Row],[Attrition]]="No", 0,1)</f>
        <v>0</v>
      </c>
      <c r="AM386" s="13">
        <f>IF(tblCleanData[[#This Row],[OverTime]] = "No", 0, 1)</f>
        <v>0</v>
      </c>
      <c r="AN386" s="13" t="str">
        <f>CHOOSE(tblCleanData[[#This Row],[Education]], "Below College","College","Bachelor","Master","Doctor")</f>
        <v>College</v>
      </c>
      <c r="AO386" s="13" t="str">
        <f>VLOOKUP(tblCleanData[[#This Row],[EmployeeNumber]],tblHelpers[],15,TRUE)</f>
        <v>Medium Risk</v>
      </c>
      <c r="AP386" s="13">
        <f>VLOOKUP(tblCleanData[[#This Row],[EmployeeNumber]],tblHelpers[],14,0)</f>
        <v>46</v>
      </c>
    </row>
    <row r="387" spans="1:42" x14ac:dyDescent="0.25">
      <c r="A387" s="13">
        <v>30</v>
      </c>
      <c r="B387" s="13" t="s">
        <v>36</v>
      </c>
      <c r="C387" s="13" t="s">
        <v>60</v>
      </c>
      <c r="D387" s="13">
        <v>464</v>
      </c>
      <c r="E387" s="13" t="s">
        <v>62</v>
      </c>
      <c r="F387" s="13">
        <v>4</v>
      </c>
      <c r="G387" s="13">
        <v>3</v>
      </c>
      <c r="H387" s="13" t="s">
        <v>228</v>
      </c>
      <c r="I387" s="13">
        <v>1</v>
      </c>
      <c r="J387" s="13">
        <v>514</v>
      </c>
      <c r="K387" s="13">
        <v>3</v>
      </c>
      <c r="L387" s="13" t="s">
        <v>63</v>
      </c>
      <c r="M387" s="13">
        <v>40</v>
      </c>
      <c r="N387" s="13">
        <v>3</v>
      </c>
      <c r="O387" s="13">
        <v>1</v>
      </c>
      <c r="P387" s="13" t="s">
        <v>65</v>
      </c>
      <c r="Q387" s="13">
        <v>4</v>
      </c>
      <c r="R387" s="13" t="s">
        <v>48</v>
      </c>
      <c r="S387" s="20">
        <v>2285</v>
      </c>
      <c r="T387" s="13">
        <v>3427</v>
      </c>
      <c r="U387" s="13">
        <v>9</v>
      </c>
      <c r="V387" s="13" t="s">
        <v>52</v>
      </c>
      <c r="W387" s="13" t="s">
        <v>36</v>
      </c>
      <c r="X387" s="13">
        <v>23</v>
      </c>
      <c r="Y387" s="13">
        <v>4</v>
      </c>
      <c r="Z387" s="13">
        <v>3</v>
      </c>
      <c r="AA387" s="13">
        <v>80</v>
      </c>
      <c r="AB387" s="13">
        <v>0</v>
      </c>
      <c r="AC387" s="13">
        <v>3</v>
      </c>
      <c r="AD387" s="13">
        <v>4</v>
      </c>
      <c r="AE387" s="13">
        <v>3</v>
      </c>
      <c r="AF387" s="14">
        <v>1</v>
      </c>
      <c r="AG387" s="13">
        <v>0</v>
      </c>
      <c r="AH387" s="13">
        <v>0</v>
      </c>
      <c r="AI387" s="13">
        <v>0</v>
      </c>
      <c r="AJ387" s="13" t="str">
        <f t="shared" si="6"/>
        <v>30-39</v>
      </c>
      <c r="AK387" s="13" t="str">
        <f>IF(tblCleanData[[#This Row],[MonthlyIncome]]&lt;5000, "Low Income", IF(tblCleanData[[#This Row],[MonthlyIncome]]&lt;15000, "Medium Income", "High Income"))</f>
        <v>Low Income</v>
      </c>
      <c r="AL387" s="13">
        <f>IF(tblCleanData[[#This Row],[Attrition]]="No", 0,1)</f>
        <v>1</v>
      </c>
      <c r="AM387" s="13">
        <f>IF(tblCleanData[[#This Row],[OverTime]] = "No", 0, 1)</f>
        <v>1</v>
      </c>
      <c r="AN387" s="13" t="str">
        <f>CHOOSE(tblCleanData[[#This Row],[Education]], "Below College","College","Bachelor","Master","Doctor")</f>
        <v>Bachelor</v>
      </c>
      <c r="AO387" s="13" t="str">
        <f>VLOOKUP(tblCleanData[[#This Row],[EmployeeNumber]],tblHelpers[],15,TRUE)</f>
        <v>High Risk</v>
      </c>
      <c r="AP387" s="13">
        <f>VLOOKUP(tblCleanData[[#This Row],[EmployeeNumber]],tblHelpers[],14,0)</f>
        <v>81</v>
      </c>
    </row>
    <row r="388" spans="1:42" x14ac:dyDescent="0.25">
      <c r="A388" s="13">
        <v>37</v>
      </c>
      <c r="B388" s="13" t="s">
        <v>59</v>
      </c>
      <c r="C388" s="13" t="s">
        <v>37</v>
      </c>
      <c r="D388" s="13">
        <v>1107</v>
      </c>
      <c r="E388" s="13" t="s">
        <v>62</v>
      </c>
      <c r="F388" s="13">
        <v>14</v>
      </c>
      <c r="G388" s="13">
        <v>3</v>
      </c>
      <c r="H388" s="13" t="s">
        <v>42</v>
      </c>
      <c r="I388" s="13">
        <v>1</v>
      </c>
      <c r="J388" s="13">
        <v>515</v>
      </c>
      <c r="K388" s="13">
        <v>4</v>
      </c>
      <c r="L388" s="13" t="s">
        <v>43</v>
      </c>
      <c r="M388" s="13">
        <v>95</v>
      </c>
      <c r="N388" s="13">
        <v>3</v>
      </c>
      <c r="O388" s="13">
        <v>1</v>
      </c>
      <c r="P388" s="13" t="s">
        <v>76</v>
      </c>
      <c r="Q388" s="13">
        <v>1</v>
      </c>
      <c r="R388" s="13" t="s">
        <v>109</v>
      </c>
      <c r="S388" s="20">
        <v>3034</v>
      </c>
      <c r="T388" s="13">
        <v>26914</v>
      </c>
      <c r="U388" s="13">
        <v>1</v>
      </c>
      <c r="V388" s="13" t="s">
        <v>52</v>
      </c>
      <c r="W388" s="13" t="s">
        <v>59</v>
      </c>
      <c r="X388" s="13">
        <v>12</v>
      </c>
      <c r="Y388" s="13">
        <v>3</v>
      </c>
      <c r="Z388" s="13">
        <v>3</v>
      </c>
      <c r="AA388" s="13">
        <v>80</v>
      </c>
      <c r="AB388" s="13">
        <v>1</v>
      </c>
      <c r="AC388" s="13">
        <v>18</v>
      </c>
      <c r="AD388" s="13">
        <v>2</v>
      </c>
      <c r="AE388" s="13">
        <v>2</v>
      </c>
      <c r="AF388" s="14">
        <v>18</v>
      </c>
      <c r="AG388" s="13">
        <v>7</v>
      </c>
      <c r="AH388" s="13">
        <v>12</v>
      </c>
      <c r="AI388" s="13">
        <v>17</v>
      </c>
      <c r="AJ388" s="13" t="str">
        <f t="shared" si="6"/>
        <v>30-39</v>
      </c>
      <c r="AK388" s="13" t="str">
        <f>IF(tblCleanData[[#This Row],[MonthlyIncome]]&lt;5000, "Low Income", IF(tblCleanData[[#This Row],[MonthlyIncome]]&lt;15000, "Medium Income", "High Income"))</f>
        <v>Low Income</v>
      </c>
      <c r="AL388" s="13">
        <f>IF(tblCleanData[[#This Row],[Attrition]]="No", 0,1)</f>
        <v>0</v>
      </c>
      <c r="AM388" s="13">
        <f>IF(tblCleanData[[#This Row],[OverTime]] = "No", 0, 1)</f>
        <v>0</v>
      </c>
      <c r="AN388" s="13" t="str">
        <f>CHOOSE(tblCleanData[[#This Row],[Education]], "Below College","College","Bachelor","Master","Doctor")</f>
        <v>Bachelor</v>
      </c>
      <c r="AO388" s="13" t="str">
        <f>VLOOKUP(tblCleanData[[#This Row],[EmployeeNumber]],tblHelpers[],15,TRUE)</f>
        <v>Medium Risk</v>
      </c>
      <c r="AP388" s="13">
        <f>VLOOKUP(tblCleanData[[#This Row],[EmployeeNumber]],tblHelpers[],14,0)</f>
        <v>53</v>
      </c>
    </row>
    <row r="389" spans="1:42" x14ac:dyDescent="0.25">
      <c r="A389" s="13">
        <v>40</v>
      </c>
      <c r="B389" s="13" t="s">
        <v>59</v>
      </c>
      <c r="C389" s="13" t="s">
        <v>37</v>
      </c>
      <c r="D389" s="13">
        <v>759</v>
      </c>
      <c r="E389" s="13" t="s">
        <v>39</v>
      </c>
      <c r="F389" s="13">
        <v>2</v>
      </c>
      <c r="G389" s="13">
        <v>2</v>
      </c>
      <c r="H389" s="13" t="s">
        <v>206</v>
      </c>
      <c r="I389" s="13">
        <v>1</v>
      </c>
      <c r="J389" s="13">
        <v>516</v>
      </c>
      <c r="K389" s="13">
        <v>4</v>
      </c>
      <c r="L389" s="13" t="s">
        <v>43</v>
      </c>
      <c r="M389" s="13">
        <v>46</v>
      </c>
      <c r="N389" s="13">
        <v>3</v>
      </c>
      <c r="O389" s="13">
        <v>2</v>
      </c>
      <c r="P389" s="13" t="s">
        <v>46</v>
      </c>
      <c r="Q389" s="13">
        <v>2</v>
      </c>
      <c r="R389" s="13" t="s">
        <v>109</v>
      </c>
      <c r="S389" s="20">
        <v>5715</v>
      </c>
      <c r="T389" s="13">
        <v>22553</v>
      </c>
      <c r="U389" s="13">
        <v>7</v>
      </c>
      <c r="V389" s="13" t="s">
        <v>52</v>
      </c>
      <c r="W389" s="13" t="s">
        <v>59</v>
      </c>
      <c r="X389" s="13">
        <v>12</v>
      </c>
      <c r="Y389" s="13">
        <v>3</v>
      </c>
      <c r="Z389" s="13">
        <v>3</v>
      </c>
      <c r="AA389" s="13">
        <v>80</v>
      </c>
      <c r="AB389" s="13">
        <v>2</v>
      </c>
      <c r="AC389" s="13">
        <v>8</v>
      </c>
      <c r="AD389" s="13">
        <v>5</v>
      </c>
      <c r="AE389" s="13">
        <v>3</v>
      </c>
      <c r="AF389" s="14">
        <v>5</v>
      </c>
      <c r="AG389" s="13">
        <v>4</v>
      </c>
      <c r="AH389" s="13">
        <v>1</v>
      </c>
      <c r="AI389" s="13">
        <v>3</v>
      </c>
      <c r="AJ389" s="13" t="str">
        <f t="shared" si="6"/>
        <v>40-49</v>
      </c>
      <c r="AK389" s="13" t="str">
        <f>IF(tblCleanData[[#This Row],[MonthlyIncome]]&lt;5000, "Low Income", IF(tblCleanData[[#This Row],[MonthlyIncome]]&lt;15000, "Medium Income", "High Income"))</f>
        <v>Medium Income</v>
      </c>
      <c r="AL389" s="13">
        <f>IF(tblCleanData[[#This Row],[Attrition]]="No", 0,1)</f>
        <v>0</v>
      </c>
      <c r="AM389" s="13">
        <f>IF(tblCleanData[[#This Row],[OverTime]] = "No", 0, 1)</f>
        <v>0</v>
      </c>
      <c r="AN389" s="13" t="str">
        <f>CHOOSE(tblCleanData[[#This Row],[Education]], "Below College","College","Bachelor","Master","Doctor")</f>
        <v>College</v>
      </c>
      <c r="AO389" s="13" t="str">
        <f>VLOOKUP(tblCleanData[[#This Row],[EmployeeNumber]],tblHelpers[],15,TRUE)</f>
        <v>Medium Risk</v>
      </c>
      <c r="AP389" s="13">
        <f>VLOOKUP(tblCleanData[[#This Row],[EmployeeNumber]],tblHelpers[],14,0)</f>
        <v>49</v>
      </c>
    </row>
    <row r="390" spans="1:42" x14ac:dyDescent="0.25">
      <c r="A390" s="13">
        <v>42</v>
      </c>
      <c r="B390" s="13" t="s">
        <v>59</v>
      </c>
      <c r="C390" s="13" t="s">
        <v>37</v>
      </c>
      <c r="D390" s="13">
        <v>201</v>
      </c>
      <c r="E390" s="13" t="s">
        <v>62</v>
      </c>
      <c r="F390" s="13">
        <v>1</v>
      </c>
      <c r="G390" s="13">
        <v>4</v>
      </c>
      <c r="H390" s="13" t="s">
        <v>42</v>
      </c>
      <c r="I390" s="13">
        <v>1</v>
      </c>
      <c r="J390" s="13">
        <v>517</v>
      </c>
      <c r="K390" s="13">
        <v>2</v>
      </c>
      <c r="L390" s="13" t="s">
        <v>43</v>
      </c>
      <c r="M390" s="13">
        <v>95</v>
      </c>
      <c r="N390" s="13">
        <v>3</v>
      </c>
      <c r="O390" s="13">
        <v>1</v>
      </c>
      <c r="P390" s="13" t="s">
        <v>76</v>
      </c>
      <c r="Q390" s="13">
        <v>1</v>
      </c>
      <c r="R390" s="13" t="s">
        <v>109</v>
      </c>
      <c r="S390" s="20">
        <v>2576</v>
      </c>
      <c r="T390" s="13">
        <v>20490</v>
      </c>
      <c r="U390" s="13">
        <v>3</v>
      </c>
      <c r="V390" s="13" t="s">
        <v>52</v>
      </c>
      <c r="W390" s="13" t="s">
        <v>59</v>
      </c>
      <c r="X390" s="13">
        <v>16</v>
      </c>
      <c r="Y390" s="13">
        <v>3</v>
      </c>
      <c r="Z390" s="13">
        <v>2</v>
      </c>
      <c r="AA390" s="13">
        <v>80</v>
      </c>
      <c r="AB390" s="13">
        <v>1</v>
      </c>
      <c r="AC390" s="13">
        <v>8</v>
      </c>
      <c r="AD390" s="13">
        <v>5</v>
      </c>
      <c r="AE390" s="13">
        <v>3</v>
      </c>
      <c r="AF390" s="14">
        <v>5</v>
      </c>
      <c r="AG390" s="13">
        <v>2</v>
      </c>
      <c r="AH390" s="13">
        <v>1</v>
      </c>
      <c r="AI390" s="13">
        <v>2</v>
      </c>
      <c r="AJ390" s="13" t="str">
        <f t="shared" si="6"/>
        <v>40-49</v>
      </c>
      <c r="AK390" s="13" t="str">
        <f>IF(tblCleanData[[#This Row],[MonthlyIncome]]&lt;5000, "Low Income", IF(tblCleanData[[#This Row],[MonthlyIncome]]&lt;15000, "Medium Income", "High Income"))</f>
        <v>Low Income</v>
      </c>
      <c r="AL390" s="13">
        <f>IF(tblCleanData[[#This Row],[Attrition]]="No", 0,1)</f>
        <v>0</v>
      </c>
      <c r="AM390" s="13">
        <f>IF(tblCleanData[[#This Row],[OverTime]] = "No", 0, 1)</f>
        <v>0</v>
      </c>
      <c r="AN390" s="13" t="str">
        <f>CHOOSE(tblCleanData[[#This Row],[Education]], "Below College","College","Bachelor","Master","Doctor")</f>
        <v>Master</v>
      </c>
      <c r="AO390" s="13" t="str">
        <f>VLOOKUP(tblCleanData[[#This Row],[EmployeeNumber]],tblHelpers[],15,TRUE)</f>
        <v>High Risk</v>
      </c>
      <c r="AP390" s="13">
        <f>VLOOKUP(tblCleanData[[#This Row],[EmployeeNumber]],tblHelpers[],14,0)</f>
        <v>55</v>
      </c>
    </row>
    <row r="391" spans="1:42" x14ac:dyDescent="0.25">
      <c r="A391" s="13">
        <v>37</v>
      </c>
      <c r="B391" s="13" t="s">
        <v>59</v>
      </c>
      <c r="C391" s="13" t="s">
        <v>37</v>
      </c>
      <c r="D391" s="13">
        <v>1305</v>
      </c>
      <c r="E391" s="13" t="s">
        <v>62</v>
      </c>
      <c r="F391" s="13">
        <v>10</v>
      </c>
      <c r="G391" s="13">
        <v>4</v>
      </c>
      <c r="H391" s="13" t="s">
        <v>42</v>
      </c>
      <c r="I391" s="13">
        <v>1</v>
      </c>
      <c r="J391" s="13">
        <v>518</v>
      </c>
      <c r="K391" s="13">
        <v>3</v>
      </c>
      <c r="L391" s="13" t="s">
        <v>63</v>
      </c>
      <c r="M391" s="13">
        <v>49</v>
      </c>
      <c r="N391" s="13">
        <v>3</v>
      </c>
      <c r="O391" s="13">
        <v>2</v>
      </c>
      <c r="P391" s="13" t="s">
        <v>116</v>
      </c>
      <c r="Q391" s="13">
        <v>2</v>
      </c>
      <c r="R391" s="13" t="s">
        <v>48</v>
      </c>
      <c r="S391" s="20">
        <v>4197</v>
      </c>
      <c r="T391" s="13">
        <v>21123</v>
      </c>
      <c r="U391" s="13">
        <v>2</v>
      </c>
      <c r="V391" s="13" t="s">
        <v>52</v>
      </c>
      <c r="W391" s="13" t="s">
        <v>36</v>
      </c>
      <c r="X391" s="13">
        <v>12</v>
      </c>
      <c r="Y391" s="13">
        <v>3</v>
      </c>
      <c r="Z391" s="13">
        <v>4</v>
      </c>
      <c r="AA391" s="13">
        <v>80</v>
      </c>
      <c r="AB391" s="13">
        <v>0</v>
      </c>
      <c r="AC391" s="13">
        <v>18</v>
      </c>
      <c r="AD391" s="13">
        <v>2</v>
      </c>
      <c r="AE391" s="13">
        <v>2</v>
      </c>
      <c r="AF391" s="14">
        <v>1</v>
      </c>
      <c r="AG391" s="13">
        <v>0</v>
      </c>
      <c r="AH391" s="13">
        <v>0</v>
      </c>
      <c r="AI391" s="13">
        <v>1</v>
      </c>
      <c r="AJ391" s="13" t="str">
        <f t="shared" si="6"/>
        <v>30-39</v>
      </c>
      <c r="AK391" s="13" t="str">
        <f>IF(tblCleanData[[#This Row],[MonthlyIncome]]&lt;5000, "Low Income", IF(tblCleanData[[#This Row],[MonthlyIncome]]&lt;15000, "Medium Income", "High Income"))</f>
        <v>Low Income</v>
      </c>
      <c r="AL391" s="13">
        <f>IF(tblCleanData[[#This Row],[Attrition]]="No", 0,1)</f>
        <v>0</v>
      </c>
      <c r="AM391" s="13">
        <f>IF(tblCleanData[[#This Row],[OverTime]] = "No", 0, 1)</f>
        <v>1</v>
      </c>
      <c r="AN391" s="13" t="str">
        <f>CHOOSE(tblCleanData[[#This Row],[Education]], "Below College","College","Bachelor","Master","Doctor")</f>
        <v>Master</v>
      </c>
      <c r="AO391" s="13" t="str">
        <f>VLOOKUP(tblCleanData[[#This Row],[EmployeeNumber]],tblHelpers[],15,TRUE)</f>
        <v>High Risk</v>
      </c>
      <c r="AP391" s="13">
        <f>VLOOKUP(tblCleanData[[#This Row],[EmployeeNumber]],tblHelpers[],14,0)</f>
        <v>94</v>
      </c>
    </row>
    <row r="392" spans="1:42" x14ac:dyDescent="0.25">
      <c r="A392" s="13">
        <v>43</v>
      </c>
      <c r="B392" s="13" t="s">
        <v>59</v>
      </c>
      <c r="C392" s="13" t="s">
        <v>37</v>
      </c>
      <c r="D392" s="13">
        <v>982</v>
      </c>
      <c r="E392" s="13" t="s">
        <v>62</v>
      </c>
      <c r="F392" s="13">
        <v>12</v>
      </c>
      <c r="G392" s="13">
        <v>3</v>
      </c>
      <c r="H392" s="13" t="s">
        <v>42</v>
      </c>
      <c r="I392" s="13">
        <v>1</v>
      </c>
      <c r="J392" s="13">
        <v>520</v>
      </c>
      <c r="K392" s="13">
        <v>1</v>
      </c>
      <c r="L392" s="13" t="s">
        <v>63</v>
      </c>
      <c r="M392" s="13">
        <v>59</v>
      </c>
      <c r="N392" s="13">
        <v>2</v>
      </c>
      <c r="O392" s="13">
        <v>4</v>
      </c>
      <c r="P392" s="13" t="s">
        <v>186</v>
      </c>
      <c r="Q392" s="13">
        <v>2</v>
      </c>
      <c r="R392" s="13" t="s">
        <v>109</v>
      </c>
      <c r="S392" s="20">
        <v>14336</v>
      </c>
      <c r="T392" s="13">
        <v>4345</v>
      </c>
      <c r="U392" s="13">
        <v>1</v>
      </c>
      <c r="V392" s="13" t="s">
        <v>52</v>
      </c>
      <c r="W392" s="13" t="s">
        <v>59</v>
      </c>
      <c r="X392" s="13">
        <v>11</v>
      </c>
      <c r="Y392" s="13">
        <v>3</v>
      </c>
      <c r="Z392" s="13">
        <v>3</v>
      </c>
      <c r="AA392" s="13">
        <v>80</v>
      </c>
      <c r="AB392" s="13">
        <v>1</v>
      </c>
      <c r="AC392" s="13">
        <v>25</v>
      </c>
      <c r="AD392" s="13">
        <v>3</v>
      </c>
      <c r="AE392" s="13">
        <v>3</v>
      </c>
      <c r="AF392" s="14">
        <v>25</v>
      </c>
      <c r="AG392" s="13">
        <v>10</v>
      </c>
      <c r="AH392" s="13">
        <v>3</v>
      </c>
      <c r="AI392" s="13">
        <v>9</v>
      </c>
      <c r="AJ392" s="13" t="str">
        <f t="shared" si="6"/>
        <v>40-49</v>
      </c>
      <c r="AK392" s="13" t="str">
        <f>IF(tblCleanData[[#This Row],[MonthlyIncome]]&lt;5000, "Low Income", IF(tblCleanData[[#This Row],[MonthlyIncome]]&lt;15000, "Medium Income", "High Income"))</f>
        <v>Medium Income</v>
      </c>
      <c r="AL392" s="13">
        <f>IF(tblCleanData[[#This Row],[Attrition]]="No", 0,1)</f>
        <v>0</v>
      </c>
      <c r="AM392" s="13">
        <f>IF(tblCleanData[[#This Row],[OverTime]] = "No", 0, 1)</f>
        <v>0</v>
      </c>
      <c r="AN392" s="13" t="str">
        <f>CHOOSE(tblCleanData[[#This Row],[Education]], "Below College","College","Bachelor","Master","Doctor")</f>
        <v>Bachelor</v>
      </c>
      <c r="AO392" s="13" t="str">
        <f>VLOOKUP(tblCleanData[[#This Row],[EmployeeNumber]],tblHelpers[],15,TRUE)</f>
        <v>Medium Risk</v>
      </c>
      <c r="AP392" s="13">
        <f>VLOOKUP(tblCleanData[[#This Row],[EmployeeNumber]],tblHelpers[],14,0)</f>
        <v>37</v>
      </c>
    </row>
    <row r="393" spans="1:42" x14ac:dyDescent="0.25">
      <c r="A393" s="13">
        <v>40</v>
      </c>
      <c r="B393" s="13" t="s">
        <v>59</v>
      </c>
      <c r="C393" s="13" t="s">
        <v>37</v>
      </c>
      <c r="D393" s="13">
        <v>555</v>
      </c>
      <c r="E393" s="13" t="s">
        <v>62</v>
      </c>
      <c r="F393" s="13">
        <v>2</v>
      </c>
      <c r="G393" s="13">
        <v>3</v>
      </c>
      <c r="H393" s="13" t="s">
        <v>87</v>
      </c>
      <c r="I393" s="13">
        <v>1</v>
      </c>
      <c r="J393" s="13">
        <v>521</v>
      </c>
      <c r="K393" s="13">
        <v>2</v>
      </c>
      <c r="L393" s="13" t="s">
        <v>43</v>
      </c>
      <c r="M393" s="13">
        <v>78</v>
      </c>
      <c r="N393" s="13">
        <v>2</v>
      </c>
      <c r="O393" s="13">
        <v>2</v>
      </c>
      <c r="P393" s="13" t="s">
        <v>76</v>
      </c>
      <c r="Q393" s="13">
        <v>3</v>
      </c>
      <c r="R393" s="13" t="s">
        <v>66</v>
      </c>
      <c r="S393" s="20">
        <v>3448</v>
      </c>
      <c r="T393" s="13">
        <v>13436</v>
      </c>
      <c r="U393" s="13">
        <v>6</v>
      </c>
      <c r="V393" s="13" t="s">
        <v>52</v>
      </c>
      <c r="W393" s="13" t="s">
        <v>59</v>
      </c>
      <c r="X393" s="13">
        <v>22</v>
      </c>
      <c r="Y393" s="13">
        <v>4</v>
      </c>
      <c r="Z393" s="13">
        <v>2</v>
      </c>
      <c r="AA393" s="13">
        <v>80</v>
      </c>
      <c r="AB393" s="13">
        <v>1</v>
      </c>
      <c r="AC393" s="13">
        <v>20</v>
      </c>
      <c r="AD393" s="13">
        <v>3</v>
      </c>
      <c r="AE393" s="13">
        <v>3</v>
      </c>
      <c r="AF393" s="14">
        <v>1</v>
      </c>
      <c r="AG393" s="13">
        <v>0</v>
      </c>
      <c r="AH393" s="13">
        <v>0</v>
      </c>
      <c r="AI393" s="13">
        <v>0</v>
      </c>
      <c r="AJ393" s="13" t="str">
        <f t="shared" si="6"/>
        <v>40-49</v>
      </c>
      <c r="AK393" s="13" t="str">
        <f>IF(tblCleanData[[#This Row],[MonthlyIncome]]&lt;5000, "Low Income", IF(tblCleanData[[#This Row],[MonthlyIncome]]&lt;15000, "Medium Income", "High Income"))</f>
        <v>Low Income</v>
      </c>
      <c r="AL393" s="13">
        <f>IF(tblCleanData[[#This Row],[Attrition]]="No", 0,1)</f>
        <v>0</v>
      </c>
      <c r="AM393" s="13">
        <f>IF(tblCleanData[[#This Row],[OverTime]] = "No", 0, 1)</f>
        <v>0</v>
      </c>
      <c r="AN393" s="13" t="str">
        <f>CHOOSE(tblCleanData[[#This Row],[Education]], "Below College","College","Bachelor","Master","Doctor")</f>
        <v>Bachelor</v>
      </c>
      <c r="AO393" s="13" t="str">
        <f>VLOOKUP(tblCleanData[[#This Row],[EmployeeNumber]],tblHelpers[],15,TRUE)</f>
        <v>Medium Risk</v>
      </c>
      <c r="AP393" s="13">
        <f>VLOOKUP(tblCleanData[[#This Row],[EmployeeNumber]],tblHelpers[],14,0)</f>
        <v>53</v>
      </c>
    </row>
    <row r="394" spans="1:42" x14ac:dyDescent="0.25">
      <c r="A394" s="13">
        <v>54</v>
      </c>
      <c r="B394" s="13" t="s">
        <v>59</v>
      </c>
      <c r="C394" s="13" t="s">
        <v>37</v>
      </c>
      <c r="D394" s="13">
        <v>821</v>
      </c>
      <c r="E394" s="13" t="s">
        <v>62</v>
      </c>
      <c r="F394" s="13">
        <v>5</v>
      </c>
      <c r="G394" s="13">
        <v>2</v>
      </c>
      <c r="H394" s="13" t="s">
        <v>87</v>
      </c>
      <c r="I394" s="13">
        <v>1</v>
      </c>
      <c r="J394" s="13">
        <v>522</v>
      </c>
      <c r="K394" s="13">
        <v>1</v>
      </c>
      <c r="L394" s="13" t="s">
        <v>63</v>
      </c>
      <c r="M394" s="13">
        <v>86</v>
      </c>
      <c r="N394" s="13">
        <v>3</v>
      </c>
      <c r="O394" s="13">
        <v>5</v>
      </c>
      <c r="P394" s="13" t="s">
        <v>186</v>
      </c>
      <c r="Q394" s="13">
        <v>1</v>
      </c>
      <c r="R394" s="13" t="s">
        <v>66</v>
      </c>
      <c r="S394" s="20">
        <v>19406</v>
      </c>
      <c r="T394" s="13">
        <v>8509</v>
      </c>
      <c r="U394" s="13">
        <v>4</v>
      </c>
      <c r="V394" s="13" t="s">
        <v>52</v>
      </c>
      <c r="W394" s="13" t="s">
        <v>59</v>
      </c>
      <c r="X394" s="13">
        <v>11</v>
      </c>
      <c r="Y394" s="13">
        <v>3</v>
      </c>
      <c r="Z394" s="13">
        <v>3</v>
      </c>
      <c r="AA394" s="13">
        <v>80</v>
      </c>
      <c r="AB394" s="13">
        <v>1</v>
      </c>
      <c r="AC394" s="13">
        <v>24</v>
      </c>
      <c r="AD394" s="13">
        <v>4</v>
      </c>
      <c r="AE394" s="13">
        <v>2</v>
      </c>
      <c r="AF394" s="14">
        <v>4</v>
      </c>
      <c r="AG394" s="13">
        <v>2</v>
      </c>
      <c r="AH394" s="13">
        <v>1</v>
      </c>
      <c r="AI394" s="13">
        <v>2</v>
      </c>
      <c r="AJ394" s="13" t="str">
        <f t="shared" si="6"/>
        <v>50+</v>
      </c>
      <c r="AK394" s="13" t="str">
        <f>IF(tblCleanData[[#This Row],[MonthlyIncome]]&lt;5000, "Low Income", IF(tblCleanData[[#This Row],[MonthlyIncome]]&lt;15000, "Medium Income", "High Income"))</f>
        <v>High Income</v>
      </c>
      <c r="AL394" s="13">
        <f>IF(tblCleanData[[#This Row],[Attrition]]="No", 0,1)</f>
        <v>0</v>
      </c>
      <c r="AM394" s="13">
        <f>IF(tblCleanData[[#This Row],[OverTime]] = "No", 0, 1)</f>
        <v>0</v>
      </c>
      <c r="AN394" s="13" t="str">
        <f>CHOOSE(tblCleanData[[#This Row],[Education]], "Below College","College","Bachelor","Master","Doctor")</f>
        <v>College</v>
      </c>
      <c r="AO394" s="13" t="str">
        <f>VLOOKUP(tblCleanData[[#This Row],[EmployeeNumber]],tblHelpers[],15,TRUE)</f>
        <v>High Risk</v>
      </c>
      <c r="AP394" s="13">
        <f>VLOOKUP(tblCleanData[[#This Row],[EmployeeNumber]],tblHelpers[],14,0)</f>
        <v>60</v>
      </c>
    </row>
    <row r="395" spans="1:42" x14ac:dyDescent="0.25">
      <c r="A395" s="13">
        <v>34</v>
      </c>
      <c r="B395" s="13" t="s">
        <v>59</v>
      </c>
      <c r="C395" s="13" t="s">
        <v>161</v>
      </c>
      <c r="D395" s="13">
        <v>1381</v>
      </c>
      <c r="E395" s="13" t="s">
        <v>39</v>
      </c>
      <c r="F395" s="13">
        <v>4</v>
      </c>
      <c r="G395" s="13">
        <v>4</v>
      </c>
      <c r="H395" s="13" t="s">
        <v>206</v>
      </c>
      <c r="I395" s="13">
        <v>1</v>
      </c>
      <c r="J395" s="13">
        <v>523</v>
      </c>
      <c r="K395" s="13">
        <v>3</v>
      </c>
      <c r="L395" s="13" t="s">
        <v>43</v>
      </c>
      <c r="M395" s="13">
        <v>72</v>
      </c>
      <c r="N395" s="13">
        <v>3</v>
      </c>
      <c r="O395" s="13">
        <v>2</v>
      </c>
      <c r="P395" s="13" t="s">
        <v>46</v>
      </c>
      <c r="Q395" s="13">
        <v>3</v>
      </c>
      <c r="R395" s="13" t="s">
        <v>66</v>
      </c>
      <c r="S395" s="20">
        <v>6538</v>
      </c>
      <c r="T395" s="13">
        <v>12740</v>
      </c>
      <c r="U395" s="13">
        <v>9</v>
      </c>
      <c r="V395" s="13" t="s">
        <v>52</v>
      </c>
      <c r="W395" s="13" t="s">
        <v>59</v>
      </c>
      <c r="X395" s="13">
        <v>15</v>
      </c>
      <c r="Y395" s="13">
        <v>3</v>
      </c>
      <c r="Z395" s="13">
        <v>1</v>
      </c>
      <c r="AA395" s="13">
        <v>80</v>
      </c>
      <c r="AB395" s="13">
        <v>1</v>
      </c>
      <c r="AC395" s="13">
        <v>6</v>
      </c>
      <c r="AD395" s="13">
        <v>3</v>
      </c>
      <c r="AE395" s="13">
        <v>3</v>
      </c>
      <c r="AF395" s="14">
        <v>3</v>
      </c>
      <c r="AG395" s="13">
        <v>2</v>
      </c>
      <c r="AH395" s="13">
        <v>1</v>
      </c>
      <c r="AI395" s="13">
        <v>2</v>
      </c>
      <c r="AJ395" s="13" t="str">
        <f t="shared" si="6"/>
        <v>30-39</v>
      </c>
      <c r="AK395" s="13" t="str">
        <f>IF(tblCleanData[[#This Row],[MonthlyIncome]]&lt;5000, "Low Income", IF(tblCleanData[[#This Row],[MonthlyIncome]]&lt;15000, "Medium Income", "High Income"))</f>
        <v>Medium Income</v>
      </c>
      <c r="AL395" s="13">
        <f>IF(tblCleanData[[#This Row],[Attrition]]="No", 0,1)</f>
        <v>0</v>
      </c>
      <c r="AM395" s="13">
        <f>IF(tblCleanData[[#This Row],[OverTime]] = "No", 0, 1)</f>
        <v>0</v>
      </c>
      <c r="AN395" s="13" t="str">
        <f>CHOOSE(tblCleanData[[#This Row],[Education]], "Below College","College","Bachelor","Master","Doctor")</f>
        <v>Master</v>
      </c>
      <c r="AO395" s="13" t="str">
        <f>VLOOKUP(tblCleanData[[#This Row],[EmployeeNumber]],tblHelpers[],15,TRUE)</f>
        <v>Medium Risk</v>
      </c>
      <c r="AP395" s="13">
        <f>VLOOKUP(tblCleanData[[#This Row],[EmployeeNumber]],tblHelpers[],14,0)</f>
        <v>53</v>
      </c>
    </row>
    <row r="396" spans="1:42" x14ac:dyDescent="0.25">
      <c r="A396" s="13">
        <v>31</v>
      </c>
      <c r="B396" s="13" t="s">
        <v>59</v>
      </c>
      <c r="C396" s="13" t="s">
        <v>37</v>
      </c>
      <c r="D396" s="13">
        <v>480</v>
      </c>
      <c r="E396" s="13" t="s">
        <v>62</v>
      </c>
      <c r="F396" s="13">
        <v>7</v>
      </c>
      <c r="G396" s="13">
        <v>2</v>
      </c>
      <c r="H396" s="13" t="s">
        <v>87</v>
      </c>
      <c r="I396" s="13">
        <v>1</v>
      </c>
      <c r="J396" s="13">
        <v>524</v>
      </c>
      <c r="K396" s="13">
        <v>2</v>
      </c>
      <c r="L396" s="13" t="s">
        <v>43</v>
      </c>
      <c r="M396" s="13">
        <v>31</v>
      </c>
      <c r="N396" s="13">
        <v>3</v>
      </c>
      <c r="O396" s="13">
        <v>2</v>
      </c>
      <c r="P396" s="13" t="s">
        <v>116</v>
      </c>
      <c r="Q396" s="13">
        <v>1</v>
      </c>
      <c r="R396" s="13" t="s">
        <v>66</v>
      </c>
      <c r="S396" s="20">
        <v>4306</v>
      </c>
      <c r="T396" s="13">
        <v>4156</v>
      </c>
      <c r="U396" s="13">
        <v>1</v>
      </c>
      <c r="V396" s="13" t="s">
        <v>52</v>
      </c>
      <c r="W396" s="13" t="s">
        <v>59</v>
      </c>
      <c r="X396" s="13">
        <v>12</v>
      </c>
      <c r="Y396" s="13">
        <v>3</v>
      </c>
      <c r="Z396" s="13">
        <v>2</v>
      </c>
      <c r="AA396" s="13">
        <v>80</v>
      </c>
      <c r="AB396" s="13">
        <v>1</v>
      </c>
      <c r="AC396" s="13">
        <v>13</v>
      </c>
      <c r="AD396" s="13">
        <v>5</v>
      </c>
      <c r="AE396" s="13">
        <v>1</v>
      </c>
      <c r="AF396" s="14">
        <v>13</v>
      </c>
      <c r="AG396" s="13">
        <v>10</v>
      </c>
      <c r="AH396" s="13">
        <v>3</v>
      </c>
      <c r="AI396" s="13">
        <v>12</v>
      </c>
      <c r="AJ396" s="13" t="str">
        <f t="shared" si="6"/>
        <v>30-39</v>
      </c>
      <c r="AK396" s="13" t="str">
        <f>IF(tblCleanData[[#This Row],[MonthlyIncome]]&lt;5000, "Low Income", IF(tblCleanData[[#This Row],[MonthlyIncome]]&lt;15000, "Medium Income", "High Income"))</f>
        <v>Low Income</v>
      </c>
      <c r="AL396" s="13">
        <f>IF(tblCleanData[[#This Row],[Attrition]]="No", 0,1)</f>
        <v>0</v>
      </c>
      <c r="AM396" s="13">
        <f>IF(tblCleanData[[#This Row],[OverTime]] = "No", 0, 1)</f>
        <v>0</v>
      </c>
      <c r="AN396" s="13" t="str">
        <f>CHOOSE(tblCleanData[[#This Row],[Education]], "Below College","College","Bachelor","Master","Doctor")</f>
        <v>College</v>
      </c>
      <c r="AO396" s="13" t="str">
        <f>VLOOKUP(tblCleanData[[#This Row],[EmployeeNumber]],tblHelpers[],15,TRUE)</f>
        <v>Medium Risk</v>
      </c>
      <c r="AP396" s="13">
        <f>VLOOKUP(tblCleanData[[#This Row],[EmployeeNumber]],tblHelpers[],14,0)</f>
        <v>53</v>
      </c>
    </row>
    <row r="397" spans="1:42" x14ac:dyDescent="0.25">
      <c r="A397" s="13">
        <v>43</v>
      </c>
      <c r="B397" s="13" t="s">
        <v>59</v>
      </c>
      <c r="C397" s="13" t="s">
        <v>60</v>
      </c>
      <c r="D397" s="13">
        <v>313</v>
      </c>
      <c r="E397" s="13" t="s">
        <v>62</v>
      </c>
      <c r="F397" s="13">
        <v>21</v>
      </c>
      <c r="G397" s="13">
        <v>3</v>
      </c>
      <c r="H397" s="13" t="s">
        <v>87</v>
      </c>
      <c r="I397" s="13">
        <v>1</v>
      </c>
      <c r="J397" s="13">
        <v>525</v>
      </c>
      <c r="K397" s="13">
        <v>4</v>
      </c>
      <c r="L397" s="13" t="s">
        <v>63</v>
      </c>
      <c r="M397" s="13">
        <v>61</v>
      </c>
      <c r="N397" s="13">
        <v>3</v>
      </c>
      <c r="O397" s="13">
        <v>1</v>
      </c>
      <c r="P397" s="13" t="s">
        <v>76</v>
      </c>
      <c r="Q397" s="13">
        <v>4</v>
      </c>
      <c r="R397" s="13" t="s">
        <v>66</v>
      </c>
      <c r="S397" s="20">
        <v>2258</v>
      </c>
      <c r="T397" s="13">
        <v>15238</v>
      </c>
      <c r="U397" s="13">
        <v>7</v>
      </c>
      <c r="V397" s="13" t="s">
        <v>52</v>
      </c>
      <c r="W397" s="13" t="s">
        <v>59</v>
      </c>
      <c r="X397" s="13">
        <v>20</v>
      </c>
      <c r="Y397" s="13">
        <v>4</v>
      </c>
      <c r="Z397" s="13">
        <v>1</v>
      </c>
      <c r="AA397" s="13">
        <v>80</v>
      </c>
      <c r="AB397" s="13">
        <v>1</v>
      </c>
      <c r="AC397" s="13">
        <v>8</v>
      </c>
      <c r="AD397" s="13">
        <v>1</v>
      </c>
      <c r="AE397" s="13">
        <v>3</v>
      </c>
      <c r="AF397" s="14">
        <v>3</v>
      </c>
      <c r="AG397" s="13">
        <v>2</v>
      </c>
      <c r="AH397" s="13">
        <v>1</v>
      </c>
      <c r="AI397" s="13">
        <v>2</v>
      </c>
      <c r="AJ397" s="13" t="str">
        <f t="shared" si="6"/>
        <v>40-49</v>
      </c>
      <c r="AK397" s="13" t="str">
        <f>IF(tblCleanData[[#This Row],[MonthlyIncome]]&lt;5000, "Low Income", IF(tblCleanData[[#This Row],[MonthlyIncome]]&lt;15000, "Medium Income", "High Income"))</f>
        <v>Low Income</v>
      </c>
      <c r="AL397" s="13">
        <f>IF(tblCleanData[[#This Row],[Attrition]]="No", 0,1)</f>
        <v>0</v>
      </c>
      <c r="AM397" s="13">
        <f>IF(tblCleanData[[#This Row],[OverTime]] = "No", 0, 1)</f>
        <v>0</v>
      </c>
      <c r="AN397" s="13" t="str">
        <f>CHOOSE(tblCleanData[[#This Row],[Education]], "Below College","College","Bachelor","Master","Doctor")</f>
        <v>Bachelor</v>
      </c>
      <c r="AO397" s="13" t="str">
        <f>VLOOKUP(tblCleanData[[#This Row],[EmployeeNumber]],tblHelpers[],15,TRUE)</f>
        <v>Medium Risk</v>
      </c>
      <c r="AP397" s="13">
        <f>VLOOKUP(tblCleanData[[#This Row],[EmployeeNumber]],tblHelpers[],14,0)</f>
        <v>36</v>
      </c>
    </row>
    <row r="398" spans="1:42" x14ac:dyDescent="0.25">
      <c r="A398" s="13">
        <v>43</v>
      </c>
      <c r="B398" s="13" t="s">
        <v>59</v>
      </c>
      <c r="C398" s="13" t="s">
        <v>37</v>
      </c>
      <c r="D398" s="13">
        <v>1473</v>
      </c>
      <c r="E398" s="13" t="s">
        <v>62</v>
      </c>
      <c r="F398" s="13">
        <v>8</v>
      </c>
      <c r="G398" s="13">
        <v>4</v>
      </c>
      <c r="H398" s="13" t="s">
        <v>74</v>
      </c>
      <c r="I398" s="13">
        <v>1</v>
      </c>
      <c r="J398" s="13">
        <v>526</v>
      </c>
      <c r="K398" s="13">
        <v>3</v>
      </c>
      <c r="L398" s="13" t="s">
        <v>43</v>
      </c>
      <c r="M398" s="13">
        <v>74</v>
      </c>
      <c r="N398" s="13">
        <v>3</v>
      </c>
      <c r="O398" s="13">
        <v>2</v>
      </c>
      <c r="P398" s="13" t="s">
        <v>122</v>
      </c>
      <c r="Q398" s="13">
        <v>3</v>
      </c>
      <c r="R398" s="13" t="s">
        <v>109</v>
      </c>
      <c r="S398" s="20">
        <v>4522</v>
      </c>
      <c r="T398" s="13">
        <v>2227</v>
      </c>
      <c r="U398" s="13">
        <v>4</v>
      </c>
      <c r="V398" s="13" t="s">
        <v>52</v>
      </c>
      <c r="W398" s="13" t="s">
        <v>36</v>
      </c>
      <c r="X398" s="13">
        <v>14</v>
      </c>
      <c r="Y398" s="13">
        <v>3</v>
      </c>
      <c r="Z398" s="13">
        <v>4</v>
      </c>
      <c r="AA398" s="13">
        <v>80</v>
      </c>
      <c r="AB398" s="13">
        <v>0</v>
      </c>
      <c r="AC398" s="13">
        <v>8</v>
      </c>
      <c r="AD398" s="13">
        <v>3</v>
      </c>
      <c r="AE398" s="13">
        <v>3</v>
      </c>
      <c r="AF398" s="14">
        <v>5</v>
      </c>
      <c r="AG398" s="13">
        <v>2</v>
      </c>
      <c r="AH398" s="13">
        <v>0</v>
      </c>
      <c r="AI398" s="13">
        <v>2</v>
      </c>
      <c r="AJ398" s="13" t="str">
        <f t="shared" si="6"/>
        <v>40-49</v>
      </c>
      <c r="AK398" s="13" t="str">
        <f>IF(tblCleanData[[#This Row],[MonthlyIncome]]&lt;5000, "Low Income", IF(tblCleanData[[#This Row],[MonthlyIncome]]&lt;15000, "Medium Income", "High Income"))</f>
        <v>Low Income</v>
      </c>
      <c r="AL398" s="13">
        <f>IF(tblCleanData[[#This Row],[Attrition]]="No", 0,1)</f>
        <v>0</v>
      </c>
      <c r="AM398" s="13">
        <f>IF(tblCleanData[[#This Row],[OverTime]] = "No", 0, 1)</f>
        <v>1</v>
      </c>
      <c r="AN398" s="13" t="str">
        <f>CHOOSE(tblCleanData[[#This Row],[Education]], "Below College","College","Bachelor","Master","Doctor")</f>
        <v>Master</v>
      </c>
      <c r="AO398" s="13" t="str">
        <f>VLOOKUP(tblCleanData[[#This Row],[EmployeeNumber]],tblHelpers[],15,TRUE)</f>
        <v>High Risk</v>
      </c>
      <c r="AP398" s="13">
        <f>VLOOKUP(tblCleanData[[#This Row],[EmployeeNumber]],tblHelpers[],14,0)</f>
        <v>68</v>
      </c>
    </row>
    <row r="399" spans="1:42" x14ac:dyDescent="0.25">
      <c r="A399" s="13">
        <v>25</v>
      </c>
      <c r="B399" s="13" t="s">
        <v>59</v>
      </c>
      <c r="C399" s="13" t="s">
        <v>37</v>
      </c>
      <c r="D399" s="13">
        <v>891</v>
      </c>
      <c r="E399" s="13" t="s">
        <v>39</v>
      </c>
      <c r="F399" s="13">
        <v>4</v>
      </c>
      <c r="G399" s="13">
        <v>2</v>
      </c>
      <c r="H399" s="13" t="s">
        <v>42</v>
      </c>
      <c r="I399" s="13">
        <v>1</v>
      </c>
      <c r="J399" s="13">
        <v>527</v>
      </c>
      <c r="K399" s="13">
        <v>2</v>
      </c>
      <c r="L399" s="13" t="s">
        <v>43</v>
      </c>
      <c r="M399" s="13">
        <v>99</v>
      </c>
      <c r="N399" s="13">
        <v>2</v>
      </c>
      <c r="O399" s="13">
        <v>2</v>
      </c>
      <c r="P399" s="13" t="s">
        <v>46</v>
      </c>
      <c r="Q399" s="13">
        <v>4</v>
      </c>
      <c r="R399" s="13" t="s">
        <v>48</v>
      </c>
      <c r="S399" s="20">
        <v>4487</v>
      </c>
      <c r="T399" s="13">
        <v>12090</v>
      </c>
      <c r="U399" s="13">
        <v>1</v>
      </c>
      <c r="V399" s="13" t="s">
        <v>52</v>
      </c>
      <c r="W399" s="13" t="s">
        <v>36</v>
      </c>
      <c r="X399" s="13">
        <v>11</v>
      </c>
      <c r="Y399" s="13">
        <v>3</v>
      </c>
      <c r="Z399" s="13">
        <v>2</v>
      </c>
      <c r="AA399" s="13">
        <v>80</v>
      </c>
      <c r="AB399" s="13">
        <v>0</v>
      </c>
      <c r="AC399" s="13">
        <v>5</v>
      </c>
      <c r="AD399" s="13">
        <v>3</v>
      </c>
      <c r="AE399" s="13">
        <v>3</v>
      </c>
      <c r="AF399" s="14">
        <v>5</v>
      </c>
      <c r="AG399" s="13">
        <v>4</v>
      </c>
      <c r="AH399" s="13">
        <v>1</v>
      </c>
      <c r="AI399" s="13">
        <v>3</v>
      </c>
      <c r="AJ399" s="13" t="str">
        <f t="shared" si="6"/>
        <v>Under 30</v>
      </c>
      <c r="AK399" s="13" t="str">
        <f>IF(tblCleanData[[#This Row],[MonthlyIncome]]&lt;5000, "Low Income", IF(tblCleanData[[#This Row],[MonthlyIncome]]&lt;15000, "Medium Income", "High Income"))</f>
        <v>Low Income</v>
      </c>
      <c r="AL399" s="13">
        <f>IF(tblCleanData[[#This Row],[Attrition]]="No", 0,1)</f>
        <v>0</v>
      </c>
      <c r="AM399" s="13">
        <f>IF(tblCleanData[[#This Row],[OverTime]] = "No", 0, 1)</f>
        <v>1</v>
      </c>
      <c r="AN399" s="13" t="str">
        <f>CHOOSE(tblCleanData[[#This Row],[Education]], "Below College","College","Bachelor","Master","Doctor")</f>
        <v>College</v>
      </c>
      <c r="AO399" s="13" t="str">
        <f>VLOOKUP(tblCleanData[[#This Row],[EmployeeNumber]],tblHelpers[],15,TRUE)</f>
        <v>High Risk</v>
      </c>
      <c r="AP399" s="13">
        <f>VLOOKUP(tblCleanData[[#This Row],[EmployeeNumber]],tblHelpers[],14,0)</f>
        <v>81</v>
      </c>
    </row>
    <row r="400" spans="1:42" x14ac:dyDescent="0.25">
      <c r="A400" s="13">
        <v>37</v>
      </c>
      <c r="B400" s="13" t="s">
        <v>59</v>
      </c>
      <c r="C400" s="13" t="s">
        <v>161</v>
      </c>
      <c r="D400" s="13">
        <v>1063</v>
      </c>
      <c r="E400" s="13" t="s">
        <v>62</v>
      </c>
      <c r="F400" s="13">
        <v>25</v>
      </c>
      <c r="G400" s="13">
        <v>5</v>
      </c>
      <c r="H400" s="13" t="s">
        <v>87</v>
      </c>
      <c r="I400" s="13">
        <v>1</v>
      </c>
      <c r="J400" s="13">
        <v>529</v>
      </c>
      <c r="K400" s="13">
        <v>2</v>
      </c>
      <c r="L400" s="13" t="s">
        <v>43</v>
      </c>
      <c r="M400" s="13">
        <v>72</v>
      </c>
      <c r="N400" s="13">
        <v>3</v>
      </c>
      <c r="O400" s="13">
        <v>2</v>
      </c>
      <c r="P400" s="13" t="s">
        <v>65</v>
      </c>
      <c r="Q400" s="13">
        <v>3</v>
      </c>
      <c r="R400" s="13" t="s">
        <v>66</v>
      </c>
      <c r="S400" s="20">
        <v>4449</v>
      </c>
      <c r="T400" s="13">
        <v>23866</v>
      </c>
      <c r="U400" s="13">
        <v>3</v>
      </c>
      <c r="V400" s="13" t="s">
        <v>52</v>
      </c>
      <c r="W400" s="13" t="s">
        <v>36</v>
      </c>
      <c r="X400" s="13">
        <v>15</v>
      </c>
      <c r="Y400" s="13">
        <v>3</v>
      </c>
      <c r="Z400" s="13">
        <v>1</v>
      </c>
      <c r="AA400" s="13">
        <v>80</v>
      </c>
      <c r="AB400" s="13">
        <v>2</v>
      </c>
      <c r="AC400" s="13">
        <v>15</v>
      </c>
      <c r="AD400" s="13">
        <v>2</v>
      </c>
      <c r="AE400" s="13">
        <v>3</v>
      </c>
      <c r="AF400" s="14">
        <v>13</v>
      </c>
      <c r="AG400" s="13">
        <v>11</v>
      </c>
      <c r="AH400" s="13">
        <v>10</v>
      </c>
      <c r="AI400" s="13">
        <v>7</v>
      </c>
      <c r="AJ400" s="13" t="str">
        <f t="shared" si="6"/>
        <v>30-39</v>
      </c>
      <c r="AK400" s="13" t="str">
        <f>IF(tblCleanData[[#This Row],[MonthlyIncome]]&lt;5000, "Low Income", IF(tblCleanData[[#This Row],[MonthlyIncome]]&lt;15000, "Medium Income", "High Income"))</f>
        <v>Low Income</v>
      </c>
      <c r="AL400" s="13">
        <f>IF(tblCleanData[[#This Row],[Attrition]]="No", 0,1)</f>
        <v>0</v>
      </c>
      <c r="AM400" s="13">
        <f>IF(tblCleanData[[#This Row],[OverTime]] = "No", 0, 1)</f>
        <v>1</v>
      </c>
      <c r="AN400" s="13" t="str">
        <f>CHOOSE(tblCleanData[[#This Row],[Education]], "Below College","College","Bachelor","Master","Doctor")</f>
        <v>Doctor</v>
      </c>
      <c r="AO400" s="13" t="str">
        <f>VLOOKUP(tblCleanData[[#This Row],[EmployeeNumber]],tblHelpers[],15,TRUE)</f>
        <v>High Risk</v>
      </c>
      <c r="AP400" s="13">
        <f>VLOOKUP(tblCleanData[[#This Row],[EmployeeNumber]],tblHelpers[],14,0)</f>
        <v>66</v>
      </c>
    </row>
    <row r="401" spans="1:42" x14ac:dyDescent="0.25">
      <c r="A401" s="13">
        <v>31</v>
      </c>
      <c r="B401" s="13" t="s">
        <v>59</v>
      </c>
      <c r="C401" s="13" t="s">
        <v>37</v>
      </c>
      <c r="D401" s="13">
        <v>329</v>
      </c>
      <c r="E401" s="13" t="s">
        <v>62</v>
      </c>
      <c r="F401" s="13">
        <v>1</v>
      </c>
      <c r="G401" s="13">
        <v>2</v>
      </c>
      <c r="H401" s="13" t="s">
        <v>42</v>
      </c>
      <c r="I401" s="13">
        <v>1</v>
      </c>
      <c r="J401" s="13">
        <v>530</v>
      </c>
      <c r="K401" s="13">
        <v>4</v>
      </c>
      <c r="L401" s="13" t="s">
        <v>63</v>
      </c>
      <c r="M401" s="13">
        <v>98</v>
      </c>
      <c r="N401" s="13">
        <v>2</v>
      </c>
      <c r="O401" s="13">
        <v>1</v>
      </c>
      <c r="P401" s="13" t="s">
        <v>76</v>
      </c>
      <c r="Q401" s="13">
        <v>1</v>
      </c>
      <c r="R401" s="13" t="s">
        <v>66</v>
      </c>
      <c r="S401" s="20">
        <v>2218</v>
      </c>
      <c r="T401" s="13">
        <v>16193</v>
      </c>
      <c r="U401" s="13">
        <v>1</v>
      </c>
      <c r="V401" s="13" t="s">
        <v>52</v>
      </c>
      <c r="W401" s="13" t="s">
        <v>59</v>
      </c>
      <c r="X401" s="13">
        <v>12</v>
      </c>
      <c r="Y401" s="13">
        <v>3</v>
      </c>
      <c r="Z401" s="13">
        <v>3</v>
      </c>
      <c r="AA401" s="13">
        <v>80</v>
      </c>
      <c r="AB401" s="13">
        <v>1</v>
      </c>
      <c r="AC401" s="13">
        <v>4</v>
      </c>
      <c r="AD401" s="13">
        <v>3</v>
      </c>
      <c r="AE401" s="13">
        <v>3</v>
      </c>
      <c r="AF401" s="14">
        <v>4</v>
      </c>
      <c r="AG401" s="13">
        <v>2</v>
      </c>
      <c r="AH401" s="13">
        <v>3</v>
      </c>
      <c r="AI401" s="13">
        <v>2</v>
      </c>
      <c r="AJ401" s="13" t="str">
        <f t="shared" si="6"/>
        <v>30-39</v>
      </c>
      <c r="AK401" s="13" t="str">
        <f>IF(tblCleanData[[#This Row],[MonthlyIncome]]&lt;5000, "Low Income", IF(tblCleanData[[#This Row],[MonthlyIncome]]&lt;15000, "Medium Income", "High Income"))</f>
        <v>Low Income</v>
      </c>
      <c r="AL401" s="13">
        <f>IF(tblCleanData[[#This Row],[Attrition]]="No", 0,1)</f>
        <v>0</v>
      </c>
      <c r="AM401" s="13">
        <f>IF(tblCleanData[[#This Row],[OverTime]] = "No", 0, 1)</f>
        <v>0</v>
      </c>
      <c r="AN401" s="13" t="str">
        <f>CHOOSE(tblCleanData[[#This Row],[Education]], "Below College","College","Bachelor","Master","Doctor")</f>
        <v>College</v>
      </c>
      <c r="AO401" s="13" t="str">
        <f>VLOOKUP(tblCleanData[[#This Row],[EmployeeNumber]],tblHelpers[],15,TRUE)</f>
        <v>High Risk</v>
      </c>
      <c r="AP401" s="13">
        <f>VLOOKUP(tblCleanData[[#This Row],[EmployeeNumber]],tblHelpers[],14,0)</f>
        <v>65</v>
      </c>
    </row>
    <row r="402" spans="1:42" x14ac:dyDescent="0.25">
      <c r="A402" s="13">
        <v>39</v>
      </c>
      <c r="B402" s="13" t="s">
        <v>59</v>
      </c>
      <c r="C402" s="13" t="s">
        <v>60</v>
      </c>
      <c r="D402" s="13">
        <v>1218</v>
      </c>
      <c r="E402" s="13" t="s">
        <v>62</v>
      </c>
      <c r="F402" s="13">
        <v>1</v>
      </c>
      <c r="G402" s="13">
        <v>1</v>
      </c>
      <c r="H402" s="13" t="s">
        <v>42</v>
      </c>
      <c r="I402" s="13">
        <v>1</v>
      </c>
      <c r="J402" s="13">
        <v>531</v>
      </c>
      <c r="K402" s="13">
        <v>2</v>
      </c>
      <c r="L402" s="13" t="s">
        <v>63</v>
      </c>
      <c r="M402" s="13">
        <v>52</v>
      </c>
      <c r="N402" s="13">
        <v>3</v>
      </c>
      <c r="O402" s="13">
        <v>5</v>
      </c>
      <c r="P402" s="13" t="s">
        <v>169</v>
      </c>
      <c r="Q402" s="13">
        <v>3</v>
      </c>
      <c r="R402" s="13" t="s">
        <v>109</v>
      </c>
      <c r="S402" s="20">
        <v>19197</v>
      </c>
      <c r="T402" s="13">
        <v>8213</v>
      </c>
      <c r="U402" s="13">
        <v>1</v>
      </c>
      <c r="V402" s="13" t="s">
        <v>52</v>
      </c>
      <c r="W402" s="13" t="s">
        <v>36</v>
      </c>
      <c r="X402" s="13">
        <v>14</v>
      </c>
      <c r="Y402" s="13">
        <v>3</v>
      </c>
      <c r="Z402" s="13">
        <v>3</v>
      </c>
      <c r="AA402" s="13">
        <v>80</v>
      </c>
      <c r="AB402" s="13">
        <v>1</v>
      </c>
      <c r="AC402" s="13">
        <v>21</v>
      </c>
      <c r="AD402" s="13">
        <v>3</v>
      </c>
      <c r="AE402" s="13">
        <v>3</v>
      </c>
      <c r="AF402" s="14">
        <v>21</v>
      </c>
      <c r="AG402" s="13">
        <v>8</v>
      </c>
      <c r="AH402" s="13">
        <v>1</v>
      </c>
      <c r="AI402" s="13">
        <v>6</v>
      </c>
      <c r="AJ402" s="13" t="str">
        <f t="shared" si="6"/>
        <v>30-39</v>
      </c>
      <c r="AK402" s="13" t="str">
        <f>IF(tblCleanData[[#This Row],[MonthlyIncome]]&lt;5000, "Low Income", IF(tblCleanData[[#This Row],[MonthlyIncome]]&lt;15000, "Medium Income", "High Income"))</f>
        <v>High Income</v>
      </c>
      <c r="AL402" s="13">
        <f>IF(tblCleanData[[#This Row],[Attrition]]="No", 0,1)</f>
        <v>0</v>
      </c>
      <c r="AM402" s="13">
        <f>IF(tblCleanData[[#This Row],[OverTime]] = "No", 0, 1)</f>
        <v>1</v>
      </c>
      <c r="AN402" s="13" t="str">
        <f>CHOOSE(tblCleanData[[#This Row],[Education]], "Below College","College","Bachelor","Master","Doctor")</f>
        <v>Below College</v>
      </c>
      <c r="AO402" s="13" t="str">
        <f>VLOOKUP(tblCleanData[[#This Row],[EmployeeNumber]],tblHelpers[],15,TRUE)</f>
        <v>High Risk</v>
      </c>
      <c r="AP402" s="13">
        <f>VLOOKUP(tblCleanData[[#This Row],[EmployeeNumber]],tblHelpers[],14,0)</f>
        <v>66</v>
      </c>
    </row>
    <row r="403" spans="1:42" x14ac:dyDescent="0.25">
      <c r="A403" s="13">
        <v>56</v>
      </c>
      <c r="B403" s="13" t="s">
        <v>59</v>
      </c>
      <c r="C403" s="13" t="s">
        <v>60</v>
      </c>
      <c r="D403" s="13">
        <v>906</v>
      </c>
      <c r="E403" s="13" t="s">
        <v>39</v>
      </c>
      <c r="F403" s="13">
        <v>6</v>
      </c>
      <c r="G403" s="13">
        <v>3</v>
      </c>
      <c r="H403" s="13" t="s">
        <v>42</v>
      </c>
      <c r="I403" s="13">
        <v>1</v>
      </c>
      <c r="J403" s="13">
        <v>532</v>
      </c>
      <c r="K403" s="13">
        <v>3</v>
      </c>
      <c r="L403" s="13" t="s">
        <v>43</v>
      </c>
      <c r="M403" s="13">
        <v>86</v>
      </c>
      <c r="N403" s="13">
        <v>4</v>
      </c>
      <c r="O403" s="13">
        <v>4</v>
      </c>
      <c r="P403" s="13" t="s">
        <v>46</v>
      </c>
      <c r="Q403" s="13">
        <v>1</v>
      </c>
      <c r="R403" s="13" t="s">
        <v>66</v>
      </c>
      <c r="S403" s="20">
        <v>13212</v>
      </c>
      <c r="T403" s="13">
        <v>18256</v>
      </c>
      <c r="U403" s="13">
        <v>9</v>
      </c>
      <c r="V403" s="13" t="s">
        <v>52</v>
      </c>
      <c r="W403" s="13" t="s">
        <v>59</v>
      </c>
      <c r="X403" s="13">
        <v>11</v>
      </c>
      <c r="Y403" s="13">
        <v>3</v>
      </c>
      <c r="Z403" s="13">
        <v>4</v>
      </c>
      <c r="AA403" s="13">
        <v>80</v>
      </c>
      <c r="AB403" s="13">
        <v>3</v>
      </c>
      <c r="AC403" s="13">
        <v>36</v>
      </c>
      <c r="AD403" s="13">
        <v>0</v>
      </c>
      <c r="AE403" s="13">
        <v>2</v>
      </c>
      <c r="AF403" s="14">
        <v>7</v>
      </c>
      <c r="AG403" s="13">
        <v>7</v>
      </c>
      <c r="AH403" s="13">
        <v>7</v>
      </c>
      <c r="AI403" s="13">
        <v>7</v>
      </c>
      <c r="AJ403" s="13" t="str">
        <f t="shared" si="6"/>
        <v>50+</v>
      </c>
      <c r="AK403" s="13" t="str">
        <f>IF(tblCleanData[[#This Row],[MonthlyIncome]]&lt;5000, "Low Income", IF(tblCleanData[[#This Row],[MonthlyIncome]]&lt;15000, "Medium Income", "High Income"))</f>
        <v>Medium Income</v>
      </c>
      <c r="AL403" s="13">
        <f>IF(tblCleanData[[#This Row],[Attrition]]="No", 0,1)</f>
        <v>0</v>
      </c>
      <c r="AM403" s="13">
        <f>IF(tblCleanData[[#This Row],[OverTime]] = "No", 0, 1)</f>
        <v>0</v>
      </c>
      <c r="AN403" s="13" t="str">
        <f>CHOOSE(tblCleanData[[#This Row],[Education]], "Below College","College","Bachelor","Master","Doctor")</f>
        <v>Bachelor</v>
      </c>
      <c r="AO403" s="13" t="str">
        <f>VLOOKUP(tblCleanData[[#This Row],[EmployeeNumber]],tblHelpers[],15,TRUE)</f>
        <v>Medium Risk</v>
      </c>
      <c r="AP403" s="13">
        <f>VLOOKUP(tblCleanData[[#This Row],[EmployeeNumber]],tblHelpers[],14,0)</f>
        <v>53</v>
      </c>
    </row>
    <row r="404" spans="1:42" x14ac:dyDescent="0.25">
      <c r="A404" s="13">
        <v>30</v>
      </c>
      <c r="B404" s="13" t="s">
        <v>59</v>
      </c>
      <c r="C404" s="13" t="s">
        <v>37</v>
      </c>
      <c r="D404" s="13">
        <v>1082</v>
      </c>
      <c r="E404" s="13" t="s">
        <v>39</v>
      </c>
      <c r="F404" s="13">
        <v>12</v>
      </c>
      <c r="G404" s="13">
        <v>3</v>
      </c>
      <c r="H404" s="13" t="s">
        <v>228</v>
      </c>
      <c r="I404" s="13">
        <v>1</v>
      </c>
      <c r="J404" s="13">
        <v>533</v>
      </c>
      <c r="K404" s="13">
        <v>2</v>
      </c>
      <c r="L404" s="13" t="s">
        <v>43</v>
      </c>
      <c r="M404" s="13">
        <v>83</v>
      </c>
      <c r="N404" s="13">
        <v>3</v>
      </c>
      <c r="O404" s="13">
        <v>2</v>
      </c>
      <c r="P404" s="13" t="s">
        <v>46</v>
      </c>
      <c r="Q404" s="13">
        <v>3</v>
      </c>
      <c r="R404" s="13" t="s">
        <v>48</v>
      </c>
      <c r="S404" s="20">
        <v>6577</v>
      </c>
      <c r="T404" s="13">
        <v>19558</v>
      </c>
      <c r="U404" s="13">
        <v>0</v>
      </c>
      <c r="V404" s="13" t="s">
        <v>52</v>
      </c>
      <c r="W404" s="13" t="s">
        <v>59</v>
      </c>
      <c r="X404" s="13">
        <v>11</v>
      </c>
      <c r="Y404" s="13">
        <v>3</v>
      </c>
      <c r="Z404" s="13">
        <v>2</v>
      </c>
      <c r="AA404" s="13">
        <v>80</v>
      </c>
      <c r="AB404" s="13">
        <v>0</v>
      </c>
      <c r="AC404" s="13">
        <v>6</v>
      </c>
      <c r="AD404" s="13">
        <v>6</v>
      </c>
      <c r="AE404" s="13">
        <v>3</v>
      </c>
      <c r="AF404" s="14">
        <v>5</v>
      </c>
      <c r="AG404" s="13">
        <v>4</v>
      </c>
      <c r="AH404" s="13">
        <v>4</v>
      </c>
      <c r="AI404" s="13">
        <v>4</v>
      </c>
      <c r="AJ404" s="13" t="str">
        <f t="shared" si="6"/>
        <v>30-39</v>
      </c>
      <c r="AK404" s="13" t="str">
        <f>IF(tblCleanData[[#This Row],[MonthlyIncome]]&lt;5000, "Low Income", IF(tblCleanData[[#This Row],[MonthlyIncome]]&lt;15000, "Medium Income", "High Income"))</f>
        <v>Medium Income</v>
      </c>
      <c r="AL404" s="13">
        <f>IF(tblCleanData[[#This Row],[Attrition]]="No", 0,1)</f>
        <v>0</v>
      </c>
      <c r="AM404" s="13">
        <f>IF(tblCleanData[[#This Row],[OverTime]] = "No", 0, 1)</f>
        <v>0</v>
      </c>
      <c r="AN404" s="13" t="str">
        <f>CHOOSE(tblCleanData[[#This Row],[Education]], "Below College","College","Bachelor","Master","Doctor")</f>
        <v>Bachelor</v>
      </c>
      <c r="AO404" s="13" t="str">
        <f>VLOOKUP(tblCleanData[[#This Row],[EmployeeNumber]],tblHelpers[],15,TRUE)</f>
        <v>Medium Risk</v>
      </c>
      <c r="AP404" s="13">
        <f>VLOOKUP(tblCleanData[[#This Row],[EmployeeNumber]],tblHelpers[],14,0)</f>
        <v>53</v>
      </c>
    </row>
    <row r="405" spans="1:42" x14ac:dyDescent="0.25">
      <c r="A405" s="13">
        <v>41</v>
      </c>
      <c r="B405" s="13" t="s">
        <v>59</v>
      </c>
      <c r="C405" s="13" t="s">
        <v>37</v>
      </c>
      <c r="D405" s="13">
        <v>645</v>
      </c>
      <c r="E405" s="13" t="s">
        <v>39</v>
      </c>
      <c r="F405" s="13">
        <v>1</v>
      </c>
      <c r="G405" s="13">
        <v>3</v>
      </c>
      <c r="H405" s="13" t="s">
        <v>206</v>
      </c>
      <c r="I405" s="13">
        <v>1</v>
      </c>
      <c r="J405" s="13">
        <v>534</v>
      </c>
      <c r="K405" s="13">
        <v>2</v>
      </c>
      <c r="L405" s="13" t="s">
        <v>63</v>
      </c>
      <c r="M405" s="13">
        <v>49</v>
      </c>
      <c r="N405" s="13">
        <v>4</v>
      </c>
      <c r="O405" s="13">
        <v>3</v>
      </c>
      <c r="P405" s="13" t="s">
        <v>46</v>
      </c>
      <c r="Q405" s="13">
        <v>1</v>
      </c>
      <c r="R405" s="13" t="s">
        <v>66</v>
      </c>
      <c r="S405" s="20">
        <v>8392</v>
      </c>
      <c r="T405" s="13">
        <v>19566</v>
      </c>
      <c r="U405" s="13">
        <v>1</v>
      </c>
      <c r="V405" s="13" t="s">
        <v>52</v>
      </c>
      <c r="W405" s="13" t="s">
        <v>59</v>
      </c>
      <c r="X405" s="13">
        <v>16</v>
      </c>
      <c r="Y405" s="13">
        <v>3</v>
      </c>
      <c r="Z405" s="13">
        <v>3</v>
      </c>
      <c r="AA405" s="13">
        <v>80</v>
      </c>
      <c r="AB405" s="13">
        <v>1</v>
      </c>
      <c r="AC405" s="13">
        <v>10</v>
      </c>
      <c r="AD405" s="13">
        <v>2</v>
      </c>
      <c r="AE405" s="13">
        <v>3</v>
      </c>
      <c r="AF405" s="14">
        <v>10</v>
      </c>
      <c r="AG405" s="13">
        <v>7</v>
      </c>
      <c r="AH405" s="13">
        <v>0</v>
      </c>
      <c r="AI405" s="13">
        <v>7</v>
      </c>
      <c r="AJ405" s="13" t="str">
        <f t="shared" si="6"/>
        <v>40-49</v>
      </c>
      <c r="AK405" s="13" t="str">
        <f>IF(tblCleanData[[#This Row],[MonthlyIncome]]&lt;5000, "Low Income", IF(tblCleanData[[#This Row],[MonthlyIncome]]&lt;15000, "Medium Income", "High Income"))</f>
        <v>Medium Income</v>
      </c>
      <c r="AL405" s="13">
        <f>IF(tblCleanData[[#This Row],[Attrition]]="No", 0,1)</f>
        <v>0</v>
      </c>
      <c r="AM405" s="13">
        <f>IF(tblCleanData[[#This Row],[OverTime]] = "No", 0, 1)</f>
        <v>0</v>
      </c>
      <c r="AN405" s="13" t="str">
        <f>CHOOSE(tblCleanData[[#This Row],[Education]], "Below College","College","Bachelor","Master","Doctor")</f>
        <v>Bachelor</v>
      </c>
      <c r="AO405" s="13" t="str">
        <f>VLOOKUP(tblCleanData[[#This Row],[EmployeeNumber]],tblHelpers[],15,TRUE)</f>
        <v>Medium Risk</v>
      </c>
      <c r="AP405" s="13">
        <f>VLOOKUP(tblCleanData[[#This Row],[EmployeeNumber]],tblHelpers[],14,0)</f>
        <v>48</v>
      </c>
    </row>
    <row r="406" spans="1:42" x14ac:dyDescent="0.25">
      <c r="A406" s="13">
        <v>28</v>
      </c>
      <c r="B406" s="13" t="s">
        <v>59</v>
      </c>
      <c r="C406" s="13" t="s">
        <v>37</v>
      </c>
      <c r="D406" s="13">
        <v>1300</v>
      </c>
      <c r="E406" s="13" t="s">
        <v>62</v>
      </c>
      <c r="F406" s="13">
        <v>17</v>
      </c>
      <c r="G406" s="13">
        <v>2</v>
      </c>
      <c r="H406" s="13" t="s">
        <v>87</v>
      </c>
      <c r="I406" s="13">
        <v>1</v>
      </c>
      <c r="J406" s="13">
        <v>536</v>
      </c>
      <c r="K406" s="13">
        <v>3</v>
      </c>
      <c r="L406" s="13" t="s">
        <v>63</v>
      </c>
      <c r="M406" s="13">
        <v>79</v>
      </c>
      <c r="N406" s="13">
        <v>3</v>
      </c>
      <c r="O406" s="13">
        <v>2</v>
      </c>
      <c r="P406" s="13" t="s">
        <v>76</v>
      </c>
      <c r="Q406" s="13">
        <v>1</v>
      </c>
      <c r="R406" s="13" t="s">
        <v>109</v>
      </c>
      <c r="S406" s="20">
        <v>4558</v>
      </c>
      <c r="T406" s="13">
        <v>13535</v>
      </c>
      <c r="U406" s="13">
        <v>1</v>
      </c>
      <c r="V406" s="13" t="s">
        <v>52</v>
      </c>
      <c r="W406" s="13" t="s">
        <v>59</v>
      </c>
      <c r="X406" s="13">
        <v>12</v>
      </c>
      <c r="Y406" s="13">
        <v>3</v>
      </c>
      <c r="Z406" s="13">
        <v>4</v>
      </c>
      <c r="AA406" s="13">
        <v>80</v>
      </c>
      <c r="AB406" s="13">
        <v>1</v>
      </c>
      <c r="AC406" s="13">
        <v>10</v>
      </c>
      <c r="AD406" s="13">
        <v>2</v>
      </c>
      <c r="AE406" s="13">
        <v>3</v>
      </c>
      <c r="AF406" s="14">
        <v>10</v>
      </c>
      <c r="AG406" s="13">
        <v>0</v>
      </c>
      <c r="AH406" s="13">
        <v>1</v>
      </c>
      <c r="AI406" s="13">
        <v>8</v>
      </c>
      <c r="AJ406" s="13" t="str">
        <f t="shared" si="6"/>
        <v>Under 30</v>
      </c>
      <c r="AK406" s="13" t="str">
        <f>IF(tblCleanData[[#This Row],[MonthlyIncome]]&lt;5000, "Low Income", IF(tblCleanData[[#This Row],[MonthlyIncome]]&lt;15000, "Medium Income", "High Income"))</f>
        <v>Low Income</v>
      </c>
      <c r="AL406" s="13">
        <f>IF(tblCleanData[[#This Row],[Attrition]]="No", 0,1)</f>
        <v>0</v>
      </c>
      <c r="AM406" s="13">
        <f>IF(tblCleanData[[#This Row],[OverTime]] = "No", 0, 1)</f>
        <v>0</v>
      </c>
      <c r="AN406" s="13" t="str">
        <f>CHOOSE(tblCleanData[[#This Row],[Education]], "Below College","College","Bachelor","Master","Doctor")</f>
        <v>College</v>
      </c>
      <c r="AO406" s="13" t="str">
        <f>VLOOKUP(tblCleanData[[#This Row],[EmployeeNumber]],tblHelpers[],15,TRUE)</f>
        <v>High Risk</v>
      </c>
      <c r="AP406" s="13">
        <f>VLOOKUP(tblCleanData[[#This Row],[EmployeeNumber]],tblHelpers[],14,0)</f>
        <v>68</v>
      </c>
    </row>
    <row r="407" spans="1:42" x14ac:dyDescent="0.25">
      <c r="A407" s="13">
        <v>25</v>
      </c>
      <c r="B407" s="13" t="s">
        <v>36</v>
      </c>
      <c r="C407" s="13" t="s">
        <v>37</v>
      </c>
      <c r="D407" s="13">
        <v>688</v>
      </c>
      <c r="E407" s="13" t="s">
        <v>62</v>
      </c>
      <c r="F407" s="13">
        <v>3</v>
      </c>
      <c r="G407" s="13">
        <v>3</v>
      </c>
      <c r="H407" s="13" t="s">
        <v>87</v>
      </c>
      <c r="I407" s="13">
        <v>1</v>
      </c>
      <c r="J407" s="13">
        <v>538</v>
      </c>
      <c r="K407" s="13">
        <v>1</v>
      </c>
      <c r="L407" s="13" t="s">
        <v>63</v>
      </c>
      <c r="M407" s="13">
        <v>91</v>
      </c>
      <c r="N407" s="13">
        <v>3</v>
      </c>
      <c r="O407" s="13">
        <v>1</v>
      </c>
      <c r="P407" s="13" t="s">
        <v>76</v>
      </c>
      <c r="Q407" s="13">
        <v>1</v>
      </c>
      <c r="R407" s="13" t="s">
        <v>66</v>
      </c>
      <c r="S407" s="20">
        <v>4031</v>
      </c>
      <c r="T407" s="13">
        <v>9396</v>
      </c>
      <c r="U407" s="13">
        <v>5</v>
      </c>
      <c r="V407" s="13" t="s">
        <v>52</v>
      </c>
      <c r="W407" s="13" t="s">
        <v>59</v>
      </c>
      <c r="X407" s="13">
        <v>13</v>
      </c>
      <c r="Y407" s="13">
        <v>3</v>
      </c>
      <c r="Z407" s="13">
        <v>3</v>
      </c>
      <c r="AA407" s="13">
        <v>80</v>
      </c>
      <c r="AB407" s="13">
        <v>1</v>
      </c>
      <c r="AC407" s="13">
        <v>6</v>
      </c>
      <c r="AD407" s="13">
        <v>5</v>
      </c>
      <c r="AE407" s="13">
        <v>3</v>
      </c>
      <c r="AF407" s="14">
        <v>2</v>
      </c>
      <c r="AG407" s="13">
        <v>2</v>
      </c>
      <c r="AH407" s="13">
        <v>0</v>
      </c>
      <c r="AI407" s="13">
        <v>2</v>
      </c>
      <c r="AJ407" s="13" t="str">
        <f t="shared" si="6"/>
        <v>Under 30</v>
      </c>
      <c r="AK407" s="13" t="str">
        <f>IF(tblCleanData[[#This Row],[MonthlyIncome]]&lt;5000, "Low Income", IF(tblCleanData[[#This Row],[MonthlyIncome]]&lt;15000, "Medium Income", "High Income"))</f>
        <v>Low Income</v>
      </c>
      <c r="AL407" s="13">
        <f>IF(tblCleanData[[#This Row],[Attrition]]="No", 0,1)</f>
        <v>1</v>
      </c>
      <c r="AM407" s="13">
        <f>IF(tblCleanData[[#This Row],[OverTime]] = "No", 0, 1)</f>
        <v>0</v>
      </c>
      <c r="AN407" s="13" t="str">
        <f>CHOOSE(tblCleanData[[#This Row],[Education]], "Below College","College","Bachelor","Master","Doctor")</f>
        <v>Bachelor</v>
      </c>
      <c r="AO407" s="13" t="str">
        <f>VLOOKUP(tblCleanData[[#This Row],[EmployeeNumber]],tblHelpers[],15,TRUE)</f>
        <v>High Risk</v>
      </c>
      <c r="AP407" s="13">
        <f>VLOOKUP(tblCleanData[[#This Row],[EmployeeNumber]],tblHelpers[],14,0)</f>
        <v>85</v>
      </c>
    </row>
    <row r="408" spans="1:42" x14ac:dyDescent="0.25">
      <c r="A408" s="13">
        <v>52</v>
      </c>
      <c r="B408" s="13" t="s">
        <v>59</v>
      </c>
      <c r="C408" s="13" t="s">
        <v>37</v>
      </c>
      <c r="D408" s="13">
        <v>319</v>
      </c>
      <c r="E408" s="13" t="s">
        <v>62</v>
      </c>
      <c r="F408" s="13">
        <v>3</v>
      </c>
      <c r="G408" s="13">
        <v>3</v>
      </c>
      <c r="H408" s="13" t="s">
        <v>87</v>
      </c>
      <c r="I408" s="13">
        <v>1</v>
      </c>
      <c r="J408" s="13">
        <v>543</v>
      </c>
      <c r="K408" s="13">
        <v>4</v>
      </c>
      <c r="L408" s="13" t="s">
        <v>63</v>
      </c>
      <c r="M408" s="13">
        <v>39</v>
      </c>
      <c r="N408" s="13">
        <v>2</v>
      </c>
      <c r="O408" s="13">
        <v>3</v>
      </c>
      <c r="P408" s="13" t="s">
        <v>116</v>
      </c>
      <c r="Q408" s="13">
        <v>3</v>
      </c>
      <c r="R408" s="13" t="s">
        <v>66</v>
      </c>
      <c r="S408" s="20">
        <v>7969</v>
      </c>
      <c r="T408" s="13">
        <v>19609</v>
      </c>
      <c r="U408" s="13">
        <v>2</v>
      </c>
      <c r="V408" s="13" t="s">
        <v>52</v>
      </c>
      <c r="W408" s="13" t="s">
        <v>36</v>
      </c>
      <c r="X408" s="13">
        <v>14</v>
      </c>
      <c r="Y408" s="13">
        <v>3</v>
      </c>
      <c r="Z408" s="13">
        <v>3</v>
      </c>
      <c r="AA408" s="13">
        <v>80</v>
      </c>
      <c r="AB408" s="13">
        <v>0</v>
      </c>
      <c r="AC408" s="13">
        <v>28</v>
      </c>
      <c r="AD408" s="13">
        <v>4</v>
      </c>
      <c r="AE408" s="13">
        <v>3</v>
      </c>
      <c r="AF408" s="14">
        <v>5</v>
      </c>
      <c r="AG408" s="13">
        <v>4</v>
      </c>
      <c r="AH408" s="13">
        <v>0</v>
      </c>
      <c r="AI408" s="13">
        <v>4</v>
      </c>
      <c r="AJ408" s="13" t="str">
        <f t="shared" si="6"/>
        <v>50+</v>
      </c>
      <c r="AK408" s="13" t="str">
        <f>IF(tblCleanData[[#This Row],[MonthlyIncome]]&lt;5000, "Low Income", IF(tblCleanData[[#This Row],[MonthlyIncome]]&lt;15000, "Medium Income", "High Income"))</f>
        <v>Medium Income</v>
      </c>
      <c r="AL408" s="13">
        <f>IF(tblCleanData[[#This Row],[Attrition]]="No", 0,1)</f>
        <v>0</v>
      </c>
      <c r="AM408" s="13">
        <f>IF(tblCleanData[[#This Row],[OverTime]] = "No", 0, 1)</f>
        <v>1</v>
      </c>
      <c r="AN408" s="13" t="str">
        <f>CHOOSE(tblCleanData[[#This Row],[Education]], "Below College","College","Bachelor","Master","Doctor")</f>
        <v>Bachelor</v>
      </c>
      <c r="AO408" s="13" t="str">
        <f>VLOOKUP(tblCleanData[[#This Row],[EmployeeNumber]],tblHelpers[],15,TRUE)</f>
        <v>High Risk</v>
      </c>
      <c r="AP408" s="13">
        <f>VLOOKUP(tblCleanData[[#This Row],[EmployeeNumber]],tblHelpers[],14,0)</f>
        <v>73</v>
      </c>
    </row>
    <row r="409" spans="1:42" x14ac:dyDescent="0.25">
      <c r="A409" s="13">
        <v>45</v>
      </c>
      <c r="B409" s="13" t="s">
        <v>59</v>
      </c>
      <c r="C409" s="13" t="s">
        <v>37</v>
      </c>
      <c r="D409" s="13">
        <v>192</v>
      </c>
      <c r="E409" s="13" t="s">
        <v>62</v>
      </c>
      <c r="F409" s="13">
        <v>10</v>
      </c>
      <c r="G409" s="13">
        <v>2</v>
      </c>
      <c r="H409" s="13" t="s">
        <v>42</v>
      </c>
      <c r="I409" s="13">
        <v>1</v>
      </c>
      <c r="J409" s="13">
        <v>544</v>
      </c>
      <c r="K409" s="13">
        <v>1</v>
      </c>
      <c r="L409" s="13" t="s">
        <v>63</v>
      </c>
      <c r="M409" s="13">
        <v>69</v>
      </c>
      <c r="N409" s="13">
        <v>3</v>
      </c>
      <c r="O409" s="13">
        <v>1</v>
      </c>
      <c r="P409" s="13" t="s">
        <v>65</v>
      </c>
      <c r="Q409" s="13">
        <v>4</v>
      </c>
      <c r="R409" s="13" t="s">
        <v>66</v>
      </c>
      <c r="S409" s="20">
        <v>2654</v>
      </c>
      <c r="T409" s="13">
        <v>9655</v>
      </c>
      <c r="U409" s="13">
        <v>3</v>
      </c>
      <c r="V409" s="13" t="s">
        <v>52</v>
      </c>
      <c r="W409" s="13" t="s">
        <v>59</v>
      </c>
      <c r="X409" s="13">
        <v>21</v>
      </c>
      <c r="Y409" s="13">
        <v>4</v>
      </c>
      <c r="Z409" s="13">
        <v>4</v>
      </c>
      <c r="AA409" s="13">
        <v>80</v>
      </c>
      <c r="AB409" s="13">
        <v>2</v>
      </c>
      <c r="AC409" s="13">
        <v>8</v>
      </c>
      <c r="AD409" s="13">
        <v>3</v>
      </c>
      <c r="AE409" s="13">
        <v>2</v>
      </c>
      <c r="AF409" s="14">
        <v>2</v>
      </c>
      <c r="AG409" s="13">
        <v>2</v>
      </c>
      <c r="AH409" s="13">
        <v>0</v>
      </c>
      <c r="AI409" s="13">
        <v>2</v>
      </c>
      <c r="AJ409" s="13" t="str">
        <f t="shared" si="6"/>
        <v>40-49</v>
      </c>
      <c r="AK409" s="13" t="str">
        <f>IF(tblCleanData[[#This Row],[MonthlyIncome]]&lt;5000, "Low Income", IF(tblCleanData[[#This Row],[MonthlyIncome]]&lt;15000, "Medium Income", "High Income"))</f>
        <v>Low Income</v>
      </c>
      <c r="AL409" s="13">
        <f>IF(tblCleanData[[#This Row],[Attrition]]="No", 0,1)</f>
        <v>0</v>
      </c>
      <c r="AM409" s="13">
        <f>IF(tblCleanData[[#This Row],[OverTime]] = "No", 0, 1)</f>
        <v>0</v>
      </c>
      <c r="AN409" s="13" t="str">
        <f>CHOOSE(tblCleanData[[#This Row],[Education]], "Below College","College","Bachelor","Master","Doctor")</f>
        <v>College</v>
      </c>
      <c r="AO409" s="13" t="str">
        <f>VLOOKUP(tblCleanData[[#This Row],[EmployeeNumber]],tblHelpers[],15,TRUE)</f>
        <v>Medium Risk</v>
      </c>
      <c r="AP409" s="13">
        <f>VLOOKUP(tblCleanData[[#This Row],[EmployeeNumber]],tblHelpers[],14,0)</f>
        <v>46</v>
      </c>
    </row>
    <row r="410" spans="1:42" x14ac:dyDescent="0.25">
      <c r="A410" s="13">
        <v>52</v>
      </c>
      <c r="B410" s="13" t="s">
        <v>59</v>
      </c>
      <c r="C410" s="13" t="s">
        <v>37</v>
      </c>
      <c r="D410" s="13">
        <v>1490</v>
      </c>
      <c r="E410" s="13" t="s">
        <v>62</v>
      </c>
      <c r="F410" s="13">
        <v>4</v>
      </c>
      <c r="G410" s="13">
        <v>2</v>
      </c>
      <c r="H410" s="13" t="s">
        <v>42</v>
      </c>
      <c r="I410" s="13">
        <v>1</v>
      </c>
      <c r="J410" s="13">
        <v>546</v>
      </c>
      <c r="K410" s="13">
        <v>4</v>
      </c>
      <c r="L410" s="13" t="s">
        <v>43</v>
      </c>
      <c r="M410" s="13">
        <v>30</v>
      </c>
      <c r="N410" s="13">
        <v>3</v>
      </c>
      <c r="O410" s="13">
        <v>4</v>
      </c>
      <c r="P410" s="13" t="s">
        <v>169</v>
      </c>
      <c r="Q410" s="13">
        <v>4</v>
      </c>
      <c r="R410" s="13" t="s">
        <v>66</v>
      </c>
      <c r="S410" s="20">
        <v>16555</v>
      </c>
      <c r="T410" s="13">
        <v>10310</v>
      </c>
      <c r="U410" s="13">
        <v>2</v>
      </c>
      <c r="V410" s="13" t="s">
        <v>52</v>
      </c>
      <c r="W410" s="13" t="s">
        <v>59</v>
      </c>
      <c r="X410" s="13">
        <v>13</v>
      </c>
      <c r="Y410" s="13">
        <v>3</v>
      </c>
      <c r="Z410" s="13">
        <v>4</v>
      </c>
      <c r="AA410" s="13">
        <v>80</v>
      </c>
      <c r="AB410" s="13">
        <v>0</v>
      </c>
      <c r="AC410" s="13">
        <v>31</v>
      </c>
      <c r="AD410" s="13">
        <v>2</v>
      </c>
      <c r="AE410" s="13">
        <v>1</v>
      </c>
      <c r="AF410" s="14">
        <v>5</v>
      </c>
      <c r="AG410" s="13">
        <v>2</v>
      </c>
      <c r="AH410" s="13">
        <v>1</v>
      </c>
      <c r="AI410" s="13">
        <v>4</v>
      </c>
      <c r="AJ410" s="13" t="str">
        <f t="shared" si="6"/>
        <v>50+</v>
      </c>
      <c r="AK410" s="13" t="str">
        <f>IF(tblCleanData[[#This Row],[MonthlyIncome]]&lt;5000, "Low Income", IF(tblCleanData[[#This Row],[MonthlyIncome]]&lt;15000, "Medium Income", "High Income"))</f>
        <v>High Income</v>
      </c>
      <c r="AL410" s="13">
        <f>IF(tblCleanData[[#This Row],[Attrition]]="No", 0,1)</f>
        <v>0</v>
      </c>
      <c r="AM410" s="13">
        <f>IF(tblCleanData[[#This Row],[OverTime]] = "No", 0, 1)</f>
        <v>0</v>
      </c>
      <c r="AN410" s="13" t="str">
        <f>CHOOSE(tblCleanData[[#This Row],[Education]], "Below College","College","Bachelor","Master","Doctor")</f>
        <v>College</v>
      </c>
      <c r="AO410" s="13" t="str">
        <f>VLOOKUP(tblCleanData[[#This Row],[EmployeeNumber]],tblHelpers[],15,TRUE)</f>
        <v>Medium Risk</v>
      </c>
      <c r="AP410" s="13">
        <f>VLOOKUP(tblCleanData[[#This Row],[EmployeeNumber]],tblHelpers[],14,0)</f>
        <v>41</v>
      </c>
    </row>
    <row r="411" spans="1:42" x14ac:dyDescent="0.25">
      <c r="A411" s="13">
        <v>42</v>
      </c>
      <c r="B411" s="13" t="s">
        <v>59</v>
      </c>
      <c r="C411" s="13" t="s">
        <v>60</v>
      </c>
      <c r="D411" s="13">
        <v>532</v>
      </c>
      <c r="E411" s="13" t="s">
        <v>62</v>
      </c>
      <c r="F411" s="13">
        <v>29</v>
      </c>
      <c r="G411" s="13">
        <v>2</v>
      </c>
      <c r="H411" s="13" t="s">
        <v>42</v>
      </c>
      <c r="I411" s="13">
        <v>1</v>
      </c>
      <c r="J411" s="13">
        <v>547</v>
      </c>
      <c r="K411" s="13">
        <v>1</v>
      </c>
      <c r="L411" s="13" t="s">
        <v>43</v>
      </c>
      <c r="M411" s="13">
        <v>92</v>
      </c>
      <c r="N411" s="13">
        <v>3</v>
      </c>
      <c r="O411" s="13">
        <v>2</v>
      </c>
      <c r="P411" s="13" t="s">
        <v>65</v>
      </c>
      <c r="Q411" s="13">
        <v>3</v>
      </c>
      <c r="R411" s="13" t="s">
        <v>109</v>
      </c>
      <c r="S411" s="20">
        <v>4556</v>
      </c>
      <c r="T411" s="13">
        <v>12932</v>
      </c>
      <c r="U411" s="13">
        <v>2</v>
      </c>
      <c r="V411" s="13" t="s">
        <v>52</v>
      </c>
      <c r="W411" s="13" t="s">
        <v>59</v>
      </c>
      <c r="X411" s="13">
        <v>11</v>
      </c>
      <c r="Y411" s="13">
        <v>3</v>
      </c>
      <c r="Z411" s="13">
        <v>2</v>
      </c>
      <c r="AA411" s="13">
        <v>80</v>
      </c>
      <c r="AB411" s="13">
        <v>1</v>
      </c>
      <c r="AC411" s="13">
        <v>19</v>
      </c>
      <c r="AD411" s="13">
        <v>3</v>
      </c>
      <c r="AE411" s="13">
        <v>3</v>
      </c>
      <c r="AF411" s="14">
        <v>5</v>
      </c>
      <c r="AG411" s="13">
        <v>4</v>
      </c>
      <c r="AH411" s="13">
        <v>0</v>
      </c>
      <c r="AI411" s="13">
        <v>2</v>
      </c>
      <c r="AJ411" s="13" t="str">
        <f t="shared" si="6"/>
        <v>40-49</v>
      </c>
      <c r="AK411" s="13" t="str">
        <f>IF(tblCleanData[[#This Row],[MonthlyIncome]]&lt;5000, "Low Income", IF(tblCleanData[[#This Row],[MonthlyIncome]]&lt;15000, "Medium Income", "High Income"))</f>
        <v>Low Income</v>
      </c>
      <c r="AL411" s="13">
        <f>IF(tblCleanData[[#This Row],[Attrition]]="No", 0,1)</f>
        <v>0</v>
      </c>
      <c r="AM411" s="13">
        <f>IF(tblCleanData[[#This Row],[OverTime]] = "No", 0, 1)</f>
        <v>0</v>
      </c>
      <c r="AN411" s="13" t="str">
        <f>CHOOSE(tblCleanData[[#This Row],[Education]], "Below College","College","Bachelor","Master","Doctor")</f>
        <v>College</v>
      </c>
      <c r="AO411" s="13" t="str">
        <f>VLOOKUP(tblCleanData[[#This Row],[EmployeeNumber]],tblHelpers[],15,TRUE)</f>
        <v>Medium Risk</v>
      </c>
      <c r="AP411" s="13">
        <f>VLOOKUP(tblCleanData[[#This Row],[EmployeeNumber]],tblHelpers[],14,0)</f>
        <v>43</v>
      </c>
    </row>
    <row r="412" spans="1:42" x14ac:dyDescent="0.25">
      <c r="A412" s="13">
        <v>30</v>
      </c>
      <c r="B412" s="13" t="s">
        <v>59</v>
      </c>
      <c r="C412" s="13" t="s">
        <v>37</v>
      </c>
      <c r="D412" s="13">
        <v>317</v>
      </c>
      <c r="E412" s="13" t="s">
        <v>62</v>
      </c>
      <c r="F412" s="13">
        <v>2</v>
      </c>
      <c r="G412" s="13">
        <v>3</v>
      </c>
      <c r="H412" s="13" t="s">
        <v>42</v>
      </c>
      <c r="I412" s="13">
        <v>1</v>
      </c>
      <c r="J412" s="13">
        <v>548</v>
      </c>
      <c r="K412" s="13">
        <v>3</v>
      </c>
      <c r="L412" s="13" t="s">
        <v>43</v>
      </c>
      <c r="M412" s="13">
        <v>43</v>
      </c>
      <c r="N412" s="13">
        <v>1</v>
      </c>
      <c r="O412" s="13">
        <v>2</v>
      </c>
      <c r="P412" s="13" t="s">
        <v>116</v>
      </c>
      <c r="Q412" s="13">
        <v>4</v>
      </c>
      <c r="R412" s="13" t="s">
        <v>48</v>
      </c>
      <c r="S412" s="20">
        <v>6091</v>
      </c>
      <c r="T412" s="13">
        <v>24793</v>
      </c>
      <c r="U412" s="13">
        <v>2</v>
      </c>
      <c r="V412" s="13" t="s">
        <v>52</v>
      </c>
      <c r="W412" s="13" t="s">
        <v>59</v>
      </c>
      <c r="X412" s="13">
        <v>20</v>
      </c>
      <c r="Y412" s="13">
        <v>4</v>
      </c>
      <c r="Z412" s="13">
        <v>3</v>
      </c>
      <c r="AA412" s="13">
        <v>80</v>
      </c>
      <c r="AB412" s="13">
        <v>0</v>
      </c>
      <c r="AC412" s="13">
        <v>11</v>
      </c>
      <c r="AD412" s="13">
        <v>2</v>
      </c>
      <c r="AE412" s="13">
        <v>3</v>
      </c>
      <c r="AF412" s="14">
        <v>5</v>
      </c>
      <c r="AG412" s="13">
        <v>4</v>
      </c>
      <c r="AH412" s="13">
        <v>0</v>
      </c>
      <c r="AI412" s="13">
        <v>2</v>
      </c>
      <c r="AJ412" s="13" t="str">
        <f t="shared" si="6"/>
        <v>30-39</v>
      </c>
      <c r="AK412" s="13" t="str">
        <f>IF(tblCleanData[[#This Row],[MonthlyIncome]]&lt;5000, "Low Income", IF(tblCleanData[[#This Row],[MonthlyIncome]]&lt;15000, "Medium Income", "High Income"))</f>
        <v>Medium Income</v>
      </c>
      <c r="AL412" s="13">
        <f>IF(tblCleanData[[#This Row],[Attrition]]="No", 0,1)</f>
        <v>0</v>
      </c>
      <c r="AM412" s="13">
        <f>IF(tblCleanData[[#This Row],[OverTime]] = "No", 0, 1)</f>
        <v>0</v>
      </c>
      <c r="AN412" s="13" t="str">
        <f>CHOOSE(tblCleanData[[#This Row],[Education]], "Below College","College","Bachelor","Master","Doctor")</f>
        <v>Bachelor</v>
      </c>
      <c r="AO412" s="13" t="str">
        <f>VLOOKUP(tblCleanData[[#This Row],[EmployeeNumber]],tblHelpers[],15,TRUE)</f>
        <v>Medium Risk</v>
      </c>
      <c r="AP412" s="13">
        <f>VLOOKUP(tblCleanData[[#This Row],[EmployeeNumber]],tblHelpers[],14,0)</f>
        <v>46</v>
      </c>
    </row>
    <row r="413" spans="1:42" x14ac:dyDescent="0.25">
      <c r="A413" s="13">
        <v>60</v>
      </c>
      <c r="B413" s="13" t="s">
        <v>59</v>
      </c>
      <c r="C413" s="13" t="s">
        <v>37</v>
      </c>
      <c r="D413" s="13">
        <v>422</v>
      </c>
      <c r="E413" s="13" t="s">
        <v>62</v>
      </c>
      <c r="F413" s="13">
        <v>7</v>
      </c>
      <c r="G413" s="13">
        <v>3</v>
      </c>
      <c r="H413" s="13" t="s">
        <v>42</v>
      </c>
      <c r="I413" s="13">
        <v>1</v>
      </c>
      <c r="J413" s="13">
        <v>549</v>
      </c>
      <c r="K413" s="13">
        <v>1</v>
      </c>
      <c r="L413" s="13" t="s">
        <v>43</v>
      </c>
      <c r="M413" s="13">
        <v>41</v>
      </c>
      <c r="N413" s="13">
        <v>3</v>
      </c>
      <c r="O413" s="13">
        <v>5</v>
      </c>
      <c r="P413" s="13" t="s">
        <v>169</v>
      </c>
      <c r="Q413" s="13">
        <v>1</v>
      </c>
      <c r="R413" s="13" t="s">
        <v>66</v>
      </c>
      <c r="S413" s="20">
        <v>19566</v>
      </c>
      <c r="T413" s="13">
        <v>3854</v>
      </c>
      <c r="U413" s="13">
        <v>5</v>
      </c>
      <c r="V413" s="13" t="s">
        <v>52</v>
      </c>
      <c r="W413" s="13" t="s">
        <v>59</v>
      </c>
      <c r="X413" s="13">
        <v>11</v>
      </c>
      <c r="Y413" s="13">
        <v>3</v>
      </c>
      <c r="Z413" s="13">
        <v>4</v>
      </c>
      <c r="AA413" s="13">
        <v>80</v>
      </c>
      <c r="AB413" s="13">
        <v>0</v>
      </c>
      <c r="AC413" s="13">
        <v>33</v>
      </c>
      <c r="AD413" s="13">
        <v>5</v>
      </c>
      <c r="AE413" s="13">
        <v>1</v>
      </c>
      <c r="AF413" s="14">
        <v>29</v>
      </c>
      <c r="AG413" s="13">
        <v>8</v>
      </c>
      <c r="AH413" s="13">
        <v>11</v>
      </c>
      <c r="AI413" s="13">
        <v>10</v>
      </c>
      <c r="AJ413" s="13" t="str">
        <f t="shared" si="6"/>
        <v>50+</v>
      </c>
      <c r="AK413" s="13" t="str">
        <f>IF(tblCleanData[[#This Row],[MonthlyIncome]]&lt;5000, "Low Income", IF(tblCleanData[[#This Row],[MonthlyIncome]]&lt;15000, "Medium Income", "High Income"))</f>
        <v>High Income</v>
      </c>
      <c r="AL413" s="13">
        <f>IF(tblCleanData[[#This Row],[Attrition]]="No", 0,1)</f>
        <v>0</v>
      </c>
      <c r="AM413" s="13">
        <f>IF(tblCleanData[[#This Row],[OverTime]] = "No", 0, 1)</f>
        <v>0</v>
      </c>
      <c r="AN413" s="13" t="str">
        <f>CHOOSE(tblCleanData[[#This Row],[Education]], "Below College","College","Bachelor","Master","Doctor")</f>
        <v>Bachelor</v>
      </c>
      <c r="AO413" s="13" t="str">
        <f>VLOOKUP(tblCleanData[[#This Row],[EmployeeNumber]],tblHelpers[],15,TRUE)</f>
        <v>Medium Risk</v>
      </c>
      <c r="AP413" s="13">
        <f>VLOOKUP(tblCleanData[[#This Row],[EmployeeNumber]],tblHelpers[],14,0)</f>
        <v>48</v>
      </c>
    </row>
    <row r="414" spans="1:42" x14ac:dyDescent="0.25">
      <c r="A414" s="13">
        <v>46</v>
      </c>
      <c r="B414" s="13" t="s">
        <v>59</v>
      </c>
      <c r="C414" s="13" t="s">
        <v>37</v>
      </c>
      <c r="D414" s="13">
        <v>1485</v>
      </c>
      <c r="E414" s="13" t="s">
        <v>62</v>
      </c>
      <c r="F414" s="13">
        <v>18</v>
      </c>
      <c r="G414" s="13">
        <v>3</v>
      </c>
      <c r="H414" s="13" t="s">
        <v>87</v>
      </c>
      <c r="I414" s="13">
        <v>1</v>
      </c>
      <c r="J414" s="13">
        <v>550</v>
      </c>
      <c r="K414" s="13">
        <v>3</v>
      </c>
      <c r="L414" s="13" t="s">
        <v>43</v>
      </c>
      <c r="M414" s="13">
        <v>87</v>
      </c>
      <c r="N414" s="13">
        <v>3</v>
      </c>
      <c r="O414" s="13">
        <v>2</v>
      </c>
      <c r="P414" s="13" t="s">
        <v>116</v>
      </c>
      <c r="Q414" s="13">
        <v>3</v>
      </c>
      <c r="R414" s="13" t="s">
        <v>109</v>
      </c>
      <c r="S414" s="20">
        <v>4810</v>
      </c>
      <c r="T414" s="13">
        <v>26314</v>
      </c>
      <c r="U414" s="13">
        <v>2</v>
      </c>
      <c r="V414" s="13" t="s">
        <v>52</v>
      </c>
      <c r="W414" s="13" t="s">
        <v>59</v>
      </c>
      <c r="X414" s="13">
        <v>14</v>
      </c>
      <c r="Y414" s="13">
        <v>3</v>
      </c>
      <c r="Z414" s="13">
        <v>3</v>
      </c>
      <c r="AA414" s="13">
        <v>80</v>
      </c>
      <c r="AB414" s="13">
        <v>1</v>
      </c>
      <c r="AC414" s="13">
        <v>19</v>
      </c>
      <c r="AD414" s="13">
        <v>5</v>
      </c>
      <c r="AE414" s="13">
        <v>2</v>
      </c>
      <c r="AF414" s="14">
        <v>10</v>
      </c>
      <c r="AG414" s="13">
        <v>7</v>
      </c>
      <c r="AH414" s="13">
        <v>0</v>
      </c>
      <c r="AI414" s="13">
        <v>8</v>
      </c>
      <c r="AJ414" s="13" t="str">
        <f t="shared" si="6"/>
        <v>40-49</v>
      </c>
      <c r="AK414" s="13" t="str">
        <f>IF(tblCleanData[[#This Row],[MonthlyIncome]]&lt;5000, "Low Income", IF(tblCleanData[[#This Row],[MonthlyIncome]]&lt;15000, "Medium Income", "High Income"))</f>
        <v>Low Income</v>
      </c>
      <c r="AL414" s="13">
        <f>IF(tblCleanData[[#This Row],[Attrition]]="No", 0,1)</f>
        <v>0</v>
      </c>
      <c r="AM414" s="13">
        <f>IF(tblCleanData[[#This Row],[OverTime]] = "No", 0, 1)</f>
        <v>0</v>
      </c>
      <c r="AN414" s="13" t="str">
        <f>CHOOSE(tblCleanData[[#This Row],[Education]], "Below College","College","Bachelor","Master","Doctor")</f>
        <v>Bachelor</v>
      </c>
      <c r="AO414" s="13" t="str">
        <f>VLOOKUP(tblCleanData[[#This Row],[EmployeeNumber]],tblHelpers[],15,TRUE)</f>
        <v>Medium Risk</v>
      </c>
      <c r="AP414" s="13">
        <f>VLOOKUP(tblCleanData[[#This Row],[EmployeeNumber]],tblHelpers[],14,0)</f>
        <v>36</v>
      </c>
    </row>
    <row r="415" spans="1:42" x14ac:dyDescent="0.25">
      <c r="A415" s="13">
        <v>42</v>
      </c>
      <c r="B415" s="13" t="s">
        <v>59</v>
      </c>
      <c r="C415" s="13" t="s">
        <v>60</v>
      </c>
      <c r="D415" s="13">
        <v>1368</v>
      </c>
      <c r="E415" s="13" t="s">
        <v>62</v>
      </c>
      <c r="F415" s="13">
        <v>28</v>
      </c>
      <c r="G415" s="13">
        <v>4</v>
      </c>
      <c r="H415" s="13" t="s">
        <v>228</v>
      </c>
      <c r="I415" s="13">
        <v>1</v>
      </c>
      <c r="J415" s="13">
        <v>551</v>
      </c>
      <c r="K415" s="13">
        <v>4</v>
      </c>
      <c r="L415" s="13" t="s">
        <v>43</v>
      </c>
      <c r="M415" s="13">
        <v>88</v>
      </c>
      <c r="N415" s="13">
        <v>2</v>
      </c>
      <c r="O415" s="13">
        <v>2</v>
      </c>
      <c r="P415" s="13" t="s">
        <v>122</v>
      </c>
      <c r="Q415" s="13">
        <v>4</v>
      </c>
      <c r="R415" s="13" t="s">
        <v>66</v>
      </c>
      <c r="S415" s="20">
        <v>4523</v>
      </c>
      <c r="T415" s="13">
        <v>4386</v>
      </c>
      <c r="U415" s="13">
        <v>0</v>
      </c>
      <c r="V415" s="13" t="s">
        <v>52</v>
      </c>
      <c r="W415" s="13" t="s">
        <v>59</v>
      </c>
      <c r="X415" s="13">
        <v>11</v>
      </c>
      <c r="Y415" s="13">
        <v>3</v>
      </c>
      <c r="Z415" s="13">
        <v>4</v>
      </c>
      <c r="AA415" s="13">
        <v>80</v>
      </c>
      <c r="AB415" s="13">
        <v>3</v>
      </c>
      <c r="AC415" s="13">
        <v>7</v>
      </c>
      <c r="AD415" s="13">
        <v>4</v>
      </c>
      <c r="AE415" s="13">
        <v>4</v>
      </c>
      <c r="AF415" s="14">
        <v>6</v>
      </c>
      <c r="AG415" s="13">
        <v>5</v>
      </c>
      <c r="AH415" s="13">
        <v>0</v>
      </c>
      <c r="AI415" s="13">
        <v>4</v>
      </c>
      <c r="AJ415" s="13" t="str">
        <f t="shared" si="6"/>
        <v>40-49</v>
      </c>
      <c r="AK415" s="13" t="str">
        <f>IF(tblCleanData[[#This Row],[MonthlyIncome]]&lt;5000, "Low Income", IF(tblCleanData[[#This Row],[MonthlyIncome]]&lt;15000, "Medium Income", "High Income"))</f>
        <v>Low Income</v>
      </c>
      <c r="AL415" s="13">
        <f>IF(tblCleanData[[#This Row],[Attrition]]="No", 0,1)</f>
        <v>0</v>
      </c>
      <c r="AM415" s="13">
        <f>IF(tblCleanData[[#This Row],[OverTime]] = "No", 0, 1)</f>
        <v>0</v>
      </c>
      <c r="AN415" s="13" t="str">
        <f>CHOOSE(tblCleanData[[#This Row],[Education]], "Below College","College","Bachelor","Master","Doctor")</f>
        <v>Master</v>
      </c>
      <c r="AO415" s="13" t="str">
        <f>VLOOKUP(tblCleanData[[#This Row],[EmployeeNumber]],tblHelpers[],15,TRUE)</f>
        <v>Low Risk</v>
      </c>
      <c r="AP415" s="13">
        <f>VLOOKUP(tblCleanData[[#This Row],[EmployeeNumber]],tblHelpers[],14,0)</f>
        <v>29</v>
      </c>
    </row>
    <row r="416" spans="1:42" x14ac:dyDescent="0.25">
      <c r="A416" s="13">
        <v>24</v>
      </c>
      <c r="B416" s="13" t="s">
        <v>36</v>
      </c>
      <c r="C416" s="13" t="s">
        <v>37</v>
      </c>
      <c r="D416" s="13">
        <v>1448</v>
      </c>
      <c r="E416" s="13" t="s">
        <v>39</v>
      </c>
      <c r="F416" s="13">
        <v>1</v>
      </c>
      <c r="G416" s="13">
        <v>1</v>
      </c>
      <c r="H416" s="13" t="s">
        <v>228</v>
      </c>
      <c r="I416" s="13">
        <v>1</v>
      </c>
      <c r="J416" s="13">
        <v>554</v>
      </c>
      <c r="K416" s="13">
        <v>1</v>
      </c>
      <c r="L416" s="13" t="s">
        <v>43</v>
      </c>
      <c r="M416" s="13">
        <v>62</v>
      </c>
      <c r="N416" s="13">
        <v>3</v>
      </c>
      <c r="O416" s="13">
        <v>1</v>
      </c>
      <c r="P416" s="13" t="s">
        <v>182</v>
      </c>
      <c r="Q416" s="13">
        <v>2</v>
      </c>
      <c r="R416" s="13" t="s">
        <v>48</v>
      </c>
      <c r="S416" s="20">
        <v>3202</v>
      </c>
      <c r="T416" s="13">
        <v>21972</v>
      </c>
      <c r="U416" s="13">
        <v>1</v>
      </c>
      <c r="V416" s="13" t="s">
        <v>52</v>
      </c>
      <c r="W416" s="13" t="s">
        <v>36</v>
      </c>
      <c r="X416" s="13">
        <v>16</v>
      </c>
      <c r="Y416" s="13">
        <v>3</v>
      </c>
      <c r="Z416" s="13">
        <v>2</v>
      </c>
      <c r="AA416" s="13">
        <v>80</v>
      </c>
      <c r="AB416" s="13">
        <v>0</v>
      </c>
      <c r="AC416" s="13">
        <v>6</v>
      </c>
      <c r="AD416" s="13">
        <v>4</v>
      </c>
      <c r="AE416" s="13">
        <v>3</v>
      </c>
      <c r="AF416" s="14">
        <v>5</v>
      </c>
      <c r="AG416" s="13">
        <v>3</v>
      </c>
      <c r="AH416" s="13">
        <v>1</v>
      </c>
      <c r="AI416" s="13">
        <v>4</v>
      </c>
      <c r="AJ416" s="13" t="str">
        <f t="shared" si="6"/>
        <v>Under 30</v>
      </c>
      <c r="AK416" s="13" t="str">
        <f>IF(tblCleanData[[#This Row],[MonthlyIncome]]&lt;5000, "Low Income", IF(tblCleanData[[#This Row],[MonthlyIncome]]&lt;15000, "Medium Income", "High Income"))</f>
        <v>Low Income</v>
      </c>
      <c r="AL416" s="13">
        <f>IF(tblCleanData[[#This Row],[Attrition]]="No", 0,1)</f>
        <v>1</v>
      </c>
      <c r="AM416" s="13">
        <f>IF(tblCleanData[[#This Row],[OverTime]] = "No", 0, 1)</f>
        <v>1</v>
      </c>
      <c r="AN416" s="13" t="str">
        <f>CHOOSE(tblCleanData[[#This Row],[Education]], "Below College","College","Bachelor","Master","Doctor")</f>
        <v>Below College</v>
      </c>
      <c r="AO416" s="13" t="str">
        <f>VLOOKUP(tblCleanData[[#This Row],[EmployeeNumber]],tblHelpers[],15,TRUE)</f>
        <v>High Risk</v>
      </c>
      <c r="AP416" s="13">
        <f>VLOOKUP(tblCleanData[[#This Row],[EmployeeNumber]],tblHelpers[],14,0)</f>
        <v>94</v>
      </c>
    </row>
    <row r="417" spans="1:42" x14ac:dyDescent="0.25">
      <c r="A417" s="13">
        <v>34</v>
      </c>
      <c r="B417" s="13" t="s">
        <v>36</v>
      </c>
      <c r="C417" s="13" t="s">
        <v>60</v>
      </c>
      <c r="D417" s="13">
        <v>296</v>
      </c>
      <c r="E417" s="13" t="s">
        <v>39</v>
      </c>
      <c r="F417" s="13">
        <v>6</v>
      </c>
      <c r="G417" s="13">
        <v>2</v>
      </c>
      <c r="H417" s="13" t="s">
        <v>206</v>
      </c>
      <c r="I417" s="13">
        <v>1</v>
      </c>
      <c r="J417" s="13">
        <v>555</v>
      </c>
      <c r="K417" s="13">
        <v>4</v>
      </c>
      <c r="L417" s="13" t="s">
        <v>43</v>
      </c>
      <c r="M417" s="13">
        <v>33</v>
      </c>
      <c r="N417" s="13">
        <v>1</v>
      </c>
      <c r="O417" s="13">
        <v>1</v>
      </c>
      <c r="P417" s="13" t="s">
        <v>182</v>
      </c>
      <c r="Q417" s="13">
        <v>3</v>
      </c>
      <c r="R417" s="13" t="s">
        <v>109</v>
      </c>
      <c r="S417" s="20">
        <v>2351</v>
      </c>
      <c r="T417" s="13">
        <v>12253</v>
      </c>
      <c r="U417" s="13">
        <v>0</v>
      </c>
      <c r="V417" s="13" t="s">
        <v>52</v>
      </c>
      <c r="W417" s="13" t="s">
        <v>59</v>
      </c>
      <c r="X417" s="13">
        <v>16</v>
      </c>
      <c r="Y417" s="13">
        <v>3</v>
      </c>
      <c r="Z417" s="13">
        <v>4</v>
      </c>
      <c r="AA417" s="13">
        <v>80</v>
      </c>
      <c r="AB417" s="13">
        <v>1</v>
      </c>
      <c r="AC417" s="13">
        <v>3</v>
      </c>
      <c r="AD417" s="13">
        <v>3</v>
      </c>
      <c r="AE417" s="13">
        <v>2</v>
      </c>
      <c r="AF417" s="14">
        <v>2</v>
      </c>
      <c r="AG417" s="13">
        <v>2</v>
      </c>
      <c r="AH417" s="13">
        <v>1</v>
      </c>
      <c r="AI417" s="13">
        <v>0</v>
      </c>
      <c r="AJ417" s="13" t="str">
        <f t="shared" si="6"/>
        <v>30-39</v>
      </c>
      <c r="AK417" s="13" t="str">
        <f>IF(tblCleanData[[#This Row],[MonthlyIncome]]&lt;5000, "Low Income", IF(tblCleanData[[#This Row],[MonthlyIncome]]&lt;15000, "Medium Income", "High Income"))</f>
        <v>Low Income</v>
      </c>
      <c r="AL417" s="13">
        <f>IF(tblCleanData[[#This Row],[Attrition]]="No", 0,1)</f>
        <v>1</v>
      </c>
      <c r="AM417" s="13">
        <f>IF(tblCleanData[[#This Row],[OverTime]] = "No", 0, 1)</f>
        <v>0</v>
      </c>
      <c r="AN417" s="13" t="str">
        <f>CHOOSE(tblCleanData[[#This Row],[Education]], "Below College","College","Bachelor","Master","Doctor")</f>
        <v>College</v>
      </c>
      <c r="AO417" s="13" t="str">
        <f>VLOOKUP(tblCleanData[[#This Row],[EmployeeNumber]],tblHelpers[],15,TRUE)</f>
        <v>High Risk</v>
      </c>
      <c r="AP417" s="13">
        <f>VLOOKUP(tblCleanData[[#This Row],[EmployeeNumber]],tblHelpers[],14,0)</f>
        <v>63</v>
      </c>
    </row>
    <row r="418" spans="1:42" x14ac:dyDescent="0.25">
      <c r="A418" s="13">
        <v>38</v>
      </c>
      <c r="B418" s="13" t="s">
        <v>59</v>
      </c>
      <c r="C418" s="13" t="s">
        <v>60</v>
      </c>
      <c r="D418" s="13">
        <v>1490</v>
      </c>
      <c r="E418" s="13" t="s">
        <v>62</v>
      </c>
      <c r="F418" s="13">
        <v>2</v>
      </c>
      <c r="G418" s="13">
        <v>2</v>
      </c>
      <c r="H418" s="13" t="s">
        <v>42</v>
      </c>
      <c r="I418" s="13">
        <v>1</v>
      </c>
      <c r="J418" s="13">
        <v>556</v>
      </c>
      <c r="K418" s="13">
        <v>4</v>
      </c>
      <c r="L418" s="13" t="s">
        <v>63</v>
      </c>
      <c r="M418" s="13">
        <v>42</v>
      </c>
      <c r="N418" s="13">
        <v>3</v>
      </c>
      <c r="O418" s="13">
        <v>1</v>
      </c>
      <c r="P418" s="13" t="s">
        <v>76</v>
      </c>
      <c r="Q418" s="13">
        <v>4</v>
      </c>
      <c r="R418" s="13" t="s">
        <v>66</v>
      </c>
      <c r="S418" s="20">
        <v>1702</v>
      </c>
      <c r="T418" s="13">
        <v>12106</v>
      </c>
      <c r="U418" s="13">
        <v>1</v>
      </c>
      <c r="V418" s="13" t="s">
        <v>52</v>
      </c>
      <c r="W418" s="13" t="s">
        <v>36</v>
      </c>
      <c r="X418" s="13">
        <v>23</v>
      </c>
      <c r="Y418" s="13">
        <v>4</v>
      </c>
      <c r="Z418" s="13">
        <v>3</v>
      </c>
      <c r="AA418" s="13">
        <v>80</v>
      </c>
      <c r="AB418" s="13">
        <v>1</v>
      </c>
      <c r="AC418" s="13">
        <v>1</v>
      </c>
      <c r="AD418" s="13">
        <v>3</v>
      </c>
      <c r="AE418" s="13">
        <v>3</v>
      </c>
      <c r="AF418" s="14">
        <v>1</v>
      </c>
      <c r="AG418" s="13">
        <v>0</v>
      </c>
      <c r="AH418" s="13">
        <v>0</v>
      </c>
      <c r="AI418" s="13">
        <v>0</v>
      </c>
      <c r="AJ418" s="13" t="str">
        <f t="shared" si="6"/>
        <v>30-39</v>
      </c>
      <c r="AK418" s="13" t="str">
        <f>IF(tblCleanData[[#This Row],[MonthlyIncome]]&lt;5000, "Low Income", IF(tblCleanData[[#This Row],[MonthlyIncome]]&lt;15000, "Medium Income", "High Income"))</f>
        <v>Low Income</v>
      </c>
      <c r="AL418" s="13">
        <f>IF(tblCleanData[[#This Row],[Attrition]]="No", 0,1)</f>
        <v>0</v>
      </c>
      <c r="AM418" s="13">
        <f>IF(tblCleanData[[#This Row],[OverTime]] = "No", 0, 1)</f>
        <v>1</v>
      </c>
      <c r="AN418" s="13" t="str">
        <f>CHOOSE(tblCleanData[[#This Row],[Education]], "Below College","College","Bachelor","Master","Doctor")</f>
        <v>College</v>
      </c>
      <c r="AO418" s="13" t="str">
        <f>VLOOKUP(tblCleanData[[#This Row],[EmployeeNumber]],tblHelpers[],15,TRUE)</f>
        <v>High Risk</v>
      </c>
      <c r="AP418" s="13">
        <f>VLOOKUP(tblCleanData[[#This Row],[EmployeeNumber]],tblHelpers[],14,0)</f>
        <v>81</v>
      </c>
    </row>
    <row r="419" spans="1:42" x14ac:dyDescent="0.25">
      <c r="A419" s="13">
        <v>40</v>
      </c>
      <c r="B419" s="13" t="s">
        <v>59</v>
      </c>
      <c r="C419" s="13" t="s">
        <v>37</v>
      </c>
      <c r="D419" s="13">
        <v>1398</v>
      </c>
      <c r="E419" s="13" t="s">
        <v>39</v>
      </c>
      <c r="F419" s="13">
        <v>2</v>
      </c>
      <c r="G419" s="13">
        <v>4</v>
      </c>
      <c r="H419" s="13" t="s">
        <v>42</v>
      </c>
      <c r="I419" s="13">
        <v>1</v>
      </c>
      <c r="J419" s="13">
        <v>558</v>
      </c>
      <c r="K419" s="13">
        <v>3</v>
      </c>
      <c r="L419" s="13" t="s">
        <v>43</v>
      </c>
      <c r="M419" s="13">
        <v>79</v>
      </c>
      <c r="N419" s="13">
        <v>3</v>
      </c>
      <c r="O419" s="13">
        <v>5</v>
      </c>
      <c r="P419" s="13" t="s">
        <v>169</v>
      </c>
      <c r="Q419" s="13">
        <v>3</v>
      </c>
      <c r="R419" s="13" t="s">
        <v>66</v>
      </c>
      <c r="S419" s="20">
        <v>18041</v>
      </c>
      <c r="T419" s="13">
        <v>13022</v>
      </c>
      <c r="U419" s="13">
        <v>0</v>
      </c>
      <c r="V419" s="13" t="s">
        <v>52</v>
      </c>
      <c r="W419" s="13" t="s">
        <v>59</v>
      </c>
      <c r="X419" s="13">
        <v>14</v>
      </c>
      <c r="Y419" s="13">
        <v>3</v>
      </c>
      <c r="Z419" s="13">
        <v>4</v>
      </c>
      <c r="AA419" s="13">
        <v>80</v>
      </c>
      <c r="AB419" s="13">
        <v>0</v>
      </c>
      <c r="AC419" s="13">
        <v>21</v>
      </c>
      <c r="AD419" s="13">
        <v>2</v>
      </c>
      <c r="AE419" s="13">
        <v>3</v>
      </c>
      <c r="AF419" s="14">
        <v>20</v>
      </c>
      <c r="AG419" s="13">
        <v>15</v>
      </c>
      <c r="AH419" s="13">
        <v>1</v>
      </c>
      <c r="AI419" s="13">
        <v>12</v>
      </c>
      <c r="AJ419" s="13" t="str">
        <f t="shared" si="6"/>
        <v>40-49</v>
      </c>
      <c r="AK419" s="13" t="str">
        <f>IF(tblCleanData[[#This Row],[MonthlyIncome]]&lt;5000, "Low Income", IF(tblCleanData[[#This Row],[MonthlyIncome]]&lt;15000, "Medium Income", "High Income"))</f>
        <v>High Income</v>
      </c>
      <c r="AL419" s="13">
        <f>IF(tblCleanData[[#This Row],[Attrition]]="No", 0,1)</f>
        <v>0</v>
      </c>
      <c r="AM419" s="13">
        <f>IF(tblCleanData[[#This Row],[OverTime]] = "No", 0, 1)</f>
        <v>0</v>
      </c>
      <c r="AN419" s="13" t="str">
        <f>CHOOSE(tblCleanData[[#This Row],[Education]], "Below College","College","Bachelor","Master","Doctor")</f>
        <v>Master</v>
      </c>
      <c r="AO419" s="13" t="str">
        <f>VLOOKUP(tblCleanData[[#This Row],[EmployeeNumber]],tblHelpers[],15,TRUE)</f>
        <v>Low Risk</v>
      </c>
      <c r="AP419" s="13">
        <f>VLOOKUP(tblCleanData[[#This Row],[EmployeeNumber]],tblHelpers[],14,0)</f>
        <v>31</v>
      </c>
    </row>
    <row r="420" spans="1:42" x14ac:dyDescent="0.25">
      <c r="A420" s="13">
        <v>26</v>
      </c>
      <c r="B420" s="13" t="s">
        <v>59</v>
      </c>
      <c r="C420" s="13" t="s">
        <v>37</v>
      </c>
      <c r="D420" s="13">
        <v>1349</v>
      </c>
      <c r="E420" s="13" t="s">
        <v>62</v>
      </c>
      <c r="F420" s="13">
        <v>23</v>
      </c>
      <c r="G420" s="13">
        <v>3</v>
      </c>
      <c r="H420" s="13" t="s">
        <v>42</v>
      </c>
      <c r="I420" s="13">
        <v>1</v>
      </c>
      <c r="J420" s="13">
        <v>560</v>
      </c>
      <c r="K420" s="13">
        <v>1</v>
      </c>
      <c r="L420" s="13" t="s">
        <v>43</v>
      </c>
      <c r="M420" s="13">
        <v>90</v>
      </c>
      <c r="N420" s="13">
        <v>3</v>
      </c>
      <c r="O420" s="13">
        <v>1</v>
      </c>
      <c r="P420" s="13" t="s">
        <v>65</v>
      </c>
      <c r="Q420" s="13">
        <v>4</v>
      </c>
      <c r="R420" s="13" t="s">
        <v>109</v>
      </c>
      <c r="S420" s="20">
        <v>2886</v>
      </c>
      <c r="T420" s="13">
        <v>3032</v>
      </c>
      <c r="U420" s="13">
        <v>1</v>
      </c>
      <c r="V420" s="13" t="s">
        <v>52</v>
      </c>
      <c r="W420" s="13" t="s">
        <v>59</v>
      </c>
      <c r="X420" s="13">
        <v>22</v>
      </c>
      <c r="Y420" s="13">
        <v>4</v>
      </c>
      <c r="Z420" s="13">
        <v>2</v>
      </c>
      <c r="AA420" s="13">
        <v>80</v>
      </c>
      <c r="AB420" s="13">
        <v>2</v>
      </c>
      <c r="AC420" s="13">
        <v>3</v>
      </c>
      <c r="AD420" s="13">
        <v>3</v>
      </c>
      <c r="AE420" s="13">
        <v>1</v>
      </c>
      <c r="AF420" s="14">
        <v>3</v>
      </c>
      <c r="AG420" s="13">
        <v>2</v>
      </c>
      <c r="AH420" s="13">
        <v>0</v>
      </c>
      <c r="AI420" s="13">
        <v>2</v>
      </c>
      <c r="AJ420" s="13" t="str">
        <f t="shared" si="6"/>
        <v>Under 30</v>
      </c>
      <c r="AK420" s="13" t="str">
        <f>IF(tblCleanData[[#This Row],[MonthlyIncome]]&lt;5000, "Low Income", IF(tblCleanData[[#This Row],[MonthlyIncome]]&lt;15000, "Medium Income", "High Income"))</f>
        <v>Low Income</v>
      </c>
      <c r="AL420" s="13">
        <f>IF(tblCleanData[[#This Row],[Attrition]]="No", 0,1)</f>
        <v>0</v>
      </c>
      <c r="AM420" s="13">
        <f>IF(tblCleanData[[#This Row],[OverTime]] = "No", 0, 1)</f>
        <v>0</v>
      </c>
      <c r="AN420" s="13" t="str">
        <f>CHOOSE(tblCleanData[[#This Row],[Education]], "Below College","College","Bachelor","Master","Doctor")</f>
        <v>Bachelor</v>
      </c>
      <c r="AO420" s="13" t="str">
        <f>VLOOKUP(tblCleanData[[#This Row],[EmployeeNumber]],tblHelpers[],15,TRUE)</f>
        <v>High Risk</v>
      </c>
      <c r="AP420" s="13">
        <f>VLOOKUP(tblCleanData[[#This Row],[EmployeeNumber]],tblHelpers[],14,0)</f>
        <v>56</v>
      </c>
    </row>
    <row r="421" spans="1:42" x14ac:dyDescent="0.25">
      <c r="A421" s="13">
        <v>30</v>
      </c>
      <c r="B421" s="13" t="s">
        <v>59</v>
      </c>
      <c r="C421" s="13" t="s">
        <v>161</v>
      </c>
      <c r="D421" s="13">
        <v>1400</v>
      </c>
      <c r="E421" s="13" t="s">
        <v>62</v>
      </c>
      <c r="F421" s="13">
        <v>3</v>
      </c>
      <c r="G421" s="13">
        <v>3</v>
      </c>
      <c r="H421" s="13" t="s">
        <v>42</v>
      </c>
      <c r="I421" s="13">
        <v>1</v>
      </c>
      <c r="J421" s="13">
        <v>562</v>
      </c>
      <c r="K421" s="13">
        <v>3</v>
      </c>
      <c r="L421" s="13" t="s">
        <v>63</v>
      </c>
      <c r="M421" s="13">
        <v>53</v>
      </c>
      <c r="N421" s="13">
        <v>3</v>
      </c>
      <c r="O421" s="13">
        <v>1</v>
      </c>
      <c r="P421" s="13" t="s">
        <v>76</v>
      </c>
      <c r="Q421" s="13">
        <v>4</v>
      </c>
      <c r="R421" s="13" t="s">
        <v>66</v>
      </c>
      <c r="S421" s="20">
        <v>2097</v>
      </c>
      <c r="T421" s="13">
        <v>16734</v>
      </c>
      <c r="U421" s="13">
        <v>4</v>
      </c>
      <c r="V421" s="13" t="s">
        <v>52</v>
      </c>
      <c r="W421" s="13" t="s">
        <v>59</v>
      </c>
      <c r="X421" s="13">
        <v>15</v>
      </c>
      <c r="Y421" s="13">
        <v>3</v>
      </c>
      <c r="Z421" s="13">
        <v>3</v>
      </c>
      <c r="AA421" s="13">
        <v>80</v>
      </c>
      <c r="AB421" s="13">
        <v>1</v>
      </c>
      <c r="AC421" s="13">
        <v>9</v>
      </c>
      <c r="AD421" s="13">
        <v>3</v>
      </c>
      <c r="AE421" s="13">
        <v>1</v>
      </c>
      <c r="AF421" s="14">
        <v>5</v>
      </c>
      <c r="AG421" s="13">
        <v>3</v>
      </c>
      <c r="AH421" s="13">
        <v>1</v>
      </c>
      <c r="AI421" s="13">
        <v>4</v>
      </c>
      <c r="AJ421" s="13" t="str">
        <f t="shared" si="6"/>
        <v>30-39</v>
      </c>
      <c r="AK421" s="13" t="str">
        <f>IF(tblCleanData[[#This Row],[MonthlyIncome]]&lt;5000, "Low Income", IF(tblCleanData[[#This Row],[MonthlyIncome]]&lt;15000, "Medium Income", "High Income"))</f>
        <v>Low Income</v>
      </c>
      <c r="AL421" s="13">
        <f>IF(tblCleanData[[#This Row],[Attrition]]="No", 0,1)</f>
        <v>0</v>
      </c>
      <c r="AM421" s="13">
        <f>IF(tblCleanData[[#This Row],[OverTime]] = "No", 0, 1)</f>
        <v>0</v>
      </c>
      <c r="AN421" s="13" t="str">
        <f>CHOOSE(tblCleanData[[#This Row],[Education]], "Below College","College","Bachelor","Master","Doctor")</f>
        <v>Bachelor</v>
      </c>
      <c r="AO421" s="13" t="str">
        <f>VLOOKUP(tblCleanData[[#This Row],[EmployeeNumber]],tblHelpers[],15,TRUE)</f>
        <v>Medium Risk</v>
      </c>
      <c r="AP421" s="13">
        <f>VLOOKUP(tblCleanData[[#This Row],[EmployeeNumber]],tblHelpers[],14,0)</f>
        <v>46</v>
      </c>
    </row>
    <row r="422" spans="1:42" x14ac:dyDescent="0.25">
      <c r="A422" s="13">
        <v>29</v>
      </c>
      <c r="B422" s="13" t="s">
        <v>59</v>
      </c>
      <c r="C422" s="13" t="s">
        <v>37</v>
      </c>
      <c r="D422" s="13">
        <v>986</v>
      </c>
      <c r="E422" s="13" t="s">
        <v>62</v>
      </c>
      <c r="F422" s="13">
        <v>3</v>
      </c>
      <c r="G422" s="13">
        <v>4</v>
      </c>
      <c r="H422" s="13" t="s">
        <v>87</v>
      </c>
      <c r="I422" s="13">
        <v>1</v>
      </c>
      <c r="J422" s="13">
        <v>564</v>
      </c>
      <c r="K422" s="13">
        <v>2</v>
      </c>
      <c r="L422" s="13" t="s">
        <v>63</v>
      </c>
      <c r="M422" s="13">
        <v>93</v>
      </c>
      <c r="N422" s="13">
        <v>2</v>
      </c>
      <c r="O422" s="13">
        <v>3</v>
      </c>
      <c r="P422" s="13" t="s">
        <v>186</v>
      </c>
      <c r="Q422" s="13">
        <v>3</v>
      </c>
      <c r="R422" s="13" t="s">
        <v>66</v>
      </c>
      <c r="S422" s="20">
        <v>11935</v>
      </c>
      <c r="T422" s="13">
        <v>21526</v>
      </c>
      <c r="U422" s="13">
        <v>1</v>
      </c>
      <c r="V422" s="13" t="s">
        <v>52</v>
      </c>
      <c r="W422" s="13" t="s">
        <v>59</v>
      </c>
      <c r="X422" s="13">
        <v>18</v>
      </c>
      <c r="Y422" s="13">
        <v>3</v>
      </c>
      <c r="Z422" s="13">
        <v>3</v>
      </c>
      <c r="AA422" s="13">
        <v>80</v>
      </c>
      <c r="AB422" s="13">
        <v>0</v>
      </c>
      <c r="AC422" s="13">
        <v>10</v>
      </c>
      <c r="AD422" s="13">
        <v>2</v>
      </c>
      <c r="AE422" s="13">
        <v>3</v>
      </c>
      <c r="AF422" s="14">
        <v>10</v>
      </c>
      <c r="AG422" s="13">
        <v>2</v>
      </c>
      <c r="AH422" s="13">
        <v>0</v>
      </c>
      <c r="AI422" s="13">
        <v>7</v>
      </c>
      <c r="AJ422" s="13" t="str">
        <f t="shared" si="6"/>
        <v>Under 30</v>
      </c>
      <c r="AK422" s="13" t="str">
        <f>IF(tblCleanData[[#This Row],[MonthlyIncome]]&lt;5000, "Low Income", IF(tblCleanData[[#This Row],[MonthlyIncome]]&lt;15000, "Medium Income", "High Income"))</f>
        <v>Medium Income</v>
      </c>
      <c r="AL422" s="13">
        <f>IF(tblCleanData[[#This Row],[Attrition]]="No", 0,1)</f>
        <v>0</v>
      </c>
      <c r="AM422" s="13">
        <f>IF(tblCleanData[[#This Row],[OverTime]] = "No", 0, 1)</f>
        <v>0</v>
      </c>
      <c r="AN422" s="13" t="str">
        <f>CHOOSE(tblCleanData[[#This Row],[Education]], "Below College","College","Bachelor","Master","Doctor")</f>
        <v>Master</v>
      </c>
      <c r="AO422" s="13" t="str">
        <f>VLOOKUP(tblCleanData[[#This Row],[EmployeeNumber]],tblHelpers[],15,TRUE)</f>
        <v>High Risk</v>
      </c>
      <c r="AP422" s="13">
        <f>VLOOKUP(tblCleanData[[#This Row],[EmployeeNumber]],tblHelpers[],14,0)</f>
        <v>56</v>
      </c>
    </row>
    <row r="423" spans="1:42" x14ac:dyDescent="0.25">
      <c r="A423" s="13">
        <v>29</v>
      </c>
      <c r="B423" s="13" t="s">
        <v>36</v>
      </c>
      <c r="C423" s="13" t="s">
        <v>37</v>
      </c>
      <c r="D423" s="13">
        <v>408</v>
      </c>
      <c r="E423" s="13" t="s">
        <v>62</v>
      </c>
      <c r="F423" s="13">
        <v>25</v>
      </c>
      <c r="G423" s="13">
        <v>5</v>
      </c>
      <c r="H423" s="13" t="s">
        <v>228</v>
      </c>
      <c r="I423" s="13">
        <v>1</v>
      </c>
      <c r="J423" s="13">
        <v>565</v>
      </c>
      <c r="K423" s="13">
        <v>3</v>
      </c>
      <c r="L423" s="13" t="s">
        <v>43</v>
      </c>
      <c r="M423" s="13">
        <v>71</v>
      </c>
      <c r="N423" s="13">
        <v>2</v>
      </c>
      <c r="O423" s="13">
        <v>1</v>
      </c>
      <c r="P423" s="13" t="s">
        <v>65</v>
      </c>
      <c r="Q423" s="13">
        <v>2</v>
      </c>
      <c r="R423" s="13" t="s">
        <v>66</v>
      </c>
      <c r="S423" s="20">
        <v>2546</v>
      </c>
      <c r="T423" s="13">
        <v>18300</v>
      </c>
      <c r="U423" s="13">
        <v>5</v>
      </c>
      <c r="V423" s="13" t="s">
        <v>52</v>
      </c>
      <c r="W423" s="13" t="s">
        <v>59</v>
      </c>
      <c r="X423" s="13">
        <v>16</v>
      </c>
      <c r="Y423" s="13">
        <v>3</v>
      </c>
      <c r="Z423" s="13">
        <v>2</v>
      </c>
      <c r="AA423" s="13">
        <v>80</v>
      </c>
      <c r="AB423" s="13">
        <v>0</v>
      </c>
      <c r="AC423" s="13">
        <v>6</v>
      </c>
      <c r="AD423" s="13">
        <v>2</v>
      </c>
      <c r="AE423" s="13">
        <v>4</v>
      </c>
      <c r="AF423" s="14">
        <v>2</v>
      </c>
      <c r="AG423" s="13">
        <v>2</v>
      </c>
      <c r="AH423" s="13">
        <v>1</v>
      </c>
      <c r="AI423" s="13">
        <v>1</v>
      </c>
      <c r="AJ423" s="13" t="str">
        <f t="shared" si="6"/>
        <v>Under 30</v>
      </c>
      <c r="AK423" s="13" t="str">
        <f>IF(tblCleanData[[#This Row],[MonthlyIncome]]&lt;5000, "Low Income", IF(tblCleanData[[#This Row],[MonthlyIncome]]&lt;15000, "Medium Income", "High Income"))</f>
        <v>Low Income</v>
      </c>
      <c r="AL423" s="13">
        <f>IF(tblCleanData[[#This Row],[Attrition]]="No", 0,1)</f>
        <v>1</v>
      </c>
      <c r="AM423" s="13">
        <f>IF(tblCleanData[[#This Row],[OverTime]] = "No", 0, 1)</f>
        <v>0</v>
      </c>
      <c r="AN423" s="13" t="str">
        <f>CHOOSE(tblCleanData[[#This Row],[Education]], "Below College","College","Bachelor","Master","Doctor")</f>
        <v>Doctor</v>
      </c>
      <c r="AO423" s="13" t="str">
        <f>VLOOKUP(tblCleanData[[#This Row],[EmployeeNumber]],tblHelpers[],15,TRUE)</f>
        <v>High Risk</v>
      </c>
      <c r="AP423" s="13">
        <f>VLOOKUP(tblCleanData[[#This Row],[EmployeeNumber]],tblHelpers[],14,0)</f>
        <v>79</v>
      </c>
    </row>
    <row r="424" spans="1:42" x14ac:dyDescent="0.25">
      <c r="A424" s="13">
        <v>19</v>
      </c>
      <c r="B424" s="13" t="s">
        <v>36</v>
      </c>
      <c r="C424" s="13" t="s">
        <v>37</v>
      </c>
      <c r="D424" s="13">
        <v>489</v>
      </c>
      <c r="E424" s="13" t="s">
        <v>397</v>
      </c>
      <c r="F424" s="13">
        <v>2</v>
      </c>
      <c r="G424" s="13">
        <v>2</v>
      </c>
      <c r="H424" s="13" t="s">
        <v>228</v>
      </c>
      <c r="I424" s="13">
        <v>1</v>
      </c>
      <c r="J424" s="13">
        <v>566</v>
      </c>
      <c r="K424" s="13">
        <v>1</v>
      </c>
      <c r="L424" s="13" t="s">
        <v>63</v>
      </c>
      <c r="M424" s="13">
        <v>52</v>
      </c>
      <c r="N424" s="13">
        <v>2</v>
      </c>
      <c r="O424" s="13">
        <v>1</v>
      </c>
      <c r="P424" s="13" t="s">
        <v>397</v>
      </c>
      <c r="Q424" s="13">
        <v>4</v>
      </c>
      <c r="R424" s="13" t="s">
        <v>48</v>
      </c>
      <c r="S424" s="20">
        <v>2564</v>
      </c>
      <c r="T424" s="13">
        <v>18437</v>
      </c>
      <c r="U424" s="13">
        <v>1</v>
      </c>
      <c r="V424" s="13" t="s">
        <v>52</v>
      </c>
      <c r="W424" s="13" t="s">
        <v>59</v>
      </c>
      <c r="X424" s="13">
        <v>12</v>
      </c>
      <c r="Y424" s="13">
        <v>3</v>
      </c>
      <c r="Z424" s="13">
        <v>3</v>
      </c>
      <c r="AA424" s="13">
        <v>80</v>
      </c>
      <c r="AB424" s="13">
        <v>0</v>
      </c>
      <c r="AC424" s="13">
        <v>1</v>
      </c>
      <c r="AD424" s="13">
        <v>3</v>
      </c>
      <c r="AE424" s="13">
        <v>4</v>
      </c>
      <c r="AF424" s="14">
        <v>1</v>
      </c>
      <c r="AG424" s="13">
        <v>0</v>
      </c>
      <c r="AH424" s="13">
        <v>0</v>
      </c>
      <c r="AI424" s="13">
        <v>0</v>
      </c>
      <c r="AJ424" s="13" t="str">
        <f t="shared" si="6"/>
        <v>Under 30</v>
      </c>
      <c r="AK424" s="13" t="str">
        <f>IF(tblCleanData[[#This Row],[MonthlyIncome]]&lt;5000, "Low Income", IF(tblCleanData[[#This Row],[MonthlyIncome]]&lt;15000, "Medium Income", "High Income"))</f>
        <v>Low Income</v>
      </c>
      <c r="AL424" s="13">
        <f>IF(tblCleanData[[#This Row],[Attrition]]="No", 0,1)</f>
        <v>1</v>
      </c>
      <c r="AM424" s="13">
        <f>IF(tblCleanData[[#This Row],[OverTime]] = "No", 0, 1)</f>
        <v>0</v>
      </c>
      <c r="AN424" s="13" t="str">
        <f>CHOOSE(tblCleanData[[#This Row],[Education]], "Below College","College","Bachelor","Master","Doctor")</f>
        <v>College</v>
      </c>
      <c r="AO424" s="13" t="str">
        <f>VLOOKUP(tblCleanData[[#This Row],[EmployeeNumber]],tblHelpers[],15,TRUE)</f>
        <v>High Risk</v>
      </c>
      <c r="AP424" s="13">
        <f>VLOOKUP(tblCleanData[[#This Row],[EmployeeNumber]],tblHelpers[],14,0)</f>
        <v>66</v>
      </c>
    </row>
    <row r="425" spans="1:42" x14ac:dyDescent="0.25">
      <c r="A425" s="13">
        <v>30</v>
      </c>
      <c r="B425" s="13" t="s">
        <v>59</v>
      </c>
      <c r="C425" s="13" t="s">
        <v>161</v>
      </c>
      <c r="D425" s="13">
        <v>1398</v>
      </c>
      <c r="E425" s="13" t="s">
        <v>39</v>
      </c>
      <c r="F425" s="13">
        <v>22</v>
      </c>
      <c r="G425" s="13">
        <v>4</v>
      </c>
      <c r="H425" s="13" t="s">
        <v>74</v>
      </c>
      <c r="I425" s="13">
        <v>1</v>
      </c>
      <c r="J425" s="13">
        <v>567</v>
      </c>
      <c r="K425" s="13">
        <v>3</v>
      </c>
      <c r="L425" s="13" t="s">
        <v>43</v>
      </c>
      <c r="M425" s="13">
        <v>69</v>
      </c>
      <c r="N425" s="13">
        <v>3</v>
      </c>
      <c r="O425" s="13">
        <v>3</v>
      </c>
      <c r="P425" s="13" t="s">
        <v>46</v>
      </c>
      <c r="Q425" s="13">
        <v>1</v>
      </c>
      <c r="R425" s="13" t="s">
        <v>66</v>
      </c>
      <c r="S425" s="20">
        <v>8412</v>
      </c>
      <c r="T425" s="13">
        <v>2890</v>
      </c>
      <c r="U425" s="13">
        <v>0</v>
      </c>
      <c r="V425" s="13" t="s">
        <v>52</v>
      </c>
      <c r="W425" s="13" t="s">
        <v>59</v>
      </c>
      <c r="X425" s="13">
        <v>11</v>
      </c>
      <c r="Y425" s="13">
        <v>3</v>
      </c>
      <c r="Z425" s="13">
        <v>3</v>
      </c>
      <c r="AA425" s="13">
        <v>80</v>
      </c>
      <c r="AB425" s="13">
        <v>0</v>
      </c>
      <c r="AC425" s="13">
        <v>10</v>
      </c>
      <c r="AD425" s="13">
        <v>3</v>
      </c>
      <c r="AE425" s="13">
        <v>3</v>
      </c>
      <c r="AF425" s="14">
        <v>9</v>
      </c>
      <c r="AG425" s="13">
        <v>8</v>
      </c>
      <c r="AH425" s="13">
        <v>7</v>
      </c>
      <c r="AI425" s="13">
        <v>8</v>
      </c>
      <c r="AJ425" s="13" t="str">
        <f t="shared" si="6"/>
        <v>30-39</v>
      </c>
      <c r="AK425" s="13" t="str">
        <f>IF(tblCleanData[[#This Row],[MonthlyIncome]]&lt;5000, "Low Income", IF(tblCleanData[[#This Row],[MonthlyIncome]]&lt;15000, "Medium Income", "High Income"))</f>
        <v>Medium Income</v>
      </c>
      <c r="AL425" s="13">
        <f>IF(tblCleanData[[#This Row],[Attrition]]="No", 0,1)</f>
        <v>0</v>
      </c>
      <c r="AM425" s="13">
        <f>IF(tblCleanData[[#This Row],[OverTime]] = "No", 0, 1)</f>
        <v>0</v>
      </c>
      <c r="AN425" s="13" t="str">
        <f>CHOOSE(tblCleanData[[#This Row],[Education]], "Below College","College","Bachelor","Master","Doctor")</f>
        <v>Master</v>
      </c>
      <c r="AO425" s="13" t="str">
        <f>VLOOKUP(tblCleanData[[#This Row],[EmployeeNumber]],tblHelpers[],15,TRUE)</f>
        <v>High Risk</v>
      </c>
      <c r="AP425" s="13">
        <f>VLOOKUP(tblCleanData[[#This Row],[EmployeeNumber]],tblHelpers[],14,0)</f>
        <v>58</v>
      </c>
    </row>
    <row r="426" spans="1:42" x14ac:dyDescent="0.25">
      <c r="A426" s="13">
        <v>57</v>
      </c>
      <c r="B426" s="13" t="s">
        <v>59</v>
      </c>
      <c r="C426" s="13" t="s">
        <v>37</v>
      </c>
      <c r="D426" s="13">
        <v>210</v>
      </c>
      <c r="E426" s="13" t="s">
        <v>39</v>
      </c>
      <c r="F426" s="13">
        <v>29</v>
      </c>
      <c r="G426" s="13">
        <v>3</v>
      </c>
      <c r="H426" s="13" t="s">
        <v>206</v>
      </c>
      <c r="I426" s="13">
        <v>1</v>
      </c>
      <c r="J426" s="13">
        <v>568</v>
      </c>
      <c r="K426" s="13">
        <v>1</v>
      </c>
      <c r="L426" s="13" t="s">
        <v>63</v>
      </c>
      <c r="M426" s="13">
        <v>56</v>
      </c>
      <c r="N426" s="13">
        <v>2</v>
      </c>
      <c r="O426" s="13">
        <v>4</v>
      </c>
      <c r="P426" s="13" t="s">
        <v>169</v>
      </c>
      <c r="Q426" s="13">
        <v>4</v>
      </c>
      <c r="R426" s="13" t="s">
        <v>109</v>
      </c>
      <c r="S426" s="20">
        <v>14118</v>
      </c>
      <c r="T426" s="13">
        <v>22102</v>
      </c>
      <c r="U426" s="13">
        <v>3</v>
      </c>
      <c r="V426" s="13" t="s">
        <v>52</v>
      </c>
      <c r="W426" s="13" t="s">
        <v>59</v>
      </c>
      <c r="X426" s="13">
        <v>12</v>
      </c>
      <c r="Y426" s="13">
        <v>3</v>
      </c>
      <c r="Z426" s="13">
        <v>3</v>
      </c>
      <c r="AA426" s="13">
        <v>80</v>
      </c>
      <c r="AB426" s="13">
        <v>1</v>
      </c>
      <c r="AC426" s="13">
        <v>32</v>
      </c>
      <c r="AD426" s="13">
        <v>3</v>
      </c>
      <c r="AE426" s="13">
        <v>2</v>
      </c>
      <c r="AF426" s="14">
        <v>1</v>
      </c>
      <c r="AG426" s="13">
        <v>0</v>
      </c>
      <c r="AH426" s="13">
        <v>0</v>
      </c>
      <c r="AI426" s="13">
        <v>0</v>
      </c>
      <c r="AJ426" s="13" t="str">
        <f t="shared" si="6"/>
        <v>50+</v>
      </c>
      <c r="AK426" s="13" t="str">
        <f>IF(tblCleanData[[#This Row],[MonthlyIncome]]&lt;5000, "Low Income", IF(tblCleanData[[#This Row],[MonthlyIncome]]&lt;15000, "Medium Income", "High Income"))</f>
        <v>Medium Income</v>
      </c>
      <c r="AL426" s="13">
        <f>IF(tblCleanData[[#This Row],[Attrition]]="No", 0,1)</f>
        <v>0</v>
      </c>
      <c r="AM426" s="13">
        <f>IF(tblCleanData[[#This Row],[OverTime]] = "No", 0, 1)</f>
        <v>0</v>
      </c>
      <c r="AN426" s="13" t="str">
        <f>CHOOSE(tblCleanData[[#This Row],[Education]], "Below College","College","Bachelor","Master","Doctor")</f>
        <v>Bachelor</v>
      </c>
      <c r="AO426" s="13" t="str">
        <f>VLOOKUP(tblCleanData[[#This Row],[EmployeeNumber]],tblHelpers[],15,TRUE)</f>
        <v>Medium Risk</v>
      </c>
      <c r="AP426" s="13">
        <f>VLOOKUP(tblCleanData[[#This Row],[EmployeeNumber]],tblHelpers[],14,0)</f>
        <v>51</v>
      </c>
    </row>
    <row r="427" spans="1:42" x14ac:dyDescent="0.25">
      <c r="A427" s="13">
        <v>50</v>
      </c>
      <c r="B427" s="13" t="s">
        <v>59</v>
      </c>
      <c r="C427" s="13" t="s">
        <v>37</v>
      </c>
      <c r="D427" s="13">
        <v>1099</v>
      </c>
      <c r="E427" s="13" t="s">
        <v>62</v>
      </c>
      <c r="F427" s="13">
        <v>29</v>
      </c>
      <c r="G427" s="13">
        <v>4</v>
      </c>
      <c r="H427" s="13" t="s">
        <v>42</v>
      </c>
      <c r="I427" s="13">
        <v>1</v>
      </c>
      <c r="J427" s="13">
        <v>569</v>
      </c>
      <c r="K427" s="13">
        <v>2</v>
      </c>
      <c r="L427" s="13" t="s">
        <v>63</v>
      </c>
      <c r="M427" s="13">
        <v>88</v>
      </c>
      <c r="N427" s="13">
        <v>2</v>
      </c>
      <c r="O427" s="13">
        <v>4</v>
      </c>
      <c r="P427" s="13" t="s">
        <v>169</v>
      </c>
      <c r="Q427" s="13">
        <v>3</v>
      </c>
      <c r="R427" s="13" t="s">
        <v>66</v>
      </c>
      <c r="S427" s="20">
        <v>17046</v>
      </c>
      <c r="T427" s="13">
        <v>9314</v>
      </c>
      <c r="U427" s="13">
        <v>0</v>
      </c>
      <c r="V427" s="13" t="s">
        <v>52</v>
      </c>
      <c r="W427" s="13" t="s">
        <v>59</v>
      </c>
      <c r="X427" s="13">
        <v>15</v>
      </c>
      <c r="Y427" s="13">
        <v>3</v>
      </c>
      <c r="Z427" s="13">
        <v>2</v>
      </c>
      <c r="AA427" s="13">
        <v>80</v>
      </c>
      <c r="AB427" s="13">
        <v>1</v>
      </c>
      <c r="AC427" s="13">
        <v>28</v>
      </c>
      <c r="AD427" s="13">
        <v>2</v>
      </c>
      <c r="AE427" s="13">
        <v>3</v>
      </c>
      <c r="AF427" s="14">
        <v>27</v>
      </c>
      <c r="AG427" s="13">
        <v>10</v>
      </c>
      <c r="AH427" s="13">
        <v>15</v>
      </c>
      <c r="AI427" s="13">
        <v>7</v>
      </c>
      <c r="AJ427" s="13" t="str">
        <f t="shared" si="6"/>
        <v>50+</v>
      </c>
      <c r="AK427" s="13" t="str">
        <f>IF(tblCleanData[[#This Row],[MonthlyIncome]]&lt;5000, "Low Income", IF(tblCleanData[[#This Row],[MonthlyIncome]]&lt;15000, "Medium Income", "High Income"))</f>
        <v>High Income</v>
      </c>
      <c r="AL427" s="13">
        <f>IF(tblCleanData[[#This Row],[Attrition]]="No", 0,1)</f>
        <v>0</v>
      </c>
      <c r="AM427" s="13">
        <f>IF(tblCleanData[[#This Row],[OverTime]] = "No", 0, 1)</f>
        <v>0</v>
      </c>
      <c r="AN427" s="13" t="str">
        <f>CHOOSE(tblCleanData[[#This Row],[Education]], "Below College","College","Bachelor","Master","Doctor")</f>
        <v>Master</v>
      </c>
      <c r="AO427" s="13" t="str">
        <f>VLOOKUP(tblCleanData[[#This Row],[EmployeeNumber]],tblHelpers[],15,TRUE)</f>
        <v>Medium Risk</v>
      </c>
      <c r="AP427" s="13">
        <f>VLOOKUP(tblCleanData[[#This Row],[EmployeeNumber]],tblHelpers[],14,0)</f>
        <v>36</v>
      </c>
    </row>
    <row r="428" spans="1:42" x14ac:dyDescent="0.25">
      <c r="A428" s="13">
        <v>30</v>
      </c>
      <c r="B428" s="13" t="s">
        <v>59</v>
      </c>
      <c r="C428" s="13" t="s">
        <v>161</v>
      </c>
      <c r="D428" s="13">
        <v>1116</v>
      </c>
      <c r="E428" s="13" t="s">
        <v>62</v>
      </c>
      <c r="F428" s="13">
        <v>2</v>
      </c>
      <c r="G428" s="13">
        <v>3</v>
      </c>
      <c r="H428" s="13" t="s">
        <v>87</v>
      </c>
      <c r="I428" s="13">
        <v>1</v>
      </c>
      <c r="J428" s="13">
        <v>571</v>
      </c>
      <c r="K428" s="13">
        <v>3</v>
      </c>
      <c r="L428" s="13" t="s">
        <v>43</v>
      </c>
      <c r="M428" s="13">
        <v>49</v>
      </c>
      <c r="N428" s="13">
        <v>3</v>
      </c>
      <c r="O428" s="13">
        <v>1</v>
      </c>
      <c r="P428" s="13" t="s">
        <v>76</v>
      </c>
      <c r="Q428" s="13">
        <v>4</v>
      </c>
      <c r="R428" s="13" t="s">
        <v>48</v>
      </c>
      <c r="S428" s="20">
        <v>2564</v>
      </c>
      <c r="T428" s="13">
        <v>7181</v>
      </c>
      <c r="U428" s="13">
        <v>0</v>
      </c>
      <c r="V428" s="13" t="s">
        <v>52</v>
      </c>
      <c r="W428" s="13" t="s">
        <v>59</v>
      </c>
      <c r="X428" s="13">
        <v>14</v>
      </c>
      <c r="Y428" s="13">
        <v>3</v>
      </c>
      <c r="Z428" s="13">
        <v>3</v>
      </c>
      <c r="AA428" s="13">
        <v>80</v>
      </c>
      <c r="AB428" s="13">
        <v>0</v>
      </c>
      <c r="AC428" s="13">
        <v>12</v>
      </c>
      <c r="AD428" s="13">
        <v>2</v>
      </c>
      <c r="AE428" s="13">
        <v>2</v>
      </c>
      <c r="AF428" s="14">
        <v>11</v>
      </c>
      <c r="AG428" s="13">
        <v>7</v>
      </c>
      <c r="AH428" s="13">
        <v>6</v>
      </c>
      <c r="AI428" s="13">
        <v>7</v>
      </c>
      <c r="AJ428" s="13" t="str">
        <f t="shared" si="6"/>
        <v>30-39</v>
      </c>
      <c r="AK428" s="13" t="str">
        <f>IF(tblCleanData[[#This Row],[MonthlyIncome]]&lt;5000, "Low Income", IF(tblCleanData[[#This Row],[MonthlyIncome]]&lt;15000, "Medium Income", "High Income"))</f>
        <v>Low Income</v>
      </c>
      <c r="AL428" s="13">
        <f>IF(tblCleanData[[#This Row],[Attrition]]="No", 0,1)</f>
        <v>0</v>
      </c>
      <c r="AM428" s="13">
        <f>IF(tblCleanData[[#This Row],[OverTime]] = "No", 0, 1)</f>
        <v>0</v>
      </c>
      <c r="AN428" s="13" t="str">
        <f>CHOOSE(tblCleanData[[#This Row],[Education]], "Below College","College","Bachelor","Master","Doctor")</f>
        <v>Bachelor</v>
      </c>
      <c r="AO428" s="13" t="str">
        <f>VLOOKUP(tblCleanData[[#This Row],[EmployeeNumber]],tblHelpers[],15,TRUE)</f>
        <v>Low Risk</v>
      </c>
      <c r="AP428" s="13">
        <f>VLOOKUP(tblCleanData[[#This Row],[EmployeeNumber]],tblHelpers[],14,0)</f>
        <v>34</v>
      </c>
    </row>
    <row r="429" spans="1:42" x14ac:dyDescent="0.25">
      <c r="A429" s="13">
        <v>60</v>
      </c>
      <c r="B429" s="13" t="s">
        <v>59</v>
      </c>
      <c r="C429" s="13" t="s">
        <v>60</v>
      </c>
      <c r="D429" s="13">
        <v>1499</v>
      </c>
      <c r="E429" s="13" t="s">
        <v>39</v>
      </c>
      <c r="F429" s="13">
        <v>28</v>
      </c>
      <c r="G429" s="13">
        <v>3</v>
      </c>
      <c r="H429" s="13" t="s">
        <v>206</v>
      </c>
      <c r="I429" s="13">
        <v>1</v>
      </c>
      <c r="J429" s="13">
        <v>573</v>
      </c>
      <c r="K429" s="13">
        <v>3</v>
      </c>
      <c r="L429" s="13" t="s">
        <v>43</v>
      </c>
      <c r="M429" s="13">
        <v>80</v>
      </c>
      <c r="N429" s="13">
        <v>2</v>
      </c>
      <c r="O429" s="13">
        <v>3</v>
      </c>
      <c r="P429" s="13" t="s">
        <v>46</v>
      </c>
      <c r="Q429" s="13">
        <v>1</v>
      </c>
      <c r="R429" s="13" t="s">
        <v>66</v>
      </c>
      <c r="S429" s="20">
        <v>10266</v>
      </c>
      <c r="T429" s="13">
        <v>2845</v>
      </c>
      <c r="U429" s="13">
        <v>4</v>
      </c>
      <c r="V429" s="13" t="s">
        <v>52</v>
      </c>
      <c r="W429" s="13" t="s">
        <v>59</v>
      </c>
      <c r="X429" s="13">
        <v>19</v>
      </c>
      <c r="Y429" s="13">
        <v>3</v>
      </c>
      <c r="Z429" s="13">
        <v>4</v>
      </c>
      <c r="AA429" s="13">
        <v>80</v>
      </c>
      <c r="AB429" s="13">
        <v>0</v>
      </c>
      <c r="AC429" s="13">
        <v>22</v>
      </c>
      <c r="AD429" s="13">
        <v>5</v>
      </c>
      <c r="AE429" s="13">
        <v>4</v>
      </c>
      <c r="AF429" s="14">
        <v>18</v>
      </c>
      <c r="AG429" s="13">
        <v>13</v>
      </c>
      <c r="AH429" s="13">
        <v>13</v>
      </c>
      <c r="AI429" s="13">
        <v>11</v>
      </c>
      <c r="AJ429" s="13" t="str">
        <f t="shared" si="6"/>
        <v>50+</v>
      </c>
      <c r="AK429" s="13" t="str">
        <f>IF(tblCleanData[[#This Row],[MonthlyIncome]]&lt;5000, "Low Income", IF(tblCleanData[[#This Row],[MonthlyIncome]]&lt;15000, "Medium Income", "High Income"))</f>
        <v>Medium Income</v>
      </c>
      <c r="AL429" s="13">
        <f>IF(tblCleanData[[#This Row],[Attrition]]="No", 0,1)</f>
        <v>0</v>
      </c>
      <c r="AM429" s="13">
        <f>IF(tblCleanData[[#This Row],[OverTime]] = "No", 0, 1)</f>
        <v>0</v>
      </c>
      <c r="AN429" s="13" t="str">
        <f>CHOOSE(tblCleanData[[#This Row],[Education]], "Below College","College","Bachelor","Master","Doctor")</f>
        <v>Bachelor</v>
      </c>
      <c r="AO429" s="13" t="str">
        <f>VLOOKUP(tblCleanData[[#This Row],[EmployeeNumber]],tblHelpers[],15,TRUE)</f>
        <v>Medium Risk</v>
      </c>
      <c r="AP429" s="13">
        <f>VLOOKUP(tblCleanData[[#This Row],[EmployeeNumber]],tblHelpers[],14,0)</f>
        <v>48</v>
      </c>
    </row>
    <row r="430" spans="1:42" x14ac:dyDescent="0.25">
      <c r="A430" s="13">
        <v>47</v>
      </c>
      <c r="B430" s="13" t="s">
        <v>59</v>
      </c>
      <c r="C430" s="13" t="s">
        <v>37</v>
      </c>
      <c r="D430" s="13">
        <v>983</v>
      </c>
      <c r="E430" s="13" t="s">
        <v>62</v>
      </c>
      <c r="F430" s="13">
        <v>2</v>
      </c>
      <c r="G430" s="13">
        <v>2</v>
      </c>
      <c r="H430" s="13" t="s">
        <v>87</v>
      </c>
      <c r="I430" s="13">
        <v>1</v>
      </c>
      <c r="J430" s="13">
        <v>574</v>
      </c>
      <c r="K430" s="13">
        <v>1</v>
      </c>
      <c r="L430" s="13" t="s">
        <v>43</v>
      </c>
      <c r="M430" s="13">
        <v>65</v>
      </c>
      <c r="N430" s="13">
        <v>3</v>
      </c>
      <c r="O430" s="13">
        <v>2</v>
      </c>
      <c r="P430" s="13" t="s">
        <v>116</v>
      </c>
      <c r="Q430" s="13">
        <v>4</v>
      </c>
      <c r="R430" s="13" t="s">
        <v>109</v>
      </c>
      <c r="S430" s="20">
        <v>5070</v>
      </c>
      <c r="T430" s="13">
        <v>7389</v>
      </c>
      <c r="U430" s="13">
        <v>5</v>
      </c>
      <c r="V430" s="13" t="s">
        <v>52</v>
      </c>
      <c r="W430" s="13" t="s">
        <v>59</v>
      </c>
      <c r="X430" s="13">
        <v>13</v>
      </c>
      <c r="Y430" s="13">
        <v>3</v>
      </c>
      <c r="Z430" s="13">
        <v>3</v>
      </c>
      <c r="AA430" s="13">
        <v>80</v>
      </c>
      <c r="AB430" s="13">
        <v>3</v>
      </c>
      <c r="AC430" s="13">
        <v>20</v>
      </c>
      <c r="AD430" s="13">
        <v>2</v>
      </c>
      <c r="AE430" s="13">
        <v>3</v>
      </c>
      <c r="AF430" s="14">
        <v>5</v>
      </c>
      <c r="AG430" s="13">
        <v>0</v>
      </c>
      <c r="AH430" s="13">
        <v>0</v>
      </c>
      <c r="AI430" s="13">
        <v>4</v>
      </c>
      <c r="AJ430" s="13" t="str">
        <f t="shared" si="6"/>
        <v>40-49</v>
      </c>
      <c r="AK430" s="13" t="str">
        <f>IF(tblCleanData[[#This Row],[MonthlyIncome]]&lt;5000, "Low Income", IF(tblCleanData[[#This Row],[MonthlyIncome]]&lt;15000, "Medium Income", "High Income"))</f>
        <v>Medium Income</v>
      </c>
      <c r="AL430" s="13">
        <f>IF(tblCleanData[[#This Row],[Attrition]]="No", 0,1)</f>
        <v>0</v>
      </c>
      <c r="AM430" s="13">
        <f>IF(tblCleanData[[#This Row],[OverTime]] = "No", 0, 1)</f>
        <v>0</v>
      </c>
      <c r="AN430" s="13" t="str">
        <f>CHOOSE(tblCleanData[[#This Row],[Education]], "Below College","College","Bachelor","Master","Doctor")</f>
        <v>College</v>
      </c>
      <c r="AO430" s="13" t="str">
        <f>VLOOKUP(tblCleanData[[#This Row],[EmployeeNumber]],tblHelpers[],15,TRUE)</f>
        <v>Medium Risk</v>
      </c>
      <c r="AP430" s="13">
        <f>VLOOKUP(tblCleanData[[#This Row],[EmployeeNumber]],tblHelpers[],14,0)</f>
        <v>36</v>
      </c>
    </row>
    <row r="431" spans="1:42" x14ac:dyDescent="0.25">
      <c r="A431" s="13">
        <v>46</v>
      </c>
      <c r="B431" s="13" t="s">
        <v>59</v>
      </c>
      <c r="C431" s="13" t="s">
        <v>37</v>
      </c>
      <c r="D431" s="13">
        <v>1009</v>
      </c>
      <c r="E431" s="13" t="s">
        <v>62</v>
      </c>
      <c r="F431" s="13">
        <v>2</v>
      </c>
      <c r="G431" s="13">
        <v>3</v>
      </c>
      <c r="H431" s="13" t="s">
        <v>42</v>
      </c>
      <c r="I431" s="13">
        <v>1</v>
      </c>
      <c r="J431" s="13">
        <v>575</v>
      </c>
      <c r="K431" s="13">
        <v>1</v>
      </c>
      <c r="L431" s="13" t="s">
        <v>63</v>
      </c>
      <c r="M431" s="13">
        <v>51</v>
      </c>
      <c r="N431" s="13">
        <v>3</v>
      </c>
      <c r="O431" s="13">
        <v>4</v>
      </c>
      <c r="P431" s="13" t="s">
        <v>186</v>
      </c>
      <c r="Q431" s="13">
        <v>3</v>
      </c>
      <c r="R431" s="13" t="s">
        <v>66</v>
      </c>
      <c r="S431" s="20">
        <v>17861</v>
      </c>
      <c r="T431" s="13">
        <v>2288</v>
      </c>
      <c r="U431" s="13">
        <v>6</v>
      </c>
      <c r="V431" s="13" t="s">
        <v>52</v>
      </c>
      <c r="W431" s="13" t="s">
        <v>59</v>
      </c>
      <c r="X431" s="13">
        <v>13</v>
      </c>
      <c r="Y431" s="13">
        <v>3</v>
      </c>
      <c r="Z431" s="13">
        <v>3</v>
      </c>
      <c r="AA431" s="13">
        <v>80</v>
      </c>
      <c r="AB431" s="13">
        <v>0</v>
      </c>
      <c r="AC431" s="13">
        <v>26</v>
      </c>
      <c r="AD431" s="13">
        <v>2</v>
      </c>
      <c r="AE431" s="13">
        <v>1</v>
      </c>
      <c r="AF431" s="14">
        <v>3</v>
      </c>
      <c r="AG431" s="13">
        <v>2</v>
      </c>
      <c r="AH431" s="13">
        <v>0</v>
      </c>
      <c r="AI431" s="13">
        <v>1</v>
      </c>
      <c r="AJ431" s="13" t="str">
        <f t="shared" si="6"/>
        <v>40-49</v>
      </c>
      <c r="AK431" s="13" t="str">
        <f>IF(tblCleanData[[#This Row],[MonthlyIncome]]&lt;5000, "Low Income", IF(tblCleanData[[#This Row],[MonthlyIncome]]&lt;15000, "Medium Income", "High Income"))</f>
        <v>High Income</v>
      </c>
      <c r="AL431" s="13">
        <f>IF(tblCleanData[[#This Row],[Attrition]]="No", 0,1)</f>
        <v>0</v>
      </c>
      <c r="AM431" s="13">
        <f>IF(tblCleanData[[#This Row],[OverTime]] = "No", 0, 1)</f>
        <v>0</v>
      </c>
      <c r="AN431" s="13" t="str">
        <f>CHOOSE(tblCleanData[[#This Row],[Education]], "Below College","College","Bachelor","Master","Doctor")</f>
        <v>Bachelor</v>
      </c>
      <c r="AO431" s="13" t="str">
        <f>VLOOKUP(tblCleanData[[#This Row],[EmployeeNumber]],tblHelpers[],15,TRUE)</f>
        <v>Medium Risk</v>
      </c>
      <c r="AP431" s="13">
        <f>VLOOKUP(tblCleanData[[#This Row],[EmployeeNumber]],tblHelpers[],14,0)</f>
        <v>43</v>
      </c>
    </row>
    <row r="432" spans="1:42" x14ac:dyDescent="0.25">
      <c r="A432" s="13">
        <v>35</v>
      </c>
      <c r="B432" s="13" t="s">
        <v>59</v>
      </c>
      <c r="C432" s="13" t="s">
        <v>37</v>
      </c>
      <c r="D432" s="13">
        <v>144</v>
      </c>
      <c r="E432" s="13" t="s">
        <v>62</v>
      </c>
      <c r="F432" s="13">
        <v>22</v>
      </c>
      <c r="G432" s="13">
        <v>3</v>
      </c>
      <c r="H432" s="13" t="s">
        <v>42</v>
      </c>
      <c r="I432" s="13">
        <v>1</v>
      </c>
      <c r="J432" s="13">
        <v>577</v>
      </c>
      <c r="K432" s="13">
        <v>4</v>
      </c>
      <c r="L432" s="13" t="s">
        <v>63</v>
      </c>
      <c r="M432" s="13">
        <v>46</v>
      </c>
      <c r="N432" s="13">
        <v>1</v>
      </c>
      <c r="O432" s="13">
        <v>1</v>
      </c>
      <c r="P432" s="13" t="s">
        <v>76</v>
      </c>
      <c r="Q432" s="13">
        <v>3</v>
      </c>
      <c r="R432" s="13" t="s">
        <v>48</v>
      </c>
      <c r="S432" s="20">
        <v>4230</v>
      </c>
      <c r="T432" s="13">
        <v>19225</v>
      </c>
      <c r="U432" s="13">
        <v>0</v>
      </c>
      <c r="V432" s="13" t="s">
        <v>52</v>
      </c>
      <c r="W432" s="13" t="s">
        <v>59</v>
      </c>
      <c r="X432" s="13">
        <v>15</v>
      </c>
      <c r="Y432" s="13">
        <v>3</v>
      </c>
      <c r="Z432" s="13">
        <v>3</v>
      </c>
      <c r="AA432" s="13">
        <v>80</v>
      </c>
      <c r="AB432" s="13">
        <v>0</v>
      </c>
      <c r="AC432" s="13">
        <v>6</v>
      </c>
      <c r="AD432" s="13">
        <v>2</v>
      </c>
      <c r="AE432" s="13">
        <v>3</v>
      </c>
      <c r="AF432" s="14">
        <v>5</v>
      </c>
      <c r="AG432" s="13">
        <v>4</v>
      </c>
      <c r="AH432" s="13">
        <v>4</v>
      </c>
      <c r="AI432" s="13">
        <v>3</v>
      </c>
      <c r="AJ432" s="13" t="str">
        <f t="shared" si="6"/>
        <v>30-39</v>
      </c>
      <c r="AK432" s="13" t="str">
        <f>IF(tblCleanData[[#This Row],[MonthlyIncome]]&lt;5000, "Low Income", IF(tblCleanData[[#This Row],[MonthlyIncome]]&lt;15000, "Medium Income", "High Income"))</f>
        <v>Low Income</v>
      </c>
      <c r="AL432" s="13">
        <f>IF(tblCleanData[[#This Row],[Attrition]]="No", 0,1)</f>
        <v>0</v>
      </c>
      <c r="AM432" s="13">
        <f>IF(tblCleanData[[#This Row],[OverTime]] = "No", 0, 1)</f>
        <v>0</v>
      </c>
      <c r="AN432" s="13" t="str">
        <f>CHOOSE(tblCleanData[[#This Row],[Education]], "Below College","College","Bachelor","Master","Doctor")</f>
        <v>Bachelor</v>
      </c>
      <c r="AO432" s="13" t="str">
        <f>VLOOKUP(tblCleanData[[#This Row],[EmployeeNumber]],tblHelpers[],15,TRUE)</f>
        <v>Medium Risk</v>
      </c>
      <c r="AP432" s="13">
        <f>VLOOKUP(tblCleanData[[#This Row],[EmployeeNumber]],tblHelpers[],14,0)</f>
        <v>53</v>
      </c>
    </row>
    <row r="433" spans="1:42" x14ac:dyDescent="0.25">
      <c r="A433" s="13">
        <v>54</v>
      </c>
      <c r="B433" s="13" t="s">
        <v>59</v>
      </c>
      <c r="C433" s="13" t="s">
        <v>37</v>
      </c>
      <c r="D433" s="13">
        <v>548</v>
      </c>
      <c r="E433" s="13" t="s">
        <v>62</v>
      </c>
      <c r="F433" s="13">
        <v>8</v>
      </c>
      <c r="G433" s="13">
        <v>4</v>
      </c>
      <c r="H433" s="13" t="s">
        <v>42</v>
      </c>
      <c r="I433" s="13">
        <v>1</v>
      </c>
      <c r="J433" s="13">
        <v>578</v>
      </c>
      <c r="K433" s="13">
        <v>3</v>
      </c>
      <c r="L433" s="13" t="s">
        <v>43</v>
      </c>
      <c r="M433" s="13">
        <v>42</v>
      </c>
      <c r="N433" s="13">
        <v>3</v>
      </c>
      <c r="O433" s="13">
        <v>2</v>
      </c>
      <c r="P433" s="13" t="s">
        <v>76</v>
      </c>
      <c r="Q433" s="13">
        <v>3</v>
      </c>
      <c r="R433" s="13" t="s">
        <v>48</v>
      </c>
      <c r="S433" s="20">
        <v>3780</v>
      </c>
      <c r="T433" s="13">
        <v>23428</v>
      </c>
      <c r="U433" s="13">
        <v>7</v>
      </c>
      <c r="V433" s="13" t="s">
        <v>52</v>
      </c>
      <c r="W433" s="13" t="s">
        <v>59</v>
      </c>
      <c r="X433" s="13">
        <v>11</v>
      </c>
      <c r="Y433" s="13">
        <v>3</v>
      </c>
      <c r="Z433" s="13">
        <v>3</v>
      </c>
      <c r="AA433" s="13">
        <v>80</v>
      </c>
      <c r="AB433" s="13">
        <v>0</v>
      </c>
      <c r="AC433" s="13">
        <v>19</v>
      </c>
      <c r="AD433" s="13">
        <v>3</v>
      </c>
      <c r="AE433" s="13">
        <v>3</v>
      </c>
      <c r="AF433" s="14">
        <v>1</v>
      </c>
      <c r="AG433" s="13">
        <v>0</v>
      </c>
      <c r="AH433" s="13">
        <v>0</v>
      </c>
      <c r="AI433" s="13">
        <v>0</v>
      </c>
      <c r="AJ433" s="13" t="str">
        <f t="shared" si="6"/>
        <v>50+</v>
      </c>
      <c r="AK433" s="13" t="str">
        <f>IF(tblCleanData[[#This Row],[MonthlyIncome]]&lt;5000, "Low Income", IF(tblCleanData[[#This Row],[MonthlyIncome]]&lt;15000, "Medium Income", "High Income"))</f>
        <v>Low Income</v>
      </c>
      <c r="AL433" s="13">
        <f>IF(tblCleanData[[#This Row],[Attrition]]="No", 0,1)</f>
        <v>0</v>
      </c>
      <c r="AM433" s="13">
        <f>IF(tblCleanData[[#This Row],[OverTime]] = "No", 0, 1)</f>
        <v>0</v>
      </c>
      <c r="AN433" s="13" t="str">
        <f>CHOOSE(tblCleanData[[#This Row],[Education]], "Below College","College","Bachelor","Master","Doctor")</f>
        <v>Master</v>
      </c>
      <c r="AO433" s="13" t="str">
        <f>VLOOKUP(tblCleanData[[#This Row],[EmployeeNumber]],tblHelpers[],15,TRUE)</f>
        <v>High Risk</v>
      </c>
      <c r="AP433" s="13">
        <f>VLOOKUP(tblCleanData[[#This Row],[EmployeeNumber]],tblHelpers[],14,0)</f>
        <v>58</v>
      </c>
    </row>
    <row r="434" spans="1:42" x14ac:dyDescent="0.25">
      <c r="A434" s="13">
        <v>34</v>
      </c>
      <c r="B434" s="13" t="s">
        <v>59</v>
      </c>
      <c r="C434" s="13" t="s">
        <v>37</v>
      </c>
      <c r="D434" s="13">
        <v>1303</v>
      </c>
      <c r="E434" s="13" t="s">
        <v>62</v>
      </c>
      <c r="F434" s="13">
        <v>2</v>
      </c>
      <c r="G434" s="13">
        <v>4</v>
      </c>
      <c r="H434" s="13" t="s">
        <v>42</v>
      </c>
      <c r="I434" s="13">
        <v>1</v>
      </c>
      <c r="J434" s="13">
        <v>579</v>
      </c>
      <c r="K434" s="13">
        <v>4</v>
      </c>
      <c r="L434" s="13" t="s">
        <v>63</v>
      </c>
      <c r="M434" s="13">
        <v>62</v>
      </c>
      <c r="N434" s="13">
        <v>2</v>
      </c>
      <c r="O434" s="13">
        <v>1</v>
      </c>
      <c r="P434" s="13" t="s">
        <v>65</v>
      </c>
      <c r="Q434" s="13">
        <v>3</v>
      </c>
      <c r="R434" s="13" t="s">
        <v>109</v>
      </c>
      <c r="S434" s="20">
        <v>2768</v>
      </c>
      <c r="T434" s="13">
        <v>8416</v>
      </c>
      <c r="U434" s="13">
        <v>3</v>
      </c>
      <c r="V434" s="13" t="s">
        <v>52</v>
      </c>
      <c r="W434" s="13" t="s">
        <v>59</v>
      </c>
      <c r="X434" s="13">
        <v>12</v>
      </c>
      <c r="Y434" s="13">
        <v>3</v>
      </c>
      <c r="Z434" s="13">
        <v>3</v>
      </c>
      <c r="AA434" s="13">
        <v>80</v>
      </c>
      <c r="AB434" s="13">
        <v>1</v>
      </c>
      <c r="AC434" s="13">
        <v>14</v>
      </c>
      <c r="AD434" s="13">
        <v>3</v>
      </c>
      <c r="AE434" s="13">
        <v>3</v>
      </c>
      <c r="AF434" s="14">
        <v>7</v>
      </c>
      <c r="AG434" s="13">
        <v>3</v>
      </c>
      <c r="AH434" s="13">
        <v>5</v>
      </c>
      <c r="AI434" s="13">
        <v>7</v>
      </c>
      <c r="AJ434" s="13" t="str">
        <f t="shared" si="6"/>
        <v>30-39</v>
      </c>
      <c r="AK434" s="13" t="str">
        <f>IF(tblCleanData[[#This Row],[MonthlyIncome]]&lt;5000, "Low Income", IF(tblCleanData[[#This Row],[MonthlyIncome]]&lt;15000, "Medium Income", "High Income"))</f>
        <v>Low Income</v>
      </c>
      <c r="AL434" s="13">
        <f>IF(tblCleanData[[#This Row],[Attrition]]="No", 0,1)</f>
        <v>0</v>
      </c>
      <c r="AM434" s="13">
        <f>IF(tblCleanData[[#This Row],[OverTime]] = "No", 0, 1)</f>
        <v>0</v>
      </c>
      <c r="AN434" s="13" t="str">
        <f>CHOOSE(tblCleanData[[#This Row],[Education]], "Below College","College","Bachelor","Master","Doctor")</f>
        <v>Master</v>
      </c>
      <c r="AO434" s="13" t="str">
        <f>VLOOKUP(tblCleanData[[#This Row],[EmployeeNumber]],tblHelpers[],15,TRUE)</f>
        <v>Medium Risk</v>
      </c>
      <c r="AP434" s="13">
        <f>VLOOKUP(tblCleanData[[#This Row],[EmployeeNumber]],tblHelpers[],14,0)</f>
        <v>46</v>
      </c>
    </row>
    <row r="435" spans="1:42" x14ac:dyDescent="0.25">
      <c r="A435" s="13">
        <v>46</v>
      </c>
      <c r="B435" s="13" t="s">
        <v>59</v>
      </c>
      <c r="C435" s="13" t="s">
        <v>37</v>
      </c>
      <c r="D435" s="13">
        <v>1125</v>
      </c>
      <c r="E435" s="13" t="s">
        <v>39</v>
      </c>
      <c r="F435" s="13">
        <v>10</v>
      </c>
      <c r="G435" s="13">
        <v>3</v>
      </c>
      <c r="H435" s="13" t="s">
        <v>206</v>
      </c>
      <c r="I435" s="13">
        <v>1</v>
      </c>
      <c r="J435" s="13">
        <v>580</v>
      </c>
      <c r="K435" s="13">
        <v>3</v>
      </c>
      <c r="L435" s="13" t="s">
        <v>43</v>
      </c>
      <c r="M435" s="13">
        <v>94</v>
      </c>
      <c r="N435" s="13">
        <v>2</v>
      </c>
      <c r="O435" s="13">
        <v>3</v>
      </c>
      <c r="P435" s="13" t="s">
        <v>46</v>
      </c>
      <c r="Q435" s="13">
        <v>4</v>
      </c>
      <c r="R435" s="13" t="s">
        <v>66</v>
      </c>
      <c r="S435" s="20">
        <v>9071</v>
      </c>
      <c r="T435" s="13">
        <v>11563</v>
      </c>
      <c r="U435" s="13">
        <v>2</v>
      </c>
      <c r="V435" s="13" t="s">
        <v>52</v>
      </c>
      <c r="W435" s="13" t="s">
        <v>36</v>
      </c>
      <c r="X435" s="13">
        <v>19</v>
      </c>
      <c r="Y435" s="13">
        <v>3</v>
      </c>
      <c r="Z435" s="13">
        <v>3</v>
      </c>
      <c r="AA435" s="13">
        <v>80</v>
      </c>
      <c r="AB435" s="13">
        <v>1</v>
      </c>
      <c r="AC435" s="13">
        <v>15</v>
      </c>
      <c r="AD435" s="13">
        <v>3</v>
      </c>
      <c r="AE435" s="13">
        <v>3</v>
      </c>
      <c r="AF435" s="14">
        <v>3</v>
      </c>
      <c r="AG435" s="13">
        <v>2</v>
      </c>
      <c r="AH435" s="13">
        <v>1</v>
      </c>
      <c r="AI435" s="13">
        <v>2</v>
      </c>
      <c r="AJ435" s="13" t="str">
        <f t="shared" si="6"/>
        <v>40-49</v>
      </c>
      <c r="AK435" s="13" t="str">
        <f>IF(tblCleanData[[#This Row],[MonthlyIncome]]&lt;5000, "Low Income", IF(tblCleanData[[#This Row],[MonthlyIncome]]&lt;15000, "Medium Income", "High Income"))</f>
        <v>Medium Income</v>
      </c>
      <c r="AL435" s="13">
        <f>IF(tblCleanData[[#This Row],[Attrition]]="No", 0,1)</f>
        <v>0</v>
      </c>
      <c r="AM435" s="13">
        <f>IF(tblCleanData[[#This Row],[OverTime]] = "No", 0, 1)</f>
        <v>1</v>
      </c>
      <c r="AN435" s="13" t="str">
        <f>CHOOSE(tblCleanData[[#This Row],[Education]], "Below College","College","Bachelor","Master","Doctor")</f>
        <v>Bachelor</v>
      </c>
      <c r="AO435" s="13" t="str">
        <f>VLOOKUP(tblCleanData[[#This Row],[EmployeeNumber]],tblHelpers[],15,TRUE)</f>
        <v>High Risk</v>
      </c>
      <c r="AP435" s="13">
        <f>VLOOKUP(tblCleanData[[#This Row],[EmployeeNumber]],tblHelpers[],14,0)</f>
        <v>61</v>
      </c>
    </row>
    <row r="436" spans="1:42" x14ac:dyDescent="0.25">
      <c r="A436" s="13">
        <v>31</v>
      </c>
      <c r="B436" s="13" t="s">
        <v>59</v>
      </c>
      <c r="C436" s="13" t="s">
        <v>37</v>
      </c>
      <c r="D436" s="13">
        <v>1274</v>
      </c>
      <c r="E436" s="13" t="s">
        <v>62</v>
      </c>
      <c r="F436" s="13">
        <v>9</v>
      </c>
      <c r="G436" s="13">
        <v>1</v>
      </c>
      <c r="H436" s="13" t="s">
        <v>42</v>
      </c>
      <c r="I436" s="13">
        <v>1</v>
      </c>
      <c r="J436" s="13">
        <v>581</v>
      </c>
      <c r="K436" s="13">
        <v>3</v>
      </c>
      <c r="L436" s="13" t="s">
        <v>63</v>
      </c>
      <c r="M436" s="13">
        <v>33</v>
      </c>
      <c r="N436" s="13">
        <v>3</v>
      </c>
      <c r="O436" s="13">
        <v>3</v>
      </c>
      <c r="P436" s="13" t="s">
        <v>116</v>
      </c>
      <c r="Q436" s="13">
        <v>2</v>
      </c>
      <c r="R436" s="13" t="s">
        <v>109</v>
      </c>
      <c r="S436" s="20">
        <v>10648</v>
      </c>
      <c r="T436" s="13">
        <v>14394</v>
      </c>
      <c r="U436" s="13">
        <v>1</v>
      </c>
      <c r="V436" s="13" t="s">
        <v>52</v>
      </c>
      <c r="W436" s="13" t="s">
        <v>59</v>
      </c>
      <c r="X436" s="13">
        <v>25</v>
      </c>
      <c r="Y436" s="13">
        <v>4</v>
      </c>
      <c r="Z436" s="13">
        <v>4</v>
      </c>
      <c r="AA436" s="13">
        <v>80</v>
      </c>
      <c r="AB436" s="13">
        <v>1</v>
      </c>
      <c r="AC436" s="13">
        <v>13</v>
      </c>
      <c r="AD436" s="13">
        <v>6</v>
      </c>
      <c r="AE436" s="13">
        <v>4</v>
      </c>
      <c r="AF436" s="14">
        <v>13</v>
      </c>
      <c r="AG436" s="13">
        <v>8</v>
      </c>
      <c r="AH436" s="13">
        <v>0</v>
      </c>
      <c r="AI436" s="13">
        <v>8</v>
      </c>
      <c r="AJ436" s="13" t="str">
        <f t="shared" si="6"/>
        <v>30-39</v>
      </c>
      <c r="AK436" s="13" t="str">
        <f>IF(tblCleanData[[#This Row],[MonthlyIncome]]&lt;5000, "Low Income", IF(tblCleanData[[#This Row],[MonthlyIncome]]&lt;15000, "Medium Income", "High Income"))</f>
        <v>Medium Income</v>
      </c>
      <c r="AL436" s="13">
        <f>IF(tblCleanData[[#This Row],[Attrition]]="No", 0,1)</f>
        <v>0</v>
      </c>
      <c r="AM436" s="13">
        <f>IF(tblCleanData[[#This Row],[OverTime]] = "No", 0, 1)</f>
        <v>0</v>
      </c>
      <c r="AN436" s="13" t="str">
        <f>CHOOSE(tblCleanData[[#This Row],[Education]], "Below College","College","Bachelor","Master","Doctor")</f>
        <v>Below College</v>
      </c>
      <c r="AO436" s="13" t="str">
        <f>VLOOKUP(tblCleanData[[#This Row],[EmployeeNumber]],tblHelpers[],15,TRUE)</f>
        <v>Medium Risk</v>
      </c>
      <c r="AP436" s="13">
        <f>VLOOKUP(tblCleanData[[#This Row],[EmployeeNumber]],tblHelpers[],14,0)</f>
        <v>47</v>
      </c>
    </row>
    <row r="437" spans="1:42" x14ac:dyDescent="0.25">
      <c r="A437" s="13">
        <v>33</v>
      </c>
      <c r="B437" s="13" t="s">
        <v>36</v>
      </c>
      <c r="C437" s="13" t="s">
        <v>37</v>
      </c>
      <c r="D437" s="13">
        <v>1277</v>
      </c>
      <c r="E437" s="13" t="s">
        <v>62</v>
      </c>
      <c r="F437" s="13">
        <v>15</v>
      </c>
      <c r="G437" s="13">
        <v>1</v>
      </c>
      <c r="H437" s="13" t="s">
        <v>87</v>
      </c>
      <c r="I437" s="13">
        <v>1</v>
      </c>
      <c r="J437" s="13">
        <v>582</v>
      </c>
      <c r="K437" s="13">
        <v>2</v>
      </c>
      <c r="L437" s="13" t="s">
        <v>63</v>
      </c>
      <c r="M437" s="13">
        <v>56</v>
      </c>
      <c r="N437" s="13">
        <v>3</v>
      </c>
      <c r="O437" s="13">
        <v>3</v>
      </c>
      <c r="P437" s="13" t="s">
        <v>169</v>
      </c>
      <c r="Q437" s="13">
        <v>3</v>
      </c>
      <c r="R437" s="13" t="s">
        <v>66</v>
      </c>
      <c r="S437" s="20">
        <v>13610</v>
      </c>
      <c r="T437" s="13">
        <v>24619</v>
      </c>
      <c r="U437" s="13">
        <v>7</v>
      </c>
      <c r="V437" s="13" t="s">
        <v>52</v>
      </c>
      <c r="W437" s="13" t="s">
        <v>36</v>
      </c>
      <c r="X437" s="13">
        <v>12</v>
      </c>
      <c r="Y437" s="13">
        <v>3</v>
      </c>
      <c r="Z437" s="13">
        <v>4</v>
      </c>
      <c r="AA437" s="13">
        <v>80</v>
      </c>
      <c r="AB437" s="13">
        <v>0</v>
      </c>
      <c r="AC437" s="13">
        <v>15</v>
      </c>
      <c r="AD437" s="13">
        <v>2</v>
      </c>
      <c r="AE437" s="13">
        <v>4</v>
      </c>
      <c r="AF437" s="14">
        <v>7</v>
      </c>
      <c r="AG437" s="13">
        <v>6</v>
      </c>
      <c r="AH437" s="13">
        <v>7</v>
      </c>
      <c r="AI437" s="13">
        <v>7</v>
      </c>
      <c r="AJ437" s="13" t="str">
        <f t="shared" si="6"/>
        <v>30-39</v>
      </c>
      <c r="AK437" s="13" t="str">
        <f>IF(tblCleanData[[#This Row],[MonthlyIncome]]&lt;5000, "Low Income", IF(tblCleanData[[#This Row],[MonthlyIncome]]&lt;15000, "Medium Income", "High Income"))</f>
        <v>Medium Income</v>
      </c>
      <c r="AL437" s="13">
        <f>IF(tblCleanData[[#This Row],[Attrition]]="No", 0,1)</f>
        <v>1</v>
      </c>
      <c r="AM437" s="13">
        <f>IF(tblCleanData[[#This Row],[OverTime]] = "No", 0, 1)</f>
        <v>1</v>
      </c>
      <c r="AN437" s="13" t="str">
        <f>CHOOSE(tblCleanData[[#This Row],[Education]], "Below College","College","Bachelor","Master","Doctor")</f>
        <v>Below College</v>
      </c>
      <c r="AO437" s="13" t="str">
        <f>VLOOKUP(tblCleanData[[#This Row],[EmployeeNumber]],tblHelpers[],15,TRUE)</f>
        <v>High Risk</v>
      </c>
      <c r="AP437" s="13">
        <f>VLOOKUP(tblCleanData[[#This Row],[EmployeeNumber]],tblHelpers[],14,0)</f>
        <v>71</v>
      </c>
    </row>
    <row r="438" spans="1:42" x14ac:dyDescent="0.25">
      <c r="A438" s="13">
        <v>33</v>
      </c>
      <c r="B438" s="13" t="s">
        <v>36</v>
      </c>
      <c r="C438" s="13" t="s">
        <v>37</v>
      </c>
      <c r="D438" s="13">
        <v>587</v>
      </c>
      <c r="E438" s="13" t="s">
        <v>62</v>
      </c>
      <c r="F438" s="13">
        <v>10</v>
      </c>
      <c r="G438" s="13">
        <v>1</v>
      </c>
      <c r="H438" s="13" t="s">
        <v>87</v>
      </c>
      <c r="I438" s="13">
        <v>1</v>
      </c>
      <c r="J438" s="13">
        <v>584</v>
      </c>
      <c r="K438" s="13">
        <v>1</v>
      </c>
      <c r="L438" s="13" t="s">
        <v>63</v>
      </c>
      <c r="M438" s="13">
        <v>38</v>
      </c>
      <c r="N438" s="13">
        <v>1</v>
      </c>
      <c r="O438" s="13">
        <v>1</v>
      </c>
      <c r="P438" s="13" t="s">
        <v>76</v>
      </c>
      <c r="Q438" s="13">
        <v>4</v>
      </c>
      <c r="R438" s="13" t="s">
        <v>109</v>
      </c>
      <c r="S438" s="20">
        <v>3408</v>
      </c>
      <c r="T438" s="13">
        <v>6705</v>
      </c>
      <c r="U438" s="13">
        <v>7</v>
      </c>
      <c r="V438" s="13" t="s">
        <v>52</v>
      </c>
      <c r="W438" s="13" t="s">
        <v>59</v>
      </c>
      <c r="X438" s="13">
        <v>13</v>
      </c>
      <c r="Y438" s="13">
        <v>3</v>
      </c>
      <c r="Z438" s="13">
        <v>1</v>
      </c>
      <c r="AA438" s="13">
        <v>80</v>
      </c>
      <c r="AB438" s="13">
        <v>3</v>
      </c>
      <c r="AC438" s="13">
        <v>8</v>
      </c>
      <c r="AD438" s="13">
        <v>2</v>
      </c>
      <c r="AE438" s="13">
        <v>3</v>
      </c>
      <c r="AF438" s="14">
        <v>4</v>
      </c>
      <c r="AG438" s="13">
        <v>3</v>
      </c>
      <c r="AH438" s="13">
        <v>1</v>
      </c>
      <c r="AI438" s="13">
        <v>3</v>
      </c>
      <c r="AJ438" s="13" t="str">
        <f t="shared" si="6"/>
        <v>30-39</v>
      </c>
      <c r="AK438" s="13" t="str">
        <f>IF(tblCleanData[[#This Row],[MonthlyIncome]]&lt;5000, "Low Income", IF(tblCleanData[[#This Row],[MonthlyIncome]]&lt;15000, "Medium Income", "High Income"))</f>
        <v>Low Income</v>
      </c>
      <c r="AL438" s="13">
        <f>IF(tblCleanData[[#This Row],[Attrition]]="No", 0,1)</f>
        <v>1</v>
      </c>
      <c r="AM438" s="13">
        <f>IF(tblCleanData[[#This Row],[OverTime]] = "No", 0, 1)</f>
        <v>0</v>
      </c>
      <c r="AN438" s="13" t="str">
        <f>CHOOSE(tblCleanData[[#This Row],[Education]], "Below College","College","Bachelor","Master","Doctor")</f>
        <v>Below College</v>
      </c>
      <c r="AO438" s="13" t="str">
        <f>VLOOKUP(tblCleanData[[#This Row],[EmployeeNumber]],tblHelpers[],15,TRUE)</f>
        <v>Medium Risk</v>
      </c>
      <c r="AP438" s="13">
        <f>VLOOKUP(tblCleanData[[#This Row],[EmployeeNumber]],tblHelpers[],14,0)</f>
        <v>46</v>
      </c>
    </row>
    <row r="439" spans="1:42" x14ac:dyDescent="0.25">
      <c r="A439" s="13">
        <v>30</v>
      </c>
      <c r="B439" s="13" t="s">
        <v>59</v>
      </c>
      <c r="C439" s="13" t="s">
        <v>37</v>
      </c>
      <c r="D439" s="13">
        <v>413</v>
      </c>
      <c r="E439" s="13" t="s">
        <v>39</v>
      </c>
      <c r="F439" s="13">
        <v>7</v>
      </c>
      <c r="G439" s="13">
        <v>1</v>
      </c>
      <c r="H439" s="13" t="s">
        <v>206</v>
      </c>
      <c r="I439" s="13">
        <v>1</v>
      </c>
      <c r="J439" s="13">
        <v>585</v>
      </c>
      <c r="K439" s="13">
        <v>4</v>
      </c>
      <c r="L439" s="13" t="s">
        <v>63</v>
      </c>
      <c r="M439" s="13">
        <v>57</v>
      </c>
      <c r="N439" s="13">
        <v>3</v>
      </c>
      <c r="O439" s="13">
        <v>1</v>
      </c>
      <c r="P439" s="13" t="s">
        <v>182</v>
      </c>
      <c r="Q439" s="13">
        <v>2</v>
      </c>
      <c r="R439" s="13" t="s">
        <v>48</v>
      </c>
      <c r="S439" s="20">
        <v>2983</v>
      </c>
      <c r="T439" s="13">
        <v>18398</v>
      </c>
      <c r="U439" s="13">
        <v>0</v>
      </c>
      <c r="V439" s="13" t="s">
        <v>52</v>
      </c>
      <c r="W439" s="13" t="s">
        <v>59</v>
      </c>
      <c r="X439" s="13">
        <v>14</v>
      </c>
      <c r="Y439" s="13">
        <v>3</v>
      </c>
      <c r="Z439" s="13">
        <v>1</v>
      </c>
      <c r="AA439" s="13">
        <v>80</v>
      </c>
      <c r="AB439" s="13">
        <v>0</v>
      </c>
      <c r="AC439" s="13">
        <v>4</v>
      </c>
      <c r="AD439" s="13">
        <v>3</v>
      </c>
      <c r="AE439" s="13">
        <v>3</v>
      </c>
      <c r="AF439" s="14">
        <v>3</v>
      </c>
      <c r="AG439" s="13">
        <v>2</v>
      </c>
      <c r="AH439" s="13">
        <v>1</v>
      </c>
      <c r="AI439" s="13">
        <v>2</v>
      </c>
      <c r="AJ439" s="13" t="str">
        <f t="shared" si="6"/>
        <v>30-39</v>
      </c>
      <c r="AK439" s="13" t="str">
        <f>IF(tblCleanData[[#This Row],[MonthlyIncome]]&lt;5000, "Low Income", IF(tblCleanData[[#This Row],[MonthlyIncome]]&lt;15000, "Medium Income", "High Income"))</f>
        <v>Low Income</v>
      </c>
      <c r="AL439" s="13">
        <f>IF(tblCleanData[[#This Row],[Attrition]]="No", 0,1)</f>
        <v>0</v>
      </c>
      <c r="AM439" s="13">
        <f>IF(tblCleanData[[#This Row],[OverTime]] = "No", 0, 1)</f>
        <v>0</v>
      </c>
      <c r="AN439" s="13" t="str">
        <f>CHOOSE(tblCleanData[[#This Row],[Education]], "Below College","College","Bachelor","Master","Doctor")</f>
        <v>Below College</v>
      </c>
      <c r="AO439" s="13" t="str">
        <f>VLOOKUP(tblCleanData[[#This Row],[EmployeeNumber]],tblHelpers[],15,TRUE)</f>
        <v>High Risk</v>
      </c>
      <c r="AP439" s="13">
        <f>VLOOKUP(tblCleanData[[#This Row],[EmployeeNumber]],tblHelpers[],14,0)</f>
        <v>59</v>
      </c>
    </row>
    <row r="440" spans="1:42" x14ac:dyDescent="0.25">
      <c r="A440" s="13">
        <v>35</v>
      </c>
      <c r="B440" s="13" t="s">
        <v>59</v>
      </c>
      <c r="C440" s="13" t="s">
        <v>37</v>
      </c>
      <c r="D440" s="13">
        <v>1276</v>
      </c>
      <c r="E440" s="13" t="s">
        <v>62</v>
      </c>
      <c r="F440" s="13">
        <v>16</v>
      </c>
      <c r="G440" s="13">
        <v>3</v>
      </c>
      <c r="H440" s="13" t="s">
        <v>42</v>
      </c>
      <c r="I440" s="13">
        <v>1</v>
      </c>
      <c r="J440" s="13">
        <v>586</v>
      </c>
      <c r="K440" s="13">
        <v>4</v>
      </c>
      <c r="L440" s="13" t="s">
        <v>63</v>
      </c>
      <c r="M440" s="13">
        <v>72</v>
      </c>
      <c r="N440" s="13">
        <v>3</v>
      </c>
      <c r="O440" s="13">
        <v>3</v>
      </c>
      <c r="P440" s="13" t="s">
        <v>122</v>
      </c>
      <c r="Q440" s="13">
        <v>3</v>
      </c>
      <c r="R440" s="13" t="s">
        <v>66</v>
      </c>
      <c r="S440" s="20">
        <v>7632</v>
      </c>
      <c r="T440" s="13">
        <v>14295</v>
      </c>
      <c r="U440" s="13">
        <v>4</v>
      </c>
      <c r="V440" s="13" t="s">
        <v>52</v>
      </c>
      <c r="W440" s="13" t="s">
        <v>36</v>
      </c>
      <c r="X440" s="13">
        <v>12</v>
      </c>
      <c r="Y440" s="13">
        <v>3</v>
      </c>
      <c r="Z440" s="13">
        <v>3</v>
      </c>
      <c r="AA440" s="13">
        <v>80</v>
      </c>
      <c r="AB440" s="13">
        <v>0</v>
      </c>
      <c r="AC440" s="13">
        <v>10</v>
      </c>
      <c r="AD440" s="13">
        <v>2</v>
      </c>
      <c r="AE440" s="13">
        <v>3</v>
      </c>
      <c r="AF440" s="14">
        <v>8</v>
      </c>
      <c r="AG440" s="13">
        <v>7</v>
      </c>
      <c r="AH440" s="13">
        <v>0</v>
      </c>
      <c r="AI440" s="13">
        <v>0</v>
      </c>
      <c r="AJ440" s="13" t="str">
        <f t="shared" si="6"/>
        <v>30-39</v>
      </c>
      <c r="AK440" s="13" t="str">
        <f>IF(tblCleanData[[#This Row],[MonthlyIncome]]&lt;5000, "Low Income", IF(tblCleanData[[#This Row],[MonthlyIncome]]&lt;15000, "Medium Income", "High Income"))</f>
        <v>Medium Income</v>
      </c>
      <c r="AL440" s="13">
        <f>IF(tblCleanData[[#This Row],[Attrition]]="No", 0,1)</f>
        <v>0</v>
      </c>
      <c r="AM440" s="13">
        <f>IF(tblCleanData[[#This Row],[OverTime]] = "No", 0, 1)</f>
        <v>1</v>
      </c>
      <c r="AN440" s="13" t="str">
        <f>CHOOSE(tblCleanData[[#This Row],[Education]], "Below College","College","Bachelor","Master","Doctor")</f>
        <v>Bachelor</v>
      </c>
      <c r="AO440" s="13" t="str">
        <f>VLOOKUP(tblCleanData[[#This Row],[EmployeeNumber]],tblHelpers[],15,TRUE)</f>
        <v>High Risk</v>
      </c>
      <c r="AP440" s="13">
        <f>VLOOKUP(tblCleanData[[#This Row],[EmployeeNumber]],tblHelpers[],14,0)</f>
        <v>71</v>
      </c>
    </row>
    <row r="441" spans="1:42" x14ac:dyDescent="0.25">
      <c r="A441" s="13">
        <v>31</v>
      </c>
      <c r="B441" s="13" t="s">
        <v>36</v>
      </c>
      <c r="C441" s="13" t="s">
        <v>60</v>
      </c>
      <c r="D441" s="13">
        <v>534</v>
      </c>
      <c r="E441" s="13" t="s">
        <v>62</v>
      </c>
      <c r="F441" s="13">
        <v>20</v>
      </c>
      <c r="G441" s="13">
        <v>3</v>
      </c>
      <c r="H441" s="13" t="s">
        <v>42</v>
      </c>
      <c r="I441" s="13">
        <v>1</v>
      </c>
      <c r="J441" s="13">
        <v>587</v>
      </c>
      <c r="K441" s="13">
        <v>1</v>
      </c>
      <c r="L441" s="13" t="s">
        <v>63</v>
      </c>
      <c r="M441" s="13">
        <v>66</v>
      </c>
      <c r="N441" s="13">
        <v>3</v>
      </c>
      <c r="O441" s="13">
        <v>3</v>
      </c>
      <c r="P441" s="13" t="s">
        <v>122</v>
      </c>
      <c r="Q441" s="13">
        <v>3</v>
      </c>
      <c r="R441" s="13" t="s">
        <v>66</v>
      </c>
      <c r="S441" s="20">
        <v>9824</v>
      </c>
      <c r="T441" s="13">
        <v>22908</v>
      </c>
      <c r="U441" s="13">
        <v>3</v>
      </c>
      <c r="V441" s="13" t="s">
        <v>52</v>
      </c>
      <c r="W441" s="13" t="s">
        <v>59</v>
      </c>
      <c r="X441" s="13">
        <v>12</v>
      </c>
      <c r="Y441" s="13">
        <v>3</v>
      </c>
      <c r="Z441" s="13">
        <v>1</v>
      </c>
      <c r="AA441" s="13">
        <v>80</v>
      </c>
      <c r="AB441" s="13">
        <v>0</v>
      </c>
      <c r="AC441" s="13">
        <v>12</v>
      </c>
      <c r="AD441" s="13">
        <v>2</v>
      </c>
      <c r="AE441" s="13">
        <v>3</v>
      </c>
      <c r="AF441" s="14">
        <v>1</v>
      </c>
      <c r="AG441" s="13">
        <v>0</v>
      </c>
      <c r="AH441" s="13">
        <v>0</v>
      </c>
      <c r="AI441" s="13">
        <v>0</v>
      </c>
      <c r="AJ441" s="13" t="str">
        <f t="shared" si="6"/>
        <v>30-39</v>
      </c>
      <c r="AK441" s="13" t="str">
        <f>IF(tblCleanData[[#This Row],[MonthlyIncome]]&lt;5000, "Low Income", IF(tblCleanData[[#This Row],[MonthlyIncome]]&lt;15000, "Medium Income", "High Income"))</f>
        <v>Medium Income</v>
      </c>
      <c r="AL441" s="13">
        <f>IF(tblCleanData[[#This Row],[Attrition]]="No", 0,1)</f>
        <v>1</v>
      </c>
      <c r="AM441" s="13">
        <f>IF(tblCleanData[[#This Row],[OverTime]] = "No", 0, 1)</f>
        <v>0</v>
      </c>
      <c r="AN441" s="13" t="str">
        <f>CHOOSE(tblCleanData[[#This Row],[Education]], "Below College","College","Bachelor","Master","Doctor")</f>
        <v>Bachelor</v>
      </c>
      <c r="AO441" s="13" t="str">
        <f>VLOOKUP(tblCleanData[[#This Row],[EmployeeNumber]],tblHelpers[],15,TRUE)</f>
        <v>High Risk</v>
      </c>
      <c r="AP441" s="13">
        <f>VLOOKUP(tblCleanData[[#This Row],[EmployeeNumber]],tblHelpers[],14,0)</f>
        <v>63</v>
      </c>
    </row>
    <row r="442" spans="1:42" x14ac:dyDescent="0.25">
      <c r="A442" s="13">
        <v>34</v>
      </c>
      <c r="B442" s="13" t="s">
        <v>36</v>
      </c>
      <c r="C442" s="13" t="s">
        <v>60</v>
      </c>
      <c r="D442" s="13">
        <v>988</v>
      </c>
      <c r="E442" s="13" t="s">
        <v>397</v>
      </c>
      <c r="F442" s="13">
        <v>23</v>
      </c>
      <c r="G442" s="13">
        <v>3</v>
      </c>
      <c r="H442" s="13" t="s">
        <v>397</v>
      </c>
      <c r="I442" s="13">
        <v>1</v>
      </c>
      <c r="J442" s="13">
        <v>590</v>
      </c>
      <c r="K442" s="13">
        <v>2</v>
      </c>
      <c r="L442" s="13" t="s">
        <v>43</v>
      </c>
      <c r="M442" s="13">
        <v>43</v>
      </c>
      <c r="N442" s="13">
        <v>3</v>
      </c>
      <c r="O442" s="13">
        <v>3</v>
      </c>
      <c r="P442" s="13" t="s">
        <v>397</v>
      </c>
      <c r="Q442" s="13">
        <v>1</v>
      </c>
      <c r="R442" s="13" t="s">
        <v>109</v>
      </c>
      <c r="S442" s="20">
        <v>9950</v>
      </c>
      <c r="T442" s="13">
        <v>11533</v>
      </c>
      <c r="U442" s="13">
        <v>9</v>
      </c>
      <c r="V442" s="13" t="s">
        <v>52</v>
      </c>
      <c r="W442" s="13" t="s">
        <v>36</v>
      </c>
      <c r="X442" s="13">
        <v>15</v>
      </c>
      <c r="Y442" s="13">
        <v>3</v>
      </c>
      <c r="Z442" s="13">
        <v>3</v>
      </c>
      <c r="AA442" s="13">
        <v>80</v>
      </c>
      <c r="AB442" s="13">
        <v>3</v>
      </c>
      <c r="AC442" s="13">
        <v>11</v>
      </c>
      <c r="AD442" s="13">
        <v>2</v>
      </c>
      <c r="AE442" s="13">
        <v>3</v>
      </c>
      <c r="AF442" s="14">
        <v>3</v>
      </c>
      <c r="AG442" s="13">
        <v>2</v>
      </c>
      <c r="AH442" s="13">
        <v>0</v>
      </c>
      <c r="AI442" s="13">
        <v>2</v>
      </c>
      <c r="AJ442" s="13" t="str">
        <f t="shared" si="6"/>
        <v>30-39</v>
      </c>
      <c r="AK442" s="13" t="str">
        <f>IF(tblCleanData[[#This Row],[MonthlyIncome]]&lt;5000, "Low Income", IF(tblCleanData[[#This Row],[MonthlyIncome]]&lt;15000, "Medium Income", "High Income"))</f>
        <v>Medium Income</v>
      </c>
      <c r="AL442" s="13">
        <f>IF(tblCleanData[[#This Row],[Attrition]]="No", 0,1)</f>
        <v>1</v>
      </c>
      <c r="AM442" s="13">
        <f>IF(tblCleanData[[#This Row],[OverTime]] = "No", 0, 1)</f>
        <v>1</v>
      </c>
      <c r="AN442" s="13" t="str">
        <f>CHOOSE(tblCleanData[[#This Row],[Education]], "Below College","College","Bachelor","Master","Doctor")</f>
        <v>Bachelor</v>
      </c>
      <c r="AO442" s="13" t="str">
        <f>VLOOKUP(tblCleanData[[#This Row],[EmployeeNumber]],tblHelpers[],15,TRUE)</f>
        <v>High Risk</v>
      </c>
      <c r="AP442" s="13">
        <f>VLOOKUP(tblCleanData[[#This Row],[EmployeeNumber]],tblHelpers[],14,0)</f>
        <v>90</v>
      </c>
    </row>
    <row r="443" spans="1:42" x14ac:dyDescent="0.25">
      <c r="A443" s="13">
        <v>42</v>
      </c>
      <c r="B443" s="13" t="s">
        <v>59</v>
      </c>
      <c r="C443" s="13" t="s">
        <v>60</v>
      </c>
      <c r="D443" s="13">
        <v>1474</v>
      </c>
      <c r="E443" s="13" t="s">
        <v>62</v>
      </c>
      <c r="F443" s="13">
        <v>5</v>
      </c>
      <c r="G443" s="13">
        <v>2</v>
      </c>
      <c r="H443" s="13" t="s">
        <v>74</v>
      </c>
      <c r="I443" s="13">
        <v>1</v>
      </c>
      <c r="J443" s="13">
        <v>591</v>
      </c>
      <c r="K443" s="13">
        <v>2</v>
      </c>
      <c r="L443" s="13" t="s">
        <v>63</v>
      </c>
      <c r="M443" s="13">
        <v>97</v>
      </c>
      <c r="N443" s="13">
        <v>3</v>
      </c>
      <c r="O443" s="13">
        <v>1</v>
      </c>
      <c r="P443" s="13" t="s">
        <v>76</v>
      </c>
      <c r="Q443" s="13">
        <v>3</v>
      </c>
      <c r="R443" s="13" t="s">
        <v>66</v>
      </c>
      <c r="S443" s="20">
        <v>2093</v>
      </c>
      <c r="T443" s="13">
        <v>9260</v>
      </c>
      <c r="U443" s="13">
        <v>4</v>
      </c>
      <c r="V443" s="13" t="s">
        <v>52</v>
      </c>
      <c r="W443" s="13" t="s">
        <v>59</v>
      </c>
      <c r="X443" s="13">
        <v>17</v>
      </c>
      <c r="Y443" s="13">
        <v>3</v>
      </c>
      <c r="Z443" s="13">
        <v>4</v>
      </c>
      <c r="AA443" s="13">
        <v>80</v>
      </c>
      <c r="AB443" s="13">
        <v>1</v>
      </c>
      <c r="AC443" s="13">
        <v>8</v>
      </c>
      <c r="AD443" s="13">
        <v>4</v>
      </c>
      <c r="AE443" s="13">
        <v>3</v>
      </c>
      <c r="AF443" s="14">
        <v>2</v>
      </c>
      <c r="AG443" s="13">
        <v>2</v>
      </c>
      <c r="AH443" s="13">
        <v>2</v>
      </c>
      <c r="AI443" s="13">
        <v>0</v>
      </c>
      <c r="AJ443" s="13" t="str">
        <f t="shared" si="6"/>
        <v>40-49</v>
      </c>
      <c r="AK443" s="13" t="str">
        <f>IF(tblCleanData[[#This Row],[MonthlyIncome]]&lt;5000, "Low Income", IF(tblCleanData[[#This Row],[MonthlyIncome]]&lt;15000, "Medium Income", "High Income"))</f>
        <v>Low Income</v>
      </c>
      <c r="AL443" s="13">
        <f>IF(tblCleanData[[#This Row],[Attrition]]="No", 0,1)</f>
        <v>0</v>
      </c>
      <c r="AM443" s="13">
        <f>IF(tblCleanData[[#This Row],[OverTime]] = "No", 0, 1)</f>
        <v>0</v>
      </c>
      <c r="AN443" s="13" t="str">
        <f>CHOOSE(tblCleanData[[#This Row],[Education]], "Below College","College","Bachelor","Master","Doctor")</f>
        <v>College</v>
      </c>
      <c r="AO443" s="13" t="str">
        <f>VLOOKUP(tblCleanData[[#This Row],[EmployeeNumber]],tblHelpers[],15,TRUE)</f>
        <v>Medium Risk</v>
      </c>
      <c r="AP443" s="13">
        <f>VLOOKUP(tblCleanData[[#This Row],[EmployeeNumber]],tblHelpers[],14,0)</f>
        <v>53</v>
      </c>
    </row>
    <row r="444" spans="1:42" x14ac:dyDescent="0.25">
      <c r="A444" s="13">
        <v>36</v>
      </c>
      <c r="B444" s="13" t="s">
        <v>59</v>
      </c>
      <c r="C444" s="13" t="s">
        <v>161</v>
      </c>
      <c r="D444" s="13">
        <v>635</v>
      </c>
      <c r="E444" s="13" t="s">
        <v>39</v>
      </c>
      <c r="F444" s="13">
        <v>10</v>
      </c>
      <c r="G444" s="13">
        <v>4</v>
      </c>
      <c r="H444" s="13" t="s">
        <v>87</v>
      </c>
      <c r="I444" s="13">
        <v>1</v>
      </c>
      <c r="J444" s="13">
        <v>592</v>
      </c>
      <c r="K444" s="13">
        <v>2</v>
      </c>
      <c r="L444" s="13" t="s">
        <v>63</v>
      </c>
      <c r="M444" s="13">
        <v>32</v>
      </c>
      <c r="N444" s="13">
        <v>3</v>
      </c>
      <c r="O444" s="13">
        <v>3</v>
      </c>
      <c r="P444" s="13" t="s">
        <v>46</v>
      </c>
      <c r="Q444" s="13">
        <v>4</v>
      </c>
      <c r="R444" s="13" t="s">
        <v>48</v>
      </c>
      <c r="S444" s="20">
        <v>9980</v>
      </c>
      <c r="T444" s="13">
        <v>15318</v>
      </c>
      <c r="U444" s="13">
        <v>1</v>
      </c>
      <c r="V444" s="13" t="s">
        <v>52</v>
      </c>
      <c r="W444" s="13" t="s">
        <v>59</v>
      </c>
      <c r="X444" s="13">
        <v>14</v>
      </c>
      <c r="Y444" s="13">
        <v>3</v>
      </c>
      <c r="Z444" s="13">
        <v>4</v>
      </c>
      <c r="AA444" s="13">
        <v>80</v>
      </c>
      <c r="AB444" s="13">
        <v>0</v>
      </c>
      <c r="AC444" s="13">
        <v>10</v>
      </c>
      <c r="AD444" s="13">
        <v>3</v>
      </c>
      <c r="AE444" s="13">
        <v>2</v>
      </c>
      <c r="AF444" s="14">
        <v>10</v>
      </c>
      <c r="AG444" s="13">
        <v>3</v>
      </c>
      <c r="AH444" s="13">
        <v>9</v>
      </c>
      <c r="AI444" s="13">
        <v>7</v>
      </c>
      <c r="AJ444" s="13" t="str">
        <f t="shared" si="6"/>
        <v>30-39</v>
      </c>
      <c r="AK444" s="13" t="str">
        <f>IF(tblCleanData[[#This Row],[MonthlyIncome]]&lt;5000, "Low Income", IF(tblCleanData[[#This Row],[MonthlyIncome]]&lt;15000, "Medium Income", "High Income"))</f>
        <v>Medium Income</v>
      </c>
      <c r="AL444" s="13">
        <f>IF(tblCleanData[[#This Row],[Attrition]]="No", 0,1)</f>
        <v>0</v>
      </c>
      <c r="AM444" s="13">
        <f>IF(tblCleanData[[#This Row],[OverTime]] = "No", 0, 1)</f>
        <v>0</v>
      </c>
      <c r="AN444" s="13" t="str">
        <f>CHOOSE(tblCleanData[[#This Row],[Education]], "Below College","College","Bachelor","Master","Doctor")</f>
        <v>Master</v>
      </c>
      <c r="AO444" s="13" t="str">
        <f>VLOOKUP(tblCleanData[[#This Row],[EmployeeNumber]],tblHelpers[],15,TRUE)</f>
        <v>Medium Risk</v>
      </c>
      <c r="AP444" s="13">
        <f>VLOOKUP(tblCleanData[[#This Row],[EmployeeNumber]],tblHelpers[],14,0)</f>
        <v>39</v>
      </c>
    </row>
    <row r="445" spans="1:42" x14ac:dyDescent="0.25">
      <c r="A445" s="13">
        <v>22</v>
      </c>
      <c r="B445" s="13" t="s">
        <v>36</v>
      </c>
      <c r="C445" s="13" t="s">
        <v>60</v>
      </c>
      <c r="D445" s="13">
        <v>1368</v>
      </c>
      <c r="E445" s="13" t="s">
        <v>62</v>
      </c>
      <c r="F445" s="13">
        <v>4</v>
      </c>
      <c r="G445" s="13">
        <v>1</v>
      </c>
      <c r="H445" s="13" t="s">
        <v>228</v>
      </c>
      <c r="I445" s="13">
        <v>1</v>
      </c>
      <c r="J445" s="13">
        <v>593</v>
      </c>
      <c r="K445" s="13">
        <v>3</v>
      </c>
      <c r="L445" s="13" t="s">
        <v>63</v>
      </c>
      <c r="M445" s="13">
        <v>99</v>
      </c>
      <c r="N445" s="13">
        <v>2</v>
      </c>
      <c r="O445" s="13">
        <v>1</v>
      </c>
      <c r="P445" s="13" t="s">
        <v>76</v>
      </c>
      <c r="Q445" s="13">
        <v>3</v>
      </c>
      <c r="R445" s="13" t="s">
        <v>48</v>
      </c>
      <c r="S445" s="20">
        <v>3894</v>
      </c>
      <c r="T445" s="13">
        <v>9129</v>
      </c>
      <c r="U445" s="13">
        <v>5</v>
      </c>
      <c r="V445" s="13" t="s">
        <v>52</v>
      </c>
      <c r="W445" s="13" t="s">
        <v>59</v>
      </c>
      <c r="X445" s="13">
        <v>16</v>
      </c>
      <c r="Y445" s="13">
        <v>3</v>
      </c>
      <c r="Z445" s="13">
        <v>3</v>
      </c>
      <c r="AA445" s="13">
        <v>80</v>
      </c>
      <c r="AB445" s="13">
        <v>0</v>
      </c>
      <c r="AC445" s="13">
        <v>4</v>
      </c>
      <c r="AD445" s="13">
        <v>3</v>
      </c>
      <c r="AE445" s="13">
        <v>3</v>
      </c>
      <c r="AF445" s="14">
        <v>2</v>
      </c>
      <c r="AG445" s="13">
        <v>2</v>
      </c>
      <c r="AH445" s="13">
        <v>1</v>
      </c>
      <c r="AI445" s="13">
        <v>2</v>
      </c>
      <c r="AJ445" s="13" t="str">
        <f t="shared" si="6"/>
        <v>Under 30</v>
      </c>
      <c r="AK445" s="13" t="str">
        <f>IF(tblCleanData[[#This Row],[MonthlyIncome]]&lt;5000, "Low Income", IF(tblCleanData[[#This Row],[MonthlyIncome]]&lt;15000, "Medium Income", "High Income"))</f>
        <v>Low Income</v>
      </c>
      <c r="AL445" s="13">
        <f>IF(tblCleanData[[#This Row],[Attrition]]="No", 0,1)</f>
        <v>1</v>
      </c>
      <c r="AM445" s="13">
        <f>IF(tblCleanData[[#This Row],[OverTime]] = "No", 0, 1)</f>
        <v>0</v>
      </c>
      <c r="AN445" s="13" t="str">
        <f>CHOOSE(tblCleanData[[#This Row],[Education]], "Below College","College","Bachelor","Master","Doctor")</f>
        <v>Below College</v>
      </c>
      <c r="AO445" s="13" t="str">
        <f>VLOOKUP(tblCleanData[[#This Row],[EmployeeNumber]],tblHelpers[],15,TRUE)</f>
        <v>High Risk</v>
      </c>
      <c r="AP445" s="13">
        <f>VLOOKUP(tblCleanData[[#This Row],[EmployeeNumber]],tblHelpers[],14,0)</f>
        <v>73</v>
      </c>
    </row>
    <row r="446" spans="1:42" x14ac:dyDescent="0.25">
      <c r="A446" s="13">
        <v>48</v>
      </c>
      <c r="B446" s="13" t="s">
        <v>59</v>
      </c>
      <c r="C446" s="13" t="s">
        <v>37</v>
      </c>
      <c r="D446" s="13">
        <v>163</v>
      </c>
      <c r="E446" s="13" t="s">
        <v>39</v>
      </c>
      <c r="F446" s="13">
        <v>2</v>
      </c>
      <c r="G446" s="13">
        <v>5</v>
      </c>
      <c r="H446" s="13" t="s">
        <v>206</v>
      </c>
      <c r="I446" s="13">
        <v>1</v>
      </c>
      <c r="J446" s="13">
        <v>595</v>
      </c>
      <c r="K446" s="13">
        <v>2</v>
      </c>
      <c r="L446" s="13" t="s">
        <v>43</v>
      </c>
      <c r="M446" s="13">
        <v>37</v>
      </c>
      <c r="N446" s="13">
        <v>3</v>
      </c>
      <c r="O446" s="13">
        <v>2</v>
      </c>
      <c r="P446" s="13" t="s">
        <v>46</v>
      </c>
      <c r="Q446" s="13">
        <v>4</v>
      </c>
      <c r="R446" s="13" t="s">
        <v>66</v>
      </c>
      <c r="S446" s="20">
        <v>4051</v>
      </c>
      <c r="T446" s="13">
        <v>19658</v>
      </c>
      <c r="U446" s="13">
        <v>2</v>
      </c>
      <c r="V446" s="13" t="s">
        <v>52</v>
      </c>
      <c r="W446" s="13" t="s">
        <v>59</v>
      </c>
      <c r="X446" s="13">
        <v>14</v>
      </c>
      <c r="Y446" s="13">
        <v>3</v>
      </c>
      <c r="Z446" s="13">
        <v>1</v>
      </c>
      <c r="AA446" s="13">
        <v>80</v>
      </c>
      <c r="AB446" s="13">
        <v>1</v>
      </c>
      <c r="AC446" s="13">
        <v>14</v>
      </c>
      <c r="AD446" s="13">
        <v>2</v>
      </c>
      <c r="AE446" s="13">
        <v>3</v>
      </c>
      <c r="AF446" s="14">
        <v>9</v>
      </c>
      <c r="AG446" s="13">
        <v>7</v>
      </c>
      <c r="AH446" s="13">
        <v>6</v>
      </c>
      <c r="AI446" s="13">
        <v>7</v>
      </c>
      <c r="AJ446" s="13" t="str">
        <f t="shared" si="6"/>
        <v>40-49</v>
      </c>
      <c r="AK446" s="13" t="str">
        <f>IF(tblCleanData[[#This Row],[MonthlyIncome]]&lt;5000, "Low Income", IF(tblCleanData[[#This Row],[MonthlyIncome]]&lt;15000, "Medium Income", "High Income"))</f>
        <v>Low Income</v>
      </c>
      <c r="AL446" s="13">
        <f>IF(tblCleanData[[#This Row],[Attrition]]="No", 0,1)</f>
        <v>0</v>
      </c>
      <c r="AM446" s="13">
        <f>IF(tblCleanData[[#This Row],[OverTime]] = "No", 0, 1)</f>
        <v>0</v>
      </c>
      <c r="AN446" s="13" t="str">
        <f>CHOOSE(tblCleanData[[#This Row],[Education]], "Below College","College","Bachelor","Master","Doctor")</f>
        <v>Doctor</v>
      </c>
      <c r="AO446" s="13" t="str">
        <f>VLOOKUP(tblCleanData[[#This Row],[EmployeeNumber]],tblHelpers[],15,TRUE)</f>
        <v>Low Risk</v>
      </c>
      <c r="AP446" s="13">
        <f>VLOOKUP(tblCleanData[[#This Row],[EmployeeNumber]],tblHelpers[],14,0)</f>
        <v>29</v>
      </c>
    </row>
    <row r="447" spans="1:42" x14ac:dyDescent="0.25">
      <c r="A447" s="13">
        <v>55</v>
      </c>
      <c r="B447" s="13" t="s">
        <v>59</v>
      </c>
      <c r="C447" s="13" t="s">
        <v>37</v>
      </c>
      <c r="D447" s="13">
        <v>1117</v>
      </c>
      <c r="E447" s="13" t="s">
        <v>39</v>
      </c>
      <c r="F447" s="13">
        <v>18</v>
      </c>
      <c r="G447" s="13">
        <v>5</v>
      </c>
      <c r="H447" s="13" t="s">
        <v>42</v>
      </c>
      <c r="I447" s="13">
        <v>1</v>
      </c>
      <c r="J447" s="13">
        <v>597</v>
      </c>
      <c r="K447" s="13">
        <v>1</v>
      </c>
      <c r="L447" s="13" t="s">
        <v>43</v>
      </c>
      <c r="M447" s="13">
        <v>83</v>
      </c>
      <c r="N447" s="13">
        <v>3</v>
      </c>
      <c r="O447" s="13">
        <v>4</v>
      </c>
      <c r="P447" s="13" t="s">
        <v>169</v>
      </c>
      <c r="Q447" s="13">
        <v>2</v>
      </c>
      <c r="R447" s="13" t="s">
        <v>48</v>
      </c>
      <c r="S447" s="20">
        <v>16835</v>
      </c>
      <c r="T447" s="13">
        <v>9873</v>
      </c>
      <c r="U447" s="13">
        <v>3</v>
      </c>
      <c r="V447" s="13" t="s">
        <v>52</v>
      </c>
      <c r="W447" s="13" t="s">
        <v>59</v>
      </c>
      <c r="X447" s="13">
        <v>23</v>
      </c>
      <c r="Y447" s="13">
        <v>4</v>
      </c>
      <c r="Z447" s="13">
        <v>4</v>
      </c>
      <c r="AA447" s="13">
        <v>80</v>
      </c>
      <c r="AB447" s="13">
        <v>0</v>
      </c>
      <c r="AC447" s="13">
        <v>37</v>
      </c>
      <c r="AD447" s="13">
        <v>2</v>
      </c>
      <c r="AE447" s="13">
        <v>3</v>
      </c>
      <c r="AF447" s="14">
        <v>10</v>
      </c>
      <c r="AG447" s="13">
        <v>9</v>
      </c>
      <c r="AH447" s="13">
        <v>7</v>
      </c>
      <c r="AI447" s="13">
        <v>7</v>
      </c>
      <c r="AJ447" s="13" t="str">
        <f t="shared" si="6"/>
        <v>50+</v>
      </c>
      <c r="AK447" s="13" t="str">
        <f>IF(tblCleanData[[#This Row],[MonthlyIncome]]&lt;5000, "Low Income", IF(tblCleanData[[#This Row],[MonthlyIncome]]&lt;15000, "Medium Income", "High Income"))</f>
        <v>High Income</v>
      </c>
      <c r="AL447" s="13">
        <f>IF(tblCleanData[[#This Row],[Attrition]]="No", 0,1)</f>
        <v>0</v>
      </c>
      <c r="AM447" s="13">
        <f>IF(tblCleanData[[#This Row],[OverTime]] = "No", 0, 1)</f>
        <v>0</v>
      </c>
      <c r="AN447" s="13" t="str">
        <f>CHOOSE(tblCleanData[[#This Row],[Education]], "Below College","College","Bachelor","Master","Doctor")</f>
        <v>Doctor</v>
      </c>
      <c r="AO447" s="13" t="str">
        <f>VLOOKUP(tblCleanData[[#This Row],[EmployeeNumber]],tblHelpers[],15,TRUE)</f>
        <v>Medium Risk</v>
      </c>
      <c r="AP447" s="13">
        <f>VLOOKUP(tblCleanData[[#This Row],[EmployeeNumber]],tblHelpers[],14,0)</f>
        <v>47</v>
      </c>
    </row>
    <row r="448" spans="1:42" x14ac:dyDescent="0.25">
      <c r="A448" s="13">
        <v>41</v>
      </c>
      <c r="B448" s="13" t="s">
        <v>59</v>
      </c>
      <c r="C448" s="13" t="s">
        <v>161</v>
      </c>
      <c r="D448" s="13">
        <v>267</v>
      </c>
      <c r="E448" s="13" t="s">
        <v>39</v>
      </c>
      <c r="F448" s="13">
        <v>10</v>
      </c>
      <c r="G448" s="13">
        <v>2</v>
      </c>
      <c r="H448" s="13" t="s">
        <v>42</v>
      </c>
      <c r="I448" s="13">
        <v>1</v>
      </c>
      <c r="J448" s="13">
        <v>599</v>
      </c>
      <c r="K448" s="13">
        <v>4</v>
      </c>
      <c r="L448" s="13" t="s">
        <v>63</v>
      </c>
      <c r="M448" s="13">
        <v>56</v>
      </c>
      <c r="N448" s="13">
        <v>3</v>
      </c>
      <c r="O448" s="13">
        <v>2</v>
      </c>
      <c r="P448" s="13" t="s">
        <v>46</v>
      </c>
      <c r="Q448" s="13">
        <v>4</v>
      </c>
      <c r="R448" s="13" t="s">
        <v>48</v>
      </c>
      <c r="S448" s="20">
        <v>6230</v>
      </c>
      <c r="T448" s="13">
        <v>13430</v>
      </c>
      <c r="U448" s="13">
        <v>7</v>
      </c>
      <c r="V448" s="13" t="s">
        <v>52</v>
      </c>
      <c r="W448" s="13" t="s">
        <v>59</v>
      </c>
      <c r="X448" s="13">
        <v>14</v>
      </c>
      <c r="Y448" s="13">
        <v>3</v>
      </c>
      <c r="Z448" s="13">
        <v>4</v>
      </c>
      <c r="AA448" s="13">
        <v>80</v>
      </c>
      <c r="AB448" s="13">
        <v>0</v>
      </c>
      <c r="AC448" s="13">
        <v>16</v>
      </c>
      <c r="AD448" s="13">
        <v>3</v>
      </c>
      <c r="AE448" s="13">
        <v>3</v>
      </c>
      <c r="AF448" s="14">
        <v>14</v>
      </c>
      <c r="AG448" s="13">
        <v>3</v>
      </c>
      <c r="AH448" s="13">
        <v>1</v>
      </c>
      <c r="AI448" s="13">
        <v>10</v>
      </c>
      <c r="AJ448" s="13" t="str">
        <f t="shared" si="6"/>
        <v>40-49</v>
      </c>
      <c r="AK448" s="13" t="str">
        <f>IF(tblCleanData[[#This Row],[MonthlyIncome]]&lt;5000, "Low Income", IF(tblCleanData[[#This Row],[MonthlyIncome]]&lt;15000, "Medium Income", "High Income"))</f>
        <v>Medium Income</v>
      </c>
      <c r="AL448" s="13">
        <f>IF(tblCleanData[[#This Row],[Attrition]]="No", 0,1)</f>
        <v>0</v>
      </c>
      <c r="AM448" s="13">
        <f>IF(tblCleanData[[#This Row],[OverTime]] = "No", 0, 1)</f>
        <v>0</v>
      </c>
      <c r="AN448" s="13" t="str">
        <f>CHOOSE(tblCleanData[[#This Row],[Education]], "Below College","College","Bachelor","Master","Doctor")</f>
        <v>College</v>
      </c>
      <c r="AO448" s="13" t="str">
        <f>VLOOKUP(tblCleanData[[#This Row],[EmployeeNumber]],tblHelpers[],15,TRUE)</f>
        <v>Low Risk</v>
      </c>
      <c r="AP448" s="13">
        <f>VLOOKUP(tblCleanData[[#This Row],[EmployeeNumber]],tblHelpers[],14,0)</f>
        <v>24</v>
      </c>
    </row>
    <row r="449" spans="1:42" x14ac:dyDescent="0.25">
      <c r="A449" s="13">
        <v>35</v>
      </c>
      <c r="B449" s="13" t="s">
        <v>59</v>
      </c>
      <c r="C449" s="13" t="s">
        <v>37</v>
      </c>
      <c r="D449" s="13">
        <v>619</v>
      </c>
      <c r="E449" s="13" t="s">
        <v>39</v>
      </c>
      <c r="F449" s="13">
        <v>1</v>
      </c>
      <c r="G449" s="13">
        <v>3</v>
      </c>
      <c r="H449" s="13" t="s">
        <v>206</v>
      </c>
      <c r="I449" s="13">
        <v>1</v>
      </c>
      <c r="J449" s="13">
        <v>600</v>
      </c>
      <c r="K449" s="13">
        <v>2</v>
      </c>
      <c r="L449" s="13" t="s">
        <v>63</v>
      </c>
      <c r="M449" s="13">
        <v>85</v>
      </c>
      <c r="N449" s="13">
        <v>3</v>
      </c>
      <c r="O449" s="13">
        <v>2</v>
      </c>
      <c r="P449" s="13" t="s">
        <v>46</v>
      </c>
      <c r="Q449" s="13">
        <v>3</v>
      </c>
      <c r="R449" s="13" t="s">
        <v>66</v>
      </c>
      <c r="S449" s="20">
        <v>4717</v>
      </c>
      <c r="T449" s="13">
        <v>18659</v>
      </c>
      <c r="U449" s="13">
        <v>9</v>
      </c>
      <c r="V449" s="13" t="s">
        <v>52</v>
      </c>
      <c r="W449" s="13" t="s">
        <v>59</v>
      </c>
      <c r="X449" s="13">
        <v>11</v>
      </c>
      <c r="Y449" s="13">
        <v>3</v>
      </c>
      <c r="Z449" s="13">
        <v>3</v>
      </c>
      <c r="AA449" s="13">
        <v>80</v>
      </c>
      <c r="AB449" s="13">
        <v>0</v>
      </c>
      <c r="AC449" s="13">
        <v>15</v>
      </c>
      <c r="AD449" s="13">
        <v>2</v>
      </c>
      <c r="AE449" s="13">
        <v>3</v>
      </c>
      <c r="AF449" s="14">
        <v>11</v>
      </c>
      <c r="AG449" s="13">
        <v>9</v>
      </c>
      <c r="AH449" s="13">
        <v>6</v>
      </c>
      <c r="AI449" s="13">
        <v>9</v>
      </c>
      <c r="AJ449" s="13" t="str">
        <f t="shared" si="6"/>
        <v>30-39</v>
      </c>
      <c r="AK449" s="13" t="str">
        <f>IF(tblCleanData[[#This Row],[MonthlyIncome]]&lt;5000, "Low Income", IF(tblCleanData[[#This Row],[MonthlyIncome]]&lt;15000, "Medium Income", "High Income"))</f>
        <v>Low Income</v>
      </c>
      <c r="AL449" s="13">
        <f>IF(tblCleanData[[#This Row],[Attrition]]="No", 0,1)</f>
        <v>0</v>
      </c>
      <c r="AM449" s="13">
        <f>IF(tblCleanData[[#This Row],[OverTime]] = "No", 0, 1)</f>
        <v>0</v>
      </c>
      <c r="AN449" s="13" t="str">
        <f>CHOOSE(tblCleanData[[#This Row],[Education]], "Below College","College","Bachelor","Master","Doctor")</f>
        <v>Bachelor</v>
      </c>
      <c r="AO449" s="13" t="str">
        <f>VLOOKUP(tblCleanData[[#This Row],[EmployeeNumber]],tblHelpers[],15,TRUE)</f>
        <v>Medium Risk</v>
      </c>
      <c r="AP449" s="13">
        <f>VLOOKUP(tblCleanData[[#This Row],[EmployeeNumber]],tblHelpers[],14,0)</f>
        <v>41</v>
      </c>
    </row>
    <row r="450" spans="1:42" x14ac:dyDescent="0.25">
      <c r="A450" s="13">
        <v>40</v>
      </c>
      <c r="B450" s="13" t="s">
        <v>59</v>
      </c>
      <c r="C450" s="13" t="s">
        <v>37</v>
      </c>
      <c r="D450" s="13">
        <v>302</v>
      </c>
      <c r="E450" s="13" t="s">
        <v>62</v>
      </c>
      <c r="F450" s="13">
        <v>6</v>
      </c>
      <c r="G450" s="13">
        <v>3</v>
      </c>
      <c r="H450" s="13" t="s">
        <v>42</v>
      </c>
      <c r="I450" s="13">
        <v>1</v>
      </c>
      <c r="J450" s="13">
        <v>601</v>
      </c>
      <c r="K450" s="13">
        <v>2</v>
      </c>
      <c r="L450" s="13" t="s">
        <v>43</v>
      </c>
      <c r="M450" s="13">
        <v>75</v>
      </c>
      <c r="N450" s="13">
        <v>3</v>
      </c>
      <c r="O450" s="13">
        <v>4</v>
      </c>
      <c r="P450" s="13" t="s">
        <v>116</v>
      </c>
      <c r="Q450" s="13">
        <v>3</v>
      </c>
      <c r="R450" s="13" t="s">
        <v>48</v>
      </c>
      <c r="S450" s="20">
        <v>13237</v>
      </c>
      <c r="T450" s="13">
        <v>20364</v>
      </c>
      <c r="U450" s="13">
        <v>7</v>
      </c>
      <c r="V450" s="13" t="s">
        <v>52</v>
      </c>
      <c r="W450" s="13" t="s">
        <v>59</v>
      </c>
      <c r="X450" s="13">
        <v>15</v>
      </c>
      <c r="Y450" s="13">
        <v>3</v>
      </c>
      <c r="Z450" s="13">
        <v>3</v>
      </c>
      <c r="AA450" s="13">
        <v>80</v>
      </c>
      <c r="AB450" s="13">
        <v>0</v>
      </c>
      <c r="AC450" s="13">
        <v>22</v>
      </c>
      <c r="AD450" s="13">
        <v>3</v>
      </c>
      <c r="AE450" s="13">
        <v>3</v>
      </c>
      <c r="AF450" s="14">
        <v>20</v>
      </c>
      <c r="AG450" s="13">
        <v>6</v>
      </c>
      <c r="AH450" s="13">
        <v>5</v>
      </c>
      <c r="AI450" s="13">
        <v>13</v>
      </c>
      <c r="AJ450" s="13" t="str">
        <f t="shared" ref="AJ450:AJ513" si="7">IF(A450&lt;30,"Under 30", IF(A450&lt;40,"30-39", IF(A450&lt;50,"40-49", "50+")))</f>
        <v>40-49</v>
      </c>
      <c r="AK450" s="13" t="str">
        <f>IF(tblCleanData[[#This Row],[MonthlyIncome]]&lt;5000, "Low Income", IF(tblCleanData[[#This Row],[MonthlyIncome]]&lt;15000, "Medium Income", "High Income"))</f>
        <v>Medium Income</v>
      </c>
      <c r="AL450" s="13">
        <f>IF(tblCleanData[[#This Row],[Attrition]]="No", 0,1)</f>
        <v>0</v>
      </c>
      <c r="AM450" s="13">
        <f>IF(tblCleanData[[#This Row],[OverTime]] = "No", 0, 1)</f>
        <v>0</v>
      </c>
      <c r="AN450" s="13" t="str">
        <f>CHOOSE(tblCleanData[[#This Row],[Education]], "Below College","College","Bachelor","Master","Doctor")</f>
        <v>Bachelor</v>
      </c>
      <c r="AO450" s="13" t="str">
        <f>VLOOKUP(tblCleanData[[#This Row],[EmployeeNumber]],tblHelpers[],15,TRUE)</f>
        <v>Low Risk</v>
      </c>
      <c r="AP450" s="13">
        <f>VLOOKUP(tblCleanData[[#This Row],[EmployeeNumber]],tblHelpers[],14,0)</f>
        <v>31</v>
      </c>
    </row>
    <row r="451" spans="1:42" x14ac:dyDescent="0.25">
      <c r="A451" s="13">
        <v>39</v>
      </c>
      <c r="B451" s="13" t="s">
        <v>59</v>
      </c>
      <c r="C451" s="13" t="s">
        <v>60</v>
      </c>
      <c r="D451" s="13">
        <v>443</v>
      </c>
      <c r="E451" s="13" t="s">
        <v>62</v>
      </c>
      <c r="F451" s="13">
        <v>8</v>
      </c>
      <c r="G451" s="13">
        <v>1</v>
      </c>
      <c r="H451" s="13" t="s">
        <v>42</v>
      </c>
      <c r="I451" s="13">
        <v>1</v>
      </c>
      <c r="J451" s="13">
        <v>602</v>
      </c>
      <c r="K451" s="13">
        <v>3</v>
      </c>
      <c r="L451" s="13" t="s">
        <v>43</v>
      </c>
      <c r="M451" s="13">
        <v>48</v>
      </c>
      <c r="N451" s="13">
        <v>3</v>
      </c>
      <c r="O451" s="13">
        <v>1</v>
      </c>
      <c r="P451" s="13" t="s">
        <v>76</v>
      </c>
      <c r="Q451" s="13">
        <v>3</v>
      </c>
      <c r="R451" s="13" t="s">
        <v>66</v>
      </c>
      <c r="S451" s="20">
        <v>3755</v>
      </c>
      <c r="T451" s="13">
        <v>17872</v>
      </c>
      <c r="U451" s="13">
        <v>1</v>
      </c>
      <c r="V451" s="13" t="s">
        <v>52</v>
      </c>
      <c r="W451" s="13" t="s">
        <v>59</v>
      </c>
      <c r="X451" s="13">
        <v>11</v>
      </c>
      <c r="Y451" s="13">
        <v>3</v>
      </c>
      <c r="Z451" s="13">
        <v>1</v>
      </c>
      <c r="AA451" s="13">
        <v>80</v>
      </c>
      <c r="AB451" s="13">
        <v>1</v>
      </c>
      <c r="AC451" s="13">
        <v>8</v>
      </c>
      <c r="AD451" s="13">
        <v>3</v>
      </c>
      <c r="AE451" s="13">
        <v>3</v>
      </c>
      <c r="AF451" s="14">
        <v>8</v>
      </c>
      <c r="AG451" s="13">
        <v>3</v>
      </c>
      <c r="AH451" s="13">
        <v>0</v>
      </c>
      <c r="AI451" s="13">
        <v>7</v>
      </c>
      <c r="AJ451" s="13" t="str">
        <f t="shared" si="7"/>
        <v>30-39</v>
      </c>
      <c r="AK451" s="13" t="str">
        <f>IF(tblCleanData[[#This Row],[MonthlyIncome]]&lt;5000, "Low Income", IF(tblCleanData[[#This Row],[MonthlyIncome]]&lt;15000, "Medium Income", "High Income"))</f>
        <v>Low Income</v>
      </c>
      <c r="AL451" s="13">
        <f>IF(tblCleanData[[#This Row],[Attrition]]="No", 0,1)</f>
        <v>0</v>
      </c>
      <c r="AM451" s="13">
        <f>IF(tblCleanData[[#This Row],[OverTime]] = "No", 0, 1)</f>
        <v>0</v>
      </c>
      <c r="AN451" s="13" t="str">
        <f>CHOOSE(tblCleanData[[#This Row],[Education]], "Below College","College","Bachelor","Master","Doctor")</f>
        <v>Below College</v>
      </c>
      <c r="AO451" s="13" t="str">
        <f>VLOOKUP(tblCleanData[[#This Row],[EmployeeNumber]],tblHelpers[],15,TRUE)</f>
        <v>Medium Risk</v>
      </c>
      <c r="AP451" s="13">
        <f>VLOOKUP(tblCleanData[[#This Row],[EmployeeNumber]],tblHelpers[],14,0)</f>
        <v>46</v>
      </c>
    </row>
    <row r="452" spans="1:42" x14ac:dyDescent="0.25">
      <c r="A452" s="13">
        <v>31</v>
      </c>
      <c r="B452" s="13" t="s">
        <v>59</v>
      </c>
      <c r="C452" s="13" t="s">
        <v>37</v>
      </c>
      <c r="D452" s="13">
        <v>828</v>
      </c>
      <c r="E452" s="13" t="s">
        <v>39</v>
      </c>
      <c r="F452" s="13">
        <v>2</v>
      </c>
      <c r="G452" s="13">
        <v>1</v>
      </c>
      <c r="H452" s="13" t="s">
        <v>42</v>
      </c>
      <c r="I452" s="13">
        <v>1</v>
      </c>
      <c r="J452" s="13">
        <v>604</v>
      </c>
      <c r="K452" s="13">
        <v>2</v>
      </c>
      <c r="L452" s="13" t="s">
        <v>63</v>
      </c>
      <c r="M452" s="13">
        <v>77</v>
      </c>
      <c r="N452" s="13">
        <v>3</v>
      </c>
      <c r="O452" s="13">
        <v>2</v>
      </c>
      <c r="P452" s="13" t="s">
        <v>46</v>
      </c>
      <c r="Q452" s="13">
        <v>4</v>
      </c>
      <c r="R452" s="13" t="s">
        <v>48</v>
      </c>
      <c r="S452" s="20">
        <v>6582</v>
      </c>
      <c r="T452" s="13">
        <v>8346</v>
      </c>
      <c r="U452" s="13">
        <v>4</v>
      </c>
      <c r="V452" s="13" t="s">
        <v>52</v>
      </c>
      <c r="W452" s="13" t="s">
        <v>36</v>
      </c>
      <c r="X452" s="13">
        <v>13</v>
      </c>
      <c r="Y452" s="13">
        <v>3</v>
      </c>
      <c r="Z452" s="13">
        <v>3</v>
      </c>
      <c r="AA452" s="13">
        <v>80</v>
      </c>
      <c r="AB452" s="13">
        <v>0</v>
      </c>
      <c r="AC452" s="13">
        <v>10</v>
      </c>
      <c r="AD452" s="13">
        <v>2</v>
      </c>
      <c r="AE452" s="13">
        <v>4</v>
      </c>
      <c r="AF452" s="14">
        <v>6</v>
      </c>
      <c r="AG452" s="13">
        <v>5</v>
      </c>
      <c r="AH452" s="13">
        <v>0</v>
      </c>
      <c r="AI452" s="13">
        <v>5</v>
      </c>
      <c r="AJ452" s="13" t="str">
        <f t="shared" si="7"/>
        <v>30-39</v>
      </c>
      <c r="AK452" s="13" t="str">
        <f>IF(tblCleanData[[#This Row],[MonthlyIncome]]&lt;5000, "Low Income", IF(tblCleanData[[#This Row],[MonthlyIncome]]&lt;15000, "Medium Income", "High Income"))</f>
        <v>Medium Income</v>
      </c>
      <c r="AL452" s="13">
        <f>IF(tblCleanData[[#This Row],[Attrition]]="No", 0,1)</f>
        <v>0</v>
      </c>
      <c r="AM452" s="13">
        <f>IF(tblCleanData[[#This Row],[OverTime]] = "No", 0, 1)</f>
        <v>1</v>
      </c>
      <c r="AN452" s="13" t="str">
        <f>CHOOSE(tblCleanData[[#This Row],[Education]], "Below College","College","Bachelor","Master","Doctor")</f>
        <v>Below College</v>
      </c>
      <c r="AO452" s="13" t="str">
        <f>VLOOKUP(tblCleanData[[#This Row],[EmployeeNumber]],tblHelpers[],15,TRUE)</f>
        <v>High Risk</v>
      </c>
      <c r="AP452" s="13">
        <f>VLOOKUP(tblCleanData[[#This Row],[EmployeeNumber]],tblHelpers[],14,0)</f>
        <v>64</v>
      </c>
    </row>
    <row r="453" spans="1:42" x14ac:dyDescent="0.25">
      <c r="A453" s="13">
        <v>42</v>
      </c>
      <c r="B453" s="13" t="s">
        <v>59</v>
      </c>
      <c r="C453" s="13" t="s">
        <v>37</v>
      </c>
      <c r="D453" s="13">
        <v>319</v>
      </c>
      <c r="E453" s="13" t="s">
        <v>62</v>
      </c>
      <c r="F453" s="13">
        <v>24</v>
      </c>
      <c r="G453" s="13">
        <v>3</v>
      </c>
      <c r="H453" s="13" t="s">
        <v>87</v>
      </c>
      <c r="I453" s="13">
        <v>1</v>
      </c>
      <c r="J453" s="13">
        <v>605</v>
      </c>
      <c r="K453" s="13">
        <v>4</v>
      </c>
      <c r="L453" s="13" t="s">
        <v>63</v>
      </c>
      <c r="M453" s="13">
        <v>56</v>
      </c>
      <c r="N453" s="13">
        <v>3</v>
      </c>
      <c r="O453" s="13">
        <v>3</v>
      </c>
      <c r="P453" s="13" t="s">
        <v>116</v>
      </c>
      <c r="Q453" s="13">
        <v>1</v>
      </c>
      <c r="R453" s="13" t="s">
        <v>66</v>
      </c>
      <c r="S453" s="20">
        <v>7406</v>
      </c>
      <c r="T453" s="13">
        <v>6950</v>
      </c>
      <c r="U453" s="13">
        <v>1</v>
      </c>
      <c r="V453" s="13" t="s">
        <v>52</v>
      </c>
      <c r="W453" s="13" t="s">
        <v>36</v>
      </c>
      <c r="X453" s="13">
        <v>21</v>
      </c>
      <c r="Y453" s="13">
        <v>4</v>
      </c>
      <c r="Z453" s="13">
        <v>4</v>
      </c>
      <c r="AA453" s="13">
        <v>80</v>
      </c>
      <c r="AB453" s="13">
        <v>1</v>
      </c>
      <c r="AC453" s="13">
        <v>10</v>
      </c>
      <c r="AD453" s="13">
        <v>5</v>
      </c>
      <c r="AE453" s="13">
        <v>2</v>
      </c>
      <c r="AF453" s="14">
        <v>10</v>
      </c>
      <c r="AG453" s="13">
        <v>9</v>
      </c>
      <c r="AH453" s="13">
        <v>5</v>
      </c>
      <c r="AI453" s="13">
        <v>8</v>
      </c>
      <c r="AJ453" s="13" t="str">
        <f t="shared" si="7"/>
        <v>40-49</v>
      </c>
      <c r="AK453" s="13" t="str">
        <f>IF(tblCleanData[[#This Row],[MonthlyIncome]]&lt;5000, "Low Income", IF(tblCleanData[[#This Row],[MonthlyIncome]]&lt;15000, "Medium Income", "High Income"))</f>
        <v>Medium Income</v>
      </c>
      <c r="AL453" s="13">
        <f>IF(tblCleanData[[#This Row],[Attrition]]="No", 0,1)</f>
        <v>0</v>
      </c>
      <c r="AM453" s="13">
        <f>IF(tblCleanData[[#This Row],[OverTime]] = "No", 0, 1)</f>
        <v>1</v>
      </c>
      <c r="AN453" s="13" t="str">
        <f>CHOOSE(tblCleanData[[#This Row],[Education]], "Below College","College","Bachelor","Master","Doctor")</f>
        <v>Bachelor</v>
      </c>
      <c r="AO453" s="13" t="str">
        <f>VLOOKUP(tblCleanData[[#This Row],[EmployeeNumber]],tblHelpers[],15,TRUE)</f>
        <v>High Risk</v>
      </c>
      <c r="AP453" s="13">
        <f>VLOOKUP(tblCleanData[[#This Row],[EmployeeNumber]],tblHelpers[],14,0)</f>
        <v>73</v>
      </c>
    </row>
    <row r="454" spans="1:42" x14ac:dyDescent="0.25">
      <c r="A454" s="13">
        <v>45</v>
      </c>
      <c r="B454" s="13" t="s">
        <v>59</v>
      </c>
      <c r="C454" s="13" t="s">
        <v>37</v>
      </c>
      <c r="D454" s="13">
        <v>561</v>
      </c>
      <c r="E454" s="13" t="s">
        <v>39</v>
      </c>
      <c r="F454" s="13">
        <v>2</v>
      </c>
      <c r="G454" s="13">
        <v>3</v>
      </c>
      <c r="H454" s="13" t="s">
        <v>74</v>
      </c>
      <c r="I454" s="13">
        <v>1</v>
      </c>
      <c r="J454" s="13">
        <v>606</v>
      </c>
      <c r="K454" s="13">
        <v>4</v>
      </c>
      <c r="L454" s="13" t="s">
        <v>63</v>
      </c>
      <c r="M454" s="13">
        <v>61</v>
      </c>
      <c r="N454" s="13">
        <v>3</v>
      </c>
      <c r="O454" s="13">
        <v>2</v>
      </c>
      <c r="P454" s="13" t="s">
        <v>46</v>
      </c>
      <c r="Q454" s="13">
        <v>2</v>
      </c>
      <c r="R454" s="13" t="s">
        <v>66</v>
      </c>
      <c r="S454" s="20">
        <v>4805</v>
      </c>
      <c r="T454" s="13">
        <v>16177</v>
      </c>
      <c r="U454" s="13">
        <v>0</v>
      </c>
      <c r="V454" s="13" t="s">
        <v>52</v>
      </c>
      <c r="W454" s="13" t="s">
        <v>59</v>
      </c>
      <c r="X454" s="13">
        <v>19</v>
      </c>
      <c r="Y454" s="13">
        <v>3</v>
      </c>
      <c r="Z454" s="13">
        <v>2</v>
      </c>
      <c r="AA454" s="13">
        <v>80</v>
      </c>
      <c r="AB454" s="13">
        <v>1</v>
      </c>
      <c r="AC454" s="13">
        <v>9</v>
      </c>
      <c r="AD454" s="13">
        <v>3</v>
      </c>
      <c r="AE454" s="13">
        <v>4</v>
      </c>
      <c r="AF454" s="14">
        <v>8</v>
      </c>
      <c r="AG454" s="13">
        <v>7</v>
      </c>
      <c r="AH454" s="13">
        <v>3</v>
      </c>
      <c r="AI454" s="13">
        <v>7</v>
      </c>
      <c r="AJ454" s="13" t="str">
        <f t="shared" si="7"/>
        <v>40-49</v>
      </c>
      <c r="AK454" s="13" t="str">
        <f>IF(tblCleanData[[#This Row],[MonthlyIncome]]&lt;5000, "Low Income", IF(tblCleanData[[#This Row],[MonthlyIncome]]&lt;15000, "Medium Income", "High Income"))</f>
        <v>Low Income</v>
      </c>
      <c r="AL454" s="13">
        <f>IF(tblCleanData[[#This Row],[Attrition]]="No", 0,1)</f>
        <v>0</v>
      </c>
      <c r="AM454" s="13">
        <f>IF(tblCleanData[[#This Row],[OverTime]] = "No", 0, 1)</f>
        <v>0</v>
      </c>
      <c r="AN454" s="13" t="str">
        <f>CHOOSE(tblCleanData[[#This Row],[Education]], "Below College","College","Bachelor","Master","Doctor")</f>
        <v>Bachelor</v>
      </c>
      <c r="AO454" s="13" t="str">
        <f>VLOOKUP(tblCleanData[[#This Row],[EmployeeNumber]],tblHelpers[],15,TRUE)</f>
        <v>Medium Risk</v>
      </c>
      <c r="AP454" s="13">
        <f>VLOOKUP(tblCleanData[[#This Row],[EmployeeNumber]],tblHelpers[],14,0)</f>
        <v>42</v>
      </c>
    </row>
    <row r="455" spans="1:42" x14ac:dyDescent="0.25">
      <c r="A455" s="13">
        <v>26</v>
      </c>
      <c r="B455" s="13" t="s">
        <v>36</v>
      </c>
      <c r="C455" s="13" t="s">
        <v>60</v>
      </c>
      <c r="D455" s="13">
        <v>426</v>
      </c>
      <c r="E455" s="13" t="s">
        <v>397</v>
      </c>
      <c r="F455" s="13">
        <v>17</v>
      </c>
      <c r="G455" s="13">
        <v>4</v>
      </c>
      <c r="H455" s="13" t="s">
        <v>42</v>
      </c>
      <c r="I455" s="13">
        <v>1</v>
      </c>
      <c r="J455" s="13">
        <v>608</v>
      </c>
      <c r="K455" s="13">
        <v>2</v>
      </c>
      <c r="L455" s="13" t="s">
        <v>43</v>
      </c>
      <c r="M455" s="13">
        <v>58</v>
      </c>
      <c r="N455" s="13">
        <v>3</v>
      </c>
      <c r="O455" s="13">
        <v>1</v>
      </c>
      <c r="P455" s="13" t="s">
        <v>397</v>
      </c>
      <c r="Q455" s="13">
        <v>3</v>
      </c>
      <c r="R455" s="13" t="s">
        <v>109</v>
      </c>
      <c r="S455" s="20">
        <v>2741</v>
      </c>
      <c r="T455" s="13">
        <v>22808</v>
      </c>
      <c r="U455" s="13">
        <v>0</v>
      </c>
      <c r="V455" s="13" t="s">
        <v>52</v>
      </c>
      <c r="W455" s="13" t="s">
        <v>36</v>
      </c>
      <c r="X455" s="13">
        <v>11</v>
      </c>
      <c r="Y455" s="13">
        <v>3</v>
      </c>
      <c r="Z455" s="13">
        <v>2</v>
      </c>
      <c r="AA455" s="13">
        <v>80</v>
      </c>
      <c r="AB455" s="13">
        <v>1</v>
      </c>
      <c r="AC455" s="13">
        <v>8</v>
      </c>
      <c r="AD455" s="13">
        <v>2</v>
      </c>
      <c r="AE455" s="13">
        <v>2</v>
      </c>
      <c r="AF455" s="14">
        <v>7</v>
      </c>
      <c r="AG455" s="13">
        <v>7</v>
      </c>
      <c r="AH455" s="13">
        <v>1</v>
      </c>
      <c r="AI455" s="13">
        <v>0</v>
      </c>
      <c r="AJ455" s="13" t="str">
        <f t="shared" si="7"/>
        <v>Under 30</v>
      </c>
      <c r="AK455" s="13" t="str">
        <f>IF(tblCleanData[[#This Row],[MonthlyIncome]]&lt;5000, "Low Income", IF(tblCleanData[[#This Row],[MonthlyIncome]]&lt;15000, "Medium Income", "High Income"))</f>
        <v>Low Income</v>
      </c>
      <c r="AL455" s="13">
        <f>IF(tblCleanData[[#This Row],[Attrition]]="No", 0,1)</f>
        <v>1</v>
      </c>
      <c r="AM455" s="13">
        <f>IF(tblCleanData[[#This Row],[OverTime]] = "No", 0, 1)</f>
        <v>1</v>
      </c>
      <c r="AN455" s="13" t="str">
        <f>CHOOSE(tblCleanData[[#This Row],[Education]], "Below College","College","Bachelor","Master","Doctor")</f>
        <v>Master</v>
      </c>
      <c r="AO455" s="13" t="str">
        <f>VLOOKUP(tblCleanData[[#This Row],[EmployeeNumber]],tblHelpers[],15,TRUE)</f>
        <v>High Risk</v>
      </c>
      <c r="AP455" s="13">
        <f>VLOOKUP(tblCleanData[[#This Row],[EmployeeNumber]],tblHelpers[],14,0)</f>
        <v>81</v>
      </c>
    </row>
    <row r="456" spans="1:42" x14ac:dyDescent="0.25">
      <c r="A456" s="13">
        <v>29</v>
      </c>
      <c r="B456" s="13" t="s">
        <v>59</v>
      </c>
      <c r="C456" s="13" t="s">
        <v>37</v>
      </c>
      <c r="D456" s="13">
        <v>232</v>
      </c>
      <c r="E456" s="13" t="s">
        <v>62</v>
      </c>
      <c r="F456" s="13">
        <v>19</v>
      </c>
      <c r="G456" s="13">
        <v>3</v>
      </c>
      <c r="H456" s="13" t="s">
        <v>228</v>
      </c>
      <c r="I456" s="13">
        <v>1</v>
      </c>
      <c r="J456" s="13">
        <v>611</v>
      </c>
      <c r="K456" s="13">
        <v>4</v>
      </c>
      <c r="L456" s="13" t="s">
        <v>63</v>
      </c>
      <c r="M456" s="13">
        <v>34</v>
      </c>
      <c r="N456" s="13">
        <v>3</v>
      </c>
      <c r="O456" s="13">
        <v>2</v>
      </c>
      <c r="P456" s="13" t="s">
        <v>116</v>
      </c>
      <c r="Q456" s="13">
        <v>4</v>
      </c>
      <c r="R456" s="13" t="s">
        <v>109</v>
      </c>
      <c r="S456" s="20">
        <v>4262</v>
      </c>
      <c r="T456" s="13">
        <v>22645</v>
      </c>
      <c r="U456" s="13">
        <v>4</v>
      </c>
      <c r="V456" s="13" t="s">
        <v>52</v>
      </c>
      <c r="W456" s="13" t="s">
        <v>59</v>
      </c>
      <c r="X456" s="13">
        <v>12</v>
      </c>
      <c r="Y456" s="13">
        <v>3</v>
      </c>
      <c r="Z456" s="13">
        <v>2</v>
      </c>
      <c r="AA456" s="13">
        <v>80</v>
      </c>
      <c r="AB456" s="13">
        <v>2</v>
      </c>
      <c r="AC456" s="13">
        <v>8</v>
      </c>
      <c r="AD456" s="13">
        <v>2</v>
      </c>
      <c r="AE456" s="13">
        <v>4</v>
      </c>
      <c r="AF456" s="14">
        <v>3</v>
      </c>
      <c r="AG456" s="13">
        <v>2</v>
      </c>
      <c r="AH456" s="13">
        <v>1</v>
      </c>
      <c r="AI456" s="13">
        <v>2</v>
      </c>
      <c r="AJ456" s="13" t="str">
        <f t="shared" si="7"/>
        <v>Under 30</v>
      </c>
      <c r="AK456" s="13" t="str">
        <f>IF(tblCleanData[[#This Row],[MonthlyIncome]]&lt;5000, "Low Income", IF(tblCleanData[[#This Row],[MonthlyIncome]]&lt;15000, "Medium Income", "High Income"))</f>
        <v>Low Income</v>
      </c>
      <c r="AL456" s="13">
        <f>IF(tblCleanData[[#This Row],[Attrition]]="No", 0,1)</f>
        <v>0</v>
      </c>
      <c r="AM456" s="13">
        <f>IF(tblCleanData[[#This Row],[OverTime]] = "No", 0, 1)</f>
        <v>0</v>
      </c>
      <c r="AN456" s="13" t="str">
        <f>CHOOSE(tblCleanData[[#This Row],[Education]], "Below College","College","Bachelor","Master","Doctor")</f>
        <v>Bachelor</v>
      </c>
      <c r="AO456" s="13" t="str">
        <f>VLOOKUP(tblCleanData[[#This Row],[EmployeeNumber]],tblHelpers[],15,TRUE)</f>
        <v>High Risk</v>
      </c>
      <c r="AP456" s="13">
        <f>VLOOKUP(tblCleanData[[#This Row],[EmployeeNumber]],tblHelpers[],14,0)</f>
        <v>56</v>
      </c>
    </row>
    <row r="457" spans="1:42" x14ac:dyDescent="0.25">
      <c r="A457" s="13">
        <v>33</v>
      </c>
      <c r="B457" s="13" t="s">
        <v>59</v>
      </c>
      <c r="C457" s="13" t="s">
        <v>37</v>
      </c>
      <c r="D457" s="13">
        <v>922</v>
      </c>
      <c r="E457" s="13" t="s">
        <v>62</v>
      </c>
      <c r="F457" s="13">
        <v>1</v>
      </c>
      <c r="G457" s="13">
        <v>5</v>
      </c>
      <c r="H457" s="13" t="s">
        <v>87</v>
      </c>
      <c r="I457" s="13">
        <v>1</v>
      </c>
      <c r="J457" s="13">
        <v>612</v>
      </c>
      <c r="K457" s="13">
        <v>1</v>
      </c>
      <c r="L457" s="13" t="s">
        <v>43</v>
      </c>
      <c r="M457" s="13">
        <v>95</v>
      </c>
      <c r="N457" s="13">
        <v>4</v>
      </c>
      <c r="O457" s="13">
        <v>4</v>
      </c>
      <c r="P457" s="13" t="s">
        <v>186</v>
      </c>
      <c r="Q457" s="13">
        <v>3</v>
      </c>
      <c r="R457" s="13" t="s">
        <v>109</v>
      </c>
      <c r="S457" s="20">
        <v>16184</v>
      </c>
      <c r="T457" s="13">
        <v>22578</v>
      </c>
      <c r="U457" s="13">
        <v>4</v>
      </c>
      <c r="V457" s="13" t="s">
        <v>52</v>
      </c>
      <c r="W457" s="13" t="s">
        <v>59</v>
      </c>
      <c r="X457" s="13">
        <v>19</v>
      </c>
      <c r="Y457" s="13">
        <v>3</v>
      </c>
      <c r="Z457" s="13">
        <v>3</v>
      </c>
      <c r="AA457" s="13">
        <v>80</v>
      </c>
      <c r="AB457" s="13">
        <v>1</v>
      </c>
      <c r="AC457" s="13">
        <v>10</v>
      </c>
      <c r="AD457" s="13">
        <v>2</v>
      </c>
      <c r="AE457" s="13">
        <v>3</v>
      </c>
      <c r="AF457" s="14">
        <v>6</v>
      </c>
      <c r="AG457" s="13">
        <v>1</v>
      </c>
      <c r="AH457" s="13">
        <v>0</v>
      </c>
      <c r="AI457" s="13">
        <v>5</v>
      </c>
      <c r="AJ457" s="13" t="str">
        <f t="shared" si="7"/>
        <v>30-39</v>
      </c>
      <c r="AK457" s="13" t="str">
        <f>IF(tblCleanData[[#This Row],[MonthlyIncome]]&lt;5000, "Low Income", IF(tblCleanData[[#This Row],[MonthlyIncome]]&lt;15000, "Medium Income", "High Income"))</f>
        <v>High Income</v>
      </c>
      <c r="AL457" s="13">
        <f>IF(tblCleanData[[#This Row],[Attrition]]="No", 0,1)</f>
        <v>0</v>
      </c>
      <c r="AM457" s="13">
        <f>IF(tblCleanData[[#This Row],[OverTime]] = "No", 0, 1)</f>
        <v>0</v>
      </c>
      <c r="AN457" s="13" t="str">
        <f>CHOOSE(tblCleanData[[#This Row],[Education]], "Below College","College","Bachelor","Master","Doctor")</f>
        <v>Doctor</v>
      </c>
      <c r="AO457" s="13" t="str">
        <f>VLOOKUP(tblCleanData[[#This Row],[EmployeeNumber]],tblHelpers[],15,TRUE)</f>
        <v>Medium Risk</v>
      </c>
      <c r="AP457" s="13">
        <f>VLOOKUP(tblCleanData[[#This Row],[EmployeeNumber]],tblHelpers[],14,0)</f>
        <v>46</v>
      </c>
    </row>
    <row r="458" spans="1:42" x14ac:dyDescent="0.25">
      <c r="A458" s="13">
        <v>31</v>
      </c>
      <c r="B458" s="13" t="s">
        <v>59</v>
      </c>
      <c r="C458" s="13" t="s">
        <v>37</v>
      </c>
      <c r="D458" s="13">
        <v>688</v>
      </c>
      <c r="E458" s="13" t="s">
        <v>39</v>
      </c>
      <c r="F458" s="13">
        <v>7</v>
      </c>
      <c r="G458" s="13">
        <v>3</v>
      </c>
      <c r="H458" s="13" t="s">
        <v>42</v>
      </c>
      <c r="I458" s="13">
        <v>1</v>
      </c>
      <c r="J458" s="13">
        <v>613</v>
      </c>
      <c r="K458" s="13">
        <v>3</v>
      </c>
      <c r="L458" s="13" t="s">
        <v>63</v>
      </c>
      <c r="M458" s="13">
        <v>44</v>
      </c>
      <c r="N458" s="13">
        <v>2</v>
      </c>
      <c r="O458" s="13">
        <v>3</v>
      </c>
      <c r="P458" s="13" t="s">
        <v>169</v>
      </c>
      <c r="Q458" s="13">
        <v>4</v>
      </c>
      <c r="R458" s="13" t="s">
        <v>109</v>
      </c>
      <c r="S458" s="20">
        <v>11557</v>
      </c>
      <c r="T458" s="13">
        <v>25291</v>
      </c>
      <c r="U458" s="13">
        <v>9</v>
      </c>
      <c r="V458" s="13" t="s">
        <v>52</v>
      </c>
      <c r="W458" s="13" t="s">
        <v>59</v>
      </c>
      <c r="X458" s="13">
        <v>21</v>
      </c>
      <c r="Y458" s="13">
        <v>4</v>
      </c>
      <c r="Z458" s="13">
        <v>3</v>
      </c>
      <c r="AA458" s="13">
        <v>80</v>
      </c>
      <c r="AB458" s="13">
        <v>1</v>
      </c>
      <c r="AC458" s="13">
        <v>10</v>
      </c>
      <c r="AD458" s="13">
        <v>3</v>
      </c>
      <c r="AE458" s="13">
        <v>2</v>
      </c>
      <c r="AF458" s="14">
        <v>5</v>
      </c>
      <c r="AG458" s="13">
        <v>4</v>
      </c>
      <c r="AH458" s="13">
        <v>0</v>
      </c>
      <c r="AI458" s="13">
        <v>1</v>
      </c>
      <c r="AJ458" s="13" t="str">
        <f t="shared" si="7"/>
        <v>30-39</v>
      </c>
      <c r="AK458" s="13" t="str">
        <f>IF(tblCleanData[[#This Row],[MonthlyIncome]]&lt;5000, "Low Income", IF(tblCleanData[[#This Row],[MonthlyIncome]]&lt;15000, "Medium Income", "High Income"))</f>
        <v>Medium Income</v>
      </c>
      <c r="AL458" s="13">
        <f>IF(tblCleanData[[#This Row],[Attrition]]="No", 0,1)</f>
        <v>0</v>
      </c>
      <c r="AM458" s="13">
        <f>IF(tblCleanData[[#This Row],[OverTime]] = "No", 0, 1)</f>
        <v>0</v>
      </c>
      <c r="AN458" s="13" t="str">
        <f>CHOOSE(tblCleanData[[#This Row],[Education]], "Below College","College","Bachelor","Master","Doctor")</f>
        <v>Bachelor</v>
      </c>
      <c r="AO458" s="13" t="str">
        <f>VLOOKUP(tblCleanData[[#This Row],[EmployeeNumber]],tblHelpers[],15,TRUE)</f>
        <v>Medium Risk</v>
      </c>
      <c r="AP458" s="13">
        <f>VLOOKUP(tblCleanData[[#This Row],[EmployeeNumber]],tblHelpers[],14,0)</f>
        <v>46</v>
      </c>
    </row>
    <row r="459" spans="1:42" x14ac:dyDescent="0.25">
      <c r="A459" s="13">
        <v>18</v>
      </c>
      <c r="B459" s="13" t="s">
        <v>36</v>
      </c>
      <c r="C459" s="13" t="s">
        <v>60</v>
      </c>
      <c r="D459" s="13">
        <v>1306</v>
      </c>
      <c r="E459" s="13" t="s">
        <v>39</v>
      </c>
      <c r="F459" s="13">
        <v>5</v>
      </c>
      <c r="G459" s="13">
        <v>3</v>
      </c>
      <c r="H459" s="13" t="s">
        <v>206</v>
      </c>
      <c r="I459" s="13">
        <v>1</v>
      </c>
      <c r="J459" s="13">
        <v>614</v>
      </c>
      <c r="K459" s="13">
        <v>2</v>
      </c>
      <c r="L459" s="13" t="s">
        <v>63</v>
      </c>
      <c r="M459" s="13">
        <v>69</v>
      </c>
      <c r="N459" s="13">
        <v>3</v>
      </c>
      <c r="O459" s="13">
        <v>1</v>
      </c>
      <c r="P459" s="13" t="s">
        <v>182</v>
      </c>
      <c r="Q459" s="13">
        <v>2</v>
      </c>
      <c r="R459" s="13" t="s">
        <v>48</v>
      </c>
      <c r="S459" s="20">
        <v>1878</v>
      </c>
      <c r="T459" s="13">
        <v>8059</v>
      </c>
      <c r="U459" s="13">
        <v>1</v>
      </c>
      <c r="V459" s="13" t="s">
        <v>52</v>
      </c>
      <c r="W459" s="13" t="s">
        <v>36</v>
      </c>
      <c r="X459" s="13">
        <v>14</v>
      </c>
      <c r="Y459" s="13">
        <v>3</v>
      </c>
      <c r="Z459" s="13">
        <v>4</v>
      </c>
      <c r="AA459" s="13">
        <v>80</v>
      </c>
      <c r="AB459" s="13">
        <v>0</v>
      </c>
      <c r="AC459" s="13">
        <v>0</v>
      </c>
      <c r="AD459" s="13">
        <v>3</v>
      </c>
      <c r="AE459" s="13">
        <v>3</v>
      </c>
      <c r="AF459" s="14">
        <v>0</v>
      </c>
      <c r="AG459" s="13">
        <v>0</v>
      </c>
      <c r="AH459" s="13">
        <v>0</v>
      </c>
      <c r="AI459" s="13">
        <v>0</v>
      </c>
      <c r="AJ459" s="13" t="str">
        <f t="shared" si="7"/>
        <v>Under 30</v>
      </c>
      <c r="AK459" s="13" t="str">
        <f>IF(tblCleanData[[#This Row],[MonthlyIncome]]&lt;5000, "Low Income", IF(tblCleanData[[#This Row],[MonthlyIncome]]&lt;15000, "Medium Income", "High Income"))</f>
        <v>Low Income</v>
      </c>
      <c r="AL459" s="13">
        <f>IF(tblCleanData[[#This Row],[Attrition]]="No", 0,1)</f>
        <v>1</v>
      </c>
      <c r="AM459" s="13">
        <f>IF(tblCleanData[[#This Row],[OverTime]] = "No", 0, 1)</f>
        <v>1</v>
      </c>
      <c r="AN459" s="13" t="str">
        <f>CHOOSE(tblCleanData[[#This Row],[Education]], "Below College","College","Bachelor","Master","Doctor")</f>
        <v>Bachelor</v>
      </c>
      <c r="AO459" s="13" t="str">
        <f>VLOOKUP(tblCleanData[[#This Row],[EmployeeNumber]],tblHelpers[],15,TRUE)</f>
        <v>High Risk</v>
      </c>
      <c r="AP459" s="13">
        <f>VLOOKUP(tblCleanData[[#This Row],[EmployeeNumber]],tblHelpers[],14,0)</f>
        <v>104</v>
      </c>
    </row>
    <row r="460" spans="1:42" x14ac:dyDescent="0.25">
      <c r="A460" s="13">
        <v>40</v>
      </c>
      <c r="B460" s="13" t="s">
        <v>59</v>
      </c>
      <c r="C460" s="13" t="s">
        <v>161</v>
      </c>
      <c r="D460" s="13">
        <v>1094</v>
      </c>
      <c r="E460" s="13" t="s">
        <v>39</v>
      </c>
      <c r="F460" s="13">
        <v>28</v>
      </c>
      <c r="G460" s="13">
        <v>3</v>
      </c>
      <c r="H460" s="13" t="s">
        <v>74</v>
      </c>
      <c r="I460" s="13">
        <v>1</v>
      </c>
      <c r="J460" s="13">
        <v>615</v>
      </c>
      <c r="K460" s="13">
        <v>3</v>
      </c>
      <c r="L460" s="13" t="s">
        <v>63</v>
      </c>
      <c r="M460" s="13">
        <v>58</v>
      </c>
      <c r="N460" s="13">
        <v>1</v>
      </c>
      <c r="O460" s="13">
        <v>3</v>
      </c>
      <c r="P460" s="13" t="s">
        <v>46</v>
      </c>
      <c r="Q460" s="13">
        <v>1</v>
      </c>
      <c r="R460" s="13" t="s">
        <v>109</v>
      </c>
      <c r="S460" s="20">
        <v>10932</v>
      </c>
      <c r="T460" s="13">
        <v>11373</v>
      </c>
      <c r="U460" s="13">
        <v>3</v>
      </c>
      <c r="V460" s="13" t="s">
        <v>52</v>
      </c>
      <c r="W460" s="13" t="s">
        <v>59</v>
      </c>
      <c r="X460" s="13">
        <v>15</v>
      </c>
      <c r="Y460" s="13">
        <v>3</v>
      </c>
      <c r="Z460" s="13">
        <v>3</v>
      </c>
      <c r="AA460" s="13">
        <v>80</v>
      </c>
      <c r="AB460" s="13">
        <v>1</v>
      </c>
      <c r="AC460" s="13">
        <v>20</v>
      </c>
      <c r="AD460" s="13">
        <v>2</v>
      </c>
      <c r="AE460" s="13">
        <v>3</v>
      </c>
      <c r="AF460" s="14">
        <v>1</v>
      </c>
      <c r="AG460" s="13">
        <v>0</v>
      </c>
      <c r="AH460" s="13">
        <v>0</v>
      </c>
      <c r="AI460" s="13">
        <v>1</v>
      </c>
      <c r="AJ460" s="13" t="str">
        <f t="shared" si="7"/>
        <v>40-49</v>
      </c>
      <c r="AK460" s="13" t="str">
        <f>IF(tblCleanData[[#This Row],[MonthlyIncome]]&lt;5000, "Low Income", IF(tblCleanData[[#This Row],[MonthlyIncome]]&lt;15000, "Medium Income", "High Income"))</f>
        <v>Medium Income</v>
      </c>
      <c r="AL460" s="13">
        <f>IF(tblCleanData[[#This Row],[Attrition]]="No", 0,1)</f>
        <v>0</v>
      </c>
      <c r="AM460" s="13">
        <f>IF(tblCleanData[[#This Row],[OverTime]] = "No", 0, 1)</f>
        <v>0</v>
      </c>
      <c r="AN460" s="13" t="str">
        <f>CHOOSE(tblCleanData[[#This Row],[Education]], "Below College","College","Bachelor","Master","Doctor")</f>
        <v>Bachelor</v>
      </c>
      <c r="AO460" s="13" t="str">
        <f>VLOOKUP(tblCleanData[[#This Row],[EmployeeNumber]],tblHelpers[],15,TRUE)</f>
        <v>High Risk</v>
      </c>
      <c r="AP460" s="13">
        <f>VLOOKUP(tblCleanData[[#This Row],[EmployeeNumber]],tblHelpers[],14,0)</f>
        <v>65</v>
      </c>
    </row>
    <row r="461" spans="1:42" x14ac:dyDescent="0.25">
      <c r="A461" s="13">
        <v>41</v>
      </c>
      <c r="B461" s="13" t="s">
        <v>59</v>
      </c>
      <c r="C461" s="13" t="s">
        <v>161</v>
      </c>
      <c r="D461" s="13">
        <v>509</v>
      </c>
      <c r="E461" s="13" t="s">
        <v>62</v>
      </c>
      <c r="F461" s="13">
        <v>2</v>
      </c>
      <c r="G461" s="13">
        <v>4</v>
      </c>
      <c r="H461" s="13" t="s">
        <v>74</v>
      </c>
      <c r="I461" s="13">
        <v>1</v>
      </c>
      <c r="J461" s="13">
        <v>616</v>
      </c>
      <c r="K461" s="13">
        <v>1</v>
      </c>
      <c r="L461" s="13" t="s">
        <v>43</v>
      </c>
      <c r="M461" s="13">
        <v>62</v>
      </c>
      <c r="N461" s="13">
        <v>2</v>
      </c>
      <c r="O461" s="13">
        <v>2</v>
      </c>
      <c r="P461" s="13" t="s">
        <v>122</v>
      </c>
      <c r="Q461" s="13">
        <v>3</v>
      </c>
      <c r="R461" s="13" t="s">
        <v>48</v>
      </c>
      <c r="S461" s="20">
        <v>6811</v>
      </c>
      <c r="T461" s="13">
        <v>2112</v>
      </c>
      <c r="U461" s="13">
        <v>2</v>
      </c>
      <c r="V461" s="13" t="s">
        <v>52</v>
      </c>
      <c r="W461" s="13" t="s">
        <v>36</v>
      </c>
      <c r="X461" s="13">
        <v>17</v>
      </c>
      <c r="Y461" s="13">
        <v>3</v>
      </c>
      <c r="Z461" s="13">
        <v>1</v>
      </c>
      <c r="AA461" s="13">
        <v>80</v>
      </c>
      <c r="AB461" s="13">
        <v>0</v>
      </c>
      <c r="AC461" s="13">
        <v>10</v>
      </c>
      <c r="AD461" s="13">
        <v>3</v>
      </c>
      <c r="AE461" s="13">
        <v>3</v>
      </c>
      <c r="AF461" s="14">
        <v>8</v>
      </c>
      <c r="AG461" s="13">
        <v>7</v>
      </c>
      <c r="AH461" s="13">
        <v>0</v>
      </c>
      <c r="AI461" s="13">
        <v>7</v>
      </c>
      <c r="AJ461" s="13" t="str">
        <f t="shared" si="7"/>
        <v>40-49</v>
      </c>
      <c r="AK461" s="13" t="str">
        <f>IF(tblCleanData[[#This Row],[MonthlyIncome]]&lt;5000, "Low Income", IF(tblCleanData[[#This Row],[MonthlyIncome]]&lt;15000, "Medium Income", "High Income"))</f>
        <v>Medium Income</v>
      </c>
      <c r="AL461" s="13">
        <f>IF(tblCleanData[[#This Row],[Attrition]]="No", 0,1)</f>
        <v>0</v>
      </c>
      <c r="AM461" s="13">
        <f>IF(tblCleanData[[#This Row],[OverTime]] = "No", 0, 1)</f>
        <v>1</v>
      </c>
      <c r="AN461" s="13" t="str">
        <f>CHOOSE(tblCleanData[[#This Row],[Education]], "Below College","College","Bachelor","Master","Doctor")</f>
        <v>Master</v>
      </c>
      <c r="AO461" s="13" t="str">
        <f>VLOOKUP(tblCleanData[[#This Row],[EmployeeNumber]],tblHelpers[],15,TRUE)</f>
        <v>High Risk</v>
      </c>
      <c r="AP461" s="13">
        <f>VLOOKUP(tblCleanData[[#This Row],[EmployeeNumber]],tblHelpers[],14,0)</f>
        <v>61</v>
      </c>
    </row>
    <row r="462" spans="1:42" x14ac:dyDescent="0.25">
      <c r="A462" s="13">
        <v>26</v>
      </c>
      <c r="B462" s="13" t="s">
        <v>59</v>
      </c>
      <c r="C462" s="13" t="s">
        <v>37</v>
      </c>
      <c r="D462" s="13">
        <v>775</v>
      </c>
      <c r="E462" s="13" t="s">
        <v>39</v>
      </c>
      <c r="F462" s="13">
        <v>29</v>
      </c>
      <c r="G462" s="13">
        <v>2</v>
      </c>
      <c r="H462" s="13" t="s">
        <v>87</v>
      </c>
      <c r="I462" s="13">
        <v>1</v>
      </c>
      <c r="J462" s="13">
        <v>618</v>
      </c>
      <c r="K462" s="13">
        <v>1</v>
      </c>
      <c r="L462" s="13" t="s">
        <v>63</v>
      </c>
      <c r="M462" s="13">
        <v>45</v>
      </c>
      <c r="N462" s="13">
        <v>3</v>
      </c>
      <c r="O462" s="13">
        <v>2</v>
      </c>
      <c r="P462" s="13" t="s">
        <v>46</v>
      </c>
      <c r="Q462" s="13">
        <v>3</v>
      </c>
      <c r="R462" s="13" t="s">
        <v>109</v>
      </c>
      <c r="S462" s="20">
        <v>4306</v>
      </c>
      <c r="T462" s="13">
        <v>4267</v>
      </c>
      <c r="U462" s="13">
        <v>5</v>
      </c>
      <c r="V462" s="13" t="s">
        <v>52</v>
      </c>
      <c r="W462" s="13" t="s">
        <v>59</v>
      </c>
      <c r="X462" s="13">
        <v>12</v>
      </c>
      <c r="Y462" s="13">
        <v>3</v>
      </c>
      <c r="Z462" s="13">
        <v>1</v>
      </c>
      <c r="AA462" s="13">
        <v>80</v>
      </c>
      <c r="AB462" s="13">
        <v>2</v>
      </c>
      <c r="AC462" s="13">
        <v>8</v>
      </c>
      <c r="AD462" s="13">
        <v>5</v>
      </c>
      <c r="AE462" s="13">
        <v>3</v>
      </c>
      <c r="AF462" s="14">
        <v>0</v>
      </c>
      <c r="AG462" s="13">
        <v>0</v>
      </c>
      <c r="AH462" s="13">
        <v>0</v>
      </c>
      <c r="AI462" s="13">
        <v>0</v>
      </c>
      <c r="AJ462" s="13" t="str">
        <f t="shared" si="7"/>
        <v>Under 30</v>
      </c>
      <c r="AK462" s="13" t="str">
        <f>IF(tblCleanData[[#This Row],[MonthlyIncome]]&lt;5000, "Low Income", IF(tblCleanData[[#This Row],[MonthlyIncome]]&lt;15000, "Medium Income", "High Income"))</f>
        <v>Low Income</v>
      </c>
      <c r="AL462" s="13">
        <f>IF(tblCleanData[[#This Row],[Attrition]]="No", 0,1)</f>
        <v>0</v>
      </c>
      <c r="AM462" s="13">
        <f>IF(tblCleanData[[#This Row],[OverTime]] = "No", 0, 1)</f>
        <v>0</v>
      </c>
      <c r="AN462" s="13" t="str">
        <f>CHOOSE(tblCleanData[[#This Row],[Education]], "Below College","College","Bachelor","Master","Doctor")</f>
        <v>College</v>
      </c>
      <c r="AO462" s="13" t="str">
        <f>VLOOKUP(tblCleanData[[#This Row],[EmployeeNumber]],tblHelpers[],15,TRUE)</f>
        <v>High Risk</v>
      </c>
      <c r="AP462" s="13">
        <f>VLOOKUP(tblCleanData[[#This Row],[EmployeeNumber]],tblHelpers[],14,0)</f>
        <v>73</v>
      </c>
    </row>
    <row r="463" spans="1:42" x14ac:dyDescent="0.25">
      <c r="A463" s="13">
        <v>35</v>
      </c>
      <c r="B463" s="13" t="s">
        <v>59</v>
      </c>
      <c r="C463" s="13" t="s">
        <v>37</v>
      </c>
      <c r="D463" s="13">
        <v>195</v>
      </c>
      <c r="E463" s="13" t="s">
        <v>39</v>
      </c>
      <c r="F463" s="13">
        <v>1</v>
      </c>
      <c r="G463" s="13">
        <v>3</v>
      </c>
      <c r="H463" s="13" t="s">
        <v>87</v>
      </c>
      <c r="I463" s="13">
        <v>1</v>
      </c>
      <c r="J463" s="13">
        <v>620</v>
      </c>
      <c r="K463" s="13">
        <v>1</v>
      </c>
      <c r="L463" s="13" t="s">
        <v>43</v>
      </c>
      <c r="M463" s="13">
        <v>80</v>
      </c>
      <c r="N463" s="13">
        <v>3</v>
      </c>
      <c r="O463" s="13">
        <v>2</v>
      </c>
      <c r="P463" s="13" t="s">
        <v>46</v>
      </c>
      <c r="Q463" s="13">
        <v>3</v>
      </c>
      <c r="R463" s="13" t="s">
        <v>48</v>
      </c>
      <c r="S463" s="20">
        <v>4859</v>
      </c>
      <c r="T463" s="13">
        <v>6698</v>
      </c>
      <c r="U463" s="13">
        <v>1</v>
      </c>
      <c r="V463" s="13" t="s">
        <v>52</v>
      </c>
      <c r="W463" s="13" t="s">
        <v>59</v>
      </c>
      <c r="X463" s="13">
        <v>16</v>
      </c>
      <c r="Y463" s="13">
        <v>3</v>
      </c>
      <c r="Z463" s="13">
        <v>4</v>
      </c>
      <c r="AA463" s="13">
        <v>80</v>
      </c>
      <c r="AB463" s="13">
        <v>0</v>
      </c>
      <c r="AC463" s="13">
        <v>5</v>
      </c>
      <c r="AD463" s="13">
        <v>3</v>
      </c>
      <c r="AE463" s="13">
        <v>3</v>
      </c>
      <c r="AF463" s="14">
        <v>5</v>
      </c>
      <c r="AG463" s="13">
        <v>4</v>
      </c>
      <c r="AH463" s="13">
        <v>0</v>
      </c>
      <c r="AI463" s="13">
        <v>3</v>
      </c>
      <c r="AJ463" s="13" t="str">
        <f t="shared" si="7"/>
        <v>30-39</v>
      </c>
      <c r="AK463" s="13" t="str">
        <f>IF(tblCleanData[[#This Row],[MonthlyIncome]]&lt;5000, "Low Income", IF(tblCleanData[[#This Row],[MonthlyIncome]]&lt;15000, "Medium Income", "High Income"))</f>
        <v>Low Income</v>
      </c>
      <c r="AL463" s="13">
        <f>IF(tblCleanData[[#This Row],[Attrition]]="No", 0,1)</f>
        <v>0</v>
      </c>
      <c r="AM463" s="13">
        <f>IF(tblCleanData[[#This Row],[OverTime]] = "No", 0, 1)</f>
        <v>0</v>
      </c>
      <c r="AN463" s="13" t="str">
        <f>CHOOSE(tblCleanData[[#This Row],[Education]], "Below College","College","Bachelor","Master","Doctor")</f>
        <v>Bachelor</v>
      </c>
      <c r="AO463" s="13" t="str">
        <f>VLOOKUP(tblCleanData[[#This Row],[EmployeeNumber]],tblHelpers[],15,TRUE)</f>
        <v>Medium Risk</v>
      </c>
      <c r="AP463" s="13">
        <f>VLOOKUP(tblCleanData[[#This Row],[EmployeeNumber]],tblHelpers[],14,0)</f>
        <v>53</v>
      </c>
    </row>
    <row r="464" spans="1:42" x14ac:dyDescent="0.25">
      <c r="A464" s="13">
        <v>34</v>
      </c>
      <c r="B464" s="13" t="s">
        <v>59</v>
      </c>
      <c r="C464" s="13" t="s">
        <v>37</v>
      </c>
      <c r="D464" s="13">
        <v>258</v>
      </c>
      <c r="E464" s="13" t="s">
        <v>39</v>
      </c>
      <c r="F464" s="13">
        <v>21</v>
      </c>
      <c r="G464" s="13">
        <v>4</v>
      </c>
      <c r="H464" s="13" t="s">
        <v>42</v>
      </c>
      <c r="I464" s="13">
        <v>1</v>
      </c>
      <c r="J464" s="13">
        <v>621</v>
      </c>
      <c r="K464" s="13">
        <v>4</v>
      </c>
      <c r="L464" s="13" t="s">
        <v>63</v>
      </c>
      <c r="M464" s="13">
        <v>74</v>
      </c>
      <c r="N464" s="13">
        <v>4</v>
      </c>
      <c r="O464" s="13">
        <v>2</v>
      </c>
      <c r="P464" s="13" t="s">
        <v>46</v>
      </c>
      <c r="Q464" s="13">
        <v>4</v>
      </c>
      <c r="R464" s="13" t="s">
        <v>48</v>
      </c>
      <c r="S464" s="20">
        <v>5337</v>
      </c>
      <c r="T464" s="13">
        <v>19921</v>
      </c>
      <c r="U464" s="13">
        <v>1</v>
      </c>
      <c r="V464" s="13" t="s">
        <v>52</v>
      </c>
      <c r="W464" s="13" t="s">
        <v>59</v>
      </c>
      <c r="X464" s="13">
        <v>12</v>
      </c>
      <c r="Y464" s="13">
        <v>3</v>
      </c>
      <c r="Z464" s="13">
        <v>4</v>
      </c>
      <c r="AA464" s="13">
        <v>80</v>
      </c>
      <c r="AB464" s="13">
        <v>0</v>
      </c>
      <c r="AC464" s="13">
        <v>10</v>
      </c>
      <c r="AD464" s="13">
        <v>3</v>
      </c>
      <c r="AE464" s="13">
        <v>3</v>
      </c>
      <c r="AF464" s="14">
        <v>10</v>
      </c>
      <c r="AG464" s="13">
        <v>7</v>
      </c>
      <c r="AH464" s="13">
        <v>5</v>
      </c>
      <c r="AI464" s="13">
        <v>7</v>
      </c>
      <c r="AJ464" s="13" t="str">
        <f t="shared" si="7"/>
        <v>30-39</v>
      </c>
      <c r="AK464" s="13" t="str">
        <f>IF(tblCleanData[[#This Row],[MonthlyIncome]]&lt;5000, "Low Income", IF(tblCleanData[[#This Row],[MonthlyIncome]]&lt;15000, "Medium Income", "High Income"))</f>
        <v>Medium Income</v>
      </c>
      <c r="AL464" s="13">
        <f>IF(tblCleanData[[#This Row],[Attrition]]="No", 0,1)</f>
        <v>0</v>
      </c>
      <c r="AM464" s="13">
        <f>IF(tblCleanData[[#This Row],[OverTime]] = "No", 0, 1)</f>
        <v>0</v>
      </c>
      <c r="AN464" s="13" t="str">
        <f>CHOOSE(tblCleanData[[#This Row],[Education]], "Below College","College","Bachelor","Master","Doctor")</f>
        <v>Master</v>
      </c>
      <c r="AO464" s="13" t="str">
        <f>VLOOKUP(tblCleanData[[#This Row],[EmployeeNumber]],tblHelpers[],15,TRUE)</f>
        <v>Medium Risk</v>
      </c>
      <c r="AP464" s="13">
        <f>VLOOKUP(tblCleanData[[#This Row],[EmployeeNumber]],tblHelpers[],14,0)</f>
        <v>39</v>
      </c>
    </row>
    <row r="465" spans="1:42" x14ac:dyDescent="0.25">
      <c r="A465" s="13">
        <v>26</v>
      </c>
      <c r="B465" s="13" t="s">
        <v>36</v>
      </c>
      <c r="C465" s="13" t="s">
        <v>37</v>
      </c>
      <c r="D465" s="13">
        <v>471</v>
      </c>
      <c r="E465" s="13" t="s">
        <v>62</v>
      </c>
      <c r="F465" s="13">
        <v>24</v>
      </c>
      <c r="G465" s="13">
        <v>3</v>
      </c>
      <c r="H465" s="13" t="s">
        <v>228</v>
      </c>
      <c r="I465" s="13">
        <v>1</v>
      </c>
      <c r="J465" s="13">
        <v>622</v>
      </c>
      <c r="K465" s="13">
        <v>3</v>
      </c>
      <c r="L465" s="13" t="s">
        <v>63</v>
      </c>
      <c r="M465" s="13">
        <v>66</v>
      </c>
      <c r="N465" s="13">
        <v>1</v>
      </c>
      <c r="O465" s="13">
        <v>1</v>
      </c>
      <c r="P465" s="13" t="s">
        <v>76</v>
      </c>
      <c r="Q465" s="13">
        <v>4</v>
      </c>
      <c r="R465" s="13" t="s">
        <v>48</v>
      </c>
      <c r="S465" s="20">
        <v>2340</v>
      </c>
      <c r="T465" s="13">
        <v>23213</v>
      </c>
      <c r="U465" s="13">
        <v>1</v>
      </c>
      <c r="V465" s="13" t="s">
        <v>52</v>
      </c>
      <c r="W465" s="13" t="s">
        <v>36</v>
      </c>
      <c r="X465" s="13">
        <v>18</v>
      </c>
      <c r="Y465" s="13">
        <v>3</v>
      </c>
      <c r="Z465" s="13">
        <v>2</v>
      </c>
      <c r="AA465" s="13">
        <v>80</v>
      </c>
      <c r="AB465" s="13">
        <v>0</v>
      </c>
      <c r="AC465" s="13">
        <v>1</v>
      </c>
      <c r="AD465" s="13">
        <v>3</v>
      </c>
      <c r="AE465" s="13">
        <v>1</v>
      </c>
      <c r="AF465" s="14">
        <v>1</v>
      </c>
      <c r="AG465" s="13">
        <v>0</v>
      </c>
      <c r="AH465" s="13">
        <v>0</v>
      </c>
      <c r="AI465" s="13">
        <v>0</v>
      </c>
      <c r="AJ465" s="13" t="str">
        <f t="shared" si="7"/>
        <v>Under 30</v>
      </c>
      <c r="AK465" s="13" t="str">
        <f>IF(tblCleanData[[#This Row],[MonthlyIncome]]&lt;5000, "Low Income", IF(tblCleanData[[#This Row],[MonthlyIncome]]&lt;15000, "Medium Income", "High Income"))</f>
        <v>Low Income</v>
      </c>
      <c r="AL465" s="13">
        <f>IF(tblCleanData[[#This Row],[Attrition]]="No", 0,1)</f>
        <v>1</v>
      </c>
      <c r="AM465" s="13">
        <f>IF(tblCleanData[[#This Row],[OverTime]] = "No", 0, 1)</f>
        <v>1</v>
      </c>
      <c r="AN465" s="13" t="str">
        <f>CHOOSE(tblCleanData[[#This Row],[Education]], "Below College","College","Bachelor","Master","Doctor")</f>
        <v>Bachelor</v>
      </c>
      <c r="AO465" s="13" t="str">
        <f>VLOOKUP(tblCleanData[[#This Row],[EmployeeNumber]],tblHelpers[],15,TRUE)</f>
        <v>High Risk</v>
      </c>
      <c r="AP465" s="13">
        <f>VLOOKUP(tblCleanData[[#This Row],[EmployeeNumber]],tblHelpers[],14,0)</f>
        <v>91</v>
      </c>
    </row>
    <row r="466" spans="1:42" x14ac:dyDescent="0.25">
      <c r="A466" s="13">
        <v>37</v>
      </c>
      <c r="B466" s="13" t="s">
        <v>59</v>
      </c>
      <c r="C466" s="13" t="s">
        <v>37</v>
      </c>
      <c r="D466" s="13">
        <v>799</v>
      </c>
      <c r="E466" s="13" t="s">
        <v>62</v>
      </c>
      <c r="F466" s="13">
        <v>1</v>
      </c>
      <c r="G466" s="13">
        <v>3</v>
      </c>
      <c r="H466" s="13" t="s">
        <v>228</v>
      </c>
      <c r="I466" s="13">
        <v>1</v>
      </c>
      <c r="J466" s="13">
        <v>623</v>
      </c>
      <c r="K466" s="13">
        <v>2</v>
      </c>
      <c r="L466" s="13" t="s">
        <v>43</v>
      </c>
      <c r="M466" s="13">
        <v>59</v>
      </c>
      <c r="N466" s="13">
        <v>3</v>
      </c>
      <c r="O466" s="13">
        <v>3</v>
      </c>
      <c r="P466" s="13" t="s">
        <v>116</v>
      </c>
      <c r="Q466" s="13">
        <v>4</v>
      </c>
      <c r="R466" s="13" t="s">
        <v>48</v>
      </c>
      <c r="S466" s="20">
        <v>7491</v>
      </c>
      <c r="T466" s="13">
        <v>23848</v>
      </c>
      <c r="U466" s="13">
        <v>4</v>
      </c>
      <c r="V466" s="13" t="s">
        <v>52</v>
      </c>
      <c r="W466" s="13" t="s">
        <v>59</v>
      </c>
      <c r="X466" s="13">
        <v>17</v>
      </c>
      <c r="Y466" s="13">
        <v>3</v>
      </c>
      <c r="Z466" s="13">
        <v>4</v>
      </c>
      <c r="AA466" s="13">
        <v>80</v>
      </c>
      <c r="AB466" s="13">
        <v>0</v>
      </c>
      <c r="AC466" s="13">
        <v>12</v>
      </c>
      <c r="AD466" s="13">
        <v>3</v>
      </c>
      <c r="AE466" s="13">
        <v>4</v>
      </c>
      <c r="AF466" s="14">
        <v>6</v>
      </c>
      <c r="AG466" s="13">
        <v>5</v>
      </c>
      <c r="AH466" s="13">
        <v>1</v>
      </c>
      <c r="AI466" s="13">
        <v>2</v>
      </c>
      <c r="AJ466" s="13" t="str">
        <f t="shared" si="7"/>
        <v>30-39</v>
      </c>
      <c r="AK466" s="13" t="str">
        <f>IF(tblCleanData[[#This Row],[MonthlyIncome]]&lt;5000, "Low Income", IF(tblCleanData[[#This Row],[MonthlyIncome]]&lt;15000, "Medium Income", "High Income"))</f>
        <v>Medium Income</v>
      </c>
      <c r="AL466" s="13">
        <f>IF(tblCleanData[[#This Row],[Attrition]]="No", 0,1)</f>
        <v>0</v>
      </c>
      <c r="AM466" s="13">
        <f>IF(tblCleanData[[#This Row],[OverTime]] = "No", 0, 1)</f>
        <v>0</v>
      </c>
      <c r="AN466" s="13" t="str">
        <f>CHOOSE(tblCleanData[[#This Row],[Education]], "Below College","College","Bachelor","Master","Doctor")</f>
        <v>Bachelor</v>
      </c>
      <c r="AO466" s="13" t="str">
        <f>VLOOKUP(tblCleanData[[#This Row],[EmployeeNumber]],tblHelpers[],15,TRUE)</f>
        <v>Medium Risk</v>
      </c>
      <c r="AP466" s="13">
        <f>VLOOKUP(tblCleanData[[#This Row],[EmployeeNumber]],tblHelpers[],14,0)</f>
        <v>39</v>
      </c>
    </row>
    <row r="467" spans="1:42" x14ac:dyDescent="0.25">
      <c r="A467" s="13">
        <v>46</v>
      </c>
      <c r="B467" s="13" t="s">
        <v>59</v>
      </c>
      <c r="C467" s="13" t="s">
        <v>60</v>
      </c>
      <c r="D467" s="13">
        <v>1034</v>
      </c>
      <c r="E467" s="13" t="s">
        <v>62</v>
      </c>
      <c r="F467" s="13">
        <v>18</v>
      </c>
      <c r="G467" s="13">
        <v>1</v>
      </c>
      <c r="H467" s="13" t="s">
        <v>87</v>
      </c>
      <c r="I467" s="13">
        <v>1</v>
      </c>
      <c r="J467" s="13">
        <v>624</v>
      </c>
      <c r="K467" s="13">
        <v>1</v>
      </c>
      <c r="L467" s="13" t="s">
        <v>43</v>
      </c>
      <c r="M467" s="13">
        <v>86</v>
      </c>
      <c r="N467" s="13">
        <v>3</v>
      </c>
      <c r="O467" s="13">
        <v>3</v>
      </c>
      <c r="P467" s="13" t="s">
        <v>122</v>
      </c>
      <c r="Q467" s="13">
        <v>3</v>
      </c>
      <c r="R467" s="13" t="s">
        <v>66</v>
      </c>
      <c r="S467" s="20">
        <v>10527</v>
      </c>
      <c r="T467" s="13">
        <v>8984</v>
      </c>
      <c r="U467" s="13">
        <v>5</v>
      </c>
      <c r="V467" s="13" t="s">
        <v>52</v>
      </c>
      <c r="W467" s="13" t="s">
        <v>59</v>
      </c>
      <c r="X467" s="13">
        <v>11</v>
      </c>
      <c r="Y467" s="13">
        <v>3</v>
      </c>
      <c r="Z467" s="13">
        <v>4</v>
      </c>
      <c r="AA467" s="13">
        <v>80</v>
      </c>
      <c r="AB467" s="13">
        <v>0</v>
      </c>
      <c r="AC467" s="13">
        <v>28</v>
      </c>
      <c r="AD467" s="13">
        <v>3</v>
      </c>
      <c r="AE467" s="13">
        <v>2</v>
      </c>
      <c r="AF467" s="14">
        <v>2</v>
      </c>
      <c r="AG467" s="13">
        <v>2</v>
      </c>
      <c r="AH467" s="13">
        <v>1</v>
      </c>
      <c r="AI467" s="13">
        <v>2</v>
      </c>
      <c r="AJ467" s="13" t="str">
        <f t="shared" si="7"/>
        <v>40-49</v>
      </c>
      <c r="AK467" s="13" t="str">
        <f>IF(tblCleanData[[#This Row],[MonthlyIncome]]&lt;5000, "Low Income", IF(tblCleanData[[#This Row],[MonthlyIncome]]&lt;15000, "Medium Income", "High Income"))</f>
        <v>Medium Income</v>
      </c>
      <c r="AL467" s="13">
        <f>IF(tblCleanData[[#This Row],[Attrition]]="No", 0,1)</f>
        <v>0</v>
      </c>
      <c r="AM467" s="13">
        <f>IF(tblCleanData[[#This Row],[OverTime]] = "No", 0, 1)</f>
        <v>0</v>
      </c>
      <c r="AN467" s="13" t="str">
        <f>CHOOSE(tblCleanData[[#This Row],[Education]], "Below College","College","Bachelor","Master","Doctor")</f>
        <v>Below College</v>
      </c>
      <c r="AO467" s="13" t="str">
        <f>VLOOKUP(tblCleanData[[#This Row],[EmployeeNumber]],tblHelpers[],15,TRUE)</f>
        <v>Medium Risk</v>
      </c>
      <c r="AP467" s="13">
        <f>VLOOKUP(tblCleanData[[#This Row],[EmployeeNumber]],tblHelpers[],14,0)</f>
        <v>53</v>
      </c>
    </row>
    <row r="468" spans="1:42" x14ac:dyDescent="0.25">
      <c r="A468" s="13">
        <v>41</v>
      </c>
      <c r="B468" s="13" t="s">
        <v>59</v>
      </c>
      <c r="C468" s="13" t="s">
        <v>37</v>
      </c>
      <c r="D468" s="13">
        <v>1276</v>
      </c>
      <c r="E468" s="13" t="s">
        <v>39</v>
      </c>
      <c r="F468" s="13">
        <v>2</v>
      </c>
      <c r="G468" s="13">
        <v>5</v>
      </c>
      <c r="H468" s="13" t="s">
        <v>42</v>
      </c>
      <c r="I468" s="13">
        <v>1</v>
      </c>
      <c r="J468" s="13">
        <v>625</v>
      </c>
      <c r="K468" s="13">
        <v>2</v>
      </c>
      <c r="L468" s="13" t="s">
        <v>43</v>
      </c>
      <c r="M468" s="13">
        <v>91</v>
      </c>
      <c r="N468" s="13">
        <v>3</v>
      </c>
      <c r="O468" s="13">
        <v>4</v>
      </c>
      <c r="P468" s="13" t="s">
        <v>169</v>
      </c>
      <c r="Q468" s="13">
        <v>1</v>
      </c>
      <c r="R468" s="13" t="s">
        <v>66</v>
      </c>
      <c r="S468" s="20">
        <v>16595</v>
      </c>
      <c r="T468" s="13">
        <v>5626</v>
      </c>
      <c r="U468" s="13">
        <v>7</v>
      </c>
      <c r="V468" s="13" t="s">
        <v>52</v>
      </c>
      <c r="W468" s="13" t="s">
        <v>59</v>
      </c>
      <c r="X468" s="13">
        <v>16</v>
      </c>
      <c r="Y468" s="13">
        <v>3</v>
      </c>
      <c r="Z468" s="13">
        <v>2</v>
      </c>
      <c r="AA468" s="13">
        <v>80</v>
      </c>
      <c r="AB468" s="13">
        <v>1</v>
      </c>
      <c r="AC468" s="13">
        <v>22</v>
      </c>
      <c r="AD468" s="13">
        <v>2</v>
      </c>
      <c r="AE468" s="13">
        <v>3</v>
      </c>
      <c r="AF468" s="14">
        <v>18</v>
      </c>
      <c r="AG468" s="13">
        <v>16</v>
      </c>
      <c r="AH468" s="13">
        <v>11</v>
      </c>
      <c r="AI468" s="13">
        <v>8</v>
      </c>
      <c r="AJ468" s="13" t="str">
        <f t="shared" si="7"/>
        <v>40-49</v>
      </c>
      <c r="AK468" s="13" t="str">
        <f>IF(tblCleanData[[#This Row],[MonthlyIncome]]&lt;5000, "Low Income", IF(tblCleanData[[#This Row],[MonthlyIncome]]&lt;15000, "Medium Income", "High Income"))</f>
        <v>High Income</v>
      </c>
      <c r="AL468" s="13">
        <f>IF(tblCleanData[[#This Row],[Attrition]]="No", 0,1)</f>
        <v>0</v>
      </c>
      <c r="AM468" s="13">
        <f>IF(tblCleanData[[#This Row],[OverTime]] = "No", 0, 1)</f>
        <v>0</v>
      </c>
      <c r="AN468" s="13" t="str">
        <f>CHOOSE(tblCleanData[[#This Row],[Education]], "Below College","College","Bachelor","Master","Doctor")</f>
        <v>Doctor</v>
      </c>
      <c r="AO468" s="13" t="str">
        <f>VLOOKUP(tblCleanData[[#This Row],[EmployeeNumber]],tblHelpers[],15,TRUE)</f>
        <v>Medium Risk</v>
      </c>
      <c r="AP468" s="13">
        <f>VLOOKUP(tblCleanData[[#This Row],[EmployeeNumber]],tblHelpers[],14,0)</f>
        <v>43</v>
      </c>
    </row>
    <row r="469" spans="1:42" x14ac:dyDescent="0.25">
      <c r="A469" s="13">
        <v>37</v>
      </c>
      <c r="B469" s="13" t="s">
        <v>59</v>
      </c>
      <c r="C469" s="13" t="s">
        <v>161</v>
      </c>
      <c r="D469" s="13">
        <v>142</v>
      </c>
      <c r="E469" s="13" t="s">
        <v>39</v>
      </c>
      <c r="F469" s="13">
        <v>9</v>
      </c>
      <c r="G469" s="13">
        <v>4</v>
      </c>
      <c r="H469" s="13" t="s">
        <v>87</v>
      </c>
      <c r="I469" s="13">
        <v>1</v>
      </c>
      <c r="J469" s="13">
        <v>626</v>
      </c>
      <c r="K469" s="13">
        <v>1</v>
      </c>
      <c r="L469" s="13" t="s">
        <v>63</v>
      </c>
      <c r="M469" s="13">
        <v>69</v>
      </c>
      <c r="N469" s="13">
        <v>3</v>
      </c>
      <c r="O469" s="13">
        <v>3</v>
      </c>
      <c r="P469" s="13" t="s">
        <v>46</v>
      </c>
      <c r="Q469" s="13">
        <v>2</v>
      </c>
      <c r="R469" s="13" t="s">
        <v>109</v>
      </c>
      <c r="S469" s="20">
        <v>8834</v>
      </c>
      <c r="T469" s="13">
        <v>24666</v>
      </c>
      <c r="U469" s="13">
        <v>1</v>
      </c>
      <c r="V469" s="13" t="s">
        <v>52</v>
      </c>
      <c r="W469" s="13" t="s">
        <v>59</v>
      </c>
      <c r="X469" s="13">
        <v>13</v>
      </c>
      <c r="Y469" s="13">
        <v>3</v>
      </c>
      <c r="Z469" s="13">
        <v>4</v>
      </c>
      <c r="AA469" s="13">
        <v>80</v>
      </c>
      <c r="AB469" s="13">
        <v>1</v>
      </c>
      <c r="AC469" s="13">
        <v>9</v>
      </c>
      <c r="AD469" s="13">
        <v>6</v>
      </c>
      <c r="AE469" s="13">
        <v>3</v>
      </c>
      <c r="AF469" s="14">
        <v>9</v>
      </c>
      <c r="AG469" s="13">
        <v>5</v>
      </c>
      <c r="AH469" s="13">
        <v>7</v>
      </c>
      <c r="AI469" s="13">
        <v>7</v>
      </c>
      <c r="AJ469" s="13" t="str">
        <f t="shared" si="7"/>
        <v>30-39</v>
      </c>
      <c r="AK469" s="13" t="str">
        <f>IF(tblCleanData[[#This Row],[MonthlyIncome]]&lt;5000, "Low Income", IF(tblCleanData[[#This Row],[MonthlyIncome]]&lt;15000, "Medium Income", "High Income"))</f>
        <v>Medium Income</v>
      </c>
      <c r="AL469" s="13">
        <f>IF(tblCleanData[[#This Row],[Attrition]]="No", 0,1)</f>
        <v>0</v>
      </c>
      <c r="AM469" s="13">
        <f>IF(tblCleanData[[#This Row],[OverTime]] = "No", 0, 1)</f>
        <v>0</v>
      </c>
      <c r="AN469" s="13" t="str">
        <f>CHOOSE(tblCleanData[[#This Row],[Education]], "Below College","College","Bachelor","Master","Doctor")</f>
        <v>Master</v>
      </c>
      <c r="AO469" s="13" t="str">
        <f>VLOOKUP(tblCleanData[[#This Row],[EmployeeNumber]],tblHelpers[],15,TRUE)</f>
        <v>Medium Risk</v>
      </c>
      <c r="AP469" s="13">
        <f>VLOOKUP(tblCleanData[[#This Row],[EmployeeNumber]],tblHelpers[],14,0)</f>
        <v>52</v>
      </c>
    </row>
    <row r="470" spans="1:42" x14ac:dyDescent="0.25">
      <c r="A470" s="13">
        <v>52</v>
      </c>
      <c r="B470" s="13" t="s">
        <v>59</v>
      </c>
      <c r="C470" s="13" t="s">
        <v>37</v>
      </c>
      <c r="D470" s="13">
        <v>956</v>
      </c>
      <c r="E470" s="13" t="s">
        <v>62</v>
      </c>
      <c r="F470" s="13">
        <v>6</v>
      </c>
      <c r="G470" s="13">
        <v>2</v>
      </c>
      <c r="H470" s="13" t="s">
        <v>228</v>
      </c>
      <c r="I470" s="13">
        <v>1</v>
      </c>
      <c r="J470" s="13">
        <v>630</v>
      </c>
      <c r="K470" s="13">
        <v>4</v>
      </c>
      <c r="L470" s="13" t="s">
        <v>63</v>
      </c>
      <c r="M470" s="13">
        <v>78</v>
      </c>
      <c r="N470" s="13">
        <v>3</v>
      </c>
      <c r="O470" s="13">
        <v>2</v>
      </c>
      <c r="P470" s="13" t="s">
        <v>65</v>
      </c>
      <c r="Q470" s="13">
        <v>1</v>
      </c>
      <c r="R470" s="13" t="s">
        <v>109</v>
      </c>
      <c r="S470" s="20">
        <v>5577</v>
      </c>
      <c r="T470" s="13">
        <v>22087</v>
      </c>
      <c r="U470" s="13">
        <v>3</v>
      </c>
      <c r="V470" s="13" t="s">
        <v>52</v>
      </c>
      <c r="W470" s="13" t="s">
        <v>36</v>
      </c>
      <c r="X470" s="13">
        <v>12</v>
      </c>
      <c r="Y470" s="13">
        <v>3</v>
      </c>
      <c r="Z470" s="13">
        <v>2</v>
      </c>
      <c r="AA470" s="13">
        <v>80</v>
      </c>
      <c r="AB470" s="13">
        <v>2</v>
      </c>
      <c r="AC470" s="13">
        <v>18</v>
      </c>
      <c r="AD470" s="13">
        <v>3</v>
      </c>
      <c r="AE470" s="13">
        <v>3</v>
      </c>
      <c r="AF470" s="14">
        <v>10</v>
      </c>
      <c r="AG470" s="13">
        <v>9</v>
      </c>
      <c r="AH470" s="13">
        <v>6</v>
      </c>
      <c r="AI470" s="13">
        <v>9</v>
      </c>
      <c r="AJ470" s="13" t="str">
        <f t="shared" si="7"/>
        <v>50+</v>
      </c>
      <c r="AK470" s="13" t="str">
        <f>IF(tblCleanData[[#This Row],[MonthlyIncome]]&lt;5000, "Low Income", IF(tblCleanData[[#This Row],[MonthlyIncome]]&lt;15000, "Medium Income", "High Income"))</f>
        <v>Medium Income</v>
      </c>
      <c r="AL470" s="13">
        <f>IF(tblCleanData[[#This Row],[Attrition]]="No", 0,1)</f>
        <v>0</v>
      </c>
      <c r="AM470" s="13">
        <f>IF(tblCleanData[[#This Row],[OverTime]] = "No", 0, 1)</f>
        <v>1</v>
      </c>
      <c r="AN470" s="13" t="str">
        <f>CHOOSE(tblCleanData[[#This Row],[Education]], "Below College","College","Bachelor","Master","Doctor")</f>
        <v>College</v>
      </c>
      <c r="AO470" s="13" t="str">
        <f>VLOOKUP(tblCleanData[[#This Row],[EmployeeNumber]],tblHelpers[],15,TRUE)</f>
        <v>High Risk</v>
      </c>
      <c r="AP470" s="13">
        <f>VLOOKUP(tblCleanData[[#This Row],[EmployeeNumber]],tblHelpers[],14,0)</f>
        <v>78</v>
      </c>
    </row>
    <row r="471" spans="1:42" x14ac:dyDescent="0.25">
      <c r="A471" s="13">
        <v>32</v>
      </c>
      <c r="B471" s="13" t="s">
        <v>36</v>
      </c>
      <c r="C471" s="13" t="s">
        <v>161</v>
      </c>
      <c r="D471" s="13">
        <v>1474</v>
      </c>
      <c r="E471" s="13" t="s">
        <v>39</v>
      </c>
      <c r="F471" s="13">
        <v>11</v>
      </c>
      <c r="G471" s="13">
        <v>4</v>
      </c>
      <c r="H471" s="13" t="s">
        <v>74</v>
      </c>
      <c r="I471" s="13">
        <v>1</v>
      </c>
      <c r="J471" s="13">
        <v>631</v>
      </c>
      <c r="K471" s="13">
        <v>4</v>
      </c>
      <c r="L471" s="13" t="s">
        <v>63</v>
      </c>
      <c r="M471" s="13">
        <v>60</v>
      </c>
      <c r="N471" s="13">
        <v>4</v>
      </c>
      <c r="O471" s="13">
        <v>2</v>
      </c>
      <c r="P471" s="13" t="s">
        <v>46</v>
      </c>
      <c r="Q471" s="13">
        <v>3</v>
      </c>
      <c r="R471" s="13" t="s">
        <v>66</v>
      </c>
      <c r="S471" s="20">
        <v>4707</v>
      </c>
      <c r="T471" s="13">
        <v>23914</v>
      </c>
      <c r="U471" s="13">
        <v>8</v>
      </c>
      <c r="V471" s="13" t="s">
        <v>52</v>
      </c>
      <c r="W471" s="13" t="s">
        <v>59</v>
      </c>
      <c r="X471" s="13">
        <v>12</v>
      </c>
      <c r="Y471" s="13">
        <v>3</v>
      </c>
      <c r="Z471" s="13">
        <v>4</v>
      </c>
      <c r="AA471" s="13">
        <v>80</v>
      </c>
      <c r="AB471" s="13">
        <v>0</v>
      </c>
      <c r="AC471" s="13">
        <v>6</v>
      </c>
      <c r="AD471" s="13">
        <v>2</v>
      </c>
      <c r="AE471" s="13">
        <v>3</v>
      </c>
      <c r="AF471" s="14">
        <v>4</v>
      </c>
      <c r="AG471" s="13">
        <v>2</v>
      </c>
      <c r="AH471" s="13">
        <v>1</v>
      </c>
      <c r="AI471" s="13">
        <v>2</v>
      </c>
      <c r="AJ471" s="13" t="str">
        <f t="shared" si="7"/>
        <v>30-39</v>
      </c>
      <c r="AK471" s="13" t="str">
        <f>IF(tblCleanData[[#This Row],[MonthlyIncome]]&lt;5000, "Low Income", IF(tblCleanData[[#This Row],[MonthlyIncome]]&lt;15000, "Medium Income", "High Income"))</f>
        <v>Low Income</v>
      </c>
      <c r="AL471" s="13">
        <f>IF(tblCleanData[[#This Row],[Attrition]]="No", 0,1)</f>
        <v>1</v>
      </c>
      <c r="AM471" s="13">
        <f>IF(tblCleanData[[#This Row],[OverTime]] = "No", 0, 1)</f>
        <v>0</v>
      </c>
      <c r="AN471" s="13" t="str">
        <f>CHOOSE(tblCleanData[[#This Row],[Education]], "Below College","College","Bachelor","Master","Doctor")</f>
        <v>Master</v>
      </c>
      <c r="AO471" s="13" t="str">
        <f>VLOOKUP(tblCleanData[[#This Row],[EmployeeNumber]],tblHelpers[],15,TRUE)</f>
        <v>Medium Risk</v>
      </c>
      <c r="AP471" s="13">
        <f>VLOOKUP(tblCleanData[[#This Row],[EmployeeNumber]],tblHelpers[],14,0)</f>
        <v>53</v>
      </c>
    </row>
    <row r="472" spans="1:42" x14ac:dyDescent="0.25">
      <c r="A472" s="13">
        <v>24</v>
      </c>
      <c r="B472" s="13" t="s">
        <v>59</v>
      </c>
      <c r="C472" s="13" t="s">
        <v>60</v>
      </c>
      <c r="D472" s="13">
        <v>535</v>
      </c>
      <c r="E472" s="13" t="s">
        <v>39</v>
      </c>
      <c r="F472" s="13">
        <v>24</v>
      </c>
      <c r="G472" s="13">
        <v>3</v>
      </c>
      <c r="H472" s="13" t="s">
        <v>87</v>
      </c>
      <c r="I472" s="13">
        <v>1</v>
      </c>
      <c r="J472" s="13">
        <v>632</v>
      </c>
      <c r="K472" s="13">
        <v>4</v>
      </c>
      <c r="L472" s="13" t="s">
        <v>63</v>
      </c>
      <c r="M472" s="13">
        <v>38</v>
      </c>
      <c r="N472" s="13">
        <v>3</v>
      </c>
      <c r="O472" s="13">
        <v>1</v>
      </c>
      <c r="P472" s="13" t="s">
        <v>182</v>
      </c>
      <c r="Q472" s="13">
        <v>4</v>
      </c>
      <c r="R472" s="13" t="s">
        <v>66</v>
      </c>
      <c r="S472" s="20">
        <v>2400</v>
      </c>
      <c r="T472" s="13">
        <v>5530</v>
      </c>
      <c r="U472" s="13">
        <v>0</v>
      </c>
      <c r="V472" s="13" t="s">
        <v>52</v>
      </c>
      <c r="W472" s="13" t="s">
        <v>59</v>
      </c>
      <c r="X472" s="13">
        <v>13</v>
      </c>
      <c r="Y472" s="13">
        <v>3</v>
      </c>
      <c r="Z472" s="13">
        <v>3</v>
      </c>
      <c r="AA472" s="13">
        <v>80</v>
      </c>
      <c r="AB472" s="13">
        <v>2</v>
      </c>
      <c r="AC472" s="13">
        <v>3</v>
      </c>
      <c r="AD472" s="13">
        <v>3</v>
      </c>
      <c r="AE472" s="13">
        <v>3</v>
      </c>
      <c r="AF472" s="14">
        <v>2</v>
      </c>
      <c r="AG472" s="13">
        <v>2</v>
      </c>
      <c r="AH472" s="13">
        <v>2</v>
      </c>
      <c r="AI472" s="13">
        <v>1</v>
      </c>
      <c r="AJ472" s="13" t="str">
        <f t="shared" si="7"/>
        <v>Under 30</v>
      </c>
      <c r="AK472" s="13" t="str">
        <f>IF(tblCleanData[[#This Row],[MonthlyIncome]]&lt;5000, "Low Income", IF(tblCleanData[[#This Row],[MonthlyIncome]]&lt;15000, "Medium Income", "High Income"))</f>
        <v>Low Income</v>
      </c>
      <c r="AL472" s="13">
        <f>IF(tblCleanData[[#This Row],[Attrition]]="No", 0,1)</f>
        <v>0</v>
      </c>
      <c r="AM472" s="13">
        <f>IF(tblCleanData[[#This Row],[OverTime]] = "No", 0, 1)</f>
        <v>0</v>
      </c>
      <c r="AN472" s="13" t="str">
        <f>CHOOSE(tblCleanData[[#This Row],[Education]], "Below College","College","Bachelor","Master","Doctor")</f>
        <v>Bachelor</v>
      </c>
      <c r="AO472" s="13" t="str">
        <f>VLOOKUP(tblCleanData[[#This Row],[EmployeeNumber]],tblHelpers[],15,TRUE)</f>
        <v>High Risk</v>
      </c>
      <c r="AP472" s="13">
        <f>VLOOKUP(tblCleanData[[#This Row],[EmployeeNumber]],tblHelpers[],14,0)</f>
        <v>66</v>
      </c>
    </row>
    <row r="473" spans="1:42" x14ac:dyDescent="0.25">
      <c r="A473" s="13">
        <v>38</v>
      </c>
      <c r="B473" s="13" t="s">
        <v>59</v>
      </c>
      <c r="C473" s="13" t="s">
        <v>37</v>
      </c>
      <c r="D473" s="13">
        <v>1495</v>
      </c>
      <c r="E473" s="13" t="s">
        <v>62</v>
      </c>
      <c r="F473" s="13">
        <v>10</v>
      </c>
      <c r="G473" s="13">
        <v>3</v>
      </c>
      <c r="H473" s="13" t="s">
        <v>87</v>
      </c>
      <c r="I473" s="13">
        <v>1</v>
      </c>
      <c r="J473" s="13">
        <v>634</v>
      </c>
      <c r="K473" s="13">
        <v>3</v>
      </c>
      <c r="L473" s="13" t="s">
        <v>43</v>
      </c>
      <c r="M473" s="13">
        <v>76</v>
      </c>
      <c r="N473" s="13">
        <v>3</v>
      </c>
      <c r="O473" s="13">
        <v>2</v>
      </c>
      <c r="P473" s="13" t="s">
        <v>122</v>
      </c>
      <c r="Q473" s="13">
        <v>3</v>
      </c>
      <c r="R473" s="13" t="s">
        <v>66</v>
      </c>
      <c r="S473" s="20">
        <v>9824</v>
      </c>
      <c r="T473" s="13">
        <v>22174</v>
      </c>
      <c r="U473" s="13">
        <v>3</v>
      </c>
      <c r="V473" s="13" t="s">
        <v>52</v>
      </c>
      <c r="W473" s="13" t="s">
        <v>59</v>
      </c>
      <c r="X473" s="13">
        <v>19</v>
      </c>
      <c r="Y473" s="13">
        <v>3</v>
      </c>
      <c r="Z473" s="13">
        <v>3</v>
      </c>
      <c r="AA473" s="13">
        <v>80</v>
      </c>
      <c r="AB473" s="13">
        <v>1</v>
      </c>
      <c r="AC473" s="13">
        <v>18</v>
      </c>
      <c r="AD473" s="13">
        <v>4</v>
      </c>
      <c r="AE473" s="13">
        <v>3</v>
      </c>
      <c r="AF473" s="14">
        <v>1</v>
      </c>
      <c r="AG473" s="13">
        <v>0</v>
      </c>
      <c r="AH473" s="13">
        <v>0</v>
      </c>
      <c r="AI473" s="13">
        <v>0</v>
      </c>
      <c r="AJ473" s="13" t="str">
        <f t="shared" si="7"/>
        <v>30-39</v>
      </c>
      <c r="AK473" s="13" t="str">
        <f>IF(tblCleanData[[#This Row],[MonthlyIncome]]&lt;5000, "Low Income", IF(tblCleanData[[#This Row],[MonthlyIncome]]&lt;15000, "Medium Income", "High Income"))</f>
        <v>Medium Income</v>
      </c>
      <c r="AL473" s="13">
        <f>IF(tblCleanData[[#This Row],[Attrition]]="No", 0,1)</f>
        <v>0</v>
      </c>
      <c r="AM473" s="13">
        <f>IF(tblCleanData[[#This Row],[OverTime]] = "No", 0, 1)</f>
        <v>0</v>
      </c>
      <c r="AN473" s="13" t="str">
        <f>CHOOSE(tblCleanData[[#This Row],[Education]], "Below College","College","Bachelor","Master","Doctor")</f>
        <v>Bachelor</v>
      </c>
      <c r="AO473" s="13" t="str">
        <f>VLOOKUP(tblCleanData[[#This Row],[EmployeeNumber]],tblHelpers[],15,TRUE)</f>
        <v>High Risk</v>
      </c>
      <c r="AP473" s="13">
        <f>VLOOKUP(tblCleanData[[#This Row],[EmployeeNumber]],tblHelpers[],14,0)</f>
        <v>63</v>
      </c>
    </row>
    <row r="474" spans="1:42" x14ac:dyDescent="0.25">
      <c r="A474" s="13">
        <v>37</v>
      </c>
      <c r="B474" s="13" t="s">
        <v>59</v>
      </c>
      <c r="C474" s="13" t="s">
        <v>37</v>
      </c>
      <c r="D474" s="13">
        <v>446</v>
      </c>
      <c r="E474" s="13" t="s">
        <v>62</v>
      </c>
      <c r="F474" s="13">
        <v>1</v>
      </c>
      <c r="G474" s="13">
        <v>4</v>
      </c>
      <c r="H474" s="13" t="s">
        <v>42</v>
      </c>
      <c r="I474" s="13">
        <v>1</v>
      </c>
      <c r="J474" s="13">
        <v>635</v>
      </c>
      <c r="K474" s="13">
        <v>2</v>
      </c>
      <c r="L474" s="13" t="s">
        <v>43</v>
      </c>
      <c r="M474" s="13">
        <v>65</v>
      </c>
      <c r="N474" s="13">
        <v>3</v>
      </c>
      <c r="O474" s="13">
        <v>2</v>
      </c>
      <c r="P474" s="13" t="s">
        <v>116</v>
      </c>
      <c r="Q474" s="13">
        <v>2</v>
      </c>
      <c r="R474" s="13" t="s">
        <v>66</v>
      </c>
      <c r="S474" s="20">
        <v>6447</v>
      </c>
      <c r="T474" s="13">
        <v>15701</v>
      </c>
      <c r="U474" s="13">
        <v>6</v>
      </c>
      <c r="V474" s="13" t="s">
        <v>52</v>
      </c>
      <c r="W474" s="13" t="s">
        <v>59</v>
      </c>
      <c r="X474" s="13">
        <v>12</v>
      </c>
      <c r="Y474" s="13">
        <v>3</v>
      </c>
      <c r="Z474" s="13">
        <v>2</v>
      </c>
      <c r="AA474" s="13">
        <v>80</v>
      </c>
      <c r="AB474" s="13">
        <v>1</v>
      </c>
      <c r="AC474" s="13">
        <v>8</v>
      </c>
      <c r="AD474" s="13">
        <v>2</v>
      </c>
      <c r="AE474" s="13">
        <v>2</v>
      </c>
      <c r="AF474" s="14">
        <v>6</v>
      </c>
      <c r="AG474" s="13">
        <v>5</v>
      </c>
      <c r="AH474" s="13">
        <v>4</v>
      </c>
      <c r="AI474" s="13">
        <v>3</v>
      </c>
      <c r="AJ474" s="13" t="str">
        <f t="shared" si="7"/>
        <v>30-39</v>
      </c>
      <c r="AK474" s="13" t="str">
        <f>IF(tblCleanData[[#This Row],[MonthlyIncome]]&lt;5000, "Low Income", IF(tblCleanData[[#This Row],[MonthlyIncome]]&lt;15000, "Medium Income", "High Income"))</f>
        <v>Medium Income</v>
      </c>
      <c r="AL474" s="13">
        <f>IF(tblCleanData[[#This Row],[Attrition]]="No", 0,1)</f>
        <v>0</v>
      </c>
      <c r="AM474" s="13">
        <f>IF(tblCleanData[[#This Row],[OverTime]] = "No", 0, 1)</f>
        <v>0</v>
      </c>
      <c r="AN474" s="13" t="str">
        <f>CHOOSE(tblCleanData[[#This Row],[Education]], "Below College","College","Bachelor","Master","Doctor")</f>
        <v>Master</v>
      </c>
      <c r="AO474" s="13" t="str">
        <f>VLOOKUP(tblCleanData[[#This Row],[EmployeeNumber]],tblHelpers[],15,TRUE)</f>
        <v>Medium Risk</v>
      </c>
      <c r="AP474" s="13">
        <f>VLOOKUP(tblCleanData[[#This Row],[EmployeeNumber]],tblHelpers[],14,0)</f>
        <v>52</v>
      </c>
    </row>
    <row r="475" spans="1:42" x14ac:dyDescent="0.25">
      <c r="A475" s="13">
        <v>49</v>
      </c>
      <c r="B475" s="13" t="s">
        <v>59</v>
      </c>
      <c r="C475" s="13" t="s">
        <v>37</v>
      </c>
      <c r="D475" s="13">
        <v>1245</v>
      </c>
      <c r="E475" s="13" t="s">
        <v>62</v>
      </c>
      <c r="F475" s="13">
        <v>18</v>
      </c>
      <c r="G475" s="13">
        <v>4</v>
      </c>
      <c r="H475" s="13" t="s">
        <v>42</v>
      </c>
      <c r="I475" s="13">
        <v>1</v>
      </c>
      <c r="J475" s="13">
        <v>638</v>
      </c>
      <c r="K475" s="13">
        <v>4</v>
      </c>
      <c r="L475" s="13" t="s">
        <v>63</v>
      </c>
      <c r="M475" s="13">
        <v>58</v>
      </c>
      <c r="N475" s="13">
        <v>2</v>
      </c>
      <c r="O475" s="13">
        <v>5</v>
      </c>
      <c r="P475" s="13" t="s">
        <v>186</v>
      </c>
      <c r="Q475" s="13">
        <v>3</v>
      </c>
      <c r="R475" s="13" t="s">
        <v>109</v>
      </c>
      <c r="S475" s="20">
        <v>19502</v>
      </c>
      <c r="T475" s="13">
        <v>2125</v>
      </c>
      <c r="U475" s="13">
        <v>1</v>
      </c>
      <c r="V475" s="13" t="s">
        <v>52</v>
      </c>
      <c r="W475" s="13" t="s">
        <v>36</v>
      </c>
      <c r="X475" s="13">
        <v>17</v>
      </c>
      <c r="Y475" s="13">
        <v>3</v>
      </c>
      <c r="Z475" s="13">
        <v>3</v>
      </c>
      <c r="AA475" s="13">
        <v>80</v>
      </c>
      <c r="AB475" s="13">
        <v>1</v>
      </c>
      <c r="AC475" s="13">
        <v>31</v>
      </c>
      <c r="AD475" s="13">
        <v>5</v>
      </c>
      <c r="AE475" s="13">
        <v>3</v>
      </c>
      <c r="AF475" s="14">
        <v>31</v>
      </c>
      <c r="AG475" s="13">
        <v>9</v>
      </c>
      <c r="AH475" s="13">
        <v>0</v>
      </c>
      <c r="AI475" s="13">
        <v>9</v>
      </c>
      <c r="AJ475" s="13" t="str">
        <f t="shared" si="7"/>
        <v>40-49</v>
      </c>
      <c r="AK475" s="13" t="str">
        <f>IF(tblCleanData[[#This Row],[MonthlyIncome]]&lt;5000, "Low Income", IF(tblCleanData[[#This Row],[MonthlyIncome]]&lt;15000, "Medium Income", "High Income"))</f>
        <v>High Income</v>
      </c>
      <c r="AL475" s="13">
        <f>IF(tblCleanData[[#This Row],[Attrition]]="No", 0,1)</f>
        <v>0</v>
      </c>
      <c r="AM475" s="13">
        <f>IF(tblCleanData[[#This Row],[OverTime]] = "No", 0, 1)</f>
        <v>1</v>
      </c>
      <c r="AN475" s="13" t="str">
        <f>CHOOSE(tblCleanData[[#This Row],[Education]], "Below College","College","Bachelor","Master","Doctor")</f>
        <v>Master</v>
      </c>
      <c r="AO475" s="13" t="str">
        <f>VLOOKUP(tblCleanData[[#This Row],[EmployeeNumber]],tblHelpers[],15,TRUE)</f>
        <v>High Risk</v>
      </c>
      <c r="AP475" s="13">
        <f>VLOOKUP(tblCleanData[[#This Row],[EmployeeNumber]],tblHelpers[],14,0)</f>
        <v>56</v>
      </c>
    </row>
    <row r="476" spans="1:42" x14ac:dyDescent="0.25">
      <c r="A476" s="13">
        <v>24</v>
      </c>
      <c r="B476" s="13" t="s">
        <v>59</v>
      </c>
      <c r="C476" s="13" t="s">
        <v>37</v>
      </c>
      <c r="D476" s="13">
        <v>691</v>
      </c>
      <c r="E476" s="13" t="s">
        <v>62</v>
      </c>
      <c r="F476" s="13">
        <v>23</v>
      </c>
      <c r="G476" s="13">
        <v>3</v>
      </c>
      <c r="H476" s="13" t="s">
        <v>87</v>
      </c>
      <c r="I476" s="13">
        <v>1</v>
      </c>
      <c r="J476" s="13">
        <v>639</v>
      </c>
      <c r="K476" s="13">
        <v>2</v>
      </c>
      <c r="L476" s="13" t="s">
        <v>63</v>
      </c>
      <c r="M476" s="13">
        <v>89</v>
      </c>
      <c r="N476" s="13">
        <v>4</v>
      </c>
      <c r="O476" s="13">
        <v>1</v>
      </c>
      <c r="P476" s="13" t="s">
        <v>65</v>
      </c>
      <c r="Q476" s="13">
        <v>4</v>
      </c>
      <c r="R476" s="13" t="s">
        <v>66</v>
      </c>
      <c r="S476" s="20">
        <v>2725</v>
      </c>
      <c r="T476" s="13">
        <v>21630</v>
      </c>
      <c r="U476" s="13">
        <v>1</v>
      </c>
      <c r="V476" s="13" t="s">
        <v>52</v>
      </c>
      <c r="W476" s="13" t="s">
        <v>36</v>
      </c>
      <c r="X476" s="13">
        <v>11</v>
      </c>
      <c r="Y476" s="13">
        <v>3</v>
      </c>
      <c r="Z476" s="13">
        <v>2</v>
      </c>
      <c r="AA476" s="13">
        <v>80</v>
      </c>
      <c r="AB476" s="13">
        <v>2</v>
      </c>
      <c r="AC476" s="13">
        <v>6</v>
      </c>
      <c r="AD476" s="13">
        <v>3</v>
      </c>
      <c r="AE476" s="13">
        <v>3</v>
      </c>
      <c r="AF476" s="14">
        <v>6</v>
      </c>
      <c r="AG476" s="13">
        <v>5</v>
      </c>
      <c r="AH476" s="13">
        <v>1</v>
      </c>
      <c r="AI476" s="13">
        <v>4</v>
      </c>
      <c r="AJ476" s="13" t="str">
        <f t="shared" si="7"/>
        <v>Under 30</v>
      </c>
      <c r="AK476" s="13" t="str">
        <f>IF(tblCleanData[[#This Row],[MonthlyIncome]]&lt;5000, "Low Income", IF(tblCleanData[[#This Row],[MonthlyIncome]]&lt;15000, "Medium Income", "High Income"))</f>
        <v>Low Income</v>
      </c>
      <c r="AL476" s="13">
        <f>IF(tblCleanData[[#This Row],[Attrition]]="No", 0,1)</f>
        <v>0</v>
      </c>
      <c r="AM476" s="13">
        <f>IF(tblCleanData[[#This Row],[OverTime]] = "No", 0, 1)</f>
        <v>1</v>
      </c>
      <c r="AN476" s="13" t="str">
        <f>CHOOSE(tblCleanData[[#This Row],[Education]], "Below College","College","Bachelor","Master","Doctor")</f>
        <v>Bachelor</v>
      </c>
      <c r="AO476" s="13" t="str">
        <f>VLOOKUP(tblCleanData[[#This Row],[EmployeeNumber]],tblHelpers[],15,TRUE)</f>
        <v>High Risk</v>
      </c>
      <c r="AP476" s="13">
        <f>VLOOKUP(tblCleanData[[#This Row],[EmployeeNumber]],tblHelpers[],14,0)</f>
        <v>74</v>
      </c>
    </row>
    <row r="477" spans="1:42" x14ac:dyDescent="0.25">
      <c r="A477" s="13">
        <v>26</v>
      </c>
      <c r="B477" s="13" t="s">
        <v>59</v>
      </c>
      <c r="C477" s="13" t="s">
        <v>37</v>
      </c>
      <c r="D477" s="13">
        <v>703</v>
      </c>
      <c r="E477" s="13" t="s">
        <v>39</v>
      </c>
      <c r="F477" s="13">
        <v>28</v>
      </c>
      <c r="G477" s="13">
        <v>2</v>
      </c>
      <c r="H477" s="13" t="s">
        <v>206</v>
      </c>
      <c r="I477" s="13">
        <v>1</v>
      </c>
      <c r="J477" s="13">
        <v>641</v>
      </c>
      <c r="K477" s="13">
        <v>1</v>
      </c>
      <c r="L477" s="13" t="s">
        <v>63</v>
      </c>
      <c r="M477" s="13">
        <v>66</v>
      </c>
      <c r="N477" s="13">
        <v>3</v>
      </c>
      <c r="O477" s="13">
        <v>2</v>
      </c>
      <c r="P477" s="13" t="s">
        <v>46</v>
      </c>
      <c r="Q477" s="13">
        <v>2</v>
      </c>
      <c r="R477" s="13" t="s">
        <v>66</v>
      </c>
      <c r="S477" s="20">
        <v>6272</v>
      </c>
      <c r="T477" s="13">
        <v>7428</v>
      </c>
      <c r="U477" s="13">
        <v>1</v>
      </c>
      <c r="V477" s="13" t="s">
        <v>52</v>
      </c>
      <c r="W477" s="13" t="s">
        <v>59</v>
      </c>
      <c r="X477" s="13">
        <v>20</v>
      </c>
      <c r="Y477" s="13">
        <v>4</v>
      </c>
      <c r="Z477" s="13">
        <v>4</v>
      </c>
      <c r="AA477" s="13">
        <v>80</v>
      </c>
      <c r="AB477" s="13">
        <v>2</v>
      </c>
      <c r="AC477" s="13">
        <v>6</v>
      </c>
      <c r="AD477" s="13">
        <v>5</v>
      </c>
      <c r="AE477" s="13">
        <v>4</v>
      </c>
      <c r="AF477" s="14">
        <v>5</v>
      </c>
      <c r="AG477" s="13">
        <v>3</v>
      </c>
      <c r="AH477" s="13">
        <v>1</v>
      </c>
      <c r="AI477" s="13">
        <v>4</v>
      </c>
      <c r="AJ477" s="13" t="str">
        <f t="shared" si="7"/>
        <v>Under 30</v>
      </c>
      <c r="AK477" s="13" t="str">
        <f>IF(tblCleanData[[#This Row],[MonthlyIncome]]&lt;5000, "Low Income", IF(tblCleanData[[#This Row],[MonthlyIncome]]&lt;15000, "Medium Income", "High Income"))</f>
        <v>Medium Income</v>
      </c>
      <c r="AL477" s="13">
        <f>IF(tblCleanData[[#This Row],[Attrition]]="No", 0,1)</f>
        <v>0</v>
      </c>
      <c r="AM477" s="13">
        <f>IF(tblCleanData[[#This Row],[OverTime]] = "No", 0, 1)</f>
        <v>0</v>
      </c>
      <c r="AN477" s="13" t="str">
        <f>CHOOSE(tblCleanData[[#This Row],[Education]], "Below College","College","Bachelor","Master","Doctor")</f>
        <v>College</v>
      </c>
      <c r="AO477" s="13" t="str">
        <f>VLOOKUP(tblCleanData[[#This Row],[EmployeeNumber]],tblHelpers[],15,TRUE)</f>
        <v>High Risk</v>
      </c>
      <c r="AP477" s="13">
        <f>VLOOKUP(tblCleanData[[#This Row],[EmployeeNumber]],tblHelpers[],14,0)</f>
        <v>69</v>
      </c>
    </row>
    <row r="478" spans="1:42" x14ac:dyDescent="0.25">
      <c r="A478" s="13">
        <v>24</v>
      </c>
      <c r="B478" s="13" t="s">
        <v>59</v>
      </c>
      <c r="C478" s="13" t="s">
        <v>37</v>
      </c>
      <c r="D478" s="13">
        <v>823</v>
      </c>
      <c r="E478" s="13" t="s">
        <v>62</v>
      </c>
      <c r="F478" s="13">
        <v>17</v>
      </c>
      <c r="G478" s="13">
        <v>2</v>
      </c>
      <c r="H478" s="13" t="s">
        <v>74</v>
      </c>
      <c r="I478" s="13">
        <v>1</v>
      </c>
      <c r="J478" s="13">
        <v>643</v>
      </c>
      <c r="K478" s="13">
        <v>4</v>
      </c>
      <c r="L478" s="13" t="s">
        <v>63</v>
      </c>
      <c r="M478" s="13">
        <v>94</v>
      </c>
      <c r="N478" s="13">
        <v>2</v>
      </c>
      <c r="O478" s="13">
        <v>1</v>
      </c>
      <c r="P478" s="13" t="s">
        <v>76</v>
      </c>
      <c r="Q478" s="13">
        <v>2</v>
      </c>
      <c r="R478" s="13" t="s">
        <v>66</v>
      </c>
      <c r="S478" s="20">
        <v>2127</v>
      </c>
      <c r="T478" s="13">
        <v>9100</v>
      </c>
      <c r="U478" s="13">
        <v>1</v>
      </c>
      <c r="V478" s="13" t="s">
        <v>52</v>
      </c>
      <c r="W478" s="13" t="s">
        <v>59</v>
      </c>
      <c r="X478" s="13">
        <v>21</v>
      </c>
      <c r="Y478" s="13">
        <v>4</v>
      </c>
      <c r="Z478" s="13">
        <v>4</v>
      </c>
      <c r="AA478" s="13">
        <v>80</v>
      </c>
      <c r="AB478" s="13">
        <v>1</v>
      </c>
      <c r="AC478" s="13">
        <v>1</v>
      </c>
      <c r="AD478" s="13">
        <v>2</v>
      </c>
      <c r="AE478" s="13">
        <v>3</v>
      </c>
      <c r="AF478" s="14">
        <v>1</v>
      </c>
      <c r="AG478" s="13">
        <v>0</v>
      </c>
      <c r="AH478" s="13">
        <v>0</v>
      </c>
      <c r="AI478" s="13">
        <v>0</v>
      </c>
      <c r="AJ478" s="13" t="str">
        <f t="shared" si="7"/>
        <v>Under 30</v>
      </c>
      <c r="AK478" s="13" t="str">
        <f>IF(tblCleanData[[#This Row],[MonthlyIncome]]&lt;5000, "Low Income", IF(tblCleanData[[#This Row],[MonthlyIncome]]&lt;15000, "Medium Income", "High Income"))</f>
        <v>Low Income</v>
      </c>
      <c r="AL478" s="13">
        <f>IF(tblCleanData[[#This Row],[Attrition]]="No", 0,1)</f>
        <v>0</v>
      </c>
      <c r="AM478" s="13">
        <f>IF(tblCleanData[[#This Row],[OverTime]] = "No", 0, 1)</f>
        <v>0</v>
      </c>
      <c r="AN478" s="13" t="str">
        <f>CHOOSE(tblCleanData[[#This Row],[Education]], "Below College","College","Bachelor","Master","Doctor")</f>
        <v>College</v>
      </c>
      <c r="AO478" s="13" t="str">
        <f>VLOOKUP(tblCleanData[[#This Row],[EmployeeNumber]],tblHelpers[],15,TRUE)</f>
        <v>High Risk</v>
      </c>
      <c r="AP478" s="13">
        <f>VLOOKUP(tblCleanData[[#This Row],[EmployeeNumber]],tblHelpers[],14,0)</f>
        <v>79</v>
      </c>
    </row>
    <row r="479" spans="1:42" x14ac:dyDescent="0.25">
      <c r="A479" s="13">
        <v>50</v>
      </c>
      <c r="B479" s="13" t="s">
        <v>59</v>
      </c>
      <c r="C479" s="13" t="s">
        <v>60</v>
      </c>
      <c r="D479" s="13">
        <v>1246</v>
      </c>
      <c r="E479" s="13" t="s">
        <v>397</v>
      </c>
      <c r="F479" s="13">
        <v>3</v>
      </c>
      <c r="G479" s="13">
        <v>3</v>
      </c>
      <c r="H479" s="13" t="s">
        <v>87</v>
      </c>
      <c r="I479" s="13">
        <v>1</v>
      </c>
      <c r="J479" s="13">
        <v>644</v>
      </c>
      <c r="K479" s="13">
        <v>1</v>
      </c>
      <c r="L479" s="13" t="s">
        <v>63</v>
      </c>
      <c r="M479" s="13">
        <v>99</v>
      </c>
      <c r="N479" s="13">
        <v>3</v>
      </c>
      <c r="O479" s="13">
        <v>5</v>
      </c>
      <c r="P479" s="13" t="s">
        <v>169</v>
      </c>
      <c r="Q479" s="13">
        <v>2</v>
      </c>
      <c r="R479" s="13" t="s">
        <v>66</v>
      </c>
      <c r="S479" s="20">
        <v>18200</v>
      </c>
      <c r="T479" s="13">
        <v>7999</v>
      </c>
      <c r="U479" s="13">
        <v>1</v>
      </c>
      <c r="V479" s="13" t="s">
        <v>52</v>
      </c>
      <c r="W479" s="13" t="s">
        <v>59</v>
      </c>
      <c r="X479" s="13">
        <v>11</v>
      </c>
      <c r="Y479" s="13">
        <v>3</v>
      </c>
      <c r="Z479" s="13">
        <v>3</v>
      </c>
      <c r="AA479" s="13">
        <v>80</v>
      </c>
      <c r="AB479" s="13">
        <v>1</v>
      </c>
      <c r="AC479" s="13">
        <v>32</v>
      </c>
      <c r="AD479" s="13">
        <v>2</v>
      </c>
      <c r="AE479" s="13">
        <v>3</v>
      </c>
      <c r="AF479" s="14">
        <v>32</v>
      </c>
      <c r="AG479" s="13">
        <v>5</v>
      </c>
      <c r="AH479" s="13">
        <v>10</v>
      </c>
      <c r="AI479" s="13">
        <v>7</v>
      </c>
      <c r="AJ479" s="13" t="str">
        <f t="shared" si="7"/>
        <v>50+</v>
      </c>
      <c r="AK479" s="13" t="str">
        <f>IF(tblCleanData[[#This Row],[MonthlyIncome]]&lt;5000, "Low Income", IF(tblCleanData[[#This Row],[MonthlyIncome]]&lt;15000, "Medium Income", "High Income"))</f>
        <v>High Income</v>
      </c>
      <c r="AL479" s="13">
        <f>IF(tblCleanData[[#This Row],[Attrition]]="No", 0,1)</f>
        <v>0</v>
      </c>
      <c r="AM479" s="13">
        <f>IF(tblCleanData[[#This Row],[OverTime]] = "No", 0, 1)</f>
        <v>0</v>
      </c>
      <c r="AN479" s="13" t="str">
        <f>CHOOSE(tblCleanData[[#This Row],[Education]], "Below College","College","Bachelor","Master","Doctor")</f>
        <v>Bachelor</v>
      </c>
      <c r="AO479" s="13" t="str">
        <f>VLOOKUP(tblCleanData[[#This Row],[EmployeeNumber]],tblHelpers[],15,TRUE)</f>
        <v>Medium Risk</v>
      </c>
      <c r="AP479" s="13">
        <f>VLOOKUP(tblCleanData[[#This Row],[EmployeeNumber]],tblHelpers[],14,0)</f>
        <v>42</v>
      </c>
    </row>
    <row r="480" spans="1:42" x14ac:dyDescent="0.25">
      <c r="A480" s="13">
        <v>25</v>
      </c>
      <c r="B480" s="13" t="s">
        <v>59</v>
      </c>
      <c r="C480" s="13" t="s">
        <v>37</v>
      </c>
      <c r="D480" s="13">
        <v>622</v>
      </c>
      <c r="E480" s="13" t="s">
        <v>39</v>
      </c>
      <c r="F480" s="13">
        <v>13</v>
      </c>
      <c r="G480" s="13">
        <v>1</v>
      </c>
      <c r="H480" s="13" t="s">
        <v>87</v>
      </c>
      <c r="I480" s="13">
        <v>1</v>
      </c>
      <c r="J480" s="13">
        <v>645</v>
      </c>
      <c r="K480" s="13">
        <v>2</v>
      </c>
      <c r="L480" s="13" t="s">
        <v>63</v>
      </c>
      <c r="M480" s="13">
        <v>40</v>
      </c>
      <c r="N480" s="13">
        <v>3</v>
      </c>
      <c r="O480" s="13">
        <v>1</v>
      </c>
      <c r="P480" s="13" t="s">
        <v>182</v>
      </c>
      <c r="Q480" s="13">
        <v>3</v>
      </c>
      <c r="R480" s="13" t="s">
        <v>66</v>
      </c>
      <c r="S480" s="20">
        <v>2096</v>
      </c>
      <c r="T480" s="13">
        <v>26376</v>
      </c>
      <c r="U480" s="13">
        <v>1</v>
      </c>
      <c r="V480" s="13" t="s">
        <v>52</v>
      </c>
      <c r="W480" s="13" t="s">
        <v>59</v>
      </c>
      <c r="X480" s="13">
        <v>11</v>
      </c>
      <c r="Y480" s="13">
        <v>3</v>
      </c>
      <c r="Z480" s="13">
        <v>3</v>
      </c>
      <c r="AA480" s="13">
        <v>80</v>
      </c>
      <c r="AB480" s="13">
        <v>0</v>
      </c>
      <c r="AC480" s="13">
        <v>7</v>
      </c>
      <c r="AD480" s="13">
        <v>1</v>
      </c>
      <c r="AE480" s="13">
        <v>3</v>
      </c>
      <c r="AF480" s="14">
        <v>7</v>
      </c>
      <c r="AG480" s="13">
        <v>4</v>
      </c>
      <c r="AH480" s="13">
        <v>0</v>
      </c>
      <c r="AI480" s="13">
        <v>6</v>
      </c>
      <c r="AJ480" s="13" t="str">
        <f t="shared" si="7"/>
        <v>Under 30</v>
      </c>
      <c r="AK480" s="13" t="str">
        <f>IF(tblCleanData[[#This Row],[MonthlyIncome]]&lt;5000, "Low Income", IF(tblCleanData[[#This Row],[MonthlyIncome]]&lt;15000, "Medium Income", "High Income"))</f>
        <v>Low Income</v>
      </c>
      <c r="AL480" s="13">
        <f>IF(tblCleanData[[#This Row],[Attrition]]="No", 0,1)</f>
        <v>0</v>
      </c>
      <c r="AM480" s="13">
        <f>IF(tblCleanData[[#This Row],[OverTime]] = "No", 0, 1)</f>
        <v>0</v>
      </c>
      <c r="AN480" s="13" t="str">
        <f>CHOOSE(tblCleanData[[#This Row],[Education]], "Below College","College","Bachelor","Master","Doctor")</f>
        <v>Below College</v>
      </c>
      <c r="AO480" s="13" t="str">
        <f>VLOOKUP(tblCleanData[[#This Row],[EmployeeNumber]],tblHelpers[],15,TRUE)</f>
        <v>High Risk</v>
      </c>
      <c r="AP480" s="13">
        <f>VLOOKUP(tblCleanData[[#This Row],[EmployeeNumber]],tblHelpers[],14,0)</f>
        <v>56</v>
      </c>
    </row>
    <row r="481" spans="1:42" x14ac:dyDescent="0.25">
      <c r="A481" s="13">
        <v>24</v>
      </c>
      <c r="B481" s="13" t="s">
        <v>36</v>
      </c>
      <c r="C481" s="13" t="s">
        <v>60</v>
      </c>
      <c r="D481" s="13">
        <v>1287</v>
      </c>
      <c r="E481" s="13" t="s">
        <v>62</v>
      </c>
      <c r="F481" s="13">
        <v>7</v>
      </c>
      <c r="G481" s="13">
        <v>3</v>
      </c>
      <c r="H481" s="13" t="s">
        <v>42</v>
      </c>
      <c r="I481" s="13">
        <v>1</v>
      </c>
      <c r="J481" s="13">
        <v>647</v>
      </c>
      <c r="K481" s="13">
        <v>1</v>
      </c>
      <c r="L481" s="13" t="s">
        <v>43</v>
      </c>
      <c r="M481" s="13">
        <v>55</v>
      </c>
      <c r="N481" s="13">
        <v>3</v>
      </c>
      <c r="O481" s="13">
        <v>1</v>
      </c>
      <c r="P481" s="13" t="s">
        <v>76</v>
      </c>
      <c r="Q481" s="13">
        <v>3</v>
      </c>
      <c r="R481" s="13" t="s">
        <v>66</v>
      </c>
      <c r="S481" s="20">
        <v>2886</v>
      </c>
      <c r="T481" s="13">
        <v>14168</v>
      </c>
      <c r="U481" s="13">
        <v>1</v>
      </c>
      <c r="V481" s="13" t="s">
        <v>52</v>
      </c>
      <c r="W481" s="13" t="s">
        <v>36</v>
      </c>
      <c r="X481" s="13">
        <v>16</v>
      </c>
      <c r="Y481" s="13">
        <v>3</v>
      </c>
      <c r="Z481" s="13">
        <v>4</v>
      </c>
      <c r="AA481" s="13">
        <v>80</v>
      </c>
      <c r="AB481" s="13">
        <v>1</v>
      </c>
      <c r="AC481" s="13">
        <v>6</v>
      </c>
      <c r="AD481" s="13">
        <v>4</v>
      </c>
      <c r="AE481" s="13">
        <v>3</v>
      </c>
      <c r="AF481" s="14">
        <v>6</v>
      </c>
      <c r="AG481" s="13">
        <v>3</v>
      </c>
      <c r="AH481" s="13">
        <v>1</v>
      </c>
      <c r="AI481" s="13">
        <v>2</v>
      </c>
      <c r="AJ481" s="13" t="str">
        <f t="shared" si="7"/>
        <v>Under 30</v>
      </c>
      <c r="AK481" s="13" t="str">
        <f>IF(tblCleanData[[#This Row],[MonthlyIncome]]&lt;5000, "Low Income", IF(tblCleanData[[#This Row],[MonthlyIncome]]&lt;15000, "Medium Income", "High Income"))</f>
        <v>Low Income</v>
      </c>
      <c r="AL481" s="13">
        <f>IF(tblCleanData[[#This Row],[Attrition]]="No", 0,1)</f>
        <v>1</v>
      </c>
      <c r="AM481" s="13">
        <f>IF(tblCleanData[[#This Row],[OverTime]] = "No", 0, 1)</f>
        <v>1</v>
      </c>
      <c r="AN481" s="13" t="str">
        <f>CHOOSE(tblCleanData[[#This Row],[Education]], "Below College","College","Bachelor","Master","Doctor")</f>
        <v>Bachelor</v>
      </c>
      <c r="AO481" s="13" t="str">
        <f>VLOOKUP(tblCleanData[[#This Row],[EmployeeNumber]],tblHelpers[],15,TRUE)</f>
        <v>High Risk</v>
      </c>
      <c r="AP481" s="13">
        <f>VLOOKUP(tblCleanData[[#This Row],[EmployeeNumber]],tblHelpers[],14,0)</f>
        <v>81</v>
      </c>
    </row>
    <row r="482" spans="1:42" x14ac:dyDescent="0.25">
      <c r="A482" s="13">
        <v>30</v>
      </c>
      <c r="B482" s="13" t="s">
        <v>36</v>
      </c>
      <c r="C482" s="13" t="s">
        <v>60</v>
      </c>
      <c r="D482" s="13">
        <v>448</v>
      </c>
      <c r="E482" s="13" t="s">
        <v>39</v>
      </c>
      <c r="F482" s="13">
        <v>12</v>
      </c>
      <c r="G482" s="13">
        <v>4</v>
      </c>
      <c r="H482" s="13" t="s">
        <v>42</v>
      </c>
      <c r="I482" s="13">
        <v>1</v>
      </c>
      <c r="J482" s="13">
        <v>648</v>
      </c>
      <c r="K482" s="13">
        <v>2</v>
      </c>
      <c r="L482" s="13" t="s">
        <v>63</v>
      </c>
      <c r="M482" s="13">
        <v>74</v>
      </c>
      <c r="N482" s="13">
        <v>2</v>
      </c>
      <c r="O482" s="13">
        <v>1</v>
      </c>
      <c r="P482" s="13" t="s">
        <v>182</v>
      </c>
      <c r="Q482" s="13">
        <v>1</v>
      </c>
      <c r="R482" s="13" t="s">
        <v>66</v>
      </c>
      <c r="S482" s="20">
        <v>2033</v>
      </c>
      <c r="T482" s="13">
        <v>14470</v>
      </c>
      <c r="U482" s="13">
        <v>1</v>
      </c>
      <c r="V482" s="13" t="s">
        <v>52</v>
      </c>
      <c r="W482" s="13" t="s">
        <v>59</v>
      </c>
      <c r="X482" s="13">
        <v>18</v>
      </c>
      <c r="Y482" s="13">
        <v>3</v>
      </c>
      <c r="Z482" s="13">
        <v>3</v>
      </c>
      <c r="AA482" s="13">
        <v>80</v>
      </c>
      <c r="AB482" s="13">
        <v>1</v>
      </c>
      <c r="AC482" s="13">
        <v>1</v>
      </c>
      <c r="AD482" s="13">
        <v>2</v>
      </c>
      <c r="AE482" s="13">
        <v>4</v>
      </c>
      <c r="AF482" s="14">
        <v>1</v>
      </c>
      <c r="AG482" s="13">
        <v>0</v>
      </c>
      <c r="AH482" s="13">
        <v>0</v>
      </c>
      <c r="AI482" s="13">
        <v>0</v>
      </c>
      <c r="AJ482" s="13" t="str">
        <f t="shared" si="7"/>
        <v>30-39</v>
      </c>
      <c r="AK482" s="13" t="str">
        <f>IF(tblCleanData[[#This Row],[MonthlyIncome]]&lt;5000, "Low Income", IF(tblCleanData[[#This Row],[MonthlyIncome]]&lt;15000, "Medium Income", "High Income"))</f>
        <v>Low Income</v>
      </c>
      <c r="AL482" s="13">
        <f>IF(tblCleanData[[#This Row],[Attrition]]="No", 0,1)</f>
        <v>1</v>
      </c>
      <c r="AM482" s="13">
        <f>IF(tblCleanData[[#This Row],[OverTime]] = "No", 0, 1)</f>
        <v>0</v>
      </c>
      <c r="AN482" s="13" t="str">
        <f>CHOOSE(tblCleanData[[#This Row],[Education]], "Below College","College","Bachelor","Master","Doctor")</f>
        <v>Master</v>
      </c>
      <c r="AO482" s="13" t="str">
        <f>VLOOKUP(tblCleanData[[#This Row],[EmployeeNumber]],tblHelpers[],15,TRUE)</f>
        <v>High Risk</v>
      </c>
      <c r="AP482" s="13">
        <f>VLOOKUP(tblCleanData[[#This Row],[EmployeeNumber]],tblHelpers[],14,0)</f>
        <v>75</v>
      </c>
    </row>
    <row r="483" spans="1:42" x14ac:dyDescent="0.25">
      <c r="A483" s="13">
        <v>34</v>
      </c>
      <c r="B483" s="13" t="s">
        <v>59</v>
      </c>
      <c r="C483" s="13" t="s">
        <v>37</v>
      </c>
      <c r="D483" s="13">
        <v>254</v>
      </c>
      <c r="E483" s="13" t="s">
        <v>62</v>
      </c>
      <c r="F483" s="13">
        <v>1</v>
      </c>
      <c r="G483" s="13">
        <v>2</v>
      </c>
      <c r="H483" s="13" t="s">
        <v>42</v>
      </c>
      <c r="I483" s="13">
        <v>1</v>
      </c>
      <c r="J483" s="13">
        <v>649</v>
      </c>
      <c r="K483" s="13">
        <v>2</v>
      </c>
      <c r="L483" s="13" t="s">
        <v>63</v>
      </c>
      <c r="M483" s="13">
        <v>83</v>
      </c>
      <c r="N483" s="13">
        <v>2</v>
      </c>
      <c r="O483" s="13">
        <v>1</v>
      </c>
      <c r="P483" s="13" t="s">
        <v>65</v>
      </c>
      <c r="Q483" s="13">
        <v>4</v>
      </c>
      <c r="R483" s="13" t="s">
        <v>66</v>
      </c>
      <c r="S483" s="20">
        <v>3622</v>
      </c>
      <c r="T483" s="13">
        <v>22794</v>
      </c>
      <c r="U483" s="13">
        <v>1</v>
      </c>
      <c r="V483" s="13" t="s">
        <v>52</v>
      </c>
      <c r="W483" s="13" t="s">
        <v>36</v>
      </c>
      <c r="X483" s="13">
        <v>13</v>
      </c>
      <c r="Y483" s="13">
        <v>3</v>
      </c>
      <c r="Z483" s="13">
        <v>4</v>
      </c>
      <c r="AA483" s="13">
        <v>80</v>
      </c>
      <c r="AB483" s="13">
        <v>1</v>
      </c>
      <c r="AC483" s="13">
        <v>6</v>
      </c>
      <c r="AD483" s="13">
        <v>3</v>
      </c>
      <c r="AE483" s="13">
        <v>3</v>
      </c>
      <c r="AF483" s="14">
        <v>6</v>
      </c>
      <c r="AG483" s="13">
        <v>5</v>
      </c>
      <c r="AH483" s="13">
        <v>1</v>
      </c>
      <c r="AI483" s="13">
        <v>3</v>
      </c>
      <c r="AJ483" s="13" t="str">
        <f t="shared" si="7"/>
        <v>30-39</v>
      </c>
      <c r="AK483" s="13" t="str">
        <f>IF(tblCleanData[[#This Row],[MonthlyIncome]]&lt;5000, "Low Income", IF(tblCleanData[[#This Row],[MonthlyIncome]]&lt;15000, "Medium Income", "High Income"))</f>
        <v>Low Income</v>
      </c>
      <c r="AL483" s="13">
        <f>IF(tblCleanData[[#This Row],[Attrition]]="No", 0,1)</f>
        <v>0</v>
      </c>
      <c r="AM483" s="13">
        <f>IF(tblCleanData[[#This Row],[OverTime]] = "No", 0, 1)</f>
        <v>1</v>
      </c>
      <c r="AN483" s="13" t="str">
        <f>CHOOSE(tblCleanData[[#This Row],[Education]], "Below College","College","Bachelor","Master","Doctor")</f>
        <v>College</v>
      </c>
      <c r="AO483" s="13" t="str">
        <f>VLOOKUP(tblCleanData[[#This Row],[EmployeeNumber]],tblHelpers[],15,TRUE)</f>
        <v>High Risk</v>
      </c>
      <c r="AP483" s="13">
        <f>VLOOKUP(tblCleanData[[#This Row],[EmployeeNumber]],tblHelpers[],14,0)</f>
        <v>64</v>
      </c>
    </row>
    <row r="484" spans="1:42" x14ac:dyDescent="0.25">
      <c r="A484" s="13">
        <v>31</v>
      </c>
      <c r="B484" s="13" t="s">
        <v>36</v>
      </c>
      <c r="C484" s="13" t="s">
        <v>37</v>
      </c>
      <c r="D484" s="13">
        <v>1365</v>
      </c>
      <c r="E484" s="13" t="s">
        <v>39</v>
      </c>
      <c r="F484" s="13">
        <v>13</v>
      </c>
      <c r="G484" s="13">
        <v>4</v>
      </c>
      <c r="H484" s="13" t="s">
        <v>87</v>
      </c>
      <c r="I484" s="13">
        <v>1</v>
      </c>
      <c r="J484" s="13">
        <v>650</v>
      </c>
      <c r="K484" s="13">
        <v>2</v>
      </c>
      <c r="L484" s="13" t="s">
        <v>63</v>
      </c>
      <c r="M484" s="13">
        <v>46</v>
      </c>
      <c r="N484" s="13">
        <v>3</v>
      </c>
      <c r="O484" s="13">
        <v>2</v>
      </c>
      <c r="P484" s="13" t="s">
        <v>46</v>
      </c>
      <c r="Q484" s="13">
        <v>1</v>
      </c>
      <c r="R484" s="13" t="s">
        <v>109</v>
      </c>
      <c r="S484" s="20">
        <v>4233</v>
      </c>
      <c r="T484" s="13">
        <v>11512</v>
      </c>
      <c r="U484" s="13">
        <v>2</v>
      </c>
      <c r="V484" s="13" t="s">
        <v>52</v>
      </c>
      <c r="W484" s="13" t="s">
        <v>59</v>
      </c>
      <c r="X484" s="13">
        <v>17</v>
      </c>
      <c r="Y484" s="13">
        <v>3</v>
      </c>
      <c r="Z484" s="13">
        <v>3</v>
      </c>
      <c r="AA484" s="13">
        <v>80</v>
      </c>
      <c r="AB484" s="13">
        <v>0</v>
      </c>
      <c r="AC484" s="13">
        <v>9</v>
      </c>
      <c r="AD484" s="13">
        <v>2</v>
      </c>
      <c r="AE484" s="13">
        <v>1</v>
      </c>
      <c r="AF484" s="14">
        <v>3</v>
      </c>
      <c r="AG484" s="13">
        <v>1</v>
      </c>
      <c r="AH484" s="13">
        <v>1</v>
      </c>
      <c r="AI484" s="13">
        <v>2</v>
      </c>
      <c r="AJ484" s="13" t="str">
        <f t="shared" si="7"/>
        <v>30-39</v>
      </c>
      <c r="AK484" s="13" t="str">
        <f>IF(tblCleanData[[#This Row],[MonthlyIncome]]&lt;5000, "Low Income", IF(tblCleanData[[#This Row],[MonthlyIncome]]&lt;15000, "Medium Income", "High Income"))</f>
        <v>Low Income</v>
      </c>
      <c r="AL484" s="13">
        <f>IF(tblCleanData[[#This Row],[Attrition]]="No", 0,1)</f>
        <v>1</v>
      </c>
      <c r="AM484" s="13">
        <f>IF(tblCleanData[[#This Row],[OverTime]] = "No", 0, 1)</f>
        <v>0</v>
      </c>
      <c r="AN484" s="13" t="str">
        <f>CHOOSE(tblCleanData[[#This Row],[Education]], "Below College","College","Bachelor","Master","Doctor")</f>
        <v>Master</v>
      </c>
      <c r="AO484" s="13" t="str">
        <f>VLOOKUP(tblCleanData[[#This Row],[EmployeeNumber]],tblHelpers[],15,TRUE)</f>
        <v>High Risk</v>
      </c>
      <c r="AP484" s="13">
        <f>VLOOKUP(tblCleanData[[#This Row],[EmployeeNumber]],tblHelpers[],14,0)</f>
        <v>65</v>
      </c>
    </row>
    <row r="485" spans="1:42" x14ac:dyDescent="0.25">
      <c r="A485" s="13">
        <v>35</v>
      </c>
      <c r="B485" s="13" t="s">
        <v>59</v>
      </c>
      <c r="C485" s="13" t="s">
        <v>37</v>
      </c>
      <c r="D485" s="13">
        <v>538</v>
      </c>
      <c r="E485" s="13" t="s">
        <v>62</v>
      </c>
      <c r="F485" s="13">
        <v>25</v>
      </c>
      <c r="G485" s="13">
        <v>2</v>
      </c>
      <c r="H485" s="13" t="s">
        <v>74</v>
      </c>
      <c r="I485" s="13">
        <v>1</v>
      </c>
      <c r="J485" s="13">
        <v>652</v>
      </c>
      <c r="K485" s="13">
        <v>1</v>
      </c>
      <c r="L485" s="13" t="s">
        <v>63</v>
      </c>
      <c r="M485" s="13">
        <v>54</v>
      </c>
      <c r="N485" s="13">
        <v>2</v>
      </c>
      <c r="O485" s="13">
        <v>2</v>
      </c>
      <c r="P485" s="13" t="s">
        <v>76</v>
      </c>
      <c r="Q485" s="13">
        <v>4</v>
      </c>
      <c r="R485" s="13" t="s">
        <v>48</v>
      </c>
      <c r="S485" s="20">
        <v>3681</v>
      </c>
      <c r="T485" s="13">
        <v>14004</v>
      </c>
      <c r="U485" s="13">
        <v>4</v>
      </c>
      <c r="V485" s="13" t="s">
        <v>52</v>
      </c>
      <c r="W485" s="13" t="s">
        <v>59</v>
      </c>
      <c r="X485" s="13">
        <v>14</v>
      </c>
      <c r="Y485" s="13">
        <v>3</v>
      </c>
      <c r="Z485" s="13">
        <v>4</v>
      </c>
      <c r="AA485" s="13">
        <v>80</v>
      </c>
      <c r="AB485" s="13">
        <v>0</v>
      </c>
      <c r="AC485" s="13">
        <v>9</v>
      </c>
      <c r="AD485" s="13">
        <v>3</v>
      </c>
      <c r="AE485" s="13">
        <v>3</v>
      </c>
      <c r="AF485" s="14">
        <v>3</v>
      </c>
      <c r="AG485" s="13">
        <v>2</v>
      </c>
      <c r="AH485" s="13">
        <v>0</v>
      </c>
      <c r="AI485" s="13">
        <v>2</v>
      </c>
      <c r="AJ485" s="13" t="str">
        <f t="shared" si="7"/>
        <v>30-39</v>
      </c>
      <c r="AK485" s="13" t="str">
        <f>IF(tblCleanData[[#This Row],[MonthlyIncome]]&lt;5000, "Low Income", IF(tblCleanData[[#This Row],[MonthlyIncome]]&lt;15000, "Medium Income", "High Income"))</f>
        <v>Low Income</v>
      </c>
      <c r="AL485" s="13">
        <f>IF(tblCleanData[[#This Row],[Attrition]]="No", 0,1)</f>
        <v>0</v>
      </c>
      <c r="AM485" s="13">
        <f>IF(tblCleanData[[#This Row],[OverTime]] = "No", 0, 1)</f>
        <v>0</v>
      </c>
      <c r="AN485" s="13" t="str">
        <f>CHOOSE(tblCleanData[[#This Row],[Education]], "Below College","College","Bachelor","Master","Doctor")</f>
        <v>College</v>
      </c>
      <c r="AO485" s="13" t="str">
        <f>VLOOKUP(tblCleanData[[#This Row],[EmployeeNumber]],tblHelpers[],15,TRUE)</f>
        <v>Medium Risk</v>
      </c>
      <c r="AP485" s="13">
        <f>VLOOKUP(tblCleanData[[#This Row],[EmployeeNumber]],tblHelpers[],14,0)</f>
        <v>46</v>
      </c>
    </row>
    <row r="486" spans="1:42" x14ac:dyDescent="0.25">
      <c r="A486" s="13">
        <v>31</v>
      </c>
      <c r="B486" s="13" t="s">
        <v>59</v>
      </c>
      <c r="C486" s="13" t="s">
        <v>37</v>
      </c>
      <c r="D486" s="13">
        <v>525</v>
      </c>
      <c r="E486" s="13" t="s">
        <v>39</v>
      </c>
      <c r="F486" s="13">
        <v>6</v>
      </c>
      <c r="G486" s="13">
        <v>4</v>
      </c>
      <c r="H486" s="13" t="s">
        <v>87</v>
      </c>
      <c r="I486" s="13">
        <v>1</v>
      </c>
      <c r="J486" s="13">
        <v>653</v>
      </c>
      <c r="K486" s="13">
        <v>1</v>
      </c>
      <c r="L486" s="13" t="s">
        <v>63</v>
      </c>
      <c r="M486" s="13">
        <v>66</v>
      </c>
      <c r="N486" s="13">
        <v>4</v>
      </c>
      <c r="O486" s="13">
        <v>2</v>
      </c>
      <c r="P486" s="13" t="s">
        <v>46</v>
      </c>
      <c r="Q486" s="13">
        <v>4</v>
      </c>
      <c r="R486" s="13" t="s">
        <v>109</v>
      </c>
      <c r="S486" s="20">
        <v>5460</v>
      </c>
      <c r="T486" s="13">
        <v>6219</v>
      </c>
      <c r="U486" s="13">
        <v>4</v>
      </c>
      <c r="V486" s="13" t="s">
        <v>52</v>
      </c>
      <c r="W486" s="13" t="s">
        <v>59</v>
      </c>
      <c r="X486" s="13">
        <v>22</v>
      </c>
      <c r="Y486" s="13">
        <v>4</v>
      </c>
      <c r="Z486" s="13">
        <v>4</v>
      </c>
      <c r="AA486" s="13">
        <v>80</v>
      </c>
      <c r="AB486" s="13">
        <v>2</v>
      </c>
      <c r="AC486" s="13">
        <v>13</v>
      </c>
      <c r="AD486" s="13">
        <v>4</v>
      </c>
      <c r="AE486" s="13">
        <v>4</v>
      </c>
      <c r="AF486" s="14">
        <v>7</v>
      </c>
      <c r="AG486" s="13">
        <v>7</v>
      </c>
      <c r="AH486" s="13">
        <v>5</v>
      </c>
      <c r="AI486" s="13">
        <v>7</v>
      </c>
      <c r="AJ486" s="13" t="str">
        <f t="shared" si="7"/>
        <v>30-39</v>
      </c>
      <c r="AK486" s="13" t="str">
        <f>IF(tblCleanData[[#This Row],[MonthlyIncome]]&lt;5000, "Low Income", IF(tblCleanData[[#This Row],[MonthlyIncome]]&lt;15000, "Medium Income", "High Income"))</f>
        <v>Medium Income</v>
      </c>
      <c r="AL486" s="13">
        <f>IF(tblCleanData[[#This Row],[Attrition]]="No", 0,1)</f>
        <v>0</v>
      </c>
      <c r="AM486" s="13">
        <f>IF(tblCleanData[[#This Row],[OverTime]] = "No", 0, 1)</f>
        <v>0</v>
      </c>
      <c r="AN486" s="13" t="str">
        <f>CHOOSE(tblCleanData[[#This Row],[Education]], "Below College","College","Bachelor","Master","Doctor")</f>
        <v>Master</v>
      </c>
      <c r="AO486" s="13" t="str">
        <f>VLOOKUP(tblCleanData[[#This Row],[EmployeeNumber]],tblHelpers[],15,TRUE)</f>
        <v>Medium Risk</v>
      </c>
      <c r="AP486" s="13">
        <f>VLOOKUP(tblCleanData[[#This Row],[EmployeeNumber]],tblHelpers[],14,0)</f>
        <v>39</v>
      </c>
    </row>
    <row r="487" spans="1:42" x14ac:dyDescent="0.25">
      <c r="A487" s="13">
        <v>27</v>
      </c>
      <c r="B487" s="13" t="s">
        <v>59</v>
      </c>
      <c r="C487" s="13" t="s">
        <v>37</v>
      </c>
      <c r="D487" s="13">
        <v>798</v>
      </c>
      <c r="E487" s="13" t="s">
        <v>62</v>
      </c>
      <c r="F487" s="13">
        <v>6</v>
      </c>
      <c r="G487" s="13">
        <v>4</v>
      </c>
      <c r="H487" s="13" t="s">
        <v>87</v>
      </c>
      <c r="I487" s="13">
        <v>1</v>
      </c>
      <c r="J487" s="13">
        <v>655</v>
      </c>
      <c r="K487" s="13">
        <v>1</v>
      </c>
      <c r="L487" s="13" t="s">
        <v>43</v>
      </c>
      <c r="M487" s="13">
        <v>66</v>
      </c>
      <c r="N487" s="13">
        <v>2</v>
      </c>
      <c r="O487" s="13">
        <v>1</v>
      </c>
      <c r="P487" s="13" t="s">
        <v>65</v>
      </c>
      <c r="Q487" s="13">
        <v>3</v>
      </c>
      <c r="R487" s="13" t="s">
        <v>109</v>
      </c>
      <c r="S487" s="20">
        <v>2187</v>
      </c>
      <c r="T487" s="13">
        <v>5013</v>
      </c>
      <c r="U487" s="13">
        <v>0</v>
      </c>
      <c r="V487" s="13" t="s">
        <v>52</v>
      </c>
      <c r="W487" s="13" t="s">
        <v>59</v>
      </c>
      <c r="X487" s="13">
        <v>12</v>
      </c>
      <c r="Y487" s="13">
        <v>3</v>
      </c>
      <c r="Z487" s="13">
        <v>3</v>
      </c>
      <c r="AA487" s="13">
        <v>80</v>
      </c>
      <c r="AB487" s="13">
        <v>2</v>
      </c>
      <c r="AC487" s="13">
        <v>6</v>
      </c>
      <c r="AD487" s="13">
        <v>5</v>
      </c>
      <c r="AE487" s="13">
        <v>2</v>
      </c>
      <c r="AF487" s="14">
        <v>5</v>
      </c>
      <c r="AG487" s="13">
        <v>3</v>
      </c>
      <c r="AH487" s="13">
        <v>0</v>
      </c>
      <c r="AI487" s="13">
        <v>3</v>
      </c>
      <c r="AJ487" s="13" t="str">
        <f t="shared" si="7"/>
        <v>Under 30</v>
      </c>
      <c r="AK487" s="13" t="str">
        <f>IF(tblCleanData[[#This Row],[MonthlyIncome]]&lt;5000, "Low Income", IF(tblCleanData[[#This Row],[MonthlyIncome]]&lt;15000, "Medium Income", "High Income"))</f>
        <v>Low Income</v>
      </c>
      <c r="AL487" s="13">
        <f>IF(tblCleanData[[#This Row],[Attrition]]="No", 0,1)</f>
        <v>0</v>
      </c>
      <c r="AM487" s="13">
        <f>IF(tblCleanData[[#This Row],[OverTime]] = "No", 0, 1)</f>
        <v>0</v>
      </c>
      <c r="AN487" s="13" t="str">
        <f>CHOOSE(tblCleanData[[#This Row],[Education]], "Below College","College","Bachelor","Master","Doctor")</f>
        <v>Master</v>
      </c>
      <c r="AO487" s="13" t="str">
        <f>VLOOKUP(tblCleanData[[#This Row],[EmployeeNumber]],tblHelpers[],15,TRUE)</f>
        <v>High Risk</v>
      </c>
      <c r="AP487" s="13">
        <f>VLOOKUP(tblCleanData[[#This Row],[EmployeeNumber]],tblHelpers[],14,0)</f>
        <v>63</v>
      </c>
    </row>
    <row r="488" spans="1:42" x14ac:dyDescent="0.25">
      <c r="A488" s="13">
        <v>37</v>
      </c>
      <c r="B488" s="13" t="s">
        <v>59</v>
      </c>
      <c r="C488" s="13" t="s">
        <v>37</v>
      </c>
      <c r="D488" s="13">
        <v>558</v>
      </c>
      <c r="E488" s="13" t="s">
        <v>39</v>
      </c>
      <c r="F488" s="13">
        <v>2</v>
      </c>
      <c r="G488" s="13">
        <v>3</v>
      </c>
      <c r="H488" s="13" t="s">
        <v>206</v>
      </c>
      <c r="I488" s="13">
        <v>1</v>
      </c>
      <c r="J488" s="13">
        <v>656</v>
      </c>
      <c r="K488" s="13">
        <v>4</v>
      </c>
      <c r="L488" s="13" t="s">
        <v>63</v>
      </c>
      <c r="M488" s="13">
        <v>75</v>
      </c>
      <c r="N488" s="13">
        <v>3</v>
      </c>
      <c r="O488" s="13">
        <v>2</v>
      </c>
      <c r="P488" s="13" t="s">
        <v>46</v>
      </c>
      <c r="Q488" s="13">
        <v>3</v>
      </c>
      <c r="R488" s="13" t="s">
        <v>66</v>
      </c>
      <c r="S488" s="20">
        <v>9602</v>
      </c>
      <c r="T488" s="13">
        <v>3010</v>
      </c>
      <c r="U488" s="13">
        <v>4</v>
      </c>
      <c r="V488" s="13" t="s">
        <v>52</v>
      </c>
      <c r="W488" s="13" t="s">
        <v>36</v>
      </c>
      <c r="X488" s="13">
        <v>11</v>
      </c>
      <c r="Y488" s="13">
        <v>3</v>
      </c>
      <c r="Z488" s="13">
        <v>3</v>
      </c>
      <c r="AA488" s="13">
        <v>80</v>
      </c>
      <c r="AB488" s="13">
        <v>1</v>
      </c>
      <c r="AC488" s="13">
        <v>17</v>
      </c>
      <c r="AD488" s="13">
        <v>3</v>
      </c>
      <c r="AE488" s="13">
        <v>2</v>
      </c>
      <c r="AF488" s="14">
        <v>3</v>
      </c>
      <c r="AG488" s="13">
        <v>0</v>
      </c>
      <c r="AH488" s="13">
        <v>1</v>
      </c>
      <c r="AI488" s="13">
        <v>0</v>
      </c>
      <c r="AJ488" s="13" t="str">
        <f t="shared" si="7"/>
        <v>30-39</v>
      </c>
      <c r="AK488" s="13" t="str">
        <f>IF(tblCleanData[[#This Row],[MonthlyIncome]]&lt;5000, "Low Income", IF(tblCleanData[[#This Row],[MonthlyIncome]]&lt;15000, "Medium Income", "High Income"))</f>
        <v>Medium Income</v>
      </c>
      <c r="AL488" s="13">
        <f>IF(tblCleanData[[#This Row],[Attrition]]="No", 0,1)</f>
        <v>0</v>
      </c>
      <c r="AM488" s="13">
        <f>IF(tblCleanData[[#This Row],[OverTime]] = "No", 0, 1)</f>
        <v>1</v>
      </c>
      <c r="AN488" s="13" t="str">
        <f>CHOOSE(tblCleanData[[#This Row],[Education]], "Below College","College","Bachelor","Master","Doctor")</f>
        <v>Bachelor</v>
      </c>
      <c r="AO488" s="13" t="str">
        <f>VLOOKUP(tblCleanData[[#This Row],[EmployeeNumber]],tblHelpers[],15,TRUE)</f>
        <v>High Risk</v>
      </c>
      <c r="AP488" s="13">
        <f>VLOOKUP(tblCleanData[[#This Row],[EmployeeNumber]],tblHelpers[],14,0)</f>
        <v>78</v>
      </c>
    </row>
    <row r="489" spans="1:42" x14ac:dyDescent="0.25">
      <c r="A489" s="13">
        <v>20</v>
      </c>
      <c r="B489" s="13" t="s">
        <v>59</v>
      </c>
      <c r="C489" s="13" t="s">
        <v>37</v>
      </c>
      <c r="D489" s="13">
        <v>959</v>
      </c>
      <c r="E489" s="13" t="s">
        <v>62</v>
      </c>
      <c r="F489" s="13">
        <v>1</v>
      </c>
      <c r="G489" s="13">
        <v>3</v>
      </c>
      <c r="H489" s="13" t="s">
        <v>42</v>
      </c>
      <c r="I489" s="13">
        <v>1</v>
      </c>
      <c r="J489" s="13">
        <v>657</v>
      </c>
      <c r="K489" s="13">
        <v>4</v>
      </c>
      <c r="L489" s="13" t="s">
        <v>43</v>
      </c>
      <c r="M489" s="13">
        <v>83</v>
      </c>
      <c r="N489" s="13">
        <v>2</v>
      </c>
      <c r="O489" s="13">
        <v>1</v>
      </c>
      <c r="P489" s="13" t="s">
        <v>65</v>
      </c>
      <c r="Q489" s="13">
        <v>2</v>
      </c>
      <c r="R489" s="13" t="s">
        <v>48</v>
      </c>
      <c r="S489" s="20">
        <v>2836</v>
      </c>
      <c r="T489" s="13">
        <v>11757</v>
      </c>
      <c r="U489" s="13">
        <v>1</v>
      </c>
      <c r="V489" s="13" t="s">
        <v>52</v>
      </c>
      <c r="W489" s="13" t="s">
        <v>59</v>
      </c>
      <c r="X489" s="13">
        <v>13</v>
      </c>
      <c r="Y489" s="13">
        <v>3</v>
      </c>
      <c r="Z489" s="13">
        <v>4</v>
      </c>
      <c r="AA489" s="13">
        <v>80</v>
      </c>
      <c r="AB489" s="13">
        <v>0</v>
      </c>
      <c r="AC489" s="13">
        <v>1</v>
      </c>
      <c r="AD489" s="13">
        <v>0</v>
      </c>
      <c r="AE489" s="13">
        <v>4</v>
      </c>
      <c r="AF489" s="14">
        <v>1</v>
      </c>
      <c r="AG489" s="13">
        <v>0</v>
      </c>
      <c r="AH489" s="13">
        <v>0</v>
      </c>
      <c r="AI489" s="13">
        <v>0</v>
      </c>
      <c r="AJ489" s="13" t="str">
        <f t="shared" si="7"/>
        <v>Under 30</v>
      </c>
      <c r="AK489" s="13" t="str">
        <f>IF(tblCleanData[[#This Row],[MonthlyIncome]]&lt;5000, "Low Income", IF(tblCleanData[[#This Row],[MonthlyIncome]]&lt;15000, "Medium Income", "High Income"))</f>
        <v>Low Income</v>
      </c>
      <c r="AL489" s="13">
        <f>IF(tblCleanData[[#This Row],[Attrition]]="No", 0,1)</f>
        <v>0</v>
      </c>
      <c r="AM489" s="13">
        <f>IF(tblCleanData[[#This Row],[OverTime]] = "No", 0, 1)</f>
        <v>0</v>
      </c>
      <c r="AN489" s="13" t="str">
        <f>CHOOSE(tblCleanData[[#This Row],[Education]], "Below College","College","Bachelor","Master","Doctor")</f>
        <v>Bachelor</v>
      </c>
      <c r="AO489" s="13" t="str">
        <f>VLOOKUP(tblCleanData[[#This Row],[EmployeeNumber]],tblHelpers[],15,TRUE)</f>
        <v>High Risk</v>
      </c>
      <c r="AP489" s="13">
        <f>VLOOKUP(tblCleanData[[#This Row],[EmployeeNumber]],tblHelpers[],14,0)</f>
        <v>79</v>
      </c>
    </row>
    <row r="490" spans="1:42" x14ac:dyDescent="0.25">
      <c r="A490" s="13">
        <v>42</v>
      </c>
      <c r="B490" s="13" t="s">
        <v>59</v>
      </c>
      <c r="C490" s="13" t="s">
        <v>37</v>
      </c>
      <c r="D490" s="13">
        <v>622</v>
      </c>
      <c r="E490" s="13" t="s">
        <v>62</v>
      </c>
      <c r="F490" s="13">
        <v>2</v>
      </c>
      <c r="G490" s="13">
        <v>4</v>
      </c>
      <c r="H490" s="13" t="s">
        <v>42</v>
      </c>
      <c r="I490" s="13">
        <v>1</v>
      </c>
      <c r="J490" s="13">
        <v>659</v>
      </c>
      <c r="K490" s="13">
        <v>3</v>
      </c>
      <c r="L490" s="13" t="s">
        <v>43</v>
      </c>
      <c r="M490" s="13">
        <v>81</v>
      </c>
      <c r="N490" s="13">
        <v>3</v>
      </c>
      <c r="O490" s="13">
        <v>2</v>
      </c>
      <c r="P490" s="13" t="s">
        <v>122</v>
      </c>
      <c r="Q490" s="13">
        <v>4</v>
      </c>
      <c r="R490" s="13" t="s">
        <v>66</v>
      </c>
      <c r="S490" s="20">
        <v>4089</v>
      </c>
      <c r="T490" s="13">
        <v>5718</v>
      </c>
      <c r="U490" s="13">
        <v>1</v>
      </c>
      <c r="V490" s="13" t="s">
        <v>52</v>
      </c>
      <c r="W490" s="13" t="s">
        <v>59</v>
      </c>
      <c r="X490" s="13">
        <v>13</v>
      </c>
      <c r="Y490" s="13">
        <v>3</v>
      </c>
      <c r="Z490" s="13">
        <v>2</v>
      </c>
      <c r="AA490" s="13">
        <v>80</v>
      </c>
      <c r="AB490" s="13">
        <v>2</v>
      </c>
      <c r="AC490" s="13">
        <v>10</v>
      </c>
      <c r="AD490" s="13">
        <v>4</v>
      </c>
      <c r="AE490" s="13">
        <v>3</v>
      </c>
      <c r="AF490" s="14">
        <v>10</v>
      </c>
      <c r="AG490" s="13">
        <v>2</v>
      </c>
      <c r="AH490" s="13">
        <v>2</v>
      </c>
      <c r="AI490" s="13">
        <v>2</v>
      </c>
      <c r="AJ490" s="13" t="str">
        <f t="shared" si="7"/>
        <v>40-49</v>
      </c>
      <c r="AK490" s="13" t="str">
        <f>IF(tblCleanData[[#This Row],[MonthlyIncome]]&lt;5000, "Low Income", IF(tblCleanData[[#This Row],[MonthlyIncome]]&lt;15000, "Medium Income", "High Income"))</f>
        <v>Low Income</v>
      </c>
      <c r="AL490" s="13">
        <f>IF(tblCleanData[[#This Row],[Attrition]]="No", 0,1)</f>
        <v>0</v>
      </c>
      <c r="AM490" s="13">
        <f>IF(tblCleanData[[#This Row],[OverTime]] = "No", 0, 1)</f>
        <v>0</v>
      </c>
      <c r="AN490" s="13" t="str">
        <f>CHOOSE(tblCleanData[[#This Row],[Education]], "Below College","College","Bachelor","Master","Doctor")</f>
        <v>Master</v>
      </c>
      <c r="AO490" s="13" t="str">
        <f>VLOOKUP(tblCleanData[[#This Row],[EmployeeNumber]],tblHelpers[],15,TRUE)</f>
        <v>Low Risk</v>
      </c>
      <c r="AP490" s="13">
        <f>VLOOKUP(tblCleanData[[#This Row],[EmployeeNumber]],tblHelpers[],14,0)</f>
        <v>29</v>
      </c>
    </row>
    <row r="491" spans="1:42" x14ac:dyDescent="0.25">
      <c r="A491" s="13">
        <v>43</v>
      </c>
      <c r="B491" s="13" t="s">
        <v>59</v>
      </c>
      <c r="C491" s="13" t="s">
        <v>37</v>
      </c>
      <c r="D491" s="13">
        <v>782</v>
      </c>
      <c r="E491" s="13" t="s">
        <v>62</v>
      </c>
      <c r="F491" s="13">
        <v>6</v>
      </c>
      <c r="G491" s="13">
        <v>4</v>
      </c>
      <c r="H491" s="13" t="s">
        <v>74</v>
      </c>
      <c r="I491" s="13">
        <v>1</v>
      </c>
      <c r="J491" s="13">
        <v>661</v>
      </c>
      <c r="K491" s="13">
        <v>2</v>
      </c>
      <c r="L491" s="13" t="s">
        <v>63</v>
      </c>
      <c r="M491" s="13">
        <v>50</v>
      </c>
      <c r="N491" s="13">
        <v>2</v>
      </c>
      <c r="O491" s="13">
        <v>4</v>
      </c>
      <c r="P491" s="13" t="s">
        <v>186</v>
      </c>
      <c r="Q491" s="13">
        <v>4</v>
      </c>
      <c r="R491" s="13" t="s">
        <v>109</v>
      </c>
      <c r="S491" s="20">
        <v>16627</v>
      </c>
      <c r="T491" s="13">
        <v>2671</v>
      </c>
      <c r="U491" s="13">
        <v>4</v>
      </c>
      <c r="V491" s="13" t="s">
        <v>52</v>
      </c>
      <c r="W491" s="13" t="s">
        <v>36</v>
      </c>
      <c r="X491" s="13">
        <v>14</v>
      </c>
      <c r="Y491" s="13">
        <v>3</v>
      </c>
      <c r="Z491" s="13">
        <v>3</v>
      </c>
      <c r="AA491" s="13">
        <v>80</v>
      </c>
      <c r="AB491" s="13">
        <v>1</v>
      </c>
      <c r="AC491" s="13">
        <v>21</v>
      </c>
      <c r="AD491" s="13">
        <v>3</v>
      </c>
      <c r="AE491" s="13">
        <v>2</v>
      </c>
      <c r="AF491" s="14">
        <v>1</v>
      </c>
      <c r="AG491" s="13">
        <v>0</v>
      </c>
      <c r="AH491" s="13">
        <v>0</v>
      </c>
      <c r="AI491" s="13">
        <v>0</v>
      </c>
      <c r="AJ491" s="13" t="str">
        <f t="shared" si="7"/>
        <v>40-49</v>
      </c>
      <c r="AK491" s="13" t="str">
        <f>IF(tblCleanData[[#This Row],[MonthlyIncome]]&lt;5000, "Low Income", IF(tblCleanData[[#This Row],[MonthlyIncome]]&lt;15000, "Medium Income", "High Income"))</f>
        <v>High Income</v>
      </c>
      <c r="AL491" s="13">
        <f>IF(tblCleanData[[#This Row],[Attrition]]="No", 0,1)</f>
        <v>0</v>
      </c>
      <c r="AM491" s="13">
        <f>IF(tblCleanData[[#This Row],[OverTime]] = "No", 0, 1)</f>
        <v>1</v>
      </c>
      <c r="AN491" s="13" t="str">
        <f>CHOOSE(tblCleanData[[#This Row],[Education]], "Below College","College","Bachelor","Master","Doctor")</f>
        <v>Master</v>
      </c>
      <c r="AO491" s="13" t="str">
        <f>VLOOKUP(tblCleanData[[#This Row],[EmployeeNumber]],tblHelpers[],15,TRUE)</f>
        <v>High Risk</v>
      </c>
      <c r="AP491" s="13">
        <f>VLOOKUP(tblCleanData[[#This Row],[EmployeeNumber]],tblHelpers[],14,0)</f>
        <v>71</v>
      </c>
    </row>
    <row r="492" spans="1:42" x14ac:dyDescent="0.25">
      <c r="A492" s="13">
        <v>38</v>
      </c>
      <c r="B492" s="13" t="s">
        <v>59</v>
      </c>
      <c r="C492" s="13" t="s">
        <v>37</v>
      </c>
      <c r="D492" s="13">
        <v>362</v>
      </c>
      <c r="E492" s="13" t="s">
        <v>62</v>
      </c>
      <c r="F492" s="13">
        <v>1</v>
      </c>
      <c r="G492" s="13">
        <v>1</v>
      </c>
      <c r="H492" s="13" t="s">
        <v>42</v>
      </c>
      <c r="I492" s="13">
        <v>1</v>
      </c>
      <c r="J492" s="13">
        <v>662</v>
      </c>
      <c r="K492" s="13">
        <v>3</v>
      </c>
      <c r="L492" s="13" t="s">
        <v>43</v>
      </c>
      <c r="M492" s="13">
        <v>43</v>
      </c>
      <c r="N492" s="13">
        <v>3</v>
      </c>
      <c r="O492" s="13">
        <v>1</v>
      </c>
      <c r="P492" s="13" t="s">
        <v>65</v>
      </c>
      <c r="Q492" s="13">
        <v>1</v>
      </c>
      <c r="R492" s="13" t="s">
        <v>48</v>
      </c>
      <c r="S492" s="20">
        <v>2619</v>
      </c>
      <c r="T492" s="13">
        <v>14561</v>
      </c>
      <c r="U492" s="13">
        <v>3</v>
      </c>
      <c r="V492" s="13" t="s">
        <v>52</v>
      </c>
      <c r="W492" s="13" t="s">
        <v>59</v>
      </c>
      <c r="X492" s="13">
        <v>17</v>
      </c>
      <c r="Y492" s="13">
        <v>3</v>
      </c>
      <c r="Z492" s="13">
        <v>4</v>
      </c>
      <c r="AA492" s="13">
        <v>80</v>
      </c>
      <c r="AB492" s="13">
        <v>0</v>
      </c>
      <c r="AC492" s="13">
        <v>8</v>
      </c>
      <c r="AD492" s="13">
        <v>3</v>
      </c>
      <c r="AE492" s="13">
        <v>2</v>
      </c>
      <c r="AF492" s="14">
        <v>0</v>
      </c>
      <c r="AG492" s="13">
        <v>0</v>
      </c>
      <c r="AH492" s="13">
        <v>0</v>
      </c>
      <c r="AI492" s="13">
        <v>0</v>
      </c>
      <c r="AJ492" s="13" t="str">
        <f t="shared" si="7"/>
        <v>30-39</v>
      </c>
      <c r="AK492" s="13" t="str">
        <f>IF(tblCleanData[[#This Row],[MonthlyIncome]]&lt;5000, "Low Income", IF(tblCleanData[[#This Row],[MonthlyIncome]]&lt;15000, "Medium Income", "High Income"))</f>
        <v>Low Income</v>
      </c>
      <c r="AL492" s="13">
        <f>IF(tblCleanData[[#This Row],[Attrition]]="No", 0,1)</f>
        <v>0</v>
      </c>
      <c r="AM492" s="13">
        <f>IF(tblCleanData[[#This Row],[OverTime]] = "No", 0, 1)</f>
        <v>0</v>
      </c>
      <c r="AN492" s="13" t="str">
        <f>CHOOSE(tblCleanData[[#This Row],[Education]], "Below College","College","Bachelor","Master","Doctor")</f>
        <v>Below College</v>
      </c>
      <c r="AO492" s="13" t="str">
        <f>VLOOKUP(tblCleanData[[#This Row],[EmployeeNumber]],tblHelpers[],15,TRUE)</f>
        <v>High Risk</v>
      </c>
      <c r="AP492" s="13">
        <f>VLOOKUP(tblCleanData[[#This Row],[EmployeeNumber]],tblHelpers[],14,0)</f>
        <v>75</v>
      </c>
    </row>
    <row r="493" spans="1:42" x14ac:dyDescent="0.25">
      <c r="A493" s="13">
        <v>43</v>
      </c>
      <c r="B493" s="13" t="s">
        <v>59</v>
      </c>
      <c r="C493" s="13" t="s">
        <v>60</v>
      </c>
      <c r="D493" s="13">
        <v>1001</v>
      </c>
      <c r="E493" s="13" t="s">
        <v>62</v>
      </c>
      <c r="F493" s="13">
        <v>9</v>
      </c>
      <c r="G493" s="13">
        <v>5</v>
      </c>
      <c r="H493" s="13" t="s">
        <v>87</v>
      </c>
      <c r="I493" s="13">
        <v>1</v>
      </c>
      <c r="J493" s="13">
        <v>663</v>
      </c>
      <c r="K493" s="13">
        <v>4</v>
      </c>
      <c r="L493" s="13" t="s">
        <v>63</v>
      </c>
      <c r="M493" s="13">
        <v>72</v>
      </c>
      <c r="N493" s="13">
        <v>3</v>
      </c>
      <c r="O493" s="13">
        <v>2</v>
      </c>
      <c r="P493" s="13" t="s">
        <v>76</v>
      </c>
      <c r="Q493" s="13">
        <v>3</v>
      </c>
      <c r="R493" s="13" t="s">
        <v>109</v>
      </c>
      <c r="S493" s="20">
        <v>5679</v>
      </c>
      <c r="T493" s="13">
        <v>19627</v>
      </c>
      <c r="U493" s="13">
        <v>3</v>
      </c>
      <c r="V493" s="13" t="s">
        <v>52</v>
      </c>
      <c r="W493" s="13" t="s">
        <v>36</v>
      </c>
      <c r="X493" s="13">
        <v>13</v>
      </c>
      <c r="Y493" s="13">
        <v>3</v>
      </c>
      <c r="Z493" s="13">
        <v>2</v>
      </c>
      <c r="AA493" s="13">
        <v>80</v>
      </c>
      <c r="AB493" s="13">
        <v>1</v>
      </c>
      <c r="AC493" s="13">
        <v>10</v>
      </c>
      <c r="AD493" s="13">
        <v>3</v>
      </c>
      <c r="AE493" s="13">
        <v>3</v>
      </c>
      <c r="AF493" s="14">
        <v>8</v>
      </c>
      <c r="AG493" s="13">
        <v>7</v>
      </c>
      <c r="AH493" s="13">
        <v>4</v>
      </c>
      <c r="AI493" s="13">
        <v>7</v>
      </c>
      <c r="AJ493" s="13" t="str">
        <f t="shared" si="7"/>
        <v>40-49</v>
      </c>
      <c r="AK493" s="13" t="str">
        <f>IF(tblCleanData[[#This Row],[MonthlyIncome]]&lt;5000, "Low Income", IF(tblCleanData[[#This Row],[MonthlyIncome]]&lt;15000, "Medium Income", "High Income"))</f>
        <v>Medium Income</v>
      </c>
      <c r="AL493" s="13">
        <f>IF(tblCleanData[[#This Row],[Attrition]]="No", 0,1)</f>
        <v>0</v>
      </c>
      <c r="AM493" s="13">
        <f>IF(tblCleanData[[#This Row],[OverTime]] = "No", 0, 1)</f>
        <v>1</v>
      </c>
      <c r="AN493" s="13" t="str">
        <f>CHOOSE(tblCleanData[[#This Row],[Education]], "Below College","College","Bachelor","Master","Doctor")</f>
        <v>Doctor</v>
      </c>
      <c r="AO493" s="13" t="str">
        <f>VLOOKUP(tblCleanData[[#This Row],[EmployeeNumber]],tblHelpers[],15,TRUE)</f>
        <v>High Risk</v>
      </c>
      <c r="AP493" s="13">
        <f>VLOOKUP(tblCleanData[[#This Row],[EmployeeNumber]],tblHelpers[],14,0)</f>
        <v>61</v>
      </c>
    </row>
    <row r="494" spans="1:42" x14ac:dyDescent="0.25">
      <c r="A494" s="13">
        <v>48</v>
      </c>
      <c r="B494" s="13" t="s">
        <v>59</v>
      </c>
      <c r="C494" s="13" t="s">
        <v>37</v>
      </c>
      <c r="D494" s="13">
        <v>1236</v>
      </c>
      <c r="E494" s="13" t="s">
        <v>62</v>
      </c>
      <c r="F494" s="13">
        <v>1</v>
      </c>
      <c r="G494" s="13">
        <v>4</v>
      </c>
      <c r="H494" s="13" t="s">
        <v>42</v>
      </c>
      <c r="I494" s="13">
        <v>1</v>
      </c>
      <c r="J494" s="13">
        <v>664</v>
      </c>
      <c r="K494" s="13">
        <v>4</v>
      </c>
      <c r="L494" s="13" t="s">
        <v>43</v>
      </c>
      <c r="M494" s="13">
        <v>40</v>
      </c>
      <c r="N494" s="13">
        <v>2</v>
      </c>
      <c r="O494" s="13">
        <v>4</v>
      </c>
      <c r="P494" s="13" t="s">
        <v>169</v>
      </c>
      <c r="Q494" s="13">
        <v>1</v>
      </c>
      <c r="R494" s="13" t="s">
        <v>66</v>
      </c>
      <c r="S494" s="20">
        <v>15402</v>
      </c>
      <c r="T494" s="13">
        <v>17997</v>
      </c>
      <c r="U494" s="13">
        <v>7</v>
      </c>
      <c r="V494" s="13" t="s">
        <v>52</v>
      </c>
      <c r="W494" s="13" t="s">
        <v>59</v>
      </c>
      <c r="X494" s="13">
        <v>11</v>
      </c>
      <c r="Y494" s="13">
        <v>3</v>
      </c>
      <c r="Z494" s="13">
        <v>1</v>
      </c>
      <c r="AA494" s="13">
        <v>80</v>
      </c>
      <c r="AB494" s="13">
        <v>1</v>
      </c>
      <c r="AC494" s="13">
        <v>21</v>
      </c>
      <c r="AD494" s="13">
        <v>3</v>
      </c>
      <c r="AE494" s="13">
        <v>1</v>
      </c>
      <c r="AF494" s="14">
        <v>3</v>
      </c>
      <c r="AG494" s="13">
        <v>2</v>
      </c>
      <c r="AH494" s="13">
        <v>0</v>
      </c>
      <c r="AI494" s="13">
        <v>2</v>
      </c>
      <c r="AJ494" s="13" t="str">
        <f t="shared" si="7"/>
        <v>40-49</v>
      </c>
      <c r="AK494" s="13" t="str">
        <f>IF(tblCleanData[[#This Row],[MonthlyIncome]]&lt;5000, "Low Income", IF(tblCleanData[[#This Row],[MonthlyIncome]]&lt;15000, "Medium Income", "High Income"))</f>
        <v>High Income</v>
      </c>
      <c r="AL494" s="13">
        <f>IF(tblCleanData[[#This Row],[Attrition]]="No", 0,1)</f>
        <v>0</v>
      </c>
      <c r="AM494" s="13">
        <f>IF(tblCleanData[[#This Row],[OverTime]] = "No", 0, 1)</f>
        <v>0</v>
      </c>
      <c r="AN494" s="13" t="str">
        <f>CHOOSE(tblCleanData[[#This Row],[Education]], "Below College","College","Bachelor","Master","Doctor")</f>
        <v>Master</v>
      </c>
      <c r="AO494" s="13" t="str">
        <f>VLOOKUP(tblCleanData[[#This Row],[EmployeeNumber]],tblHelpers[],15,TRUE)</f>
        <v>High Risk</v>
      </c>
      <c r="AP494" s="13">
        <f>VLOOKUP(tblCleanData[[#This Row],[EmployeeNumber]],tblHelpers[],14,0)</f>
        <v>55</v>
      </c>
    </row>
    <row r="495" spans="1:42" x14ac:dyDescent="0.25">
      <c r="A495" s="13">
        <v>44</v>
      </c>
      <c r="B495" s="13" t="s">
        <v>59</v>
      </c>
      <c r="C495" s="13" t="s">
        <v>37</v>
      </c>
      <c r="D495" s="13">
        <v>1112</v>
      </c>
      <c r="E495" s="13" t="s">
        <v>397</v>
      </c>
      <c r="F495" s="13">
        <v>1</v>
      </c>
      <c r="G495" s="13">
        <v>4</v>
      </c>
      <c r="H495" s="13" t="s">
        <v>42</v>
      </c>
      <c r="I495" s="13">
        <v>1</v>
      </c>
      <c r="J495" s="13">
        <v>665</v>
      </c>
      <c r="K495" s="13">
        <v>1</v>
      </c>
      <c r="L495" s="13" t="s">
        <v>43</v>
      </c>
      <c r="M495" s="13">
        <v>50</v>
      </c>
      <c r="N495" s="13">
        <v>2</v>
      </c>
      <c r="O495" s="13">
        <v>2</v>
      </c>
      <c r="P495" s="13" t="s">
        <v>397</v>
      </c>
      <c r="Q495" s="13">
        <v>3</v>
      </c>
      <c r="R495" s="13" t="s">
        <v>48</v>
      </c>
      <c r="S495" s="20">
        <v>5985</v>
      </c>
      <c r="T495" s="13">
        <v>26894</v>
      </c>
      <c r="U495" s="13">
        <v>4</v>
      </c>
      <c r="V495" s="13" t="s">
        <v>52</v>
      </c>
      <c r="W495" s="13" t="s">
        <v>59</v>
      </c>
      <c r="X495" s="13">
        <v>11</v>
      </c>
      <c r="Y495" s="13">
        <v>3</v>
      </c>
      <c r="Z495" s="13">
        <v>2</v>
      </c>
      <c r="AA495" s="13">
        <v>80</v>
      </c>
      <c r="AB495" s="13">
        <v>0</v>
      </c>
      <c r="AC495" s="13">
        <v>10</v>
      </c>
      <c r="AD495" s="13">
        <v>1</v>
      </c>
      <c r="AE495" s="13">
        <v>4</v>
      </c>
      <c r="AF495" s="14">
        <v>2</v>
      </c>
      <c r="AG495" s="13">
        <v>2</v>
      </c>
      <c r="AH495" s="13">
        <v>0</v>
      </c>
      <c r="AI495" s="13">
        <v>2</v>
      </c>
      <c r="AJ495" s="13" t="str">
        <f t="shared" si="7"/>
        <v>40-49</v>
      </c>
      <c r="AK495" s="13" t="str">
        <f>IF(tblCleanData[[#This Row],[MonthlyIncome]]&lt;5000, "Low Income", IF(tblCleanData[[#This Row],[MonthlyIncome]]&lt;15000, "Medium Income", "High Income"))</f>
        <v>Medium Income</v>
      </c>
      <c r="AL495" s="13">
        <f>IF(tblCleanData[[#This Row],[Attrition]]="No", 0,1)</f>
        <v>0</v>
      </c>
      <c r="AM495" s="13">
        <f>IF(tblCleanData[[#This Row],[OverTime]] = "No", 0, 1)</f>
        <v>0</v>
      </c>
      <c r="AN495" s="13" t="str">
        <f>CHOOSE(tblCleanData[[#This Row],[Education]], "Below College","College","Bachelor","Master","Doctor")</f>
        <v>Master</v>
      </c>
      <c r="AO495" s="13" t="str">
        <f>VLOOKUP(tblCleanData[[#This Row],[EmployeeNumber]],tblHelpers[],15,TRUE)</f>
        <v>Medium Risk</v>
      </c>
      <c r="AP495" s="13">
        <f>VLOOKUP(tblCleanData[[#This Row],[EmployeeNumber]],tblHelpers[],14,0)</f>
        <v>53</v>
      </c>
    </row>
    <row r="496" spans="1:42" x14ac:dyDescent="0.25">
      <c r="A496" s="13">
        <v>34</v>
      </c>
      <c r="B496" s="13" t="s">
        <v>59</v>
      </c>
      <c r="C496" s="13" t="s">
        <v>37</v>
      </c>
      <c r="D496" s="13">
        <v>204</v>
      </c>
      <c r="E496" s="13" t="s">
        <v>39</v>
      </c>
      <c r="F496" s="13">
        <v>14</v>
      </c>
      <c r="G496" s="13">
        <v>3</v>
      </c>
      <c r="H496" s="13" t="s">
        <v>228</v>
      </c>
      <c r="I496" s="13">
        <v>1</v>
      </c>
      <c r="J496" s="13">
        <v>666</v>
      </c>
      <c r="K496" s="13">
        <v>3</v>
      </c>
      <c r="L496" s="13" t="s">
        <v>43</v>
      </c>
      <c r="M496" s="13">
        <v>31</v>
      </c>
      <c r="N496" s="13">
        <v>3</v>
      </c>
      <c r="O496" s="13">
        <v>1</v>
      </c>
      <c r="P496" s="13" t="s">
        <v>182</v>
      </c>
      <c r="Q496" s="13">
        <v>3</v>
      </c>
      <c r="R496" s="13" t="s">
        <v>109</v>
      </c>
      <c r="S496" s="20">
        <v>2579</v>
      </c>
      <c r="T496" s="13">
        <v>2912</v>
      </c>
      <c r="U496" s="13">
        <v>1</v>
      </c>
      <c r="V496" s="13" t="s">
        <v>52</v>
      </c>
      <c r="W496" s="13" t="s">
        <v>36</v>
      </c>
      <c r="X496" s="13">
        <v>18</v>
      </c>
      <c r="Y496" s="13">
        <v>3</v>
      </c>
      <c r="Z496" s="13">
        <v>4</v>
      </c>
      <c r="AA496" s="13">
        <v>80</v>
      </c>
      <c r="AB496" s="13">
        <v>2</v>
      </c>
      <c r="AC496" s="13">
        <v>8</v>
      </c>
      <c r="AD496" s="13">
        <v>3</v>
      </c>
      <c r="AE496" s="13">
        <v>3</v>
      </c>
      <c r="AF496" s="14">
        <v>8</v>
      </c>
      <c r="AG496" s="13">
        <v>2</v>
      </c>
      <c r="AH496" s="13">
        <v>0</v>
      </c>
      <c r="AI496" s="13">
        <v>6</v>
      </c>
      <c r="AJ496" s="13" t="str">
        <f t="shared" si="7"/>
        <v>30-39</v>
      </c>
      <c r="AK496" s="13" t="str">
        <f>IF(tblCleanData[[#This Row],[MonthlyIncome]]&lt;5000, "Low Income", IF(tblCleanData[[#This Row],[MonthlyIncome]]&lt;15000, "Medium Income", "High Income"))</f>
        <v>Low Income</v>
      </c>
      <c r="AL496" s="13">
        <f>IF(tblCleanData[[#This Row],[Attrition]]="No", 0,1)</f>
        <v>0</v>
      </c>
      <c r="AM496" s="13">
        <f>IF(tblCleanData[[#This Row],[OverTime]] = "No", 0, 1)</f>
        <v>1</v>
      </c>
      <c r="AN496" s="13" t="str">
        <f>CHOOSE(tblCleanData[[#This Row],[Education]], "Below College","College","Bachelor","Master","Doctor")</f>
        <v>Bachelor</v>
      </c>
      <c r="AO496" s="13" t="str">
        <f>VLOOKUP(tblCleanData[[#This Row],[EmployeeNumber]],tblHelpers[],15,TRUE)</f>
        <v>High Risk</v>
      </c>
      <c r="AP496" s="13">
        <f>VLOOKUP(tblCleanData[[#This Row],[EmployeeNumber]],tblHelpers[],14,0)</f>
        <v>71</v>
      </c>
    </row>
    <row r="497" spans="1:42" x14ac:dyDescent="0.25">
      <c r="A497" s="13">
        <v>27</v>
      </c>
      <c r="B497" s="13" t="s">
        <v>36</v>
      </c>
      <c r="C497" s="13" t="s">
        <v>37</v>
      </c>
      <c r="D497" s="13">
        <v>1420</v>
      </c>
      <c r="E497" s="13" t="s">
        <v>39</v>
      </c>
      <c r="F497" s="13">
        <v>2</v>
      </c>
      <c r="G497" s="13">
        <v>1</v>
      </c>
      <c r="H497" s="13" t="s">
        <v>206</v>
      </c>
      <c r="I497" s="13">
        <v>1</v>
      </c>
      <c r="J497" s="13">
        <v>667</v>
      </c>
      <c r="K497" s="13">
        <v>3</v>
      </c>
      <c r="L497" s="13" t="s">
        <v>63</v>
      </c>
      <c r="M497" s="13">
        <v>85</v>
      </c>
      <c r="N497" s="13">
        <v>3</v>
      </c>
      <c r="O497" s="13">
        <v>1</v>
      </c>
      <c r="P497" s="13" t="s">
        <v>182</v>
      </c>
      <c r="Q497" s="13">
        <v>1</v>
      </c>
      <c r="R497" s="13" t="s">
        <v>109</v>
      </c>
      <c r="S497" s="20">
        <v>3041</v>
      </c>
      <c r="T497" s="13">
        <v>16346</v>
      </c>
      <c r="U497" s="13">
        <v>0</v>
      </c>
      <c r="V497" s="13" t="s">
        <v>52</v>
      </c>
      <c r="W497" s="13" t="s">
        <v>59</v>
      </c>
      <c r="X497" s="13">
        <v>11</v>
      </c>
      <c r="Y497" s="13">
        <v>3</v>
      </c>
      <c r="Z497" s="13">
        <v>2</v>
      </c>
      <c r="AA497" s="13">
        <v>80</v>
      </c>
      <c r="AB497" s="13">
        <v>1</v>
      </c>
      <c r="AC497" s="13">
        <v>5</v>
      </c>
      <c r="AD497" s="13">
        <v>3</v>
      </c>
      <c r="AE497" s="13">
        <v>3</v>
      </c>
      <c r="AF497" s="14">
        <v>4</v>
      </c>
      <c r="AG497" s="13">
        <v>3</v>
      </c>
      <c r="AH497" s="13">
        <v>0</v>
      </c>
      <c r="AI497" s="13">
        <v>2</v>
      </c>
      <c r="AJ497" s="13" t="str">
        <f t="shared" si="7"/>
        <v>Under 30</v>
      </c>
      <c r="AK497" s="13" t="str">
        <f>IF(tblCleanData[[#This Row],[MonthlyIncome]]&lt;5000, "Low Income", IF(tblCleanData[[#This Row],[MonthlyIncome]]&lt;15000, "Medium Income", "High Income"))</f>
        <v>Low Income</v>
      </c>
      <c r="AL497" s="13">
        <f>IF(tblCleanData[[#This Row],[Attrition]]="No", 0,1)</f>
        <v>1</v>
      </c>
      <c r="AM497" s="13">
        <f>IF(tblCleanData[[#This Row],[OverTime]] = "No", 0, 1)</f>
        <v>0</v>
      </c>
      <c r="AN497" s="13" t="str">
        <f>CHOOSE(tblCleanData[[#This Row],[Education]], "Below College","College","Bachelor","Master","Doctor")</f>
        <v>Below College</v>
      </c>
      <c r="AO497" s="13" t="str">
        <f>VLOOKUP(tblCleanData[[#This Row],[EmployeeNumber]],tblHelpers[],15,TRUE)</f>
        <v>High Risk</v>
      </c>
      <c r="AP497" s="13">
        <f>VLOOKUP(tblCleanData[[#This Row],[EmployeeNumber]],tblHelpers[],14,0)</f>
        <v>75</v>
      </c>
    </row>
    <row r="498" spans="1:42" x14ac:dyDescent="0.25">
      <c r="A498" s="13">
        <v>21</v>
      </c>
      <c r="B498" s="13" t="s">
        <v>59</v>
      </c>
      <c r="C498" s="13" t="s">
        <v>37</v>
      </c>
      <c r="D498" s="13">
        <v>1343</v>
      </c>
      <c r="E498" s="13" t="s">
        <v>39</v>
      </c>
      <c r="F498" s="13">
        <v>22</v>
      </c>
      <c r="G498" s="13">
        <v>1</v>
      </c>
      <c r="H498" s="13" t="s">
        <v>228</v>
      </c>
      <c r="I498" s="13">
        <v>1</v>
      </c>
      <c r="J498" s="13">
        <v>669</v>
      </c>
      <c r="K498" s="13">
        <v>3</v>
      </c>
      <c r="L498" s="13" t="s">
        <v>63</v>
      </c>
      <c r="M498" s="13">
        <v>49</v>
      </c>
      <c r="N498" s="13">
        <v>3</v>
      </c>
      <c r="O498" s="13">
        <v>1</v>
      </c>
      <c r="P498" s="13" t="s">
        <v>182</v>
      </c>
      <c r="Q498" s="13">
        <v>3</v>
      </c>
      <c r="R498" s="13" t="s">
        <v>48</v>
      </c>
      <c r="S498" s="20">
        <v>3447</v>
      </c>
      <c r="T498" s="13">
        <v>24444</v>
      </c>
      <c r="U498" s="13">
        <v>1</v>
      </c>
      <c r="V498" s="13" t="s">
        <v>52</v>
      </c>
      <c r="W498" s="13" t="s">
        <v>59</v>
      </c>
      <c r="X498" s="13">
        <v>11</v>
      </c>
      <c r="Y498" s="13">
        <v>3</v>
      </c>
      <c r="Z498" s="13">
        <v>3</v>
      </c>
      <c r="AA498" s="13">
        <v>80</v>
      </c>
      <c r="AB498" s="13">
        <v>0</v>
      </c>
      <c r="AC498" s="13">
        <v>3</v>
      </c>
      <c r="AD498" s="13">
        <v>2</v>
      </c>
      <c r="AE498" s="13">
        <v>3</v>
      </c>
      <c r="AF498" s="14">
        <v>3</v>
      </c>
      <c r="AG498" s="13">
        <v>2</v>
      </c>
      <c r="AH498" s="13">
        <v>1</v>
      </c>
      <c r="AI498" s="13">
        <v>2</v>
      </c>
      <c r="AJ498" s="13" t="str">
        <f t="shared" si="7"/>
        <v>Under 30</v>
      </c>
      <c r="AK498" s="13" t="str">
        <f>IF(tblCleanData[[#This Row],[MonthlyIncome]]&lt;5000, "Low Income", IF(tblCleanData[[#This Row],[MonthlyIncome]]&lt;15000, "Medium Income", "High Income"))</f>
        <v>Low Income</v>
      </c>
      <c r="AL498" s="13">
        <f>IF(tblCleanData[[#This Row],[Attrition]]="No", 0,1)</f>
        <v>0</v>
      </c>
      <c r="AM498" s="13">
        <f>IF(tblCleanData[[#This Row],[OverTime]] = "No", 0, 1)</f>
        <v>0</v>
      </c>
      <c r="AN498" s="13" t="str">
        <f>CHOOSE(tblCleanData[[#This Row],[Education]], "Below College","College","Bachelor","Master","Doctor")</f>
        <v>Below College</v>
      </c>
      <c r="AO498" s="13" t="str">
        <f>VLOOKUP(tblCleanData[[#This Row],[EmployeeNumber]],tblHelpers[],15,TRUE)</f>
        <v>High Risk</v>
      </c>
      <c r="AP498" s="13">
        <f>VLOOKUP(tblCleanData[[#This Row],[EmployeeNumber]],tblHelpers[],14,0)</f>
        <v>63</v>
      </c>
    </row>
    <row r="499" spans="1:42" x14ac:dyDescent="0.25">
      <c r="A499" s="13">
        <v>44</v>
      </c>
      <c r="B499" s="13" t="s">
        <v>59</v>
      </c>
      <c r="C499" s="13" t="s">
        <v>37</v>
      </c>
      <c r="D499" s="13">
        <v>1315</v>
      </c>
      <c r="E499" s="13" t="s">
        <v>62</v>
      </c>
      <c r="F499" s="13">
        <v>3</v>
      </c>
      <c r="G499" s="13">
        <v>4</v>
      </c>
      <c r="H499" s="13" t="s">
        <v>74</v>
      </c>
      <c r="I499" s="13">
        <v>1</v>
      </c>
      <c r="J499" s="13">
        <v>671</v>
      </c>
      <c r="K499" s="13">
        <v>4</v>
      </c>
      <c r="L499" s="13" t="s">
        <v>63</v>
      </c>
      <c r="M499" s="13">
        <v>35</v>
      </c>
      <c r="N499" s="13">
        <v>3</v>
      </c>
      <c r="O499" s="13">
        <v>5</v>
      </c>
      <c r="P499" s="13" t="s">
        <v>169</v>
      </c>
      <c r="Q499" s="13">
        <v>4</v>
      </c>
      <c r="R499" s="13" t="s">
        <v>66</v>
      </c>
      <c r="S499" s="20">
        <v>19513</v>
      </c>
      <c r="T499" s="13">
        <v>9358</v>
      </c>
      <c r="U499" s="13">
        <v>4</v>
      </c>
      <c r="V499" s="13" t="s">
        <v>52</v>
      </c>
      <c r="W499" s="13" t="s">
        <v>36</v>
      </c>
      <c r="X499" s="13">
        <v>12</v>
      </c>
      <c r="Y499" s="13">
        <v>3</v>
      </c>
      <c r="Z499" s="13">
        <v>1</v>
      </c>
      <c r="AA499" s="13">
        <v>80</v>
      </c>
      <c r="AB499" s="13">
        <v>1</v>
      </c>
      <c r="AC499" s="13">
        <v>26</v>
      </c>
      <c r="AD499" s="13">
        <v>2</v>
      </c>
      <c r="AE499" s="13">
        <v>4</v>
      </c>
      <c r="AF499" s="14">
        <v>2</v>
      </c>
      <c r="AG499" s="13">
        <v>2</v>
      </c>
      <c r="AH499" s="13">
        <v>0</v>
      </c>
      <c r="AI499" s="13">
        <v>1</v>
      </c>
      <c r="AJ499" s="13" t="str">
        <f t="shared" si="7"/>
        <v>40-49</v>
      </c>
      <c r="AK499" s="13" t="str">
        <f>IF(tblCleanData[[#This Row],[MonthlyIncome]]&lt;5000, "Low Income", IF(tblCleanData[[#This Row],[MonthlyIncome]]&lt;15000, "Medium Income", "High Income"))</f>
        <v>High Income</v>
      </c>
      <c r="AL499" s="13">
        <f>IF(tblCleanData[[#This Row],[Attrition]]="No", 0,1)</f>
        <v>0</v>
      </c>
      <c r="AM499" s="13">
        <f>IF(tblCleanData[[#This Row],[OverTime]] = "No", 0, 1)</f>
        <v>1</v>
      </c>
      <c r="AN499" s="13" t="str">
        <f>CHOOSE(tblCleanData[[#This Row],[Education]], "Below College","College","Bachelor","Master","Doctor")</f>
        <v>Master</v>
      </c>
      <c r="AO499" s="13" t="str">
        <f>VLOOKUP(tblCleanData[[#This Row],[EmployeeNumber]],tblHelpers[],15,TRUE)</f>
        <v>High Risk</v>
      </c>
      <c r="AP499" s="13">
        <f>VLOOKUP(tblCleanData[[#This Row],[EmployeeNumber]],tblHelpers[],14,0)</f>
        <v>71</v>
      </c>
    </row>
    <row r="500" spans="1:42" x14ac:dyDescent="0.25">
      <c r="A500" s="13">
        <v>22</v>
      </c>
      <c r="B500" s="13" t="s">
        <v>59</v>
      </c>
      <c r="C500" s="13" t="s">
        <v>37</v>
      </c>
      <c r="D500" s="13">
        <v>604</v>
      </c>
      <c r="E500" s="13" t="s">
        <v>62</v>
      </c>
      <c r="F500" s="13">
        <v>6</v>
      </c>
      <c r="G500" s="13">
        <v>1</v>
      </c>
      <c r="H500" s="13" t="s">
        <v>87</v>
      </c>
      <c r="I500" s="13">
        <v>1</v>
      </c>
      <c r="J500" s="13">
        <v>675</v>
      </c>
      <c r="K500" s="13">
        <v>1</v>
      </c>
      <c r="L500" s="13" t="s">
        <v>63</v>
      </c>
      <c r="M500" s="13">
        <v>69</v>
      </c>
      <c r="N500" s="13">
        <v>3</v>
      </c>
      <c r="O500" s="13">
        <v>1</v>
      </c>
      <c r="P500" s="13" t="s">
        <v>65</v>
      </c>
      <c r="Q500" s="13">
        <v>3</v>
      </c>
      <c r="R500" s="13" t="s">
        <v>66</v>
      </c>
      <c r="S500" s="20">
        <v>2773</v>
      </c>
      <c r="T500" s="13">
        <v>12145</v>
      </c>
      <c r="U500" s="13">
        <v>0</v>
      </c>
      <c r="V500" s="13" t="s">
        <v>52</v>
      </c>
      <c r="W500" s="13" t="s">
        <v>59</v>
      </c>
      <c r="X500" s="13">
        <v>20</v>
      </c>
      <c r="Y500" s="13">
        <v>4</v>
      </c>
      <c r="Z500" s="13">
        <v>4</v>
      </c>
      <c r="AA500" s="13">
        <v>80</v>
      </c>
      <c r="AB500" s="13">
        <v>0</v>
      </c>
      <c r="AC500" s="13">
        <v>3</v>
      </c>
      <c r="AD500" s="13">
        <v>3</v>
      </c>
      <c r="AE500" s="13">
        <v>3</v>
      </c>
      <c r="AF500" s="14">
        <v>2</v>
      </c>
      <c r="AG500" s="13">
        <v>2</v>
      </c>
      <c r="AH500" s="13">
        <v>2</v>
      </c>
      <c r="AI500" s="13">
        <v>2</v>
      </c>
      <c r="AJ500" s="13" t="str">
        <f t="shared" si="7"/>
        <v>Under 30</v>
      </c>
      <c r="AK500" s="13" t="str">
        <f>IF(tblCleanData[[#This Row],[MonthlyIncome]]&lt;5000, "Low Income", IF(tblCleanData[[#This Row],[MonthlyIncome]]&lt;15000, "Medium Income", "High Income"))</f>
        <v>Low Income</v>
      </c>
      <c r="AL500" s="13">
        <f>IF(tblCleanData[[#This Row],[Attrition]]="No", 0,1)</f>
        <v>0</v>
      </c>
      <c r="AM500" s="13">
        <f>IF(tblCleanData[[#This Row],[OverTime]] = "No", 0, 1)</f>
        <v>0</v>
      </c>
      <c r="AN500" s="13" t="str">
        <f>CHOOSE(tblCleanData[[#This Row],[Education]], "Below College","College","Bachelor","Master","Doctor")</f>
        <v>Below College</v>
      </c>
      <c r="AO500" s="13" t="str">
        <f>VLOOKUP(tblCleanData[[#This Row],[EmployeeNumber]],tblHelpers[],15,TRUE)</f>
        <v>High Risk</v>
      </c>
      <c r="AP500" s="13">
        <f>VLOOKUP(tblCleanData[[#This Row],[EmployeeNumber]],tblHelpers[],14,0)</f>
        <v>73</v>
      </c>
    </row>
    <row r="501" spans="1:42" x14ac:dyDescent="0.25">
      <c r="A501" s="13">
        <v>33</v>
      </c>
      <c r="B501" s="13" t="s">
        <v>59</v>
      </c>
      <c r="C501" s="13" t="s">
        <v>37</v>
      </c>
      <c r="D501" s="13">
        <v>1216</v>
      </c>
      <c r="E501" s="13" t="s">
        <v>39</v>
      </c>
      <c r="F501" s="13">
        <v>8</v>
      </c>
      <c r="G501" s="13">
        <v>4</v>
      </c>
      <c r="H501" s="13" t="s">
        <v>206</v>
      </c>
      <c r="I501" s="13">
        <v>1</v>
      </c>
      <c r="J501" s="13">
        <v>677</v>
      </c>
      <c r="K501" s="13">
        <v>3</v>
      </c>
      <c r="L501" s="13" t="s">
        <v>63</v>
      </c>
      <c r="M501" s="13">
        <v>39</v>
      </c>
      <c r="N501" s="13">
        <v>3</v>
      </c>
      <c r="O501" s="13">
        <v>2</v>
      </c>
      <c r="P501" s="13" t="s">
        <v>46</v>
      </c>
      <c r="Q501" s="13">
        <v>3</v>
      </c>
      <c r="R501" s="13" t="s">
        <v>109</v>
      </c>
      <c r="S501" s="20">
        <v>7104</v>
      </c>
      <c r="T501" s="13">
        <v>20431</v>
      </c>
      <c r="U501" s="13">
        <v>0</v>
      </c>
      <c r="V501" s="13" t="s">
        <v>52</v>
      </c>
      <c r="W501" s="13" t="s">
        <v>59</v>
      </c>
      <c r="X501" s="13">
        <v>12</v>
      </c>
      <c r="Y501" s="13">
        <v>3</v>
      </c>
      <c r="Z501" s="13">
        <v>4</v>
      </c>
      <c r="AA501" s="13">
        <v>80</v>
      </c>
      <c r="AB501" s="13">
        <v>0</v>
      </c>
      <c r="AC501" s="13">
        <v>6</v>
      </c>
      <c r="AD501" s="13">
        <v>3</v>
      </c>
      <c r="AE501" s="13">
        <v>3</v>
      </c>
      <c r="AF501" s="14">
        <v>5</v>
      </c>
      <c r="AG501" s="13">
        <v>0</v>
      </c>
      <c r="AH501" s="13">
        <v>1</v>
      </c>
      <c r="AI501" s="13">
        <v>2</v>
      </c>
      <c r="AJ501" s="13" t="str">
        <f t="shared" si="7"/>
        <v>30-39</v>
      </c>
      <c r="AK501" s="13" t="str">
        <f>IF(tblCleanData[[#This Row],[MonthlyIncome]]&lt;5000, "Low Income", IF(tblCleanData[[#This Row],[MonthlyIncome]]&lt;15000, "Medium Income", "High Income"))</f>
        <v>Medium Income</v>
      </c>
      <c r="AL501" s="13">
        <f>IF(tblCleanData[[#This Row],[Attrition]]="No", 0,1)</f>
        <v>0</v>
      </c>
      <c r="AM501" s="13">
        <f>IF(tblCleanData[[#This Row],[OverTime]] = "No", 0, 1)</f>
        <v>0</v>
      </c>
      <c r="AN501" s="13" t="str">
        <f>CHOOSE(tblCleanData[[#This Row],[Education]], "Below College","College","Bachelor","Master","Doctor")</f>
        <v>Master</v>
      </c>
      <c r="AO501" s="13" t="str">
        <f>VLOOKUP(tblCleanData[[#This Row],[EmployeeNumber]],tblHelpers[],15,TRUE)</f>
        <v>Medium Risk</v>
      </c>
      <c r="AP501" s="13">
        <f>VLOOKUP(tblCleanData[[#This Row],[EmployeeNumber]],tblHelpers[],14,0)</f>
        <v>53</v>
      </c>
    </row>
    <row r="502" spans="1:42" x14ac:dyDescent="0.25">
      <c r="A502" s="13">
        <v>32</v>
      </c>
      <c r="B502" s="13" t="s">
        <v>59</v>
      </c>
      <c r="C502" s="13" t="s">
        <v>37</v>
      </c>
      <c r="D502" s="13">
        <v>646</v>
      </c>
      <c r="E502" s="13" t="s">
        <v>62</v>
      </c>
      <c r="F502" s="13">
        <v>9</v>
      </c>
      <c r="G502" s="13">
        <v>4</v>
      </c>
      <c r="H502" s="13" t="s">
        <v>42</v>
      </c>
      <c r="I502" s="13">
        <v>1</v>
      </c>
      <c r="J502" s="13">
        <v>679</v>
      </c>
      <c r="K502" s="13">
        <v>1</v>
      </c>
      <c r="L502" s="13" t="s">
        <v>43</v>
      </c>
      <c r="M502" s="13">
        <v>92</v>
      </c>
      <c r="N502" s="13">
        <v>3</v>
      </c>
      <c r="O502" s="13">
        <v>2</v>
      </c>
      <c r="P502" s="13" t="s">
        <v>65</v>
      </c>
      <c r="Q502" s="13">
        <v>4</v>
      </c>
      <c r="R502" s="13" t="s">
        <v>66</v>
      </c>
      <c r="S502" s="20">
        <v>6322</v>
      </c>
      <c r="T502" s="13">
        <v>18089</v>
      </c>
      <c r="U502" s="13">
        <v>1</v>
      </c>
      <c r="V502" s="13" t="s">
        <v>52</v>
      </c>
      <c r="W502" s="13" t="s">
        <v>36</v>
      </c>
      <c r="X502" s="13">
        <v>12</v>
      </c>
      <c r="Y502" s="13">
        <v>3</v>
      </c>
      <c r="Z502" s="13">
        <v>4</v>
      </c>
      <c r="AA502" s="13">
        <v>80</v>
      </c>
      <c r="AB502" s="13">
        <v>1</v>
      </c>
      <c r="AC502" s="13">
        <v>6</v>
      </c>
      <c r="AD502" s="13">
        <v>2</v>
      </c>
      <c r="AE502" s="13">
        <v>2</v>
      </c>
      <c r="AF502" s="14">
        <v>6</v>
      </c>
      <c r="AG502" s="13">
        <v>4</v>
      </c>
      <c r="AH502" s="13">
        <v>0</v>
      </c>
      <c r="AI502" s="13">
        <v>5</v>
      </c>
      <c r="AJ502" s="13" t="str">
        <f t="shared" si="7"/>
        <v>30-39</v>
      </c>
      <c r="AK502" s="13" t="str">
        <f>IF(tblCleanData[[#This Row],[MonthlyIncome]]&lt;5000, "Low Income", IF(tblCleanData[[#This Row],[MonthlyIncome]]&lt;15000, "Medium Income", "High Income"))</f>
        <v>Medium Income</v>
      </c>
      <c r="AL502" s="13">
        <f>IF(tblCleanData[[#This Row],[Attrition]]="No", 0,1)</f>
        <v>0</v>
      </c>
      <c r="AM502" s="13">
        <f>IF(tblCleanData[[#This Row],[OverTime]] = "No", 0, 1)</f>
        <v>1</v>
      </c>
      <c r="AN502" s="13" t="str">
        <f>CHOOSE(tblCleanData[[#This Row],[Education]], "Below College","College","Bachelor","Master","Doctor")</f>
        <v>Master</v>
      </c>
      <c r="AO502" s="13" t="str">
        <f>VLOOKUP(tblCleanData[[#This Row],[EmployeeNumber]],tblHelpers[],15,TRUE)</f>
        <v>High Risk</v>
      </c>
      <c r="AP502" s="13">
        <f>VLOOKUP(tblCleanData[[#This Row],[EmployeeNumber]],tblHelpers[],14,0)</f>
        <v>64</v>
      </c>
    </row>
    <row r="503" spans="1:42" x14ac:dyDescent="0.25">
      <c r="A503" s="13">
        <v>30</v>
      </c>
      <c r="B503" s="13" t="s">
        <v>59</v>
      </c>
      <c r="C503" s="13" t="s">
        <v>60</v>
      </c>
      <c r="D503" s="13">
        <v>160</v>
      </c>
      <c r="E503" s="13" t="s">
        <v>62</v>
      </c>
      <c r="F503" s="13">
        <v>3</v>
      </c>
      <c r="G503" s="13">
        <v>3</v>
      </c>
      <c r="H503" s="13" t="s">
        <v>87</v>
      </c>
      <c r="I503" s="13">
        <v>1</v>
      </c>
      <c r="J503" s="13">
        <v>680</v>
      </c>
      <c r="K503" s="13">
        <v>3</v>
      </c>
      <c r="L503" s="13" t="s">
        <v>43</v>
      </c>
      <c r="M503" s="13">
        <v>71</v>
      </c>
      <c r="N503" s="13">
        <v>3</v>
      </c>
      <c r="O503" s="13">
        <v>1</v>
      </c>
      <c r="P503" s="13" t="s">
        <v>65</v>
      </c>
      <c r="Q503" s="13">
        <v>3</v>
      </c>
      <c r="R503" s="13" t="s">
        <v>109</v>
      </c>
      <c r="S503" s="20">
        <v>2083</v>
      </c>
      <c r="T503" s="13">
        <v>22653</v>
      </c>
      <c r="U503" s="13">
        <v>1</v>
      </c>
      <c r="V503" s="13" t="s">
        <v>52</v>
      </c>
      <c r="W503" s="13" t="s">
        <v>59</v>
      </c>
      <c r="X503" s="13">
        <v>20</v>
      </c>
      <c r="Y503" s="13">
        <v>4</v>
      </c>
      <c r="Z503" s="13">
        <v>3</v>
      </c>
      <c r="AA503" s="13">
        <v>80</v>
      </c>
      <c r="AB503" s="13">
        <v>1</v>
      </c>
      <c r="AC503" s="13">
        <v>1</v>
      </c>
      <c r="AD503" s="13">
        <v>2</v>
      </c>
      <c r="AE503" s="13">
        <v>3</v>
      </c>
      <c r="AF503" s="14">
        <v>1</v>
      </c>
      <c r="AG503" s="13">
        <v>0</v>
      </c>
      <c r="AH503" s="13">
        <v>0</v>
      </c>
      <c r="AI503" s="13">
        <v>0</v>
      </c>
      <c r="AJ503" s="13" t="str">
        <f t="shared" si="7"/>
        <v>30-39</v>
      </c>
      <c r="AK503" s="13" t="str">
        <f>IF(tblCleanData[[#This Row],[MonthlyIncome]]&lt;5000, "Low Income", IF(tblCleanData[[#This Row],[MonthlyIncome]]&lt;15000, "Medium Income", "High Income"))</f>
        <v>Low Income</v>
      </c>
      <c r="AL503" s="13">
        <f>IF(tblCleanData[[#This Row],[Attrition]]="No", 0,1)</f>
        <v>0</v>
      </c>
      <c r="AM503" s="13">
        <f>IF(tblCleanData[[#This Row],[OverTime]] = "No", 0, 1)</f>
        <v>0</v>
      </c>
      <c r="AN503" s="13" t="str">
        <f>CHOOSE(tblCleanData[[#This Row],[Education]], "Below College","College","Bachelor","Master","Doctor")</f>
        <v>Bachelor</v>
      </c>
      <c r="AO503" s="13" t="str">
        <f>VLOOKUP(tblCleanData[[#This Row],[EmployeeNumber]],tblHelpers[],15,TRUE)</f>
        <v>High Risk</v>
      </c>
      <c r="AP503" s="13">
        <f>VLOOKUP(tblCleanData[[#This Row],[EmployeeNumber]],tblHelpers[],14,0)</f>
        <v>63</v>
      </c>
    </row>
    <row r="504" spans="1:42" x14ac:dyDescent="0.25">
      <c r="A504" s="13">
        <v>53</v>
      </c>
      <c r="B504" s="13" t="s">
        <v>59</v>
      </c>
      <c r="C504" s="13" t="s">
        <v>37</v>
      </c>
      <c r="D504" s="13">
        <v>238</v>
      </c>
      <c r="E504" s="13" t="s">
        <v>39</v>
      </c>
      <c r="F504" s="13">
        <v>1</v>
      </c>
      <c r="G504" s="13">
        <v>1</v>
      </c>
      <c r="H504" s="13" t="s">
        <v>87</v>
      </c>
      <c r="I504" s="13">
        <v>1</v>
      </c>
      <c r="J504" s="13">
        <v>682</v>
      </c>
      <c r="K504" s="13">
        <v>4</v>
      </c>
      <c r="L504" s="13" t="s">
        <v>43</v>
      </c>
      <c r="M504" s="13">
        <v>34</v>
      </c>
      <c r="N504" s="13">
        <v>3</v>
      </c>
      <c r="O504" s="13">
        <v>2</v>
      </c>
      <c r="P504" s="13" t="s">
        <v>46</v>
      </c>
      <c r="Q504" s="13">
        <v>1</v>
      </c>
      <c r="R504" s="13" t="s">
        <v>48</v>
      </c>
      <c r="S504" s="20">
        <v>8381</v>
      </c>
      <c r="T504" s="13">
        <v>7507</v>
      </c>
      <c r="U504" s="13">
        <v>7</v>
      </c>
      <c r="V504" s="13" t="s">
        <v>52</v>
      </c>
      <c r="W504" s="13" t="s">
        <v>59</v>
      </c>
      <c r="X504" s="13">
        <v>20</v>
      </c>
      <c r="Y504" s="13">
        <v>4</v>
      </c>
      <c r="Z504" s="13">
        <v>4</v>
      </c>
      <c r="AA504" s="13">
        <v>80</v>
      </c>
      <c r="AB504" s="13">
        <v>0</v>
      </c>
      <c r="AC504" s="13">
        <v>18</v>
      </c>
      <c r="AD504" s="13">
        <v>2</v>
      </c>
      <c r="AE504" s="13">
        <v>4</v>
      </c>
      <c r="AF504" s="14">
        <v>14</v>
      </c>
      <c r="AG504" s="13">
        <v>7</v>
      </c>
      <c r="AH504" s="13">
        <v>8</v>
      </c>
      <c r="AI504" s="13">
        <v>10</v>
      </c>
      <c r="AJ504" s="13" t="str">
        <f t="shared" si="7"/>
        <v>50+</v>
      </c>
      <c r="AK504" s="13" t="str">
        <f>IF(tblCleanData[[#This Row],[MonthlyIncome]]&lt;5000, "Low Income", IF(tblCleanData[[#This Row],[MonthlyIncome]]&lt;15000, "Medium Income", "High Income"))</f>
        <v>Medium Income</v>
      </c>
      <c r="AL504" s="13">
        <f>IF(tblCleanData[[#This Row],[Attrition]]="No", 0,1)</f>
        <v>0</v>
      </c>
      <c r="AM504" s="13">
        <f>IF(tblCleanData[[#This Row],[OverTime]] = "No", 0, 1)</f>
        <v>0</v>
      </c>
      <c r="AN504" s="13" t="str">
        <f>CHOOSE(tblCleanData[[#This Row],[Education]], "Below College","College","Bachelor","Master","Doctor")</f>
        <v>Below College</v>
      </c>
      <c r="AO504" s="13" t="str">
        <f>VLOOKUP(tblCleanData[[#This Row],[EmployeeNumber]],tblHelpers[],15,TRUE)</f>
        <v>Medium Risk</v>
      </c>
      <c r="AP504" s="13">
        <f>VLOOKUP(tblCleanData[[#This Row],[EmployeeNumber]],tblHelpers[],14,0)</f>
        <v>48</v>
      </c>
    </row>
    <row r="505" spans="1:42" x14ac:dyDescent="0.25">
      <c r="A505" s="13">
        <v>34</v>
      </c>
      <c r="B505" s="13" t="s">
        <v>59</v>
      </c>
      <c r="C505" s="13" t="s">
        <v>37</v>
      </c>
      <c r="D505" s="13">
        <v>1397</v>
      </c>
      <c r="E505" s="13" t="s">
        <v>62</v>
      </c>
      <c r="F505" s="13">
        <v>1</v>
      </c>
      <c r="G505" s="13">
        <v>5</v>
      </c>
      <c r="H505" s="13" t="s">
        <v>42</v>
      </c>
      <c r="I505" s="13">
        <v>1</v>
      </c>
      <c r="J505" s="13">
        <v>683</v>
      </c>
      <c r="K505" s="13">
        <v>2</v>
      </c>
      <c r="L505" s="13" t="s">
        <v>63</v>
      </c>
      <c r="M505" s="13">
        <v>42</v>
      </c>
      <c r="N505" s="13">
        <v>3</v>
      </c>
      <c r="O505" s="13">
        <v>1</v>
      </c>
      <c r="P505" s="13" t="s">
        <v>65</v>
      </c>
      <c r="Q505" s="13">
        <v>4</v>
      </c>
      <c r="R505" s="13" t="s">
        <v>66</v>
      </c>
      <c r="S505" s="20">
        <v>2691</v>
      </c>
      <c r="T505" s="13">
        <v>7660</v>
      </c>
      <c r="U505" s="13">
        <v>1</v>
      </c>
      <c r="V505" s="13" t="s">
        <v>52</v>
      </c>
      <c r="W505" s="13" t="s">
        <v>59</v>
      </c>
      <c r="X505" s="13">
        <v>12</v>
      </c>
      <c r="Y505" s="13">
        <v>3</v>
      </c>
      <c r="Z505" s="13">
        <v>4</v>
      </c>
      <c r="AA505" s="13">
        <v>80</v>
      </c>
      <c r="AB505" s="13">
        <v>1</v>
      </c>
      <c r="AC505" s="13">
        <v>10</v>
      </c>
      <c r="AD505" s="13">
        <v>4</v>
      </c>
      <c r="AE505" s="13">
        <v>2</v>
      </c>
      <c r="AF505" s="14">
        <v>10</v>
      </c>
      <c r="AG505" s="13">
        <v>9</v>
      </c>
      <c r="AH505" s="13">
        <v>8</v>
      </c>
      <c r="AI505" s="13">
        <v>8</v>
      </c>
      <c r="AJ505" s="13" t="str">
        <f t="shared" si="7"/>
        <v>30-39</v>
      </c>
      <c r="AK505" s="13" t="str">
        <f>IF(tblCleanData[[#This Row],[MonthlyIncome]]&lt;5000, "Low Income", IF(tblCleanData[[#This Row],[MonthlyIncome]]&lt;15000, "Medium Income", "High Income"))</f>
        <v>Low Income</v>
      </c>
      <c r="AL505" s="13">
        <f>IF(tblCleanData[[#This Row],[Attrition]]="No", 0,1)</f>
        <v>0</v>
      </c>
      <c r="AM505" s="13">
        <f>IF(tblCleanData[[#This Row],[OverTime]] = "No", 0, 1)</f>
        <v>0</v>
      </c>
      <c r="AN505" s="13" t="str">
        <f>CHOOSE(tblCleanData[[#This Row],[Education]], "Below College","College","Bachelor","Master","Doctor")</f>
        <v>Doctor</v>
      </c>
      <c r="AO505" s="13" t="str">
        <f>VLOOKUP(tblCleanData[[#This Row],[EmployeeNumber]],tblHelpers[],15,TRUE)</f>
        <v>Medium Risk</v>
      </c>
      <c r="AP505" s="13">
        <f>VLOOKUP(tblCleanData[[#This Row],[EmployeeNumber]],tblHelpers[],14,0)</f>
        <v>39</v>
      </c>
    </row>
    <row r="506" spans="1:42" x14ac:dyDescent="0.25">
      <c r="A506" s="13">
        <v>45</v>
      </c>
      <c r="B506" s="13" t="s">
        <v>36</v>
      </c>
      <c r="C506" s="13" t="s">
        <v>60</v>
      </c>
      <c r="D506" s="13">
        <v>306</v>
      </c>
      <c r="E506" s="13" t="s">
        <v>39</v>
      </c>
      <c r="F506" s="13">
        <v>26</v>
      </c>
      <c r="G506" s="13">
        <v>4</v>
      </c>
      <c r="H506" s="13" t="s">
        <v>42</v>
      </c>
      <c r="I506" s="13">
        <v>1</v>
      </c>
      <c r="J506" s="13">
        <v>684</v>
      </c>
      <c r="K506" s="13">
        <v>1</v>
      </c>
      <c r="L506" s="13" t="s">
        <v>43</v>
      </c>
      <c r="M506" s="13">
        <v>100</v>
      </c>
      <c r="N506" s="13">
        <v>3</v>
      </c>
      <c r="O506" s="13">
        <v>2</v>
      </c>
      <c r="P506" s="13" t="s">
        <v>46</v>
      </c>
      <c r="Q506" s="13">
        <v>1</v>
      </c>
      <c r="R506" s="13" t="s">
        <v>66</v>
      </c>
      <c r="S506" s="20">
        <v>4286</v>
      </c>
      <c r="T506" s="13">
        <v>5630</v>
      </c>
      <c r="U506" s="13">
        <v>2</v>
      </c>
      <c r="V506" s="13" t="s">
        <v>52</v>
      </c>
      <c r="W506" s="13" t="s">
        <v>59</v>
      </c>
      <c r="X506" s="13">
        <v>14</v>
      </c>
      <c r="Y506" s="13">
        <v>3</v>
      </c>
      <c r="Z506" s="13">
        <v>4</v>
      </c>
      <c r="AA506" s="13">
        <v>80</v>
      </c>
      <c r="AB506" s="13">
        <v>2</v>
      </c>
      <c r="AC506" s="13">
        <v>5</v>
      </c>
      <c r="AD506" s="13">
        <v>4</v>
      </c>
      <c r="AE506" s="13">
        <v>3</v>
      </c>
      <c r="AF506" s="14">
        <v>1</v>
      </c>
      <c r="AG506" s="13">
        <v>1</v>
      </c>
      <c r="AH506" s="13">
        <v>0</v>
      </c>
      <c r="AI506" s="13">
        <v>0</v>
      </c>
      <c r="AJ506" s="13" t="str">
        <f t="shared" si="7"/>
        <v>40-49</v>
      </c>
      <c r="AK506" s="13" t="str">
        <f>IF(tblCleanData[[#This Row],[MonthlyIncome]]&lt;5000, "Low Income", IF(tblCleanData[[#This Row],[MonthlyIncome]]&lt;15000, "Medium Income", "High Income"))</f>
        <v>Low Income</v>
      </c>
      <c r="AL506" s="13">
        <f>IF(tblCleanData[[#This Row],[Attrition]]="No", 0,1)</f>
        <v>1</v>
      </c>
      <c r="AM506" s="13">
        <f>IF(tblCleanData[[#This Row],[OverTime]] = "No", 0, 1)</f>
        <v>0</v>
      </c>
      <c r="AN506" s="13" t="str">
        <f>CHOOSE(tblCleanData[[#This Row],[Education]], "Below College","College","Bachelor","Master","Doctor")</f>
        <v>Master</v>
      </c>
      <c r="AO506" s="13" t="str">
        <f>VLOOKUP(tblCleanData[[#This Row],[EmployeeNumber]],tblHelpers[],15,TRUE)</f>
        <v>High Risk</v>
      </c>
      <c r="AP506" s="13">
        <f>VLOOKUP(tblCleanData[[#This Row],[EmployeeNumber]],tblHelpers[],14,0)</f>
        <v>65</v>
      </c>
    </row>
    <row r="507" spans="1:42" x14ac:dyDescent="0.25">
      <c r="A507" s="13">
        <v>26</v>
      </c>
      <c r="B507" s="13" t="s">
        <v>59</v>
      </c>
      <c r="C507" s="13" t="s">
        <v>37</v>
      </c>
      <c r="D507" s="13">
        <v>991</v>
      </c>
      <c r="E507" s="13" t="s">
        <v>62</v>
      </c>
      <c r="F507" s="13">
        <v>6</v>
      </c>
      <c r="G507" s="13">
        <v>3</v>
      </c>
      <c r="H507" s="13" t="s">
        <v>42</v>
      </c>
      <c r="I507" s="13">
        <v>1</v>
      </c>
      <c r="J507" s="13">
        <v>686</v>
      </c>
      <c r="K507" s="13">
        <v>3</v>
      </c>
      <c r="L507" s="13" t="s">
        <v>43</v>
      </c>
      <c r="M507" s="13">
        <v>71</v>
      </c>
      <c r="N507" s="13">
        <v>3</v>
      </c>
      <c r="O507" s="13">
        <v>1</v>
      </c>
      <c r="P507" s="13" t="s">
        <v>76</v>
      </c>
      <c r="Q507" s="13">
        <v>4</v>
      </c>
      <c r="R507" s="13" t="s">
        <v>66</v>
      </c>
      <c r="S507" s="20">
        <v>2659</v>
      </c>
      <c r="T507" s="13">
        <v>17759</v>
      </c>
      <c r="U507" s="13">
        <v>1</v>
      </c>
      <c r="V507" s="13" t="s">
        <v>52</v>
      </c>
      <c r="W507" s="13" t="s">
        <v>36</v>
      </c>
      <c r="X507" s="13">
        <v>13</v>
      </c>
      <c r="Y507" s="13">
        <v>3</v>
      </c>
      <c r="Z507" s="13">
        <v>3</v>
      </c>
      <c r="AA507" s="13">
        <v>80</v>
      </c>
      <c r="AB507" s="13">
        <v>1</v>
      </c>
      <c r="AC507" s="13">
        <v>3</v>
      </c>
      <c r="AD507" s="13">
        <v>2</v>
      </c>
      <c r="AE507" s="13">
        <v>3</v>
      </c>
      <c r="AF507" s="14">
        <v>3</v>
      </c>
      <c r="AG507" s="13">
        <v>2</v>
      </c>
      <c r="AH507" s="13">
        <v>0</v>
      </c>
      <c r="AI507" s="13">
        <v>2</v>
      </c>
      <c r="AJ507" s="13" t="str">
        <f t="shared" si="7"/>
        <v>Under 30</v>
      </c>
      <c r="AK507" s="13" t="str">
        <f>IF(tblCleanData[[#This Row],[MonthlyIncome]]&lt;5000, "Low Income", IF(tblCleanData[[#This Row],[MonthlyIncome]]&lt;15000, "Medium Income", "High Income"))</f>
        <v>Low Income</v>
      </c>
      <c r="AL507" s="13">
        <f>IF(tblCleanData[[#This Row],[Attrition]]="No", 0,1)</f>
        <v>0</v>
      </c>
      <c r="AM507" s="13">
        <f>IF(tblCleanData[[#This Row],[OverTime]] = "No", 0, 1)</f>
        <v>1</v>
      </c>
      <c r="AN507" s="13" t="str">
        <f>CHOOSE(tblCleanData[[#This Row],[Education]], "Below College","College","Bachelor","Master","Doctor")</f>
        <v>Bachelor</v>
      </c>
      <c r="AO507" s="13" t="str">
        <f>VLOOKUP(tblCleanData[[#This Row],[EmployeeNumber]],tblHelpers[],15,TRUE)</f>
        <v>High Risk</v>
      </c>
      <c r="AP507" s="13">
        <f>VLOOKUP(tblCleanData[[#This Row],[EmployeeNumber]],tblHelpers[],14,0)</f>
        <v>81</v>
      </c>
    </row>
    <row r="508" spans="1:42" x14ac:dyDescent="0.25">
      <c r="A508" s="13">
        <v>37</v>
      </c>
      <c r="B508" s="13" t="s">
        <v>59</v>
      </c>
      <c r="C508" s="13" t="s">
        <v>37</v>
      </c>
      <c r="D508" s="13">
        <v>482</v>
      </c>
      <c r="E508" s="13" t="s">
        <v>62</v>
      </c>
      <c r="F508" s="13">
        <v>3</v>
      </c>
      <c r="G508" s="13">
        <v>3</v>
      </c>
      <c r="H508" s="13" t="s">
        <v>74</v>
      </c>
      <c r="I508" s="13">
        <v>1</v>
      </c>
      <c r="J508" s="13">
        <v>689</v>
      </c>
      <c r="K508" s="13">
        <v>3</v>
      </c>
      <c r="L508" s="13" t="s">
        <v>63</v>
      </c>
      <c r="M508" s="13">
        <v>36</v>
      </c>
      <c r="N508" s="13">
        <v>3</v>
      </c>
      <c r="O508" s="13">
        <v>3</v>
      </c>
      <c r="P508" s="13" t="s">
        <v>116</v>
      </c>
      <c r="Q508" s="13">
        <v>3</v>
      </c>
      <c r="R508" s="13" t="s">
        <v>66</v>
      </c>
      <c r="S508" s="20">
        <v>9434</v>
      </c>
      <c r="T508" s="13">
        <v>9606</v>
      </c>
      <c r="U508" s="13">
        <v>1</v>
      </c>
      <c r="V508" s="13" t="s">
        <v>52</v>
      </c>
      <c r="W508" s="13" t="s">
        <v>59</v>
      </c>
      <c r="X508" s="13">
        <v>15</v>
      </c>
      <c r="Y508" s="13">
        <v>3</v>
      </c>
      <c r="Z508" s="13">
        <v>3</v>
      </c>
      <c r="AA508" s="13">
        <v>80</v>
      </c>
      <c r="AB508" s="13">
        <v>1</v>
      </c>
      <c r="AC508" s="13">
        <v>10</v>
      </c>
      <c r="AD508" s="13">
        <v>2</v>
      </c>
      <c r="AE508" s="13">
        <v>3</v>
      </c>
      <c r="AF508" s="14">
        <v>10</v>
      </c>
      <c r="AG508" s="13">
        <v>7</v>
      </c>
      <c r="AH508" s="13">
        <v>7</v>
      </c>
      <c r="AI508" s="13">
        <v>8</v>
      </c>
      <c r="AJ508" s="13" t="str">
        <f t="shared" si="7"/>
        <v>30-39</v>
      </c>
      <c r="AK508" s="13" t="str">
        <f>IF(tblCleanData[[#This Row],[MonthlyIncome]]&lt;5000, "Low Income", IF(tblCleanData[[#This Row],[MonthlyIncome]]&lt;15000, "Medium Income", "High Income"))</f>
        <v>Medium Income</v>
      </c>
      <c r="AL508" s="13">
        <f>IF(tblCleanData[[#This Row],[Attrition]]="No", 0,1)</f>
        <v>0</v>
      </c>
      <c r="AM508" s="13">
        <f>IF(tblCleanData[[#This Row],[OverTime]] = "No", 0, 1)</f>
        <v>0</v>
      </c>
      <c r="AN508" s="13" t="str">
        <f>CHOOSE(tblCleanData[[#This Row],[Education]], "Below College","College","Bachelor","Master","Doctor")</f>
        <v>Bachelor</v>
      </c>
      <c r="AO508" s="13" t="str">
        <f>VLOOKUP(tblCleanData[[#This Row],[EmployeeNumber]],tblHelpers[],15,TRUE)</f>
        <v>Medium Risk</v>
      </c>
      <c r="AP508" s="13">
        <f>VLOOKUP(tblCleanData[[#This Row],[EmployeeNumber]],tblHelpers[],14,0)</f>
        <v>46</v>
      </c>
    </row>
    <row r="509" spans="1:42" x14ac:dyDescent="0.25">
      <c r="A509" s="13">
        <v>29</v>
      </c>
      <c r="B509" s="13" t="s">
        <v>59</v>
      </c>
      <c r="C509" s="13" t="s">
        <v>37</v>
      </c>
      <c r="D509" s="13">
        <v>1176</v>
      </c>
      <c r="E509" s="13" t="s">
        <v>39</v>
      </c>
      <c r="F509" s="13">
        <v>3</v>
      </c>
      <c r="G509" s="13">
        <v>2</v>
      </c>
      <c r="H509" s="13" t="s">
        <v>87</v>
      </c>
      <c r="I509" s="13">
        <v>1</v>
      </c>
      <c r="J509" s="13">
        <v>690</v>
      </c>
      <c r="K509" s="13">
        <v>2</v>
      </c>
      <c r="L509" s="13" t="s">
        <v>43</v>
      </c>
      <c r="M509" s="13">
        <v>62</v>
      </c>
      <c r="N509" s="13">
        <v>3</v>
      </c>
      <c r="O509" s="13">
        <v>2</v>
      </c>
      <c r="P509" s="13" t="s">
        <v>46</v>
      </c>
      <c r="Q509" s="13">
        <v>3</v>
      </c>
      <c r="R509" s="13" t="s">
        <v>66</v>
      </c>
      <c r="S509" s="20">
        <v>5561</v>
      </c>
      <c r="T509" s="13">
        <v>3487</v>
      </c>
      <c r="U509" s="13">
        <v>1</v>
      </c>
      <c r="V509" s="13" t="s">
        <v>52</v>
      </c>
      <c r="W509" s="13" t="s">
        <v>59</v>
      </c>
      <c r="X509" s="13">
        <v>14</v>
      </c>
      <c r="Y509" s="13">
        <v>3</v>
      </c>
      <c r="Z509" s="13">
        <v>1</v>
      </c>
      <c r="AA509" s="13">
        <v>80</v>
      </c>
      <c r="AB509" s="13">
        <v>1</v>
      </c>
      <c r="AC509" s="13">
        <v>6</v>
      </c>
      <c r="AD509" s="13">
        <v>5</v>
      </c>
      <c r="AE509" s="13">
        <v>2</v>
      </c>
      <c r="AF509" s="14">
        <v>6</v>
      </c>
      <c r="AG509" s="13">
        <v>0</v>
      </c>
      <c r="AH509" s="13">
        <v>1</v>
      </c>
      <c r="AI509" s="13">
        <v>2</v>
      </c>
      <c r="AJ509" s="13" t="str">
        <f t="shared" si="7"/>
        <v>Under 30</v>
      </c>
      <c r="AK509" s="13" t="str">
        <f>IF(tblCleanData[[#This Row],[MonthlyIncome]]&lt;5000, "Low Income", IF(tblCleanData[[#This Row],[MonthlyIncome]]&lt;15000, "Medium Income", "High Income"))</f>
        <v>Medium Income</v>
      </c>
      <c r="AL509" s="13">
        <f>IF(tblCleanData[[#This Row],[Attrition]]="No", 0,1)</f>
        <v>0</v>
      </c>
      <c r="AM509" s="13">
        <f>IF(tblCleanData[[#This Row],[OverTime]] = "No", 0, 1)</f>
        <v>0</v>
      </c>
      <c r="AN509" s="13" t="str">
        <f>CHOOSE(tblCleanData[[#This Row],[Education]], "Below College","College","Bachelor","Master","Doctor")</f>
        <v>College</v>
      </c>
      <c r="AO509" s="13" t="str">
        <f>VLOOKUP(tblCleanData[[#This Row],[EmployeeNumber]],tblHelpers[],15,TRUE)</f>
        <v>High Risk</v>
      </c>
      <c r="AP509" s="13">
        <f>VLOOKUP(tblCleanData[[#This Row],[EmployeeNumber]],tblHelpers[],14,0)</f>
        <v>56</v>
      </c>
    </row>
    <row r="510" spans="1:42" x14ac:dyDescent="0.25">
      <c r="A510" s="13">
        <v>35</v>
      </c>
      <c r="B510" s="13" t="s">
        <v>59</v>
      </c>
      <c r="C510" s="13" t="s">
        <v>37</v>
      </c>
      <c r="D510" s="13">
        <v>1017</v>
      </c>
      <c r="E510" s="13" t="s">
        <v>62</v>
      </c>
      <c r="F510" s="13">
        <v>6</v>
      </c>
      <c r="G510" s="13">
        <v>4</v>
      </c>
      <c r="H510" s="13" t="s">
        <v>42</v>
      </c>
      <c r="I510" s="13">
        <v>1</v>
      </c>
      <c r="J510" s="13">
        <v>691</v>
      </c>
      <c r="K510" s="13">
        <v>2</v>
      </c>
      <c r="L510" s="13" t="s">
        <v>63</v>
      </c>
      <c r="M510" s="13">
        <v>82</v>
      </c>
      <c r="N510" s="13">
        <v>1</v>
      </c>
      <c r="O510" s="13">
        <v>2</v>
      </c>
      <c r="P510" s="13" t="s">
        <v>65</v>
      </c>
      <c r="Q510" s="13">
        <v>4</v>
      </c>
      <c r="R510" s="13" t="s">
        <v>48</v>
      </c>
      <c r="S510" s="20">
        <v>6646</v>
      </c>
      <c r="T510" s="13">
        <v>19368</v>
      </c>
      <c r="U510" s="13">
        <v>1</v>
      </c>
      <c r="V510" s="13" t="s">
        <v>52</v>
      </c>
      <c r="W510" s="13" t="s">
        <v>59</v>
      </c>
      <c r="X510" s="13">
        <v>13</v>
      </c>
      <c r="Y510" s="13">
        <v>3</v>
      </c>
      <c r="Z510" s="13">
        <v>2</v>
      </c>
      <c r="AA510" s="13">
        <v>80</v>
      </c>
      <c r="AB510" s="13">
        <v>0</v>
      </c>
      <c r="AC510" s="13">
        <v>17</v>
      </c>
      <c r="AD510" s="13">
        <v>3</v>
      </c>
      <c r="AE510" s="13">
        <v>3</v>
      </c>
      <c r="AF510" s="14">
        <v>17</v>
      </c>
      <c r="AG510" s="13">
        <v>11</v>
      </c>
      <c r="AH510" s="13">
        <v>11</v>
      </c>
      <c r="AI510" s="13">
        <v>8</v>
      </c>
      <c r="AJ510" s="13" t="str">
        <f t="shared" si="7"/>
        <v>30-39</v>
      </c>
      <c r="AK510" s="13" t="str">
        <f>IF(tblCleanData[[#This Row],[MonthlyIncome]]&lt;5000, "Low Income", IF(tblCleanData[[#This Row],[MonthlyIncome]]&lt;15000, "Medium Income", "High Income"))</f>
        <v>Medium Income</v>
      </c>
      <c r="AL510" s="13">
        <f>IF(tblCleanData[[#This Row],[Attrition]]="No", 0,1)</f>
        <v>0</v>
      </c>
      <c r="AM510" s="13">
        <f>IF(tblCleanData[[#This Row],[OverTime]] = "No", 0, 1)</f>
        <v>0</v>
      </c>
      <c r="AN510" s="13" t="str">
        <f>CHOOSE(tblCleanData[[#This Row],[Education]], "Below College","College","Bachelor","Master","Doctor")</f>
        <v>Master</v>
      </c>
      <c r="AO510" s="13" t="str">
        <f>VLOOKUP(tblCleanData[[#This Row],[EmployeeNumber]],tblHelpers[],15,TRUE)</f>
        <v>Low Risk</v>
      </c>
      <c r="AP510" s="13">
        <f>VLOOKUP(tblCleanData[[#This Row],[EmployeeNumber]],tblHelpers[],14,0)</f>
        <v>34</v>
      </c>
    </row>
    <row r="511" spans="1:42" x14ac:dyDescent="0.25">
      <c r="A511" s="13">
        <v>33</v>
      </c>
      <c r="B511" s="13" t="s">
        <v>59</v>
      </c>
      <c r="C511" s="13" t="s">
        <v>60</v>
      </c>
      <c r="D511" s="13">
        <v>1296</v>
      </c>
      <c r="E511" s="13" t="s">
        <v>62</v>
      </c>
      <c r="F511" s="13">
        <v>6</v>
      </c>
      <c r="G511" s="13">
        <v>3</v>
      </c>
      <c r="H511" s="13" t="s">
        <v>42</v>
      </c>
      <c r="I511" s="13">
        <v>1</v>
      </c>
      <c r="J511" s="13">
        <v>692</v>
      </c>
      <c r="K511" s="13">
        <v>3</v>
      </c>
      <c r="L511" s="13" t="s">
        <v>63</v>
      </c>
      <c r="M511" s="13">
        <v>30</v>
      </c>
      <c r="N511" s="13">
        <v>3</v>
      </c>
      <c r="O511" s="13">
        <v>2</v>
      </c>
      <c r="P511" s="13" t="s">
        <v>122</v>
      </c>
      <c r="Q511" s="13">
        <v>4</v>
      </c>
      <c r="R511" s="13" t="s">
        <v>109</v>
      </c>
      <c r="S511" s="20">
        <v>7725</v>
      </c>
      <c r="T511" s="13">
        <v>5335</v>
      </c>
      <c r="U511" s="13">
        <v>3</v>
      </c>
      <c r="V511" s="13" t="s">
        <v>52</v>
      </c>
      <c r="W511" s="13" t="s">
        <v>59</v>
      </c>
      <c r="X511" s="13">
        <v>23</v>
      </c>
      <c r="Y511" s="13">
        <v>4</v>
      </c>
      <c r="Z511" s="13">
        <v>3</v>
      </c>
      <c r="AA511" s="13">
        <v>80</v>
      </c>
      <c r="AB511" s="13">
        <v>1</v>
      </c>
      <c r="AC511" s="13">
        <v>15</v>
      </c>
      <c r="AD511" s="13">
        <v>2</v>
      </c>
      <c r="AE511" s="13">
        <v>1</v>
      </c>
      <c r="AF511" s="14">
        <v>13</v>
      </c>
      <c r="AG511" s="13">
        <v>11</v>
      </c>
      <c r="AH511" s="13">
        <v>4</v>
      </c>
      <c r="AI511" s="13">
        <v>7</v>
      </c>
      <c r="AJ511" s="13" t="str">
        <f t="shared" si="7"/>
        <v>30-39</v>
      </c>
      <c r="AK511" s="13" t="str">
        <f>IF(tblCleanData[[#This Row],[MonthlyIncome]]&lt;5000, "Low Income", IF(tblCleanData[[#This Row],[MonthlyIncome]]&lt;15000, "Medium Income", "High Income"))</f>
        <v>Medium Income</v>
      </c>
      <c r="AL511" s="13">
        <f>IF(tblCleanData[[#This Row],[Attrition]]="No", 0,1)</f>
        <v>0</v>
      </c>
      <c r="AM511" s="13">
        <f>IF(tblCleanData[[#This Row],[OverTime]] = "No", 0, 1)</f>
        <v>0</v>
      </c>
      <c r="AN511" s="13" t="str">
        <f>CHOOSE(tblCleanData[[#This Row],[Education]], "Below College","College","Bachelor","Master","Doctor")</f>
        <v>Bachelor</v>
      </c>
      <c r="AO511" s="13" t="str">
        <f>VLOOKUP(tblCleanData[[#This Row],[EmployeeNumber]],tblHelpers[],15,TRUE)</f>
        <v>Low Risk</v>
      </c>
      <c r="AP511" s="13">
        <f>VLOOKUP(tblCleanData[[#This Row],[EmployeeNumber]],tblHelpers[],14,0)</f>
        <v>34</v>
      </c>
    </row>
    <row r="512" spans="1:42" x14ac:dyDescent="0.25">
      <c r="A512" s="13">
        <v>54</v>
      </c>
      <c r="B512" s="13" t="s">
        <v>59</v>
      </c>
      <c r="C512" s="13" t="s">
        <v>37</v>
      </c>
      <c r="D512" s="13">
        <v>397</v>
      </c>
      <c r="E512" s="13" t="s">
        <v>397</v>
      </c>
      <c r="F512" s="13">
        <v>19</v>
      </c>
      <c r="G512" s="13">
        <v>4</v>
      </c>
      <c r="H512" s="13" t="s">
        <v>87</v>
      </c>
      <c r="I512" s="13">
        <v>1</v>
      </c>
      <c r="J512" s="13">
        <v>698</v>
      </c>
      <c r="K512" s="13">
        <v>3</v>
      </c>
      <c r="L512" s="13" t="s">
        <v>63</v>
      </c>
      <c r="M512" s="13">
        <v>88</v>
      </c>
      <c r="N512" s="13">
        <v>3</v>
      </c>
      <c r="O512" s="13">
        <v>3</v>
      </c>
      <c r="P512" s="13" t="s">
        <v>397</v>
      </c>
      <c r="Q512" s="13">
        <v>2</v>
      </c>
      <c r="R512" s="13" t="s">
        <v>66</v>
      </c>
      <c r="S512" s="20">
        <v>10725</v>
      </c>
      <c r="T512" s="13">
        <v>6729</v>
      </c>
      <c r="U512" s="13">
        <v>2</v>
      </c>
      <c r="V512" s="13" t="s">
        <v>52</v>
      </c>
      <c r="W512" s="13" t="s">
        <v>59</v>
      </c>
      <c r="X512" s="13">
        <v>15</v>
      </c>
      <c r="Y512" s="13">
        <v>3</v>
      </c>
      <c r="Z512" s="13">
        <v>3</v>
      </c>
      <c r="AA512" s="13">
        <v>80</v>
      </c>
      <c r="AB512" s="13">
        <v>1</v>
      </c>
      <c r="AC512" s="13">
        <v>16</v>
      </c>
      <c r="AD512" s="13">
        <v>1</v>
      </c>
      <c r="AE512" s="13">
        <v>4</v>
      </c>
      <c r="AF512" s="14">
        <v>9</v>
      </c>
      <c r="AG512" s="13">
        <v>7</v>
      </c>
      <c r="AH512" s="13">
        <v>7</v>
      </c>
      <c r="AI512" s="13">
        <v>1</v>
      </c>
      <c r="AJ512" s="13" t="str">
        <f t="shared" si="7"/>
        <v>50+</v>
      </c>
      <c r="AK512" s="13" t="str">
        <f>IF(tblCleanData[[#This Row],[MonthlyIncome]]&lt;5000, "Low Income", IF(tblCleanData[[#This Row],[MonthlyIncome]]&lt;15000, "Medium Income", "High Income"))</f>
        <v>Medium Income</v>
      </c>
      <c r="AL512" s="13">
        <f>IF(tblCleanData[[#This Row],[Attrition]]="No", 0,1)</f>
        <v>0</v>
      </c>
      <c r="AM512" s="13">
        <f>IF(tblCleanData[[#This Row],[OverTime]] = "No", 0, 1)</f>
        <v>0</v>
      </c>
      <c r="AN512" s="13" t="str">
        <f>CHOOSE(tblCleanData[[#This Row],[Education]], "Below College","College","Bachelor","Master","Doctor")</f>
        <v>Master</v>
      </c>
      <c r="AO512" s="13" t="str">
        <f>VLOOKUP(tblCleanData[[#This Row],[EmployeeNumber]],tblHelpers[],15,TRUE)</f>
        <v>Medium Risk</v>
      </c>
      <c r="AP512" s="13">
        <f>VLOOKUP(tblCleanData[[#This Row],[EmployeeNumber]],tblHelpers[],14,0)</f>
        <v>47</v>
      </c>
    </row>
    <row r="513" spans="1:42" x14ac:dyDescent="0.25">
      <c r="A513" s="13">
        <v>36</v>
      </c>
      <c r="B513" s="13" t="s">
        <v>59</v>
      </c>
      <c r="C513" s="13" t="s">
        <v>37</v>
      </c>
      <c r="D513" s="13">
        <v>913</v>
      </c>
      <c r="E513" s="13" t="s">
        <v>62</v>
      </c>
      <c r="F513" s="13">
        <v>9</v>
      </c>
      <c r="G513" s="13">
        <v>2</v>
      </c>
      <c r="H513" s="13" t="s">
        <v>87</v>
      </c>
      <c r="I513" s="13">
        <v>1</v>
      </c>
      <c r="J513" s="13">
        <v>699</v>
      </c>
      <c r="K513" s="13">
        <v>2</v>
      </c>
      <c r="L513" s="13" t="s">
        <v>63</v>
      </c>
      <c r="M513" s="13">
        <v>48</v>
      </c>
      <c r="N513" s="13">
        <v>2</v>
      </c>
      <c r="O513" s="13">
        <v>2</v>
      </c>
      <c r="P513" s="13" t="s">
        <v>116</v>
      </c>
      <c r="Q513" s="13">
        <v>2</v>
      </c>
      <c r="R513" s="13" t="s">
        <v>109</v>
      </c>
      <c r="S513" s="20">
        <v>8847</v>
      </c>
      <c r="T513" s="13">
        <v>13934</v>
      </c>
      <c r="U513" s="13">
        <v>2</v>
      </c>
      <c r="V513" s="13" t="s">
        <v>52</v>
      </c>
      <c r="W513" s="13" t="s">
        <v>36</v>
      </c>
      <c r="X513" s="13">
        <v>11</v>
      </c>
      <c r="Y513" s="13">
        <v>3</v>
      </c>
      <c r="Z513" s="13">
        <v>3</v>
      </c>
      <c r="AA513" s="13">
        <v>80</v>
      </c>
      <c r="AB513" s="13">
        <v>1</v>
      </c>
      <c r="AC513" s="13">
        <v>13</v>
      </c>
      <c r="AD513" s="13">
        <v>2</v>
      </c>
      <c r="AE513" s="13">
        <v>3</v>
      </c>
      <c r="AF513" s="14">
        <v>3</v>
      </c>
      <c r="AG513" s="13">
        <v>2</v>
      </c>
      <c r="AH513" s="13">
        <v>0</v>
      </c>
      <c r="AI513" s="13">
        <v>2</v>
      </c>
      <c r="AJ513" s="13" t="str">
        <f t="shared" si="7"/>
        <v>30-39</v>
      </c>
      <c r="AK513" s="13" t="str">
        <f>IF(tblCleanData[[#This Row],[MonthlyIncome]]&lt;5000, "Low Income", IF(tblCleanData[[#This Row],[MonthlyIncome]]&lt;15000, "Medium Income", "High Income"))</f>
        <v>Medium Income</v>
      </c>
      <c r="AL513" s="13">
        <f>IF(tblCleanData[[#This Row],[Attrition]]="No", 0,1)</f>
        <v>0</v>
      </c>
      <c r="AM513" s="13">
        <f>IF(tblCleanData[[#This Row],[OverTime]] = "No", 0, 1)</f>
        <v>1</v>
      </c>
      <c r="AN513" s="13" t="str">
        <f>CHOOSE(tblCleanData[[#This Row],[Education]], "Below College","College","Bachelor","Master","Doctor")</f>
        <v>College</v>
      </c>
      <c r="AO513" s="13" t="str">
        <f>VLOOKUP(tblCleanData[[#This Row],[EmployeeNumber]],tblHelpers[],15,TRUE)</f>
        <v>High Risk</v>
      </c>
      <c r="AP513" s="13">
        <f>VLOOKUP(tblCleanData[[#This Row],[EmployeeNumber]],tblHelpers[],14,0)</f>
        <v>84</v>
      </c>
    </row>
    <row r="514" spans="1:42" x14ac:dyDescent="0.25">
      <c r="A514" s="13">
        <v>27</v>
      </c>
      <c r="B514" s="13" t="s">
        <v>59</v>
      </c>
      <c r="C514" s="13" t="s">
        <v>37</v>
      </c>
      <c r="D514" s="13">
        <v>1115</v>
      </c>
      <c r="E514" s="13" t="s">
        <v>62</v>
      </c>
      <c r="F514" s="13">
        <v>3</v>
      </c>
      <c r="G514" s="13">
        <v>4</v>
      </c>
      <c r="H514" s="13" t="s">
        <v>87</v>
      </c>
      <c r="I514" s="13">
        <v>1</v>
      </c>
      <c r="J514" s="13">
        <v>700</v>
      </c>
      <c r="K514" s="13">
        <v>1</v>
      </c>
      <c r="L514" s="13" t="s">
        <v>63</v>
      </c>
      <c r="M514" s="13">
        <v>54</v>
      </c>
      <c r="N514" s="13">
        <v>2</v>
      </c>
      <c r="O514" s="13">
        <v>1</v>
      </c>
      <c r="P514" s="13" t="s">
        <v>65</v>
      </c>
      <c r="Q514" s="13">
        <v>4</v>
      </c>
      <c r="R514" s="13" t="s">
        <v>48</v>
      </c>
      <c r="S514" s="20">
        <v>2045</v>
      </c>
      <c r="T514" s="13">
        <v>15174</v>
      </c>
      <c r="U514" s="13">
        <v>0</v>
      </c>
      <c r="V514" s="13" t="s">
        <v>52</v>
      </c>
      <c r="W514" s="13" t="s">
        <v>59</v>
      </c>
      <c r="X514" s="13">
        <v>13</v>
      </c>
      <c r="Y514" s="13">
        <v>3</v>
      </c>
      <c r="Z514" s="13">
        <v>4</v>
      </c>
      <c r="AA514" s="13">
        <v>80</v>
      </c>
      <c r="AB514" s="13">
        <v>0</v>
      </c>
      <c r="AC514" s="13">
        <v>5</v>
      </c>
      <c r="AD514" s="13">
        <v>0</v>
      </c>
      <c r="AE514" s="13">
        <v>3</v>
      </c>
      <c r="AF514" s="14">
        <v>4</v>
      </c>
      <c r="AG514" s="13">
        <v>2</v>
      </c>
      <c r="AH514" s="13">
        <v>1</v>
      </c>
      <c r="AI514" s="13">
        <v>1</v>
      </c>
      <c r="AJ514" s="13" t="str">
        <f t="shared" ref="AJ514:AJ577" si="8">IF(A514&lt;30,"Under 30", IF(A514&lt;40,"30-39", IF(A514&lt;50,"40-49", "50+")))</f>
        <v>Under 30</v>
      </c>
      <c r="AK514" s="13" t="str">
        <f>IF(tblCleanData[[#This Row],[MonthlyIncome]]&lt;5000, "Low Income", IF(tblCleanData[[#This Row],[MonthlyIncome]]&lt;15000, "Medium Income", "High Income"))</f>
        <v>Low Income</v>
      </c>
      <c r="AL514" s="13">
        <f>IF(tblCleanData[[#This Row],[Attrition]]="No", 0,1)</f>
        <v>0</v>
      </c>
      <c r="AM514" s="13">
        <f>IF(tblCleanData[[#This Row],[OverTime]] = "No", 0, 1)</f>
        <v>0</v>
      </c>
      <c r="AN514" s="13" t="str">
        <f>CHOOSE(tblCleanData[[#This Row],[Education]], "Below College","College","Bachelor","Master","Doctor")</f>
        <v>Master</v>
      </c>
      <c r="AO514" s="13" t="str">
        <f>VLOOKUP(tblCleanData[[#This Row],[EmployeeNumber]],tblHelpers[],15,TRUE)</f>
        <v>High Risk</v>
      </c>
      <c r="AP514" s="13">
        <f>VLOOKUP(tblCleanData[[#This Row],[EmployeeNumber]],tblHelpers[],14,0)</f>
        <v>56</v>
      </c>
    </row>
    <row r="515" spans="1:42" x14ac:dyDescent="0.25">
      <c r="A515" s="13">
        <v>20</v>
      </c>
      <c r="B515" s="13" t="s">
        <v>36</v>
      </c>
      <c r="C515" s="13" t="s">
        <v>37</v>
      </c>
      <c r="D515" s="13">
        <v>1362</v>
      </c>
      <c r="E515" s="13" t="s">
        <v>62</v>
      </c>
      <c r="F515" s="13">
        <v>10</v>
      </c>
      <c r="G515" s="13">
        <v>1</v>
      </c>
      <c r="H515" s="13" t="s">
        <v>87</v>
      </c>
      <c r="I515" s="13">
        <v>1</v>
      </c>
      <c r="J515" s="13">
        <v>701</v>
      </c>
      <c r="K515" s="13">
        <v>4</v>
      </c>
      <c r="L515" s="13" t="s">
        <v>63</v>
      </c>
      <c r="M515" s="13">
        <v>32</v>
      </c>
      <c r="N515" s="13">
        <v>3</v>
      </c>
      <c r="O515" s="13">
        <v>1</v>
      </c>
      <c r="P515" s="13" t="s">
        <v>65</v>
      </c>
      <c r="Q515" s="13">
        <v>3</v>
      </c>
      <c r="R515" s="13" t="s">
        <v>48</v>
      </c>
      <c r="S515" s="20">
        <v>1009</v>
      </c>
      <c r="T515" s="13">
        <v>26999</v>
      </c>
      <c r="U515" s="13">
        <v>1</v>
      </c>
      <c r="V515" s="13" t="s">
        <v>52</v>
      </c>
      <c r="W515" s="13" t="s">
        <v>36</v>
      </c>
      <c r="X515" s="13">
        <v>11</v>
      </c>
      <c r="Y515" s="13">
        <v>3</v>
      </c>
      <c r="Z515" s="13">
        <v>4</v>
      </c>
      <c r="AA515" s="13">
        <v>80</v>
      </c>
      <c r="AB515" s="13">
        <v>0</v>
      </c>
      <c r="AC515" s="13">
        <v>1</v>
      </c>
      <c r="AD515" s="13">
        <v>5</v>
      </c>
      <c r="AE515" s="13">
        <v>3</v>
      </c>
      <c r="AF515" s="14">
        <v>1</v>
      </c>
      <c r="AG515" s="13">
        <v>0</v>
      </c>
      <c r="AH515" s="13">
        <v>1</v>
      </c>
      <c r="AI515" s="13">
        <v>1</v>
      </c>
      <c r="AJ515" s="13" t="str">
        <f t="shared" si="8"/>
        <v>Under 30</v>
      </c>
      <c r="AK515" s="13" t="str">
        <f>IF(tblCleanData[[#This Row],[MonthlyIncome]]&lt;5000, "Low Income", IF(tblCleanData[[#This Row],[MonthlyIncome]]&lt;15000, "Medium Income", "High Income"))</f>
        <v>Low Income</v>
      </c>
      <c r="AL515" s="13">
        <f>IF(tblCleanData[[#This Row],[Attrition]]="No", 0,1)</f>
        <v>1</v>
      </c>
      <c r="AM515" s="13">
        <f>IF(tblCleanData[[#This Row],[OverTime]] = "No", 0, 1)</f>
        <v>1</v>
      </c>
      <c r="AN515" s="13" t="str">
        <f>CHOOSE(tblCleanData[[#This Row],[Education]], "Below College","College","Bachelor","Master","Doctor")</f>
        <v>Below College</v>
      </c>
      <c r="AO515" s="13" t="str">
        <f>VLOOKUP(tblCleanData[[#This Row],[EmployeeNumber]],tblHelpers[],15,TRUE)</f>
        <v>High Risk</v>
      </c>
      <c r="AP515" s="13">
        <f>VLOOKUP(tblCleanData[[#This Row],[EmployeeNumber]],tblHelpers[],14,0)</f>
        <v>98</v>
      </c>
    </row>
    <row r="516" spans="1:42" x14ac:dyDescent="0.25">
      <c r="A516" s="13">
        <v>33</v>
      </c>
      <c r="B516" s="13" t="s">
        <v>36</v>
      </c>
      <c r="C516" s="13" t="s">
        <v>60</v>
      </c>
      <c r="D516" s="13">
        <v>1076</v>
      </c>
      <c r="E516" s="13" t="s">
        <v>62</v>
      </c>
      <c r="F516" s="13">
        <v>3</v>
      </c>
      <c r="G516" s="13">
        <v>3</v>
      </c>
      <c r="H516" s="13" t="s">
        <v>42</v>
      </c>
      <c r="I516" s="13">
        <v>1</v>
      </c>
      <c r="J516" s="13">
        <v>702</v>
      </c>
      <c r="K516" s="13">
        <v>1</v>
      </c>
      <c r="L516" s="13" t="s">
        <v>63</v>
      </c>
      <c r="M516" s="13">
        <v>70</v>
      </c>
      <c r="N516" s="13">
        <v>3</v>
      </c>
      <c r="O516" s="13">
        <v>1</v>
      </c>
      <c r="P516" s="13" t="s">
        <v>65</v>
      </c>
      <c r="Q516" s="13">
        <v>1</v>
      </c>
      <c r="R516" s="13" t="s">
        <v>48</v>
      </c>
      <c r="S516" s="20">
        <v>3348</v>
      </c>
      <c r="T516" s="13">
        <v>3164</v>
      </c>
      <c r="U516" s="13">
        <v>1</v>
      </c>
      <c r="V516" s="13" t="s">
        <v>52</v>
      </c>
      <c r="W516" s="13" t="s">
        <v>36</v>
      </c>
      <c r="X516" s="13">
        <v>11</v>
      </c>
      <c r="Y516" s="13">
        <v>3</v>
      </c>
      <c r="Z516" s="13">
        <v>1</v>
      </c>
      <c r="AA516" s="13">
        <v>80</v>
      </c>
      <c r="AB516" s="13">
        <v>0</v>
      </c>
      <c r="AC516" s="13">
        <v>10</v>
      </c>
      <c r="AD516" s="13">
        <v>3</v>
      </c>
      <c r="AE516" s="13">
        <v>3</v>
      </c>
      <c r="AF516" s="14">
        <v>10</v>
      </c>
      <c r="AG516" s="13">
        <v>8</v>
      </c>
      <c r="AH516" s="13">
        <v>9</v>
      </c>
      <c r="AI516" s="13">
        <v>7</v>
      </c>
      <c r="AJ516" s="13" t="str">
        <f t="shared" si="8"/>
        <v>30-39</v>
      </c>
      <c r="AK516" s="13" t="str">
        <f>IF(tblCleanData[[#This Row],[MonthlyIncome]]&lt;5000, "Low Income", IF(tblCleanData[[#This Row],[MonthlyIncome]]&lt;15000, "Medium Income", "High Income"))</f>
        <v>Low Income</v>
      </c>
      <c r="AL516" s="13">
        <f>IF(tblCleanData[[#This Row],[Attrition]]="No", 0,1)</f>
        <v>1</v>
      </c>
      <c r="AM516" s="13">
        <f>IF(tblCleanData[[#This Row],[OverTime]] = "No", 0, 1)</f>
        <v>1</v>
      </c>
      <c r="AN516" s="13" t="str">
        <f>CHOOSE(tblCleanData[[#This Row],[Education]], "Below College","College","Bachelor","Master","Doctor")</f>
        <v>Bachelor</v>
      </c>
      <c r="AO516" s="13" t="str">
        <f>VLOOKUP(tblCleanData[[#This Row],[EmployeeNumber]],tblHelpers[],15,TRUE)</f>
        <v>High Risk</v>
      </c>
      <c r="AP516" s="13">
        <f>VLOOKUP(tblCleanData[[#This Row],[EmployeeNumber]],tblHelpers[],14,0)</f>
        <v>83</v>
      </c>
    </row>
    <row r="517" spans="1:42" x14ac:dyDescent="0.25">
      <c r="A517" s="13">
        <v>35</v>
      </c>
      <c r="B517" s="13" t="s">
        <v>59</v>
      </c>
      <c r="C517" s="13" t="s">
        <v>161</v>
      </c>
      <c r="D517" s="13">
        <v>727</v>
      </c>
      <c r="E517" s="13" t="s">
        <v>62</v>
      </c>
      <c r="F517" s="13">
        <v>3</v>
      </c>
      <c r="G517" s="13">
        <v>3</v>
      </c>
      <c r="H517" s="13" t="s">
        <v>42</v>
      </c>
      <c r="I517" s="13">
        <v>1</v>
      </c>
      <c r="J517" s="13">
        <v>704</v>
      </c>
      <c r="K517" s="13">
        <v>3</v>
      </c>
      <c r="L517" s="13" t="s">
        <v>63</v>
      </c>
      <c r="M517" s="13">
        <v>41</v>
      </c>
      <c r="N517" s="13">
        <v>2</v>
      </c>
      <c r="O517" s="13">
        <v>1</v>
      </c>
      <c r="P517" s="13" t="s">
        <v>76</v>
      </c>
      <c r="Q517" s="13">
        <v>3</v>
      </c>
      <c r="R517" s="13" t="s">
        <v>66</v>
      </c>
      <c r="S517" s="20">
        <v>1281</v>
      </c>
      <c r="T517" s="13">
        <v>16900</v>
      </c>
      <c r="U517" s="13">
        <v>1</v>
      </c>
      <c r="V517" s="13" t="s">
        <v>52</v>
      </c>
      <c r="W517" s="13" t="s">
        <v>59</v>
      </c>
      <c r="X517" s="13">
        <v>18</v>
      </c>
      <c r="Y517" s="13">
        <v>3</v>
      </c>
      <c r="Z517" s="13">
        <v>3</v>
      </c>
      <c r="AA517" s="13">
        <v>80</v>
      </c>
      <c r="AB517" s="13">
        <v>2</v>
      </c>
      <c r="AC517" s="13">
        <v>1</v>
      </c>
      <c r="AD517" s="13">
        <v>3</v>
      </c>
      <c r="AE517" s="13">
        <v>3</v>
      </c>
      <c r="AF517" s="14">
        <v>1</v>
      </c>
      <c r="AG517" s="13">
        <v>0</v>
      </c>
      <c r="AH517" s="13">
        <v>0</v>
      </c>
      <c r="AI517" s="13">
        <v>0</v>
      </c>
      <c r="AJ517" s="13" t="str">
        <f t="shared" si="8"/>
        <v>30-39</v>
      </c>
      <c r="AK517" s="13" t="str">
        <f>IF(tblCleanData[[#This Row],[MonthlyIncome]]&lt;5000, "Low Income", IF(tblCleanData[[#This Row],[MonthlyIncome]]&lt;15000, "Medium Income", "High Income"))</f>
        <v>Low Income</v>
      </c>
      <c r="AL517" s="13">
        <f>IF(tblCleanData[[#This Row],[Attrition]]="No", 0,1)</f>
        <v>0</v>
      </c>
      <c r="AM517" s="13">
        <f>IF(tblCleanData[[#This Row],[OverTime]] = "No", 0, 1)</f>
        <v>0</v>
      </c>
      <c r="AN517" s="13" t="str">
        <f>CHOOSE(tblCleanData[[#This Row],[Education]], "Below College","College","Bachelor","Master","Doctor")</f>
        <v>Bachelor</v>
      </c>
      <c r="AO517" s="13" t="str">
        <f>VLOOKUP(tblCleanData[[#This Row],[EmployeeNumber]],tblHelpers[],15,TRUE)</f>
        <v>High Risk</v>
      </c>
      <c r="AP517" s="13">
        <f>VLOOKUP(tblCleanData[[#This Row],[EmployeeNumber]],tblHelpers[],14,0)</f>
        <v>63</v>
      </c>
    </row>
    <row r="518" spans="1:42" x14ac:dyDescent="0.25">
      <c r="A518" s="13">
        <v>23</v>
      </c>
      <c r="B518" s="13" t="s">
        <v>59</v>
      </c>
      <c r="C518" s="13" t="s">
        <v>37</v>
      </c>
      <c r="D518" s="13">
        <v>885</v>
      </c>
      <c r="E518" s="13" t="s">
        <v>62</v>
      </c>
      <c r="F518" s="13">
        <v>4</v>
      </c>
      <c r="G518" s="13">
        <v>3</v>
      </c>
      <c r="H518" s="13" t="s">
        <v>87</v>
      </c>
      <c r="I518" s="13">
        <v>1</v>
      </c>
      <c r="J518" s="13">
        <v>705</v>
      </c>
      <c r="K518" s="13">
        <v>1</v>
      </c>
      <c r="L518" s="13" t="s">
        <v>63</v>
      </c>
      <c r="M518" s="13">
        <v>58</v>
      </c>
      <c r="N518" s="13">
        <v>4</v>
      </c>
      <c r="O518" s="13">
        <v>1</v>
      </c>
      <c r="P518" s="13" t="s">
        <v>65</v>
      </c>
      <c r="Q518" s="13">
        <v>1</v>
      </c>
      <c r="R518" s="13" t="s">
        <v>66</v>
      </c>
      <c r="S518" s="20">
        <v>2819</v>
      </c>
      <c r="T518" s="13">
        <v>8544</v>
      </c>
      <c r="U518" s="13">
        <v>2</v>
      </c>
      <c r="V518" s="13" t="s">
        <v>52</v>
      </c>
      <c r="W518" s="13" t="s">
        <v>59</v>
      </c>
      <c r="X518" s="13">
        <v>16</v>
      </c>
      <c r="Y518" s="13">
        <v>3</v>
      </c>
      <c r="Z518" s="13">
        <v>1</v>
      </c>
      <c r="AA518" s="13">
        <v>80</v>
      </c>
      <c r="AB518" s="13">
        <v>1</v>
      </c>
      <c r="AC518" s="13">
        <v>5</v>
      </c>
      <c r="AD518" s="13">
        <v>3</v>
      </c>
      <c r="AE518" s="13">
        <v>4</v>
      </c>
      <c r="AF518" s="14">
        <v>3</v>
      </c>
      <c r="AG518" s="13">
        <v>2</v>
      </c>
      <c r="AH518" s="13">
        <v>0</v>
      </c>
      <c r="AI518" s="13">
        <v>2</v>
      </c>
      <c r="AJ518" s="13" t="str">
        <f t="shared" si="8"/>
        <v>Under 30</v>
      </c>
      <c r="AK518" s="13" t="str">
        <f>IF(tblCleanData[[#This Row],[MonthlyIncome]]&lt;5000, "Low Income", IF(tblCleanData[[#This Row],[MonthlyIncome]]&lt;15000, "Medium Income", "High Income"))</f>
        <v>Low Income</v>
      </c>
      <c r="AL518" s="13">
        <f>IF(tblCleanData[[#This Row],[Attrition]]="No", 0,1)</f>
        <v>0</v>
      </c>
      <c r="AM518" s="13">
        <f>IF(tblCleanData[[#This Row],[OverTime]] = "No", 0, 1)</f>
        <v>0</v>
      </c>
      <c r="AN518" s="13" t="str">
        <f>CHOOSE(tblCleanData[[#This Row],[Education]], "Below College","College","Bachelor","Master","Doctor")</f>
        <v>Bachelor</v>
      </c>
      <c r="AO518" s="13" t="str">
        <f>VLOOKUP(tblCleanData[[#This Row],[EmployeeNumber]],tblHelpers[],15,TRUE)</f>
        <v>High Risk</v>
      </c>
      <c r="AP518" s="13">
        <f>VLOOKUP(tblCleanData[[#This Row],[EmployeeNumber]],tblHelpers[],14,0)</f>
        <v>75</v>
      </c>
    </row>
    <row r="519" spans="1:42" x14ac:dyDescent="0.25">
      <c r="A519" s="13">
        <v>25</v>
      </c>
      <c r="B519" s="13" t="s">
        <v>59</v>
      </c>
      <c r="C519" s="13" t="s">
        <v>37</v>
      </c>
      <c r="D519" s="13">
        <v>810</v>
      </c>
      <c r="E519" s="13" t="s">
        <v>39</v>
      </c>
      <c r="F519" s="13">
        <v>8</v>
      </c>
      <c r="G519" s="13">
        <v>3</v>
      </c>
      <c r="H519" s="13" t="s">
        <v>42</v>
      </c>
      <c r="I519" s="13">
        <v>1</v>
      </c>
      <c r="J519" s="13">
        <v>707</v>
      </c>
      <c r="K519" s="13">
        <v>4</v>
      </c>
      <c r="L519" s="13" t="s">
        <v>63</v>
      </c>
      <c r="M519" s="13">
        <v>57</v>
      </c>
      <c r="N519" s="13">
        <v>4</v>
      </c>
      <c r="O519" s="13">
        <v>2</v>
      </c>
      <c r="P519" s="13" t="s">
        <v>46</v>
      </c>
      <c r="Q519" s="13">
        <v>2</v>
      </c>
      <c r="R519" s="13" t="s">
        <v>66</v>
      </c>
      <c r="S519" s="20">
        <v>4851</v>
      </c>
      <c r="T519" s="13">
        <v>15678</v>
      </c>
      <c r="U519" s="13">
        <v>0</v>
      </c>
      <c r="V519" s="13" t="s">
        <v>52</v>
      </c>
      <c r="W519" s="13" t="s">
        <v>59</v>
      </c>
      <c r="X519" s="13">
        <v>22</v>
      </c>
      <c r="Y519" s="13">
        <v>4</v>
      </c>
      <c r="Z519" s="13">
        <v>3</v>
      </c>
      <c r="AA519" s="13">
        <v>80</v>
      </c>
      <c r="AB519" s="13">
        <v>1</v>
      </c>
      <c r="AC519" s="13">
        <v>4</v>
      </c>
      <c r="AD519" s="13">
        <v>4</v>
      </c>
      <c r="AE519" s="13">
        <v>3</v>
      </c>
      <c r="AF519" s="14">
        <v>3</v>
      </c>
      <c r="AG519" s="13">
        <v>2</v>
      </c>
      <c r="AH519" s="13">
        <v>1</v>
      </c>
      <c r="AI519" s="13">
        <v>2</v>
      </c>
      <c r="AJ519" s="13" t="str">
        <f t="shared" si="8"/>
        <v>Under 30</v>
      </c>
      <c r="AK519" s="13" t="str">
        <f>IF(tblCleanData[[#This Row],[MonthlyIncome]]&lt;5000, "Low Income", IF(tblCleanData[[#This Row],[MonthlyIncome]]&lt;15000, "Medium Income", "High Income"))</f>
        <v>Low Income</v>
      </c>
      <c r="AL519" s="13">
        <f>IF(tblCleanData[[#This Row],[Attrition]]="No", 0,1)</f>
        <v>0</v>
      </c>
      <c r="AM519" s="13">
        <f>IF(tblCleanData[[#This Row],[OverTime]] = "No", 0, 1)</f>
        <v>0</v>
      </c>
      <c r="AN519" s="13" t="str">
        <f>CHOOSE(tblCleanData[[#This Row],[Education]], "Below College","College","Bachelor","Master","Doctor")</f>
        <v>Bachelor</v>
      </c>
      <c r="AO519" s="13" t="str">
        <f>VLOOKUP(tblCleanData[[#This Row],[EmployeeNumber]],tblHelpers[],15,TRUE)</f>
        <v>High Risk</v>
      </c>
      <c r="AP519" s="13">
        <f>VLOOKUP(tblCleanData[[#This Row],[EmployeeNumber]],tblHelpers[],14,0)</f>
        <v>69</v>
      </c>
    </row>
    <row r="520" spans="1:42" x14ac:dyDescent="0.25">
      <c r="A520" s="13">
        <v>38</v>
      </c>
      <c r="B520" s="13" t="s">
        <v>59</v>
      </c>
      <c r="C520" s="13" t="s">
        <v>37</v>
      </c>
      <c r="D520" s="13">
        <v>243</v>
      </c>
      <c r="E520" s="13" t="s">
        <v>39</v>
      </c>
      <c r="F520" s="13">
        <v>7</v>
      </c>
      <c r="G520" s="13">
        <v>4</v>
      </c>
      <c r="H520" s="13" t="s">
        <v>206</v>
      </c>
      <c r="I520" s="13">
        <v>1</v>
      </c>
      <c r="J520" s="13">
        <v>709</v>
      </c>
      <c r="K520" s="13">
        <v>4</v>
      </c>
      <c r="L520" s="13" t="s">
        <v>43</v>
      </c>
      <c r="M520" s="13">
        <v>46</v>
      </c>
      <c r="N520" s="13">
        <v>2</v>
      </c>
      <c r="O520" s="13">
        <v>2</v>
      </c>
      <c r="P520" s="13" t="s">
        <v>46</v>
      </c>
      <c r="Q520" s="13">
        <v>4</v>
      </c>
      <c r="R520" s="13" t="s">
        <v>48</v>
      </c>
      <c r="S520" s="20">
        <v>4028</v>
      </c>
      <c r="T520" s="13">
        <v>7791</v>
      </c>
      <c r="U520" s="13">
        <v>0</v>
      </c>
      <c r="V520" s="13" t="s">
        <v>52</v>
      </c>
      <c r="W520" s="13" t="s">
        <v>59</v>
      </c>
      <c r="X520" s="13">
        <v>20</v>
      </c>
      <c r="Y520" s="13">
        <v>4</v>
      </c>
      <c r="Z520" s="13">
        <v>1</v>
      </c>
      <c r="AA520" s="13">
        <v>80</v>
      </c>
      <c r="AB520" s="13">
        <v>0</v>
      </c>
      <c r="AC520" s="13">
        <v>8</v>
      </c>
      <c r="AD520" s="13">
        <v>2</v>
      </c>
      <c r="AE520" s="13">
        <v>3</v>
      </c>
      <c r="AF520" s="14">
        <v>7</v>
      </c>
      <c r="AG520" s="13">
        <v>7</v>
      </c>
      <c r="AH520" s="13">
        <v>0</v>
      </c>
      <c r="AI520" s="13">
        <v>5</v>
      </c>
      <c r="AJ520" s="13" t="str">
        <f t="shared" si="8"/>
        <v>30-39</v>
      </c>
      <c r="AK520" s="13" t="str">
        <f>IF(tblCleanData[[#This Row],[MonthlyIncome]]&lt;5000, "Low Income", IF(tblCleanData[[#This Row],[MonthlyIncome]]&lt;15000, "Medium Income", "High Income"))</f>
        <v>Low Income</v>
      </c>
      <c r="AL520" s="13">
        <f>IF(tblCleanData[[#This Row],[Attrition]]="No", 0,1)</f>
        <v>0</v>
      </c>
      <c r="AM520" s="13">
        <f>IF(tblCleanData[[#This Row],[OverTime]] = "No", 0, 1)</f>
        <v>0</v>
      </c>
      <c r="AN520" s="13" t="str">
        <f>CHOOSE(tblCleanData[[#This Row],[Education]], "Below College","College","Bachelor","Master","Doctor")</f>
        <v>Master</v>
      </c>
      <c r="AO520" s="13" t="str">
        <f>VLOOKUP(tblCleanData[[#This Row],[EmployeeNumber]],tblHelpers[],15,TRUE)</f>
        <v>Medium Risk</v>
      </c>
      <c r="AP520" s="13">
        <f>VLOOKUP(tblCleanData[[#This Row],[EmployeeNumber]],tblHelpers[],14,0)</f>
        <v>39</v>
      </c>
    </row>
    <row r="521" spans="1:42" x14ac:dyDescent="0.25">
      <c r="A521" s="13">
        <v>29</v>
      </c>
      <c r="B521" s="13" t="s">
        <v>59</v>
      </c>
      <c r="C521" s="13" t="s">
        <v>60</v>
      </c>
      <c r="D521" s="13">
        <v>806</v>
      </c>
      <c r="E521" s="13" t="s">
        <v>62</v>
      </c>
      <c r="F521" s="13">
        <v>1</v>
      </c>
      <c r="G521" s="13">
        <v>4</v>
      </c>
      <c r="H521" s="13" t="s">
        <v>42</v>
      </c>
      <c r="I521" s="13">
        <v>1</v>
      </c>
      <c r="J521" s="13">
        <v>710</v>
      </c>
      <c r="K521" s="13">
        <v>2</v>
      </c>
      <c r="L521" s="13" t="s">
        <v>63</v>
      </c>
      <c r="M521" s="13">
        <v>76</v>
      </c>
      <c r="N521" s="13">
        <v>1</v>
      </c>
      <c r="O521" s="13">
        <v>1</v>
      </c>
      <c r="P521" s="13" t="s">
        <v>65</v>
      </c>
      <c r="Q521" s="13">
        <v>4</v>
      </c>
      <c r="R521" s="13" t="s">
        <v>109</v>
      </c>
      <c r="S521" s="20">
        <v>2720</v>
      </c>
      <c r="T521" s="13">
        <v>18959</v>
      </c>
      <c r="U521" s="13">
        <v>1</v>
      </c>
      <c r="V521" s="13" t="s">
        <v>52</v>
      </c>
      <c r="W521" s="13" t="s">
        <v>59</v>
      </c>
      <c r="X521" s="13">
        <v>18</v>
      </c>
      <c r="Y521" s="13">
        <v>3</v>
      </c>
      <c r="Z521" s="13">
        <v>4</v>
      </c>
      <c r="AA521" s="13">
        <v>80</v>
      </c>
      <c r="AB521" s="13">
        <v>1</v>
      </c>
      <c r="AC521" s="13">
        <v>10</v>
      </c>
      <c r="AD521" s="13">
        <v>5</v>
      </c>
      <c r="AE521" s="13">
        <v>3</v>
      </c>
      <c r="AF521" s="14">
        <v>10</v>
      </c>
      <c r="AG521" s="13">
        <v>7</v>
      </c>
      <c r="AH521" s="13">
        <v>2</v>
      </c>
      <c r="AI521" s="13">
        <v>8</v>
      </c>
      <c r="AJ521" s="13" t="str">
        <f t="shared" si="8"/>
        <v>Under 30</v>
      </c>
      <c r="AK521" s="13" t="str">
        <f>IF(tblCleanData[[#This Row],[MonthlyIncome]]&lt;5000, "Low Income", IF(tblCleanData[[#This Row],[MonthlyIncome]]&lt;15000, "Medium Income", "High Income"))</f>
        <v>Low Income</v>
      </c>
      <c r="AL521" s="13">
        <f>IF(tblCleanData[[#This Row],[Attrition]]="No", 0,1)</f>
        <v>0</v>
      </c>
      <c r="AM521" s="13">
        <f>IF(tblCleanData[[#This Row],[OverTime]] = "No", 0, 1)</f>
        <v>0</v>
      </c>
      <c r="AN521" s="13" t="str">
        <f>CHOOSE(tblCleanData[[#This Row],[Education]], "Below College","College","Bachelor","Master","Doctor")</f>
        <v>Master</v>
      </c>
      <c r="AO521" s="13" t="str">
        <f>VLOOKUP(tblCleanData[[#This Row],[EmployeeNumber]],tblHelpers[],15,TRUE)</f>
        <v>Medium Risk</v>
      </c>
      <c r="AP521" s="13">
        <f>VLOOKUP(tblCleanData[[#This Row],[EmployeeNumber]],tblHelpers[],14,0)</f>
        <v>49</v>
      </c>
    </row>
    <row r="522" spans="1:42" x14ac:dyDescent="0.25">
      <c r="A522" s="13">
        <v>48</v>
      </c>
      <c r="B522" s="13" t="s">
        <v>59</v>
      </c>
      <c r="C522" s="13" t="s">
        <v>37</v>
      </c>
      <c r="D522" s="13">
        <v>817</v>
      </c>
      <c r="E522" s="13" t="s">
        <v>39</v>
      </c>
      <c r="F522" s="13">
        <v>2</v>
      </c>
      <c r="G522" s="13">
        <v>1</v>
      </c>
      <c r="H522" s="13" t="s">
        <v>206</v>
      </c>
      <c r="I522" s="13">
        <v>1</v>
      </c>
      <c r="J522" s="13">
        <v>712</v>
      </c>
      <c r="K522" s="13">
        <v>2</v>
      </c>
      <c r="L522" s="13" t="s">
        <v>63</v>
      </c>
      <c r="M522" s="13">
        <v>56</v>
      </c>
      <c r="N522" s="13">
        <v>4</v>
      </c>
      <c r="O522" s="13">
        <v>2</v>
      </c>
      <c r="P522" s="13" t="s">
        <v>46</v>
      </c>
      <c r="Q522" s="13">
        <v>2</v>
      </c>
      <c r="R522" s="13" t="s">
        <v>66</v>
      </c>
      <c r="S522" s="20">
        <v>8120</v>
      </c>
      <c r="T522" s="13">
        <v>18597</v>
      </c>
      <c r="U522" s="13">
        <v>3</v>
      </c>
      <c r="V522" s="13" t="s">
        <v>52</v>
      </c>
      <c r="W522" s="13" t="s">
        <v>59</v>
      </c>
      <c r="X522" s="13">
        <v>12</v>
      </c>
      <c r="Y522" s="13">
        <v>3</v>
      </c>
      <c r="Z522" s="13">
        <v>4</v>
      </c>
      <c r="AA522" s="13">
        <v>80</v>
      </c>
      <c r="AB522" s="13">
        <v>0</v>
      </c>
      <c r="AC522" s="13">
        <v>12</v>
      </c>
      <c r="AD522" s="13">
        <v>3</v>
      </c>
      <c r="AE522" s="13">
        <v>3</v>
      </c>
      <c r="AF522" s="14">
        <v>2</v>
      </c>
      <c r="AG522" s="13">
        <v>2</v>
      </c>
      <c r="AH522" s="13">
        <v>2</v>
      </c>
      <c r="AI522" s="13">
        <v>2</v>
      </c>
      <c r="AJ522" s="13" t="str">
        <f t="shared" si="8"/>
        <v>40-49</v>
      </c>
      <c r="AK522" s="13" t="str">
        <f>IF(tblCleanData[[#This Row],[MonthlyIncome]]&lt;5000, "Low Income", IF(tblCleanData[[#This Row],[MonthlyIncome]]&lt;15000, "Medium Income", "High Income"))</f>
        <v>Medium Income</v>
      </c>
      <c r="AL522" s="13">
        <f>IF(tblCleanData[[#This Row],[Attrition]]="No", 0,1)</f>
        <v>0</v>
      </c>
      <c r="AM522" s="13">
        <f>IF(tblCleanData[[#This Row],[OverTime]] = "No", 0, 1)</f>
        <v>0</v>
      </c>
      <c r="AN522" s="13" t="str">
        <f>CHOOSE(tblCleanData[[#This Row],[Education]], "Below College","College","Bachelor","Master","Doctor")</f>
        <v>Below College</v>
      </c>
      <c r="AO522" s="13" t="str">
        <f>VLOOKUP(tblCleanData[[#This Row],[EmployeeNumber]],tblHelpers[],15,TRUE)</f>
        <v>High Risk</v>
      </c>
      <c r="AP522" s="13">
        <f>VLOOKUP(tblCleanData[[#This Row],[EmployeeNumber]],tblHelpers[],14,0)</f>
        <v>59</v>
      </c>
    </row>
    <row r="523" spans="1:42" x14ac:dyDescent="0.25">
      <c r="A523" s="13">
        <v>27</v>
      </c>
      <c r="B523" s="13" t="s">
        <v>59</v>
      </c>
      <c r="C523" s="13" t="s">
        <v>60</v>
      </c>
      <c r="D523" s="13">
        <v>1410</v>
      </c>
      <c r="E523" s="13" t="s">
        <v>39</v>
      </c>
      <c r="F523" s="13">
        <v>3</v>
      </c>
      <c r="G523" s="13">
        <v>1</v>
      </c>
      <c r="H523" s="13" t="s">
        <v>87</v>
      </c>
      <c r="I523" s="13">
        <v>1</v>
      </c>
      <c r="J523" s="13">
        <v>714</v>
      </c>
      <c r="K523" s="13">
        <v>4</v>
      </c>
      <c r="L523" s="13" t="s">
        <v>43</v>
      </c>
      <c r="M523" s="13">
        <v>71</v>
      </c>
      <c r="N523" s="13">
        <v>4</v>
      </c>
      <c r="O523" s="13">
        <v>2</v>
      </c>
      <c r="P523" s="13" t="s">
        <v>46</v>
      </c>
      <c r="Q523" s="13">
        <v>4</v>
      </c>
      <c r="R523" s="13" t="s">
        <v>109</v>
      </c>
      <c r="S523" s="20">
        <v>4647</v>
      </c>
      <c r="T523" s="13">
        <v>16673</v>
      </c>
      <c r="U523" s="13">
        <v>1</v>
      </c>
      <c r="V523" s="13" t="s">
        <v>52</v>
      </c>
      <c r="W523" s="13" t="s">
        <v>36</v>
      </c>
      <c r="X523" s="13">
        <v>20</v>
      </c>
      <c r="Y523" s="13">
        <v>4</v>
      </c>
      <c r="Z523" s="13">
        <v>2</v>
      </c>
      <c r="AA523" s="13">
        <v>80</v>
      </c>
      <c r="AB523" s="13">
        <v>2</v>
      </c>
      <c r="AC523" s="13">
        <v>6</v>
      </c>
      <c r="AD523" s="13">
        <v>3</v>
      </c>
      <c r="AE523" s="13">
        <v>3</v>
      </c>
      <c r="AF523" s="14">
        <v>6</v>
      </c>
      <c r="AG523" s="13">
        <v>5</v>
      </c>
      <c r="AH523" s="13">
        <v>0</v>
      </c>
      <c r="AI523" s="13">
        <v>4</v>
      </c>
      <c r="AJ523" s="13" t="str">
        <f t="shared" si="8"/>
        <v>Under 30</v>
      </c>
      <c r="AK523" s="13" t="str">
        <f>IF(tblCleanData[[#This Row],[MonthlyIncome]]&lt;5000, "Low Income", IF(tblCleanData[[#This Row],[MonthlyIncome]]&lt;15000, "Medium Income", "High Income"))</f>
        <v>Low Income</v>
      </c>
      <c r="AL523" s="13">
        <f>IF(tblCleanData[[#This Row],[Attrition]]="No", 0,1)</f>
        <v>0</v>
      </c>
      <c r="AM523" s="13">
        <f>IF(tblCleanData[[#This Row],[OverTime]] = "No", 0, 1)</f>
        <v>1</v>
      </c>
      <c r="AN523" s="13" t="str">
        <f>CHOOSE(tblCleanData[[#This Row],[Education]], "Below College","College","Bachelor","Master","Doctor")</f>
        <v>Below College</v>
      </c>
      <c r="AO523" s="13" t="str">
        <f>VLOOKUP(tblCleanData[[#This Row],[EmployeeNumber]],tblHelpers[],15,TRUE)</f>
        <v>High Risk</v>
      </c>
      <c r="AP523" s="13">
        <f>VLOOKUP(tblCleanData[[#This Row],[EmployeeNumber]],tblHelpers[],14,0)</f>
        <v>74</v>
      </c>
    </row>
    <row r="524" spans="1:42" x14ac:dyDescent="0.25">
      <c r="A524" s="13">
        <v>37</v>
      </c>
      <c r="B524" s="13" t="s">
        <v>59</v>
      </c>
      <c r="C524" s="13" t="s">
        <v>37</v>
      </c>
      <c r="D524" s="13">
        <v>1225</v>
      </c>
      <c r="E524" s="13" t="s">
        <v>62</v>
      </c>
      <c r="F524" s="13">
        <v>10</v>
      </c>
      <c r="G524" s="13">
        <v>2</v>
      </c>
      <c r="H524" s="13" t="s">
        <v>42</v>
      </c>
      <c r="I524" s="13">
        <v>1</v>
      </c>
      <c r="J524" s="13">
        <v>715</v>
      </c>
      <c r="K524" s="13">
        <v>4</v>
      </c>
      <c r="L524" s="13" t="s">
        <v>63</v>
      </c>
      <c r="M524" s="13">
        <v>80</v>
      </c>
      <c r="N524" s="13">
        <v>4</v>
      </c>
      <c r="O524" s="13">
        <v>1</v>
      </c>
      <c r="P524" s="13" t="s">
        <v>65</v>
      </c>
      <c r="Q524" s="13">
        <v>4</v>
      </c>
      <c r="R524" s="13" t="s">
        <v>48</v>
      </c>
      <c r="S524" s="20">
        <v>4680</v>
      </c>
      <c r="T524" s="13">
        <v>15232</v>
      </c>
      <c r="U524" s="13">
        <v>3</v>
      </c>
      <c r="V524" s="13" t="s">
        <v>52</v>
      </c>
      <c r="W524" s="13" t="s">
        <v>59</v>
      </c>
      <c r="X524" s="13">
        <v>17</v>
      </c>
      <c r="Y524" s="13">
        <v>3</v>
      </c>
      <c r="Z524" s="13">
        <v>1</v>
      </c>
      <c r="AA524" s="13">
        <v>80</v>
      </c>
      <c r="AB524" s="13">
        <v>0</v>
      </c>
      <c r="AC524" s="13">
        <v>4</v>
      </c>
      <c r="AD524" s="13">
        <v>2</v>
      </c>
      <c r="AE524" s="13">
        <v>3</v>
      </c>
      <c r="AF524" s="14">
        <v>1</v>
      </c>
      <c r="AG524" s="13">
        <v>0</v>
      </c>
      <c r="AH524" s="13">
        <v>0</v>
      </c>
      <c r="AI524" s="13">
        <v>0</v>
      </c>
      <c r="AJ524" s="13" t="str">
        <f t="shared" si="8"/>
        <v>30-39</v>
      </c>
      <c r="AK524" s="13" t="str">
        <f>IF(tblCleanData[[#This Row],[MonthlyIncome]]&lt;5000, "Low Income", IF(tblCleanData[[#This Row],[MonthlyIncome]]&lt;15000, "Medium Income", "High Income"))</f>
        <v>Low Income</v>
      </c>
      <c r="AL524" s="13">
        <f>IF(tblCleanData[[#This Row],[Attrition]]="No", 0,1)</f>
        <v>0</v>
      </c>
      <c r="AM524" s="13">
        <f>IF(tblCleanData[[#This Row],[OverTime]] = "No", 0, 1)</f>
        <v>0</v>
      </c>
      <c r="AN524" s="13" t="str">
        <f>CHOOSE(tblCleanData[[#This Row],[Education]], "Below College","College","Bachelor","Master","Doctor")</f>
        <v>College</v>
      </c>
      <c r="AO524" s="13" t="str">
        <f>VLOOKUP(tblCleanData[[#This Row],[EmployeeNumber]],tblHelpers[],15,TRUE)</f>
        <v>High Risk</v>
      </c>
      <c r="AP524" s="13">
        <f>VLOOKUP(tblCleanData[[#This Row],[EmployeeNumber]],tblHelpers[],14,0)</f>
        <v>56</v>
      </c>
    </row>
    <row r="525" spans="1:42" x14ac:dyDescent="0.25">
      <c r="A525" s="13">
        <v>50</v>
      </c>
      <c r="B525" s="13" t="s">
        <v>59</v>
      </c>
      <c r="C525" s="13" t="s">
        <v>37</v>
      </c>
      <c r="D525" s="13">
        <v>1207</v>
      </c>
      <c r="E525" s="13" t="s">
        <v>62</v>
      </c>
      <c r="F525" s="13">
        <v>28</v>
      </c>
      <c r="G525" s="13">
        <v>1</v>
      </c>
      <c r="H525" s="13" t="s">
        <v>87</v>
      </c>
      <c r="I525" s="13">
        <v>1</v>
      </c>
      <c r="J525" s="13">
        <v>716</v>
      </c>
      <c r="K525" s="13">
        <v>4</v>
      </c>
      <c r="L525" s="13" t="s">
        <v>63</v>
      </c>
      <c r="M525" s="13">
        <v>74</v>
      </c>
      <c r="N525" s="13">
        <v>4</v>
      </c>
      <c r="O525" s="13">
        <v>1</v>
      </c>
      <c r="P525" s="13" t="s">
        <v>76</v>
      </c>
      <c r="Q525" s="13">
        <v>3</v>
      </c>
      <c r="R525" s="13" t="s">
        <v>66</v>
      </c>
      <c r="S525" s="20">
        <v>3221</v>
      </c>
      <c r="T525" s="13">
        <v>3297</v>
      </c>
      <c r="U525" s="13">
        <v>1</v>
      </c>
      <c r="V525" s="13" t="s">
        <v>52</v>
      </c>
      <c r="W525" s="13" t="s">
        <v>36</v>
      </c>
      <c r="X525" s="13">
        <v>11</v>
      </c>
      <c r="Y525" s="13">
        <v>3</v>
      </c>
      <c r="Z525" s="13">
        <v>3</v>
      </c>
      <c r="AA525" s="13">
        <v>80</v>
      </c>
      <c r="AB525" s="13">
        <v>3</v>
      </c>
      <c r="AC525" s="13">
        <v>20</v>
      </c>
      <c r="AD525" s="13">
        <v>3</v>
      </c>
      <c r="AE525" s="13">
        <v>3</v>
      </c>
      <c r="AF525" s="14">
        <v>20</v>
      </c>
      <c r="AG525" s="13">
        <v>8</v>
      </c>
      <c r="AH525" s="13">
        <v>3</v>
      </c>
      <c r="AI525" s="13">
        <v>8</v>
      </c>
      <c r="AJ525" s="13" t="str">
        <f t="shared" si="8"/>
        <v>50+</v>
      </c>
      <c r="AK525" s="13" t="str">
        <f>IF(tblCleanData[[#This Row],[MonthlyIncome]]&lt;5000, "Low Income", IF(tblCleanData[[#This Row],[MonthlyIncome]]&lt;15000, "Medium Income", "High Income"))</f>
        <v>Low Income</v>
      </c>
      <c r="AL525" s="13">
        <f>IF(tblCleanData[[#This Row],[Attrition]]="No", 0,1)</f>
        <v>0</v>
      </c>
      <c r="AM525" s="13">
        <f>IF(tblCleanData[[#This Row],[OverTime]] = "No", 0, 1)</f>
        <v>1</v>
      </c>
      <c r="AN525" s="13" t="str">
        <f>CHOOSE(tblCleanData[[#This Row],[Education]], "Below College","College","Bachelor","Master","Doctor")</f>
        <v>Below College</v>
      </c>
      <c r="AO525" s="13" t="str">
        <f>VLOOKUP(tblCleanData[[#This Row],[EmployeeNumber]],tblHelpers[],15,TRUE)</f>
        <v>High Risk</v>
      </c>
      <c r="AP525" s="13">
        <f>VLOOKUP(tblCleanData[[#This Row],[EmployeeNumber]],tblHelpers[],14,0)</f>
        <v>61</v>
      </c>
    </row>
    <row r="526" spans="1:42" x14ac:dyDescent="0.25">
      <c r="A526" s="13">
        <v>34</v>
      </c>
      <c r="B526" s="13" t="s">
        <v>59</v>
      </c>
      <c r="C526" s="13" t="s">
        <v>37</v>
      </c>
      <c r="D526" s="13">
        <v>1442</v>
      </c>
      <c r="E526" s="13" t="s">
        <v>62</v>
      </c>
      <c r="F526" s="13">
        <v>9</v>
      </c>
      <c r="G526" s="13">
        <v>3</v>
      </c>
      <c r="H526" s="13" t="s">
        <v>87</v>
      </c>
      <c r="I526" s="13">
        <v>1</v>
      </c>
      <c r="J526" s="13">
        <v>717</v>
      </c>
      <c r="K526" s="13">
        <v>4</v>
      </c>
      <c r="L526" s="13" t="s">
        <v>43</v>
      </c>
      <c r="M526" s="13">
        <v>46</v>
      </c>
      <c r="N526" s="13">
        <v>2</v>
      </c>
      <c r="O526" s="13">
        <v>3</v>
      </c>
      <c r="P526" s="13" t="s">
        <v>122</v>
      </c>
      <c r="Q526" s="13">
        <v>2</v>
      </c>
      <c r="R526" s="13" t="s">
        <v>48</v>
      </c>
      <c r="S526" s="20">
        <v>8621</v>
      </c>
      <c r="T526" s="13">
        <v>17654</v>
      </c>
      <c r="U526" s="13">
        <v>1</v>
      </c>
      <c r="V526" s="13" t="s">
        <v>52</v>
      </c>
      <c r="W526" s="13" t="s">
        <v>59</v>
      </c>
      <c r="X526" s="13">
        <v>14</v>
      </c>
      <c r="Y526" s="13">
        <v>3</v>
      </c>
      <c r="Z526" s="13">
        <v>2</v>
      </c>
      <c r="AA526" s="13">
        <v>80</v>
      </c>
      <c r="AB526" s="13">
        <v>0</v>
      </c>
      <c r="AC526" s="13">
        <v>9</v>
      </c>
      <c r="AD526" s="13">
        <v>3</v>
      </c>
      <c r="AE526" s="13">
        <v>4</v>
      </c>
      <c r="AF526" s="14">
        <v>8</v>
      </c>
      <c r="AG526" s="13">
        <v>7</v>
      </c>
      <c r="AH526" s="13">
        <v>7</v>
      </c>
      <c r="AI526" s="13">
        <v>7</v>
      </c>
      <c r="AJ526" s="13" t="str">
        <f t="shared" si="8"/>
        <v>30-39</v>
      </c>
      <c r="AK526" s="13" t="str">
        <f>IF(tblCleanData[[#This Row],[MonthlyIncome]]&lt;5000, "Low Income", IF(tblCleanData[[#This Row],[MonthlyIncome]]&lt;15000, "Medium Income", "High Income"))</f>
        <v>Medium Income</v>
      </c>
      <c r="AL526" s="13">
        <f>IF(tblCleanData[[#This Row],[Attrition]]="No", 0,1)</f>
        <v>0</v>
      </c>
      <c r="AM526" s="13">
        <f>IF(tblCleanData[[#This Row],[OverTime]] = "No", 0, 1)</f>
        <v>0</v>
      </c>
      <c r="AN526" s="13" t="str">
        <f>CHOOSE(tblCleanData[[#This Row],[Education]], "Below College","College","Bachelor","Master","Doctor")</f>
        <v>Bachelor</v>
      </c>
      <c r="AO526" s="13" t="str">
        <f>VLOOKUP(tblCleanData[[#This Row],[EmployeeNumber]],tblHelpers[],15,TRUE)</f>
        <v>Medium Risk</v>
      </c>
      <c r="AP526" s="13">
        <f>VLOOKUP(tblCleanData[[#This Row],[EmployeeNumber]],tblHelpers[],14,0)</f>
        <v>52</v>
      </c>
    </row>
    <row r="527" spans="1:42" x14ac:dyDescent="0.25">
      <c r="A527" s="13">
        <v>24</v>
      </c>
      <c r="B527" s="13" t="s">
        <v>36</v>
      </c>
      <c r="C527" s="13" t="s">
        <v>37</v>
      </c>
      <c r="D527" s="13">
        <v>693</v>
      </c>
      <c r="E527" s="13" t="s">
        <v>39</v>
      </c>
      <c r="F527" s="13">
        <v>3</v>
      </c>
      <c r="G527" s="13">
        <v>2</v>
      </c>
      <c r="H527" s="13" t="s">
        <v>42</v>
      </c>
      <c r="I527" s="13">
        <v>1</v>
      </c>
      <c r="J527" s="13">
        <v>720</v>
      </c>
      <c r="K527" s="13">
        <v>1</v>
      </c>
      <c r="L527" s="13" t="s">
        <v>43</v>
      </c>
      <c r="M527" s="13">
        <v>65</v>
      </c>
      <c r="N527" s="13">
        <v>3</v>
      </c>
      <c r="O527" s="13">
        <v>2</v>
      </c>
      <c r="P527" s="13" t="s">
        <v>46</v>
      </c>
      <c r="Q527" s="13">
        <v>3</v>
      </c>
      <c r="R527" s="13" t="s">
        <v>48</v>
      </c>
      <c r="S527" s="20">
        <v>4577</v>
      </c>
      <c r="T527" s="13">
        <v>24785</v>
      </c>
      <c r="U527" s="13">
        <v>9</v>
      </c>
      <c r="V527" s="13" t="s">
        <v>52</v>
      </c>
      <c r="W527" s="13" t="s">
        <v>59</v>
      </c>
      <c r="X527" s="13">
        <v>14</v>
      </c>
      <c r="Y527" s="13">
        <v>3</v>
      </c>
      <c r="Z527" s="13">
        <v>1</v>
      </c>
      <c r="AA527" s="13">
        <v>80</v>
      </c>
      <c r="AB527" s="13">
        <v>0</v>
      </c>
      <c r="AC527" s="13">
        <v>4</v>
      </c>
      <c r="AD527" s="13">
        <v>3</v>
      </c>
      <c r="AE527" s="13">
        <v>3</v>
      </c>
      <c r="AF527" s="14">
        <v>2</v>
      </c>
      <c r="AG527" s="13">
        <v>2</v>
      </c>
      <c r="AH527" s="13">
        <v>2</v>
      </c>
      <c r="AI527" s="13">
        <v>0</v>
      </c>
      <c r="AJ527" s="13" t="str">
        <f t="shared" si="8"/>
        <v>Under 30</v>
      </c>
      <c r="AK527" s="13" t="str">
        <f>IF(tblCleanData[[#This Row],[MonthlyIncome]]&lt;5000, "Low Income", IF(tblCleanData[[#This Row],[MonthlyIncome]]&lt;15000, "Medium Income", "High Income"))</f>
        <v>Low Income</v>
      </c>
      <c r="AL527" s="13">
        <f>IF(tblCleanData[[#This Row],[Attrition]]="No", 0,1)</f>
        <v>1</v>
      </c>
      <c r="AM527" s="13">
        <f>IF(tblCleanData[[#This Row],[OverTime]] = "No", 0, 1)</f>
        <v>0</v>
      </c>
      <c r="AN527" s="13" t="str">
        <f>CHOOSE(tblCleanData[[#This Row],[Education]], "Below College","College","Bachelor","Master","Doctor")</f>
        <v>College</v>
      </c>
      <c r="AO527" s="13" t="str">
        <f>VLOOKUP(tblCleanData[[#This Row],[EmployeeNumber]],tblHelpers[],15,TRUE)</f>
        <v>High Risk</v>
      </c>
      <c r="AP527" s="13">
        <f>VLOOKUP(tblCleanData[[#This Row],[EmployeeNumber]],tblHelpers[],14,0)</f>
        <v>73</v>
      </c>
    </row>
    <row r="528" spans="1:42" x14ac:dyDescent="0.25">
      <c r="A528" s="13">
        <v>39</v>
      </c>
      <c r="B528" s="13" t="s">
        <v>59</v>
      </c>
      <c r="C528" s="13" t="s">
        <v>37</v>
      </c>
      <c r="D528" s="13">
        <v>408</v>
      </c>
      <c r="E528" s="13" t="s">
        <v>62</v>
      </c>
      <c r="F528" s="13">
        <v>2</v>
      </c>
      <c r="G528" s="13">
        <v>4</v>
      </c>
      <c r="H528" s="13" t="s">
        <v>228</v>
      </c>
      <c r="I528" s="13">
        <v>1</v>
      </c>
      <c r="J528" s="13">
        <v>721</v>
      </c>
      <c r="K528" s="13">
        <v>4</v>
      </c>
      <c r="L528" s="13" t="s">
        <v>43</v>
      </c>
      <c r="M528" s="13">
        <v>80</v>
      </c>
      <c r="N528" s="13">
        <v>2</v>
      </c>
      <c r="O528" s="13">
        <v>2</v>
      </c>
      <c r="P528" s="13" t="s">
        <v>122</v>
      </c>
      <c r="Q528" s="13">
        <v>3</v>
      </c>
      <c r="R528" s="13" t="s">
        <v>48</v>
      </c>
      <c r="S528" s="20">
        <v>4553</v>
      </c>
      <c r="T528" s="13">
        <v>20978</v>
      </c>
      <c r="U528" s="13">
        <v>1</v>
      </c>
      <c r="V528" s="13" t="s">
        <v>52</v>
      </c>
      <c r="W528" s="13" t="s">
        <v>59</v>
      </c>
      <c r="X528" s="13">
        <v>11</v>
      </c>
      <c r="Y528" s="13">
        <v>3</v>
      </c>
      <c r="Z528" s="13">
        <v>1</v>
      </c>
      <c r="AA528" s="13">
        <v>80</v>
      </c>
      <c r="AB528" s="13">
        <v>0</v>
      </c>
      <c r="AC528" s="13">
        <v>20</v>
      </c>
      <c r="AD528" s="13">
        <v>4</v>
      </c>
      <c r="AE528" s="13">
        <v>3</v>
      </c>
      <c r="AF528" s="14">
        <v>20</v>
      </c>
      <c r="AG528" s="13">
        <v>7</v>
      </c>
      <c r="AH528" s="13">
        <v>11</v>
      </c>
      <c r="AI528" s="13">
        <v>10</v>
      </c>
      <c r="AJ528" s="13" t="str">
        <f t="shared" si="8"/>
        <v>30-39</v>
      </c>
      <c r="AK528" s="13" t="str">
        <f>IF(tblCleanData[[#This Row],[MonthlyIncome]]&lt;5000, "Low Income", IF(tblCleanData[[#This Row],[MonthlyIncome]]&lt;15000, "Medium Income", "High Income"))</f>
        <v>Low Income</v>
      </c>
      <c r="AL528" s="13">
        <f>IF(tblCleanData[[#This Row],[Attrition]]="No", 0,1)</f>
        <v>0</v>
      </c>
      <c r="AM528" s="13">
        <f>IF(tblCleanData[[#This Row],[OverTime]] = "No", 0, 1)</f>
        <v>0</v>
      </c>
      <c r="AN528" s="13" t="str">
        <f>CHOOSE(tblCleanData[[#This Row],[Education]], "Below College","College","Bachelor","Master","Doctor")</f>
        <v>Master</v>
      </c>
      <c r="AO528" s="13" t="str">
        <f>VLOOKUP(tblCleanData[[#This Row],[EmployeeNumber]],tblHelpers[],15,TRUE)</f>
        <v>Medium Risk</v>
      </c>
      <c r="AP528" s="13">
        <f>VLOOKUP(tblCleanData[[#This Row],[EmployeeNumber]],tblHelpers[],14,0)</f>
        <v>41</v>
      </c>
    </row>
    <row r="529" spans="1:42" x14ac:dyDescent="0.25">
      <c r="A529" s="13">
        <v>32</v>
      </c>
      <c r="B529" s="13" t="s">
        <v>59</v>
      </c>
      <c r="C529" s="13" t="s">
        <v>37</v>
      </c>
      <c r="D529" s="13">
        <v>929</v>
      </c>
      <c r="E529" s="13" t="s">
        <v>39</v>
      </c>
      <c r="F529" s="13">
        <v>10</v>
      </c>
      <c r="G529" s="13">
        <v>3</v>
      </c>
      <c r="H529" s="13" t="s">
        <v>206</v>
      </c>
      <c r="I529" s="13">
        <v>1</v>
      </c>
      <c r="J529" s="13">
        <v>722</v>
      </c>
      <c r="K529" s="13">
        <v>4</v>
      </c>
      <c r="L529" s="13" t="s">
        <v>63</v>
      </c>
      <c r="M529" s="13">
        <v>55</v>
      </c>
      <c r="N529" s="13">
        <v>3</v>
      </c>
      <c r="O529" s="13">
        <v>2</v>
      </c>
      <c r="P529" s="13" t="s">
        <v>46</v>
      </c>
      <c r="Q529" s="13">
        <v>4</v>
      </c>
      <c r="R529" s="13" t="s">
        <v>48</v>
      </c>
      <c r="S529" s="20">
        <v>5396</v>
      </c>
      <c r="T529" s="13">
        <v>21703</v>
      </c>
      <c r="U529" s="13">
        <v>1</v>
      </c>
      <c r="V529" s="13" t="s">
        <v>52</v>
      </c>
      <c r="W529" s="13" t="s">
        <v>59</v>
      </c>
      <c r="X529" s="13">
        <v>12</v>
      </c>
      <c r="Y529" s="13">
        <v>3</v>
      </c>
      <c r="Z529" s="13">
        <v>4</v>
      </c>
      <c r="AA529" s="13">
        <v>80</v>
      </c>
      <c r="AB529" s="13">
        <v>0</v>
      </c>
      <c r="AC529" s="13">
        <v>10</v>
      </c>
      <c r="AD529" s="13">
        <v>2</v>
      </c>
      <c r="AE529" s="13">
        <v>2</v>
      </c>
      <c r="AF529" s="14">
        <v>10</v>
      </c>
      <c r="AG529" s="13">
        <v>7</v>
      </c>
      <c r="AH529" s="13">
        <v>0</v>
      </c>
      <c r="AI529" s="13">
        <v>8</v>
      </c>
      <c r="AJ529" s="13" t="str">
        <f t="shared" si="8"/>
        <v>30-39</v>
      </c>
      <c r="AK529" s="13" t="str">
        <f>IF(tblCleanData[[#This Row],[MonthlyIncome]]&lt;5000, "Low Income", IF(tblCleanData[[#This Row],[MonthlyIncome]]&lt;15000, "Medium Income", "High Income"))</f>
        <v>Medium Income</v>
      </c>
      <c r="AL529" s="13">
        <f>IF(tblCleanData[[#This Row],[Attrition]]="No", 0,1)</f>
        <v>0</v>
      </c>
      <c r="AM529" s="13">
        <f>IF(tblCleanData[[#This Row],[OverTime]] = "No", 0, 1)</f>
        <v>0</v>
      </c>
      <c r="AN529" s="13" t="str">
        <f>CHOOSE(tblCleanData[[#This Row],[Education]], "Below College","College","Bachelor","Master","Doctor")</f>
        <v>Bachelor</v>
      </c>
      <c r="AO529" s="13" t="str">
        <f>VLOOKUP(tblCleanData[[#This Row],[EmployeeNumber]],tblHelpers[],15,TRUE)</f>
        <v>Medium Risk</v>
      </c>
      <c r="AP529" s="13">
        <f>VLOOKUP(tblCleanData[[#This Row],[EmployeeNumber]],tblHelpers[],14,0)</f>
        <v>39</v>
      </c>
    </row>
    <row r="530" spans="1:42" x14ac:dyDescent="0.25">
      <c r="A530" s="13">
        <v>50</v>
      </c>
      <c r="B530" s="13" t="s">
        <v>36</v>
      </c>
      <c r="C530" s="13" t="s">
        <v>60</v>
      </c>
      <c r="D530" s="13">
        <v>562</v>
      </c>
      <c r="E530" s="13" t="s">
        <v>39</v>
      </c>
      <c r="F530" s="13">
        <v>8</v>
      </c>
      <c r="G530" s="13">
        <v>2</v>
      </c>
      <c r="H530" s="13" t="s">
        <v>228</v>
      </c>
      <c r="I530" s="13">
        <v>1</v>
      </c>
      <c r="J530" s="13">
        <v>723</v>
      </c>
      <c r="K530" s="13">
        <v>2</v>
      </c>
      <c r="L530" s="13" t="s">
        <v>63</v>
      </c>
      <c r="M530" s="13">
        <v>50</v>
      </c>
      <c r="N530" s="13">
        <v>3</v>
      </c>
      <c r="O530" s="13">
        <v>2</v>
      </c>
      <c r="P530" s="13" t="s">
        <v>46</v>
      </c>
      <c r="Q530" s="13">
        <v>3</v>
      </c>
      <c r="R530" s="13" t="s">
        <v>66</v>
      </c>
      <c r="S530" s="20">
        <v>6796</v>
      </c>
      <c r="T530" s="13">
        <v>23452</v>
      </c>
      <c r="U530" s="13">
        <v>3</v>
      </c>
      <c r="V530" s="13" t="s">
        <v>52</v>
      </c>
      <c r="W530" s="13" t="s">
        <v>36</v>
      </c>
      <c r="X530" s="13">
        <v>14</v>
      </c>
      <c r="Y530" s="13">
        <v>3</v>
      </c>
      <c r="Z530" s="13">
        <v>1</v>
      </c>
      <c r="AA530" s="13">
        <v>80</v>
      </c>
      <c r="AB530" s="13">
        <v>1</v>
      </c>
      <c r="AC530" s="13">
        <v>18</v>
      </c>
      <c r="AD530" s="13">
        <v>4</v>
      </c>
      <c r="AE530" s="13">
        <v>3</v>
      </c>
      <c r="AF530" s="14">
        <v>4</v>
      </c>
      <c r="AG530" s="13">
        <v>3</v>
      </c>
      <c r="AH530" s="13">
        <v>1</v>
      </c>
      <c r="AI530" s="13">
        <v>3</v>
      </c>
      <c r="AJ530" s="13" t="str">
        <f t="shared" si="8"/>
        <v>50+</v>
      </c>
      <c r="AK530" s="13" t="str">
        <f>IF(tblCleanData[[#This Row],[MonthlyIncome]]&lt;5000, "Low Income", IF(tblCleanData[[#This Row],[MonthlyIncome]]&lt;15000, "Medium Income", "High Income"))</f>
        <v>Medium Income</v>
      </c>
      <c r="AL530" s="13">
        <f>IF(tblCleanData[[#This Row],[Attrition]]="No", 0,1)</f>
        <v>1</v>
      </c>
      <c r="AM530" s="13">
        <f>IF(tblCleanData[[#This Row],[OverTime]] = "No", 0, 1)</f>
        <v>1</v>
      </c>
      <c r="AN530" s="13" t="str">
        <f>CHOOSE(tblCleanData[[#This Row],[Education]], "Below College","College","Bachelor","Master","Doctor")</f>
        <v>College</v>
      </c>
      <c r="AO530" s="13" t="str">
        <f>VLOOKUP(tblCleanData[[#This Row],[EmployeeNumber]],tblHelpers[],15,TRUE)</f>
        <v>High Risk</v>
      </c>
      <c r="AP530" s="13">
        <f>VLOOKUP(tblCleanData[[#This Row],[EmployeeNumber]],tblHelpers[],14,0)</f>
        <v>73</v>
      </c>
    </row>
    <row r="531" spans="1:42" x14ac:dyDescent="0.25">
      <c r="A531" s="13">
        <v>38</v>
      </c>
      <c r="B531" s="13" t="s">
        <v>59</v>
      </c>
      <c r="C531" s="13" t="s">
        <v>37</v>
      </c>
      <c r="D531" s="13">
        <v>827</v>
      </c>
      <c r="E531" s="13" t="s">
        <v>62</v>
      </c>
      <c r="F531" s="13">
        <v>1</v>
      </c>
      <c r="G531" s="13">
        <v>4</v>
      </c>
      <c r="H531" s="13" t="s">
        <v>42</v>
      </c>
      <c r="I531" s="13">
        <v>1</v>
      </c>
      <c r="J531" s="13">
        <v>724</v>
      </c>
      <c r="K531" s="13">
        <v>2</v>
      </c>
      <c r="L531" s="13" t="s">
        <v>43</v>
      </c>
      <c r="M531" s="13">
        <v>33</v>
      </c>
      <c r="N531" s="13">
        <v>4</v>
      </c>
      <c r="O531" s="13">
        <v>2</v>
      </c>
      <c r="P531" s="13" t="s">
        <v>122</v>
      </c>
      <c r="Q531" s="13">
        <v>4</v>
      </c>
      <c r="R531" s="13" t="s">
        <v>48</v>
      </c>
      <c r="S531" s="20">
        <v>7625</v>
      </c>
      <c r="T531" s="13">
        <v>19383</v>
      </c>
      <c r="U531" s="13">
        <v>0</v>
      </c>
      <c r="V531" s="13" t="s">
        <v>52</v>
      </c>
      <c r="W531" s="13" t="s">
        <v>59</v>
      </c>
      <c r="X531" s="13">
        <v>13</v>
      </c>
      <c r="Y531" s="13">
        <v>3</v>
      </c>
      <c r="Z531" s="13">
        <v>3</v>
      </c>
      <c r="AA531" s="13">
        <v>80</v>
      </c>
      <c r="AB531" s="13">
        <v>0</v>
      </c>
      <c r="AC531" s="13">
        <v>10</v>
      </c>
      <c r="AD531" s="13">
        <v>4</v>
      </c>
      <c r="AE531" s="13">
        <v>2</v>
      </c>
      <c r="AF531" s="14">
        <v>9</v>
      </c>
      <c r="AG531" s="13">
        <v>7</v>
      </c>
      <c r="AH531" s="13">
        <v>1</v>
      </c>
      <c r="AI531" s="13">
        <v>8</v>
      </c>
      <c r="AJ531" s="13" t="str">
        <f t="shared" si="8"/>
        <v>30-39</v>
      </c>
      <c r="AK531" s="13" t="str">
        <f>IF(tblCleanData[[#This Row],[MonthlyIncome]]&lt;5000, "Low Income", IF(tblCleanData[[#This Row],[MonthlyIncome]]&lt;15000, "Medium Income", "High Income"))</f>
        <v>Medium Income</v>
      </c>
      <c r="AL531" s="13">
        <f>IF(tblCleanData[[#This Row],[Attrition]]="No", 0,1)</f>
        <v>0</v>
      </c>
      <c r="AM531" s="13">
        <f>IF(tblCleanData[[#This Row],[OverTime]] = "No", 0, 1)</f>
        <v>0</v>
      </c>
      <c r="AN531" s="13" t="str">
        <f>CHOOSE(tblCleanData[[#This Row],[Education]], "Below College","College","Bachelor","Master","Doctor")</f>
        <v>Master</v>
      </c>
      <c r="AO531" s="13" t="str">
        <f>VLOOKUP(tblCleanData[[#This Row],[EmployeeNumber]],tblHelpers[],15,TRUE)</f>
        <v>Medium Risk</v>
      </c>
      <c r="AP531" s="13">
        <f>VLOOKUP(tblCleanData[[#This Row],[EmployeeNumber]],tblHelpers[],14,0)</f>
        <v>39</v>
      </c>
    </row>
    <row r="532" spans="1:42" x14ac:dyDescent="0.25">
      <c r="A532" s="13">
        <v>27</v>
      </c>
      <c r="B532" s="13" t="s">
        <v>59</v>
      </c>
      <c r="C532" s="13" t="s">
        <v>37</v>
      </c>
      <c r="D532" s="13">
        <v>608</v>
      </c>
      <c r="E532" s="13" t="s">
        <v>62</v>
      </c>
      <c r="F532" s="13">
        <v>1</v>
      </c>
      <c r="G532" s="13">
        <v>2</v>
      </c>
      <c r="H532" s="13" t="s">
        <v>42</v>
      </c>
      <c r="I532" s="13">
        <v>1</v>
      </c>
      <c r="J532" s="13">
        <v>725</v>
      </c>
      <c r="K532" s="13">
        <v>3</v>
      </c>
      <c r="L532" s="13" t="s">
        <v>43</v>
      </c>
      <c r="M532" s="13">
        <v>68</v>
      </c>
      <c r="N532" s="13">
        <v>3</v>
      </c>
      <c r="O532" s="13">
        <v>3</v>
      </c>
      <c r="P532" s="13" t="s">
        <v>116</v>
      </c>
      <c r="Q532" s="13">
        <v>1</v>
      </c>
      <c r="R532" s="13" t="s">
        <v>66</v>
      </c>
      <c r="S532" s="20">
        <v>7412</v>
      </c>
      <c r="T532" s="13">
        <v>6009</v>
      </c>
      <c r="U532" s="13">
        <v>1</v>
      </c>
      <c r="V532" s="13" t="s">
        <v>52</v>
      </c>
      <c r="W532" s="13" t="s">
        <v>59</v>
      </c>
      <c r="X532" s="13">
        <v>11</v>
      </c>
      <c r="Y532" s="13">
        <v>3</v>
      </c>
      <c r="Z532" s="13">
        <v>4</v>
      </c>
      <c r="AA532" s="13">
        <v>80</v>
      </c>
      <c r="AB532" s="13">
        <v>0</v>
      </c>
      <c r="AC532" s="13">
        <v>9</v>
      </c>
      <c r="AD532" s="13">
        <v>3</v>
      </c>
      <c r="AE532" s="13">
        <v>3</v>
      </c>
      <c r="AF532" s="14">
        <v>9</v>
      </c>
      <c r="AG532" s="13">
        <v>7</v>
      </c>
      <c r="AH532" s="13">
        <v>0</v>
      </c>
      <c r="AI532" s="13">
        <v>7</v>
      </c>
      <c r="AJ532" s="13" t="str">
        <f t="shared" si="8"/>
        <v>Under 30</v>
      </c>
      <c r="AK532" s="13" t="str">
        <f>IF(tblCleanData[[#This Row],[MonthlyIncome]]&lt;5000, "Low Income", IF(tblCleanData[[#This Row],[MonthlyIncome]]&lt;15000, "Medium Income", "High Income"))</f>
        <v>Medium Income</v>
      </c>
      <c r="AL532" s="13">
        <f>IF(tblCleanData[[#This Row],[Attrition]]="No", 0,1)</f>
        <v>0</v>
      </c>
      <c r="AM532" s="13">
        <f>IF(tblCleanData[[#This Row],[OverTime]] = "No", 0, 1)</f>
        <v>0</v>
      </c>
      <c r="AN532" s="13" t="str">
        <f>CHOOSE(tblCleanData[[#This Row],[Education]], "Below College","College","Bachelor","Master","Doctor")</f>
        <v>College</v>
      </c>
      <c r="AO532" s="13" t="str">
        <f>VLOOKUP(tblCleanData[[#This Row],[EmployeeNumber]],tblHelpers[],15,TRUE)</f>
        <v>High Risk</v>
      </c>
      <c r="AP532" s="13">
        <f>VLOOKUP(tblCleanData[[#This Row],[EmployeeNumber]],tblHelpers[],14,0)</f>
        <v>68</v>
      </c>
    </row>
    <row r="533" spans="1:42" x14ac:dyDescent="0.25">
      <c r="A533" s="13">
        <v>32</v>
      </c>
      <c r="B533" s="13" t="s">
        <v>59</v>
      </c>
      <c r="C533" s="13" t="s">
        <v>37</v>
      </c>
      <c r="D533" s="13">
        <v>1018</v>
      </c>
      <c r="E533" s="13" t="s">
        <v>62</v>
      </c>
      <c r="F533" s="13">
        <v>3</v>
      </c>
      <c r="G533" s="13">
        <v>2</v>
      </c>
      <c r="H533" s="13" t="s">
        <v>42</v>
      </c>
      <c r="I533" s="13">
        <v>1</v>
      </c>
      <c r="J533" s="13">
        <v>727</v>
      </c>
      <c r="K533" s="13">
        <v>3</v>
      </c>
      <c r="L533" s="13" t="s">
        <v>43</v>
      </c>
      <c r="M533" s="13">
        <v>39</v>
      </c>
      <c r="N533" s="13">
        <v>3</v>
      </c>
      <c r="O533" s="13">
        <v>3</v>
      </c>
      <c r="P533" s="13" t="s">
        <v>186</v>
      </c>
      <c r="Q533" s="13">
        <v>4</v>
      </c>
      <c r="R533" s="13" t="s">
        <v>48</v>
      </c>
      <c r="S533" s="20">
        <v>11159</v>
      </c>
      <c r="T533" s="13">
        <v>19373</v>
      </c>
      <c r="U533" s="13">
        <v>3</v>
      </c>
      <c r="V533" s="13" t="s">
        <v>52</v>
      </c>
      <c r="W533" s="13" t="s">
        <v>59</v>
      </c>
      <c r="X533" s="13">
        <v>15</v>
      </c>
      <c r="Y533" s="13">
        <v>3</v>
      </c>
      <c r="Z533" s="13">
        <v>4</v>
      </c>
      <c r="AA533" s="13">
        <v>80</v>
      </c>
      <c r="AB533" s="13">
        <v>0</v>
      </c>
      <c r="AC533" s="13">
        <v>10</v>
      </c>
      <c r="AD533" s="13">
        <v>6</v>
      </c>
      <c r="AE533" s="13">
        <v>3</v>
      </c>
      <c r="AF533" s="14">
        <v>7</v>
      </c>
      <c r="AG533" s="13">
        <v>7</v>
      </c>
      <c r="AH533" s="13">
        <v>7</v>
      </c>
      <c r="AI533" s="13">
        <v>7</v>
      </c>
      <c r="AJ533" s="13" t="str">
        <f t="shared" si="8"/>
        <v>30-39</v>
      </c>
      <c r="AK533" s="13" t="str">
        <f>IF(tblCleanData[[#This Row],[MonthlyIncome]]&lt;5000, "Low Income", IF(tblCleanData[[#This Row],[MonthlyIncome]]&lt;15000, "Medium Income", "High Income"))</f>
        <v>Medium Income</v>
      </c>
      <c r="AL533" s="13">
        <f>IF(tblCleanData[[#This Row],[Attrition]]="No", 0,1)</f>
        <v>0</v>
      </c>
      <c r="AM533" s="13">
        <f>IF(tblCleanData[[#This Row],[OverTime]] = "No", 0, 1)</f>
        <v>0</v>
      </c>
      <c r="AN533" s="13" t="str">
        <f>CHOOSE(tblCleanData[[#This Row],[Education]], "Below College","College","Bachelor","Master","Doctor")</f>
        <v>College</v>
      </c>
      <c r="AO533" s="13" t="str">
        <f>VLOOKUP(tblCleanData[[#This Row],[EmployeeNumber]],tblHelpers[],15,TRUE)</f>
        <v>Medium Risk</v>
      </c>
      <c r="AP533" s="13">
        <f>VLOOKUP(tblCleanData[[#This Row],[EmployeeNumber]],tblHelpers[],14,0)</f>
        <v>39</v>
      </c>
    </row>
    <row r="534" spans="1:42" x14ac:dyDescent="0.25">
      <c r="A534" s="13">
        <v>47</v>
      </c>
      <c r="B534" s="13" t="s">
        <v>59</v>
      </c>
      <c r="C534" s="13" t="s">
        <v>37</v>
      </c>
      <c r="D534" s="13">
        <v>703</v>
      </c>
      <c r="E534" s="13" t="s">
        <v>39</v>
      </c>
      <c r="F534" s="13">
        <v>14</v>
      </c>
      <c r="G534" s="13">
        <v>4</v>
      </c>
      <c r="H534" s="13" t="s">
        <v>206</v>
      </c>
      <c r="I534" s="13">
        <v>1</v>
      </c>
      <c r="J534" s="13">
        <v>728</v>
      </c>
      <c r="K534" s="13">
        <v>4</v>
      </c>
      <c r="L534" s="13" t="s">
        <v>63</v>
      </c>
      <c r="M534" s="13">
        <v>42</v>
      </c>
      <c r="N534" s="13">
        <v>3</v>
      </c>
      <c r="O534" s="13">
        <v>2</v>
      </c>
      <c r="P534" s="13" t="s">
        <v>46</v>
      </c>
      <c r="Q534" s="13">
        <v>1</v>
      </c>
      <c r="R534" s="13" t="s">
        <v>48</v>
      </c>
      <c r="S534" s="20">
        <v>4960</v>
      </c>
      <c r="T534" s="13">
        <v>11825</v>
      </c>
      <c r="U534" s="13">
        <v>2</v>
      </c>
      <c r="V534" s="13" t="s">
        <v>52</v>
      </c>
      <c r="W534" s="13" t="s">
        <v>59</v>
      </c>
      <c r="X534" s="13">
        <v>12</v>
      </c>
      <c r="Y534" s="13">
        <v>3</v>
      </c>
      <c r="Z534" s="13">
        <v>4</v>
      </c>
      <c r="AA534" s="13">
        <v>80</v>
      </c>
      <c r="AB534" s="13">
        <v>0</v>
      </c>
      <c r="AC534" s="13">
        <v>20</v>
      </c>
      <c r="AD534" s="13">
        <v>2</v>
      </c>
      <c r="AE534" s="13">
        <v>3</v>
      </c>
      <c r="AF534" s="14">
        <v>7</v>
      </c>
      <c r="AG534" s="13">
        <v>7</v>
      </c>
      <c r="AH534" s="13">
        <v>1</v>
      </c>
      <c r="AI534" s="13">
        <v>7</v>
      </c>
      <c r="AJ534" s="13" t="str">
        <f t="shared" si="8"/>
        <v>40-49</v>
      </c>
      <c r="AK534" s="13" t="str">
        <f>IF(tblCleanData[[#This Row],[MonthlyIncome]]&lt;5000, "Low Income", IF(tblCleanData[[#This Row],[MonthlyIncome]]&lt;15000, "Medium Income", "High Income"))</f>
        <v>Low Income</v>
      </c>
      <c r="AL534" s="13">
        <f>IF(tblCleanData[[#This Row],[Attrition]]="No", 0,1)</f>
        <v>0</v>
      </c>
      <c r="AM534" s="13">
        <f>IF(tblCleanData[[#This Row],[OverTime]] = "No", 0, 1)</f>
        <v>0</v>
      </c>
      <c r="AN534" s="13" t="str">
        <f>CHOOSE(tblCleanData[[#This Row],[Education]], "Below College","College","Bachelor","Master","Doctor")</f>
        <v>Master</v>
      </c>
      <c r="AO534" s="13" t="str">
        <f>VLOOKUP(tblCleanData[[#This Row],[EmployeeNumber]],tblHelpers[],15,TRUE)</f>
        <v>Medium Risk</v>
      </c>
      <c r="AP534" s="13">
        <f>VLOOKUP(tblCleanData[[#This Row],[EmployeeNumber]],tblHelpers[],14,0)</f>
        <v>48</v>
      </c>
    </row>
    <row r="535" spans="1:42" x14ac:dyDescent="0.25">
      <c r="A535" s="13">
        <v>40</v>
      </c>
      <c r="B535" s="13" t="s">
        <v>59</v>
      </c>
      <c r="C535" s="13" t="s">
        <v>60</v>
      </c>
      <c r="D535" s="13">
        <v>580</v>
      </c>
      <c r="E535" s="13" t="s">
        <v>39</v>
      </c>
      <c r="F535" s="13">
        <v>5</v>
      </c>
      <c r="G535" s="13">
        <v>4</v>
      </c>
      <c r="H535" s="13" t="s">
        <v>42</v>
      </c>
      <c r="I535" s="13">
        <v>1</v>
      </c>
      <c r="J535" s="13">
        <v>729</v>
      </c>
      <c r="K535" s="13">
        <v>4</v>
      </c>
      <c r="L535" s="13" t="s">
        <v>63</v>
      </c>
      <c r="M535" s="13">
        <v>48</v>
      </c>
      <c r="N535" s="13">
        <v>2</v>
      </c>
      <c r="O535" s="13">
        <v>3</v>
      </c>
      <c r="P535" s="13" t="s">
        <v>46</v>
      </c>
      <c r="Q535" s="13">
        <v>1</v>
      </c>
      <c r="R535" s="13" t="s">
        <v>66</v>
      </c>
      <c r="S535" s="20">
        <v>10475</v>
      </c>
      <c r="T535" s="13">
        <v>23772</v>
      </c>
      <c r="U535" s="13">
        <v>5</v>
      </c>
      <c r="V535" s="13" t="s">
        <v>52</v>
      </c>
      <c r="W535" s="13" t="s">
        <v>36</v>
      </c>
      <c r="X535" s="13">
        <v>21</v>
      </c>
      <c r="Y535" s="13">
        <v>4</v>
      </c>
      <c r="Z535" s="13">
        <v>3</v>
      </c>
      <c r="AA535" s="13">
        <v>80</v>
      </c>
      <c r="AB535" s="13">
        <v>1</v>
      </c>
      <c r="AC535" s="13">
        <v>20</v>
      </c>
      <c r="AD535" s="13">
        <v>2</v>
      </c>
      <c r="AE535" s="13">
        <v>3</v>
      </c>
      <c r="AF535" s="14">
        <v>18</v>
      </c>
      <c r="AG535" s="13">
        <v>13</v>
      </c>
      <c r="AH535" s="13">
        <v>1</v>
      </c>
      <c r="AI535" s="13">
        <v>12</v>
      </c>
      <c r="AJ535" s="13" t="str">
        <f t="shared" si="8"/>
        <v>40-49</v>
      </c>
      <c r="AK535" s="13" t="str">
        <f>IF(tblCleanData[[#This Row],[MonthlyIncome]]&lt;5000, "Low Income", IF(tblCleanData[[#This Row],[MonthlyIncome]]&lt;15000, "Medium Income", "High Income"))</f>
        <v>Medium Income</v>
      </c>
      <c r="AL535" s="13">
        <f>IF(tblCleanData[[#This Row],[Attrition]]="No", 0,1)</f>
        <v>0</v>
      </c>
      <c r="AM535" s="13">
        <f>IF(tblCleanData[[#This Row],[OverTime]] = "No", 0, 1)</f>
        <v>1</v>
      </c>
      <c r="AN535" s="13" t="str">
        <f>CHOOSE(tblCleanData[[#This Row],[Education]], "Below College","College","Bachelor","Master","Doctor")</f>
        <v>Master</v>
      </c>
      <c r="AO535" s="13" t="str">
        <f>VLOOKUP(tblCleanData[[#This Row],[EmployeeNumber]],tblHelpers[],15,TRUE)</f>
        <v>High Risk</v>
      </c>
      <c r="AP535" s="13">
        <f>VLOOKUP(tblCleanData[[#This Row],[EmployeeNumber]],tblHelpers[],14,0)</f>
        <v>68</v>
      </c>
    </row>
    <row r="536" spans="1:42" x14ac:dyDescent="0.25">
      <c r="A536" s="13">
        <v>53</v>
      </c>
      <c r="B536" s="13" t="s">
        <v>59</v>
      </c>
      <c r="C536" s="13" t="s">
        <v>37</v>
      </c>
      <c r="D536" s="13">
        <v>970</v>
      </c>
      <c r="E536" s="13" t="s">
        <v>62</v>
      </c>
      <c r="F536" s="13">
        <v>7</v>
      </c>
      <c r="G536" s="13">
        <v>3</v>
      </c>
      <c r="H536" s="13" t="s">
        <v>42</v>
      </c>
      <c r="I536" s="13">
        <v>1</v>
      </c>
      <c r="J536" s="13">
        <v>730</v>
      </c>
      <c r="K536" s="13">
        <v>3</v>
      </c>
      <c r="L536" s="13" t="s">
        <v>63</v>
      </c>
      <c r="M536" s="13">
        <v>59</v>
      </c>
      <c r="N536" s="13">
        <v>4</v>
      </c>
      <c r="O536" s="13">
        <v>4</v>
      </c>
      <c r="P536" s="13" t="s">
        <v>186</v>
      </c>
      <c r="Q536" s="13">
        <v>3</v>
      </c>
      <c r="R536" s="13" t="s">
        <v>66</v>
      </c>
      <c r="S536" s="20">
        <v>14814</v>
      </c>
      <c r="T536" s="13">
        <v>13514</v>
      </c>
      <c r="U536" s="13">
        <v>3</v>
      </c>
      <c r="V536" s="13" t="s">
        <v>52</v>
      </c>
      <c r="W536" s="13" t="s">
        <v>59</v>
      </c>
      <c r="X536" s="13">
        <v>19</v>
      </c>
      <c r="Y536" s="13">
        <v>3</v>
      </c>
      <c r="Z536" s="13">
        <v>3</v>
      </c>
      <c r="AA536" s="13">
        <v>80</v>
      </c>
      <c r="AB536" s="13">
        <v>0</v>
      </c>
      <c r="AC536" s="13">
        <v>32</v>
      </c>
      <c r="AD536" s="13">
        <v>3</v>
      </c>
      <c r="AE536" s="13">
        <v>3</v>
      </c>
      <c r="AF536" s="14">
        <v>5</v>
      </c>
      <c r="AG536" s="13">
        <v>1</v>
      </c>
      <c r="AH536" s="13">
        <v>1</v>
      </c>
      <c r="AI536" s="13">
        <v>3</v>
      </c>
      <c r="AJ536" s="13" t="str">
        <f t="shared" si="8"/>
        <v>50+</v>
      </c>
      <c r="AK536" s="13" t="str">
        <f>IF(tblCleanData[[#This Row],[MonthlyIncome]]&lt;5000, "Low Income", IF(tblCleanData[[#This Row],[MonthlyIncome]]&lt;15000, "Medium Income", "High Income"))</f>
        <v>Medium Income</v>
      </c>
      <c r="AL536" s="13">
        <f>IF(tblCleanData[[#This Row],[Attrition]]="No", 0,1)</f>
        <v>0</v>
      </c>
      <c r="AM536" s="13">
        <f>IF(tblCleanData[[#This Row],[OverTime]] = "No", 0, 1)</f>
        <v>0</v>
      </c>
      <c r="AN536" s="13" t="str">
        <f>CHOOSE(tblCleanData[[#This Row],[Education]], "Below College","College","Bachelor","Master","Doctor")</f>
        <v>Bachelor</v>
      </c>
      <c r="AO536" s="13" t="str">
        <f>VLOOKUP(tblCleanData[[#This Row],[EmployeeNumber]],tblHelpers[],15,TRUE)</f>
        <v>Medium Risk</v>
      </c>
      <c r="AP536" s="13">
        <f>VLOOKUP(tblCleanData[[#This Row],[EmployeeNumber]],tblHelpers[],14,0)</f>
        <v>48</v>
      </c>
    </row>
    <row r="537" spans="1:42" x14ac:dyDescent="0.25">
      <c r="A537" s="13">
        <v>41</v>
      </c>
      <c r="B537" s="13" t="s">
        <v>59</v>
      </c>
      <c r="C537" s="13" t="s">
        <v>37</v>
      </c>
      <c r="D537" s="13">
        <v>427</v>
      </c>
      <c r="E537" s="13" t="s">
        <v>397</v>
      </c>
      <c r="F537" s="13">
        <v>10</v>
      </c>
      <c r="G537" s="13">
        <v>4</v>
      </c>
      <c r="H537" s="13" t="s">
        <v>397</v>
      </c>
      <c r="I537" s="13">
        <v>1</v>
      </c>
      <c r="J537" s="13">
        <v>731</v>
      </c>
      <c r="K537" s="13">
        <v>2</v>
      </c>
      <c r="L537" s="13" t="s">
        <v>63</v>
      </c>
      <c r="M537" s="13">
        <v>73</v>
      </c>
      <c r="N537" s="13">
        <v>2</v>
      </c>
      <c r="O537" s="13">
        <v>5</v>
      </c>
      <c r="P537" s="13" t="s">
        <v>169</v>
      </c>
      <c r="Q537" s="13">
        <v>4</v>
      </c>
      <c r="R537" s="13" t="s">
        <v>109</v>
      </c>
      <c r="S537" s="20">
        <v>19141</v>
      </c>
      <c r="T537" s="13">
        <v>8861</v>
      </c>
      <c r="U537" s="13">
        <v>3</v>
      </c>
      <c r="V537" s="13" t="s">
        <v>52</v>
      </c>
      <c r="W537" s="13" t="s">
        <v>59</v>
      </c>
      <c r="X537" s="13">
        <v>15</v>
      </c>
      <c r="Y537" s="13">
        <v>3</v>
      </c>
      <c r="Z537" s="13">
        <v>2</v>
      </c>
      <c r="AA537" s="13">
        <v>80</v>
      </c>
      <c r="AB537" s="13">
        <v>3</v>
      </c>
      <c r="AC537" s="13">
        <v>23</v>
      </c>
      <c r="AD537" s="13">
        <v>2</v>
      </c>
      <c r="AE537" s="13">
        <v>2</v>
      </c>
      <c r="AF537" s="14">
        <v>21</v>
      </c>
      <c r="AG537" s="13">
        <v>6</v>
      </c>
      <c r="AH537" s="13">
        <v>12</v>
      </c>
      <c r="AI537" s="13">
        <v>6</v>
      </c>
      <c r="AJ537" s="13" t="str">
        <f t="shared" si="8"/>
        <v>40-49</v>
      </c>
      <c r="AK537" s="13" t="str">
        <f>IF(tblCleanData[[#This Row],[MonthlyIncome]]&lt;5000, "Low Income", IF(tblCleanData[[#This Row],[MonthlyIncome]]&lt;15000, "Medium Income", "High Income"))</f>
        <v>High Income</v>
      </c>
      <c r="AL537" s="13">
        <f>IF(tblCleanData[[#This Row],[Attrition]]="No", 0,1)</f>
        <v>0</v>
      </c>
      <c r="AM537" s="13">
        <f>IF(tblCleanData[[#This Row],[OverTime]] = "No", 0, 1)</f>
        <v>0</v>
      </c>
      <c r="AN537" s="13" t="str">
        <f>CHOOSE(tblCleanData[[#This Row],[Education]], "Below College","College","Bachelor","Master","Doctor")</f>
        <v>Master</v>
      </c>
      <c r="AO537" s="13" t="str">
        <f>VLOOKUP(tblCleanData[[#This Row],[EmployeeNumber]],tblHelpers[],15,TRUE)</f>
        <v>Low Risk</v>
      </c>
      <c r="AP537" s="13">
        <f>VLOOKUP(tblCleanData[[#This Row],[EmployeeNumber]],tblHelpers[],14,0)</f>
        <v>24</v>
      </c>
    </row>
    <row r="538" spans="1:42" x14ac:dyDescent="0.25">
      <c r="A538" s="13">
        <v>60</v>
      </c>
      <c r="B538" s="13" t="s">
        <v>59</v>
      </c>
      <c r="C538" s="13" t="s">
        <v>37</v>
      </c>
      <c r="D538" s="13">
        <v>1179</v>
      </c>
      <c r="E538" s="13" t="s">
        <v>39</v>
      </c>
      <c r="F538" s="13">
        <v>16</v>
      </c>
      <c r="G538" s="13">
        <v>4</v>
      </c>
      <c r="H538" s="13" t="s">
        <v>206</v>
      </c>
      <c r="I538" s="13">
        <v>1</v>
      </c>
      <c r="J538" s="13">
        <v>732</v>
      </c>
      <c r="K538" s="13">
        <v>1</v>
      </c>
      <c r="L538" s="13" t="s">
        <v>63</v>
      </c>
      <c r="M538" s="13">
        <v>84</v>
      </c>
      <c r="N538" s="13">
        <v>3</v>
      </c>
      <c r="O538" s="13">
        <v>2</v>
      </c>
      <c r="P538" s="13" t="s">
        <v>46</v>
      </c>
      <c r="Q538" s="13">
        <v>1</v>
      </c>
      <c r="R538" s="13" t="s">
        <v>48</v>
      </c>
      <c r="S538" s="20">
        <v>5405</v>
      </c>
      <c r="T538" s="13">
        <v>11924</v>
      </c>
      <c r="U538" s="13">
        <v>8</v>
      </c>
      <c r="V538" s="13" t="s">
        <v>52</v>
      </c>
      <c r="W538" s="13" t="s">
        <v>59</v>
      </c>
      <c r="X538" s="13">
        <v>14</v>
      </c>
      <c r="Y538" s="13">
        <v>3</v>
      </c>
      <c r="Z538" s="13">
        <v>4</v>
      </c>
      <c r="AA538" s="13">
        <v>80</v>
      </c>
      <c r="AB538" s="13">
        <v>0</v>
      </c>
      <c r="AC538" s="13">
        <v>10</v>
      </c>
      <c r="AD538" s="13">
        <v>1</v>
      </c>
      <c r="AE538" s="13">
        <v>3</v>
      </c>
      <c r="AF538" s="14">
        <v>2</v>
      </c>
      <c r="AG538" s="13">
        <v>2</v>
      </c>
      <c r="AH538" s="13">
        <v>2</v>
      </c>
      <c r="AI538" s="13">
        <v>2</v>
      </c>
      <c r="AJ538" s="13" t="str">
        <f t="shared" si="8"/>
        <v>50+</v>
      </c>
      <c r="AK538" s="13" t="str">
        <f>IF(tblCleanData[[#This Row],[MonthlyIncome]]&lt;5000, "Low Income", IF(tblCleanData[[#This Row],[MonthlyIncome]]&lt;15000, "Medium Income", "High Income"))</f>
        <v>Medium Income</v>
      </c>
      <c r="AL538" s="13">
        <f>IF(tblCleanData[[#This Row],[Attrition]]="No", 0,1)</f>
        <v>0</v>
      </c>
      <c r="AM538" s="13">
        <f>IF(tblCleanData[[#This Row],[OverTime]] = "No", 0, 1)</f>
        <v>0</v>
      </c>
      <c r="AN538" s="13" t="str">
        <f>CHOOSE(tblCleanData[[#This Row],[Education]], "Below College","College","Bachelor","Master","Doctor")</f>
        <v>Master</v>
      </c>
      <c r="AO538" s="13" t="str">
        <f>VLOOKUP(tblCleanData[[#This Row],[EmployeeNumber]],tblHelpers[],15,TRUE)</f>
        <v>High Risk</v>
      </c>
      <c r="AP538" s="13">
        <f>VLOOKUP(tblCleanData[[#This Row],[EmployeeNumber]],tblHelpers[],14,0)</f>
        <v>70</v>
      </c>
    </row>
    <row r="539" spans="1:42" x14ac:dyDescent="0.25">
      <c r="A539" s="13">
        <v>27</v>
      </c>
      <c r="B539" s="13" t="s">
        <v>59</v>
      </c>
      <c r="C539" s="13" t="s">
        <v>60</v>
      </c>
      <c r="D539" s="13">
        <v>294</v>
      </c>
      <c r="E539" s="13" t="s">
        <v>62</v>
      </c>
      <c r="F539" s="13">
        <v>10</v>
      </c>
      <c r="G539" s="13">
        <v>2</v>
      </c>
      <c r="H539" s="13" t="s">
        <v>42</v>
      </c>
      <c r="I539" s="13">
        <v>1</v>
      </c>
      <c r="J539" s="13">
        <v>733</v>
      </c>
      <c r="K539" s="13">
        <v>4</v>
      </c>
      <c r="L539" s="13" t="s">
        <v>63</v>
      </c>
      <c r="M539" s="13">
        <v>32</v>
      </c>
      <c r="N539" s="13">
        <v>3</v>
      </c>
      <c r="O539" s="13">
        <v>3</v>
      </c>
      <c r="P539" s="13" t="s">
        <v>116</v>
      </c>
      <c r="Q539" s="13">
        <v>1</v>
      </c>
      <c r="R539" s="13" t="s">
        <v>109</v>
      </c>
      <c r="S539" s="20">
        <v>8793</v>
      </c>
      <c r="T539" s="13">
        <v>4809</v>
      </c>
      <c r="U539" s="13">
        <v>1</v>
      </c>
      <c r="V539" s="13" t="s">
        <v>52</v>
      </c>
      <c r="W539" s="13" t="s">
        <v>59</v>
      </c>
      <c r="X539" s="13">
        <v>21</v>
      </c>
      <c r="Y539" s="13">
        <v>4</v>
      </c>
      <c r="Z539" s="13">
        <v>3</v>
      </c>
      <c r="AA539" s="13">
        <v>80</v>
      </c>
      <c r="AB539" s="13">
        <v>2</v>
      </c>
      <c r="AC539" s="13">
        <v>9</v>
      </c>
      <c r="AD539" s="13">
        <v>4</v>
      </c>
      <c r="AE539" s="13">
        <v>2</v>
      </c>
      <c r="AF539" s="14">
        <v>9</v>
      </c>
      <c r="AG539" s="13">
        <v>7</v>
      </c>
      <c r="AH539" s="13">
        <v>1</v>
      </c>
      <c r="AI539" s="13">
        <v>7</v>
      </c>
      <c r="AJ539" s="13" t="str">
        <f t="shared" si="8"/>
        <v>Under 30</v>
      </c>
      <c r="AK539" s="13" t="str">
        <f>IF(tblCleanData[[#This Row],[MonthlyIncome]]&lt;5000, "Low Income", IF(tblCleanData[[#This Row],[MonthlyIncome]]&lt;15000, "Medium Income", "High Income"))</f>
        <v>Medium Income</v>
      </c>
      <c r="AL539" s="13">
        <f>IF(tblCleanData[[#This Row],[Attrition]]="No", 0,1)</f>
        <v>0</v>
      </c>
      <c r="AM539" s="13">
        <f>IF(tblCleanData[[#This Row],[OverTime]] = "No", 0, 1)</f>
        <v>0</v>
      </c>
      <c r="AN539" s="13" t="str">
        <f>CHOOSE(tblCleanData[[#This Row],[Education]], "Below College","College","Bachelor","Master","Doctor")</f>
        <v>College</v>
      </c>
      <c r="AO539" s="13" t="str">
        <f>VLOOKUP(tblCleanData[[#This Row],[EmployeeNumber]],tblHelpers[],15,TRUE)</f>
        <v>High Risk</v>
      </c>
      <c r="AP539" s="13">
        <f>VLOOKUP(tblCleanData[[#This Row],[EmployeeNumber]],tblHelpers[],14,0)</f>
        <v>68</v>
      </c>
    </row>
    <row r="540" spans="1:42" x14ac:dyDescent="0.25">
      <c r="A540" s="13">
        <v>41</v>
      </c>
      <c r="B540" s="13" t="s">
        <v>59</v>
      </c>
      <c r="C540" s="13" t="s">
        <v>37</v>
      </c>
      <c r="D540" s="13">
        <v>314</v>
      </c>
      <c r="E540" s="13" t="s">
        <v>397</v>
      </c>
      <c r="F540" s="13">
        <v>1</v>
      </c>
      <c r="G540" s="13">
        <v>3</v>
      </c>
      <c r="H540" s="13" t="s">
        <v>397</v>
      </c>
      <c r="I540" s="13">
        <v>1</v>
      </c>
      <c r="J540" s="13">
        <v>734</v>
      </c>
      <c r="K540" s="13">
        <v>4</v>
      </c>
      <c r="L540" s="13" t="s">
        <v>63</v>
      </c>
      <c r="M540" s="13">
        <v>59</v>
      </c>
      <c r="N540" s="13">
        <v>2</v>
      </c>
      <c r="O540" s="13">
        <v>5</v>
      </c>
      <c r="P540" s="13" t="s">
        <v>169</v>
      </c>
      <c r="Q540" s="13">
        <v>3</v>
      </c>
      <c r="R540" s="13" t="s">
        <v>66</v>
      </c>
      <c r="S540" s="20">
        <v>19189</v>
      </c>
      <c r="T540" s="13">
        <v>19562</v>
      </c>
      <c r="U540" s="13">
        <v>1</v>
      </c>
      <c r="V540" s="13" t="s">
        <v>52</v>
      </c>
      <c r="W540" s="13" t="s">
        <v>59</v>
      </c>
      <c r="X540" s="13">
        <v>12</v>
      </c>
      <c r="Y540" s="13">
        <v>3</v>
      </c>
      <c r="Z540" s="13">
        <v>2</v>
      </c>
      <c r="AA540" s="13">
        <v>80</v>
      </c>
      <c r="AB540" s="13">
        <v>1</v>
      </c>
      <c r="AC540" s="13">
        <v>22</v>
      </c>
      <c r="AD540" s="13">
        <v>3</v>
      </c>
      <c r="AE540" s="13">
        <v>3</v>
      </c>
      <c r="AF540" s="14">
        <v>22</v>
      </c>
      <c r="AG540" s="13">
        <v>7</v>
      </c>
      <c r="AH540" s="13">
        <v>2</v>
      </c>
      <c r="AI540" s="13">
        <v>10</v>
      </c>
      <c r="AJ540" s="13" t="str">
        <f t="shared" si="8"/>
        <v>40-49</v>
      </c>
      <c r="AK540" s="13" t="str">
        <f>IF(tblCleanData[[#This Row],[MonthlyIncome]]&lt;5000, "Low Income", IF(tblCleanData[[#This Row],[MonthlyIncome]]&lt;15000, "Medium Income", "High Income"))</f>
        <v>High Income</v>
      </c>
      <c r="AL540" s="13">
        <f>IF(tblCleanData[[#This Row],[Attrition]]="No", 0,1)</f>
        <v>0</v>
      </c>
      <c r="AM540" s="13">
        <f>IF(tblCleanData[[#This Row],[OverTime]] = "No", 0, 1)</f>
        <v>0</v>
      </c>
      <c r="AN540" s="13" t="str">
        <f>CHOOSE(tblCleanData[[#This Row],[Education]], "Below College","College","Bachelor","Master","Doctor")</f>
        <v>Bachelor</v>
      </c>
      <c r="AO540" s="13" t="str">
        <f>VLOOKUP(tblCleanData[[#This Row],[EmployeeNumber]],tblHelpers[],15,TRUE)</f>
        <v>Low Risk</v>
      </c>
      <c r="AP540" s="13">
        <f>VLOOKUP(tblCleanData[[#This Row],[EmployeeNumber]],tblHelpers[],14,0)</f>
        <v>31</v>
      </c>
    </row>
    <row r="541" spans="1:42" x14ac:dyDescent="0.25">
      <c r="A541" s="13">
        <v>50</v>
      </c>
      <c r="B541" s="13" t="s">
        <v>59</v>
      </c>
      <c r="C541" s="13" t="s">
        <v>37</v>
      </c>
      <c r="D541" s="13">
        <v>316</v>
      </c>
      <c r="E541" s="13" t="s">
        <v>39</v>
      </c>
      <c r="F541" s="13">
        <v>8</v>
      </c>
      <c r="G541" s="13">
        <v>4</v>
      </c>
      <c r="H541" s="13" t="s">
        <v>206</v>
      </c>
      <c r="I541" s="13">
        <v>1</v>
      </c>
      <c r="J541" s="13">
        <v>738</v>
      </c>
      <c r="K541" s="13">
        <v>4</v>
      </c>
      <c r="L541" s="13" t="s">
        <v>63</v>
      </c>
      <c r="M541" s="13">
        <v>54</v>
      </c>
      <c r="N541" s="13">
        <v>3</v>
      </c>
      <c r="O541" s="13">
        <v>1</v>
      </c>
      <c r="P541" s="13" t="s">
        <v>182</v>
      </c>
      <c r="Q541" s="13">
        <v>2</v>
      </c>
      <c r="R541" s="13" t="s">
        <v>66</v>
      </c>
      <c r="S541" s="20">
        <v>3875</v>
      </c>
      <c r="T541" s="13">
        <v>9983</v>
      </c>
      <c r="U541" s="13">
        <v>7</v>
      </c>
      <c r="V541" s="13" t="s">
        <v>52</v>
      </c>
      <c r="W541" s="13" t="s">
        <v>59</v>
      </c>
      <c r="X541" s="13">
        <v>15</v>
      </c>
      <c r="Y541" s="13">
        <v>3</v>
      </c>
      <c r="Z541" s="13">
        <v>4</v>
      </c>
      <c r="AA541" s="13">
        <v>80</v>
      </c>
      <c r="AB541" s="13">
        <v>1</v>
      </c>
      <c r="AC541" s="13">
        <v>4</v>
      </c>
      <c r="AD541" s="13">
        <v>2</v>
      </c>
      <c r="AE541" s="13">
        <v>3</v>
      </c>
      <c r="AF541" s="14">
        <v>2</v>
      </c>
      <c r="AG541" s="13">
        <v>2</v>
      </c>
      <c r="AH541" s="13">
        <v>2</v>
      </c>
      <c r="AI541" s="13">
        <v>2</v>
      </c>
      <c r="AJ541" s="13" t="str">
        <f t="shared" si="8"/>
        <v>50+</v>
      </c>
      <c r="AK541" s="13" t="str">
        <f>IF(tblCleanData[[#This Row],[MonthlyIncome]]&lt;5000, "Low Income", IF(tblCleanData[[#This Row],[MonthlyIncome]]&lt;15000, "Medium Income", "High Income"))</f>
        <v>Low Income</v>
      </c>
      <c r="AL541" s="13">
        <f>IF(tblCleanData[[#This Row],[Attrition]]="No", 0,1)</f>
        <v>0</v>
      </c>
      <c r="AM541" s="13">
        <f>IF(tblCleanData[[#This Row],[OverTime]] = "No", 0, 1)</f>
        <v>0</v>
      </c>
      <c r="AN541" s="13" t="str">
        <f>CHOOSE(tblCleanData[[#This Row],[Education]], "Below College","College","Bachelor","Master","Doctor")</f>
        <v>Master</v>
      </c>
      <c r="AO541" s="13" t="str">
        <f>VLOOKUP(tblCleanData[[#This Row],[EmployeeNumber]],tblHelpers[],15,TRUE)</f>
        <v>High Risk</v>
      </c>
      <c r="AP541" s="13">
        <f>VLOOKUP(tblCleanData[[#This Row],[EmployeeNumber]],tblHelpers[],14,0)</f>
        <v>64</v>
      </c>
    </row>
    <row r="542" spans="1:42" x14ac:dyDescent="0.25">
      <c r="A542" s="13">
        <v>28</v>
      </c>
      <c r="B542" s="13" t="s">
        <v>36</v>
      </c>
      <c r="C542" s="13" t="s">
        <v>37</v>
      </c>
      <c r="D542" s="13">
        <v>654</v>
      </c>
      <c r="E542" s="13" t="s">
        <v>62</v>
      </c>
      <c r="F542" s="13">
        <v>1</v>
      </c>
      <c r="G542" s="13">
        <v>2</v>
      </c>
      <c r="H542" s="13" t="s">
        <v>42</v>
      </c>
      <c r="I542" s="13">
        <v>1</v>
      </c>
      <c r="J542" s="13">
        <v>741</v>
      </c>
      <c r="K542" s="13">
        <v>1</v>
      </c>
      <c r="L542" s="13" t="s">
        <v>43</v>
      </c>
      <c r="M542" s="13">
        <v>67</v>
      </c>
      <c r="N542" s="13">
        <v>1</v>
      </c>
      <c r="O542" s="13">
        <v>1</v>
      </c>
      <c r="P542" s="13" t="s">
        <v>65</v>
      </c>
      <c r="Q542" s="13">
        <v>2</v>
      </c>
      <c r="R542" s="13" t="s">
        <v>48</v>
      </c>
      <c r="S542" s="20">
        <v>2216</v>
      </c>
      <c r="T542" s="13">
        <v>3872</v>
      </c>
      <c r="U542" s="13">
        <v>7</v>
      </c>
      <c r="V542" s="13" t="s">
        <v>52</v>
      </c>
      <c r="W542" s="13" t="s">
        <v>36</v>
      </c>
      <c r="X542" s="13">
        <v>13</v>
      </c>
      <c r="Y542" s="13">
        <v>3</v>
      </c>
      <c r="Z542" s="13">
        <v>4</v>
      </c>
      <c r="AA542" s="13">
        <v>80</v>
      </c>
      <c r="AB542" s="13">
        <v>0</v>
      </c>
      <c r="AC542" s="13">
        <v>10</v>
      </c>
      <c r="AD542" s="13">
        <v>4</v>
      </c>
      <c r="AE542" s="13">
        <v>3</v>
      </c>
      <c r="AF542" s="14">
        <v>7</v>
      </c>
      <c r="AG542" s="13">
        <v>7</v>
      </c>
      <c r="AH542" s="13">
        <v>3</v>
      </c>
      <c r="AI542" s="13">
        <v>7</v>
      </c>
      <c r="AJ542" s="13" t="str">
        <f t="shared" si="8"/>
        <v>Under 30</v>
      </c>
      <c r="AK542" s="13" t="str">
        <f>IF(tblCleanData[[#This Row],[MonthlyIncome]]&lt;5000, "Low Income", IF(tblCleanData[[#This Row],[MonthlyIncome]]&lt;15000, "Medium Income", "High Income"))</f>
        <v>Low Income</v>
      </c>
      <c r="AL542" s="13">
        <f>IF(tblCleanData[[#This Row],[Attrition]]="No", 0,1)</f>
        <v>1</v>
      </c>
      <c r="AM542" s="13">
        <f>IF(tblCleanData[[#This Row],[OverTime]] = "No", 0, 1)</f>
        <v>1</v>
      </c>
      <c r="AN542" s="13" t="str">
        <f>CHOOSE(tblCleanData[[#This Row],[Education]], "Below College","College","Bachelor","Master","Doctor")</f>
        <v>College</v>
      </c>
      <c r="AO542" s="13" t="str">
        <f>VLOOKUP(tblCleanData[[#This Row],[EmployeeNumber]],tblHelpers[],15,TRUE)</f>
        <v>High Risk</v>
      </c>
      <c r="AP542" s="13">
        <f>VLOOKUP(tblCleanData[[#This Row],[EmployeeNumber]],tblHelpers[],14,0)</f>
        <v>87</v>
      </c>
    </row>
    <row r="543" spans="1:42" x14ac:dyDescent="0.25">
      <c r="A543" s="13">
        <v>36</v>
      </c>
      <c r="B543" s="13" t="s">
        <v>59</v>
      </c>
      <c r="C543" s="13" t="s">
        <v>161</v>
      </c>
      <c r="D543" s="13">
        <v>427</v>
      </c>
      <c r="E543" s="13" t="s">
        <v>62</v>
      </c>
      <c r="F543" s="13">
        <v>8</v>
      </c>
      <c r="G543" s="13">
        <v>3</v>
      </c>
      <c r="H543" s="13" t="s">
        <v>42</v>
      </c>
      <c r="I543" s="13">
        <v>1</v>
      </c>
      <c r="J543" s="13">
        <v>742</v>
      </c>
      <c r="K543" s="13">
        <v>1</v>
      </c>
      <c r="L543" s="13" t="s">
        <v>43</v>
      </c>
      <c r="M543" s="13">
        <v>63</v>
      </c>
      <c r="N543" s="13">
        <v>4</v>
      </c>
      <c r="O543" s="13">
        <v>3</v>
      </c>
      <c r="P543" s="13" t="s">
        <v>186</v>
      </c>
      <c r="Q543" s="13">
        <v>1</v>
      </c>
      <c r="R543" s="13" t="s">
        <v>66</v>
      </c>
      <c r="S543" s="20">
        <v>11713</v>
      </c>
      <c r="T543" s="13">
        <v>20335</v>
      </c>
      <c r="U543" s="13">
        <v>9</v>
      </c>
      <c r="V543" s="13" t="s">
        <v>52</v>
      </c>
      <c r="W543" s="13" t="s">
        <v>59</v>
      </c>
      <c r="X543" s="13">
        <v>14</v>
      </c>
      <c r="Y543" s="13">
        <v>3</v>
      </c>
      <c r="Z543" s="13">
        <v>1</v>
      </c>
      <c r="AA543" s="13">
        <v>80</v>
      </c>
      <c r="AB543" s="13">
        <v>1</v>
      </c>
      <c r="AC543" s="13">
        <v>10</v>
      </c>
      <c r="AD543" s="13">
        <v>2</v>
      </c>
      <c r="AE543" s="13">
        <v>3</v>
      </c>
      <c r="AF543" s="14">
        <v>8</v>
      </c>
      <c r="AG543" s="13">
        <v>7</v>
      </c>
      <c r="AH543" s="13">
        <v>0</v>
      </c>
      <c r="AI543" s="13">
        <v>5</v>
      </c>
      <c r="AJ543" s="13" t="str">
        <f t="shared" si="8"/>
        <v>30-39</v>
      </c>
      <c r="AK543" s="13" t="str">
        <f>IF(tblCleanData[[#This Row],[MonthlyIncome]]&lt;5000, "Low Income", IF(tblCleanData[[#This Row],[MonthlyIncome]]&lt;15000, "Medium Income", "High Income"))</f>
        <v>Medium Income</v>
      </c>
      <c r="AL543" s="13">
        <f>IF(tblCleanData[[#This Row],[Attrition]]="No", 0,1)</f>
        <v>0</v>
      </c>
      <c r="AM543" s="13">
        <f>IF(tblCleanData[[#This Row],[OverTime]] = "No", 0, 1)</f>
        <v>0</v>
      </c>
      <c r="AN543" s="13" t="str">
        <f>CHOOSE(tblCleanData[[#This Row],[Education]], "Below College","College","Bachelor","Master","Doctor")</f>
        <v>Bachelor</v>
      </c>
      <c r="AO543" s="13" t="str">
        <f>VLOOKUP(tblCleanData[[#This Row],[EmployeeNumber]],tblHelpers[],15,TRUE)</f>
        <v>High Risk</v>
      </c>
      <c r="AP543" s="13">
        <f>VLOOKUP(tblCleanData[[#This Row],[EmployeeNumber]],tblHelpers[],14,0)</f>
        <v>58</v>
      </c>
    </row>
    <row r="544" spans="1:42" x14ac:dyDescent="0.25">
      <c r="A544" s="13">
        <v>38</v>
      </c>
      <c r="B544" s="13" t="s">
        <v>59</v>
      </c>
      <c r="C544" s="13" t="s">
        <v>37</v>
      </c>
      <c r="D544" s="13">
        <v>168</v>
      </c>
      <c r="E544" s="13" t="s">
        <v>62</v>
      </c>
      <c r="F544" s="13">
        <v>1</v>
      </c>
      <c r="G544" s="13">
        <v>3</v>
      </c>
      <c r="H544" s="13" t="s">
        <v>42</v>
      </c>
      <c r="I544" s="13">
        <v>1</v>
      </c>
      <c r="J544" s="13">
        <v>743</v>
      </c>
      <c r="K544" s="13">
        <v>3</v>
      </c>
      <c r="L544" s="13" t="s">
        <v>43</v>
      </c>
      <c r="M544" s="13">
        <v>81</v>
      </c>
      <c r="N544" s="13">
        <v>3</v>
      </c>
      <c r="O544" s="13">
        <v>3</v>
      </c>
      <c r="P544" s="13" t="s">
        <v>116</v>
      </c>
      <c r="Q544" s="13">
        <v>3</v>
      </c>
      <c r="R544" s="13" t="s">
        <v>48</v>
      </c>
      <c r="S544" s="20">
        <v>7861</v>
      </c>
      <c r="T544" s="13">
        <v>15397</v>
      </c>
      <c r="U544" s="13">
        <v>4</v>
      </c>
      <c r="V544" s="13" t="s">
        <v>52</v>
      </c>
      <c r="W544" s="13" t="s">
        <v>36</v>
      </c>
      <c r="X544" s="13">
        <v>14</v>
      </c>
      <c r="Y544" s="13">
        <v>3</v>
      </c>
      <c r="Z544" s="13">
        <v>4</v>
      </c>
      <c r="AA544" s="13">
        <v>80</v>
      </c>
      <c r="AB544" s="13">
        <v>0</v>
      </c>
      <c r="AC544" s="13">
        <v>10</v>
      </c>
      <c r="AD544" s="13">
        <v>4</v>
      </c>
      <c r="AE544" s="13">
        <v>4</v>
      </c>
      <c r="AF544" s="14">
        <v>1</v>
      </c>
      <c r="AG544" s="13">
        <v>0</v>
      </c>
      <c r="AH544" s="13">
        <v>0</v>
      </c>
      <c r="AI544" s="13">
        <v>0</v>
      </c>
      <c r="AJ544" s="13" t="str">
        <f t="shared" si="8"/>
        <v>30-39</v>
      </c>
      <c r="AK544" s="13" t="str">
        <f>IF(tblCleanData[[#This Row],[MonthlyIncome]]&lt;5000, "Low Income", IF(tblCleanData[[#This Row],[MonthlyIncome]]&lt;15000, "Medium Income", "High Income"))</f>
        <v>Medium Income</v>
      </c>
      <c r="AL544" s="13">
        <f>IF(tblCleanData[[#This Row],[Attrition]]="No", 0,1)</f>
        <v>0</v>
      </c>
      <c r="AM544" s="13">
        <f>IF(tblCleanData[[#This Row],[OverTime]] = "No", 0, 1)</f>
        <v>1</v>
      </c>
      <c r="AN544" s="13" t="str">
        <f>CHOOSE(tblCleanData[[#This Row],[Education]], "Below College","College","Bachelor","Master","Doctor")</f>
        <v>Bachelor</v>
      </c>
      <c r="AO544" s="13" t="str">
        <f>VLOOKUP(tblCleanData[[#This Row],[EmployeeNumber]],tblHelpers[],15,TRUE)</f>
        <v>High Risk</v>
      </c>
      <c r="AP544" s="13">
        <f>VLOOKUP(tblCleanData[[#This Row],[EmployeeNumber]],tblHelpers[],14,0)</f>
        <v>88</v>
      </c>
    </row>
    <row r="545" spans="1:42" x14ac:dyDescent="0.25">
      <c r="A545" s="13">
        <v>44</v>
      </c>
      <c r="B545" s="13" t="s">
        <v>59</v>
      </c>
      <c r="C545" s="13" t="s">
        <v>161</v>
      </c>
      <c r="D545" s="13">
        <v>381</v>
      </c>
      <c r="E545" s="13" t="s">
        <v>62</v>
      </c>
      <c r="F545" s="13">
        <v>24</v>
      </c>
      <c r="G545" s="13">
        <v>3</v>
      </c>
      <c r="H545" s="13" t="s">
        <v>87</v>
      </c>
      <c r="I545" s="13">
        <v>1</v>
      </c>
      <c r="J545" s="13">
        <v>744</v>
      </c>
      <c r="K545" s="13">
        <v>1</v>
      </c>
      <c r="L545" s="13" t="s">
        <v>63</v>
      </c>
      <c r="M545" s="13">
        <v>49</v>
      </c>
      <c r="N545" s="13">
        <v>1</v>
      </c>
      <c r="O545" s="13">
        <v>1</v>
      </c>
      <c r="P545" s="13" t="s">
        <v>76</v>
      </c>
      <c r="Q545" s="13">
        <v>3</v>
      </c>
      <c r="R545" s="13" t="s">
        <v>48</v>
      </c>
      <c r="S545" s="20">
        <v>3708</v>
      </c>
      <c r="T545" s="13">
        <v>2104</v>
      </c>
      <c r="U545" s="13">
        <v>2</v>
      </c>
      <c r="V545" s="13" t="s">
        <v>52</v>
      </c>
      <c r="W545" s="13" t="s">
        <v>59</v>
      </c>
      <c r="X545" s="13">
        <v>14</v>
      </c>
      <c r="Y545" s="13">
        <v>3</v>
      </c>
      <c r="Z545" s="13">
        <v>3</v>
      </c>
      <c r="AA545" s="13">
        <v>80</v>
      </c>
      <c r="AB545" s="13">
        <v>0</v>
      </c>
      <c r="AC545" s="13">
        <v>9</v>
      </c>
      <c r="AD545" s="13">
        <v>5</v>
      </c>
      <c r="AE545" s="13">
        <v>3</v>
      </c>
      <c r="AF545" s="14">
        <v>5</v>
      </c>
      <c r="AG545" s="13">
        <v>2</v>
      </c>
      <c r="AH545" s="13">
        <v>1</v>
      </c>
      <c r="AI545" s="13">
        <v>4</v>
      </c>
      <c r="AJ545" s="13" t="str">
        <f t="shared" si="8"/>
        <v>40-49</v>
      </c>
      <c r="AK545" s="13" t="str">
        <f>IF(tblCleanData[[#This Row],[MonthlyIncome]]&lt;5000, "Low Income", IF(tblCleanData[[#This Row],[MonthlyIncome]]&lt;15000, "Medium Income", "High Income"))</f>
        <v>Low Income</v>
      </c>
      <c r="AL545" s="13">
        <f>IF(tblCleanData[[#This Row],[Attrition]]="No", 0,1)</f>
        <v>0</v>
      </c>
      <c r="AM545" s="13">
        <f>IF(tblCleanData[[#This Row],[OverTime]] = "No", 0, 1)</f>
        <v>0</v>
      </c>
      <c r="AN545" s="13" t="str">
        <f>CHOOSE(tblCleanData[[#This Row],[Education]], "Below College","College","Bachelor","Master","Doctor")</f>
        <v>Bachelor</v>
      </c>
      <c r="AO545" s="13" t="str">
        <f>VLOOKUP(tblCleanData[[#This Row],[EmployeeNumber]],tblHelpers[],15,TRUE)</f>
        <v>Medium Risk</v>
      </c>
      <c r="AP545" s="13">
        <f>VLOOKUP(tblCleanData[[#This Row],[EmployeeNumber]],tblHelpers[],14,0)</f>
        <v>43</v>
      </c>
    </row>
    <row r="546" spans="1:42" x14ac:dyDescent="0.25">
      <c r="A546" s="13">
        <v>47</v>
      </c>
      <c r="B546" s="13" t="s">
        <v>59</v>
      </c>
      <c r="C546" s="13" t="s">
        <v>60</v>
      </c>
      <c r="D546" s="13">
        <v>217</v>
      </c>
      <c r="E546" s="13" t="s">
        <v>39</v>
      </c>
      <c r="F546" s="13">
        <v>3</v>
      </c>
      <c r="G546" s="13">
        <v>3</v>
      </c>
      <c r="H546" s="13" t="s">
        <v>87</v>
      </c>
      <c r="I546" s="13">
        <v>1</v>
      </c>
      <c r="J546" s="13">
        <v>746</v>
      </c>
      <c r="K546" s="13">
        <v>4</v>
      </c>
      <c r="L546" s="13" t="s">
        <v>43</v>
      </c>
      <c r="M546" s="13">
        <v>49</v>
      </c>
      <c r="N546" s="13">
        <v>3</v>
      </c>
      <c r="O546" s="13">
        <v>4</v>
      </c>
      <c r="P546" s="13" t="s">
        <v>46</v>
      </c>
      <c r="Q546" s="13">
        <v>3</v>
      </c>
      <c r="R546" s="13" t="s">
        <v>109</v>
      </c>
      <c r="S546" s="20">
        <v>13770</v>
      </c>
      <c r="T546" s="13">
        <v>10225</v>
      </c>
      <c r="U546" s="13">
        <v>9</v>
      </c>
      <c r="V546" s="13" t="s">
        <v>52</v>
      </c>
      <c r="W546" s="13" t="s">
        <v>36</v>
      </c>
      <c r="X546" s="13">
        <v>12</v>
      </c>
      <c r="Y546" s="13">
        <v>3</v>
      </c>
      <c r="Z546" s="13">
        <v>4</v>
      </c>
      <c r="AA546" s="13">
        <v>80</v>
      </c>
      <c r="AB546" s="13">
        <v>2</v>
      </c>
      <c r="AC546" s="13">
        <v>28</v>
      </c>
      <c r="AD546" s="13">
        <v>2</v>
      </c>
      <c r="AE546" s="13">
        <v>2</v>
      </c>
      <c r="AF546" s="14">
        <v>22</v>
      </c>
      <c r="AG546" s="13">
        <v>2</v>
      </c>
      <c r="AH546" s="13">
        <v>11</v>
      </c>
      <c r="AI546" s="13">
        <v>13</v>
      </c>
      <c r="AJ546" s="13" t="str">
        <f t="shared" si="8"/>
        <v>40-49</v>
      </c>
      <c r="AK546" s="13" t="str">
        <f>IF(tblCleanData[[#This Row],[MonthlyIncome]]&lt;5000, "Low Income", IF(tblCleanData[[#This Row],[MonthlyIncome]]&lt;15000, "Medium Income", "High Income"))</f>
        <v>Medium Income</v>
      </c>
      <c r="AL546" s="13">
        <f>IF(tblCleanData[[#This Row],[Attrition]]="No", 0,1)</f>
        <v>0</v>
      </c>
      <c r="AM546" s="13">
        <f>IF(tblCleanData[[#This Row],[OverTime]] = "No", 0, 1)</f>
        <v>1</v>
      </c>
      <c r="AN546" s="13" t="str">
        <f>CHOOSE(tblCleanData[[#This Row],[Education]], "Below College","College","Bachelor","Master","Doctor")</f>
        <v>Bachelor</v>
      </c>
      <c r="AO546" s="13" t="str">
        <f>VLOOKUP(tblCleanData[[#This Row],[EmployeeNumber]],tblHelpers[],15,TRUE)</f>
        <v>High Risk</v>
      </c>
      <c r="AP546" s="13">
        <f>VLOOKUP(tblCleanData[[#This Row],[EmployeeNumber]],tblHelpers[],14,0)</f>
        <v>56</v>
      </c>
    </row>
    <row r="547" spans="1:42" x14ac:dyDescent="0.25">
      <c r="A547" s="13">
        <v>30</v>
      </c>
      <c r="B547" s="13" t="s">
        <v>59</v>
      </c>
      <c r="C547" s="13" t="s">
        <v>37</v>
      </c>
      <c r="D547" s="13">
        <v>501</v>
      </c>
      <c r="E547" s="13" t="s">
        <v>39</v>
      </c>
      <c r="F547" s="13">
        <v>27</v>
      </c>
      <c r="G547" s="13">
        <v>5</v>
      </c>
      <c r="H547" s="13" t="s">
        <v>206</v>
      </c>
      <c r="I547" s="13">
        <v>1</v>
      </c>
      <c r="J547" s="13">
        <v>747</v>
      </c>
      <c r="K547" s="13">
        <v>3</v>
      </c>
      <c r="L547" s="13" t="s">
        <v>63</v>
      </c>
      <c r="M547" s="13">
        <v>99</v>
      </c>
      <c r="N547" s="13">
        <v>3</v>
      </c>
      <c r="O547" s="13">
        <v>2</v>
      </c>
      <c r="P547" s="13" t="s">
        <v>46</v>
      </c>
      <c r="Q547" s="13">
        <v>4</v>
      </c>
      <c r="R547" s="13" t="s">
        <v>109</v>
      </c>
      <c r="S547" s="20">
        <v>5304</v>
      </c>
      <c r="T547" s="13">
        <v>25275</v>
      </c>
      <c r="U547" s="13">
        <v>7</v>
      </c>
      <c r="V547" s="13" t="s">
        <v>52</v>
      </c>
      <c r="W547" s="13" t="s">
        <v>59</v>
      </c>
      <c r="X547" s="13">
        <v>23</v>
      </c>
      <c r="Y547" s="13">
        <v>4</v>
      </c>
      <c r="Z547" s="13">
        <v>4</v>
      </c>
      <c r="AA547" s="13">
        <v>80</v>
      </c>
      <c r="AB547" s="13">
        <v>1</v>
      </c>
      <c r="AC547" s="13">
        <v>10</v>
      </c>
      <c r="AD547" s="13">
        <v>2</v>
      </c>
      <c r="AE547" s="13">
        <v>2</v>
      </c>
      <c r="AF547" s="14">
        <v>8</v>
      </c>
      <c r="AG547" s="13">
        <v>7</v>
      </c>
      <c r="AH547" s="13">
        <v>7</v>
      </c>
      <c r="AI547" s="13">
        <v>7</v>
      </c>
      <c r="AJ547" s="13" t="str">
        <f t="shared" si="8"/>
        <v>30-39</v>
      </c>
      <c r="AK547" s="13" t="str">
        <f>IF(tblCleanData[[#This Row],[MonthlyIncome]]&lt;5000, "Low Income", IF(tblCleanData[[#This Row],[MonthlyIncome]]&lt;15000, "Medium Income", "High Income"))</f>
        <v>Medium Income</v>
      </c>
      <c r="AL547" s="13">
        <f>IF(tblCleanData[[#This Row],[Attrition]]="No", 0,1)</f>
        <v>0</v>
      </c>
      <c r="AM547" s="13">
        <f>IF(tblCleanData[[#This Row],[OverTime]] = "No", 0, 1)</f>
        <v>0</v>
      </c>
      <c r="AN547" s="13" t="str">
        <f>CHOOSE(tblCleanData[[#This Row],[Education]], "Below College","College","Bachelor","Master","Doctor")</f>
        <v>Doctor</v>
      </c>
      <c r="AO547" s="13" t="str">
        <f>VLOOKUP(tblCleanData[[#This Row],[EmployeeNumber]],tblHelpers[],15,TRUE)</f>
        <v>Medium Risk</v>
      </c>
      <c r="AP547" s="13">
        <f>VLOOKUP(tblCleanData[[#This Row],[EmployeeNumber]],tblHelpers[],14,0)</f>
        <v>39</v>
      </c>
    </row>
    <row r="548" spans="1:42" x14ac:dyDescent="0.25">
      <c r="A548" s="13">
        <v>29</v>
      </c>
      <c r="B548" s="13" t="s">
        <v>59</v>
      </c>
      <c r="C548" s="13" t="s">
        <v>37</v>
      </c>
      <c r="D548" s="13">
        <v>1396</v>
      </c>
      <c r="E548" s="13" t="s">
        <v>39</v>
      </c>
      <c r="F548" s="13">
        <v>10</v>
      </c>
      <c r="G548" s="13">
        <v>3</v>
      </c>
      <c r="H548" s="13" t="s">
        <v>42</v>
      </c>
      <c r="I548" s="13">
        <v>1</v>
      </c>
      <c r="J548" s="13">
        <v>749</v>
      </c>
      <c r="K548" s="13">
        <v>3</v>
      </c>
      <c r="L548" s="13" t="s">
        <v>63</v>
      </c>
      <c r="M548" s="13">
        <v>99</v>
      </c>
      <c r="N548" s="13">
        <v>3</v>
      </c>
      <c r="O548" s="13">
        <v>1</v>
      </c>
      <c r="P548" s="13" t="s">
        <v>182</v>
      </c>
      <c r="Q548" s="13">
        <v>3</v>
      </c>
      <c r="R548" s="13" t="s">
        <v>48</v>
      </c>
      <c r="S548" s="20">
        <v>2642</v>
      </c>
      <c r="T548" s="13">
        <v>2755</v>
      </c>
      <c r="U548" s="13">
        <v>1</v>
      </c>
      <c r="V548" s="13" t="s">
        <v>52</v>
      </c>
      <c r="W548" s="13" t="s">
        <v>59</v>
      </c>
      <c r="X548" s="13">
        <v>11</v>
      </c>
      <c r="Y548" s="13">
        <v>3</v>
      </c>
      <c r="Z548" s="13">
        <v>3</v>
      </c>
      <c r="AA548" s="13">
        <v>80</v>
      </c>
      <c r="AB548" s="13">
        <v>0</v>
      </c>
      <c r="AC548" s="13">
        <v>1</v>
      </c>
      <c r="AD548" s="13">
        <v>6</v>
      </c>
      <c r="AE548" s="13">
        <v>3</v>
      </c>
      <c r="AF548" s="14">
        <v>1</v>
      </c>
      <c r="AG548" s="13">
        <v>0</v>
      </c>
      <c r="AH548" s="13">
        <v>0</v>
      </c>
      <c r="AI548" s="13">
        <v>0</v>
      </c>
      <c r="AJ548" s="13" t="str">
        <f t="shared" si="8"/>
        <v>Under 30</v>
      </c>
      <c r="AK548" s="13" t="str">
        <f>IF(tblCleanData[[#This Row],[MonthlyIncome]]&lt;5000, "Low Income", IF(tblCleanData[[#This Row],[MonthlyIncome]]&lt;15000, "Medium Income", "High Income"))</f>
        <v>Low Income</v>
      </c>
      <c r="AL548" s="13">
        <f>IF(tblCleanData[[#This Row],[Attrition]]="No", 0,1)</f>
        <v>0</v>
      </c>
      <c r="AM548" s="13">
        <f>IF(tblCleanData[[#This Row],[OverTime]] = "No", 0, 1)</f>
        <v>0</v>
      </c>
      <c r="AN548" s="13" t="str">
        <f>CHOOSE(tblCleanData[[#This Row],[Education]], "Below College","College","Bachelor","Master","Doctor")</f>
        <v>Bachelor</v>
      </c>
      <c r="AO548" s="13" t="str">
        <f>VLOOKUP(tblCleanData[[#This Row],[EmployeeNumber]],tblHelpers[],15,TRUE)</f>
        <v>High Risk</v>
      </c>
      <c r="AP548" s="13">
        <f>VLOOKUP(tblCleanData[[#This Row],[EmployeeNumber]],tblHelpers[],14,0)</f>
        <v>73</v>
      </c>
    </row>
    <row r="549" spans="1:42" x14ac:dyDescent="0.25">
      <c r="A549" s="13">
        <v>42</v>
      </c>
      <c r="B549" s="13" t="s">
        <v>36</v>
      </c>
      <c r="C549" s="13" t="s">
        <v>60</v>
      </c>
      <c r="D549" s="13">
        <v>933</v>
      </c>
      <c r="E549" s="13" t="s">
        <v>62</v>
      </c>
      <c r="F549" s="13">
        <v>19</v>
      </c>
      <c r="G549" s="13">
        <v>3</v>
      </c>
      <c r="H549" s="13" t="s">
        <v>87</v>
      </c>
      <c r="I549" s="13">
        <v>1</v>
      </c>
      <c r="J549" s="13">
        <v>752</v>
      </c>
      <c r="K549" s="13">
        <v>3</v>
      </c>
      <c r="L549" s="13" t="s">
        <v>63</v>
      </c>
      <c r="M549" s="13">
        <v>57</v>
      </c>
      <c r="N549" s="13">
        <v>4</v>
      </c>
      <c r="O549" s="13">
        <v>1</v>
      </c>
      <c r="P549" s="13" t="s">
        <v>65</v>
      </c>
      <c r="Q549" s="13">
        <v>3</v>
      </c>
      <c r="R549" s="13" t="s">
        <v>109</v>
      </c>
      <c r="S549" s="20">
        <v>2759</v>
      </c>
      <c r="T549" s="13">
        <v>20366</v>
      </c>
      <c r="U549" s="13">
        <v>6</v>
      </c>
      <c r="V549" s="13" t="s">
        <v>52</v>
      </c>
      <c r="W549" s="13" t="s">
        <v>36</v>
      </c>
      <c r="X549" s="13">
        <v>12</v>
      </c>
      <c r="Y549" s="13">
        <v>3</v>
      </c>
      <c r="Z549" s="13">
        <v>4</v>
      </c>
      <c r="AA549" s="13">
        <v>80</v>
      </c>
      <c r="AB549" s="13">
        <v>0</v>
      </c>
      <c r="AC549" s="13">
        <v>7</v>
      </c>
      <c r="AD549" s="13">
        <v>2</v>
      </c>
      <c r="AE549" s="13">
        <v>3</v>
      </c>
      <c r="AF549" s="14">
        <v>2</v>
      </c>
      <c r="AG549" s="13">
        <v>2</v>
      </c>
      <c r="AH549" s="13">
        <v>2</v>
      </c>
      <c r="AI549" s="13">
        <v>2</v>
      </c>
      <c r="AJ549" s="13" t="str">
        <f t="shared" si="8"/>
        <v>40-49</v>
      </c>
      <c r="AK549" s="13" t="str">
        <f>IF(tblCleanData[[#This Row],[MonthlyIncome]]&lt;5000, "Low Income", IF(tblCleanData[[#This Row],[MonthlyIncome]]&lt;15000, "Medium Income", "High Income"))</f>
        <v>Low Income</v>
      </c>
      <c r="AL549" s="13">
        <f>IF(tblCleanData[[#This Row],[Attrition]]="No", 0,1)</f>
        <v>1</v>
      </c>
      <c r="AM549" s="13">
        <f>IF(tblCleanData[[#This Row],[OverTime]] = "No", 0, 1)</f>
        <v>1</v>
      </c>
      <c r="AN549" s="13" t="str">
        <f>CHOOSE(tblCleanData[[#This Row],[Education]], "Below College","College","Bachelor","Master","Doctor")</f>
        <v>Bachelor</v>
      </c>
      <c r="AO549" s="13" t="str">
        <f>VLOOKUP(tblCleanData[[#This Row],[EmployeeNumber]],tblHelpers[],15,TRUE)</f>
        <v>High Risk</v>
      </c>
      <c r="AP549" s="13">
        <f>VLOOKUP(tblCleanData[[#This Row],[EmployeeNumber]],tblHelpers[],14,0)</f>
        <v>78</v>
      </c>
    </row>
    <row r="550" spans="1:42" x14ac:dyDescent="0.25">
      <c r="A550" s="13">
        <v>43</v>
      </c>
      <c r="B550" s="13" t="s">
        <v>59</v>
      </c>
      <c r="C550" s="13" t="s">
        <v>60</v>
      </c>
      <c r="D550" s="13">
        <v>775</v>
      </c>
      <c r="E550" s="13" t="s">
        <v>39</v>
      </c>
      <c r="F550" s="13">
        <v>15</v>
      </c>
      <c r="G550" s="13">
        <v>3</v>
      </c>
      <c r="H550" s="13" t="s">
        <v>42</v>
      </c>
      <c r="I550" s="13">
        <v>1</v>
      </c>
      <c r="J550" s="13">
        <v>754</v>
      </c>
      <c r="K550" s="13">
        <v>4</v>
      </c>
      <c r="L550" s="13" t="s">
        <v>63</v>
      </c>
      <c r="M550" s="13">
        <v>47</v>
      </c>
      <c r="N550" s="13">
        <v>2</v>
      </c>
      <c r="O550" s="13">
        <v>2</v>
      </c>
      <c r="P550" s="13" t="s">
        <v>46</v>
      </c>
      <c r="Q550" s="13">
        <v>4</v>
      </c>
      <c r="R550" s="13" t="s">
        <v>66</v>
      </c>
      <c r="S550" s="20">
        <v>6804</v>
      </c>
      <c r="T550" s="13">
        <v>23683</v>
      </c>
      <c r="U550" s="13">
        <v>3</v>
      </c>
      <c r="V550" s="13" t="s">
        <v>52</v>
      </c>
      <c r="W550" s="13" t="s">
        <v>59</v>
      </c>
      <c r="X550" s="13">
        <v>18</v>
      </c>
      <c r="Y550" s="13">
        <v>3</v>
      </c>
      <c r="Z550" s="13">
        <v>3</v>
      </c>
      <c r="AA550" s="13">
        <v>80</v>
      </c>
      <c r="AB550" s="13">
        <v>1</v>
      </c>
      <c r="AC550" s="13">
        <v>7</v>
      </c>
      <c r="AD550" s="13">
        <v>5</v>
      </c>
      <c r="AE550" s="13">
        <v>3</v>
      </c>
      <c r="AF550" s="14">
        <v>2</v>
      </c>
      <c r="AG550" s="13">
        <v>2</v>
      </c>
      <c r="AH550" s="13">
        <v>2</v>
      </c>
      <c r="AI550" s="13">
        <v>2</v>
      </c>
      <c r="AJ550" s="13" t="str">
        <f t="shared" si="8"/>
        <v>40-49</v>
      </c>
      <c r="AK550" s="13" t="str">
        <f>IF(tblCleanData[[#This Row],[MonthlyIncome]]&lt;5000, "Low Income", IF(tblCleanData[[#This Row],[MonthlyIncome]]&lt;15000, "Medium Income", "High Income"))</f>
        <v>Medium Income</v>
      </c>
      <c r="AL550" s="13">
        <f>IF(tblCleanData[[#This Row],[Attrition]]="No", 0,1)</f>
        <v>0</v>
      </c>
      <c r="AM550" s="13">
        <f>IF(tblCleanData[[#This Row],[OverTime]] = "No", 0, 1)</f>
        <v>0</v>
      </c>
      <c r="AN550" s="13" t="str">
        <f>CHOOSE(tblCleanData[[#This Row],[Education]], "Below College","College","Bachelor","Master","Doctor")</f>
        <v>Bachelor</v>
      </c>
      <c r="AO550" s="13" t="str">
        <f>VLOOKUP(tblCleanData[[#This Row],[EmployeeNumber]],tblHelpers[],15,TRUE)</f>
        <v>Medium Risk</v>
      </c>
      <c r="AP550" s="13">
        <f>VLOOKUP(tblCleanData[[#This Row],[EmployeeNumber]],tblHelpers[],14,0)</f>
        <v>46</v>
      </c>
    </row>
    <row r="551" spans="1:42" x14ac:dyDescent="0.25">
      <c r="A551" s="13">
        <v>34</v>
      </c>
      <c r="B551" s="13" t="s">
        <v>59</v>
      </c>
      <c r="C551" s="13" t="s">
        <v>37</v>
      </c>
      <c r="D551" s="13">
        <v>970</v>
      </c>
      <c r="E551" s="13" t="s">
        <v>62</v>
      </c>
      <c r="F551" s="13">
        <v>8</v>
      </c>
      <c r="G551" s="13">
        <v>2</v>
      </c>
      <c r="H551" s="13" t="s">
        <v>87</v>
      </c>
      <c r="I551" s="13">
        <v>1</v>
      </c>
      <c r="J551" s="13">
        <v>757</v>
      </c>
      <c r="K551" s="13">
        <v>2</v>
      </c>
      <c r="L551" s="13" t="s">
        <v>43</v>
      </c>
      <c r="M551" s="13">
        <v>96</v>
      </c>
      <c r="N551" s="13">
        <v>3</v>
      </c>
      <c r="O551" s="13">
        <v>2</v>
      </c>
      <c r="P551" s="13" t="s">
        <v>122</v>
      </c>
      <c r="Q551" s="13">
        <v>3</v>
      </c>
      <c r="R551" s="13" t="s">
        <v>48</v>
      </c>
      <c r="S551" s="20">
        <v>6142</v>
      </c>
      <c r="T551" s="13">
        <v>7360</v>
      </c>
      <c r="U551" s="13">
        <v>3</v>
      </c>
      <c r="V551" s="13" t="s">
        <v>52</v>
      </c>
      <c r="W551" s="13" t="s">
        <v>59</v>
      </c>
      <c r="X551" s="13">
        <v>11</v>
      </c>
      <c r="Y551" s="13">
        <v>3</v>
      </c>
      <c r="Z551" s="13">
        <v>4</v>
      </c>
      <c r="AA551" s="13">
        <v>80</v>
      </c>
      <c r="AB551" s="13">
        <v>0</v>
      </c>
      <c r="AC551" s="13">
        <v>10</v>
      </c>
      <c r="AD551" s="13">
        <v>2</v>
      </c>
      <c r="AE551" s="13">
        <v>3</v>
      </c>
      <c r="AF551" s="14">
        <v>5</v>
      </c>
      <c r="AG551" s="13">
        <v>1</v>
      </c>
      <c r="AH551" s="13">
        <v>4</v>
      </c>
      <c r="AI551" s="13">
        <v>3</v>
      </c>
      <c r="AJ551" s="13" t="str">
        <f t="shared" si="8"/>
        <v>30-39</v>
      </c>
      <c r="AK551" s="13" t="str">
        <f>IF(tblCleanData[[#This Row],[MonthlyIncome]]&lt;5000, "Low Income", IF(tblCleanData[[#This Row],[MonthlyIncome]]&lt;15000, "Medium Income", "High Income"))</f>
        <v>Medium Income</v>
      </c>
      <c r="AL551" s="13">
        <f>IF(tblCleanData[[#This Row],[Attrition]]="No", 0,1)</f>
        <v>0</v>
      </c>
      <c r="AM551" s="13">
        <f>IF(tblCleanData[[#This Row],[OverTime]] = "No", 0, 1)</f>
        <v>0</v>
      </c>
      <c r="AN551" s="13" t="str">
        <f>CHOOSE(tblCleanData[[#This Row],[Education]], "Below College","College","Bachelor","Master","Doctor")</f>
        <v>College</v>
      </c>
      <c r="AO551" s="13" t="str">
        <f>VLOOKUP(tblCleanData[[#This Row],[EmployeeNumber]],tblHelpers[],15,TRUE)</f>
        <v>Medium Risk</v>
      </c>
      <c r="AP551" s="13">
        <f>VLOOKUP(tblCleanData[[#This Row],[EmployeeNumber]],tblHelpers[],14,0)</f>
        <v>53</v>
      </c>
    </row>
    <row r="552" spans="1:42" x14ac:dyDescent="0.25">
      <c r="A552" s="13">
        <v>23</v>
      </c>
      <c r="B552" s="13" t="s">
        <v>59</v>
      </c>
      <c r="C552" s="13" t="s">
        <v>37</v>
      </c>
      <c r="D552" s="13">
        <v>650</v>
      </c>
      <c r="E552" s="13" t="s">
        <v>62</v>
      </c>
      <c r="F552" s="13">
        <v>9</v>
      </c>
      <c r="G552" s="13">
        <v>1</v>
      </c>
      <c r="H552" s="13" t="s">
        <v>87</v>
      </c>
      <c r="I552" s="13">
        <v>1</v>
      </c>
      <c r="J552" s="13">
        <v>758</v>
      </c>
      <c r="K552" s="13">
        <v>2</v>
      </c>
      <c r="L552" s="13" t="s">
        <v>63</v>
      </c>
      <c r="M552" s="13">
        <v>37</v>
      </c>
      <c r="N552" s="13">
        <v>3</v>
      </c>
      <c r="O552" s="13">
        <v>1</v>
      </c>
      <c r="P552" s="13" t="s">
        <v>76</v>
      </c>
      <c r="Q552" s="13">
        <v>1</v>
      </c>
      <c r="R552" s="13" t="s">
        <v>66</v>
      </c>
      <c r="S552" s="20">
        <v>2500</v>
      </c>
      <c r="T552" s="13">
        <v>4344</v>
      </c>
      <c r="U552" s="13">
        <v>1</v>
      </c>
      <c r="V552" s="13" t="s">
        <v>52</v>
      </c>
      <c r="W552" s="13" t="s">
        <v>59</v>
      </c>
      <c r="X552" s="13">
        <v>14</v>
      </c>
      <c r="Y552" s="13">
        <v>3</v>
      </c>
      <c r="Z552" s="13">
        <v>4</v>
      </c>
      <c r="AA552" s="13">
        <v>80</v>
      </c>
      <c r="AB552" s="13">
        <v>1</v>
      </c>
      <c r="AC552" s="13">
        <v>5</v>
      </c>
      <c r="AD552" s="13">
        <v>2</v>
      </c>
      <c r="AE552" s="13">
        <v>4</v>
      </c>
      <c r="AF552" s="14">
        <v>4</v>
      </c>
      <c r="AG552" s="13">
        <v>3</v>
      </c>
      <c r="AH552" s="13">
        <v>0</v>
      </c>
      <c r="AI552" s="13">
        <v>2</v>
      </c>
      <c r="AJ552" s="13" t="str">
        <f t="shared" si="8"/>
        <v>Under 30</v>
      </c>
      <c r="AK552" s="13" t="str">
        <f>IF(tblCleanData[[#This Row],[MonthlyIncome]]&lt;5000, "Low Income", IF(tblCleanData[[#This Row],[MonthlyIncome]]&lt;15000, "Medium Income", "High Income"))</f>
        <v>Low Income</v>
      </c>
      <c r="AL552" s="13">
        <f>IF(tblCleanData[[#This Row],[Attrition]]="No", 0,1)</f>
        <v>0</v>
      </c>
      <c r="AM552" s="13">
        <f>IF(tblCleanData[[#This Row],[OverTime]] = "No", 0, 1)</f>
        <v>0</v>
      </c>
      <c r="AN552" s="13" t="str">
        <f>CHOOSE(tblCleanData[[#This Row],[Education]], "Below College","College","Bachelor","Master","Doctor")</f>
        <v>Below College</v>
      </c>
      <c r="AO552" s="13" t="str">
        <f>VLOOKUP(tblCleanData[[#This Row],[EmployeeNumber]],tblHelpers[],15,TRUE)</f>
        <v>High Risk</v>
      </c>
      <c r="AP552" s="13">
        <f>VLOOKUP(tblCleanData[[#This Row],[EmployeeNumber]],tblHelpers[],14,0)</f>
        <v>75</v>
      </c>
    </row>
    <row r="553" spans="1:42" x14ac:dyDescent="0.25">
      <c r="A553" s="13">
        <v>39</v>
      </c>
      <c r="B553" s="13" t="s">
        <v>59</v>
      </c>
      <c r="C553" s="13" t="s">
        <v>37</v>
      </c>
      <c r="D553" s="13">
        <v>141</v>
      </c>
      <c r="E553" s="13" t="s">
        <v>397</v>
      </c>
      <c r="F553" s="13">
        <v>3</v>
      </c>
      <c r="G553" s="13">
        <v>3</v>
      </c>
      <c r="H553" s="13" t="s">
        <v>397</v>
      </c>
      <c r="I553" s="13">
        <v>1</v>
      </c>
      <c r="J553" s="13">
        <v>760</v>
      </c>
      <c r="K553" s="13">
        <v>3</v>
      </c>
      <c r="L553" s="13" t="s">
        <v>43</v>
      </c>
      <c r="M553" s="13">
        <v>44</v>
      </c>
      <c r="N553" s="13">
        <v>4</v>
      </c>
      <c r="O553" s="13">
        <v>2</v>
      </c>
      <c r="P553" s="13" t="s">
        <v>397</v>
      </c>
      <c r="Q553" s="13">
        <v>2</v>
      </c>
      <c r="R553" s="13" t="s">
        <v>66</v>
      </c>
      <c r="S553" s="20">
        <v>6389</v>
      </c>
      <c r="T553" s="13">
        <v>18767</v>
      </c>
      <c r="U553" s="13">
        <v>9</v>
      </c>
      <c r="V553" s="13" t="s">
        <v>52</v>
      </c>
      <c r="W553" s="13" t="s">
        <v>59</v>
      </c>
      <c r="X553" s="13">
        <v>15</v>
      </c>
      <c r="Y553" s="13">
        <v>3</v>
      </c>
      <c r="Z553" s="13">
        <v>3</v>
      </c>
      <c r="AA553" s="13">
        <v>80</v>
      </c>
      <c r="AB553" s="13">
        <v>1</v>
      </c>
      <c r="AC553" s="13">
        <v>12</v>
      </c>
      <c r="AD553" s="13">
        <v>3</v>
      </c>
      <c r="AE553" s="13">
        <v>1</v>
      </c>
      <c r="AF553" s="14">
        <v>8</v>
      </c>
      <c r="AG553" s="13">
        <v>3</v>
      </c>
      <c r="AH553" s="13">
        <v>3</v>
      </c>
      <c r="AI553" s="13">
        <v>6</v>
      </c>
      <c r="AJ553" s="13" t="str">
        <f t="shared" si="8"/>
        <v>30-39</v>
      </c>
      <c r="AK553" s="13" t="str">
        <f>IF(tblCleanData[[#This Row],[MonthlyIncome]]&lt;5000, "Low Income", IF(tblCleanData[[#This Row],[MonthlyIncome]]&lt;15000, "Medium Income", "High Income"))</f>
        <v>Medium Income</v>
      </c>
      <c r="AL553" s="13">
        <f>IF(tblCleanData[[#This Row],[Attrition]]="No", 0,1)</f>
        <v>0</v>
      </c>
      <c r="AM553" s="13">
        <f>IF(tblCleanData[[#This Row],[OverTime]] = "No", 0, 1)</f>
        <v>0</v>
      </c>
      <c r="AN553" s="13" t="str">
        <f>CHOOSE(tblCleanData[[#This Row],[Education]], "Below College","College","Bachelor","Master","Doctor")</f>
        <v>Bachelor</v>
      </c>
      <c r="AO553" s="13" t="str">
        <f>VLOOKUP(tblCleanData[[#This Row],[EmployeeNumber]],tblHelpers[],15,TRUE)</f>
        <v>Medium Risk</v>
      </c>
      <c r="AP553" s="13">
        <f>VLOOKUP(tblCleanData[[#This Row],[EmployeeNumber]],tblHelpers[],14,0)</f>
        <v>52</v>
      </c>
    </row>
    <row r="554" spans="1:42" x14ac:dyDescent="0.25">
      <c r="A554" s="13">
        <v>56</v>
      </c>
      <c r="B554" s="13" t="s">
        <v>59</v>
      </c>
      <c r="C554" s="13" t="s">
        <v>37</v>
      </c>
      <c r="D554" s="13">
        <v>832</v>
      </c>
      <c r="E554" s="13" t="s">
        <v>62</v>
      </c>
      <c r="F554" s="13">
        <v>9</v>
      </c>
      <c r="G554" s="13">
        <v>3</v>
      </c>
      <c r="H554" s="13" t="s">
        <v>87</v>
      </c>
      <c r="I554" s="13">
        <v>1</v>
      </c>
      <c r="J554" s="13">
        <v>762</v>
      </c>
      <c r="K554" s="13">
        <v>3</v>
      </c>
      <c r="L554" s="13" t="s">
        <v>63</v>
      </c>
      <c r="M554" s="13">
        <v>81</v>
      </c>
      <c r="N554" s="13">
        <v>3</v>
      </c>
      <c r="O554" s="13">
        <v>4</v>
      </c>
      <c r="P554" s="13" t="s">
        <v>122</v>
      </c>
      <c r="Q554" s="13">
        <v>4</v>
      </c>
      <c r="R554" s="13" t="s">
        <v>66</v>
      </c>
      <c r="S554" s="20">
        <v>11103</v>
      </c>
      <c r="T554" s="13">
        <v>20420</v>
      </c>
      <c r="U554" s="13">
        <v>7</v>
      </c>
      <c r="V554" s="13" t="s">
        <v>52</v>
      </c>
      <c r="W554" s="13" t="s">
        <v>59</v>
      </c>
      <c r="X554" s="13">
        <v>11</v>
      </c>
      <c r="Y554" s="13">
        <v>3</v>
      </c>
      <c r="Z554" s="13">
        <v>3</v>
      </c>
      <c r="AA554" s="13">
        <v>80</v>
      </c>
      <c r="AB554" s="13">
        <v>0</v>
      </c>
      <c r="AC554" s="13">
        <v>30</v>
      </c>
      <c r="AD554" s="13">
        <v>1</v>
      </c>
      <c r="AE554" s="13">
        <v>2</v>
      </c>
      <c r="AF554" s="14">
        <v>10</v>
      </c>
      <c r="AG554" s="13">
        <v>7</v>
      </c>
      <c r="AH554" s="13">
        <v>1</v>
      </c>
      <c r="AI554" s="13">
        <v>1</v>
      </c>
      <c r="AJ554" s="13" t="str">
        <f t="shared" si="8"/>
        <v>50+</v>
      </c>
      <c r="AK554" s="13" t="str">
        <f>IF(tblCleanData[[#This Row],[MonthlyIncome]]&lt;5000, "Low Income", IF(tblCleanData[[#This Row],[MonthlyIncome]]&lt;15000, "Medium Income", "High Income"))</f>
        <v>Medium Income</v>
      </c>
      <c r="AL554" s="13">
        <f>IF(tblCleanData[[#This Row],[Attrition]]="No", 0,1)</f>
        <v>0</v>
      </c>
      <c r="AM554" s="13">
        <f>IF(tblCleanData[[#This Row],[OverTime]] = "No", 0, 1)</f>
        <v>0</v>
      </c>
      <c r="AN554" s="13" t="str">
        <f>CHOOSE(tblCleanData[[#This Row],[Education]], "Below College","College","Bachelor","Master","Doctor")</f>
        <v>Bachelor</v>
      </c>
      <c r="AO554" s="13" t="str">
        <f>VLOOKUP(tblCleanData[[#This Row],[EmployeeNumber]],tblHelpers[],15,TRUE)</f>
        <v>Low Risk</v>
      </c>
      <c r="AP554" s="13">
        <f>VLOOKUP(tblCleanData[[#This Row],[EmployeeNumber]],tblHelpers[],14,0)</f>
        <v>34</v>
      </c>
    </row>
    <row r="555" spans="1:42" x14ac:dyDescent="0.25">
      <c r="A555" s="13">
        <v>40</v>
      </c>
      <c r="B555" s="13" t="s">
        <v>59</v>
      </c>
      <c r="C555" s="13" t="s">
        <v>37</v>
      </c>
      <c r="D555" s="13">
        <v>804</v>
      </c>
      <c r="E555" s="13" t="s">
        <v>62</v>
      </c>
      <c r="F555" s="13">
        <v>2</v>
      </c>
      <c r="G555" s="13">
        <v>1</v>
      </c>
      <c r="H555" s="13" t="s">
        <v>87</v>
      </c>
      <c r="I555" s="13">
        <v>1</v>
      </c>
      <c r="J555" s="13">
        <v>763</v>
      </c>
      <c r="K555" s="13">
        <v>4</v>
      </c>
      <c r="L555" s="13" t="s">
        <v>43</v>
      </c>
      <c r="M555" s="13">
        <v>86</v>
      </c>
      <c r="N555" s="13">
        <v>2</v>
      </c>
      <c r="O555" s="13">
        <v>1</v>
      </c>
      <c r="P555" s="13" t="s">
        <v>65</v>
      </c>
      <c r="Q555" s="13">
        <v>4</v>
      </c>
      <c r="R555" s="13" t="s">
        <v>48</v>
      </c>
      <c r="S555" s="20">
        <v>2342</v>
      </c>
      <c r="T555" s="13">
        <v>22929</v>
      </c>
      <c r="U555" s="13">
        <v>0</v>
      </c>
      <c r="V555" s="13" t="s">
        <v>52</v>
      </c>
      <c r="W555" s="13" t="s">
        <v>36</v>
      </c>
      <c r="X555" s="13">
        <v>20</v>
      </c>
      <c r="Y555" s="13">
        <v>4</v>
      </c>
      <c r="Z555" s="13">
        <v>4</v>
      </c>
      <c r="AA555" s="13">
        <v>80</v>
      </c>
      <c r="AB555" s="13">
        <v>0</v>
      </c>
      <c r="AC555" s="13">
        <v>5</v>
      </c>
      <c r="AD555" s="13">
        <v>2</v>
      </c>
      <c r="AE555" s="13">
        <v>2</v>
      </c>
      <c r="AF555" s="14">
        <v>4</v>
      </c>
      <c r="AG555" s="13">
        <v>2</v>
      </c>
      <c r="AH555" s="13">
        <v>2</v>
      </c>
      <c r="AI555" s="13">
        <v>3</v>
      </c>
      <c r="AJ555" s="13" t="str">
        <f t="shared" si="8"/>
        <v>40-49</v>
      </c>
      <c r="AK555" s="13" t="str">
        <f>IF(tblCleanData[[#This Row],[MonthlyIncome]]&lt;5000, "Low Income", IF(tblCleanData[[#This Row],[MonthlyIncome]]&lt;15000, "Medium Income", "High Income"))</f>
        <v>Low Income</v>
      </c>
      <c r="AL555" s="13">
        <f>IF(tblCleanData[[#This Row],[Attrition]]="No", 0,1)</f>
        <v>0</v>
      </c>
      <c r="AM555" s="13">
        <f>IF(tblCleanData[[#This Row],[OverTime]] = "No", 0, 1)</f>
        <v>1</v>
      </c>
      <c r="AN555" s="13" t="str">
        <f>CHOOSE(tblCleanData[[#This Row],[Education]], "Below College","College","Bachelor","Master","Doctor")</f>
        <v>Below College</v>
      </c>
      <c r="AO555" s="13" t="str">
        <f>VLOOKUP(tblCleanData[[#This Row],[EmployeeNumber]],tblHelpers[],15,TRUE)</f>
        <v>High Risk</v>
      </c>
      <c r="AP555" s="13">
        <f>VLOOKUP(tblCleanData[[#This Row],[EmployeeNumber]],tblHelpers[],14,0)</f>
        <v>61</v>
      </c>
    </row>
    <row r="556" spans="1:42" x14ac:dyDescent="0.25">
      <c r="A556" s="13">
        <v>27</v>
      </c>
      <c r="B556" s="13" t="s">
        <v>59</v>
      </c>
      <c r="C556" s="13" t="s">
        <v>37</v>
      </c>
      <c r="D556" s="13">
        <v>975</v>
      </c>
      <c r="E556" s="13" t="s">
        <v>62</v>
      </c>
      <c r="F556" s="13">
        <v>7</v>
      </c>
      <c r="G556" s="13">
        <v>3</v>
      </c>
      <c r="H556" s="13" t="s">
        <v>87</v>
      </c>
      <c r="I556" s="13">
        <v>1</v>
      </c>
      <c r="J556" s="13">
        <v>764</v>
      </c>
      <c r="K556" s="13">
        <v>4</v>
      </c>
      <c r="L556" s="13" t="s">
        <v>43</v>
      </c>
      <c r="M556" s="13">
        <v>55</v>
      </c>
      <c r="N556" s="13">
        <v>2</v>
      </c>
      <c r="O556" s="13">
        <v>2</v>
      </c>
      <c r="P556" s="13" t="s">
        <v>122</v>
      </c>
      <c r="Q556" s="13">
        <v>1</v>
      </c>
      <c r="R556" s="13" t="s">
        <v>48</v>
      </c>
      <c r="S556" s="20">
        <v>6811</v>
      </c>
      <c r="T556" s="13">
        <v>23398</v>
      </c>
      <c r="U556" s="13">
        <v>8</v>
      </c>
      <c r="V556" s="13" t="s">
        <v>52</v>
      </c>
      <c r="W556" s="13" t="s">
        <v>59</v>
      </c>
      <c r="X556" s="13">
        <v>19</v>
      </c>
      <c r="Y556" s="13">
        <v>3</v>
      </c>
      <c r="Z556" s="13">
        <v>1</v>
      </c>
      <c r="AA556" s="13">
        <v>80</v>
      </c>
      <c r="AB556" s="13">
        <v>0</v>
      </c>
      <c r="AC556" s="13">
        <v>9</v>
      </c>
      <c r="AD556" s="13">
        <v>2</v>
      </c>
      <c r="AE556" s="13">
        <v>1</v>
      </c>
      <c r="AF556" s="14">
        <v>7</v>
      </c>
      <c r="AG556" s="13">
        <v>6</v>
      </c>
      <c r="AH556" s="13">
        <v>0</v>
      </c>
      <c r="AI556" s="13">
        <v>7</v>
      </c>
      <c r="AJ556" s="13" t="str">
        <f t="shared" si="8"/>
        <v>Under 30</v>
      </c>
      <c r="AK556" s="13" t="str">
        <f>IF(tblCleanData[[#This Row],[MonthlyIncome]]&lt;5000, "Low Income", IF(tblCleanData[[#This Row],[MonthlyIncome]]&lt;15000, "Medium Income", "High Income"))</f>
        <v>Medium Income</v>
      </c>
      <c r="AL556" s="13">
        <f>IF(tblCleanData[[#This Row],[Attrition]]="No", 0,1)</f>
        <v>0</v>
      </c>
      <c r="AM556" s="13">
        <f>IF(tblCleanData[[#This Row],[OverTime]] = "No", 0, 1)</f>
        <v>0</v>
      </c>
      <c r="AN556" s="13" t="str">
        <f>CHOOSE(tblCleanData[[#This Row],[Education]], "Below College","College","Bachelor","Master","Doctor")</f>
        <v>Bachelor</v>
      </c>
      <c r="AO556" s="13" t="str">
        <f>VLOOKUP(tblCleanData[[#This Row],[EmployeeNumber]],tblHelpers[],15,TRUE)</f>
        <v>High Risk</v>
      </c>
      <c r="AP556" s="13">
        <f>VLOOKUP(tblCleanData[[#This Row],[EmployeeNumber]],tblHelpers[],14,0)</f>
        <v>68</v>
      </c>
    </row>
    <row r="557" spans="1:42" x14ac:dyDescent="0.25">
      <c r="A557" s="13">
        <v>29</v>
      </c>
      <c r="B557" s="13" t="s">
        <v>59</v>
      </c>
      <c r="C557" s="13" t="s">
        <v>37</v>
      </c>
      <c r="D557" s="13">
        <v>1090</v>
      </c>
      <c r="E557" s="13" t="s">
        <v>39</v>
      </c>
      <c r="F557" s="13">
        <v>10</v>
      </c>
      <c r="G557" s="13">
        <v>3</v>
      </c>
      <c r="H557" s="13" t="s">
        <v>206</v>
      </c>
      <c r="I557" s="13">
        <v>1</v>
      </c>
      <c r="J557" s="13">
        <v>766</v>
      </c>
      <c r="K557" s="13">
        <v>4</v>
      </c>
      <c r="L557" s="13" t="s">
        <v>63</v>
      </c>
      <c r="M557" s="13">
        <v>83</v>
      </c>
      <c r="N557" s="13">
        <v>3</v>
      </c>
      <c r="O557" s="13">
        <v>1</v>
      </c>
      <c r="P557" s="13" t="s">
        <v>182</v>
      </c>
      <c r="Q557" s="13">
        <v>2</v>
      </c>
      <c r="R557" s="13" t="s">
        <v>109</v>
      </c>
      <c r="S557" s="20">
        <v>2297</v>
      </c>
      <c r="T557" s="13">
        <v>17967</v>
      </c>
      <c r="U557" s="13">
        <v>1</v>
      </c>
      <c r="V557" s="13" t="s">
        <v>52</v>
      </c>
      <c r="W557" s="13" t="s">
        <v>59</v>
      </c>
      <c r="X557" s="13">
        <v>14</v>
      </c>
      <c r="Y557" s="13">
        <v>3</v>
      </c>
      <c r="Z557" s="13">
        <v>4</v>
      </c>
      <c r="AA557" s="13">
        <v>80</v>
      </c>
      <c r="AB557" s="13">
        <v>2</v>
      </c>
      <c r="AC557" s="13">
        <v>2</v>
      </c>
      <c r="AD557" s="13">
        <v>2</v>
      </c>
      <c r="AE557" s="13">
        <v>3</v>
      </c>
      <c r="AF557" s="14">
        <v>2</v>
      </c>
      <c r="AG557" s="13">
        <v>2</v>
      </c>
      <c r="AH557" s="13">
        <v>2</v>
      </c>
      <c r="AI557" s="13">
        <v>2</v>
      </c>
      <c r="AJ557" s="13" t="str">
        <f t="shared" si="8"/>
        <v>Under 30</v>
      </c>
      <c r="AK557" s="13" t="str">
        <f>IF(tblCleanData[[#This Row],[MonthlyIncome]]&lt;5000, "Low Income", IF(tblCleanData[[#This Row],[MonthlyIncome]]&lt;15000, "Medium Income", "High Income"))</f>
        <v>Low Income</v>
      </c>
      <c r="AL557" s="13">
        <f>IF(tblCleanData[[#This Row],[Attrition]]="No", 0,1)</f>
        <v>0</v>
      </c>
      <c r="AM557" s="13">
        <f>IF(tblCleanData[[#This Row],[OverTime]] = "No", 0, 1)</f>
        <v>0</v>
      </c>
      <c r="AN557" s="13" t="str">
        <f>CHOOSE(tblCleanData[[#This Row],[Education]], "Below College","College","Bachelor","Master","Doctor")</f>
        <v>Bachelor</v>
      </c>
      <c r="AO557" s="13" t="str">
        <f>VLOOKUP(tblCleanData[[#This Row],[EmployeeNumber]],tblHelpers[],15,TRUE)</f>
        <v>High Risk</v>
      </c>
      <c r="AP557" s="13">
        <f>VLOOKUP(tblCleanData[[#This Row],[EmployeeNumber]],tblHelpers[],14,0)</f>
        <v>79</v>
      </c>
    </row>
    <row r="558" spans="1:42" x14ac:dyDescent="0.25">
      <c r="A558" s="13">
        <v>53</v>
      </c>
      <c r="B558" s="13" t="s">
        <v>59</v>
      </c>
      <c r="C558" s="13" t="s">
        <v>37</v>
      </c>
      <c r="D558" s="13">
        <v>346</v>
      </c>
      <c r="E558" s="13" t="s">
        <v>62</v>
      </c>
      <c r="F558" s="13">
        <v>6</v>
      </c>
      <c r="G558" s="13">
        <v>3</v>
      </c>
      <c r="H558" s="13" t="s">
        <v>42</v>
      </c>
      <c r="I558" s="13">
        <v>1</v>
      </c>
      <c r="J558" s="13">
        <v>769</v>
      </c>
      <c r="K558" s="13">
        <v>4</v>
      </c>
      <c r="L558" s="13" t="s">
        <v>63</v>
      </c>
      <c r="M558" s="13">
        <v>86</v>
      </c>
      <c r="N558" s="13">
        <v>3</v>
      </c>
      <c r="O558" s="13">
        <v>2</v>
      </c>
      <c r="P558" s="13" t="s">
        <v>76</v>
      </c>
      <c r="Q558" s="13">
        <v>4</v>
      </c>
      <c r="R558" s="13" t="s">
        <v>48</v>
      </c>
      <c r="S558" s="20">
        <v>2450</v>
      </c>
      <c r="T558" s="13">
        <v>10919</v>
      </c>
      <c r="U558" s="13">
        <v>2</v>
      </c>
      <c r="V558" s="13" t="s">
        <v>52</v>
      </c>
      <c r="W558" s="13" t="s">
        <v>59</v>
      </c>
      <c r="X558" s="13">
        <v>17</v>
      </c>
      <c r="Y558" s="13">
        <v>3</v>
      </c>
      <c r="Z558" s="13">
        <v>4</v>
      </c>
      <c r="AA558" s="13">
        <v>80</v>
      </c>
      <c r="AB558" s="13">
        <v>0</v>
      </c>
      <c r="AC558" s="13">
        <v>19</v>
      </c>
      <c r="AD558" s="13">
        <v>4</v>
      </c>
      <c r="AE558" s="13">
        <v>3</v>
      </c>
      <c r="AF558" s="14">
        <v>2</v>
      </c>
      <c r="AG558" s="13">
        <v>2</v>
      </c>
      <c r="AH558" s="13">
        <v>2</v>
      </c>
      <c r="AI558" s="13">
        <v>2</v>
      </c>
      <c r="AJ558" s="13" t="str">
        <f t="shared" si="8"/>
        <v>50+</v>
      </c>
      <c r="AK558" s="13" t="str">
        <f>IF(tblCleanData[[#This Row],[MonthlyIncome]]&lt;5000, "Low Income", IF(tblCleanData[[#This Row],[MonthlyIncome]]&lt;15000, "Medium Income", "High Income"))</f>
        <v>Low Income</v>
      </c>
      <c r="AL558" s="13">
        <f>IF(tblCleanData[[#This Row],[Attrition]]="No", 0,1)</f>
        <v>0</v>
      </c>
      <c r="AM558" s="13">
        <f>IF(tblCleanData[[#This Row],[OverTime]] = "No", 0, 1)</f>
        <v>0</v>
      </c>
      <c r="AN558" s="13" t="str">
        <f>CHOOSE(tblCleanData[[#This Row],[Education]], "Below College","College","Bachelor","Master","Doctor")</f>
        <v>Bachelor</v>
      </c>
      <c r="AO558" s="13" t="str">
        <f>VLOOKUP(tblCleanData[[#This Row],[EmployeeNumber]],tblHelpers[],15,TRUE)</f>
        <v>Medium Risk</v>
      </c>
      <c r="AP558" s="13">
        <f>VLOOKUP(tblCleanData[[#This Row],[EmployeeNumber]],tblHelpers[],14,0)</f>
        <v>51</v>
      </c>
    </row>
    <row r="559" spans="1:42" x14ac:dyDescent="0.25">
      <c r="A559" s="13">
        <v>35</v>
      </c>
      <c r="B559" s="13" t="s">
        <v>59</v>
      </c>
      <c r="C559" s="13" t="s">
        <v>161</v>
      </c>
      <c r="D559" s="13">
        <v>1225</v>
      </c>
      <c r="E559" s="13" t="s">
        <v>62</v>
      </c>
      <c r="F559" s="13">
        <v>2</v>
      </c>
      <c r="G559" s="13">
        <v>4</v>
      </c>
      <c r="H559" s="13" t="s">
        <v>42</v>
      </c>
      <c r="I559" s="13">
        <v>1</v>
      </c>
      <c r="J559" s="13">
        <v>771</v>
      </c>
      <c r="K559" s="13">
        <v>4</v>
      </c>
      <c r="L559" s="13" t="s">
        <v>43</v>
      </c>
      <c r="M559" s="13">
        <v>61</v>
      </c>
      <c r="N559" s="13">
        <v>3</v>
      </c>
      <c r="O559" s="13">
        <v>2</v>
      </c>
      <c r="P559" s="13" t="s">
        <v>122</v>
      </c>
      <c r="Q559" s="13">
        <v>1</v>
      </c>
      <c r="R559" s="13" t="s">
        <v>109</v>
      </c>
      <c r="S559" s="20">
        <v>5093</v>
      </c>
      <c r="T559" s="13">
        <v>4761</v>
      </c>
      <c r="U559" s="13">
        <v>2</v>
      </c>
      <c r="V559" s="13" t="s">
        <v>52</v>
      </c>
      <c r="W559" s="13" t="s">
        <v>59</v>
      </c>
      <c r="X559" s="13">
        <v>11</v>
      </c>
      <c r="Y559" s="13">
        <v>3</v>
      </c>
      <c r="Z559" s="13">
        <v>1</v>
      </c>
      <c r="AA559" s="13">
        <v>80</v>
      </c>
      <c r="AB559" s="13">
        <v>1</v>
      </c>
      <c r="AC559" s="13">
        <v>16</v>
      </c>
      <c r="AD559" s="13">
        <v>2</v>
      </c>
      <c r="AE559" s="13">
        <v>4</v>
      </c>
      <c r="AF559" s="14">
        <v>1</v>
      </c>
      <c r="AG559" s="13">
        <v>0</v>
      </c>
      <c r="AH559" s="13">
        <v>0</v>
      </c>
      <c r="AI559" s="13">
        <v>0</v>
      </c>
      <c r="AJ559" s="13" t="str">
        <f t="shared" si="8"/>
        <v>30-39</v>
      </c>
      <c r="AK559" s="13" t="str">
        <f>IF(tblCleanData[[#This Row],[MonthlyIncome]]&lt;5000, "Low Income", IF(tblCleanData[[#This Row],[MonthlyIncome]]&lt;15000, "Medium Income", "High Income"))</f>
        <v>Medium Income</v>
      </c>
      <c r="AL559" s="13">
        <f>IF(tblCleanData[[#This Row],[Attrition]]="No", 0,1)</f>
        <v>0</v>
      </c>
      <c r="AM559" s="13">
        <f>IF(tblCleanData[[#This Row],[OverTime]] = "No", 0, 1)</f>
        <v>0</v>
      </c>
      <c r="AN559" s="13" t="str">
        <f>CHOOSE(tblCleanData[[#This Row],[Education]], "Below College","College","Bachelor","Master","Doctor")</f>
        <v>Master</v>
      </c>
      <c r="AO559" s="13" t="str">
        <f>VLOOKUP(tblCleanData[[#This Row],[EmployeeNumber]],tblHelpers[],15,TRUE)</f>
        <v>High Risk</v>
      </c>
      <c r="AP559" s="13">
        <f>VLOOKUP(tblCleanData[[#This Row],[EmployeeNumber]],tblHelpers[],14,0)</f>
        <v>75</v>
      </c>
    </row>
    <row r="560" spans="1:42" x14ac:dyDescent="0.25">
      <c r="A560" s="13">
        <v>32</v>
      </c>
      <c r="B560" s="13" t="s">
        <v>59</v>
      </c>
      <c r="C560" s="13" t="s">
        <v>60</v>
      </c>
      <c r="D560" s="13">
        <v>430</v>
      </c>
      <c r="E560" s="13" t="s">
        <v>62</v>
      </c>
      <c r="F560" s="13">
        <v>24</v>
      </c>
      <c r="G560" s="13">
        <v>4</v>
      </c>
      <c r="H560" s="13" t="s">
        <v>42</v>
      </c>
      <c r="I560" s="13">
        <v>1</v>
      </c>
      <c r="J560" s="13">
        <v>772</v>
      </c>
      <c r="K560" s="13">
        <v>1</v>
      </c>
      <c r="L560" s="13" t="s">
        <v>63</v>
      </c>
      <c r="M560" s="13">
        <v>80</v>
      </c>
      <c r="N560" s="13">
        <v>3</v>
      </c>
      <c r="O560" s="13">
        <v>2</v>
      </c>
      <c r="P560" s="13" t="s">
        <v>76</v>
      </c>
      <c r="Q560" s="13">
        <v>4</v>
      </c>
      <c r="R560" s="13" t="s">
        <v>66</v>
      </c>
      <c r="S560" s="20">
        <v>5309</v>
      </c>
      <c r="T560" s="13">
        <v>21146</v>
      </c>
      <c r="U560" s="13">
        <v>1</v>
      </c>
      <c r="V560" s="13" t="s">
        <v>52</v>
      </c>
      <c r="W560" s="13" t="s">
        <v>59</v>
      </c>
      <c r="X560" s="13">
        <v>15</v>
      </c>
      <c r="Y560" s="13">
        <v>3</v>
      </c>
      <c r="Z560" s="13">
        <v>4</v>
      </c>
      <c r="AA560" s="13">
        <v>80</v>
      </c>
      <c r="AB560" s="13">
        <v>2</v>
      </c>
      <c r="AC560" s="13">
        <v>10</v>
      </c>
      <c r="AD560" s="13">
        <v>2</v>
      </c>
      <c r="AE560" s="13">
        <v>3</v>
      </c>
      <c r="AF560" s="14">
        <v>10</v>
      </c>
      <c r="AG560" s="13">
        <v>8</v>
      </c>
      <c r="AH560" s="13">
        <v>4</v>
      </c>
      <c r="AI560" s="13">
        <v>7</v>
      </c>
      <c r="AJ560" s="13" t="str">
        <f t="shared" si="8"/>
        <v>30-39</v>
      </c>
      <c r="AK560" s="13" t="str">
        <f>IF(tblCleanData[[#This Row],[MonthlyIncome]]&lt;5000, "Low Income", IF(tblCleanData[[#This Row],[MonthlyIncome]]&lt;15000, "Medium Income", "High Income"))</f>
        <v>Medium Income</v>
      </c>
      <c r="AL560" s="13">
        <f>IF(tblCleanData[[#This Row],[Attrition]]="No", 0,1)</f>
        <v>0</v>
      </c>
      <c r="AM560" s="13">
        <f>IF(tblCleanData[[#This Row],[OverTime]] = "No", 0, 1)</f>
        <v>0</v>
      </c>
      <c r="AN560" s="13" t="str">
        <f>CHOOSE(tblCleanData[[#This Row],[Education]], "Below College","College","Bachelor","Master","Doctor")</f>
        <v>Master</v>
      </c>
      <c r="AO560" s="13" t="str">
        <f>VLOOKUP(tblCleanData[[#This Row],[EmployeeNumber]],tblHelpers[],15,TRUE)</f>
        <v>Medium Risk</v>
      </c>
      <c r="AP560" s="13">
        <f>VLOOKUP(tblCleanData[[#This Row],[EmployeeNumber]],tblHelpers[],14,0)</f>
        <v>39</v>
      </c>
    </row>
    <row r="561" spans="1:42" x14ac:dyDescent="0.25">
      <c r="A561" s="13">
        <v>38</v>
      </c>
      <c r="B561" s="13" t="s">
        <v>59</v>
      </c>
      <c r="C561" s="13" t="s">
        <v>37</v>
      </c>
      <c r="D561" s="13">
        <v>268</v>
      </c>
      <c r="E561" s="13" t="s">
        <v>62</v>
      </c>
      <c r="F561" s="13">
        <v>2</v>
      </c>
      <c r="G561" s="13">
        <v>5</v>
      </c>
      <c r="H561" s="13" t="s">
        <v>87</v>
      </c>
      <c r="I561" s="13">
        <v>1</v>
      </c>
      <c r="J561" s="13">
        <v>773</v>
      </c>
      <c r="K561" s="13">
        <v>4</v>
      </c>
      <c r="L561" s="13" t="s">
        <v>63</v>
      </c>
      <c r="M561" s="13">
        <v>92</v>
      </c>
      <c r="N561" s="13">
        <v>3</v>
      </c>
      <c r="O561" s="13">
        <v>1</v>
      </c>
      <c r="P561" s="13" t="s">
        <v>65</v>
      </c>
      <c r="Q561" s="13">
        <v>3</v>
      </c>
      <c r="R561" s="13" t="s">
        <v>66</v>
      </c>
      <c r="S561" s="20">
        <v>3057</v>
      </c>
      <c r="T561" s="13">
        <v>20471</v>
      </c>
      <c r="U561" s="13">
        <v>6</v>
      </c>
      <c r="V561" s="13" t="s">
        <v>52</v>
      </c>
      <c r="W561" s="13" t="s">
        <v>36</v>
      </c>
      <c r="X561" s="13">
        <v>13</v>
      </c>
      <c r="Y561" s="13">
        <v>3</v>
      </c>
      <c r="Z561" s="13">
        <v>2</v>
      </c>
      <c r="AA561" s="13">
        <v>80</v>
      </c>
      <c r="AB561" s="13">
        <v>1</v>
      </c>
      <c r="AC561" s="13">
        <v>6</v>
      </c>
      <c r="AD561" s="13">
        <v>0</v>
      </c>
      <c r="AE561" s="13">
        <v>1</v>
      </c>
      <c r="AF561" s="14">
        <v>1</v>
      </c>
      <c r="AG561" s="13">
        <v>0</v>
      </c>
      <c r="AH561" s="13">
        <v>0</v>
      </c>
      <c r="AI561" s="13">
        <v>1</v>
      </c>
      <c r="AJ561" s="13" t="str">
        <f t="shared" si="8"/>
        <v>30-39</v>
      </c>
      <c r="AK561" s="13" t="str">
        <f>IF(tblCleanData[[#This Row],[MonthlyIncome]]&lt;5000, "Low Income", IF(tblCleanData[[#This Row],[MonthlyIncome]]&lt;15000, "Medium Income", "High Income"))</f>
        <v>Low Income</v>
      </c>
      <c r="AL561" s="13">
        <f>IF(tblCleanData[[#This Row],[Attrition]]="No", 0,1)</f>
        <v>0</v>
      </c>
      <c r="AM561" s="13">
        <f>IF(tblCleanData[[#This Row],[OverTime]] = "No", 0, 1)</f>
        <v>1</v>
      </c>
      <c r="AN561" s="13" t="str">
        <f>CHOOSE(tblCleanData[[#This Row],[Education]], "Below College","College","Bachelor","Master","Doctor")</f>
        <v>Doctor</v>
      </c>
      <c r="AO561" s="13" t="str">
        <f>VLOOKUP(tblCleanData[[#This Row],[EmployeeNumber]],tblHelpers[],15,TRUE)</f>
        <v>High Risk</v>
      </c>
      <c r="AP561" s="13">
        <f>VLOOKUP(tblCleanData[[#This Row],[EmployeeNumber]],tblHelpers[],14,0)</f>
        <v>88</v>
      </c>
    </row>
    <row r="562" spans="1:42" x14ac:dyDescent="0.25">
      <c r="A562" s="13">
        <v>34</v>
      </c>
      <c r="B562" s="13" t="s">
        <v>59</v>
      </c>
      <c r="C562" s="13" t="s">
        <v>37</v>
      </c>
      <c r="D562" s="13">
        <v>167</v>
      </c>
      <c r="E562" s="13" t="s">
        <v>62</v>
      </c>
      <c r="F562" s="13">
        <v>8</v>
      </c>
      <c r="G562" s="13">
        <v>5</v>
      </c>
      <c r="H562" s="13" t="s">
        <v>42</v>
      </c>
      <c r="I562" s="13">
        <v>1</v>
      </c>
      <c r="J562" s="13">
        <v>775</v>
      </c>
      <c r="K562" s="13">
        <v>2</v>
      </c>
      <c r="L562" s="13" t="s">
        <v>43</v>
      </c>
      <c r="M562" s="13">
        <v>32</v>
      </c>
      <c r="N562" s="13">
        <v>3</v>
      </c>
      <c r="O562" s="13">
        <v>2</v>
      </c>
      <c r="P562" s="13" t="s">
        <v>116</v>
      </c>
      <c r="Q562" s="13">
        <v>1</v>
      </c>
      <c r="R562" s="13" t="s">
        <v>109</v>
      </c>
      <c r="S562" s="20">
        <v>5121</v>
      </c>
      <c r="T562" s="13">
        <v>4187</v>
      </c>
      <c r="U562" s="13">
        <v>3</v>
      </c>
      <c r="V562" s="13" t="s">
        <v>52</v>
      </c>
      <c r="W562" s="13" t="s">
        <v>59</v>
      </c>
      <c r="X562" s="13">
        <v>14</v>
      </c>
      <c r="Y562" s="13">
        <v>3</v>
      </c>
      <c r="Z562" s="13">
        <v>3</v>
      </c>
      <c r="AA562" s="13">
        <v>80</v>
      </c>
      <c r="AB562" s="13">
        <v>1</v>
      </c>
      <c r="AC562" s="13">
        <v>7</v>
      </c>
      <c r="AD562" s="13">
        <v>3</v>
      </c>
      <c r="AE562" s="13">
        <v>3</v>
      </c>
      <c r="AF562" s="14">
        <v>0</v>
      </c>
      <c r="AG562" s="13">
        <v>0</v>
      </c>
      <c r="AH562" s="13">
        <v>0</v>
      </c>
      <c r="AI562" s="13">
        <v>0</v>
      </c>
      <c r="AJ562" s="13" t="str">
        <f t="shared" si="8"/>
        <v>30-39</v>
      </c>
      <c r="AK562" s="13" t="str">
        <f>IF(tblCleanData[[#This Row],[MonthlyIncome]]&lt;5000, "Low Income", IF(tblCleanData[[#This Row],[MonthlyIncome]]&lt;15000, "Medium Income", "High Income"))</f>
        <v>Medium Income</v>
      </c>
      <c r="AL562" s="13">
        <f>IF(tblCleanData[[#This Row],[Attrition]]="No", 0,1)</f>
        <v>0</v>
      </c>
      <c r="AM562" s="13">
        <f>IF(tblCleanData[[#This Row],[OverTime]] = "No", 0, 1)</f>
        <v>0</v>
      </c>
      <c r="AN562" s="13" t="str">
        <f>CHOOSE(tblCleanData[[#This Row],[Education]], "Below College","College","Bachelor","Master","Doctor")</f>
        <v>Doctor</v>
      </c>
      <c r="AO562" s="13" t="str">
        <f>VLOOKUP(tblCleanData[[#This Row],[EmployeeNumber]],tblHelpers[],15,TRUE)</f>
        <v>High Risk</v>
      </c>
      <c r="AP562" s="13">
        <f>VLOOKUP(tblCleanData[[#This Row],[EmployeeNumber]],tblHelpers[],14,0)</f>
        <v>75</v>
      </c>
    </row>
    <row r="563" spans="1:42" x14ac:dyDescent="0.25">
      <c r="A563" s="13">
        <v>52</v>
      </c>
      <c r="B563" s="13" t="s">
        <v>59</v>
      </c>
      <c r="C563" s="13" t="s">
        <v>37</v>
      </c>
      <c r="D563" s="13">
        <v>621</v>
      </c>
      <c r="E563" s="13" t="s">
        <v>39</v>
      </c>
      <c r="F563" s="13">
        <v>3</v>
      </c>
      <c r="G563" s="13">
        <v>4</v>
      </c>
      <c r="H563" s="13" t="s">
        <v>206</v>
      </c>
      <c r="I563" s="13">
        <v>1</v>
      </c>
      <c r="J563" s="13">
        <v>776</v>
      </c>
      <c r="K563" s="13">
        <v>3</v>
      </c>
      <c r="L563" s="13" t="s">
        <v>63</v>
      </c>
      <c r="M563" s="13">
        <v>31</v>
      </c>
      <c r="N563" s="13">
        <v>2</v>
      </c>
      <c r="O563" s="13">
        <v>4</v>
      </c>
      <c r="P563" s="13" t="s">
        <v>169</v>
      </c>
      <c r="Q563" s="13">
        <v>1</v>
      </c>
      <c r="R563" s="13" t="s">
        <v>66</v>
      </c>
      <c r="S563" s="20">
        <v>16856</v>
      </c>
      <c r="T563" s="13">
        <v>10084</v>
      </c>
      <c r="U563" s="13">
        <v>1</v>
      </c>
      <c r="V563" s="13" t="s">
        <v>52</v>
      </c>
      <c r="W563" s="13" t="s">
        <v>59</v>
      </c>
      <c r="X563" s="13">
        <v>11</v>
      </c>
      <c r="Y563" s="13">
        <v>3</v>
      </c>
      <c r="Z563" s="13">
        <v>1</v>
      </c>
      <c r="AA563" s="13">
        <v>80</v>
      </c>
      <c r="AB563" s="13">
        <v>0</v>
      </c>
      <c r="AC563" s="13">
        <v>34</v>
      </c>
      <c r="AD563" s="13">
        <v>3</v>
      </c>
      <c r="AE563" s="13">
        <v>4</v>
      </c>
      <c r="AF563" s="14">
        <v>34</v>
      </c>
      <c r="AG563" s="13">
        <v>6</v>
      </c>
      <c r="AH563" s="13">
        <v>1</v>
      </c>
      <c r="AI563" s="13">
        <v>16</v>
      </c>
      <c r="AJ563" s="13" t="str">
        <f t="shared" si="8"/>
        <v>50+</v>
      </c>
      <c r="AK563" s="13" t="str">
        <f>IF(tblCleanData[[#This Row],[MonthlyIncome]]&lt;5000, "Low Income", IF(tblCleanData[[#This Row],[MonthlyIncome]]&lt;15000, "Medium Income", "High Income"))</f>
        <v>High Income</v>
      </c>
      <c r="AL563" s="13">
        <f>IF(tblCleanData[[#This Row],[Attrition]]="No", 0,1)</f>
        <v>0</v>
      </c>
      <c r="AM563" s="13">
        <f>IF(tblCleanData[[#This Row],[OverTime]] = "No", 0, 1)</f>
        <v>0</v>
      </c>
      <c r="AN563" s="13" t="str">
        <f>CHOOSE(tblCleanData[[#This Row],[Education]], "Below College","College","Bachelor","Master","Doctor")</f>
        <v>Master</v>
      </c>
      <c r="AO563" s="13" t="str">
        <f>VLOOKUP(tblCleanData[[#This Row],[EmployeeNumber]],tblHelpers[],15,TRUE)</f>
        <v>Medium Risk</v>
      </c>
      <c r="AP563" s="13">
        <f>VLOOKUP(tblCleanData[[#This Row],[EmployeeNumber]],tblHelpers[],14,0)</f>
        <v>48</v>
      </c>
    </row>
    <row r="564" spans="1:42" x14ac:dyDescent="0.25">
      <c r="A564" s="13">
        <v>33</v>
      </c>
      <c r="B564" s="13" t="s">
        <v>36</v>
      </c>
      <c r="C564" s="13" t="s">
        <v>37</v>
      </c>
      <c r="D564" s="13">
        <v>527</v>
      </c>
      <c r="E564" s="13" t="s">
        <v>62</v>
      </c>
      <c r="F564" s="13">
        <v>1</v>
      </c>
      <c r="G564" s="13">
        <v>4</v>
      </c>
      <c r="H564" s="13" t="s">
        <v>74</v>
      </c>
      <c r="I564" s="13">
        <v>1</v>
      </c>
      <c r="J564" s="13">
        <v>780</v>
      </c>
      <c r="K564" s="13">
        <v>4</v>
      </c>
      <c r="L564" s="13" t="s">
        <v>63</v>
      </c>
      <c r="M564" s="13">
        <v>63</v>
      </c>
      <c r="N564" s="13">
        <v>3</v>
      </c>
      <c r="O564" s="13">
        <v>1</v>
      </c>
      <c r="P564" s="13" t="s">
        <v>65</v>
      </c>
      <c r="Q564" s="13">
        <v>4</v>
      </c>
      <c r="R564" s="13" t="s">
        <v>48</v>
      </c>
      <c r="S564" s="20">
        <v>2686</v>
      </c>
      <c r="T564" s="13">
        <v>5207</v>
      </c>
      <c r="U564" s="13">
        <v>1</v>
      </c>
      <c r="V564" s="13" t="s">
        <v>52</v>
      </c>
      <c r="W564" s="13" t="s">
        <v>36</v>
      </c>
      <c r="X564" s="13">
        <v>13</v>
      </c>
      <c r="Y564" s="13">
        <v>3</v>
      </c>
      <c r="Z564" s="13">
        <v>3</v>
      </c>
      <c r="AA564" s="13">
        <v>80</v>
      </c>
      <c r="AB564" s="13">
        <v>0</v>
      </c>
      <c r="AC564" s="13">
        <v>10</v>
      </c>
      <c r="AD564" s="13">
        <v>2</v>
      </c>
      <c r="AE564" s="13">
        <v>2</v>
      </c>
      <c r="AF564" s="14">
        <v>10</v>
      </c>
      <c r="AG564" s="13">
        <v>9</v>
      </c>
      <c r="AH564" s="13">
        <v>7</v>
      </c>
      <c r="AI564" s="13">
        <v>8</v>
      </c>
      <c r="AJ564" s="13" t="str">
        <f t="shared" si="8"/>
        <v>30-39</v>
      </c>
      <c r="AK564" s="13" t="str">
        <f>IF(tblCleanData[[#This Row],[MonthlyIncome]]&lt;5000, "Low Income", IF(tblCleanData[[#This Row],[MonthlyIncome]]&lt;15000, "Medium Income", "High Income"))</f>
        <v>Low Income</v>
      </c>
      <c r="AL564" s="13">
        <f>IF(tblCleanData[[#This Row],[Attrition]]="No", 0,1)</f>
        <v>1</v>
      </c>
      <c r="AM564" s="13">
        <f>IF(tblCleanData[[#This Row],[OverTime]] = "No", 0, 1)</f>
        <v>1</v>
      </c>
      <c r="AN564" s="13" t="str">
        <f>CHOOSE(tblCleanData[[#This Row],[Education]], "Below College","College","Bachelor","Master","Doctor")</f>
        <v>Master</v>
      </c>
      <c r="AO564" s="13" t="str">
        <f>VLOOKUP(tblCleanData[[#This Row],[EmployeeNumber]],tblHelpers[],15,TRUE)</f>
        <v>High Risk</v>
      </c>
      <c r="AP564" s="13">
        <f>VLOOKUP(tblCleanData[[#This Row],[EmployeeNumber]],tblHelpers[],14,0)</f>
        <v>64</v>
      </c>
    </row>
    <row r="565" spans="1:42" x14ac:dyDescent="0.25">
      <c r="A565" s="13">
        <v>25</v>
      </c>
      <c r="B565" s="13" t="s">
        <v>59</v>
      </c>
      <c r="C565" s="13" t="s">
        <v>37</v>
      </c>
      <c r="D565" s="13">
        <v>883</v>
      </c>
      <c r="E565" s="13" t="s">
        <v>39</v>
      </c>
      <c r="F565" s="13">
        <v>26</v>
      </c>
      <c r="G565" s="13">
        <v>1</v>
      </c>
      <c r="H565" s="13" t="s">
        <v>87</v>
      </c>
      <c r="I565" s="13">
        <v>1</v>
      </c>
      <c r="J565" s="13">
        <v>781</v>
      </c>
      <c r="K565" s="13">
        <v>3</v>
      </c>
      <c r="L565" s="13" t="s">
        <v>43</v>
      </c>
      <c r="M565" s="13">
        <v>32</v>
      </c>
      <c r="N565" s="13">
        <v>3</v>
      </c>
      <c r="O565" s="13">
        <v>2</v>
      </c>
      <c r="P565" s="13" t="s">
        <v>46</v>
      </c>
      <c r="Q565" s="13">
        <v>4</v>
      </c>
      <c r="R565" s="13" t="s">
        <v>48</v>
      </c>
      <c r="S565" s="20">
        <v>6180</v>
      </c>
      <c r="T565" s="13">
        <v>22807</v>
      </c>
      <c r="U565" s="13">
        <v>1</v>
      </c>
      <c r="V565" s="13" t="s">
        <v>52</v>
      </c>
      <c r="W565" s="13" t="s">
        <v>59</v>
      </c>
      <c r="X565" s="13">
        <v>23</v>
      </c>
      <c r="Y565" s="13">
        <v>4</v>
      </c>
      <c r="Z565" s="13">
        <v>2</v>
      </c>
      <c r="AA565" s="13">
        <v>80</v>
      </c>
      <c r="AB565" s="13">
        <v>0</v>
      </c>
      <c r="AC565" s="13">
        <v>6</v>
      </c>
      <c r="AD565" s="13">
        <v>5</v>
      </c>
      <c r="AE565" s="13">
        <v>2</v>
      </c>
      <c r="AF565" s="14">
        <v>6</v>
      </c>
      <c r="AG565" s="13">
        <v>5</v>
      </c>
      <c r="AH565" s="13">
        <v>1</v>
      </c>
      <c r="AI565" s="13">
        <v>4</v>
      </c>
      <c r="AJ565" s="13" t="str">
        <f t="shared" si="8"/>
        <v>Under 30</v>
      </c>
      <c r="AK565" s="13" t="str">
        <f>IF(tblCleanData[[#This Row],[MonthlyIncome]]&lt;5000, "Low Income", IF(tblCleanData[[#This Row],[MonthlyIncome]]&lt;15000, "Medium Income", "High Income"))</f>
        <v>Medium Income</v>
      </c>
      <c r="AL565" s="13">
        <f>IF(tblCleanData[[#This Row],[Attrition]]="No", 0,1)</f>
        <v>0</v>
      </c>
      <c r="AM565" s="13">
        <f>IF(tblCleanData[[#This Row],[OverTime]] = "No", 0, 1)</f>
        <v>0</v>
      </c>
      <c r="AN565" s="13" t="str">
        <f>CHOOSE(tblCleanData[[#This Row],[Education]], "Below College","College","Bachelor","Master","Doctor")</f>
        <v>Below College</v>
      </c>
      <c r="AO565" s="13" t="str">
        <f>VLOOKUP(tblCleanData[[#This Row],[EmployeeNumber]],tblHelpers[],15,TRUE)</f>
        <v>Medium Risk</v>
      </c>
      <c r="AP565" s="13">
        <f>VLOOKUP(tblCleanData[[#This Row],[EmployeeNumber]],tblHelpers[],14,0)</f>
        <v>49</v>
      </c>
    </row>
    <row r="566" spans="1:42" x14ac:dyDescent="0.25">
      <c r="A566" s="13">
        <v>45</v>
      </c>
      <c r="B566" s="13" t="s">
        <v>59</v>
      </c>
      <c r="C566" s="13" t="s">
        <v>37</v>
      </c>
      <c r="D566" s="13">
        <v>954</v>
      </c>
      <c r="E566" s="13" t="s">
        <v>39</v>
      </c>
      <c r="F566" s="13">
        <v>2</v>
      </c>
      <c r="G566" s="13">
        <v>2</v>
      </c>
      <c r="H566" s="13" t="s">
        <v>228</v>
      </c>
      <c r="I566" s="13">
        <v>1</v>
      </c>
      <c r="J566" s="13">
        <v>783</v>
      </c>
      <c r="K566" s="13">
        <v>2</v>
      </c>
      <c r="L566" s="13" t="s">
        <v>63</v>
      </c>
      <c r="M566" s="13">
        <v>46</v>
      </c>
      <c r="N566" s="13">
        <v>1</v>
      </c>
      <c r="O566" s="13">
        <v>2</v>
      </c>
      <c r="P566" s="13" t="s">
        <v>182</v>
      </c>
      <c r="Q566" s="13">
        <v>3</v>
      </c>
      <c r="R566" s="13" t="s">
        <v>48</v>
      </c>
      <c r="S566" s="20">
        <v>6632</v>
      </c>
      <c r="T566" s="13">
        <v>12388</v>
      </c>
      <c r="U566" s="13">
        <v>0</v>
      </c>
      <c r="V566" s="13" t="s">
        <v>52</v>
      </c>
      <c r="W566" s="13" t="s">
        <v>59</v>
      </c>
      <c r="X566" s="13">
        <v>13</v>
      </c>
      <c r="Y566" s="13">
        <v>3</v>
      </c>
      <c r="Z566" s="13">
        <v>1</v>
      </c>
      <c r="AA566" s="13">
        <v>80</v>
      </c>
      <c r="AB566" s="13">
        <v>0</v>
      </c>
      <c r="AC566" s="13">
        <v>9</v>
      </c>
      <c r="AD566" s="13">
        <v>3</v>
      </c>
      <c r="AE566" s="13">
        <v>3</v>
      </c>
      <c r="AF566" s="14">
        <v>8</v>
      </c>
      <c r="AG566" s="13">
        <v>7</v>
      </c>
      <c r="AH566" s="13">
        <v>3</v>
      </c>
      <c r="AI566" s="13">
        <v>1</v>
      </c>
      <c r="AJ566" s="13" t="str">
        <f t="shared" si="8"/>
        <v>40-49</v>
      </c>
      <c r="AK566" s="13" t="str">
        <f>IF(tblCleanData[[#This Row],[MonthlyIncome]]&lt;5000, "Low Income", IF(tblCleanData[[#This Row],[MonthlyIncome]]&lt;15000, "Medium Income", "High Income"))</f>
        <v>Medium Income</v>
      </c>
      <c r="AL566" s="13">
        <f>IF(tblCleanData[[#This Row],[Attrition]]="No", 0,1)</f>
        <v>0</v>
      </c>
      <c r="AM566" s="13">
        <f>IF(tblCleanData[[#This Row],[OverTime]] = "No", 0, 1)</f>
        <v>0</v>
      </c>
      <c r="AN566" s="13" t="str">
        <f>CHOOSE(tblCleanData[[#This Row],[Education]], "Below College","College","Bachelor","Master","Doctor")</f>
        <v>College</v>
      </c>
      <c r="AO566" s="13" t="str">
        <f>VLOOKUP(tblCleanData[[#This Row],[EmployeeNumber]],tblHelpers[],15,TRUE)</f>
        <v>Medium Risk</v>
      </c>
      <c r="AP566" s="13">
        <f>VLOOKUP(tblCleanData[[#This Row],[EmployeeNumber]],tblHelpers[],14,0)</f>
        <v>36</v>
      </c>
    </row>
    <row r="567" spans="1:42" x14ac:dyDescent="0.25">
      <c r="A567" s="13">
        <v>23</v>
      </c>
      <c r="B567" s="13" t="s">
        <v>59</v>
      </c>
      <c r="C567" s="13" t="s">
        <v>37</v>
      </c>
      <c r="D567" s="13">
        <v>310</v>
      </c>
      <c r="E567" s="13" t="s">
        <v>62</v>
      </c>
      <c r="F567" s="13">
        <v>10</v>
      </c>
      <c r="G567" s="13">
        <v>1</v>
      </c>
      <c r="H567" s="13" t="s">
        <v>87</v>
      </c>
      <c r="I567" s="13">
        <v>1</v>
      </c>
      <c r="J567" s="13">
        <v>784</v>
      </c>
      <c r="K567" s="13">
        <v>1</v>
      </c>
      <c r="L567" s="13" t="s">
        <v>63</v>
      </c>
      <c r="M567" s="13">
        <v>79</v>
      </c>
      <c r="N567" s="13">
        <v>4</v>
      </c>
      <c r="O567" s="13">
        <v>1</v>
      </c>
      <c r="P567" s="13" t="s">
        <v>65</v>
      </c>
      <c r="Q567" s="13">
        <v>3</v>
      </c>
      <c r="R567" s="13" t="s">
        <v>48</v>
      </c>
      <c r="S567" s="20">
        <v>3505</v>
      </c>
      <c r="T567" s="13">
        <v>19630</v>
      </c>
      <c r="U567" s="13">
        <v>1</v>
      </c>
      <c r="V567" s="13" t="s">
        <v>52</v>
      </c>
      <c r="W567" s="13" t="s">
        <v>59</v>
      </c>
      <c r="X567" s="13">
        <v>18</v>
      </c>
      <c r="Y567" s="13">
        <v>3</v>
      </c>
      <c r="Z567" s="13">
        <v>4</v>
      </c>
      <c r="AA567" s="13">
        <v>80</v>
      </c>
      <c r="AB567" s="13">
        <v>0</v>
      </c>
      <c r="AC567" s="13">
        <v>2</v>
      </c>
      <c r="AD567" s="13">
        <v>3</v>
      </c>
      <c r="AE567" s="13">
        <v>3</v>
      </c>
      <c r="AF567" s="14">
        <v>2</v>
      </c>
      <c r="AG567" s="13">
        <v>2</v>
      </c>
      <c r="AH567" s="13">
        <v>0</v>
      </c>
      <c r="AI567" s="13">
        <v>2</v>
      </c>
      <c r="AJ567" s="13" t="str">
        <f t="shared" si="8"/>
        <v>Under 30</v>
      </c>
      <c r="AK567" s="13" t="str">
        <f>IF(tblCleanData[[#This Row],[MonthlyIncome]]&lt;5000, "Low Income", IF(tblCleanData[[#This Row],[MonthlyIncome]]&lt;15000, "Medium Income", "High Income"))</f>
        <v>Low Income</v>
      </c>
      <c r="AL567" s="13">
        <f>IF(tblCleanData[[#This Row],[Attrition]]="No", 0,1)</f>
        <v>0</v>
      </c>
      <c r="AM567" s="13">
        <f>IF(tblCleanData[[#This Row],[OverTime]] = "No", 0, 1)</f>
        <v>0</v>
      </c>
      <c r="AN567" s="13" t="str">
        <f>CHOOSE(tblCleanData[[#This Row],[Education]], "Below College","College","Bachelor","Master","Doctor")</f>
        <v>Below College</v>
      </c>
      <c r="AO567" s="13" t="str">
        <f>VLOOKUP(tblCleanData[[#This Row],[EmployeeNumber]],tblHelpers[],15,TRUE)</f>
        <v>High Risk</v>
      </c>
      <c r="AP567" s="13">
        <f>VLOOKUP(tblCleanData[[#This Row],[EmployeeNumber]],tblHelpers[],14,0)</f>
        <v>73</v>
      </c>
    </row>
    <row r="568" spans="1:42" x14ac:dyDescent="0.25">
      <c r="A568" s="13">
        <v>47</v>
      </c>
      <c r="B568" s="13" t="s">
        <v>36</v>
      </c>
      <c r="C568" s="13" t="s">
        <v>60</v>
      </c>
      <c r="D568" s="13">
        <v>719</v>
      </c>
      <c r="E568" s="13" t="s">
        <v>39</v>
      </c>
      <c r="F568" s="13">
        <v>27</v>
      </c>
      <c r="G568" s="13">
        <v>2</v>
      </c>
      <c r="H568" s="13" t="s">
        <v>42</v>
      </c>
      <c r="I568" s="13">
        <v>1</v>
      </c>
      <c r="J568" s="13">
        <v>785</v>
      </c>
      <c r="K568" s="13">
        <v>2</v>
      </c>
      <c r="L568" s="13" t="s">
        <v>43</v>
      </c>
      <c r="M568" s="13">
        <v>77</v>
      </c>
      <c r="N568" s="13">
        <v>4</v>
      </c>
      <c r="O568" s="13">
        <v>2</v>
      </c>
      <c r="P568" s="13" t="s">
        <v>46</v>
      </c>
      <c r="Q568" s="13">
        <v>3</v>
      </c>
      <c r="R568" s="13" t="s">
        <v>48</v>
      </c>
      <c r="S568" s="20">
        <v>6397</v>
      </c>
      <c r="T568" s="13">
        <v>10339</v>
      </c>
      <c r="U568" s="13">
        <v>4</v>
      </c>
      <c r="V568" s="13" t="s">
        <v>52</v>
      </c>
      <c r="W568" s="13" t="s">
        <v>36</v>
      </c>
      <c r="X568" s="13">
        <v>12</v>
      </c>
      <c r="Y568" s="13">
        <v>3</v>
      </c>
      <c r="Z568" s="13">
        <v>4</v>
      </c>
      <c r="AA568" s="13">
        <v>80</v>
      </c>
      <c r="AB568" s="13">
        <v>0</v>
      </c>
      <c r="AC568" s="13">
        <v>8</v>
      </c>
      <c r="AD568" s="13">
        <v>2</v>
      </c>
      <c r="AE568" s="13">
        <v>3</v>
      </c>
      <c r="AF568" s="14">
        <v>5</v>
      </c>
      <c r="AG568" s="13">
        <v>4</v>
      </c>
      <c r="AH568" s="13">
        <v>1</v>
      </c>
      <c r="AI568" s="13">
        <v>3</v>
      </c>
      <c r="AJ568" s="13" t="str">
        <f t="shared" si="8"/>
        <v>40-49</v>
      </c>
      <c r="AK568" s="13" t="str">
        <f>IF(tblCleanData[[#This Row],[MonthlyIncome]]&lt;5000, "Low Income", IF(tblCleanData[[#This Row],[MonthlyIncome]]&lt;15000, "Medium Income", "High Income"))</f>
        <v>Medium Income</v>
      </c>
      <c r="AL568" s="13">
        <f>IF(tblCleanData[[#This Row],[Attrition]]="No", 0,1)</f>
        <v>1</v>
      </c>
      <c r="AM568" s="13">
        <f>IF(tblCleanData[[#This Row],[OverTime]] = "No", 0, 1)</f>
        <v>1</v>
      </c>
      <c r="AN568" s="13" t="str">
        <f>CHOOSE(tblCleanData[[#This Row],[Education]], "Below College","College","Bachelor","Master","Doctor")</f>
        <v>College</v>
      </c>
      <c r="AO568" s="13" t="str">
        <f>VLOOKUP(tblCleanData[[#This Row],[EmployeeNumber]],tblHelpers[],15,TRUE)</f>
        <v>High Risk</v>
      </c>
      <c r="AP568" s="13">
        <f>VLOOKUP(tblCleanData[[#This Row],[EmployeeNumber]],tblHelpers[],14,0)</f>
        <v>68</v>
      </c>
    </row>
    <row r="569" spans="1:42" x14ac:dyDescent="0.25">
      <c r="A569" s="13">
        <v>34</v>
      </c>
      <c r="B569" s="13" t="s">
        <v>59</v>
      </c>
      <c r="C569" s="13" t="s">
        <v>37</v>
      </c>
      <c r="D569" s="13">
        <v>304</v>
      </c>
      <c r="E569" s="13" t="s">
        <v>39</v>
      </c>
      <c r="F569" s="13">
        <v>2</v>
      </c>
      <c r="G569" s="13">
        <v>3</v>
      </c>
      <c r="H569" s="13" t="s">
        <v>74</v>
      </c>
      <c r="I569" s="13">
        <v>1</v>
      </c>
      <c r="J569" s="13">
        <v>786</v>
      </c>
      <c r="K569" s="13">
        <v>4</v>
      </c>
      <c r="L569" s="13" t="s">
        <v>63</v>
      </c>
      <c r="M569" s="13">
        <v>60</v>
      </c>
      <c r="N569" s="13">
        <v>3</v>
      </c>
      <c r="O569" s="13">
        <v>2</v>
      </c>
      <c r="P569" s="13" t="s">
        <v>46</v>
      </c>
      <c r="Q569" s="13">
        <v>4</v>
      </c>
      <c r="R569" s="13" t="s">
        <v>48</v>
      </c>
      <c r="S569" s="20">
        <v>6274</v>
      </c>
      <c r="T569" s="13">
        <v>18686</v>
      </c>
      <c r="U569" s="13">
        <v>1</v>
      </c>
      <c r="V569" s="13" t="s">
        <v>52</v>
      </c>
      <c r="W569" s="13" t="s">
        <v>59</v>
      </c>
      <c r="X569" s="13">
        <v>22</v>
      </c>
      <c r="Y569" s="13">
        <v>4</v>
      </c>
      <c r="Z569" s="13">
        <v>3</v>
      </c>
      <c r="AA569" s="13">
        <v>80</v>
      </c>
      <c r="AB569" s="13">
        <v>0</v>
      </c>
      <c r="AC569" s="13">
        <v>6</v>
      </c>
      <c r="AD569" s="13">
        <v>5</v>
      </c>
      <c r="AE569" s="13">
        <v>3</v>
      </c>
      <c r="AF569" s="14">
        <v>6</v>
      </c>
      <c r="AG569" s="13">
        <v>5</v>
      </c>
      <c r="AH569" s="13">
        <v>1</v>
      </c>
      <c r="AI569" s="13">
        <v>4</v>
      </c>
      <c r="AJ569" s="13" t="str">
        <f t="shared" si="8"/>
        <v>30-39</v>
      </c>
      <c r="AK569" s="13" t="str">
        <f>IF(tblCleanData[[#This Row],[MonthlyIncome]]&lt;5000, "Low Income", IF(tblCleanData[[#This Row],[MonthlyIncome]]&lt;15000, "Medium Income", "High Income"))</f>
        <v>Medium Income</v>
      </c>
      <c r="AL569" s="13">
        <f>IF(tblCleanData[[#This Row],[Attrition]]="No", 0,1)</f>
        <v>0</v>
      </c>
      <c r="AM569" s="13">
        <f>IF(tblCleanData[[#This Row],[OverTime]] = "No", 0, 1)</f>
        <v>0</v>
      </c>
      <c r="AN569" s="13" t="str">
        <f>CHOOSE(tblCleanData[[#This Row],[Education]], "Below College","College","Bachelor","Master","Doctor")</f>
        <v>Bachelor</v>
      </c>
      <c r="AO569" s="13" t="str">
        <f>VLOOKUP(tblCleanData[[#This Row],[EmployeeNumber]],tblHelpers[],15,TRUE)</f>
        <v>Medium Risk</v>
      </c>
      <c r="AP569" s="13">
        <f>VLOOKUP(tblCleanData[[#This Row],[EmployeeNumber]],tblHelpers[],14,0)</f>
        <v>39</v>
      </c>
    </row>
    <row r="570" spans="1:42" x14ac:dyDescent="0.25">
      <c r="A570" s="13">
        <v>55</v>
      </c>
      <c r="B570" s="13" t="s">
        <v>36</v>
      </c>
      <c r="C570" s="13" t="s">
        <v>37</v>
      </c>
      <c r="D570" s="13">
        <v>725</v>
      </c>
      <c r="E570" s="13" t="s">
        <v>62</v>
      </c>
      <c r="F570" s="13">
        <v>2</v>
      </c>
      <c r="G570" s="13">
        <v>3</v>
      </c>
      <c r="H570" s="13" t="s">
        <v>87</v>
      </c>
      <c r="I570" s="13">
        <v>1</v>
      </c>
      <c r="J570" s="13">
        <v>787</v>
      </c>
      <c r="K570" s="13">
        <v>4</v>
      </c>
      <c r="L570" s="13" t="s">
        <v>63</v>
      </c>
      <c r="M570" s="13">
        <v>78</v>
      </c>
      <c r="N570" s="13">
        <v>3</v>
      </c>
      <c r="O570" s="13">
        <v>5</v>
      </c>
      <c r="P570" s="13" t="s">
        <v>169</v>
      </c>
      <c r="Q570" s="13">
        <v>1</v>
      </c>
      <c r="R570" s="13" t="s">
        <v>66</v>
      </c>
      <c r="S570" s="20">
        <v>19859</v>
      </c>
      <c r="T570" s="13">
        <v>21199</v>
      </c>
      <c r="U570" s="13">
        <v>5</v>
      </c>
      <c r="V570" s="13" t="s">
        <v>52</v>
      </c>
      <c r="W570" s="13" t="s">
        <v>36</v>
      </c>
      <c r="X570" s="13">
        <v>13</v>
      </c>
      <c r="Y570" s="13">
        <v>3</v>
      </c>
      <c r="Z570" s="13">
        <v>4</v>
      </c>
      <c r="AA570" s="13">
        <v>80</v>
      </c>
      <c r="AB570" s="13">
        <v>1</v>
      </c>
      <c r="AC570" s="13">
        <v>24</v>
      </c>
      <c r="AD570" s="13">
        <v>2</v>
      </c>
      <c r="AE570" s="13">
        <v>3</v>
      </c>
      <c r="AF570" s="14">
        <v>5</v>
      </c>
      <c r="AG570" s="13">
        <v>2</v>
      </c>
      <c r="AH570" s="13">
        <v>1</v>
      </c>
      <c r="AI570" s="13">
        <v>4</v>
      </c>
      <c r="AJ570" s="13" t="str">
        <f t="shared" si="8"/>
        <v>50+</v>
      </c>
      <c r="AK570" s="13" t="str">
        <f>IF(tblCleanData[[#This Row],[MonthlyIncome]]&lt;5000, "Low Income", IF(tblCleanData[[#This Row],[MonthlyIncome]]&lt;15000, "Medium Income", "High Income"))</f>
        <v>High Income</v>
      </c>
      <c r="AL570" s="13">
        <f>IF(tblCleanData[[#This Row],[Attrition]]="No", 0,1)</f>
        <v>1</v>
      </c>
      <c r="AM570" s="13">
        <f>IF(tblCleanData[[#This Row],[OverTime]] = "No", 0, 1)</f>
        <v>1</v>
      </c>
      <c r="AN570" s="13" t="str">
        <f>CHOOSE(tblCleanData[[#This Row],[Education]], "Below College","College","Bachelor","Master","Doctor")</f>
        <v>Bachelor</v>
      </c>
      <c r="AO570" s="13" t="str">
        <f>VLOOKUP(tblCleanData[[#This Row],[EmployeeNumber]],tblHelpers[],15,TRUE)</f>
        <v>High Risk</v>
      </c>
      <c r="AP570" s="13">
        <f>VLOOKUP(tblCleanData[[#This Row],[EmployeeNumber]],tblHelpers[],14,0)</f>
        <v>85</v>
      </c>
    </row>
    <row r="571" spans="1:42" x14ac:dyDescent="0.25">
      <c r="A571" s="13">
        <v>36</v>
      </c>
      <c r="B571" s="13" t="s">
        <v>59</v>
      </c>
      <c r="C571" s="13" t="s">
        <v>161</v>
      </c>
      <c r="D571" s="13">
        <v>1434</v>
      </c>
      <c r="E571" s="13" t="s">
        <v>39</v>
      </c>
      <c r="F571" s="13">
        <v>8</v>
      </c>
      <c r="G571" s="13">
        <v>4</v>
      </c>
      <c r="H571" s="13" t="s">
        <v>42</v>
      </c>
      <c r="I571" s="13">
        <v>1</v>
      </c>
      <c r="J571" s="13">
        <v>789</v>
      </c>
      <c r="K571" s="13">
        <v>1</v>
      </c>
      <c r="L571" s="13" t="s">
        <v>63</v>
      </c>
      <c r="M571" s="13">
        <v>76</v>
      </c>
      <c r="N571" s="13">
        <v>2</v>
      </c>
      <c r="O571" s="13">
        <v>3</v>
      </c>
      <c r="P571" s="13" t="s">
        <v>46</v>
      </c>
      <c r="Q571" s="13">
        <v>1</v>
      </c>
      <c r="R571" s="13" t="s">
        <v>48</v>
      </c>
      <c r="S571" s="20">
        <v>7587</v>
      </c>
      <c r="T571" s="13">
        <v>14229</v>
      </c>
      <c r="U571" s="13">
        <v>1</v>
      </c>
      <c r="V571" s="13" t="s">
        <v>52</v>
      </c>
      <c r="W571" s="13" t="s">
        <v>59</v>
      </c>
      <c r="X571" s="13">
        <v>15</v>
      </c>
      <c r="Y571" s="13">
        <v>3</v>
      </c>
      <c r="Z571" s="13">
        <v>2</v>
      </c>
      <c r="AA571" s="13">
        <v>80</v>
      </c>
      <c r="AB571" s="13">
        <v>0</v>
      </c>
      <c r="AC571" s="13">
        <v>10</v>
      </c>
      <c r="AD571" s="13">
        <v>1</v>
      </c>
      <c r="AE571" s="13">
        <v>3</v>
      </c>
      <c r="AF571" s="14">
        <v>10</v>
      </c>
      <c r="AG571" s="13">
        <v>7</v>
      </c>
      <c r="AH571" s="13">
        <v>0</v>
      </c>
      <c r="AI571" s="13">
        <v>9</v>
      </c>
      <c r="AJ571" s="13" t="str">
        <f t="shared" si="8"/>
        <v>30-39</v>
      </c>
      <c r="AK571" s="13" t="str">
        <f>IF(tblCleanData[[#This Row],[MonthlyIncome]]&lt;5000, "Low Income", IF(tblCleanData[[#This Row],[MonthlyIncome]]&lt;15000, "Medium Income", "High Income"))</f>
        <v>Medium Income</v>
      </c>
      <c r="AL571" s="13">
        <f>IF(tblCleanData[[#This Row],[Attrition]]="No", 0,1)</f>
        <v>0</v>
      </c>
      <c r="AM571" s="13">
        <f>IF(tblCleanData[[#This Row],[OverTime]] = "No", 0, 1)</f>
        <v>0</v>
      </c>
      <c r="AN571" s="13" t="str">
        <f>CHOOSE(tblCleanData[[#This Row],[Education]], "Below College","College","Bachelor","Master","Doctor")</f>
        <v>Master</v>
      </c>
      <c r="AO571" s="13" t="str">
        <f>VLOOKUP(tblCleanData[[#This Row],[EmployeeNumber]],tblHelpers[],15,TRUE)</f>
        <v>High Risk</v>
      </c>
      <c r="AP571" s="13">
        <f>VLOOKUP(tblCleanData[[#This Row],[EmployeeNumber]],tblHelpers[],14,0)</f>
        <v>58</v>
      </c>
    </row>
    <row r="572" spans="1:42" x14ac:dyDescent="0.25">
      <c r="A572" s="13">
        <v>52</v>
      </c>
      <c r="B572" s="13" t="s">
        <v>59</v>
      </c>
      <c r="C572" s="13" t="s">
        <v>161</v>
      </c>
      <c r="D572" s="13">
        <v>715</v>
      </c>
      <c r="E572" s="13" t="s">
        <v>62</v>
      </c>
      <c r="F572" s="13">
        <v>19</v>
      </c>
      <c r="G572" s="13">
        <v>4</v>
      </c>
      <c r="H572" s="13" t="s">
        <v>87</v>
      </c>
      <c r="I572" s="13">
        <v>1</v>
      </c>
      <c r="J572" s="13">
        <v>791</v>
      </c>
      <c r="K572" s="13">
        <v>4</v>
      </c>
      <c r="L572" s="13" t="s">
        <v>63</v>
      </c>
      <c r="M572" s="13">
        <v>41</v>
      </c>
      <c r="N572" s="13">
        <v>3</v>
      </c>
      <c r="O572" s="13">
        <v>1</v>
      </c>
      <c r="P572" s="13" t="s">
        <v>65</v>
      </c>
      <c r="Q572" s="13">
        <v>4</v>
      </c>
      <c r="R572" s="13" t="s">
        <v>66</v>
      </c>
      <c r="S572" s="20">
        <v>4258</v>
      </c>
      <c r="T572" s="13">
        <v>26589</v>
      </c>
      <c r="U572" s="13">
        <v>0</v>
      </c>
      <c r="V572" s="13" t="s">
        <v>52</v>
      </c>
      <c r="W572" s="13" t="s">
        <v>59</v>
      </c>
      <c r="X572" s="13">
        <v>18</v>
      </c>
      <c r="Y572" s="13">
        <v>3</v>
      </c>
      <c r="Z572" s="13">
        <v>1</v>
      </c>
      <c r="AA572" s="13">
        <v>80</v>
      </c>
      <c r="AB572" s="13">
        <v>1</v>
      </c>
      <c r="AC572" s="13">
        <v>5</v>
      </c>
      <c r="AD572" s="13">
        <v>3</v>
      </c>
      <c r="AE572" s="13">
        <v>3</v>
      </c>
      <c r="AF572" s="14">
        <v>4</v>
      </c>
      <c r="AG572" s="13">
        <v>3</v>
      </c>
      <c r="AH572" s="13">
        <v>1</v>
      </c>
      <c r="AI572" s="13">
        <v>2</v>
      </c>
      <c r="AJ572" s="13" t="str">
        <f t="shared" si="8"/>
        <v>50+</v>
      </c>
      <c r="AK572" s="13" t="str">
        <f>IF(tblCleanData[[#This Row],[MonthlyIncome]]&lt;5000, "Low Income", IF(tblCleanData[[#This Row],[MonthlyIncome]]&lt;15000, "Medium Income", "High Income"))</f>
        <v>Low Income</v>
      </c>
      <c r="AL572" s="13">
        <f>IF(tblCleanData[[#This Row],[Attrition]]="No", 0,1)</f>
        <v>0</v>
      </c>
      <c r="AM572" s="13">
        <f>IF(tblCleanData[[#This Row],[OverTime]] = "No", 0, 1)</f>
        <v>0</v>
      </c>
      <c r="AN572" s="13" t="str">
        <f>CHOOSE(tblCleanData[[#This Row],[Education]], "Below College","College","Bachelor","Master","Doctor")</f>
        <v>Master</v>
      </c>
      <c r="AO572" s="13" t="str">
        <f>VLOOKUP(tblCleanData[[#This Row],[EmployeeNumber]],tblHelpers[],15,TRUE)</f>
        <v>Medium Risk</v>
      </c>
      <c r="AP572" s="13">
        <f>VLOOKUP(tblCleanData[[#This Row],[EmployeeNumber]],tblHelpers[],14,0)</f>
        <v>41</v>
      </c>
    </row>
    <row r="573" spans="1:42" x14ac:dyDescent="0.25">
      <c r="A573" s="13">
        <v>26</v>
      </c>
      <c r="B573" s="13" t="s">
        <v>59</v>
      </c>
      <c r="C573" s="13" t="s">
        <v>60</v>
      </c>
      <c r="D573" s="13">
        <v>575</v>
      </c>
      <c r="E573" s="13" t="s">
        <v>62</v>
      </c>
      <c r="F573" s="13">
        <v>1</v>
      </c>
      <c r="G573" s="13">
        <v>2</v>
      </c>
      <c r="H573" s="13" t="s">
        <v>42</v>
      </c>
      <c r="I573" s="13">
        <v>1</v>
      </c>
      <c r="J573" s="13">
        <v>792</v>
      </c>
      <c r="K573" s="13">
        <v>1</v>
      </c>
      <c r="L573" s="13" t="s">
        <v>43</v>
      </c>
      <c r="M573" s="13">
        <v>71</v>
      </c>
      <c r="N573" s="13">
        <v>1</v>
      </c>
      <c r="O573" s="13">
        <v>1</v>
      </c>
      <c r="P573" s="13" t="s">
        <v>76</v>
      </c>
      <c r="Q573" s="13">
        <v>4</v>
      </c>
      <c r="R573" s="13" t="s">
        <v>109</v>
      </c>
      <c r="S573" s="20">
        <v>4364</v>
      </c>
      <c r="T573" s="13">
        <v>5288</v>
      </c>
      <c r="U573" s="13">
        <v>3</v>
      </c>
      <c r="V573" s="13" t="s">
        <v>52</v>
      </c>
      <c r="W573" s="13" t="s">
        <v>59</v>
      </c>
      <c r="X573" s="13">
        <v>14</v>
      </c>
      <c r="Y573" s="13">
        <v>3</v>
      </c>
      <c r="Z573" s="13">
        <v>1</v>
      </c>
      <c r="AA573" s="13">
        <v>80</v>
      </c>
      <c r="AB573" s="13">
        <v>1</v>
      </c>
      <c r="AC573" s="13">
        <v>5</v>
      </c>
      <c r="AD573" s="13">
        <v>2</v>
      </c>
      <c r="AE573" s="13">
        <v>3</v>
      </c>
      <c r="AF573" s="14">
        <v>2</v>
      </c>
      <c r="AG573" s="13">
        <v>2</v>
      </c>
      <c r="AH573" s="13">
        <v>2</v>
      </c>
      <c r="AI573" s="13">
        <v>0</v>
      </c>
      <c r="AJ573" s="13" t="str">
        <f t="shared" si="8"/>
        <v>Under 30</v>
      </c>
      <c r="AK573" s="13" t="str">
        <f>IF(tblCleanData[[#This Row],[MonthlyIncome]]&lt;5000, "Low Income", IF(tblCleanData[[#This Row],[MonthlyIncome]]&lt;15000, "Medium Income", "High Income"))</f>
        <v>Low Income</v>
      </c>
      <c r="AL573" s="13">
        <f>IF(tblCleanData[[#This Row],[Attrition]]="No", 0,1)</f>
        <v>0</v>
      </c>
      <c r="AM573" s="13">
        <f>IF(tblCleanData[[#This Row],[OverTime]] = "No", 0, 1)</f>
        <v>0</v>
      </c>
      <c r="AN573" s="13" t="str">
        <f>CHOOSE(tblCleanData[[#This Row],[Education]], "Below College","College","Bachelor","Master","Doctor")</f>
        <v>College</v>
      </c>
      <c r="AO573" s="13" t="str">
        <f>VLOOKUP(tblCleanData[[#This Row],[EmployeeNumber]],tblHelpers[],15,TRUE)</f>
        <v>High Risk</v>
      </c>
      <c r="AP573" s="13">
        <f>VLOOKUP(tblCleanData[[#This Row],[EmployeeNumber]],tblHelpers[],14,0)</f>
        <v>66</v>
      </c>
    </row>
    <row r="574" spans="1:42" x14ac:dyDescent="0.25">
      <c r="A574" s="13">
        <v>29</v>
      </c>
      <c r="B574" s="13" t="s">
        <v>59</v>
      </c>
      <c r="C574" s="13" t="s">
        <v>37</v>
      </c>
      <c r="D574" s="13">
        <v>657</v>
      </c>
      <c r="E574" s="13" t="s">
        <v>62</v>
      </c>
      <c r="F574" s="13">
        <v>27</v>
      </c>
      <c r="G574" s="13">
        <v>3</v>
      </c>
      <c r="H574" s="13" t="s">
        <v>87</v>
      </c>
      <c r="I574" s="13">
        <v>1</v>
      </c>
      <c r="J574" s="13">
        <v>793</v>
      </c>
      <c r="K574" s="13">
        <v>2</v>
      </c>
      <c r="L574" s="13" t="s">
        <v>43</v>
      </c>
      <c r="M574" s="13">
        <v>66</v>
      </c>
      <c r="N574" s="13">
        <v>3</v>
      </c>
      <c r="O574" s="13">
        <v>2</v>
      </c>
      <c r="P574" s="13" t="s">
        <v>122</v>
      </c>
      <c r="Q574" s="13">
        <v>3</v>
      </c>
      <c r="R574" s="13" t="s">
        <v>66</v>
      </c>
      <c r="S574" s="20">
        <v>4335</v>
      </c>
      <c r="T574" s="13">
        <v>25549</v>
      </c>
      <c r="U574" s="13">
        <v>4</v>
      </c>
      <c r="V574" s="13" t="s">
        <v>52</v>
      </c>
      <c r="W574" s="13" t="s">
        <v>59</v>
      </c>
      <c r="X574" s="13">
        <v>12</v>
      </c>
      <c r="Y574" s="13">
        <v>3</v>
      </c>
      <c r="Z574" s="13">
        <v>1</v>
      </c>
      <c r="AA574" s="13">
        <v>80</v>
      </c>
      <c r="AB574" s="13">
        <v>1</v>
      </c>
      <c r="AC574" s="13">
        <v>11</v>
      </c>
      <c r="AD574" s="13">
        <v>3</v>
      </c>
      <c r="AE574" s="13">
        <v>2</v>
      </c>
      <c r="AF574" s="14">
        <v>8</v>
      </c>
      <c r="AG574" s="13">
        <v>7</v>
      </c>
      <c r="AH574" s="13">
        <v>1</v>
      </c>
      <c r="AI574" s="13">
        <v>1</v>
      </c>
      <c r="AJ574" s="13" t="str">
        <f t="shared" si="8"/>
        <v>Under 30</v>
      </c>
      <c r="AK574" s="13" t="str">
        <f>IF(tblCleanData[[#This Row],[MonthlyIncome]]&lt;5000, "Low Income", IF(tblCleanData[[#This Row],[MonthlyIncome]]&lt;15000, "Medium Income", "High Income"))</f>
        <v>Low Income</v>
      </c>
      <c r="AL574" s="13">
        <f>IF(tblCleanData[[#This Row],[Attrition]]="No", 0,1)</f>
        <v>0</v>
      </c>
      <c r="AM574" s="13">
        <f>IF(tblCleanData[[#This Row],[OverTime]] = "No", 0, 1)</f>
        <v>0</v>
      </c>
      <c r="AN574" s="13" t="str">
        <f>CHOOSE(tblCleanData[[#This Row],[Education]], "Below College","College","Bachelor","Master","Doctor")</f>
        <v>Bachelor</v>
      </c>
      <c r="AO574" s="13" t="str">
        <f>VLOOKUP(tblCleanData[[#This Row],[EmployeeNumber]],tblHelpers[],15,TRUE)</f>
        <v>High Risk</v>
      </c>
      <c r="AP574" s="13">
        <f>VLOOKUP(tblCleanData[[#This Row],[EmployeeNumber]],tblHelpers[],14,0)</f>
        <v>56</v>
      </c>
    </row>
    <row r="575" spans="1:42" x14ac:dyDescent="0.25">
      <c r="A575" s="13">
        <v>26</v>
      </c>
      <c r="B575" s="13" t="s">
        <v>36</v>
      </c>
      <c r="C575" s="13" t="s">
        <v>37</v>
      </c>
      <c r="D575" s="13">
        <v>1146</v>
      </c>
      <c r="E575" s="13" t="s">
        <v>39</v>
      </c>
      <c r="F575" s="13">
        <v>8</v>
      </c>
      <c r="G575" s="13">
        <v>3</v>
      </c>
      <c r="H575" s="13" t="s">
        <v>228</v>
      </c>
      <c r="I575" s="13">
        <v>1</v>
      </c>
      <c r="J575" s="13">
        <v>796</v>
      </c>
      <c r="K575" s="13">
        <v>4</v>
      </c>
      <c r="L575" s="13" t="s">
        <v>63</v>
      </c>
      <c r="M575" s="13">
        <v>38</v>
      </c>
      <c r="N575" s="13">
        <v>2</v>
      </c>
      <c r="O575" s="13">
        <v>2</v>
      </c>
      <c r="P575" s="13" t="s">
        <v>46</v>
      </c>
      <c r="Q575" s="13">
        <v>1</v>
      </c>
      <c r="R575" s="13" t="s">
        <v>48</v>
      </c>
      <c r="S575" s="20">
        <v>5326</v>
      </c>
      <c r="T575" s="13">
        <v>3064</v>
      </c>
      <c r="U575" s="13">
        <v>6</v>
      </c>
      <c r="V575" s="13" t="s">
        <v>52</v>
      </c>
      <c r="W575" s="13" t="s">
        <v>59</v>
      </c>
      <c r="X575" s="13">
        <v>17</v>
      </c>
      <c r="Y575" s="13">
        <v>3</v>
      </c>
      <c r="Z575" s="13">
        <v>3</v>
      </c>
      <c r="AA575" s="13">
        <v>80</v>
      </c>
      <c r="AB575" s="13">
        <v>0</v>
      </c>
      <c r="AC575" s="13">
        <v>6</v>
      </c>
      <c r="AD575" s="13">
        <v>2</v>
      </c>
      <c r="AE575" s="13">
        <v>2</v>
      </c>
      <c r="AF575" s="14">
        <v>4</v>
      </c>
      <c r="AG575" s="13">
        <v>3</v>
      </c>
      <c r="AH575" s="13">
        <v>1</v>
      </c>
      <c r="AI575" s="13">
        <v>2</v>
      </c>
      <c r="AJ575" s="13" t="str">
        <f t="shared" si="8"/>
        <v>Under 30</v>
      </c>
      <c r="AK575" s="13" t="str">
        <f>IF(tblCleanData[[#This Row],[MonthlyIncome]]&lt;5000, "Low Income", IF(tblCleanData[[#This Row],[MonthlyIncome]]&lt;15000, "Medium Income", "High Income"))</f>
        <v>Medium Income</v>
      </c>
      <c r="AL575" s="13">
        <f>IF(tblCleanData[[#This Row],[Attrition]]="No", 0,1)</f>
        <v>1</v>
      </c>
      <c r="AM575" s="13">
        <f>IF(tblCleanData[[#This Row],[OverTime]] = "No", 0, 1)</f>
        <v>0</v>
      </c>
      <c r="AN575" s="13" t="str">
        <f>CHOOSE(tblCleanData[[#This Row],[Education]], "Below College","College","Bachelor","Master","Doctor")</f>
        <v>Bachelor</v>
      </c>
      <c r="AO575" s="13" t="str">
        <f>VLOOKUP(tblCleanData[[#This Row],[EmployeeNumber]],tblHelpers[],15,TRUE)</f>
        <v>High Risk</v>
      </c>
      <c r="AP575" s="13">
        <f>VLOOKUP(tblCleanData[[#This Row],[EmployeeNumber]],tblHelpers[],14,0)</f>
        <v>75</v>
      </c>
    </row>
    <row r="576" spans="1:42" x14ac:dyDescent="0.25">
      <c r="A576" s="13">
        <v>34</v>
      </c>
      <c r="B576" s="13" t="s">
        <v>59</v>
      </c>
      <c r="C576" s="13" t="s">
        <v>37</v>
      </c>
      <c r="D576" s="13">
        <v>182</v>
      </c>
      <c r="E576" s="13" t="s">
        <v>62</v>
      </c>
      <c r="F576" s="13">
        <v>1</v>
      </c>
      <c r="G576" s="13">
        <v>4</v>
      </c>
      <c r="H576" s="13" t="s">
        <v>42</v>
      </c>
      <c r="I576" s="13">
        <v>1</v>
      </c>
      <c r="J576" s="13">
        <v>797</v>
      </c>
      <c r="K576" s="13">
        <v>2</v>
      </c>
      <c r="L576" s="13" t="s">
        <v>43</v>
      </c>
      <c r="M576" s="13">
        <v>72</v>
      </c>
      <c r="N576" s="13">
        <v>4</v>
      </c>
      <c r="O576" s="13">
        <v>1</v>
      </c>
      <c r="P576" s="13" t="s">
        <v>65</v>
      </c>
      <c r="Q576" s="13">
        <v>4</v>
      </c>
      <c r="R576" s="13" t="s">
        <v>48</v>
      </c>
      <c r="S576" s="20">
        <v>3280</v>
      </c>
      <c r="T576" s="13">
        <v>13551</v>
      </c>
      <c r="U576" s="13">
        <v>2</v>
      </c>
      <c r="V576" s="13" t="s">
        <v>52</v>
      </c>
      <c r="W576" s="13" t="s">
        <v>59</v>
      </c>
      <c r="X576" s="13">
        <v>16</v>
      </c>
      <c r="Y576" s="13">
        <v>3</v>
      </c>
      <c r="Z576" s="13">
        <v>3</v>
      </c>
      <c r="AA576" s="13">
        <v>80</v>
      </c>
      <c r="AB576" s="13">
        <v>0</v>
      </c>
      <c r="AC576" s="13">
        <v>10</v>
      </c>
      <c r="AD576" s="13">
        <v>2</v>
      </c>
      <c r="AE576" s="13">
        <v>3</v>
      </c>
      <c r="AF576" s="14">
        <v>4</v>
      </c>
      <c r="AG576" s="13">
        <v>2</v>
      </c>
      <c r="AH576" s="13">
        <v>1</v>
      </c>
      <c r="AI576" s="13">
        <v>3</v>
      </c>
      <c r="AJ576" s="13" t="str">
        <f t="shared" si="8"/>
        <v>30-39</v>
      </c>
      <c r="AK576" s="13" t="str">
        <f>IF(tblCleanData[[#This Row],[MonthlyIncome]]&lt;5000, "Low Income", IF(tblCleanData[[#This Row],[MonthlyIncome]]&lt;15000, "Medium Income", "High Income"))</f>
        <v>Low Income</v>
      </c>
      <c r="AL576" s="13">
        <f>IF(tblCleanData[[#This Row],[Attrition]]="No", 0,1)</f>
        <v>0</v>
      </c>
      <c r="AM576" s="13">
        <f>IF(tblCleanData[[#This Row],[OverTime]] = "No", 0, 1)</f>
        <v>0</v>
      </c>
      <c r="AN576" s="13" t="str">
        <f>CHOOSE(tblCleanData[[#This Row],[Education]], "Below College","College","Bachelor","Master","Doctor")</f>
        <v>Master</v>
      </c>
      <c r="AO576" s="13" t="str">
        <f>VLOOKUP(tblCleanData[[#This Row],[EmployeeNumber]],tblHelpers[],15,TRUE)</f>
        <v>Medium Risk</v>
      </c>
      <c r="AP576" s="13">
        <f>VLOOKUP(tblCleanData[[#This Row],[EmployeeNumber]],tblHelpers[],14,0)</f>
        <v>46</v>
      </c>
    </row>
    <row r="577" spans="1:42" x14ac:dyDescent="0.25">
      <c r="A577" s="13">
        <v>54</v>
      </c>
      <c r="B577" s="13" t="s">
        <v>59</v>
      </c>
      <c r="C577" s="13" t="s">
        <v>37</v>
      </c>
      <c r="D577" s="13">
        <v>376</v>
      </c>
      <c r="E577" s="13" t="s">
        <v>62</v>
      </c>
      <c r="F577" s="13">
        <v>19</v>
      </c>
      <c r="G577" s="13">
        <v>4</v>
      </c>
      <c r="H577" s="13" t="s">
        <v>87</v>
      </c>
      <c r="I577" s="13">
        <v>1</v>
      </c>
      <c r="J577" s="13">
        <v>799</v>
      </c>
      <c r="K577" s="13">
        <v>4</v>
      </c>
      <c r="L577" s="13" t="s">
        <v>43</v>
      </c>
      <c r="M577" s="13">
        <v>95</v>
      </c>
      <c r="N577" s="13">
        <v>3</v>
      </c>
      <c r="O577" s="13">
        <v>2</v>
      </c>
      <c r="P577" s="13" t="s">
        <v>116</v>
      </c>
      <c r="Q577" s="13">
        <v>1</v>
      </c>
      <c r="R577" s="13" t="s">
        <v>109</v>
      </c>
      <c r="S577" s="20">
        <v>5485</v>
      </c>
      <c r="T577" s="13">
        <v>22670</v>
      </c>
      <c r="U577" s="13">
        <v>9</v>
      </c>
      <c r="V577" s="13" t="s">
        <v>52</v>
      </c>
      <c r="W577" s="13" t="s">
        <v>36</v>
      </c>
      <c r="X577" s="13">
        <v>11</v>
      </c>
      <c r="Y577" s="13">
        <v>3</v>
      </c>
      <c r="Z577" s="13">
        <v>2</v>
      </c>
      <c r="AA577" s="13">
        <v>80</v>
      </c>
      <c r="AB577" s="13">
        <v>2</v>
      </c>
      <c r="AC577" s="13">
        <v>9</v>
      </c>
      <c r="AD577" s="13">
        <v>4</v>
      </c>
      <c r="AE577" s="13">
        <v>3</v>
      </c>
      <c r="AF577" s="14">
        <v>5</v>
      </c>
      <c r="AG577" s="13">
        <v>3</v>
      </c>
      <c r="AH577" s="13">
        <v>1</v>
      </c>
      <c r="AI577" s="13">
        <v>4</v>
      </c>
      <c r="AJ577" s="13" t="str">
        <f t="shared" si="8"/>
        <v>50+</v>
      </c>
      <c r="AK577" s="13" t="str">
        <f>IF(tblCleanData[[#This Row],[MonthlyIncome]]&lt;5000, "Low Income", IF(tblCleanData[[#This Row],[MonthlyIncome]]&lt;15000, "Medium Income", "High Income"))</f>
        <v>Medium Income</v>
      </c>
      <c r="AL577" s="13">
        <f>IF(tblCleanData[[#This Row],[Attrition]]="No", 0,1)</f>
        <v>0</v>
      </c>
      <c r="AM577" s="13">
        <f>IF(tblCleanData[[#This Row],[OverTime]] = "No", 0, 1)</f>
        <v>1</v>
      </c>
      <c r="AN577" s="13" t="str">
        <f>CHOOSE(tblCleanData[[#This Row],[Education]], "Below College","College","Bachelor","Master","Doctor")</f>
        <v>Master</v>
      </c>
      <c r="AO577" s="13" t="str">
        <f>VLOOKUP(tblCleanData[[#This Row],[EmployeeNumber]],tblHelpers[],15,TRUE)</f>
        <v>High Risk</v>
      </c>
      <c r="AP577" s="13">
        <f>VLOOKUP(tblCleanData[[#This Row],[EmployeeNumber]],tblHelpers[],14,0)</f>
        <v>85</v>
      </c>
    </row>
    <row r="578" spans="1:42" x14ac:dyDescent="0.25">
      <c r="A578" s="13">
        <v>27</v>
      </c>
      <c r="B578" s="13" t="s">
        <v>59</v>
      </c>
      <c r="C578" s="13" t="s">
        <v>60</v>
      </c>
      <c r="D578" s="13">
        <v>829</v>
      </c>
      <c r="E578" s="13" t="s">
        <v>39</v>
      </c>
      <c r="F578" s="13">
        <v>8</v>
      </c>
      <c r="G578" s="13">
        <v>1</v>
      </c>
      <c r="H578" s="13" t="s">
        <v>206</v>
      </c>
      <c r="I578" s="13">
        <v>1</v>
      </c>
      <c r="J578" s="13">
        <v>800</v>
      </c>
      <c r="K578" s="13">
        <v>3</v>
      </c>
      <c r="L578" s="13" t="s">
        <v>63</v>
      </c>
      <c r="M578" s="13">
        <v>84</v>
      </c>
      <c r="N578" s="13">
        <v>3</v>
      </c>
      <c r="O578" s="13">
        <v>2</v>
      </c>
      <c r="P578" s="13" t="s">
        <v>46</v>
      </c>
      <c r="Q578" s="13">
        <v>4</v>
      </c>
      <c r="R578" s="13" t="s">
        <v>66</v>
      </c>
      <c r="S578" s="20">
        <v>4342</v>
      </c>
      <c r="T578" s="13">
        <v>24008</v>
      </c>
      <c r="U578" s="13">
        <v>0</v>
      </c>
      <c r="V578" s="13" t="s">
        <v>52</v>
      </c>
      <c r="W578" s="13" t="s">
        <v>59</v>
      </c>
      <c r="X578" s="13">
        <v>19</v>
      </c>
      <c r="Y578" s="13">
        <v>3</v>
      </c>
      <c r="Z578" s="13">
        <v>2</v>
      </c>
      <c r="AA578" s="13">
        <v>80</v>
      </c>
      <c r="AB578" s="13">
        <v>1</v>
      </c>
      <c r="AC578" s="13">
        <v>5</v>
      </c>
      <c r="AD578" s="13">
        <v>3</v>
      </c>
      <c r="AE578" s="13">
        <v>3</v>
      </c>
      <c r="AF578" s="14">
        <v>4</v>
      </c>
      <c r="AG578" s="13">
        <v>2</v>
      </c>
      <c r="AH578" s="13">
        <v>1</v>
      </c>
      <c r="AI578" s="13">
        <v>1</v>
      </c>
      <c r="AJ578" s="13" t="str">
        <f t="shared" ref="AJ578:AJ641" si="9">IF(A578&lt;30,"Under 30", IF(A578&lt;40,"30-39", IF(A578&lt;50,"40-49", "50+")))</f>
        <v>Under 30</v>
      </c>
      <c r="AK578" s="13" t="str">
        <f>IF(tblCleanData[[#This Row],[MonthlyIncome]]&lt;5000, "Low Income", IF(tblCleanData[[#This Row],[MonthlyIncome]]&lt;15000, "Medium Income", "High Income"))</f>
        <v>Low Income</v>
      </c>
      <c r="AL578" s="13">
        <f>IF(tblCleanData[[#This Row],[Attrition]]="No", 0,1)</f>
        <v>0</v>
      </c>
      <c r="AM578" s="13">
        <f>IF(tblCleanData[[#This Row],[OverTime]] = "No", 0, 1)</f>
        <v>0</v>
      </c>
      <c r="AN578" s="13" t="str">
        <f>CHOOSE(tblCleanData[[#This Row],[Education]], "Below College","College","Bachelor","Master","Doctor")</f>
        <v>Below College</v>
      </c>
      <c r="AO578" s="13" t="str">
        <f>VLOOKUP(tblCleanData[[#This Row],[EmployeeNumber]],tblHelpers[],15,TRUE)</f>
        <v>High Risk</v>
      </c>
      <c r="AP578" s="13">
        <f>VLOOKUP(tblCleanData[[#This Row],[EmployeeNumber]],tblHelpers[],14,0)</f>
        <v>56</v>
      </c>
    </row>
    <row r="579" spans="1:42" x14ac:dyDescent="0.25">
      <c r="A579" s="13">
        <v>37</v>
      </c>
      <c r="B579" s="13" t="s">
        <v>59</v>
      </c>
      <c r="C579" s="13" t="s">
        <v>37</v>
      </c>
      <c r="D579" s="13">
        <v>571</v>
      </c>
      <c r="E579" s="13" t="s">
        <v>62</v>
      </c>
      <c r="F579" s="13">
        <v>10</v>
      </c>
      <c r="G579" s="13">
        <v>1</v>
      </c>
      <c r="H579" s="13" t="s">
        <v>42</v>
      </c>
      <c r="I579" s="13">
        <v>1</v>
      </c>
      <c r="J579" s="13">
        <v>802</v>
      </c>
      <c r="K579" s="13">
        <v>4</v>
      </c>
      <c r="L579" s="13" t="s">
        <v>43</v>
      </c>
      <c r="M579" s="13">
        <v>82</v>
      </c>
      <c r="N579" s="13">
        <v>3</v>
      </c>
      <c r="O579" s="13">
        <v>1</v>
      </c>
      <c r="P579" s="13" t="s">
        <v>65</v>
      </c>
      <c r="Q579" s="13">
        <v>1</v>
      </c>
      <c r="R579" s="13" t="s">
        <v>109</v>
      </c>
      <c r="S579" s="20">
        <v>2782</v>
      </c>
      <c r="T579" s="13">
        <v>19905</v>
      </c>
      <c r="U579" s="13">
        <v>0</v>
      </c>
      <c r="V579" s="13" t="s">
        <v>52</v>
      </c>
      <c r="W579" s="13" t="s">
        <v>36</v>
      </c>
      <c r="X579" s="13">
        <v>13</v>
      </c>
      <c r="Y579" s="13">
        <v>3</v>
      </c>
      <c r="Z579" s="13">
        <v>2</v>
      </c>
      <c r="AA579" s="13">
        <v>80</v>
      </c>
      <c r="AB579" s="13">
        <v>2</v>
      </c>
      <c r="AC579" s="13">
        <v>6</v>
      </c>
      <c r="AD579" s="13">
        <v>3</v>
      </c>
      <c r="AE579" s="13">
        <v>2</v>
      </c>
      <c r="AF579" s="14">
        <v>5</v>
      </c>
      <c r="AG579" s="13">
        <v>3</v>
      </c>
      <c r="AH579" s="13">
        <v>4</v>
      </c>
      <c r="AI579" s="13">
        <v>3</v>
      </c>
      <c r="AJ579" s="13" t="str">
        <f t="shared" si="9"/>
        <v>30-39</v>
      </c>
      <c r="AK579" s="13" t="str">
        <f>IF(tblCleanData[[#This Row],[MonthlyIncome]]&lt;5000, "Low Income", IF(tblCleanData[[#This Row],[MonthlyIncome]]&lt;15000, "Medium Income", "High Income"))</f>
        <v>Low Income</v>
      </c>
      <c r="AL579" s="13">
        <f>IF(tblCleanData[[#This Row],[Attrition]]="No", 0,1)</f>
        <v>0</v>
      </c>
      <c r="AM579" s="13">
        <f>IF(tblCleanData[[#This Row],[OverTime]] = "No", 0, 1)</f>
        <v>1</v>
      </c>
      <c r="AN579" s="13" t="str">
        <f>CHOOSE(tblCleanData[[#This Row],[Education]], "Below College","College","Bachelor","Master","Doctor")</f>
        <v>Below College</v>
      </c>
      <c r="AO579" s="13" t="str">
        <f>VLOOKUP(tblCleanData[[#This Row],[EmployeeNumber]],tblHelpers[],15,TRUE)</f>
        <v>High Risk</v>
      </c>
      <c r="AP579" s="13">
        <f>VLOOKUP(tblCleanData[[#This Row],[EmployeeNumber]],tblHelpers[],14,0)</f>
        <v>90</v>
      </c>
    </row>
    <row r="580" spans="1:42" x14ac:dyDescent="0.25">
      <c r="A580" s="13">
        <v>38</v>
      </c>
      <c r="B580" s="13" t="s">
        <v>59</v>
      </c>
      <c r="C580" s="13" t="s">
        <v>60</v>
      </c>
      <c r="D580" s="13">
        <v>240</v>
      </c>
      <c r="E580" s="13" t="s">
        <v>62</v>
      </c>
      <c r="F580" s="13">
        <v>2</v>
      </c>
      <c r="G580" s="13">
        <v>4</v>
      </c>
      <c r="H580" s="13" t="s">
        <v>42</v>
      </c>
      <c r="I580" s="13">
        <v>1</v>
      </c>
      <c r="J580" s="13">
        <v>803</v>
      </c>
      <c r="K580" s="13">
        <v>1</v>
      </c>
      <c r="L580" s="13" t="s">
        <v>43</v>
      </c>
      <c r="M580" s="13">
        <v>75</v>
      </c>
      <c r="N580" s="13">
        <v>4</v>
      </c>
      <c r="O580" s="13">
        <v>2</v>
      </c>
      <c r="P580" s="13" t="s">
        <v>116</v>
      </c>
      <c r="Q580" s="13">
        <v>1</v>
      </c>
      <c r="R580" s="13" t="s">
        <v>48</v>
      </c>
      <c r="S580" s="20">
        <v>5980</v>
      </c>
      <c r="T580" s="13">
        <v>26085</v>
      </c>
      <c r="U580" s="13">
        <v>6</v>
      </c>
      <c r="V580" s="13" t="s">
        <v>52</v>
      </c>
      <c r="W580" s="13" t="s">
        <v>36</v>
      </c>
      <c r="X580" s="13">
        <v>12</v>
      </c>
      <c r="Y580" s="13">
        <v>3</v>
      </c>
      <c r="Z580" s="13">
        <v>4</v>
      </c>
      <c r="AA580" s="13">
        <v>80</v>
      </c>
      <c r="AB580" s="13">
        <v>0</v>
      </c>
      <c r="AC580" s="13">
        <v>17</v>
      </c>
      <c r="AD580" s="13">
        <v>2</v>
      </c>
      <c r="AE580" s="13">
        <v>3</v>
      </c>
      <c r="AF580" s="14">
        <v>15</v>
      </c>
      <c r="AG580" s="13">
        <v>7</v>
      </c>
      <c r="AH580" s="13">
        <v>4</v>
      </c>
      <c r="AI580" s="13">
        <v>12</v>
      </c>
      <c r="AJ580" s="13" t="str">
        <f t="shared" si="9"/>
        <v>30-39</v>
      </c>
      <c r="AK580" s="13" t="str">
        <f>IF(tblCleanData[[#This Row],[MonthlyIncome]]&lt;5000, "Low Income", IF(tblCleanData[[#This Row],[MonthlyIncome]]&lt;15000, "Medium Income", "High Income"))</f>
        <v>Medium Income</v>
      </c>
      <c r="AL580" s="13">
        <f>IF(tblCleanData[[#This Row],[Attrition]]="No", 0,1)</f>
        <v>0</v>
      </c>
      <c r="AM580" s="13">
        <f>IF(tblCleanData[[#This Row],[OverTime]] = "No", 0, 1)</f>
        <v>1</v>
      </c>
      <c r="AN580" s="13" t="str">
        <f>CHOOSE(tblCleanData[[#This Row],[Education]], "Below College","College","Bachelor","Master","Doctor")</f>
        <v>Master</v>
      </c>
      <c r="AO580" s="13" t="str">
        <f>VLOOKUP(tblCleanData[[#This Row],[EmployeeNumber]],tblHelpers[],15,TRUE)</f>
        <v>High Risk</v>
      </c>
      <c r="AP580" s="13">
        <f>VLOOKUP(tblCleanData[[#This Row],[EmployeeNumber]],tblHelpers[],14,0)</f>
        <v>78</v>
      </c>
    </row>
    <row r="581" spans="1:42" x14ac:dyDescent="0.25">
      <c r="A581" s="13">
        <v>34</v>
      </c>
      <c r="B581" s="13" t="s">
        <v>59</v>
      </c>
      <c r="C581" s="13" t="s">
        <v>37</v>
      </c>
      <c r="D581" s="13">
        <v>121</v>
      </c>
      <c r="E581" s="13" t="s">
        <v>62</v>
      </c>
      <c r="F581" s="13">
        <v>2</v>
      </c>
      <c r="G581" s="13">
        <v>4</v>
      </c>
      <c r="H581" s="13" t="s">
        <v>87</v>
      </c>
      <c r="I581" s="13">
        <v>1</v>
      </c>
      <c r="J581" s="13">
        <v>804</v>
      </c>
      <c r="K581" s="13">
        <v>3</v>
      </c>
      <c r="L581" s="13" t="s">
        <v>43</v>
      </c>
      <c r="M581" s="13">
        <v>86</v>
      </c>
      <c r="N581" s="13">
        <v>2</v>
      </c>
      <c r="O581" s="13">
        <v>1</v>
      </c>
      <c r="P581" s="13" t="s">
        <v>65</v>
      </c>
      <c r="Q581" s="13">
        <v>1</v>
      </c>
      <c r="R581" s="13" t="s">
        <v>48</v>
      </c>
      <c r="S581" s="20">
        <v>4381</v>
      </c>
      <c r="T581" s="13">
        <v>7530</v>
      </c>
      <c r="U581" s="13">
        <v>1</v>
      </c>
      <c r="V581" s="13" t="s">
        <v>52</v>
      </c>
      <c r="W581" s="13" t="s">
        <v>59</v>
      </c>
      <c r="X581" s="13">
        <v>11</v>
      </c>
      <c r="Y581" s="13">
        <v>3</v>
      </c>
      <c r="Z581" s="13">
        <v>3</v>
      </c>
      <c r="AA581" s="13">
        <v>80</v>
      </c>
      <c r="AB581" s="13">
        <v>0</v>
      </c>
      <c r="AC581" s="13">
        <v>6</v>
      </c>
      <c r="AD581" s="13">
        <v>3</v>
      </c>
      <c r="AE581" s="13">
        <v>3</v>
      </c>
      <c r="AF581" s="14">
        <v>6</v>
      </c>
      <c r="AG581" s="13">
        <v>5</v>
      </c>
      <c r="AH581" s="13">
        <v>1</v>
      </c>
      <c r="AI581" s="13">
        <v>3</v>
      </c>
      <c r="AJ581" s="13" t="str">
        <f t="shared" si="9"/>
        <v>30-39</v>
      </c>
      <c r="AK581" s="13" t="str">
        <f>IF(tblCleanData[[#This Row],[MonthlyIncome]]&lt;5000, "Low Income", IF(tblCleanData[[#This Row],[MonthlyIncome]]&lt;15000, "Medium Income", "High Income"))</f>
        <v>Low Income</v>
      </c>
      <c r="AL581" s="13">
        <f>IF(tblCleanData[[#This Row],[Attrition]]="No", 0,1)</f>
        <v>0</v>
      </c>
      <c r="AM581" s="13">
        <f>IF(tblCleanData[[#This Row],[OverTime]] = "No", 0, 1)</f>
        <v>0</v>
      </c>
      <c r="AN581" s="13" t="str">
        <f>CHOOSE(tblCleanData[[#This Row],[Education]], "Below College","College","Bachelor","Master","Doctor")</f>
        <v>Master</v>
      </c>
      <c r="AO581" s="13" t="str">
        <f>VLOOKUP(tblCleanData[[#This Row],[EmployeeNumber]],tblHelpers[],15,TRUE)</f>
        <v>High Risk</v>
      </c>
      <c r="AP581" s="13">
        <f>VLOOKUP(tblCleanData[[#This Row],[EmployeeNumber]],tblHelpers[],14,0)</f>
        <v>58</v>
      </c>
    </row>
    <row r="582" spans="1:42" x14ac:dyDescent="0.25">
      <c r="A582" s="13">
        <v>35</v>
      </c>
      <c r="B582" s="13" t="s">
        <v>59</v>
      </c>
      <c r="C582" s="13" t="s">
        <v>37</v>
      </c>
      <c r="D582" s="13">
        <v>384</v>
      </c>
      <c r="E582" s="13" t="s">
        <v>39</v>
      </c>
      <c r="F582" s="13">
        <v>8</v>
      </c>
      <c r="G582" s="13">
        <v>4</v>
      </c>
      <c r="H582" s="13" t="s">
        <v>42</v>
      </c>
      <c r="I582" s="13">
        <v>1</v>
      </c>
      <c r="J582" s="13">
        <v>805</v>
      </c>
      <c r="K582" s="13">
        <v>1</v>
      </c>
      <c r="L582" s="13" t="s">
        <v>43</v>
      </c>
      <c r="M582" s="13">
        <v>72</v>
      </c>
      <c r="N582" s="13">
        <v>3</v>
      </c>
      <c r="O582" s="13">
        <v>1</v>
      </c>
      <c r="P582" s="13" t="s">
        <v>182</v>
      </c>
      <c r="Q582" s="13">
        <v>4</v>
      </c>
      <c r="R582" s="13" t="s">
        <v>66</v>
      </c>
      <c r="S582" s="20">
        <v>2572</v>
      </c>
      <c r="T582" s="13">
        <v>20317</v>
      </c>
      <c r="U582" s="13">
        <v>1</v>
      </c>
      <c r="V582" s="13" t="s">
        <v>52</v>
      </c>
      <c r="W582" s="13" t="s">
        <v>59</v>
      </c>
      <c r="X582" s="13">
        <v>16</v>
      </c>
      <c r="Y582" s="13">
        <v>3</v>
      </c>
      <c r="Z582" s="13">
        <v>2</v>
      </c>
      <c r="AA582" s="13">
        <v>80</v>
      </c>
      <c r="AB582" s="13">
        <v>1</v>
      </c>
      <c r="AC582" s="13">
        <v>3</v>
      </c>
      <c r="AD582" s="13">
        <v>1</v>
      </c>
      <c r="AE582" s="13">
        <v>2</v>
      </c>
      <c r="AF582" s="14">
        <v>3</v>
      </c>
      <c r="AG582" s="13">
        <v>2</v>
      </c>
      <c r="AH582" s="13">
        <v>0</v>
      </c>
      <c r="AI582" s="13">
        <v>2</v>
      </c>
      <c r="AJ582" s="13" t="str">
        <f t="shared" si="9"/>
        <v>30-39</v>
      </c>
      <c r="AK582" s="13" t="str">
        <f>IF(tblCleanData[[#This Row],[MonthlyIncome]]&lt;5000, "Low Income", IF(tblCleanData[[#This Row],[MonthlyIncome]]&lt;15000, "Medium Income", "High Income"))</f>
        <v>Low Income</v>
      </c>
      <c r="AL582" s="13">
        <f>IF(tblCleanData[[#This Row],[Attrition]]="No", 0,1)</f>
        <v>0</v>
      </c>
      <c r="AM582" s="13">
        <f>IF(tblCleanData[[#This Row],[OverTime]] = "No", 0, 1)</f>
        <v>0</v>
      </c>
      <c r="AN582" s="13" t="str">
        <f>CHOOSE(tblCleanData[[#This Row],[Education]], "Below College","College","Bachelor","Master","Doctor")</f>
        <v>Master</v>
      </c>
      <c r="AO582" s="13" t="str">
        <f>VLOOKUP(tblCleanData[[#This Row],[EmployeeNumber]],tblHelpers[],15,TRUE)</f>
        <v>Medium Risk</v>
      </c>
      <c r="AP582" s="13">
        <f>VLOOKUP(tblCleanData[[#This Row],[EmployeeNumber]],tblHelpers[],14,0)</f>
        <v>46</v>
      </c>
    </row>
    <row r="583" spans="1:42" x14ac:dyDescent="0.25">
      <c r="A583" s="13">
        <v>30</v>
      </c>
      <c r="B583" s="13" t="s">
        <v>59</v>
      </c>
      <c r="C583" s="13" t="s">
        <v>37</v>
      </c>
      <c r="D583" s="13">
        <v>921</v>
      </c>
      <c r="E583" s="13" t="s">
        <v>62</v>
      </c>
      <c r="F583" s="13">
        <v>1</v>
      </c>
      <c r="G583" s="13">
        <v>3</v>
      </c>
      <c r="H583" s="13" t="s">
        <v>42</v>
      </c>
      <c r="I583" s="13">
        <v>1</v>
      </c>
      <c r="J583" s="13">
        <v>806</v>
      </c>
      <c r="K583" s="13">
        <v>4</v>
      </c>
      <c r="L583" s="13" t="s">
        <v>63</v>
      </c>
      <c r="M583" s="13">
        <v>38</v>
      </c>
      <c r="N583" s="13">
        <v>1</v>
      </c>
      <c r="O583" s="13">
        <v>1</v>
      </c>
      <c r="P583" s="13" t="s">
        <v>76</v>
      </c>
      <c r="Q583" s="13">
        <v>3</v>
      </c>
      <c r="R583" s="13" t="s">
        <v>66</v>
      </c>
      <c r="S583" s="20">
        <v>3833</v>
      </c>
      <c r="T583" s="13">
        <v>24375</v>
      </c>
      <c r="U583" s="13">
        <v>3</v>
      </c>
      <c r="V583" s="13" t="s">
        <v>52</v>
      </c>
      <c r="W583" s="13" t="s">
        <v>59</v>
      </c>
      <c r="X583" s="13">
        <v>21</v>
      </c>
      <c r="Y583" s="13">
        <v>4</v>
      </c>
      <c r="Z583" s="13">
        <v>3</v>
      </c>
      <c r="AA583" s="13">
        <v>80</v>
      </c>
      <c r="AB583" s="13">
        <v>2</v>
      </c>
      <c r="AC583" s="13">
        <v>7</v>
      </c>
      <c r="AD583" s="13">
        <v>2</v>
      </c>
      <c r="AE583" s="13">
        <v>3</v>
      </c>
      <c r="AF583" s="14">
        <v>2</v>
      </c>
      <c r="AG583" s="13">
        <v>2</v>
      </c>
      <c r="AH583" s="13">
        <v>0</v>
      </c>
      <c r="AI583" s="13">
        <v>2</v>
      </c>
      <c r="AJ583" s="13" t="str">
        <f t="shared" si="9"/>
        <v>30-39</v>
      </c>
      <c r="AK583" s="13" t="str">
        <f>IF(tblCleanData[[#This Row],[MonthlyIncome]]&lt;5000, "Low Income", IF(tblCleanData[[#This Row],[MonthlyIncome]]&lt;15000, "Medium Income", "High Income"))</f>
        <v>Low Income</v>
      </c>
      <c r="AL583" s="13">
        <f>IF(tblCleanData[[#This Row],[Attrition]]="No", 0,1)</f>
        <v>0</v>
      </c>
      <c r="AM583" s="13">
        <f>IF(tblCleanData[[#This Row],[OverTime]] = "No", 0, 1)</f>
        <v>0</v>
      </c>
      <c r="AN583" s="13" t="str">
        <f>CHOOSE(tblCleanData[[#This Row],[Education]], "Below College","College","Bachelor","Master","Doctor")</f>
        <v>Bachelor</v>
      </c>
      <c r="AO583" s="13" t="str">
        <f>VLOOKUP(tblCleanData[[#This Row],[EmployeeNumber]],tblHelpers[],15,TRUE)</f>
        <v>High Risk</v>
      </c>
      <c r="AP583" s="13">
        <f>VLOOKUP(tblCleanData[[#This Row],[EmployeeNumber]],tblHelpers[],14,0)</f>
        <v>63</v>
      </c>
    </row>
    <row r="584" spans="1:42" x14ac:dyDescent="0.25">
      <c r="A584" s="13">
        <v>40</v>
      </c>
      <c r="B584" s="13" t="s">
        <v>59</v>
      </c>
      <c r="C584" s="13" t="s">
        <v>60</v>
      </c>
      <c r="D584" s="13">
        <v>791</v>
      </c>
      <c r="E584" s="13" t="s">
        <v>62</v>
      </c>
      <c r="F584" s="13">
        <v>2</v>
      </c>
      <c r="G584" s="13">
        <v>2</v>
      </c>
      <c r="H584" s="13" t="s">
        <v>87</v>
      </c>
      <c r="I584" s="13">
        <v>1</v>
      </c>
      <c r="J584" s="13">
        <v>807</v>
      </c>
      <c r="K584" s="13">
        <v>3</v>
      </c>
      <c r="L584" s="13" t="s">
        <v>43</v>
      </c>
      <c r="M584" s="13">
        <v>38</v>
      </c>
      <c r="N584" s="13">
        <v>4</v>
      </c>
      <c r="O584" s="13">
        <v>2</v>
      </c>
      <c r="P584" s="13" t="s">
        <v>122</v>
      </c>
      <c r="Q584" s="13">
        <v>2</v>
      </c>
      <c r="R584" s="13" t="s">
        <v>66</v>
      </c>
      <c r="S584" s="20">
        <v>4244</v>
      </c>
      <c r="T584" s="13">
        <v>9931</v>
      </c>
      <c r="U584" s="13">
        <v>1</v>
      </c>
      <c r="V584" s="13" t="s">
        <v>52</v>
      </c>
      <c r="W584" s="13" t="s">
        <v>59</v>
      </c>
      <c r="X584" s="13">
        <v>24</v>
      </c>
      <c r="Y584" s="13">
        <v>4</v>
      </c>
      <c r="Z584" s="13">
        <v>4</v>
      </c>
      <c r="AA584" s="13">
        <v>80</v>
      </c>
      <c r="AB584" s="13">
        <v>1</v>
      </c>
      <c r="AC584" s="13">
        <v>8</v>
      </c>
      <c r="AD584" s="13">
        <v>2</v>
      </c>
      <c r="AE584" s="13">
        <v>3</v>
      </c>
      <c r="AF584" s="14">
        <v>8</v>
      </c>
      <c r="AG584" s="13">
        <v>7</v>
      </c>
      <c r="AH584" s="13">
        <v>3</v>
      </c>
      <c r="AI584" s="13">
        <v>7</v>
      </c>
      <c r="AJ584" s="13" t="str">
        <f t="shared" si="9"/>
        <v>40-49</v>
      </c>
      <c r="AK584" s="13" t="str">
        <f>IF(tblCleanData[[#This Row],[MonthlyIncome]]&lt;5000, "Low Income", IF(tblCleanData[[#This Row],[MonthlyIncome]]&lt;15000, "Medium Income", "High Income"))</f>
        <v>Low Income</v>
      </c>
      <c r="AL584" s="13">
        <f>IF(tblCleanData[[#This Row],[Attrition]]="No", 0,1)</f>
        <v>0</v>
      </c>
      <c r="AM584" s="13">
        <f>IF(tblCleanData[[#This Row],[OverTime]] = "No", 0, 1)</f>
        <v>0</v>
      </c>
      <c r="AN584" s="13" t="str">
        <f>CHOOSE(tblCleanData[[#This Row],[Education]], "Below College","College","Bachelor","Master","Doctor")</f>
        <v>College</v>
      </c>
      <c r="AO584" s="13" t="str">
        <f>VLOOKUP(tblCleanData[[#This Row],[EmployeeNumber]],tblHelpers[],15,TRUE)</f>
        <v>Medium Risk</v>
      </c>
      <c r="AP584" s="13">
        <f>VLOOKUP(tblCleanData[[#This Row],[EmployeeNumber]],tblHelpers[],14,0)</f>
        <v>42</v>
      </c>
    </row>
    <row r="585" spans="1:42" x14ac:dyDescent="0.25">
      <c r="A585" s="13">
        <v>34</v>
      </c>
      <c r="B585" s="13" t="s">
        <v>59</v>
      </c>
      <c r="C585" s="13" t="s">
        <v>37</v>
      </c>
      <c r="D585" s="13">
        <v>1111</v>
      </c>
      <c r="E585" s="13" t="s">
        <v>39</v>
      </c>
      <c r="F585" s="13">
        <v>8</v>
      </c>
      <c r="G585" s="13">
        <v>2</v>
      </c>
      <c r="H585" s="13" t="s">
        <v>42</v>
      </c>
      <c r="I585" s="13">
        <v>1</v>
      </c>
      <c r="J585" s="13">
        <v>808</v>
      </c>
      <c r="K585" s="13">
        <v>3</v>
      </c>
      <c r="L585" s="13" t="s">
        <v>43</v>
      </c>
      <c r="M585" s="13">
        <v>93</v>
      </c>
      <c r="N585" s="13">
        <v>3</v>
      </c>
      <c r="O585" s="13">
        <v>2</v>
      </c>
      <c r="P585" s="13" t="s">
        <v>46</v>
      </c>
      <c r="Q585" s="13">
        <v>1</v>
      </c>
      <c r="R585" s="13" t="s">
        <v>66</v>
      </c>
      <c r="S585" s="20">
        <v>6500</v>
      </c>
      <c r="T585" s="13">
        <v>13305</v>
      </c>
      <c r="U585" s="13">
        <v>5</v>
      </c>
      <c r="V585" s="13" t="s">
        <v>52</v>
      </c>
      <c r="W585" s="13" t="s">
        <v>59</v>
      </c>
      <c r="X585" s="13">
        <v>17</v>
      </c>
      <c r="Y585" s="13">
        <v>3</v>
      </c>
      <c r="Z585" s="13">
        <v>2</v>
      </c>
      <c r="AA585" s="13">
        <v>80</v>
      </c>
      <c r="AB585" s="13">
        <v>1</v>
      </c>
      <c r="AC585" s="13">
        <v>6</v>
      </c>
      <c r="AD585" s="13">
        <v>1</v>
      </c>
      <c r="AE585" s="13">
        <v>3</v>
      </c>
      <c r="AF585" s="14">
        <v>3</v>
      </c>
      <c r="AG585" s="13">
        <v>2</v>
      </c>
      <c r="AH585" s="13">
        <v>1</v>
      </c>
      <c r="AI585" s="13">
        <v>2</v>
      </c>
      <c r="AJ585" s="13" t="str">
        <f t="shared" si="9"/>
        <v>30-39</v>
      </c>
      <c r="AK585" s="13" t="str">
        <f>IF(tblCleanData[[#This Row],[MonthlyIncome]]&lt;5000, "Low Income", IF(tblCleanData[[#This Row],[MonthlyIncome]]&lt;15000, "Medium Income", "High Income"))</f>
        <v>Medium Income</v>
      </c>
      <c r="AL585" s="13">
        <f>IF(tblCleanData[[#This Row],[Attrition]]="No", 0,1)</f>
        <v>0</v>
      </c>
      <c r="AM585" s="13">
        <f>IF(tblCleanData[[#This Row],[OverTime]] = "No", 0, 1)</f>
        <v>0</v>
      </c>
      <c r="AN585" s="13" t="str">
        <f>CHOOSE(tblCleanData[[#This Row],[Education]], "Below College","College","Bachelor","Master","Doctor")</f>
        <v>College</v>
      </c>
      <c r="AO585" s="13" t="str">
        <f>VLOOKUP(tblCleanData[[#This Row],[EmployeeNumber]],tblHelpers[],15,TRUE)</f>
        <v>High Risk</v>
      </c>
      <c r="AP585" s="13">
        <f>VLOOKUP(tblCleanData[[#This Row],[EmployeeNumber]],tblHelpers[],14,0)</f>
        <v>65</v>
      </c>
    </row>
    <row r="586" spans="1:42" x14ac:dyDescent="0.25">
      <c r="A586" s="13">
        <v>42</v>
      </c>
      <c r="B586" s="13" t="s">
        <v>59</v>
      </c>
      <c r="C586" s="13" t="s">
        <v>60</v>
      </c>
      <c r="D586" s="13">
        <v>570</v>
      </c>
      <c r="E586" s="13" t="s">
        <v>62</v>
      </c>
      <c r="F586" s="13">
        <v>8</v>
      </c>
      <c r="G586" s="13">
        <v>3</v>
      </c>
      <c r="H586" s="13" t="s">
        <v>42</v>
      </c>
      <c r="I586" s="13">
        <v>1</v>
      </c>
      <c r="J586" s="13">
        <v>809</v>
      </c>
      <c r="K586" s="13">
        <v>2</v>
      </c>
      <c r="L586" s="13" t="s">
        <v>63</v>
      </c>
      <c r="M586" s="13">
        <v>66</v>
      </c>
      <c r="N586" s="13">
        <v>3</v>
      </c>
      <c r="O586" s="13">
        <v>5</v>
      </c>
      <c r="P586" s="13" t="s">
        <v>169</v>
      </c>
      <c r="Q586" s="13">
        <v>4</v>
      </c>
      <c r="R586" s="13" t="s">
        <v>109</v>
      </c>
      <c r="S586" s="20">
        <v>18430</v>
      </c>
      <c r="T586" s="13">
        <v>16225</v>
      </c>
      <c r="U586" s="13">
        <v>1</v>
      </c>
      <c r="V586" s="13" t="s">
        <v>52</v>
      </c>
      <c r="W586" s="13" t="s">
        <v>59</v>
      </c>
      <c r="X586" s="13">
        <v>13</v>
      </c>
      <c r="Y586" s="13">
        <v>3</v>
      </c>
      <c r="Z586" s="13">
        <v>2</v>
      </c>
      <c r="AA586" s="13">
        <v>80</v>
      </c>
      <c r="AB586" s="13">
        <v>1</v>
      </c>
      <c r="AC586" s="13">
        <v>24</v>
      </c>
      <c r="AD586" s="13">
        <v>4</v>
      </c>
      <c r="AE586" s="13">
        <v>2</v>
      </c>
      <c r="AF586" s="14">
        <v>24</v>
      </c>
      <c r="AG586" s="13">
        <v>7</v>
      </c>
      <c r="AH586" s="13">
        <v>14</v>
      </c>
      <c r="AI586" s="13">
        <v>9</v>
      </c>
      <c r="AJ586" s="13" t="str">
        <f t="shared" si="9"/>
        <v>40-49</v>
      </c>
      <c r="AK586" s="13" t="str">
        <f>IF(tblCleanData[[#This Row],[MonthlyIncome]]&lt;5000, "Low Income", IF(tblCleanData[[#This Row],[MonthlyIncome]]&lt;15000, "Medium Income", "High Income"))</f>
        <v>High Income</v>
      </c>
      <c r="AL586" s="13">
        <f>IF(tblCleanData[[#This Row],[Attrition]]="No", 0,1)</f>
        <v>0</v>
      </c>
      <c r="AM586" s="13">
        <f>IF(tblCleanData[[#This Row],[OverTime]] = "No", 0, 1)</f>
        <v>0</v>
      </c>
      <c r="AN586" s="13" t="str">
        <f>CHOOSE(tblCleanData[[#This Row],[Education]], "Below College","College","Bachelor","Master","Doctor")</f>
        <v>Bachelor</v>
      </c>
      <c r="AO586" s="13" t="str">
        <f>VLOOKUP(tblCleanData[[#This Row],[EmployeeNumber]],tblHelpers[],15,TRUE)</f>
        <v>Low Risk</v>
      </c>
      <c r="AP586" s="13">
        <f>VLOOKUP(tblCleanData[[#This Row],[EmployeeNumber]],tblHelpers[],14,0)</f>
        <v>24</v>
      </c>
    </row>
    <row r="587" spans="1:42" x14ac:dyDescent="0.25">
      <c r="A587" s="13">
        <v>23</v>
      </c>
      <c r="B587" s="13" t="s">
        <v>36</v>
      </c>
      <c r="C587" s="13" t="s">
        <v>37</v>
      </c>
      <c r="D587" s="13">
        <v>1243</v>
      </c>
      <c r="E587" s="13" t="s">
        <v>62</v>
      </c>
      <c r="F587" s="13">
        <v>6</v>
      </c>
      <c r="G587" s="13">
        <v>3</v>
      </c>
      <c r="H587" s="13" t="s">
        <v>42</v>
      </c>
      <c r="I587" s="13">
        <v>1</v>
      </c>
      <c r="J587" s="13">
        <v>811</v>
      </c>
      <c r="K587" s="13">
        <v>3</v>
      </c>
      <c r="L587" s="13" t="s">
        <v>63</v>
      </c>
      <c r="M587" s="13">
        <v>63</v>
      </c>
      <c r="N587" s="13">
        <v>4</v>
      </c>
      <c r="O587" s="13">
        <v>1</v>
      </c>
      <c r="P587" s="13" t="s">
        <v>76</v>
      </c>
      <c r="Q587" s="13">
        <v>1</v>
      </c>
      <c r="R587" s="13" t="s">
        <v>66</v>
      </c>
      <c r="S587" s="20">
        <v>1601</v>
      </c>
      <c r="T587" s="13">
        <v>3445</v>
      </c>
      <c r="U587" s="13">
        <v>1</v>
      </c>
      <c r="V587" s="13" t="s">
        <v>52</v>
      </c>
      <c r="W587" s="13" t="s">
        <v>36</v>
      </c>
      <c r="X587" s="13">
        <v>21</v>
      </c>
      <c r="Y587" s="13">
        <v>4</v>
      </c>
      <c r="Z587" s="13">
        <v>3</v>
      </c>
      <c r="AA587" s="13">
        <v>80</v>
      </c>
      <c r="AB587" s="13">
        <v>2</v>
      </c>
      <c r="AC587" s="13">
        <v>1</v>
      </c>
      <c r="AD587" s="13">
        <v>2</v>
      </c>
      <c r="AE587" s="13">
        <v>3</v>
      </c>
      <c r="AF587" s="14">
        <v>0</v>
      </c>
      <c r="AG587" s="13">
        <v>0</v>
      </c>
      <c r="AH587" s="13">
        <v>0</v>
      </c>
      <c r="AI587" s="13">
        <v>0</v>
      </c>
      <c r="AJ587" s="13" t="str">
        <f t="shared" si="9"/>
        <v>Under 30</v>
      </c>
      <c r="AK587" s="13" t="str">
        <f>IF(tblCleanData[[#This Row],[MonthlyIncome]]&lt;5000, "Low Income", IF(tblCleanData[[#This Row],[MonthlyIncome]]&lt;15000, "Medium Income", "High Income"))</f>
        <v>Low Income</v>
      </c>
      <c r="AL587" s="13">
        <f>IF(tblCleanData[[#This Row],[Attrition]]="No", 0,1)</f>
        <v>1</v>
      </c>
      <c r="AM587" s="13">
        <f>IF(tblCleanData[[#This Row],[OverTime]] = "No", 0, 1)</f>
        <v>1</v>
      </c>
      <c r="AN587" s="13" t="str">
        <f>CHOOSE(tblCleanData[[#This Row],[Education]], "Below College","College","Bachelor","Master","Doctor")</f>
        <v>Bachelor</v>
      </c>
      <c r="AO587" s="13" t="str">
        <f>VLOOKUP(tblCleanData[[#This Row],[EmployeeNumber]],tblHelpers[],15,TRUE)</f>
        <v>High Risk</v>
      </c>
      <c r="AP587" s="13">
        <f>VLOOKUP(tblCleanData[[#This Row],[EmployeeNumber]],tblHelpers[],14,0)</f>
        <v>110</v>
      </c>
    </row>
    <row r="588" spans="1:42" x14ac:dyDescent="0.25">
      <c r="A588" s="13">
        <v>24</v>
      </c>
      <c r="B588" s="13" t="s">
        <v>59</v>
      </c>
      <c r="C588" s="13" t="s">
        <v>161</v>
      </c>
      <c r="D588" s="13">
        <v>1092</v>
      </c>
      <c r="E588" s="13" t="s">
        <v>62</v>
      </c>
      <c r="F588" s="13">
        <v>9</v>
      </c>
      <c r="G588" s="13">
        <v>3</v>
      </c>
      <c r="H588" s="13" t="s">
        <v>42</v>
      </c>
      <c r="I588" s="13">
        <v>1</v>
      </c>
      <c r="J588" s="13">
        <v>812</v>
      </c>
      <c r="K588" s="13">
        <v>3</v>
      </c>
      <c r="L588" s="13" t="s">
        <v>63</v>
      </c>
      <c r="M588" s="13">
        <v>60</v>
      </c>
      <c r="N588" s="13">
        <v>2</v>
      </c>
      <c r="O588" s="13">
        <v>1</v>
      </c>
      <c r="P588" s="13" t="s">
        <v>76</v>
      </c>
      <c r="Q588" s="13">
        <v>2</v>
      </c>
      <c r="R588" s="13" t="s">
        <v>109</v>
      </c>
      <c r="S588" s="20">
        <v>2694</v>
      </c>
      <c r="T588" s="13">
        <v>26551</v>
      </c>
      <c r="U588" s="13">
        <v>1</v>
      </c>
      <c r="V588" s="13" t="s">
        <v>52</v>
      </c>
      <c r="W588" s="13" t="s">
        <v>59</v>
      </c>
      <c r="X588" s="13">
        <v>11</v>
      </c>
      <c r="Y588" s="13">
        <v>3</v>
      </c>
      <c r="Z588" s="13">
        <v>3</v>
      </c>
      <c r="AA588" s="13">
        <v>80</v>
      </c>
      <c r="AB588" s="13">
        <v>3</v>
      </c>
      <c r="AC588" s="13">
        <v>1</v>
      </c>
      <c r="AD588" s="13">
        <v>4</v>
      </c>
      <c r="AE588" s="13">
        <v>3</v>
      </c>
      <c r="AF588" s="14">
        <v>1</v>
      </c>
      <c r="AG588" s="13">
        <v>0</v>
      </c>
      <c r="AH588" s="13">
        <v>0</v>
      </c>
      <c r="AI588" s="13">
        <v>0</v>
      </c>
      <c r="AJ588" s="13" t="str">
        <f t="shared" si="9"/>
        <v>Under 30</v>
      </c>
      <c r="AK588" s="13" t="str">
        <f>IF(tblCleanData[[#This Row],[MonthlyIncome]]&lt;5000, "Low Income", IF(tblCleanData[[#This Row],[MonthlyIncome]]&lt;15000, "Medium Income", "High Income"))</f>
        <v>Low Income</v>
      </c>
      <c r="AL588" s="13">
        <f>IF(tblCleanData[[#This Row],[Attrition]]="No", 0,1)</f>
        <v>0</v>
      </c>
      <c r="AM588" s="13">
        <f>IF(tblCleanData[[#This Row],[OverTime]] = "No", 0, 1)</f>
        <v>0</v>
      </c>
      <c r="AN588" s="13" t="str">
        <f>CHOOSE(tblCleanData[[#This Row],[Education]], "Below College","College","Bachelor","Master","Doctor")</f>
        <v>Bachelor</v>
      </c>
      <c r="AO588" s="13" t="str">
        <f>VLOOKUP(tblCleanData[[#This Row],[EmployeeNumber]],tblHelpers[],15,TRUE)</f>
        <v>High Risk</v>
      </c>
      <c r="AP588" s="13">
        <f>VLOOKUP(tblCleanData[[#This Row],[EmployeeNumber]],tblHelpers[],14,0)</f>
        <v>79</v>
      </c>
    </row>
    <row r="589" spans="1:42" x14ac:dyDescent="0.25">
      <c r="A589" s="13">
        <v>52</v>
      </c>
      <c r="B589" s="13" t="s">
        <v>59</v>
      </c>
      <c r="C589" s="13" t="s">
        <v>37</v>
      </c>
      <c r="D589" s="13">
        <v>1325</v>
      </c>
      <c r="E589" s="13" t="s">
        <v>62</v>
      </c>
      <c r="F589" s="13">
        <v>11</v>
      </c>
      <c r="G589" s="13">
        <v>4</v>
      </c>
      <c r="H589" s="13" t="s">
        <v>42</v>
      </c>
      <c r="I589" s="13">
        <v>1</v>
      </c>
      <c r="J589" s="13">
        <v>813</v>
      </c>
      <c r="K589" s="13">
        <v>4</v>
      </c>
      <c r="L589" s="13" t="s">
        <v>43</v>
      </c>
      <c r="M589" s="13">
        <v>82</v>
      </c>
      <c r="N589" s="13">
        <v>3</v>
      </c>
      <c r="O589" s="13">
        <v>2</v>
      </c>
      <c r="P589" s="13" t="s">
        <v>76</v>
      </c>
      <c r="Q589" s="13">
        <v>3</v>
      </c>
      <c r="R589" s="13" t="s">
        <v>66</v>
      </c>
      <c r="S589" s="20">
        <v>3149</v>
      </c>
      <c r="T589" s="13">
        <v>21821</v>
      </c>
      <c r="U589" s="13">
        <v>8</v>
      </c>
      <c r="V589" s="13" t="s">
        <v>52</v>
      </c>
      <c r="W589" s="13" t="s">
        <v>59</v>
      </c>
      <c r="X589" s="13">
        <v>20</v>
      </c>
      <c r="Y589" s="13">
        <v>4</v>
      </c>
      <c r="Z589" s="13">
        <v>2</v>
      </c>
      <c r="AA589" s="13">
        <v>80</v>
      </c>
      <c r="AB589" s="13">
        <v>1</v>
      </c>
      <c r="AC589" s="13">
        <v>9</v>
      </c>
      <c r="AD589" s="13">
        <v>3</v>
      </c>
      <c r="AE589" s="13">
        <v>3</v>
      </c>
      <c r="AF589" s="14">
        <v>5</v>
      </c>
      <c r="AG589" s="13">
        <v>2</v>
      </c>
      <c r="AH589" s="13">
        <v>1</v>
      </c>
      <c r="AI589" s="13">
        <v>4</v>
      </c>
      <c r="AJ589" s="13" t="str">
        <f t="shared" si="9"/>
        <v>50+</v>
      </c>
      <c r="AK589" s="13" t="str">
        <f>IF(tblCleanData[[#This Row],[MonthlyIncome]]&lt;5000, "Low Income", IF(tblCleanData[[#This Row],[MonthlyIncome]]&lt;15000, "Medium Income", "High Income"))</f>
        <v>Low Income</v>
      </c>
      <c r="AL589" s="13">
        <f>IF(tblCleanData[[#This Row],[Attrition]]="No", 0,1)</f>
        <v>0</v>
      </c>
      <c r="AM589" s="13">
        <f>IF(tblCleanData[[#This Row],[OverTime]] = "No", 0, 1)</f>
        <v>0</v>
      </c>
      <c r="AN589" s="13" t="str">
        <f>CHOOSE(tblCleanData[[#This Row],[Education]], "Below College","College","Bachelor","Master","Doctor")</f>
        <v>Master</v>
      </c>
      <c r="AO589" s="13" t="str">
        <f>VLOOKUP(tblCleanData[[#This Row],[EmployeeNumber]],tblHelpers[],15,TRUE)</f>
        <v>Medium Risk</v>
      </c>
      <c r="AP589" s="13">
        <f>VLOOKUP(tblCleanData[[#This Row],[EmployeeNumber]],tblHelpers[],14,0)</f>
        <v>48</v>
      </c>
    </row>
    <row r="590" spans="1:42" x14ac:dyDescent="0.25">
      <c r="A590" s="13">
        <v>50</v>
      </c>
      <c r="B590" s="13" t="s">
        <v>59</v>
      </c>
      <c r="C590" s="13" t="s">
        <v>37</v>
      </c>
      <c r="D590" s="13">
        <v>691</v>
      </c>
      <c r="E590" s="13" t="s">
        <v>62</v>
      </c>
      <c r="F590" s="13">
        <v>2</v>
      </c>
      <c r="G590" s="13">
        <v>3</v>
      </c>
      <c r="H590" s="13" t="s">
        <v>87</v>
      </c>
      <c r="I590" s="13">
        <v>1</v>
      </c>
      <c r="J590" s="13">
        <v>815</v>
      </c>
      <c r="K590" s="13">
        <v>3</v>
      </c>
      <c r="L590" s="13" t="s">
        <v>63</v>
      </c>
      <c r="M590" s="13">
        <v>64</v>
      </c>
      <c r="N590" s="13">
        <v>3</v>
      </c>
      <c r="O590" s="13">
        <v>4</v>
      </c>
      <c r="P590" s="13" t="s">
        <v>186</v>
      </c>
      <c r="Q590" s="13">
        <v>3</v>
      </c>
      <c r="R590" s="13" t="s">
        <v>66</v>
      </c>
      <c r="S590" s="20">
        <v>17639</v>
      </c>
      <c r="T590" s="13">
        <v>6881</v>
      </c>
      <c r="U590" s="13">
        <v>5</v>
      </c>
      <c r="V590" s="13" t="s">
        <v>52</v>
      </c>
      <c r="W590" s="13" t="s">
        <v>59</v>
      </c>
      <c r="X590" s="13">
        <v>16</v>
      </c>
      <c r="Y590" s="13">
        <v>3</v>
      </c>
      <c r="Z590" s="13">
        <v>4</v>
      </c>
      <c r="AA590" s="13">
        <v>80</v>
      </c>
      <c r="AB590" s="13">
        <v>0</v>
      </c>
      <c r="AC590" s="13">
        <v>30</v>
      </c>
      <c r="AD590" s="13">
        <v>3</v>
      </c>
      <c r="AE590" s="13">
        <v>3</v>
      </c>
      <c r="AF590" s="14">
        <v>4</v>
      </c>
      <c r="AG590" s="13">
        <v>3</v>
      </c>
      <c r="AH590" s="13">
        <v>0</v>
      </c>
      <c r="AI590" s="13">
        <v>3</v>
      </c>
      <c r="AJ590" s="13" t="str">
        <f t="shared" si="9"/>
        <v>50+</v>
      </c>
      <c r="AK590" s="13" t="str">
        <f>IF(tblCleanData[[#This Row],[MonthlyIncome]]&lt;5000, "Low Income", IF(tblCleanData[[#This Row],[MonthlyIncome]]&lt;15000, "Medium Income", "High Income"))</f>
        <v>High Income</v>
      </c>
      <c r="AL590" s="13">
        <f>IF(tblCleanData[[#This Row],[Attrition]]="No", 0,1)</f>
        <v>0</v>
      </c>
      <c r="AM590" s="13">
        <f>IF(tblCleanData[[#This Row],[OverTime]] = "No", 0, 1)</f>
        <v>0</v>
      </c>
      <c r="AN590" s="13" t="str">
        <f>CHOOSE(tblCleanData[[#This Row],[Education]], "Below College","College","Bachelor","Master","Doctor")</f>
        <v>Bachelor</v>
      </c>
      <c r="AO590" s="13" t="str">
        <f>VLOOKUP(tblCleanData[[#This Row],[EmployeeNumber]],tblHelpers[],15,TRUE)</f>
        <v>Medium Risk</v>
      </c>
      <c r="AP590" s="13">
        <f>VLOOKUP(tblCleanData[[#This Row],[EmployeeNumber]],tblHelpers[],14,0)</f>
        <v>48</v>
      </c>
    </row>
    <row r="591" spans="1:42" x14ac:dyDescent="0.25">
      <c r="A591" s="13">
        <v>29</v>
      </c>
      <c r="B591" s="13" t="s">
        <v>36</v>
      </c>
      <c r="C591" s="13" t="s">
        <v>37</v>
      </c>
      <c r="D591" s="13">
        <v>805</v>
      </c>
      <c r="E591" s="13" t="s">
        <v>62</v>
      </c>
      <c r="F591" s="13">
        <v>1</v>
      </c>
      <c r="G591" s="13">
        <v>2</v>
      </c>
      <c r="H591" s="13" t="s">
        <v>42</v>
      </c>
      <c r="I591" s="13">
        <v>1</v>
      </c>
      <c r="J591" s="13">
        <v>816</v>
      </c>
      <c r="K591" s="13">
        <v>2</v>
      </c>
      <c r="L591" s="13" t="s">
        <v>43</v>
      </c>
      <c r="M591" s="13">
        <v>36</v>
      </c>
      <c r="N591" s="13">
        <v>2</v>
      </c>
      <c r="O591" s="13">
        <v>1</v>
      </c>
      <c r="P591" s="13" t="s">
        <v>76</v>
      </c>
      <c r="Q591" s="13">
        <v>1</v>
      </c>
      <c r="R591" s="13" t="s">
        <v>66</v>
      </c>
      <c r="S591" s="20">
        <v>2319</v>
      </c>
      <c r="T591" s="13">
        <v>6689</v>
      </c>
      <c r="U591" s="13">
        <v>1</v>
      </c>
      <c r="V591" s="13" t="s">
        <v>52</v>
      </c>
      <c r="W591" s="13" t="s">
        <v>36</v>
      </c>
      <c r="X591" s="13">
        <v>11</v>
      </c>
      <c r="Y591" s="13">
        <v>3</v>
      </c>
      <c r="Z591" s="13">
        <v>4</v>
      </c>
      <c r="AA591" s="13">
        <v>80</v>
      </c>
      <c r="AB591" s="13">
        <v>1</v>
      </c>
      <c r="AC591" s="13">
        <v>1</v>
      </c>
      <c r="AD591" s="13">
        <v>1</v>
      </c>
      <c r="AE591" s="13">
        <v>3</v>
      </c>
      <c r="AF591" s="14">
        <v>1</v>
      </c>
      <c r="AG591" s="13">
        <v>0</v>
      </c>
      <c r="AH591" s="13">
        <v>0</v>
      </c>
      <c r="AI591" s="13">
        <v>0</v>
      </c>
      <c r="AJ591" s="13" t="str">
        <f t="shared" si="9"/>
        <v>Under 30</v>
      </c>
      <c r="AK591" s="13" t="str">
        <f>IF(tblCleanData[[#This Row],[MonthlyIncome]]&lt;5000, "Low Income", IF(tblCleanData[[#This Row],[MonthlyIncome]]&lt;15000, "Medium Income", "High Income"))</f>
        <v>Low Income</v>
      </c>
      <c r="AL591" s="13">
        <f>IF(tblCleanData[[#This Row],[Attrition]]="No", 0,1)</f>
        <v>1</v>
      </c>
      <c r="AM591" s="13">
        <f>IF(tblCleanData[[#This Row],[OverTime]] = "No", 0, 1)</f>
        <v>1</v>
      </c>
      <c r="AN591" s="13" t="str">
        <f>CHOOSE(tblCleanData[[#This Row],[Education]], "Below College","College","Bachelor","Master","Doctor")</f>
        <v>College</v>
      </c>
      <c r="AO591" s="13" t="str">
        <f>VLOOKUP(tblCleanData[[#This Row],[EmployeeNumber]],tblHelpers[],15,TRUE)</f>
        <v>High Risk</v>
      </c>
      <c r="AP591" s="13">
        <f>VLOOKUP(tblCleanData[[#This Row],[EmployeeNumber]],tblHelpers[],14,0)</f>
        <v>110</v>
      </c>
    </row>
    <row r="592" spans="1:42" x14ac:dyDescent="0.25">
      <c r="A592" s="13">
        <v>33</v>
      </c>
      <c r="B592" s="13" t="s">
        <v>59</v>
      </c>
      <c r="C592" s="13" t="s">
        <v>37</v>
      </c>
      <c r="D592" s="13">
        <v>213</v>
      </c>
      <c r="E592" s="13" t="s">
        <v>62</v>
      </c>
      <c r="F592" s="13">
        <v>7</v>
      </c>
      <c r="G592" s="13">
        <v>3</v>
      </c>
      <c r="H592" s="13" t="s">
        <v>87</v>
      </c>
      <c r="I592" s="13">
        <v>1</v>
      </c>
      <c r="J592" s="13">
        <v>817</v>
      </c>
      <c r="K592" s="13">
        <v>3</v>
      </c>
      <c r="L592" s="13" t="s">
        <v>63</v>
      </c>
      <c r="M592" s="13">
        <v>49</v>
      </c>
      <c r="N592" s="13">
        <v>3</v>
      </c>
      <c r="O592" s="13">
        <v>3</v>
      </c>
      <c r="P592" s="13" t="s">
        <v>186</v>
      </c>
      <c r="Q592" s="13">
        <v>3</v>
      </c>
      <c r="R592" s="13" t="s">
        <v>66</v>
      </c>
      <c r="S592" s="20">
        <v>11691</v>
      </c>
      <c r="T592" s="13">
        <v>25995</v>
      </c>
      <c r="U592" s="13">
        <v>0</v>
      </c>
      <c r="V592" s="13" t="s">
        <v>52</v>
      </c>
      <c r="W592" s="13" t="s">
        <v>59</v>
      </c>
      <c r="X592" s="13">
        <v>11</v>
      </c>
      <c r="Y592" s="13">
        <v>3</v>
      </c>
      <c r="Z592" s="13">
        <v>4</v>
      </c>
      <c r="AA592" s="13">
        <v>80</v>
      </c>
      <c r="AB592" s="13">
        <v>0</v>
      </c>
      <c r="AC592" s="13">
        <v>14</v>
      </c>
      <c r="AD592" s="13">
        <v>3</v>
      </c>
      <c r="AE592" s="13">
        <v>4</v>
      </c>
      <c r="AF592" s="14">
        <v>13</v>
      </c>
      <c r="AG592" s="13">
        <v>9</v>
      </c>
      <c r="AH592" s="13">
        <v>3</v>
      </c>
      <c r="AI592" s="13">
        <v>7</v>
      </c>
      <c r="AJ592" s="13" t="str">
        <f t="shared" si="9"/>
        <v>30-39</v>
      </c>
      <c r="AK592" s="13" t="str">
        <f>IF(tblCleanData[[#This Row],[MonthlyIncome]]&lt;5000, "Low Income", IF(tblCleanData[[#This Row],[MonthlyIncome]]&lt;15000, "Medium Income", "High Income"))</f>
        <v>Medium Income</v>
      </c>
      <c r="AL592" s="13">
        <f>IF(tblCleanData[[#This Row],[Attrition]]="No", 0,1)</f>
        <v>0</v>
      </c>
      <c r="AM592" s="13">
        <f>IF(tblCleanData[[#This Row],[OverTime]] = "No", 0, 1)</f>
        <v>0</v>
      </c>
      <c r="AN592" s="13" t="str">
        <f>CHOOSE(tblCleanData[[#This Row],[Education]], "Below College","College","Bachelor","Master","Doctor")</f>
        <v>Bachelor</v>
      </c>
      <c r="AO592" s="13" t="str">
        <f>VLOOKUP(tblCleanData[[#This Row],[EmployeeNumber]],tblHelpers[],15,TRUE)</f>
        <v>Medium Risk</v>
      </c>
      <c r="AP592" s="13">
        <f>VLOOKUP(tblCleanData[[#This Row],[EmployeeNumber]],tblHelpers[],14,0)</f>
        <v>41</v>
      </c>
    </row>
    <row r="593" spans="1:42" x14ac:dyDescent="0.25">
      <c r="A593" s="13">
        <v>33</v>
      </c>
      <c r="B593" s="13" t="s">
        <v>36</v>
      </c>
      <c r="C593" s="13" t="s">
        <v>37</v>
      </c>
      <c r="D593" s="13">
        <v>118</v>
      </c>
      <c r="E593" s="13" t="s">
        <v>39</v>
      </c>
      <c r="F593" s="13">
        <v>16</v>
      </c>
      <c r="G593" s="13">
        <v>3</v>
      </c>
      <c r="H593" s="13" t="s">
        <v>206</v>
      </c>
      <c r="I593" s="13">
        <v>1</v>
      </c>
      <c r="J593" s="13">
        <v>819</v>
      </c>
      <c r="K593" s="13">
        <v>1</v>
      </c>
      <c r="L593" s="13" t="s">
        <v>43</v>
      </c>
      <c r="M593" s="13">
        <v>69</v>
      </c>
      <c r="N593" s="13">
        <v>3</v>
      </c>
      <c r="O593" s="13">
        <v>2</v>
      </c>
      <c r="P593" s="13" t="s">
        <v>46</v>
      </c>
      <c r="Q593" s="13">
        <v>1</v>
      </c>
      <c r="R593" s="13" t="s">
        <v>48</v>
      </c>
      <c r="S593" s="20">
        <v>5324</v>
      </c>
      <c r="T593" s="13">
        <v>26507</v>
      </c>
      <c r="U593" s="13">
        <v>5</v>
      </c>
      <c r="V593" s="13" t="s">
        <v>52</v>
      </c>
      <c r="W593" s="13" t="s">
        <v>59</v>
      </c>
      <c r="X593" s="13">
        <v>15</v>
      </c>
      <c r="Y593" s="13">
        <v>3</v>
      </c>
      <c r="Z593" s="13">
        <v>3</v>
      </c>
      <c r="AA593" s="13">
        <v>80</v>
      </c>
      <c r="AB593" s="13">
        <v>0</v>
      </c>
      <c r="AC593" s="13">
        <v>6</v>
      </c>
      <c r="AD593" s="13">
        <v>3</v>
      </c>
      <c r="AE593" s="13">
        <v>3</v>
      </c>
      <c r="AF593" s="14">
        <v>3</v>
      </c>
      <c r="AG593" s="13">
        <v>2</v>
      </c>
      <c r="AH593" s="13">
        <v>0</v>
      </c>
      <c r="AI593" s="13">
        <v>2</v>
      </c>
      <c r="AJ593" s="13" t="str">
        <f t="shared" si="9"/>
        <v>30-39</v>
      </c>
      <c r="AK593" s="13" t="str">
        <f>IF(tblCleanData[[#This Row],[MonthlyIncome]]&lt;5000, "Low Income", IF(tblCleanData[[#This Row],[MonthlyIncome]]&lt;15000, "Medium Income", "High Income"))</f>
        <v>Medium Income</v>
      </c>
      <c r="AL593" s="13">
        <f>IF(tblCleanData[[#This Row],[Attrition]]="No", 0,1)</f>
        <v>1</v>
      </c>
      <c r="AM593" s="13">
        <f>IF(tblCleanData[[#This Row],[OverTime]] = "No", 0, 1)</f>
        <v>0</v>
      </c>
      <c r="AN593" s="13" t="str">
        <f>CHOOSE(tblCleanData[[#This Row],[Education]], "Below College","College","Bachelor","Master","Doctor")</f>
        <v>Bachelor</v>
      </c>
      <c r="AO593" s="13" t="str">
        <f>VLOOKUP(tblCleanData[[#This Row],[EmployeeNumber]],tblHelpers[],15,TRUE)</f>
        <v>High Risk</v>
      </c>
      <c r="AP593" s="13">
        <f>VLOOKUP(tblCleanData[[#This Row],[EmployeeNumber]],tblHelpers[],14,0)</f>
        <v>65</v>
      </c>
    </row>
    <row r="594" spans="1:42" x14ac:dyDescent="0.25">
      <c r="A594" s="13">
        <v>47</v>
      </c>
      <c r="B594" s="13" t="s">
        <v>59</v>
      </c>
      <c r="C594" s="13" t="s">
        <v>37</v>
      </c>
      <c r="D594" s="13">
        <v>202</v>
      </c>
      <c r="E594" s="13" t="s">
        <v>62</v>
      </c>
      <c r="F594" s="13">
        <v>2</v>
      </c>
      <c r="G594" s="13">
        <v>2</v>
      </c>
      <c r="H594" s="13" t="s">
        <v>74</v>
      </c>
      <c r="I594" s="13">
        <v>1</v>
      </c>
      <c r="J594" s="13">
        <v>820</v>
      </c>
      <c r="K594" s="13">
        <v>3</v>
      </c>
      <c r="L594" s="13" t="s">
        <v>43</v>
      </c>
      <c r="M594" s="13">
        <v>33</v>
      </c>
      <c r="N594" s="13">
        <v>3</v>
      </c>
      <c r="O594" s="13">
        <v>4</v>
      </c>
      <c r="P594" s="13" t="s">
        <v>169</v>
      </c>
      <c r="Q594" s="13">
        <v>4</v>
      </c>
      <c r="R594" s="13" t="s">
        <v>66</v>
      </c>
      <c r="S594" s="20">
        <v>16752</v>
      </c>
      <c r="T594" s="13">
        <v>12982</v>
      </c>
      <c r="U594" s="13">
        <v>1</v>
      </c>
      <c r="V594" s="13" t="s">
        <v>52</v>
      </c>
      <c r="W594" s="13" t="s">
        <v>36</v>
      </c>
      <c r="X594" s="13">
        <v>11</v>
      </c>
      <c r="Y594" s="13">
        <v>3</v>
      </c>
      <c r="Z594" s="13">
        <v>3</v>
      </c>
      <c r="AA594" s="13">
        <v>80</v>
      </c>
      <c r="AB594" s="13">
        <v>1</v>
      </c>
      <c r="AC594" s="13">
        <v>26</v>
      </c>
      <c r="AD594" s="13">
        <v>3</v>
      </c>
      <c r="AE594" s="13">
        <v>2</v>
      </c>
      <c r="AF594" s="14">
        <v>26</v>
      </c>
      <c r="AG594" s="13">
        <v>14</v>
      </c>
      <c r="AH594" s="13">
        <v>3</v>
      </c>
      <c r="AI594" s="13">
        <v>0</v>
      </c>
      <c r="AJ594" s="13" t="str">
        <f t="shared" si="9"/>
        <v>40-49</v>
      </c>
      <c r="AK594" s="13" t="str">
        <f>IF(tblCleanData[[#This Row],[MonthlyIncome]]&lt;5000, "Low Income", IF(tblCleanData[[#This Row],[MonthlyIncome]]&lt;15000, "Medium Income", "High Income"))</f>
        <v>High Income</v>
      </c>
      <c r="AL594" s="13">
        <f>IF(tblCleanData[[#This Row],[Attrition]]="No", 0,1)</f>
        <v>0</v>
      </c>
      <c r="AM594" s="13">
        <f>IF(tblCleanData[[#This Row],[OverTime]] = "No", 0, 1)</f>
        <v>1</v>
      </c>
      <c r="AN594" s="13" t="str">
        <f>CHOOSE(tblCleanData[[#This Row],[Education]], "Below College","College","Bachelor","Master","Doctor")</f>
        <v>College</v>
      </c>
      <c r="AO594" s="13" t="str">
        <f>VLOOKUP(tblCleanData[[#This Row],[EmployeeNumber]],tblHelpers[],15,TRUE)</f>
        <v>Medium Risk</v>
      </c>
      <c r="AP594" s="13">
        <f>VLOOKUP(tblCleanData[[#This Row],[EmployeeNumber]],tblHelpers[],14,0)</f>
        <v>49</v>
      </c>
    </row>
    <row r="595" spans="1:42" x14ac:dyDescent="0.25">
      <c r="A595" s="13">
        <v>36</v>
      </c>
      <c r="B595" s="13" t="s">
        <v>59</v>
      </c>
      <c r="C595" s="13" t="s">
        <v>37</v>
      </c>
      <c r="D595" s="13">
        <v>676</v>
      </c>
      <c r="E595" s="13" t="s">
        <v>62</v>
      </c>
      <c r="F595" s="13">
        <v>1</v>
      </c>
      <c r="G595" s="13">
        <v>3</v>
      </c>
      <c r="H595" s="13" t="s">
        <v>74</v>
      </c>
      <c r="I595" s="13">
        <v>1</v>
      </c>
      <c r="J595" s="13">
        <v>823</v>
      </c>
      <c r="K595" s="13">
        <v>3</v>
      </c>
      <c r="L595" s="13" t="s">
        <v>43</v>
      </c>
      <c r="M595" s="13">
        <v>35</v>
      </c>
      <c r="N595" s="13">
        <v>3</v>
      </c>
      <c r="O595" s="13">
        <v>2</v>
      </c>
      <c r="P595" s="13" t="s">
        <v>116</v>
      </c>
      <c r="Q595" s="13">
        <v>2</v>
      </c>
      <c r="R595" s="13" t="s">
        <v>66</v>
      </c>
      <c r="S595" s="20">
        <v>5228</v>
      </c>
      <c r="T595" s="13">
        <v>23361</v>
      </c>
      <c r="U595" s="13">
        <v>0</v>
      </c>
      <c r="V595" s="13" t="s">
        <v>52</v>
      </c>
      <c r="W595" s="13" t="s">
        <v>59</v>
      </c>
      <c r="X595" s="13">
        <v>15</v>
      </c>
      <c r="Y595" s="13">
        <v>3</v>
      </c>
      <c r="Z595" s="13">
        <v>1</v>
      </c>
      <c r="AA595" s="13">
        <v>80</v>
      </c>
      <c r="AB595" s="13">
        <v>1</v>
      </c>
      <c r="AC595" s="13">
        <v>10</v>
      </c>
      <c r="AD595" s="13">
        <v>2</v>
      </c>
      <c r="AE595" s="13">
        <v>3</v>
      </c>
      <c r="AF595" s="14">
        <v>9</v>
      </c>
      <c r="AG595" s="13">
        <v>7</v>
      </c>
      <c r="AH595" s="13">
        <v>0</v>
      </c>
      <c r="AI595" s="13">
        <v>5</v>
      </c>
      <c r="AJ595" s="13" t="str">
        <f t="shared" si="9"/>
        <v>30-39</v>
      </c>
      <c r="AK595" s="13" t="str">
        <f>IF(tblCleanData[[#This Row],[MonthlyIncome]]&lt;5000, "Low Income", IF(tblCleanData[[#This Row],[MonthlyIncome]]&lt;15000, "Medium Income", "High Income"))</f>
        <v>Medium Income</v>
      </c>
      <c r="AL595" s="13">
        <f>IF(tblCleanData[[#This Row],[Attrition]]="No", 0,1)</f>
        <v>0</v>
      </c>
      <c r="AM595" s="13">
        <f>IF(tblCleanData[[#This Row],[OverTime]] = "No", 0, 1)</f>
        <v>0</v>
      </c>
      <c r="AN595" s="13" t="str">
        <f>CHOOSE(tblCleanData[[#This Row],[Education]], "Below College","College","Bachelor","Master","Doctor")</f>
        <v>Bachelor</v>
      </c>
      <c r="AO595" s="13" t="str">
        <f>VLOOKUP(tblCleanData[[#This Row],[EmployeeNumber]],tblHelpers[],15,TRUE)</f>
        <v>Medium Risk</v>
      </c>
      <c r="AP595" s="13">
        <f>VLOOKUP(tblCleanData[[#This Row],[EmployeeNumber]],tblHelpers[],14,0)</f>
        <v>52</v>
      </c>
    </row>
    <row r="596" spans="1:42" x14ac:dyDescent="0.25">
      <c r="A596" s="13">
        <v>29</v>
      </c>
      <c r="B596" s="13" t="s">
        <v>59</v>
      </c>
      <c r="C596" s="13" t="s">
        <v>37</v>
      </c>
      <c r="D596" s="13">
        <v>1252</v>
      </c>
      <c r="E596" s="13" t="s">
        <v>62</v>
      </c>
      <c r="F596" s="13">
        <v>23</v>
      </c>
      <c r="G596" s="13">
        <v>2</v>
      </c>
      <c r="H596" s="13" t="s">
        <v>42</v>
      </c>
      <c r="I596" s="13">
        <v>1</v>
      </c>
      <c r="J596" s="13">
        <v>824</v>
      </c>
      <c r="K596" s="13">
        <v>3</v>
      </c>
      <c r="L596" s="13" t="s">
        <v>63</v>
      </c>
      <c r="M596" s="13">
        <v>81</v>
      </c>
      <c r="N596" s="13">
        <v>4</v>
      </c>
      <c r="O596" s="13">
        <v>1</v>
      </c>
      <c r="P596" s="13" t="s">
        <v>65</v>
      </c>
      <c r="Q596" s="13">
        <v>3</v>
      </c>
      <c r="R596" s="13" t="s">
        <v>66</v>
      </c>
      <c r="S596" s="20">
        <v>2700</v>
      </c>
      <c r="T596" s="13">
        <v>23779</v>
      </c>
      <c r="U596" s="13">
        <v>1</v>
      </c>
      <c r="V596" s="13" t="s">
        <v>52</v>
      </c>
      <c r="W596" s="13" t="s">
        <v>59</v>
      </c>
      <c r="X596" s="13">
        <v>24</v>
      </c>
      <c r="Y596" s="13">
        <v>4</v>
      </c>
      <c r="Z596" s="13">
        <v>3</v>
      </c>
      <c r="AA596" s="13">
        <v>80</v>
      </c>
      <c r="AB596" s="13">
        <v>1</v>
      </c>
      <c r="AC596" s="13">
        <v>10</v>
      </c>
      <c r="AD596" s="13">
        <v>3</v>
      </c>
      <c r="AE596" s="13">
        <v>3</v>
      </c>
      <c r="AF596" s="14">
        <v>10</v>
      </c>
      <c r="AG596" s="13">
        <v>7</v>
      </c>
      <c r="AH596" s="13">
        <v>0</v>
      </c>
      <c r="AI596" s="13">
        <v>7</v>
      </c>
      <c r="AJ596" s="13" t="str">
        <f t="shared" si="9"/>
        <v>Under 30</v>
      </c>
      <c r="AK596" s="13" t="str">
        <f>IF(tblCleanData[[#This Row],[MonthlyIncome]]&lt;5000, "Low Income", IF(tblCleanData[[#This Row],[MonthlyIncome]]&lt;15000, "Medium Income", "High Income"))</f>
        <v>Low Income</v>
      </c>
      <c r="AL596" s="13">
        <f>IF(tblCleanData[[#This Row],[Attrition]]="No", 0,1)</f>
        <v>0</v>
      </c>
      <c r="AM596" s="13">
        <f>IF(tblCleanData[[#This Row],[OverTime]] = "No", 0, 1)</f>
        <v>0</v>
      </c>
      <c r="AN596" s="13" t="str">
        <f>CHOOSE(tblCleanData[[#This Row],[Education]], "Below College","College","Bachelor","Master","Doctor")</f>
        <v>College</v>
      </c>
      <c r="AO596" s="13" t="str">
        <f>VLOOKUP(tblCleanData[[#This Row],[EmployeeNumber]],tblHelpers[],15,TRUE)</f>
        <v>High Risk</v>
      </c>
      <c r="AP596" s="13">
        <f>VLOOKUP(tblCleanData[[#This Row],[EmployeeNumber]],tblHelpers[],14,0)</f>
        <v>56</v>
      </c>
    </row>
    <row r="597" spans="1:42" x14ac:dyDescent="0.25">
      <c r="A597" s="13">
        <v>58</v>
      </c>
      <c r="B597" s="13" t="s">
        <v>36</v>
      </c>
      <c r="C597" s="13" t="s">
        <v>37</v>
      </c>
      <c r="D597" s="13">
        <v>286</v>
      </c>
      <c r="E597" s="13" t="s">
        <v>62</v>
      </c>
      <c r="F597" s="13">
        <v>2</v>
      </c>
      <c r="G597" s="13">
        <v>4</v>
      </c>
      <c r="H597" s="13" t="s">
        <v>42</v>
      </c>
      <c r="I597" s="13">
        <v>1</v>
      </c>
      <c r="J597" s="13">
        <v>825</v>
      </c>
      <c r="K597" s="13">
        <v>4</v>
      </c>
      <c r="L597" s="13" t="s">
        <v>63</v>
      </c>
      <c r="M597" s="13">
        <v>31</v>
      </c>
      <c r="N597" s="13">
        <v>3</v>
      </c>
      <c r="O597" s="13">
        <v>5</v>
      </c>
      <c r="P597" s="13" t="s">
        <v>186</v>
      </c>
      <c r="Q597" s="13">
        <v>2</v>
      </c>
      <c r="R597" s="13" t="s">
        <v>48</v>
      </c>
      <c r="S597" s="20">
        <v>19246</v>
      </c>
      <c r="T597" s="13">
        <v>25761</v>
      </c>
      <c r="U597" s="13">
        <v>7</v>
      </c>
      <c r="V597" s="13" t="s">
        <v>52</v>
      </c>
      <c r="W597" s="13" t="s">
        <v>36</v>
      </c>
      <c r="X597" s="13">
        <v>12</v>
      </c>
      <c r="Y597" s="13">
        <v>3</v>
      </c>
      <c r="Z597" s="13">
        <v>4</v>
      </c>
      <c r="AA597" s="13">
        <v>80</v>
      </c>
      <c r="AB597" s="13">
        <v>0</v>
      </c>
      <c r="AC597" s="13">
        <v>40</v>
      </c>
      <c r="AD597" s="13">
        <v>2</v>
      </c>
      <c r="AE597" s="13">
        <v>3</v>
      </c>
      <c r="AF597" s="14">
        <v>31</v>
      </c>
      <c r="AG597" s="13">
        <v>15</v>
      </c>
      <c r="AH597" s="13">
        <v>13</v>
      </c>
      <c r="AI597" s="13">
        <v>8</v>
      </c>
      <c r="AJ597" s="13" t="str">
        <f t="shared" si="9"/>
        <v>50+</v>
      </c>
      <c r="AK597" s="13" t="str">
        <f>IF(tblCleanData[[#This Row],[MonthlyIncome]]&lt;5000, "Low Income", IF(tblCleanData[[#This Row],[MonthlyIncome]]&lt;15000, "Medium Income", "High Income"))</f>
        <v>High Income</v>
      </c>
      <c r="AL597" s="13">
        <f>IF(tblCleanData[[#This Row],[Attrition]]="No", 0,1)</f>
        <v>1</v>
      </c>
      <c r="AM597" s="13">
        <f>IF(tblCleanData[[#This Row],[OverTime]] = "No", 0, 1)</f>
        <v>1</v>
      </c>
      <c r="AN597" s="13" t="str">
        <f>CHOOSE(tblCleanData[[#This Row],[Education]], "Below College","College","Bachelor","Master","Doctor")</f>
        <v>Master</v>
      </c>
      <c r="AO597" s="13" t="str">
        <f>VLOOKUP(tblCleanData[[#This Row],[EmployeeNumber]],tblHelpers[],15,TRUE)</f>
        <v>High Risk</v>
      </c>
      <c r="AP597" s="13">
        <f>VLOOKUP(tblCleanData[[#This Row],[EmployeeNumber]],tblHelpers[],14,0)</f>
        <v>67</v>
      </c>
    </row>
    <row r="598" spans="1:42" x14ac:dyDescent="0.25">
      <c r="A598" s="13">
        <v>35</v>
      </c>
      <c r="B598" s="13" t="s">
        <v>59</v>
      </c>
      <c r="C598" s="13" t="s">
        <v>37</v>
      </c>
      <c r="D598" s="13">
        <v>1258</v>
      </c>
      <c r="E598" s="13" t="s">
        <v>62</v>
      </c>
      <c r="F598" s="13">
        <v>1</v>
      </c>
      <c r="G598" s="13">
        <v>4</v>
      </c>
      <c r="H598" s="13" t="s">
        <v>42</v>
      </c>
      <c r="I598" s="13">
        <v>1</v>
      </c>
      <c r="J598" s="13">
        <v>826</v>
      </c>
      <c r="K598" s="13">
        <v>4</v>
      </c>
      <c r="L598" s="13" t="s">
        <v>43</v>
      </c>
      <c r="M598" s="13">
        <v>40</v>
      </c>
      <c r="N598" s="13">
        <v>4</v>
      </c>
      <c r="O598" s="13">
        <v>1</v>
      </c>
      <c r="P598" s="13" t="s">
        <v>65</v>
      </c>
      <c r="Q598" s="13">
        <v>3</v>
      </c>
      <c r="R598" s="13" t="s">
        <v>48</v>
      </c>
      <c r="S598" s="20">
        <v>2506</v>
      </c>
      <c r="T598" s="13">
        <v>13301</v>
      </c>
      <c r="U598" s="13">
        <v>3</v>
      </c>
      <c r="V598" s="13" t="s">
        <v>52</v>
      </c>
      <c r="W598" s="13" t="s">
        <v>59</v>
      </c>
      <c r="X598" s="13">
        <v>13</v>
      </c>
      <c r="Y598" s="13">
        <v>3</v>
      </c>
      <c r="Z598" s="13">
        <v>3</v>
      </c>
      <c r="AA598" s="13">
        <v>80</v>
      </c>
      <c r="AB598" s="13">
        <v>0</v>
      </c>
      <c r="AC598" s="13">
        <v>7</v>
      </c>
      <c r="AD598" s="13">
        <v>0</v>
      </c>
      <c r="AE598" s="13">
        <v>3</v>
      </c>
      <c r="AF598" s="14">
        <v>2</v>
      </c>
      <c r="AG598" s="13">
        <v>2</v>
      </c>
      <c r="AH598" s="13">
        <v>2</v>
      </c>
      <c r="AI598" s="13">
        <v>2</v>
      </c>
      <c r="AJ598" s="13" t="str">
        <f t="shared" si="9"/>
        <v>30-39</v>
      </c>
      <c r="AK598" s="13" t="str">
        <f>IF(tblCleanData[[#This Row],[MonthlyIncome]]&lt;5000, "Low Income", IF(tblCleanData[[#This Row],[MonthlyIncome]]&lt;15000, "Medium Income", "High Income"))</f>
        <v>Low Income</v>
      </c>
      <c r="AL598" s="13">
        <f>IF(tblCleanData[[#This Row],[Attrition]]="No", 0,1)</f>
        <v>0</v>
      </c>
      <c r="AM598" s="13">
        <f>IF(tblCleanData[[#This Row],[OverTime]] = "No", 0, 1)</f>
        <v>0</v>
      </c>
      <c r="AN598" s="13" t="str">
        <f>CHOOSE(tblCleanData[[#This Row],[Education]], "Below College","College","Bachelor","Master","Doctor")</f>
        <v>Master</v>
      </c>
      <c r="AO598" s="13" t="str">
        <f>VLOOKUP(tblCleanData[[#This Row],[EmployeeNumber]],tblHelpers[],15,TRUE)</f>
        <v>High Risk</v>
      </c>
      <c r="AP598" s="13">
        <f>VLOOKUP(tblCleanData[[#This Row],[EmployeeNumber]],tblHelpers[],14,0)</f>
        <v>63</v>
      </c>
    </row>
    <row r="599" spans="1:42" x14ac:dyDescent="0.25">
      <c r="A599" s="13">
        <v>42</v>
      </c>
      <c r="B599" s="13" t="s">
        <v>59</v>
      </c>
      <c r="C599" s="13" t="s">
        <v>37</v>
      </c>
      <c r="D599" s="13">
        <v>932</v>
      </c>
      <c r="E599" s="13" t="s">
        <v>62</v>
      </c>
      <c r="F599" s="13">
        <v>1</v>
      </c>
      <c r="G599" s="13">
        <v>2</v>
      </c>
      <c r="H599" s="13" t="s">
        <v>42</v>
      </c>
      <c r="I599" s="13">
        <v>1</v>
      </c>
      <c r="J599" s="13">
        <v>827</v>
      </c>
      <c r="K599" s="13">
        <v>4</v>
      </c>
      <c r="L599" s="13" t="s">
        <v>43</v>
      </c>
      <c r="M599" s="13">
        <v>43</v>
      </c>
      <c r="N599" s="13">
        <v>2</v>
      </c>
      <c r="O599" s="13">
        <v>2</v>
      </c>
      <c r="P599" s="13" t="s">
        <v>116</v>
      </c>
      <c r="Q599" s="13">
        <v>4</v>
      </c>
      <c r="R599" s="13" t="s">
        <v>66</v>
      </c>
      <c r="S599" s="20">
        <v>6062</v>
      </c>
      <c r="T599" s="13">
        <v>4051</v>
      </c>
      <c r="U599" s="13">
        <v>9</v>
      </c>
      <c r="V599" s="13" t="s">
        <v>52</v>
      </c>
      <c r="W599" s="13" t="s">
        <v>36</v>
      </c>
      <c r="X599" s="13">
        <v>13</v>
      </c>
      <c r="Y599" s="13">
        <v>3</v>
      </c>
      <c r="Z599" s="13">
        <v>4</v>
      </c>
      <c r="AA599" s="13">
        <v>80</v>
      </c>
      <c r="AB599" s="13">
        <v>1</v>
      </c>
      <c r="AC599" s="13">
        <v>8</v>
      </c>
      <c r="AD599" s="13">
        <v>4</v>
      </c>
      <c r="AE599" s="13">
        <v>3</v>
      </c>
      <c r="AF599" s="14">
        <v>4</v>
      </c>
      <c r="AG599" s="13">
        <v>3</v>
      </c>
      <c r="AH599" s="13">
        <v>0</v>
      </c>
      <c r="AI599" s="13">
        <v>2</v>
      </c>
      <c r="AJ599" s="13" t="str">
        <f t="shared" si="9"/>
        <v>40-49</v>
      </c>
      <c r="AK599" s="13" t="str">
        <f>IF(tblCleanData[[#This Row],[MonthlyIncome]]&lt;5000, "Low Income", IF(tblCleanData[[#This Row],[MonthlyIncome]]&lt;15000, "Medium Income", "High Income"))</f>
        <v>Medium Income</v>
      </c>
      <c r="AL599" s="13">
        <f>IF(tblCleanData[[#This Row],[Attrition]]="No", 0,1)</f>
        <v>0</v>
      </c>
      <c r="AM599" s="13">
        <f>IF(tblCleanData[[#This Row],[OverTime]] = "No", 0, 1)</f>
        <v>1</v>
      </c>
      <c r="AN599" s="13" t="str">
        <f>CHOOSE(tblCleanData[[#This Row],[Education]], "Below College","College","Bachelor","Master","Doctor")</f>
        <v>College</v>
      </c>
      <c r="AO599" s="13" t="str">
        <f>VLOOKUP(tblCleanData[[#This Row],[EmployeeNumber]],tblHelpers[],15,TRUE)</f>
        <v>High Risk</v>
      </c>
      <c r="AP599" s="13">
        <f>VLOOKUP(tblCleanData[[#This Row],[EmployeeNumber]],tblHelpers[],14,0)</f>
        <v>61</v>
      </c>
    </row>
    <row r="600" spans="1:42" x14ac:dyDescent="0.25">
      <c r="A600" s="13">
        <v>28</v>
      </c>
      <c r="B600" s="13" t="s">
        <v>36</v>
      </c>
      <c r="C600" s="13" t="s">
        <v>37</v>
      </c>
      <c r="D600" s="13">
        <v>890</v>
      </c>
      <c r="E600" s="13" t="s">
        <v>62</v>
      </c>
      <c r="F600" s="13">
        <v>2</v>
      </c>
      <c r="G600" s="13">
        <v>4</v>
      </c>
      <c r="H600" s="13" t="s">
        <v>87</v>
      </c>
      <c r="I600" s="13">
        <v>1</v>
      </c>
      <c r="J600" s="13">
        <v>828</v>
      </c>
      <c r="K600" s="13">
        <v>3</v>
      </c>
      <c r="L600" s="13" t="s">
        <v>63</v>
      </c>
      <c r="M600" s="13">
        <v>46</v>
      </c>
      <c r="N600" s="13">
        <v>3</v>
      </c>
      <c r="O600" s="13">
        <v>1</v>
      </c>
      <c r="P600" s="13" t="s">
        <v>65</v>
      </c>
      <c r="Q600" s="13">
        <v>3</v>
      </c>
      <c r="R600" s="13" t="s">
        <v>48</v>
      </c>
      <c r="S600" s="20">
        <v>4382</v>
      </c>
      <c r="T600" s="13">
        <v>16374</v>
      </c>
      <c r="U600" s="13">
        <v>6</v>
      </c>
      <c r="V600" s="13" t="s">
        <v>52</v>
      </c>
      <c r="W600" s="13" t="s">
        <v>59</v>
      </c>
      <c r="X600" s="13">
        <v>17</v>
      </c>
      <c r="Y600" s="13">
        <v>3</v>
      </c>
      <c r="Z600" s="13">
        <v>4</v>
      </c>
      <c r="AA600" s="13">
        <v>80</v>
      </c>
      <c r="AB600" s="13">
        <v>0</v>
      </c>
      <c r="AC600" s="13">
        <v>5</v>
      </c>
      <c r="AD600" s="13">
        <v>3</v>
      </c>
      <c r="AE600" s="13">
        <v>2</v>
      </c>
      <c r="AF600" s="14">
        <v>2</v>
      </c>
      <c r="AG600" s="13">
        <v>2</v>
      </c>
      <c r="AH600" s="13">
        <v>2</v>
      </c>
      <c r="AI600" s="13">
        <v>1</v>
      </c>
      <c r="AJ600" s="13" t="str">
        <f t="shared" si="9"/>
        <v>Under 30</v>
      </c>
      <c r="AK600" s="13" t="str">
        <f>IF(tblCleanData[[#This Row],[MonthlyIncome]]&lt;5000, "Low Income", IF(tblCleanData[[#This Row],[MonthlyIncome]]&lt;15000, "Medium Income", "High Income"))</f>
        <v>Low Income</v>
      </c>
      <c r="AL600" s="13">
        <f>IF(tblCleanData[[#This Row],[Attrition]]="No", 0,1)</f>
        <v>1</v>
      </c>
      <c r="AM600" s="13">
        <f>IF(tblCleanData[[#This Row],[OverTime]] = "No", 0, 1)</f>
        <v>0</v>
      </c>
      <c r="AN600" s="13" t="str">
        <f>CHOOSE(tblCleanData[[#This Row],[Education]], "Below College","College","Bachelor","Master","Doctor")</f>
        <v>Master</v>
      </c>
      <c r="AO600" s="13" t="str">
        <f>VLOOKUP(tblCleanData[[#This Row],[EmployeeNumber]],tblHelpers[],15,TRUE)</f>
        <v>High Risk</v>
      </c>
      <c r="AP600" s="13">
        <f>VLOOKUP(tblCleanData[[#This Row],[EmployeeNumber]],tblHelpers[],14,0)</f>
        <v>73</v>
      </c>
    </row>
    <row r="601" spans="1:42" x14ac:dyDescent="0.25">
      <c r="A601" s="13">
        <v>36</v>
      </c>
      <c r="B601" s="13" t="s">
        <v>59</v>
      </c>
      <c r="C601" s="13" t="s">
        <v>37</v>
      </c>
      <c r="D601" s="13">
        <v>1041</v>
      </c>
      <c r="E601" s="13" t="s">
        <v>397</v>
      </c>
      <c r="F601" s="13">
        <v>13</v>
      </c>
      <c r="G601" s="13">
        <v>3</v>
      </c>
      <c r="H601" s="13" t="s">
        <v>397</v>
      </c>
      <c r="I601" s="13">
        <v>1</v>
      </c>
      <c r="J601" s="13">
        <v>829</v>
      </c>
      <c r="K601" s="13">
        <v>3</v>
      </c>
      <c r="L601" s="13" t="s">
        <v>63</v>
      </c>
      <c r="M601" s="13">
        <v>36</v>
      </c>
      <c r="N601" s="13">
        <v>3</v>
      </c>
      <c r="O601" s="13">
        <v>1</v>
      </c>
      <c r="P601" s="13" t="s">
        <v>397</v>
      </c>
      <c r="Q601" s="13">
        <v>2</v>
      </c>
      <c r="R601" s="13" t="s">
        <v>66</v>
      </c>
      <c r="S601" s="20">
        <v>2143</v>
      </c>
      <c r="T601" s="13">
        <v>25527</v>
      </c>
      <c r="U601" s="13">
        <v>4</v>
      </c>
      <c r="V601" s="13" t="s">
        <v>52</v>
      </c>
      <c r="W601" s="13" t="s">
        <v>59</v>
      </c>
      <c r="X601" s="13">
        <v>13</v>
      </c>
      <c r="Y601" s="13">
        <v>3</v>
      </c>
      <c r="Z601" s="13">
        <v>2</v>
      </c>
      <c r="AA601" s="13">
        <v>80</v>
      </c>
      <c r="AB601" s="13">
        <v>1</v>
      </c>
      <c r="AC601" s="13">
        <v>8</v>
      </c>
      <c r="AD601" s="13">
        <v>2</v>
      </c>
      <c r="AE601" s="13">
        <v>3</v>
      </c>
      <c r="AF601" s="14">
        <v>5</v>
      </c>
      <c r="AG601" s="13">
        <v>2</v>
      </c>
      <c r="AH601" s="13">
        <v>0</v>
      </c>
      <c r="AI601" s="13">
        <v>4</v>
      </c>
      <c r="AJ601" s="13" t="str">
        <f t="shared" si="9"/>
        <v>30-39</v>
      </c>
      <c r="AK601" s="13" t="str">
        <f>IF(tblCleanData[[#This Row],[MonthlyIncome]]&lt;5000, "Low Income", IF(tblCleanData[[#This Row],[MonthlyIncome]]&lt;15000, "Medium Income", "High Income"))</f>
        <v>Low Income</v>
      </c>
      <c r="AL601" s="13">
        <f>IF(tblCleanData[[#This Row],[Attrition]]="No", 0,1)</f>
        <v>0</v>
      </c>
      <c r="AM601" s="13">
        <f>IF(tblCleanData[[#This Row],[OverTime]] = "No", 0, 1)</f>
        <v>0</v>
      </c>
      <c r="AN601" s="13" t="str">
        <f>CHOOSE(tblCleanData[[#This Row],[Education]], "Below College","College","Bachelor","Master","Doctor")</f>
        <v>Bachelor</v>
      </c>
      <c r="AO601" s="13" t="str">
        <f>VLOOKUP(tblCleanData[[#This Row],[EmployeeNumber]],tblHelpers[],15,TRUE)</f>
        <v>High Risk</v>
      </c>
      <c r="AP601" s="13">
        <f>VLOOKUP(tblCleanData[[#This Row],[EmployeeNumber]],tblHelpers[],14,0)</f>
        <v>59</v>
      </c>
    </row>
    <row r="602" spans="1:42" x14ac:dyDescent="0.25">
      <c r="A602" s="13">
        <v>32</v>
      </c>
      <c r="B602" s="13" t="s">
        <v>59</v>
      </c>
      <c r="C602" s="13" t="s">
        <v>37</v>
      </c>
      <c r="D602" s="13">
        <v>859</v>
      </c>
      <c r="E602" s="13" t="s">
        <v>62</v>
      </c>
      <c r="F602" s="13">
        <v>4</v>
      </c>
      <c r="G602" s="13">
        <v>3</v>
      </c>
      <c r="H602" s="13" t="s">
        <v>42</v>
      </c>
      <c r="I602" s="13">
        <v>1</v>
      </c>
      <c r="J602" s="13">
        <v>830</v>
      </c>
      <c r="K602" s="13">
        <v>3</v>
      </c>
      <c r="L602" s="13" t="s">
        <v>43</v>
      </c>
      <c r="M602" s="13">
        <v>98</v>
      </c>
      <c r="N602" s="13">
        <v>2</v>
      </c>
      <c r="O602" s="13">
        <v>2</v>
      </c>
      <c r="P602" s="13" t="s">
        <v>116</v>
      </c>
      <c r="Q602" s="13">
        <v>3</v>
      </c>
      <c r="R602" s="13" t="s">
        <v>66</v>
      </c>
      <c r="S602" s="20">
        <v>6162</v>
      </c>
      <c r="T602" s="13">
        <v>19124</v>
      </c>
      <c r="U602" s="13">
        <v>1</v>
      </c>
      <c r="V602" s="13" t="s">
        <v>52</v>
      </c>
      <c r="W602" s="13" t="s">
        <v>59</v>
      </c>
      <c r="X602" s="13">
        <v>12</v>
      </c>
      <c r="Y602" s="13">
        <v>3</v>
      </c>
      <c r="Z602" s="13">
        <v>3</v>
      </c>
      <c r="AA602" s="13">
        <v>80</v>
      </c>
      <c r="AB602" s="13">
        <v>1</v>
      </c>
      <c r="AC602" s="13">
        <v>14</v>
      </c>
      <c r="AD602" s="13">
        <v>3</v>
      </c>
      <c r="AE602" s="13">
        <v>3</v>
      </c>
      <c r="AF602" s="14">
        <v>14</v>
      </c>
      <c r="AG602" s="13">
        <v>13</v>
      </c>
      <c r="AH602" s="13">
        <v>6</v>
      </c>
      <c r="AI602" s="13">
        <v>8</v>
      </c>
      <c r="AJ602" s="13" t="str">
        <f t="shared" si="9"/>
        <v>30-39</v>
      </c>
      <c r="AK602" s="13" t="str">
        <f>IF(tblCleanData[[#This Row],[MonthlyIncome]]&lt;5000, "Low Income", IF(tblCleanData[[#This Row],[MonthlyIncome]]&lt;15000, "Medium Income", "High Income"))</f>
        <v>Medium Income</v>
      </c>
      <c r="AL602" s="13">
        <f>IF(tblCleanData[[#This Row],[Attrition]]="No", 0,1)</f>
        <v>0</v>
      </c>
      <c r="AM602" s="13">
        <f>IF(tblCleanData[[#This Row],[OverTime]] = "No", 0, 1)</f>
        <v>0</v>
      </c>
      <c r="AN602" s="13" t="str">
        <f>CHOOSE(tblCleanData[[#This Row],[Education]], "Below College","College","Bachelor","Master","Doctor")</f>
        <v>Bachelor</v>
      </c>
      <c r="AO602" s="13" t="str">
        <f>VLOOKUP(tblCleanData[[#This Row],[EmployeeNumber]],tblHelpers[],15,TRUE)</f>
        <v>Medium Risk</v>
      </c>
      <c r="AP602" s="13">
        <f>VLOOKUP(tblCleanData[[#This Row],[EmployeeNumber]],tblHelpers[],14,0)</f>
        <v>41</v>
      </c>
    </row>
    <row r="603" spans="1:42" x14ac:dyDescent="0.25">
      <c r="A603" s="13">
        <v>40</v>
      </c>
      <c r="B603" s="13" t="s">
        <v>59</v>
      </c>
      <c r="C603" s="13" t="s">
        <v>60</v>
      </c>
      <c r="D603" s="13">
        <v>720</v>
      </c>
      <c r="E603" s="13" t="s">
        <v>62</v>
      </c>
      <c r="F603" s="13">
        <v>16</v>
      </c>
      <c r="G603" s="13">
        <v>4</v>
      </c>
      <c r="H603" s="13" t="s">
        <v>87</v>
      </c>
      <c r="I603" s="13">
        <v>1</v>
      </c>
      <c r="J603" s="13">
        <v>832</v>
      </c>
      <c r="K603" s="13">
        <v>1</v>
      </c>
      <c r="L603" s="13" t="s">
        <v>63</v>
      </c>
      <c r="M603" s="13">
        <v>51</v>
      </c>
      <c r="N603" s="13">
        <v>2</v>
      </c>
      <c r="O603" s="13">
        <v>2</v>
      </c>
      <c r="P603" s="13" t="s">
        <v>76</v>
      </c>
      <c r="Q603" s="13">
        <v>3</v>
      </c>
      <c r="R603" s="13" t="s">
        <v>48</v>
      </c>
      <c r="S603" s="20">
        <v>5094</v>
      </c>
      <c r="T603" s="13">
        <v>11983</v>
      </c>
      <c r="U603" s="13">
        <v>6</v>
      </c>
      <c r="V603" s="13" t="s">
        <v>52</v>
      </c>
      <c r="W603" s="13" t="s">
        <v>59</v>
      </c>
      <c r="X603" s="13">
        <v>14</v>
      </c>
      <c r="Y603" s="13">
        <v>3</v>
      </c>
      <c r="Z603" s="13">
        <v>4</v>
      </c>
      <c r="AA603" s="13">
        <v>80</v>
      </c>
      <c r="AB603" s="13">
        <v>0</v>
      </c>
      <c r="AC603" s="13">
        <v>10</v>
      </c>
      <c r="AD603" s="13">
        <v>6</v>
      </c>
      <c r="AE603" s="13">
        <v>3</v>
      </c>
      <c r="AF603" s="14">
        <v>1</v>
      </c>
      <c r="AG603" s="13">
        <v>0</v>
      </c>
      <c r="AH603" s="13">
        <v>0</v>
      </c>
      <c r="AI603" s="13">
        <v>0</v>
      </c>
      <c r="AJ603" s="13" t="str">
        <f t="shared" si="9"/>
        <v>40-49</v>
      </c>
      <c r="AK603" s="13" t="str">
        <f>IF(tblCleanData[[#This Row],[MonthlyIncome]]&lt;5000, "Low Income", IF(tblCleanData[[#This Row],[MonthlyIncome]]&lt;15000, "Medium Income", "High Income"))</f>
        <v>Medium Income</v>
      </c>
      <c r="AL603" s="13">
        <f>IF(tblCleanData[[#This Row],[Attrition]]="No", 0,1)</f>
        <v>0</v>
      </c>
      <c r="AM603" s="13">
        <f>IF(tblCleanData[[#This Row],[OverTime]] = "No", 0, 1)</f>
        <v>0</v>
      </c>
      <c r="AN603" s="13" t="str">
        <f>CHOOSE(tblCleanData[[#This Row],[Education]], "Below College","College","Bachelor","Master","Doctor")</f>
        <v>Master</v>
      </c>
      <c r="AO603" s="13" t="str">
        <f>VLOOKUP(tblCleanData[[#This Row],[EmployeeNumber]],tblHelpers[],15,TRUE)</f>
        <v>Medium Risk</v>
      </c>
      <c r="AP603" s="13">
        <f>VLOOKUP(tblCleanData[[#This Row],[EmployeeNumber]],tblHelpers[],14,0)</f>
        <v>53</v>
      </c>
    </row>
    <row r="604" spans="1:42" x14ac:dyDescent="0.25">
      <c r="A604" s="13">
        <v>30</v>
      </c>
      <c r="B604" s="13" t="s">
        <v>59</v>
      </c>
      <c r="C604" s="13" t="s">
        <v>37</v>
      </c>
      <c r="D604" s="13">
        <v>946</v>
      </c>
      <c r="E604" s="13" t="s">
        <v>62</v>
      </c>
      <c r="F604" s="13">
        <v>2</v>
      </c>
      <c r="G604" s="13">
        <v>3</v>
      </c>
      <c r="H604" s="13" t="s">
        <v>87</v>
      </c>
      <c r="I604" s="13">
        <v>1</v>
      </c>
      <c r="J604" s="13">
        <v>833</v>
      </c>
      <c r="K604" s="13">
        <v>3</v>
      </c>
      <c r="L604" s="13" t="s">
        <v>43</v>
      </c>
      <c r="M604" s="13">
        <v>52</v>
      </c>
      <c r="N604" s="13">
        <v>2</v>
      </c>
      <c r="O604" s="13">
        <v>2</v>
      </c>
      <c r="P604" s="13" t="s">
        <v>116</v>
      </c>
      <c r="Q604" s="13">
        <v>4</v>
      </c>
      <c r="R604" s="13" t="s">
        <v>48</v>
      </c>
      <c r="S604" s="20">
        <v>6877</v>
      </c>
      <c r="T604" s="13">
        <v>20234</v>
      </c>
      <c r="U604" s="13">
        <v>5</v>
      </c>
      <c r="V604" s="13" t="s">
        <v>52</v>
      </c>
      <c r="W604" s="13" t="s">
        <v>36</v>
      </c>
      <c r="X604" s="13">
        <v>24</v>
      </c>
      <c r="Y604" s="13">
        <v>4</v>
      </c>
      <c r="Z604" s="13">
        <v>2</v>
      </c>
      <c r="AA604" s="13">
        <v>80</v>
      </c>
      <c r="AB604" s="13">
        <v>0</v>
      </c>
      <c r="AC604" s="13">
        <v>12</v>
      </c>
      <c r="AD604" s="13">
        <v>4</v>
      </c>
      <c r="AE604" s="13">
        <v>2</v>
      </c>
      <c r="AF604" s="14">
        <v>0</v>
      </c>
      <c r="AG604" s="13">
        <v>0</v>
      </c>
      <c r="AH604" s="13">
        <v>0</v>
      </c>
      <c r="AI604" s="13">
        <v>0</v>
      </c>
      <c r="AJ604" s="13" t="str">
        <f t="shared" si="9"/>
        <v>30-39</v>
      </c>
      <c r="AK604" s="13" t="str">
        <f>IF(tblCleanData[[#This Row],[MonthlyIncome]]&lt;5000, "Low Income", IF(tblCleanData[[#This Row],[MonthlyIncome]]&lt;15000, "Medium Income", "High Income"))</f>
        <v>Medium Income</v>
      </c>
      <c r="AL604" s="13">
        <f>IF(tblCleanData[[#This Row],[Attrition]]="No", 0,1)</f>
        <v>0</v>
      </c>
      <c r="AM604" s="13">
        <f>IF(tblCleanData[[#This Row],[OverTime]] = "No", 0, 1)</f>
        <v>1</v>
      </c>
      <c r="AN604" s="13" t="str">
        <f>CHOOSE(tblCleanData[[#This Row],[Education]], "Below College","College","Bachelor","Master","Doctor")</f>
        <v>Bachelor</v>
      </c>
      <c r="AO604" s="13" t="str">
        <f>VLOOKUP(tblCleanData[[#This Row],[EmployeeNumber]],tblHelpers[],15,TRUE)</f>
        <v>High Risk</v>
      </c>
      <c r="AP604" s="13">
        <f>VLOOKUP(tblCleanData[[#This Row],[EmployeeNumber]],tblHelpers[],14,0)</f>
        <v>81</v>
      </c>
    </row>
    <row r="605" spans="1:42" x14ac:dyDescent="0.25">
      <c r="A605" s="13">
        <v>45</v>
      </c>
      <c r="B605" s="13" t="s">
        <v>59</v>
      </c>
      <c r="C605" s="13" t="s">
        <v>37</v>
      </c>
      <c r="D605" s="13">
        <v>252</v>
      </c>
      <c r="E605" s="13" t="s">
        <v>62</v>
      </c>
      <c r="F605" s="13">
        <v>2</v>
      </c>
      <c r="G605" s="13">
        <v>3</v>
      </c>
      <c r="H605" s="13" t="s">
        <v>42</v>
      </c>
      <c r="I605" s="13">
        <v>1</v>
      </c>
      <c r="J605" s="13">
        <v>834</v>
      </c>
      <c r="K605" s="13">
        <v>2</v>
      </c>
      <c r="L605" s="13" t="s">
        <v>43</v>
      </c>
      <c r="M605" s="13">
        <v>95</v>
      </c>
      <c r="N605" s="13">
        <v>2</v>
      </c>
      <c r="O605" s="13">
        <v>1</v>
      </c>
      <c r="P605" s="13" t="s">
        <v>65</v>
      </c>
      <c r="Q605" s="13">
        <v>3</v>
      </c>
      <c r="R605" s="13" t="s">
        <v>48</v>
      </c>
      <c r="S605" s="20">
        <v>2274</v>
      </c>
      <c r="T605" s="13">
        <v>6153</v>
      </c>
      <c r="U605" s="13">
        <v>1</v>
      </c>
      <c r="V605" s="13" t="s">
        <v>52</v>
      </c>
      <c r="W605" s="13" t="s">
        <v>59</v>
      </c>
      <c r="X605" s="13">
        <v>14</v>
      </c>
      <c r="Y605" s="13">
        <v>3</v>
      </c>
      <c r="Z605" s="13">
        <v>4</v>
      </c>
      <c r="AA605" s="13">
        <v>80</v>
      </c>
      <c r="AB605" s="13">
        <v>0</v>
      </c>
      <c r="AC605" s="13">
        <v>1</v>
      </c>
      <c r="AD605" s="13">
        <v>3</v>
      </c>
      <c r="AE605" s="13">
        <v>3</v>
      </c>
      <c r="AF605" s="14">
        <v>1</v>
      </c>
      <c r="AG605" s="13">
        <v>0</v>
      </c>
      <c r="AH605" s="13">
        <v>0</v>
      </c>
      <c r="AI605" s="13">
        <v>0</v>
      </c>
      <c r="AJ605" s="13" t="str">
        <f t="shared" si="9"/>
        <v>40-49</v>
      </c>
      <c r="AK605" s="13" t="str">
        <f>IF(tblCleanData[[#This Row],[MonthlyIncome]]&lt;5000, "Low Income", IF(tblCleanData[[#This Row],[MonthlyIncome]]&lt;15000, "Medium Income", "High Income"))</f>
        <v>Low Income</v>
      </c>
      <c r="AL605" s="13">
        <f>IF(tblCleanData[[#This Row],[Attrition]]="No", 0,1)</f>
        <v>0</v>
      </c>
      <c r="AM605" s="13">
        <f>IF(tblCleanData[[#This Row],[OverTime]] = "No", 0, 1)</f>
        <v>0</v>
      </c>
      <c r="AN605" s="13" t="str">
        <f>CHOOSE(tblCleanData[[#This Row],[Education]], "Below College","College","Bachelor","Master","Doctor")</f>
        <v>Bachelor</v>
      </c>
      <c r="AO605" s="13" t="str">
        <f>VLOOKUP(tblCleanData[[#This Row],[EmployeeNumber]],tblHelpers[],15,TRUE)</f>
        <v>Medium Risk</v>
      </c>
      <c r="AP605" s="13">
        <f>VLOOKUP(tblCleanData[[#This Row],[EmployeeNumber]],tblHelpers[],14,0)</f>
        <v>53</v>
      </c>
    </row>
    <row r="606" spans="1:42" x14ac:dyDescent="0.25">
      <c r="A606" s="13">
        <v>42</v>
      </c>
      <c r="B606" s="13" t="s">
        <v>59</v>
      </c>
      <c r="C606" s="13" t="s">
        <v>37</v>
      </c>
      <c r="D606" s="13">
        <v>933</v>
      </c>
      <c r="E606" s="13" t="s">
        <v>62</v>
      </c>
      <c r="F606" s="13">
        <v>29</v>
      </c>
      <c r="G606" s="13">
        <v>3</v>
      </c>
      <c r="H606" s="13" t="s">
        <v>42</v>
      </c>
      <c r="I606" s="13">
        <v>1</v>
      </c>
      <c r="J606" s="13">
        <v>836</v>
      </c>
      <c r="K606" s="13">
        <v>2</v>
      </c>
      <c r="L606" s="13" t="s">
        <v>63</v>
      </c>
      <c r="M606" s="13">
        <v>98</v>
      </c>
      <c r="N606" s="13">
        <v>3</v>
      </c>
      <c r="O606" s="13">
        <v>2</v>
      </c>
      <c r="P606" s="13" t="s">
        <v>116</v>
      </c>
      <c r="Q606" s="13">
        <v>2</v>
      </c>
      <c r="R606" s="13" t="s">
        <v>66</v>
      </c>
      <c r="S606" s="20">
        <v>4434</v>
      </c>
      <c r="T606" s="13">
        <v>11806</v>
      </c>
      <c r="U606" s="13">
        <v>1</v>
      </c>
      <c r="V606" s="13" t="s">
        <v>52</v>
      </c>
      <c r="W606" s="13" t="s">
        <v>59</v>
      </c>
      <c r="X606" s="13">
        <v>13</v>
      </c>
      <c r="Y606" s="13">
        <v>3</v>
      </c>
      <c r="Z606" s="13">
        <v>4</v>
      </c>
      <c r="AA606" s="13">
        <v>80</v>
      </c>
      <c r="AB606" s="13">
        <v>1</v>
      </c>
      <c r="AC606" s="13">
        <v>10</v>
      </c>
      <c r="AD606" s="13">
        <v>3</v>
      </c>
      <c r="AE606" s="13">
        <v>2</v>
      </c>
      <c r="AF606" s="14">
        <v>9</v>
      </c>
      <c r="AG606" s="13">
        <v>8</v>
      </c>
      <c r="AH606" s="13">
        <v>7</v>
      </c>
      <c r="AI606" s="13">
        <v>8</v>
      </c>
      <c r="AJ606" s="13" t="str">
        <f t="shared" si="9"/>
        <v>40-49</v>
      </c>
      <c r="AK606" s="13" t="str">
        <f>IF(tblCleanData[[#This Row],[MonthlyIncome]]&lt;5000, "Low Income", IF(tblCleanData[[#This Row],[MonthlyIncome]]&lt;15000, "Medium Income", "High Income"))</f>
        <v>Low Income</v>
      </c>
      <c r="AL606" s="13">
        <f>IF(tblCleanData[[#This Row],[Attrition]]="No", 0,1)</f>
        <v>0</v>
      </c>
      <c r="AM606" s="13">
        <f>IF(tblCleanData[[#This Row],[OverTime]] = "No", 0, 1)</f>
        <v>0</v>
      </c>
      <c r="AN606" s="13" t="str">
        <f>CHOOSE(tblCleanData[[#This Row],[Education]], "Below College","College","Bachelor","Master","Doctor")</f>
        <v>Bachelor</v>
      </c>
      <c r="AO606" s="13" t="str">
        <f>VLOOKUP(tblCleanData[[#This Row],[EmployeeNumber]],tblHelpers[],15,TRUE)</f>
        <v>Medium Risk</v>
      </c>
      <c r="AP606" s="13">
        <f>VLOOKUP(tblCleanData[[#This Row],[EmployeeNumber]],tblHelpers[],14,0)</f>
        <v>42</v>
      </c>
    </row>
    <row r="607" spans="1:42" x14ac:dyDescent="0.25">
      <c r="A607" s="13">
        <v>38</v>
      </c>
      <c r="B607" s="13" t="s">
        <v>59</v>
      </c>
      <c r="C607" s="13" t="s">
        <v>60</v>
      </c>
      <c r="D607" s="13">
        <v>471</v>
      </c>
      <c r="E607" s="13" t="s">
        <v>62</v>
      </c>
      <c r="F607" s="13">
        <v>12</v>
      </c>
      <c r="G607" s="13">
        <v>3</v>
      </c>
      <c r="H607" s="13" t="s">
        <v>42</v>
      </c>
      <c r="I607" s="13">
        <v>1</v>
      </c>
      <c r="J607" s="13">
        <v>837</v>
      </c>
      <c r="K607" s="13">
        <v>1</v>
      </c>
      <c r="L607" s="13" t="s">
        <v>63</v>
      </c>
      <c r="M607" s="13">
        <v>45</v>
      </c>
      <c r="N607" s="13">
        <v>2</v>
      </c>
      <c r="O607" s="13">
        <v>2</v>
      </c>
      <c r="P607" s="13" t="s">
        <v>122</v>
      </c>
      <c r="Q607" s="13">
        <v>1</v>
      </c>
      <c r="R607" s="13" t="s">
        <v>109</v>
      </c>
      <c r="S607" s="20">
        <v>6288</v>
      </c>
      <c r="T607" s="13">
        <v>4284</v>
      </c>
      <c r="U607" s="13">
        <v>2</v>
      </c>
      <c r="V607" s="13" t="s">
        <v>52</v>
      </c>
      <c r="W607" s="13" t="s">
        <v>59</v>
      </c>
      <c r="X607" s="13">
        <v>15</v>
      </c>
      <c r="Y607" s="13">
        <v>3</v>
      </c>
      <c r="Z607" s="13">
        <v>3</v>
      </c>
      <c r="AA607" s="13">
        <v>80</v>
      </c>
      <c r="AB607" s="13">
        <v>1</v>
      </c>
      <c r="AC607" s="13">
        <v>13</v>
      </c>
      <c r="AD607" s="13">
        <v>3</v>
      </c>
      <c r="AE607" s="13">
        <v>2</v>
      </c>
      <c r="AF607" s="14">
        <v>4</v>
      </c>
      <c r="AG607" s="13">
        <v>3</v>
      </c>
      <c r="AH607" s="13">
        <v>1</v>
      </c>
      <c r="AI607" s="13">
        <v>2</v>
      </c>
      <c r="AJ607" s="13" t="str">
        <f t="shared" si="9"/>
        <v>30-39</v>
      </c>
      <c r="AK607" s="13" t="str">
        <f>IF(tblCleanData[[#This Row],[MonthlyIncome]]&lt;5000, "Low Income", IF(tblCleanData[[#This Row],[MonthlyIncome]]&lt;15000, "Medium Income", "High Income"))</f>
        <v>Medium Income</v>
      </c>
      <c r="AL607" s="13">
        <f>IF(tblCleanData[[#This Row],[Attrition]]="No", 0,1)</f>
        <v>0</v>
      </c>
      <c r="AM607" s="13">
        <f>IF(tblCleanData[[#This Row],[OverTime]] = "No", 0, 1)</f>
        <v>0</v>
      </c>
      <c r="AN607" s="13" t="str">
        <f>CHOOSE(tblCleanData[[#This Row],[Education]], "Below College","College","Bachelor","Master","Doctor")</f>
        <v>Bachelor</v>
      </c>
      <c r="AO607" s="13" t="str">
        <f>VLOOKUP(tblCleanData[[#This Row],[EmployeeNumber]],tblHelpers[],15,TRUE)</f>
        <v>High Risk</v>
      </c>
      <c r="AP607" s="13">
        <f>VLOOKUP(tblCleanData[[#This Row],[EmployeeNumber]],tblHelpers[],14,0)</f>
        <v>65</v>
      </c>
    </row>
    <row r="608" spans="1:42" x14ac:dyDescent="0.25">
      <c r="A608" s="13">
        <v>34</v>
      </c>
      <c r="B608" s="13" t="s">
        <v>59</v>
      </c>
      <c r="C608" s="13" t="s">
        <v>60</v>
      </c>
      <c r="D608" s="13">
        <v>702</v>
      </c>
      <c r="E608" s="13" t="s">
        <v>62</v>
      </c>
      <c r="F608" s="13">
        <v>16</v>
      </c>
      <c r="G608" s="13">
        <v>4</v>
      </c>
      <c r="H608" s="13" t="s">
        <v>42</v>
      </c>
      <c r="I608" s="13">
        <v>1</v>
      </c>
      <c r="J608" s="13">
        <v>838</v>
      </c>
      <c r="K608" s="13">
        <v>3</v>
      </c>
      <c r="L608" s="13" t="s">
        <v>43</v>
      </c>
      <c r="M608" s="13">
        <v>100</v>
      </c>
      <c r="N608" s="13">
        <v>2</v>
      </c>
      <c r="O608" s="13">
        <v>1</v>
      </c>
      <c r="P608" s="13" t="s">
        <v>65</v>
      </c>
      <c r="Q608" s="13">
        <v>4</v>
      </c>
      <c r="R608" s="13" t="s">
        <v>48</v>
      </c>
      <c r="S608" s="20">
        <v>2553</v>
      </c>
      <c r="T608" s="13">
        <v>8306</v>
      </c>
      <c r="U608" s="13">
        <v>1</v>
      </c>
      <c r="V608" s="13" t="s">
        <v>52</v>
      </c>
      <c r="W608" s="13" t="s">
        <v>59</v>
      </c>
      <c r="X608" s="13">
        <v>16</v>
      </c>
      <c r="Y608" s="13">
        <v>3</v>
      </c>
      <c r="Z608" s="13">
        <v>3</v>
      </c>
      <c r="AA608" s="13">
        <v>80</v>
      </c>
      <c r="AB608" s="13">
        <v>0</v>
      </c>
      <c r="AC608" s="13">
        <v>6</v>
      </c>
      <c r="AD608" s="13">
        <v>3</v>
      </c>
      <c r="AE608" s="13">
        <v>3</v>
      </c>
      <c r="AF608" s="14">
        <v>5</v>
      </c>
      <c r="AG608" s="13">
        <v>2</v>
      </c>
      <c r="AH608" s="13">
        <v>1</v>
      </c>
      <c r="AI608" s="13">
        <v>3</v>
      </c>
      <c r="AJ608" s="13" t="str">
        <f t="shared" si="9"/>
        <v>30-39</v>
      </c>
      <c r="AK608" s="13" t="str">
        <f>IF(tblCleanData[[#This Row],[MonthlyIncome]]&lt;5000, "Low Income", IF(tblCleanData[[#This Row],[MonthlyIncome]]&lt;15000, "Medium Income", "High Income"))</f>
        <v>Low Income</v>
      </c>
      <c r="AL608" s="13">
        <f>IF(tblCleanData[[#This Row],[Attrition]]="No", 0,1)</f>
        <v>0</v>
      </c>
      <c r="AM608" s="13">
        <f>IF(tblCleanData[[#This Row],[OverTime]] = "No", 0, 1)</f>
        <v>0</v>
      </c>
      <c r="AN608" s="13" t="str">
        <f>CHOOSE(tblCleanData[[#This Row],[Education]], "Below College","College","Bachelor","Master","Doctor")</f>
        <v>Master</v>
      </c>
      <c r="AO608" s="13" t="str">
        <f>VLOOKUP(tblCleanData[[#This Row],[EmployeeNumber]],tblHelpers[],15,TRUE)</f>
        <v>Medium Risk</v>
      </c>
      <c r="AP608" s="13">
        <f>VLOOKUP(tblCleanData[[#This Row],[EmployeeNumber]],tblHelpers[],14,0)</f>
        <v>46</v>
      </c>
    </row>
    <row r="609" spans="1:42" x14ac:dyDescent="0.25">
      <c r="A609" s="13">
        <v>49</v>
      </c>
      <c r="B609" s="13" t="s">
        <v>36</v>
      </c>
      <c r="C609" s="13" t="s">
        <v>37</v>
      </c>
      <c r="D609" s="13">
        <v>1184</v>
      </c>
      <c r="E609" s="13" t="s">
        <v>39</v>
      </c>
      <c r="F609" s="13">
        <v>11</v>
      </c>
      <c r="G609" s="13">
        <v>3</v>
      </c>
      <c r="H609" s="13" t="s">
        <v>206</v>
      </c>
      <c r="I609" s="13">
        <v>1</v>
      </c>
      <c r="J609" s="13">
        <v>840</v>
      </c>
      <c r="K609" s="13">
        <v>3</v>
      </c>
      <c r="L609" s="13" t="s">
        <v>43</v>
      </c>
      <c r="M609" s="13">
        <v>43</v>
      </c>
      <c r="N609" s="13">
        <v>3</v>
      </c>
      <c r="O609" s="13">
        <v>3</v>
      </c>
      <c r="P609" s="13" t="s">
        <v>46</v>
      </c>
      <c r="Q609" s="13">
        <v>4</v>
      </c>
      <c r="R609" s="13" t="s">
        <v>66</v>
      </c>
      <c r="S609" s="20">
        <v>7654</v>
      </c>
      <c r="T609" s="13">
        <v>5860</v>
      </c>
      <c r="U609" s="13">
        <v>1</v>
      </c>
      <c r="V609" s="13" t="s">
        <v>52</v>
      </c>
      <c r="W609" s="13" t="s">
        <v>59</v>
      </c>
      <c r="X609" s="13">
        <v>18</v>
      </c>
      <c r="Y609" s="13">
        <v>3</v>
      </c>
      <c r="Z609" s="13">
        <v>1</v>
      </c>
      <c r="AA609" s="13">
        <v>80</v>
      </c>
      <c r="AB609" s="13">
        <v>2</v>
      </c>
      <c r="AC609" s="13">
        <v>9</v>
      </c>
      <c r="AD609" s="13">
        <v>3</v>
      </c>
      <c r="AE609" s="13">
        <v>4</v>
      </c>
      <c r="AF609" s="14">
        <v>9</v>
      </c>
      <c r="AG609" s="13">
        <v>8</v>
      </c>
      <c r="AH609" s="13">
        <v>7</v>
      </c>
      <c r="AI609" s="13">
        <v>7</v>
      </c>
      <c r="AJ609" s="13" t="str">
        <f t="shared" si="9"/>
        <v>40-49</v>
      </c>
      <c r="AK609" s="13" t="str">
        <f>IF(tblCleanData[[#This Row],[MonthlyIncome]]&lt;5000, "Low Income", IF(tblCleanData[[#This Row],[MonthlyIncome]]&lt;15000, "Medium Income", "High Income"))</f>
        <v>Medium Income</v>
      </c>
      <c r="AL609" s="13">
        <f>IF(tblCleanData[[#This Row],[Attrition]]="No", 0,1)</f>
        <v>1</v>
      </c>
      <c r="AM609" s="13">
        <f>IF(tblCleanData[[#This Row],[OverTime]] = "No", 0, 1)</f>
        <v>0</v>
      </c>
      <c r="AN609" s="13" t="str">
        <f>CHOOSE(tblCleanData[[#This Row],[Education]], "Below College","College","Bachelor","Master","Doctor")</f>
        <v>Bachelor</v>
      </c>
      <c r="AO609" s="13" t="str">
        <f>VLOOKUP(tblCleanData[[#This Row],[EmployeeNumber]],tblHelpers[],15,TRUE)</f>
        <v>Low Risk</v>
      </c>
      <c r="AP609" s="13">
        <f>VLOOKUP(tblCleanData[[#This Row],[EmployeeNumber]],tblHelpers[],14,0)</f>
        <v>29</v>
      </c>
    </row>
    <row r="610" spans="1:42" x14ac:dyDescent="0.25">
      <c r="A610" s="13">
        <v>55</v>
      </c>
      <c r="B610" s="13" t="s">
        <v>36</v>
      </c>
      <c r="C610" s="13" t="s">
        <v>37</v>
      </c>
      <c r="D610" s="13">
        <v>436</v>
      </c>
      <c r="E610" s="13" t="s">
        <v>39</v>
      </c>
      <c r="F610" s="13">
        <v>2</v>
      </c>
      <c r="G610" s="13">
        <v>1</v>
      </c>
      <c r="H610" s="13" t="s">
        <v>87</v>
      </c>
      <c r="I610" s="13">
        <v>1</v>
      </c>
      <c r="J610" s="13">
        <v>842</v>
      </c>
      <c r="K610" s="13">
        <v>3</v>
      </c>
      <c r="L610" s="13" t="s">
        <v>63</v>
      </c>
      <c r="M610" s="13">
        <v>37</v>
      </c>
      <c r="N610" s="13">
        <v>3</v>
      </c>
      <c r="O610" s="13">
        <v>2</v>
      </c>
      <c r="P610" s="13" t="s">
        <v>46</v>
      </c>
      <c r="Q610" s="13">
        <v>4</v>
      </c>
      <c r="R610" s="13" t="s">
        <v>48</v>
      </c>
      <c r="S610" s="20">
        <v>5160</v>
      </c>
      <c r="T610" s="13">
        <v>21519</v>
      </c>
      <c r="U610" s="13">
        <v>4</v>
      </c>
      <c r="V610" s="13" t="s">
        <v>52</v>
      </c>
      <c r="W610" s="13" t="s">
        <v>59</v>
      </c>
      <c r="X610" s="13">
        <v>16</v>
      </c>
      <c r="Y610" s="13">
        <v>3</v>
      </c>
      <c r="Z610" s="13">
        <v>3</v>
      </c>
      <c r="AA610" s="13">
        <v>80</v>
      </c>
      <c r="AB610" s="13">
        <v>0</v>
      </c>
      <c r="AC610" s="13">
        <v>12</v>
      </c>
      <c r="AD610" s="13">
        <v>3</v>
      </c>
      <c r="AE610" s="13">
        <v>2</v>
      </c>
      <c r="AF610" s="14">
        <v>9</v>
      </c>
      <c r="AG610" s="13">
        <v>7</v>
      </c>
      <c r="AH610" s="13">
        <v>7</v>
      </c>
      <c r="AI610" s="13">
        <v>3</v>
      </c>
      <c r="AJ610" s="13" t="str">
        <f t="shared" si="9"/>
        <v>50+</v>
      </c>
      <c r="AK610" s="13" t="str">
        <f>IF(tblCleanData[[#This Row],[MonthlyIncome]]&lt;5000, "Low Income", IF(tblCleanData[[#This Row],[MonthlyIncome]]&lt;15000, "Medium Income", "High Income"))</f>
        <v>Medium Income</v>
      </c>
      <c r="AL610" s="13">
        <f>IF(tblCleanData[[#This Row],[Attrition]]="No", 0,1)</f>
        <v>1</v>
      </c>
      <c r="AM610" s="13">
        <f>IF(tblCleanData[[#This Row],[OverTime]] = "No", 0, 1)</f>
        <v>0</v>
      </c>
      <c r="AN610" s="13" t="str">
        <f>CHOOSE(tblCleanData[[#This Row],[Education]], "Below College","College","Bachelor","Master","Doctor")</f>
        <v>Below College</v>
      </c>
      <c r="AO610" s="13" t="str">
        <f>VLOOKUP(tblCleanData[[#This Row],[EmployeeNumber]],tblHelpers[],15,TRUE)</f>
        <v>Low Risk</v>
      </c>
      <c r="AP610" s="13">
        <f>VLOOKUP(tblCleanData[[#This Row],[EmployeeNumber]],tblHelpers[],14,0)</f>
        <v>34</v>
      </c>
    </row>
    <row r="611" spans="1:42" x14ac:dyDescent="0.25">
      <c r="A611" s="13">
        <v>43</v>
      </c>
      <c r="B611" s="13" t="s">
        <v>59</v>
      </c>
      <c r="C611" s="13" t="s">
        <v>37</v>
      </c>
      <c r="D611" s="13">
        <v>589</v>
      </c>
      <c r="E611" s="13" t="s">
        <v>62</v>
      </c>
      <c r="F611" s="13">
        <v>14</v>
      </c>
      <c r="G611" s="13">
        <v>2</v>
      </c>
      <c r="H611" s="13" t="s">
        <v>42</v>
      </c>
      <c r="I611" s="13">
        <v>1</v>
      </c>
      <c r="J611" s="13">
        <v>843</v>
      </c>
      <c r="K611" s="13">
        <v>2</v>
      </c>
      <c r="L611" s="13" t="s">
        <v>63</v>
      </c>
      <c r="M611" s="13">
        <v>94</v>
      </c>
      <c r="N611" s="13">
        <v>3</v>
      </c>
      <c r="O611" s="13">
        <v>4</v>
      </c>
      <c r="P611" s="13" t="s">
        <v>186</v>
      </c>
      <c r="Q611" s="13">
        <v>1</v>
      </c>
      <c r="R611" s="13" t="s">
        <v>66</v>
      </c>
      <c r="S611" s="20">
        <v>17159</v>
      </c>
      <c r="T611" s="13">
        <v>5200</v>
      </c>
      <c r="U611" s="13">
        <v>6</v>
      </c>
      <c r="V611" s="13" t="s">
        <v>52</v>
      </c>
      <c r="W611" s="13" t="s">
        <v>59</v>
      </c>
      <c r="X611" s="13">
        <v>24</v>
      </c>
      <c r="Y611" s="13">
        <v>4</v>
      </c>
      <c r="Z611" s="13">
        <v>3</v>
      </c>
      <c r="AA611" s="13">
        <v>80</v>
      </c>
      <c r="AB611" s="13">
        <v>1</v>
      </c>
      <c r="AC611" s="13">
        <v>22</v>
      </c>
      <c r="AD611" s="13">
        <v>3</v>
      </c>
      <c r="AE611" s="13">
        <v>3</v>
      </c>
      <c r="AF611" s="14">
        <v>4</v>
      </c>
      <c r="AG611" s="13">
        <v>1</v>
      </c>
      <c r="AH611" s="13">
        <v>1</v>
      </c>
      <c r="AI611" s="13">
        <v>0</v>
      </c>
      <c r="AJ611" s="13" t="str">
        <f t="shared" si="9"/>
        <v>40-49</v>
      </c>
      <c r="AK611" s="13" t="str">
        <f>IF(tblCleanData[[#This Row],[MonthlyIncome]]&lt;5000, "Low Income", IF(tblCleanData[[#This Row],[MonthlyIncome]]&lt;15000, "Medium Income", "High Income"))</f>
        <v>High Income</v>
      </c>
      <c r="AL611" s="13">
        <f>IF(tblCleanData[[#This Row],[Attrition]]="No", 0,1)</f>
        <v>0</v>
      </c>
      <c r="AM611" s="13">
        <f>IF(tblCleanData[[#This Row],[OverTime]] = "No", 0, 1)</f>
        <v>0</v>
      </c>
      <c r="AN611" s="13" t="str">
        <f>CHOOSE(tblCleanData[[#This Row],[Education]], "Below College","College","Bachelor","Master","Doctor")</f>
        <v>College</v>
      </c>
      <c r="AO611" s="13" t="str">
        <f>VLOOKUP(tblCleanData[[#This Row],[EmployeeNumber]],tblHelpers[],15,TRUE)</f>
        <v>High Risk</v>
      </c>
      <c r="AP611" s="13">
        <f>VLOOKUP(tblCleanData[[#This Row],[EmployeeNumber]],tblHelpers[],14,0)</f>
        <v>55</v>
      </c>
    </row>
    <row r="612" spans="1:42" x14ac:dyDescent="0.25">
      <c r="A612" s="13">
        <v>27</v>
      </c>
      <c r="B612" s="13" t="s">
        <v>59</v>
      </c>
      <c r="C612" s="13" t="s">
        <v>37</v>
      </c>
      <c r="D612" s="13">
        <v>269</v>
      </c>
      <c r="E612" s="13" t="s">
        <v>62</v>
      </c>
      <c r="F612" s="13">
        <v>5</v>
      </c>
      <c r="G612" s="13">
        <v>1</v>
      </c>
      <c r="H612" s="13" t="s">
        <v>228</v>
      </c>
      <c r="I612" s="13">
        <v>1</v>
      </c>
      <c r="J612" s="13">
        <v>844</v>
      </c>
      <c r="K612" s="13">
        <v>3</v>
      </c>
      <c r="L612" s="13" t="s">
        <v>63</v>
      </c>
      <c r="M612" s="13">
        <v>42</v>
      </c>
      <c r="N612" s="13">
        <v>2</v>
      </c>
      <c r="O612" s="13">
        <v>3</v>
      </c>
      <c r="P612" s="13" t="s">
        <v>186</v>
      </c>
      <c r="Q612" s="13">
        <v>4</v>
      </c>
      <c r="R612" s="13" t="s">
        <v>109</v>
      </c>
      <c r="S612" s="20">
        <v>12808</v>
      </c>
      <c r="T612" s="13">
        <v>8842</v>
      </c>
      <c r="U612" s="13">
        <v>1</v>
      </c>
      <c r="V612" s="13" t="s">
        <v>52</v>
      </c>
      <c r="W612" s="13" t="s">
        <v>36</v>
      </c>
      <c r="X612" s="13">
        <v>16</v>
      </c>
      <c r="Y612" s="13">
        <v>3</v>
      </c>
      <c r="Z612" s="13">
        <v>2</v>
      </c>
      <c r="AA612" s="13">
        <v>80</v>
      </c>
      <c r="AB612" s="13">
        <v>1</v>
      </c>
      <c r="AC612" s="13">
        <v>9</v>
      </c>
      <c r="AD612" s="13">
        <v>3</v>
      </c>
      <c r="AE612" s="13">
        <v>3</v>
      </c>
      <c r="AF612" s="14">
        <v>9</v>
      </c>
      <c r="AG612" s="13">
        <v>8</v>
      </c>
      <c r="AH612" s="13">
        <v>0</v>
      </c>
      <c r="AI612" s="13">
        <v>8</v>
      </c>
      <c r="AJ612" s="13" t="str">
        <f t="shared" si="9"/>
        <v>Under 30</v>
      </c>
      <c r="AK612" s="13" t="str">
        <f>IF(tblCleanData[[#This Row],[MonthlyIncome]]&lt;5000, "Low Income", IF(tblCleanData[[#This Row],[MonthlyIncome]]&lt;15000, "Medium Income", "High Income"))</f>
        <v>Medium Income</v>
      </c>
      <c r="AL612" s="13">
        <f>IF(tblCleanData[[#This Row],[Attrition]]="No", 0,1)</f>
        <v>0</v>
      </c>
      <c r="AM612" s="13">
        <f>IF(tblCleanData[[#This Row],[OverTime]] = "No", 0, 1)</f>
        <v>1</v>
      </c>
      <c r="AN612" s="13" t="str">
        <f>CHOOSE(tblCleanData[[#This Row],[Education]], "Below College","College","Bachelor","Master","Doctor")</f>
        <v>Below College</v>
      </c>
      <c r="AO612" s="13" t="str">
        <f>VLOOKUP(tblCleanData[[#This Row],[EmployeeNumber]],tblHelpers[],15,TRUE)</f>
        <v>High Risk</v>
      </c>
      <c r="AP612" s="13">
        <f>VLOOKUP(tblCleanData[[#This Row],[EmployeeNumber]],tblHelpers[],14,0)</f>
        <v>74</v>
      </c>
    </row>
    <row r="613" spans="1:42" x14ac:dyDescent="0.25">
      <c r="A613" s="13">
        <v>35</v>
      </c>
      <c r="B613" s="13" t="s">
        <v>59</v>
      </c>
      <c r="C613" s="13" t="s">
        <v>37</v>
      </c>
      <c r="D613" s="13">
        <v>950</v>
      </c>
      <c r="E613" s="13" t="s">
        <v>62</v>
      </c>
      <c r="F613" s="13">
        <v>7</v>
      </c>
      <c r="G613" s="13">
        <v>3</v>
      </c>
      <c r="H613" s="13" t="s">
        <v>74</v>
      </c>
      <c r="I613" s="13">
        <v>1</v>
      </c>
      <c r="J613" s="13">
        <v>845</v>
      </c>
      <c r="K613" s="13">
        <v>3</v>
      </c>
      <c r="L613" s="13" t="s">
        <v>63</v>
      </c>
      <c r="M613" s="13">
        <v>59</v>
      </c>
      <c r="N613" s="13">
        <v>3</v>
      </c>
      <c r="O613" s="13">
        <v>3</v>
      </c>
      <c r="P613" s="13" t="s">
        <v>116</v>
      </c>
      <c r="Q613" s="13">
        <v>3</v>
      </c>
      <c r="R613" s="13" t="s">
        <v>48</v>
      </c>
      <c r="S613" s="20">
        <v>10221</v>
      </c>
      <c r="T613" s="13">
        <v>18869</v>
      </c>
      <c r="U613" s="13">
        <v>3</v>
      </c>
      <c r="V613" s="13" t="s">
        <v>52</v>
      </c>
      <c r="W613" s="13" t="s">
        <v>59</v>
      </c>
      <c r="X613" s="13">
        <v>21</v>
      </c>
      <c r="Y613" s="13">
        <v>4</v>
      </c>
      <c r="Z613" s="13">
        <v>2</v>
      </c>
      <c r="AA613" s="13">
        <v>80</v>
      </c>
      <c r="AB613" s="13">
        <v>0</v>
      </c>
      <c r="AC613" s="13">
        <v>17</v>
      </c>
      <c r="AD613" s="13">
        <v>3</v>
      </c>
      <c r="AE613" s="13">
        <v>4</v>
      </c>
      <c r="AF613" s="14">
        <v>8</v>
      </c>
      <c r="AG613" s="13">
        <v>5</v>
      </c>
      <c r="AH613" s="13">
        <v>1</v>
      </c>
      <c r="AI613" s="13">
        <v>6</v>
      </c>
      <c r="AJ613" s="13" t="str">
        <f t="shared" si="9"/>
        <v>30-39</v>
      </c>
      <c r="AK613" s="13" t="str">
        <f>IF(tblCleanData[[#This Row],[MonthlyIncome]]&lt;5000, "Low Income", IF(tblCleanData[[#This Row],[MonthlyIncome]]&lt;15000, "Medium Income", "High Income"))</f>
        <v>Medium Income</v>
      </c>
      <c r="AL613" s="13">
        <f>IF(tblCleanData[[#This Row],[Attrition]]="No", 0,1)</f>
        <v>0</v>
      </c>
      <c r="AM613" s="13">
        <f>IF(tblCleanData[[#This Row],[OverTime]] = "No", 0, 1)</f>
        <v>0</v>
      </c>
      <c r="AN613" s="13" t="str">
        <f>CHOOSE(tblCleanData[[#This Row],[Education]], "Below College","College","Bachelor","Master","Doctor")</f>
        <v>Bachelor</v>
      </c>
      <c r="AO613" s="13" t="str">
        <f>VLOOKUP(tblCleanData[[#This Row],[EmployeeNumber]],tblHelpers[],15,TRUE)</f>
        <v>Medium Risk</v>
      </c>
      <c r="AP613" s="13">
        <f>VLOOKUP(tblCleanData[[#This Row],[EmployeeNumber]],tblHelpers[],14,0)</f>
        <v>46</v>
      </c>
    </row>
    <row r="614" spans="1:42" x14ac:dyDescent="0.25">
      <c r="A614" s="13">
        <v>28</v>
      </c>
      <c r="B614" s="13" t="s">
        <v>59</v>
      </c>
      <c r="C614" s="13" t="s">
        <v>37</v>
      </c>
      <c r="D614" s="13">
        <v>760</v>
      </c>
      <c r="E614" s="13" t="s">
        <v>39</v>
      </c>
      <c r="F614" s="13">
        <v>2</v>
      </c>
      <c r="G614" s="13">
        <v>4</v>
      </c>
      <c r="H614" s="13" t="s">
        <v>206</v>
      </c>
      <c r="I614" s="13">
        <v>1</v>
      </c>
      <c r="J614" s="13">
        <v>846</v>
      </c>
      <c r="K614" s="13">
        <v>2</v>
      </c>
      <c r="L614" s="13" t="s">
        <v>43</v>
      </c>
      <c r="M614" s="13">
        <v>81</v>
      </c>
      <c r="N614" s="13">
        <v>3</v>
      </c>
      <c r="O614" s="13">
        <v>2</v>
      </c>
      <c r="P614" s="13" t="s">
        <v>46</v>
      </c>
      <c r="Q614" s="13">
        <v>2</v>
      </c>
      <c r="R614" s="13" t="s">
        <v>66</v>
      </c>
      <c r="S614" s="20">
        <v>4779</v>
      </c>
      <c r="T614" s="13">
        <v>3698</v>
      </c>
      <c r="U614" s="13">
        <v>1</v>
      </c>
      <c r="V614" s="13" t="s">
        <v>52</v>
      </c>
      <c r="W614" s="13" t="s">
        <v>36</v>
      </c>
      <c r="X614" s="13">
        <v>20</v>
      </c>
      <c r="Y614" s="13">
        <v>4</v>
      </c>
      <c r="Z614" s="13">
        <v>1</v>
      </c>
      <c r="AA614" s="13">
        <v>80</v>
      </c>
      <c r="AB614" s="13">
        <v>0</v>
      </c>
      <c r="AC614" s="13">
        <v>8</v>
      </c>
      <c r="AD614" s="13">
        <v>2</v>
      </c>
      <c r="AE614" s="13">
        <v>3</v>
      </c>
      <c r="AF614" s="14">
        <v>8</v>
      </c>
      <c r="AG614" s="13">
        <v>7</v>
      </c>
      <c r="AH614" s="13">
        <v>7</v>
      </c>
      <c r="AI614" s="13">
        <v>5</v>
      </c>
      <c r="AJ614" s="13" t="str">
        <f t="shared" si="9"/>
        <v>Under 30</v>
      </c>
      <c r="AK614" s="13" t="str">
        <f>IF(tblCleanData[[#This Row],[MonthlyIncome]]&lt;5000, "Low Income", IF(tblCleanData[[#This Row],[MonthlyIncome]]&lt;15000, "Medium Income", "High Income"))</f>
        <v>Low Income</v>
      </c>
      <c r="AL614" s="13">
        <f>IF(tblCleanData[[#This Row],[Attrition]]="No", 0,1)</f>
        <v>0</v>
      </c>
      <c r="AM614" s="13">
        <f>IF(tblCleanData[[#This Row],[OverTime]] = "No", 0, 1)</f>
        <v>1</v>
      </c>
      <c r="AN614" s="13" t="str">
        <f>CHOOSE(tblCleanData[[#This Row],[Education]], "Below College","College","Bachelor","Master","Doctor")</f>
        <v>Master</v>
      </c>
      <c r="AO614" s="13" t="str">
        <f>VLOOKUP(tblCleanData[[#This Row],[EmployeeNumber]],tblHelpers[],15,TRUE)</f>
        <v>High Risk</v>
      </c>
      <c r="AP614" s="13">
        <f>VLOOKUP(tblCleanData[[#This Row],[EmployeeNumber]],tblHelpers[],14,0)</f>
        <v>87</v>
      </c>
    </row>
    <row r="615" spans="1:42" x14ac:dyDescent="0.25">
      <c r="A615" s="13">
        <v>34</v>
      </c>
      <c r="B615" s="13" t="s">
        <v>59</v>
      </c>
      <c r="C615" s="13" t="s">
        <v>37</v>
      </c>
      <c r="D615" s="13">
        <v>829</v>
      </c>
      <c r="E615" s="13" t="s">
        <v>397</v>
      </c>
      <c r="F615" s="13">
        <v>3</v>
      </c>
      <c r="G615" s="13">
        <v>2</v>
      </c>
      <c r="H615" s="13" t="s">
        <v>397</v>
      </c>
      <c r="I615" s="13">
        <v>1</v>
      </c>
      <c r="J615" s="13">
        <v>847</v>
      </c>
      <c r="K615" s="13">
        <v>3</v>
      </c>
      <c r="L615" s="13" t="s">
        <v>63</v>
      </c>
      <c r="M615" s="13">
        <v>88</v>
      </c>
      <c r="N615" s="13">
        <v>3</v>
      </c>
      <c r="O615" s="13">
        <v>1</v>
      </c>
      <c r="P615" s="13" t="s">
        <v>397</v>
      </c>
      <c r="Q615" s="13">
        <v>4</v>
      </c>
      <c r="R615" s="13" t="s">
        <v>66</v>
      </c>
      <c r="S615" s="20">
        <v>3737</v>
      </c>
      <c r="T615" s="13">
        <v>2243</v>
      </c>
      <c r="U615" s="13">
        <v>0</v>
      </c>
      <c r="V615" s="13" t="s">
        <v>52</v>
      </c>
      <c r="W615" s="13" t="s">
        <v>59</v>
      </c>
      <c r="X615" s="13">
        <v>19</v>
      </c>
      <c r="Y615" s="13">
        <v>3</v>
      </c>
      <c r="Z615" s="13">
        <v>3</v>
      </c>
      <c r="AA615" s="13">
        <v>80</v>
      </c>
      <c r="AB615" s="13">
        <v>1</v>
      </c>
      <c r="AC615" s="13">
        <v>4</v>
      </c>
      <c r="AD615" s="13">
        <v>1</v>
      </c>
      <c r="AE615" s="13">
        <v>1</v>
      </c>
      <c r="AF615" s="14">
        <v>3</v>
      </c>
      <c r="AG615" s="13">
        <v>2</v>
      </c>
      <c r="AH615" s="13">
        <v>0</v>
      </c>
      <c r="AI615" s="13">
        <v>2</v>
      </c>
      <c r="AJ615" s="13" t="str">
        <f t="shared" si="9"/>
        <v>30-39</v>
      </c>
      <c r="AK615" s="13" t="str">
        <f>IF(tblCleanData[[#This Row],[MonthlyIncome]]&lt;5000, "Low Income", IF(tblCleanData[[#This Row],[MonthlyIncome]]&lt;15000, "Medium Income", "High Income"))</f>
        <v>Low Income</v>
      </c>
      <c r="AL615" s="13">
        <f>IF(tblCleanData[[#This Row],[Attrition]]="No", 0,1)</f>
        <v>0</v>
      </c>
      <c r="AM615" s="13">
        <f>IF(tblCleanData[[#This Row],[OverTime]] = "No", 0, 1)</f>
        <v>0</v>
      </c>
      <c r="AN615" s="13" t="str">
        <f>CHOOSE(tblCleanData[[#This Row],[Education]], "Below College","College","Bachelor","Master","Doctor")</f>
        <v>College</v>
      </c>
      <c r="AO615" s="13" t="str">
        <f>VLOOKUP(tblCleanData[[#This Row],[EmployeeNumber]],tblHelpers[],15,TRUE)</f>
        <v>Medium Risk</v>
      </c>
      <c r="AP615" s="13">
        <f>VLOOKUP(tblCleanData[[#This Row],[EmployeeNumber]],tblHelpers[],14,0)</f>
        <v>46</v>
      </c>
    </row>
    <row r="616" spans="1:42" x14ac:dyDescent="0.25">
      <c r="A616" s="13">
        <v>26</v>
      </c>
      <c r="B616" s="13" t="s">
        <v>36</v>
      </c>
      <c r="C616" s="13" t="s">
        <v>60</v>
      </c>
      <c r="D616" s="13">
        <v>887</v>
      </c>
      <c r="E616" s="13" t="s">
        <v>62</v>
      </c>
      <c r="F616" s="13">
        <v>5</v>
      </c>
      <c r="G616" s="13">
        <v>2</v>
      </c>
      <c r="H616" s="13" t="s">
        <v>87</v>
      </c>
      <c r="I616" s="13">
        <v>1</v>
      </c>
      <c r="J616" s="13">
        <v>848</v>
      </c>
      <c r="K616" s="13">
        <v>3</v>
      </c>
      <c r="L616" s="13" t="s">
        <v>43</v>
      </c>
      <c r="M616" s="13">
        <v>88</v>
      </c>
      <c r="N616" s="13">
        <v>2</v>
      </c>
      <c r="O616" s="13">
        <v>1</v>
      </c>
      <c r="P616" s="13" t="s">
        <v>65</v>
      </c>
      <c r="Q616" s="13">
        <v>3</v>
      </c>
      <c r="R616" s="13" t="s">
        <v>66</v>
      </c>
      <c r="S616" s="20">
        <v>2366</v>
      </c>
      <c r="T616" s="13">
        <v>20898</v>
      </c>
      <c r="U616" s="13">
        <v>1</v>
      </c>
      <c r="V616" s="13" t="s">
        <v>52</v>
      </c>
      <c r="W616" s="13" t="s">
        <v>36</v>
      </c>
      <c r="X616" s="13">
        <v>14</v>
      </c>
      <c r="Y616" s="13">
        <v>3</v>
      </c>
      <c r="Z616" s="13">
        <v>1</v>
      </c>
      <c r="AA616" s="13">
        <v>80</v>
      </c>
      <c r="AB616" s="13">
        <v>1</v>
      </c>
      <c r="AC616" s="13">
        <v>8</v>
      </c>
      <c r="AD616" s="13">
        <v>2</v>
      </c>
      <c r="AE616" s="13">
        <v>3</v>
      </c>
      <c r="AF616" s="14">
        <v>8</v>
      </c>
      <c r="AG616" s="13">
        <v>7</v>
      </c>
      <c r="AH616" s="13">
        <v>1</v>
      </c>
      <c r="AI616" s="13">
        <v>7</v>
      </c>
      <c r="AJ616" s="13" t="str">
        <f t="shared" si="9"/>
        <v>Under 30</v>
      </c>
      <c r="AK616" s="13" t="str">
        <f>IF(tblCleanData[[#This Row],[MonthlyIncome]]&lt;5000, "Low Income", IF(tblCleanData[[#This Row],[MonthlyIncome]]&lt;15000, "Medium Income", "High Income"))</f>
        <v>Low Income</v>
      </c>
      <c r="AL616" s="13">
        <f>IF(tblCleanData[[#This Row],[Attrition]]="No", 0,1)</f>
        <v>1</v>
      </c>
      <c r="AM616" s="13">
        <f>IF(tblCleanData[[#This Row],[OverTime]] = "No", 0, 1)</f>
        <v>1</v>
      </c>
      <c r="AN616" s="13" t="str">
        <f>CHOOSE(tblCleanData[[#This Row],[Education]], "Below College","College","Bachelor","Master","Doctor")</f>
        <v>College</v>
      </c>
      <c r="AO616" s="13" t="str">
        <f>VLOOKUP(tblCleanData[[#This Row],[EmployeeNumber]],tblHelpers[],15,TRUE)</f>
        <v>High Risk</v>
      </c>
      <c r="AP616" s="13">
        <f>VLOOKUP(tblCleanData[[#This Row],[EmployeeNumber]],tblHelpers[],14,0)</f>
        <v>81</v>
      </c>
    </row>
    <row r="617" spans="1:42" x14ac:dyDescent="0.25">
      <c r="A617" s="13">
        <v>27</v>
      </c>
      <c r="B617" s="13" t="s">
        <v>59</v>
      </c>
      <c r="C617" s="13" t="s">
        <v>161</v>
      </c>
      <c r="D617" s="13">
        <v>443</v>
      </c>
      <c r="E617" s="13" t="s">
        <v>62</v>
      </c>
      <c r="F617" s="13">
        <v>3</v>
      </c>
      <c r="G617" s="13">
        <v>3</v>
      </c>
      <c r="H617" s="13" t="s">
        <v>87</v>
      </c>
      <c r="I617" s="13">
        <v>1</v>
      </c>
      <c r="J617" s="13">
        <v>850</v>
      </c>
      <c r="K617" s="13">
        <v>4</v>
      </c>
      <c r="L617" s="13" t="s">
        <v>63</v>
      </c>
      <c r="M617" s="13">
        <v>50</v>
      </c>
      <c r="N617" s="13">
        <v>3</v>
      </c>
      <c r="O617" s="13">
        <v>1</v>
      </c>
      <c r="P617" s="13" t="s">
        <v>65</v>
      </c>
      <c r="Q617" s="13">
        <v>4</v>
      </c>
      <c r="R617" s="13" t="s">
        <v>66</v>
      </c>
      <c r="S617" s="20">
        <v>1706</v>
      </c>
      <c r="T617" s="13">
        <v>16571</v>
      </c>
      <c r="U617" s="13">
        <v>1</v>
      </c>
      <c r="V617" s="13" t="s">
        <v>52</v>
      </c>
      <c r="W617" s="13" t="s">
        <v>59</v>
      </c>
      <c r="X617" s="13">
        <v>11</v>
      </c>
      <c r="Y617" s="13">
        <v>3</v>
      </c>
      <c r="Z617" s="13">
        <v>3</v>
      </c>
      <c r="AA617" s="13">
        <v>80</v>
      </c>
      <c r="AB617" s="13">
        <v>3</v>
      </c>
      <c r="AC617" s="13">
        <v>0</v>
      </c>
      <c r="AD617" s="13">
        <v>6</v>
      </c>
      <c r="AE617" s="13">
        <v>2</v>
      </c>
      <c r="AF617" s="14">
        <v>0</v>
      </c>
      <c r="AG617" s="13">
        <v>0</v>
      </c>
      <c r="AH617" s="13">
        <v>0</v>
      </c>
      <c r="AI617" s="13">
        <v>0</v>
      </c>
      <c r="AJ617" s="13" t="str">
        <f t="shared" si="9"/>
        <v>Under 30</v>
      </c>
      <c r="AK617" s="13" t="str">
        <f>IF(tblCleanData[[#This Row],[MonthlyIncome]]&lt;5000, "Low Income", IF(tblCleanData[[#This Row],[MonthlyIncome]]&lt;15000, "Medium Income", "High Income"))</f>
        <v>Low Income</v>
      </c>
      <c r="AL617" s="13">
        <f>IF(tblCleanData[[#This Row],[Attrition]]="No", 0,1)</f>
        <v>0</v>
      </c>
      <c r="AM617" s="13">
        <f>IF(tblCleanData[[#This Row],[OverTime]] = "No", 0, 1)</f>
        <v>0</v>
      </c>
      <c r="AN617" s="13" t="str">
        <f>CHOOSE(tblCleanData[[#This Row],[Education]], "Below College","College","Bachelor","Master","Doctor")</f>
        <v>Bachelor</v>
      </c>
      <c r="AO617" s="13" t="str">
        <f>VLOOKUP(tblCleanData[[#This Row],[EmployeeNumber]],tblHelpers[],15,TRUE)</f>
        <v>High Risk</v>
      </c>
      <c r="AP617" s="13">
        <f>VLOOKUP(tblCleanData[[#This Row],[EmployeeNumber]],tblHelpers[],14,0)</f>
        <v>66</v>
      </c>
    </row>
    <row r="618" spans="1:42" x14ac:dyDescent="0.25">
      <c r="A618" s="13">
        <v>51</v>
      </c>
      <c r="B618" s="13" t="s">
        <v>59</v>
      </c>
      <c r="C618" s="13" t="s">
        <v>37</v>
      </c>
      <c r="D618" s="13">
        <v>1318</v>
      </c>
      <c r="E618" s="13" t="s">
        <v>39</v>
      </c>
      <c r="F618" s="13">
        <v>26</v>
      </c>
      <c r="G618" s="13">
        <v>4</v>
      </c>
      <c r="H618" s="13" t="s">
        <v>206</v>
      </c>
      <c r="I618" s="13">
        <v>1</v>
      </c>
      <c r="J618" s="13">
        <v>851</v>
      </c>
      <c r="K618" s="13">
        <v>1</v>
      </c>
      <c r="L618" s="13" t="s">
        <v>43</v>
      </c>
      <c r="M618" s="13">
        <v>66</v>
      </c>
      <c r="N618" s="13">
        <v>3</v>
      </c>
      <c r="O618" s="13">
        <v>4</v>
      </c>
      <c r="P618" s="13" t="s">
        <v>169</v>
      </c>
      <c r="Q618" s="13">
        <v>3</v>
      </c>
      <c r="R618" s="13" t="s">
        <v>66</v>
      </c>
      <c r="S618" s="20">
        <v>16307</v>
      </c>
      <c r="T618" s="13">
        <v>5594</v>
      </c>
      <c r="U618" s="13">
        <v>2</v>
      </c>
      <c r="V618" s="13" t="s">
        <v>52</v>
      </c>
      <c r="W618" s="13" t="s">
        <v>59</v>
      </c>
      <c r="X618" s="13">
        <v>14</v>
      </c>
      <c r="Y618" s="13">
        <v>3</v>
      </c>
      <c r="Z618" s="13">
        <v>3</v>
      </c>
      <c r="AA618" s="13">
        <v>80</v>
      </c>
      <c r="AB618" s="13">
        <v>1</v>
      </c>
      <c r="AC618" s="13">
        <v>29</v>
      </c>
      <c r="AD618" s="13">
        <v>2</v>
      </c>
      <c r="AE618" s="13">
        <v>2</v>
      </c>
      <c r="AF618" s="14">
        <v>20</v>
      </c>
      <c r="AG618" s="13">
        <v>6</v>
      </c>
      <c r="AH618" s="13">
        <v>4</v>
      </c>
      <c r="AI618" s="13">
        <v>17</v>
      </c>
      <c r="AJ618" s="13" t="str">
        <f t="shared" si="9"/>
        <v>50+</v>
      </c>
      <c r="AK618" s="13" t="str">
        <f>IF(tblCleanData[[#This Row],[MonthlyIncome]]&lt;5000, "Low Income", IF(tblCleanData[[#This Row],[MonthlyIncome]]&lt;15000, "Medium Income", "High Income"))</f>
        <v>High Income</v>
      </c>
      <c r="AL618" s="13">
        <f>IF(tblCleanData[[#This Row],[Attrition]]="No", 0,1)</f>
        <v>0</v>
      </c>
      <c r="AM618" s="13">
        <f>IF(tblCleanData[[#This Row],[OverTime]] = "No", 0, 1)</f>
        <v>0</v>
      </c>
      <c r="AN618" s="13" t="str">
        <f>CHOOSE(tblCleanData[[#This Row],[Education]], "Below College","College","Bachelor","Master","Doctor")</f>
        <v>Master</v>
      </c>
      <c r="AO618" s="13" t="str">
        <f>VLOOKUP(tblCleanData[[#This Row],[EmployeeNumber]],tblHelpers[],15,TRUE)</f>
        <v>Medium Risk</v>
      </c>
      <c r="AP618" s="13">
        <f>VLOOKUP(tblCleanData[[#This Row],[EmployeeNumber]],tblHelpers[],14,0)</f>
        <v>36</v>
      </c>
    </row>
    <row r="619" spans="1:42" x14ac:dyDescent="0.25">
      <c r="A619" s="13">
        <v>44</v>
      </c>
      <c r="B619" s="13" t="s">
        <v>59</v>
      </c>
      <c r="C619" s="13" t="s">
        <v>37</v>
      </c>
      <c r="D619" s="13">
        <v>625</v>
      </c>
      <c r="E619" s="13" t="s">
        <v>62</v>
      </c>
      <c r="F619" s="13">
        <v>4</v>
      </c>
      <c r="G619" s="13">
        <v>3</v>
      </c>
      <c r="H619" s="13" t="s">
        <v>87</v>
      </c>
      <c r="I619" s="13">
        <v>1</v>
      </c>
      <c r="J619" s="13">
        <v>852</v>
      </c>
      <c r="K619" s="13">
        <v>4</v>
      </c>
      <c r="L619" s="13" t="s">
        <v>63</v>
      </c>
      <c r="M619" s="13">
        <v>50</v>
      </c>
      <c r="N619" s="13">
        <v>3</v>
      </c>
      <c r="O619" s="13">
        <v>2</v>
      </c>
      <c r="P619" s="13" t="s">
        <v>122</v>
      </c>
      <c r="Q619" s="13">
        <v>2</v>
      </c>
      <c r="R619" s="13" t="s">
        <v>48</v>
      </c>
      <c r="S619" s="20">
        <v>5933</v>
      </c>
      <c r="T619" s="13">
        <v>5197</v>
      </c>
      <c r="U619" s="13">
        <v>9</v>
      </c>
      <c r="V619" s="13" t="s">
        <v>52</v>
      </c>
      <c r="W619" s="13" t="s">
        <v>59</v>
      </c>
      <c r="X619" s="13">
        <v>12</v>
      </c>
      <c r="Y619" s="13">
        <v>3</v>
      </c>
      <c r="Z619" s="13">
        <v>4</v>
      </c>
      <c r="AA619" s="13">
        <v>80</v>
      </c>
      <c r="AB619" s="13">
        <v>0</v>
      </c>
      <c r="AC619" s="13">
        <v>10</v>
      </c>
      <c r="AD619" s="13">
        <v>2</v>
      </c>
      <c r="AE619" s="13">
        <v>2</v>
      </c>
      <c r="AF619" s="14">
        <v>5</v>
      </c>
      <c r="AG619" s="13">
        <v>2</v>
      </c>
      <c r="AH619" s="13">
        <v>2</v>
      </c>
      <c r="AI619" s="13">
        <v>3</v>
      </c>
      <c r="AJ619" s="13" t="str">
        <f t="shared" si="9"/>
        <v>40-49</v>
      </c>
      <c r="AK619" s="13" t="str">
        <f>IF(tblCleanData[[#This Row],[MonthlyIncome]]&lt;5000, "Low Income", IF(tblCleanData[[#This Row],[MonthlyIncome]]&lt;15000, "Medium Income", "High Income"))</f>
        <v>Medium Income</v>
      </c>
      <c r="AL619" s="13">
        <f>IF(tblCleanData[[#This Row],[Attrition]]="No", 0,1)</f>
        <v>0</v>
      </c>
      <c r="AM619" s="13">
        <f>IF(tblCleanData[[#This Row],[OverTime]] = "No", 0, 1)</f>
        <v>0</v>
      </c>
      <c r="AN619" s="13" t="str">
        <f>CHOOSE(tblCleanData[[#This Row],[Education]], "Below College","College","Bachelor","Master","Doctor")</f>
        <v>Bachelor</v>
      </c>
      <c r="AO619" s="13" t="str">
        <f>VLOOKUP(tblCleanData[[#This Row],[EmployeeNumber]],tblHelpers[],15,TRUE)</f>
        <v>Medium Risk</v>
      </c>
      <c r="AP619" s="13">
        <f>VLOOKUP(tblCleanData[[#This Row],[EmployeeNumber]],tblHelpers[],14,0)</f>
        <v>49</v>
      </c>
    </row>
    <row r="620" spans="1:42" x14ac:dyDescent="0.25">
      <c r="A620" s="13">
        <v>25</v>
      </c>
      <c r="B620" s="13" t="s">
        <v>59</v>
      </c>
      <c r="C620" s="13" t="s">
        <v>37</v>
      </c>
      <c r="D620" s="13">
        <v>180</v>
      </c>
      <c r="E620" s="13" t="s">
        <v>62</v>
      </c>
      <c r="F620" s="13">
        <v>2</v>
      </c>
      <c r="G620" s="13">
        <v>1</v>
      </c>
      <c r="H620" s="13" t="s">
        <v>87</v>
      </c>
      <c r="I620" s="13">
        <v>1</v>
      </c>
      <c r="J620" s="13">
        <v>854</v>
      </c>
      <c r="K620" s="13">
        <v>1</v>
      </c>
      <c r="L620" s="13" t="s">
        <v>63</v>
      </c>
      <c r="M620" s="13">
        <v>65</v>
      </c>
      <c r="N620" s="13">
        <v>4</v>
      </c>
      <c r="O620" s="13">
        <v>1</v>
      </c>
      <c r="P620" s="13" t="s">
        <v>65</v>
      </c>
      <c r="Q620" s="13">
        <v>1</v>
      </c>
      <c r="R620" s="13" t="s">
        <v>48</v>
      </c>
      <c r="S620" s="20">
        <v>3424</v>
      </c>
      <c r="T620" s="13">
        <v>21632</v>
      </c>
      <c r="U620" s="13">
        <v>7</v>
      </c>
      <c r="V620" s="13" t="s">
        <v>52</v>
      </c>
      <c r="W620" s="13" t="s">
        <v>59</v>
      </c>
      <c r="X620" s="13">
        <v>13</v>
      </c>
      <c r="Y620" s="13">
        <v>3</v>
      </c>
      <c r="Z620" s="13">
        <v>3</v>
      </c>
      <c r="AA620" s="13">
        <v>80</v>
      </c>
      <c r="AB620" s="13">
        <v>0</v>
      </c>
      <c r="AC620" s="13">
        <v>6</v>
      </c>
      <c r="AD620" s="13">
        <v>3</v>
      </c>
      <c r="AE620" s="13">
        <v>2</v>
      </c>
      <c r="AF620" s="14">
        <v>4</v>
      </c>
      <c r="AG620" s="13">
        <v>3</v>
      </c>
      <c r="AH620" s="13">
        <v>0</v>
      </c>
      <c r="AI620" s="13">
        <v>1</v>
      </c>
      <c r="AJ620" s="13" t="str">
        <f t="shared" si="9"/>
        <v>Under 30</v>
      </c>
      <c r="AK620" s="13" t="str">
        <f>IF(tblCleanData[[#This Row],[MonthlyIncome]]&lt;5000, "Low Income", IF(tblCleanData[[#This Row],[MonthlyIncome]]&lt;15000, "Medium Income", "High Income"))</f>
        <v>Low Income</v>
      </c>
      <c r="AL620" s="13">
        <f>IF(tblCleanData[[#This Row],[Attrition]]="No", 0,1)</f>
        <v>0</v>
      </c>
      <c r="AM620" s="13">
        <f>IF(tblCleanData[[#This Row],[OverTime]] = "No", 0, 1)</f>
        <v>0</v>
      </c>
      <c r="AN620" s="13" t="str">
        <f>CHOOSE(tblCleanData[[#This Row],[Education]], "Below College","College","Bachelor","Master","Doctor")</f>
        <v>Below College</v>
      </c>
      <c r="AO620" s="13" t="str">
        <f>VLOOKUP(tblCleanData[[#This Row],[EmployeeNumber]],tblHelpers[],15,TRUE)</f>
        <v>High Risk</v>
      </c>
      <c r="AP620" s="13">
        <f>VLOOKUP(tblCleanData[[#This Row],[EmployeeNumber]],tblHelpers[],14,0)</f>
        <v>75</v>
      </c>
    </row>
    <row r="621" spans="1:42" x14ac:dyDescent="0.25">
      <c r="A621" s="13">
        <v>33</v>
      </c>
      <c r="B621" s="13" t="s">
        <v>59</v>
      </c>
      <c r="C621" s="13" t="s">
        <v>37</v>
      </c>
      <c r="D621" s="13">
        <v>586</v>
      </c>
      <c r="E621" s="13" t="s">
        <v>39</v>
      </c>
      <c r="F621" s="13">
        <v>1</v>
      </c>
      <c r="G621" s="13">
        <v>3</v>
      </c>
      <c r="H621" s="13" t="s">
        <v>87</v>
      </c>
      <c r="I621" s="13">
        <v>1</v>
      </c>
      <c r="J621" s="13">
        <v>855</v>
      </c>
      <c r="K621" s="13">
        <v>1</v>
      </c>
      <c r="L621" s="13" t="s">
        <v>63</v>
      </c>
      <c r="M621" s="13">
        <v>48</v>
      </c>
      <c r="N621" s="13">
        <v>4</v>
      </c>
      <c r="O621" s="13">
        <v>2</v>
      </c>
      <c r="P621" s="13" t="s">
        <v>46</v>
      </c>
      <c r="Q621" s="13">
        <v>1</v>
      </c>
      <c r="R621" s="13" t="s">
        <v>109</v>
      </c>
      <c r="S621" s="20">
        <v>4037</v>
      </c>
      <c r="T621" s="13">
        <v>21816</v>
      </c>
      <c r="U621" s="13">
        <v>1</v>
      </c>
      <c r="V621" s="13" t="s">
        <v>52</v>
      </c>
      <c r="W621" s="13" t="s">
        <v>59</v>
      </c>
      <c r="X621" s="13">
        <v>22</v>
      </c>
      <c r="Y621" s="13">
        <v>4</v>
      </c>
      <c r="Z621" s="13">
        <v>1</v>
      </c>
      <c r="AA621" s="13">
        <v>80</v>
      </c>
      <c r="AB621" s="13">
        <v>1</v>
      </c>
      <c r="AC621" s="13">
        <v>9</v>
      </c>
      <c r="AD621" s="13">
        <v>5</v>
      </c>
      <c r="AE621" s="13">
        <v>3</v>
      </c>
      <c r="AF621" s="14">
        <v>9</v>
      </c>
      <c r="AG621" s="13">
        <v>8</v>
      </c>
      <c r="AH621" s="13">
        <v>0</v>
      </c>
      <c r="AI621" s="13">
        <v>8</v>
      </c>
      <c r="AJ621" s="13" t="str">
        <f t="shared" si="9"/>
        <v>30-39</v>
      </c>
      <c r="AK621" s="13" t="str">
        <f>IF(tblCleanData[[#This Row],[MonthlyIncome]]&lt;5000, "Low Income", IF(tblCleanData[[#This Row],[MonthlyIncome]]&lt;15000, "Medium Income", "High Income"))</f>
        <v>Low Income</v>
      </c>
      <c r="AL621" s="13">
        <f>IF(tblCleanData[[#This Row],[Attrition]]="No", 0,1)</f>
        <v>0</v>
      </c>
      <c r="AM621" s="13">
        <f>IF(tblCleanData[[#This Row],[OverTime]] = "No", 0, 1)</f>
        <v>0</v>
      </c>
      <c r="AN621" s="13" t="str">
        <f>CHOOSE(tblCleanData[[#This Row],[Education]], "Below College","College","Bachelor","Master","Doctor")</f>
        <v>Bachelor</v>
      </c>
      <c r="AO621" s="13" t="str">
        <f>VLOOKUP(tblCleanData[[#This Row],[EmployeeNumber]],tblHelpers[],15,TRUE)</f>
        <v>High Risk</v>
      </c>
      <c r="AP621" s="13">
        <f>VLOOKUP(tblCleanData[[#This Row],[EmployeeNumber]],tblHelpers[],14,0)</f>
        <v>58</v>
      </c>
    </row>
    <row r="622" spans="1:42" x14ac:dyDescent="0.25">
      <c r="A622" s="13">
        <v>35</v>
      </c>
      <c r="B622" s="13" t="s">
        <v>59</v>
      </c>
      <c r="C622" s="13" t="s">
        <v>37</v>
      </c>
      <c r="D622" s="13">
        <v>1343</v>
      </c>
      <c r="E622" s="13" t="s">
        <v>62</v>
      </c>
      <c r="F622" s="13">
        <v>27</v>
      </c>
      <c r="G622" s="13">
        <v>1</v>
      </c>
      <c r="H622" s="13" t="s">
        <v>87</v>
      </c>
      <c r="I622" s="13">
        <v>1</v>
      </c>
      <c r="J622" s="13">
        <v>856</v>
      </c>
      <c r="K622" s="13">
        <v>3</v>
      </c>
      <c r="L622" s="13" t="s">
        <v>43</v>
      </c>
      <c r="M622" s="13">
        <v>53</v>
      </c>
      <c r="N622" s="13">
        <v>2</v>
      </c>
      <c r="O622" s="13">
        <v>1</v>
      </c>
      <c r="P622" s="13" t="s">
        <v>65</v>
      </c>
      <c r="Q622" s="13">
        <v>1</v>
      </c>
      <c r="R622" s="13" t="s">
        <v>48</v>
      </c>
      <c r="S622" s="20">
        <v>2559</v>
      </c>
      <c r="T622" s="13">
        <v>17852</v>
      </c>
      <c r="U622" s="13">
        <v>1</v>
      </c>
      <c r="V622" s="13" t="s">
        <v>52</v>
      </c>
      <c r="W622" s="13" t="s">
        <v>59</v>
      </c>
      <c r="X622" s="13">
        <v>11</v>
      </c>
      <c r="Y622" s="13">
        <v>3</v>
      </c>
      <c r="Z622" s="13">
        <v>4</v>
      </c>
      <c r="AA622" s="13">
        <v>80</v>
      </c>
      <c r="AB622" s="13">
        <v>0</v>
      </c>
      <c r="AC622" s="13">
        <v>6</v>
      </c>
      <c r="AD622" s="13">
        <v>3</v>
      </c>
      <c r="AE622" s="13">
        <v>2</v>
      </c>
      <c r="AF622" s="14">
        <v>6</v>
      </c>
      <c r="AG622" s="13">
        <v>5</v>
      </c>
      <c r="AH622" s="13">
        <v>1</v>
      </c>
      <c r="AI622" s="13">
        <v>1</v>
      </c>
      <c r="AJ622" s="13" t="str">
        <f t="shared" si="9"/>
        <v>30-39</v>
      </c>
      <c r="AK622" s="13" t="str">
        <f>IF(tblCleanData[[#This Row],[MonthlyIncome]]&lt;5000, "Low Income", IF(tblCleanData[[#This Row],[MonthlyIncome]]&lt;15000, "Medium Income", "High Income"))</f>
        <v>Low Income</v>
      </c>
      <c r="AL622" s="13">
        <f>IF(tblCleanData[[#This Row],[Attrition]]="No", 0,1)</f>
        <v>0</v>
      </c>
      <c r="AM622" s="13">
        <f>IF(tblCleanData[[#This Row],[OverTime]] = "No", 0, 1)</f>
        <v>0</v>
      </c>
      <c r="AN622" s="13" t="str">
        <f>CHOOSE(tblCleanData[[#This Row],[Education]], "Below College","College","Bachelor","Master","Doctor")</f>
        <v>Below College</v>
      </c>
      <c r="AO622" s="13" t="str">
        <f>VLOOKUP(tblCleanData[[#This Row],[EmployeeNumber]],tblHelpers[],15,TRUE)</f>
        <v>High Risk</v>
      </c>
      <c r="AP622" s="13">
        <f>VLOOKUP(tblCleanData[[#This Row],[EmployeeNumber]],tblHelpers[],14,0)</f>
        <v>58</v>
      </c>
    </row>
    <row r="623" spans="1:42" x14ac:dyDescent="0.25">
      <c r="A623" s="13">
        <v>36</v>
      </c>
      <c r="B623" s="13" t="s">
        <v>59</v>
      </c>
      <c r="C623" s="13" t="s">
        <v>37</v>
      </c>
      <c r="D623" s="13">
        <v>928</v>
      </c>
      <c r="E623" s="13" t="s">
        <v>39</v>
      </c>
      <c r="F623" s="13">
        <v>1</v>
      </c>
      <c r="G623" s="13">
        <v>2</v>
      </c>
      <c r="H623" s="13" t="s">
        <v>42</v>
      </c>
      <c r="I623" s="13">
        <v>1</v>
      </c>
      <c r="J623" s="13">
        <v>857</v>
      </c>
      <c r="K623" s="13">
        <v>2</v>
      </c>
      <c r="L623" s="13" t="s">
        <v>63</v>
      </c>
      <c r="M623" s="13">
        <v>56</v>
      </c>
      <c r="N623" s="13">
        <v>3</v>
      </c>
      <c r="O623" s="13">
        <v>2</v>
      </c>
      <c r="P623" s="13" t="s">
        <v>46</v>
      </c>
      <c r="Q623" s="13">
        <v>4</v>
      </c>
      <c r="R623" s="13" t="s">
        <v>66</v>
      </c>
      <c r="S623" s="20">
        <v>6201</v>
      </c>
      <c r="T623" s="13">
        <v>2823</v>
      </c>
      <c r="U623" s="13">
        <v>1</v>
      </c>
      <c r="V623" s="13" t="s">
        <v>52</v>
      </c>
      <c r="W623" s="13" t="s">
        <v>36</v>
      </c>
      <c r="X623" s="13">
        <v>14</v>
      </c>
      <c r="Y623" s="13">
        <v>3</v>
      </c>
      <c r="Z623" s="13">
        <v>4</v>
      </c>
      <c r="AA623" s="13">
        <v>80</v>
      </c>
      <c r="AB623" s="13">
        <v>1</v>
      </c>
      <c r="AC623" s="13">
        <v>18</v>
      </c>
      <c r="AD623" s="13">
        <v>1</v>
      </c>
      <c r="AE623" s="13">
        <v>2</v>
      </c>
      <c r="AF623" s="14">
        <v>18</v>
      </c>
      <c r="AG623" s="13">
        <v>14</v>
      </c>
      <c r="AH623" s="13">
        <v>4</v>
      </c>
      <c r="AI623" s="13">
        <v>11</v>
      </c>
      <c r="AJ623" s="13" t="str">
        <f t="shared" si="9"/>
        <v>30-39</v>
      </c>
      <c r="AK623" s="13" t="str">
        <f>IF(tblCleanData[[#This Row],[MonthlyIncome]]&lt;5000, "Low Income", IF(tblCleanData[[#This Row],[MonthlyIncome]]&lt;15000, "Medium Income", "High Income"))</f>
        <v>Medium Income</v>
      </c>
      <c r="AL623" s="13">
        <f>IF(tblCleanData[[#This Row],[Attrition]]="No", 0,1)</f>
        <v>0</v>
      </c>
      <c r="AM623" s="13">
        <f>IF(tblCleanData[[#This Row],[OverTime]] = "No", 0, 1)</f>
        <v>1</v>
      </c>
      <c r="AN623" s="13" t="str">
        <f>CHOOSE(tblCleanData[[#This Row],[Education]], "Below College","College","Bachelor","Master","Doctor")</f>
        <v>College</v>
      </c>
      <c r="AO623" s="13" t="str">
        <f>VLOOKUP(tblCleanData[[#This Row],[EmployeeNumber]],tblHelpers[],15,TRUE)</f>
        <v>High Risk</v>
      </c>
      <c r="AP623" s="13">
        <f>VLOOKUP(tblCleanData[[#This Row],[EmployeeNumber]],tblHelpers[],14,0)</f>
        <v>59</v>
      </c>
    </row>
    <row r="624" spans="1:42" x14ac:dyDescent="0.25">
      <c r="A624" s="13">
        <v>32</v>
      </c>
      <c r="B624" s="13" t="s">
        <v>59</v>
      </c>
      <c r="C624" s="13" t="s">
        <v>37</v>
      </c>
      <c r="D624" s="13">
        <v>117</v>
      </c>
      <c r="E624" s="13" t="s">
        <v>39</v>
      </c>
      <c r="F624" s="13">
        <v>13</v>
      </c>
      <c r="G624" s="13">
        <v>4</v>
      </c>
      <c r="H624" s="13" t="s">
        <v>42</v>
      </c>
      <c r="I624" s="13">
        <v>1</v>
      </c>
      <c r="J624" s="13">
        <v>859</v>
      </c>
      <c r="K624" s="13">
        <v>2</v>
      </c>
      <c r="L624" s="13" t="s">
        <v>63</v>
      </c>
      <c r="M624" s="13">
        <v>73</v>
      </c>
      <c r="N624" s="13">
        <v>3</v>
      </c>
      <c r="O624" s="13">
        <v>2</v>
      </c>
      <c r="P624" s="13" t="s">
        <v>46</v>
      </c>
      <c r="Q624" s="13">
        <v>4</v>
      </c>
      <c r="R624" s="13" t="s">
        <v>109</v>
      </c>
      <c r="S624" s="20">
        <v>4403</v>
      </c>
      <c r="T624" s="13">
        <v>9250</v>
      </c>
      <c r="U624" s="13">
        <v>2</v>
      </c>
      <c r="V624" s="13" t="s">
        <v>52</v>
      </c>
      <c r="W624" s="13" t="s">
        <v>59</v>
      </c>
      <c r="X624" s="13">
        <v>11</v>
      </c>
      <c r="Y624" s="13">
        <v>3</v>
      </c>
      <c r="Z624" s="13">
        <v>3</v>
      </c>
      <c r="AA624" s="13">
        <v>80</v>
      </c>
      <c r="AB624" s="13">
        <v>1</v>
      </c>
      <c r="AC624" s="13">
        <v>8</v>
      </c>
      <c r="AD624" s="13">
        <v>3</v>
      </c>
      <c r="AE624" s="13">
        <v>2</v>
      </c>
      <c r="AF624" s="14">
        <v>5</v>
      </c>
      <c r="AG624" s="13">
        <v>2</v>
      </c>
      <c r="AH624" s="13">
        <v>0</v>
      </c>
      <c r="AI624" s="13">
        <v>3</v>
      </c>
      <c r="AJ624" s="13" t="str">
        <f t="shared" si="9"/>
        <v>30-39</v>
      </c>
      <c r="AK624" s="13" t="str">
        <f>IF(tblCleanData[[#This Row],[MonthlyIncome]]&lt;5000, "Low Income", IF(tblCleanData[[#This Row],[MonthlyIncome]]&lt;15000, "Medium Income", "High Income"))</f>
        <v>Low Income</v>
      </c>
      <c r="AL624" s="13">
        <f>IF(tblCleanData[[#This Row],[Attrition]]="No", 0,1)</f>
        <v>0</v>
      </c>
      <c r="AM624" s="13">
        <f>IF(tblCleanData[[#This Row],[OverTime]] = "No", 0, 1)</f>
        <v>0</v>
      </c>
      <c r="AN624" s="13" t="str">
        <f>CHOOSE(tblCleanData[[#This Row],[Education]], "Below College","College","Bachelor","Master","Doctor")</f>
        <v>Master</v>
      </c>
      <c r="AO624" s="13" t="str">
        <f>VLOOKUP(tblCleanData[[#This Row],[EmployeeNumber]],tblHelpers[],15,TRUE)</f>
        <v>Medium Risk</v>
      </c>
      <c r="AP624" s="13">
        <f>VLOOKUP(tblCleanData[[#This Row],[EmployeeNumber]],tblHelpers[],14,0)</f>
        <v>46</v>
      </c>
    </row>
    <row r="625" spans="1:42" x14ac:dyDescent="0.25">
      <c r="A625" s="13">
        <v>30</v>
      </c>
      <c r="B625" s="13" t="s">
        <v>59</v>
      </c>
      <c r="C625" s="13" t="s">
        <v>60</v>
      </c>
      <c r="D625" s="13">
        <v>1012</v>
      </c>
      <c r="E625" s="13" t="s">
        <v>62</v>
      </c>
      <c r="F625" s="13">
        <v>5</v>
      </c>
      <c r="G625" s="13">
        <v>4</v>
      </c>
      <c r="H625" s="13" t="s">
        <v>42</v>
      </c>
      <c r="I625" s="13">
        <v>1</v>
      </c>
      <c r="J625" s="13">
        <v>861</v>
      </c>
      <c r="K625" s="13">
        <v>2</v>
      </c>
      <c r="L625" s="13" t="s">
        <v>63</v>
      </c>
      <c r="M625" s="13">
        <v>75</v>
      </c>
      <c r="N625" s="13">
        <v>2</v>
      </c>
      <c r="O625" s="13">
        <v>1</v>
      </c>
      <c r="P625" s="13" t="s">
        <v>65</v>
      </c>
      <c r="Q625" s="13">
        <v>4</v>
      </c>
      <c r="R625" s="13" t="s">
        <v>109</v>
      </c>
      <c r="S625" s="20">
        <v>3761</v>
      </c>
      <c r="T625" s="13">
        <v>2373</v>
      </c>
      <c r="U625" s="13">
        <v>9</v>
      </c>
      <c r="V625" s="13" t="s">
        <v>52</v>
      </c>
      <c r="W625" s="13" t="s">
        <v>59</v>
      </c>
      <c r="X625" s="13">
        <v>12</v>
      </c>
      <c r="Y625" s="13">
        <v>3</v>
      </c>
      <c r="Z625" s="13">
        <v>2</v>
      </c>
      <c r="AA625" s="13">
        <v>80</v>
      </c>
      <c r="AB625" s="13">
        <v>1</v>
      </c>
      <c r="AC625" s="13">
        <v>10</v>
      </c>
      <c r="AD625" s="13">
        <v>3</v>
      </c>
      <c r="AE625" s="13">
        <v>2</v>
      </c>
      <c r="AF625" s="14">
        <v>5</v>
      </c>
      <c r="AG625" s="13">
        <v>4</v>
      </c>
      <c r="AH625" s="13">
        <v>0</v>
      </c>
      <c r="AI625" s="13">
        <v>3</v>
      </c>
      <c r="AJ625" s="13" t="str">
        <f t="shared" si="9"/>
        <v>30-39</v>
      </c>
      <c r="AK625" s="13" t="str">
        <f>IF(tblCleanData[[#This Row],[MonthlyIncome]]&lt;5000, "Low Income", IF(tblCleanData[[#This Row],[MonthlyIncome]]&lt;15000, "Medium Income", "High Income"))</f>
        <v>Low Income</v>
      </c>
      <c r="AL625" s="13">
        <f>IF(tblCleanData[[#This Row],[Attrition]]="No", 0,1)</f>
        <v>0</v>
      </c>
      <c r="AM625" s="13">
        <f>IF(tblCleanData[[#This Row],[OverTime]] = "No", 0, 1)</f>
        <v>0</v>
      </c>
      <c r="AN625" s="13" t="str">
        <f>CHOOSE(tblCleanData[[#This Row],[Education]], "Below College","College","Bachelor","Master","Doctor")</f>
        <v>Master</v>
      </c>
      <c r="AO625" s="13" t="str">
        <f>VLOOKUP(tblCleanData[[#This Row],[EmployeeNumber]],tblHelpers[],15,TRUE)</f>
        <v>Medium Risk</v>
      </c>
      <c r="AP625" s="13">
        <f>VLOOKUP(tblCleanData[[#This Row],[EmployeeNumber]],tblHelpers[],14,0)</f>
        <v>46</v>
      </c>
    </row>
    <row r="626" spans="1:42" x14ac:dyDescent="0.25">
      <c r="A626" s="13">
        <v>53</v>
      </c>
      <c r="B626" s="13" t="s">
        <v>59</v>
      </c>
      <c r="C626" s="13" t="s">
        <v>37</v>
      </c>
      <c r="D626" s="13">
        <v>661</v>
      </c>
      <c r="E626" s="13" t="s">
        <v>39</v>
      </c>
      <c r="F626" s="13">
        <v>7</v>
      </c>
      <c r="G626" s="13">
        <v>2</v>
      </c>
      <c r="H626" s="13" t="s">
        <v>206</v>
      </c>
      <c r="I626" s="13">
        <v>1</v>
      </c>
      <c r="J626" s="13">
        <v>862</v>
      </c>
      <c r="K626" s="13">
        <v>1</v>
      </c>
      <c r="L626" s="13" t="s">
        <v>43</v>
      </c>
      <c r="M626" s="13">
        <v>78</v>
      </c>
      <c r="N626" s="13">
        <v>2</v>
      </c>
      <c r="O626" s="13">
        <v>3</v>
      </c>
      <c r="P626" s="13" t="s">
        <v>46</v>
      </c>
      <c r="Q626" s="13">
        <v>4</v>
      </c>
      <c r="R626" s="13" t="s">
        <v>66</v>
      </c>
      <c r="S626" s="20">
        <v>10934</v>
      </c>
      <c r="T626" s="13">
        <v>20715</v>
      </c>
      <c r="U626" s="13">
        <v>7</v>
      </c>
      <c r="V626" s="13" t="s">
        <v>52</v>
      </c>
      <c r="W626" s="13" t="s">
        <v>36</v>
      </c>
      <c r="X626" s="13">
        <v>18</v>
      </c>
      <c r="Y626" s="13">
        <v>3</v>
      </c>
      <c r="Z626" s="13">
        <v>4</v>
      </c>
      <c r="AA626" s="13">
        <v>80</v>
      </c>
      <c r="AB626" s="13">
        <v>1</v>
      </c>
      <c r="AC626" s="13">
        <v>35</v>
      </c>
      <c r="AD626" s="13">
        <v>3</v>
      </c>
      <c r="AE626" s="13">
        <v>3</v>
      </c>
      <c r="AF626" s="14">
        <v>5</v>
      </c>
      <c r="AG626" s="13">
        <v>2</v>
      </c>
      <c r="AH626" s="13">
        <v>0</v>
      </c>
      <c r="AI626" s="13">
        <v>4</v>
      </c>
      <c r="AJ626" s="13" t="str">
        <f t="shared" si="9"/>
        <v>50+</v>
      </c>
      <c r="AK626" s="13" t="str">
        <f>IF(tblCleanData[[#This Row],[MonthlyIncome]]&lt;5000, "Low Income", IF(tblCleanData[[#This Row],[MonthlyIncome]]&lt;15000, "Medium Income", "High Income"))</f>
        <v>Medium Income</v>
      </c>
      <c r="AL626" s="13">
        <f>IF(tblCleanData[[#This Row],[Attrition]]="No", 0,1)</f>
        <v>0</v>
      </c>
      <c r="AM626" s="13">
        <f>IF(tblCleanData[[#This Row],[OverTime]] = "No", 0, 1)</f>
        <v>1</v>
      </c>
      <c r="AN626" s="13" t="str">
        <f>CHOOSE(tblCleanData[[#This Row],[Education]], "Below College","College","Bachelor","Master","Doctor")</f>
        <v>College</v>
      </c>
      <c r="AO626" s="13" t="str">
        <f>VLOOKUP(tblCleanData[[#This Row],[EmployeeNumber]],tblHelpers[],15,TRUE)</f>
        <v>High Risk</v>
      </c>
      <c r="AP626" s="13">
        <f>VLOOKUP(tblCleanData[[#This Row],[EmployeeNumber]],tblHelpers[],14,0)</f>
        <v>66</v>
      </c>
    </row>
    <row r="627" spans="1:42" x14ac:dyDescent="0.25">
      <c r="A627" s="13">
        <v>45</v>
      </c>
      <c r="B627" s="13" t="s">
        <v>59</v>
      </c>
      <c r="C627" s="13" t="s">
        <v>37</v>
      </c>
      <c r="D627" s="13">
        <v>930</v>
      </c>
      <c r="E627" s="13" t="s">
        <v>39</v>
      </c>
      <c r="F627" s="13">
        <v>9</v>
      </c>
      <c r="G627" s="13">
        <v>3</v>
      </c>
      <c r="H627" s="13" t="s">
        <v>206</v>
      </c>
      <c r="I627" s="13">
        <v>1</v>
      </c>
      <c r="J627" s="13">
        <v>864</v>
      </c>
      <c r="K627" s="13">
        <v>4</v>
      </c>
      <c r="L627" s="13" t="s">
        <v>63</v>
      </c>
      <c r="M627" s="13">
        <v>74</v>
      </c>
      <c r="N627" s="13">
        <v>3</v>
      </c>
      <c r="O627" s="13">
        <v>3</v>
      </c>
      <c r="P627" s="13" t="s">
        <v>46</v>
      </c>
      <c r="Q627" s="13">
        <v>1</v>
      </c>
      <c r="R627" s="13" t="s">
        <v>109</v>
      </c>
      <c r="S627" s="20">
        <v>10761</v>
      </c>
      <c r="T627" s="13">
        <v>19239</v>
      </c>
      <c r="U627" s="13">
        <v>4</v>
      </c>
      <c r="V627" s="13" t="s">
        <v>52</v>
      </c>
      <c r="W627" s="13" t="s">
        <v>36</v>
      </c>
      <c r="X627" s="13">
        <v>12</v>
      </c>
      <c r="Y627" s="13">
        <v>3</v>
      </c>
      <c r="Z627" s="13">
        <v>3</v>
      </c>
      <c r="AA627" s="13">
        <v>80</v>
      </c>
      <c r="AB627" s="13">
        <v>1</v>
      </c>
      <c r="AC627" s="13">
        <v>18</v>
      </c>
      <c r="AD627" s="13">
        <v>2</v>
      </c>
      <c r="AE627" s="13">
        <v>3</v>
      </c>
      <c r="AF627" s="14">
        <v>5</v>
      </c>
      <c r="AG627" s="13">
        <v>4</v>
      </c>
      <c r="AH627" s="13">
        <v>0</v>
      </c>
      <c r="AI627" s="13">
        <v>2</v>
      </c>
      <c r="AJ627" s="13" t="str">
        <f t="shared" si="9"/>
        <v>40-49</v>
      </c>
      <c r="AK627" s="13" t="str">
        <f>IF(tblCleanData[[#This Row],[MonthlyIncome]]&lt;5000, "Low Income", IF(tblCleanData[[#This Row],[MonthlyIncome]]&lt;15000, "Medium Income", "High Income"))</f>
        <v>Medium Income</v>
      </c>
      <c r="AL627" s="13">
        <f>IF(tblCleanData[[#This Row],[Attrition]]="No", 0,1)</f>
        <v>0</v>
      </c>
      <c r="AM627" s="13">
        <f>IF(tblCleanData[[#This Row],[OverTime]] = "No", 0, 1)</f>
        <v>1</v>
      </c>
      <c r="AN627" s="13" t="str">
        <f>CHOOSE(tblCleanData[[#This Row],[Education]], "Below College","College","Bachelor","Master","Doctor")</f>
        <v>Bachelor</v>
      </c>
      <c r="AO627" s="13" t="str">
        <f>VLOOKUP(tblCleanData[[#This Row],[EmployeeNumber]],tblHelpers[],15,TRUE)</f>
        <v>High Risk</v>
      </c>
      <c r="AP627" s="13">
        <f>VLOOKUP(tblCleanData[[#This Row],[EmployeeNumber]],tblHelpers[],14,0)</f>
        <v>80</v>
      </c>
    </row>
    <row r="628" spans="1:42" x14ac:dyDescent="0.25">
      <c r="A628" s="13">
        <v>32</v>
      </c>
      <c r="B628" s="13" t="s">
        <v>59</v>
      </c>
      <c r="C628" s="13" t="s">
        <v>37</v>
      </c>
      <c r="D628" s="13">
        <v>638</v>
      </c>
      <c r="E628" s="13" t="s">
        <v>62</v>
      </c>
      <c r="F628" s="13">
        <v>8</v>
      </c>
      <c r="G628" s="13">
        <v>2</v>
      </c>
      <c r="H628" s="13" t="s">
        <v>87</v>
      </c>
      <c r="I628" s="13">
        <v>1</v>
      </c>
      <c r="J628" s="13">
        <v>865</v>
      </c>
      <c r="K628" s="13">
        <v>3</v>
      </c>
      <c r="L628" s="13" t="s">
        <v>43</v>
      </c>
      <c r="M628" s="13">
        <v>91</v>
      </c>
      <c r="N628" s="13">
        <v>4</v>
      </c>
      <c r="O628" s="13">
        <v>2</v>
      </c>
      <c r="P628" s="13" t="s">
        <v>65</v>
      </c>
      <c r="Q628" s="13">
        <v>3</v>
      </c>
      <c r="R628" s="13" t="s">
        <v>66</v>
      </c>
      <c r="S628" s="20">
        <v>5175</v>
      </c>
      <c r="T628" s="13">
        <v>22162</v>
      </c>
      <c r="U628" s="13">
        <v>5</v>
      </c>
      <c r="V628" s="13" t="s">
        <v>52</v>
      </c>
      <c r="W628" s="13" t="s">
        <v>59</v>
      </c>
      <c r="X628" s="13">
        <v>12</v>
      </c>
      <c r="Y628" s="13">
        <v>3</v>
      </c>
      <c r="Z628" s="13">
        <v>3</v>
      </c>
      <c r="AA628" s="13">
        <v>80</v>
      </c>
      <c r="AB628" s="13">
        <v>1</v>
      </c>
      <c r="AC628" s="13">
        <v>9</v>
      </c>
      <c r="AD628" s="13">
        <v>3</v>
      </c>
      <c r="AE628" s="13">
        <v>2</v>
      </c>
      <c r="AF628" s="14">
        <v>5</v>
      </c>
      <c r="AG628" s="13">
        <v>3</v>
      </c>
      <c r="AH628" s="13">
        <v>1</v>
      </c>
      <c r="AI628" s="13">
        <v>3</v>
      </c>
      <c r="AJ628" s="13" t="str">
        <f t="shared" si="9"/>
        <v>30-39</v>
      </c>
      <c r="AK628" s="13" t="str">
        <f>IF(tblCleanData[[#This Row],[MonthlyIncome]]&lt;5000, "Low Income", IF(tblCleanData[[#This Row],[MonthlyIncome]]&lt;15000, "Medium Income", "High Income"))</f>
        <v>Medium Income</v>
      </c>
      <c r="AL628" s="13">
        <f>IF(tblCleanData[[#This Row],[Attrition]]="No", 0,1)</f>
        <v>0</v>
      </c>
      <c r="AM628" s="13">
        <f>IF(tblCleanData[[#This Row],[OverTime]] = "No", 0, 1)</f>
        <v>0</v>
      </c>
      <c r="AN628" s="13" t="str">
        <f>CHOOSE(tblCleanData[[#This Row],[Education]], "Below College","College","Bachelor","Master","Doctor")</f>
        <v>College</v>
      </c>
      <c r="AO628" s="13" t="str">
        <f>VLOOKUP(tblCleanData[[#This Row],[EmployeeNumber]],tblHelpers[],15,TRUE)</f>
        <v>Medium Risk</v>
      </c>
      <c r="AP628" s="13">
        <f>VLOOKUP(tblCleanData[[#This Row],[EmployeeNumber]],tblHelpers[],14,0)</f>
        <v>53</v>
      </c>
    </row>
    <row r="629" spans="1:42" x14ac:dyDescent="0.25">
      <c r="A629" s="13">
        <v>52</v>
      </c>
      <c r="B629" s="13" t="s">
        <v>59</v>
      </c>
      <c r="C629" s="13" t="s">
        <v>60</v>
      </c>
      <c r="D629" s="13">
        <v>890</v>
      </c>
      <c r="E629" s="13" t="s">
        <v>62</v>
      </c>
      <c r="F629" s="13">
        <v>25</v>
      </c>
      <c r="G629" s="13">
        <v>4</v>
      </c>
      <c r="H629" s="13" t="s">
        <v>87</v>
      </c>
      <c r="I629" s="13">
        <v>1</v>
      </c>
      <c r="J629" s="13">
        <v>867</v>
      </c>
      <c r="K629" s="13">
        <v>3</v>
      </c>
      <c r="L629" s="13" t="s">
        <v>43</v>
      </c>
      <c r="M629" s="13">
        <v>81</v>
      </c>
      <c r="N629" s="13">
        <v>2</v>
      </c>
      <c r="O629" s="13">
        <v>4</v>
      </c>
      <c r="P629" s="13" t="s">
        <v>116</v>
      </c>
      <c r="Q629" s="13">
        <v>4</v>
      </c>
      <c r="R629" s="13" t="s">
        <v>66</v>
      </c>
      <c r="S629" s="20">
        <v>13826</v>
      </c>
      <c r="T629" s="13">
        <v>19028</v>
      </c>
      <c r="U629" s="13">
        <v>3</v>
      </c>
      <c r="V629" s="13" t="s">
        <v>52</v>
      </c>
      <c r="W629" s="13" t="s">
        <v>59</v>
      </c>
      <c r="X629" s="13">
        <v>22</v>
      </c>
      <c r="Y629" s="13">
        <v>4</v>
      </c>
      <c r="Z629" s="13">
        <v>3</v>
      </c>
      <c r="AA629" s="13">
        <v>80</v>
      </c>
      <c r="AB629" s="13">
        <v>0</v>
      </c>
      <c r="AC629" s="13">
        <v>31</v>
      </c>
      <c r="AD629" s="13">
        <v>3</v>
      </c>
      <c r="AE629" s="13">
        <v>3</v>
      </c>
      <c r="AF629" s="14">
        <v>9</v>
      </c>
      <c r="AG629" s="13">
        <v>8</v>
      </c>
      <c r="AH629" s="13">
        <v>0</v>
      </c>
      <c r="AI629" s="13">
        <v>0</v>
      </c>
      <c r="AJ629" s="13" t="str">
        <f t="shared" si="9"/>
        <v>50+</v>
      </c>
      <c r="AK629" s="13" t="str">
        <f>IF(tblCleanData[[#This Row],[MonthlyIncome]]&lt;5000, "Low Income", IF(tblCleanData[[#This Row],[MonthlyIncome]]&lt;15000, "Medium Income", "High Income"))</f>
        <v>Medium Income</v>
      </c>
      <c r="AL629" s="13">
        <f>IF(tblCleanData[[#This Row],[Attrition]]="No", 0,1)</f>
        <v>0</v>
      </c>
      <c r="AM629" s="13">
        <f>IF(tblCleanData[[#This Row],[OverTime]] = "No", 0, 1)</f>
        <v>0</v>
      </c>
      <c r="AN629" s="13" t="str">
        <f>CHOOSE(tblCleanData[[#This Row],[Education]], "Below College","College","Bachelor","Master","Doctor")</f>
        <v>Master</v>
      </c>
      <c r="AO629" s="13" t="str">
        <f>VLOOKUP(tblCleanData[[#This Row],[EmployeeNumber]],tblHelpers[],15,TRUE)</f>
        <v>Low Risk</v>
      </c>
      <c r="AP629" s="13">
        <f>VLOOKUP(tblCleanData[[#This Row],[EmployeeNumber]],tblHelpers[],14,0)</f>
        <v>34</v>
      </c>
    </row>
    <row r="630" spans="1:42" x14ac:dyDescent="0.25">
      <c r="A630" s="13">
        <v>37</v>
      </c>
      <c r="B630" s="13" t="s">
        <v>59</v>
      </c>
      <c r="C630" s="13" t="s">
        <v>37</v>
      </c>
      <c r="D630" s="13">
        <v>342</v>
      </c>
      <c r="E630" s="13" t="s">
        <v>39</v>
      </c>
      <c r="F630" s="13">
        <v>16</v>
      </c>
      <c r="G630" s="13">
        <v>4</v>
      </c>
      <c r="H630" s="13" t="s">
        <v>206</v>
      </c>
      <c r="I630" s="13">
        <v>1</v>
      </c>
      <c r="J630" s="13">
        <v>868</v>
      </c>
      <c r="K630" s="13">
        <v>4</v>
      </c>
      <c r="L630" s="13" t="s">
        <v>63</v>
      </c>
      <c r="M630" s="13">
        <v>66</v>
      </c>
      <c r="N630" s="13">
        <v>2</v>
      </c>
      <c r="O630" s="13">
        <v>2</v>
      </c>
      <c r="P630" s="13" t="s">
        <v>46</v>
      </c>
      <c r="Q630" s="13">
        <v>3</v>
      </c>
      <c r="R630" s="13" t="s">
        <v>109</v>
      </c>
      <c r="S630" s="20">
        <v>6334</v>
      </c>
      <c r="T630" s="13">
        <v>24558</v>
      </c>
      <c r="U630" s="13">
        <v>4</v>
      </c>
      <c r="V630" s="13" t="s">
        <v>52</v>
      </c>
      <c r="W630" s="13" t="s">
        <v>59</v>
      </c>
      <c r="X630" s="13">
        <v>19</v>
      </c>
      <c r="Y630" s="13">
        <v>3</v>
      </c>
      <c r="Z630" s="13">
        <v>4</v>
      </c>
      <c r="AA630" s="13">
        <v>80</v>
      </c>
      <c r="AB630" s="13">
        <v>2</v>
      </c>
      <c r="AC630" s="13">
        <v>9</v>
      </c>
      <c r="AD630" s="13">
        <v>2</v>
      </c>
      <c r="AE630" s="13">
        <v>3</v>
      </c>
      <c r="AF630" s="14">
        <v>1</v>
      </c>
      <c r="AG630" s="13">
        <v>0</v>
      </c>
      <c r="AH630" s="13">
        <v>0</v>
      </c>
      <c r="AI630" s="13">
        <v>0</v>
      </c>
      <c r="AJ630" s="13" t="str">
        <f t="shared" si="9"/>
        <v>30-39</v>
      </c>
      <c r="AK630" s="13" t="str">
        <f>IF(tblCleanData[[#This Row],[MonthlyIncome]]&lt;5000, "Low Income", IF(tblCleanData[[#This Row],[MonthlyIncome]]&lt;15000, "Medium Income", "High Income"))</f>
        <v>Medium Income</v>
      </c>
      <c r="AL630" s="13">
        <f>IF(tblCleanData[[#This Row],[Attrition]]="No", 0,1)</f>
        <v>0</v>
      </c>
      <c r="AM630" s="13">
        <f>IF(tblCleanData[[#This Row],[OverTime]] = "No", 0, 1)</f>
        <v>0</v>
      </c>
      <c r="AN630" s="13" t="str">
        <f>CHOOSE(tblCleanData[[#This Row],[Education]], "Below College","College","Bachelor","Master","Doctor")</f>
        <v>Master</v>
      </c>
      <c r="AO630" s="13" t="str">
        <f>VLOOKUP(tblCleanData[[#This Row],[EmployeeNumber]],tblHelpers[],15,TRUE)</f>
        <v>High Risk</v>
      </c>
      <c r="AP630" s="13">
        <f>VLOOKUP(tblCleanData[[#This Row],[EmployeeNumber]],tblHelpers[],14,0)</f>
        <v>63</v>
      </c>
    </row>
    <row r="631" spans="1:42" x14ac:dyDescent="0.25">
      <c r="A631" s="13">
        <v>28</v>
      </c>
      <c r="B631" s="13" t="s">
        <v>59</v>
      </c>
      <c r="C631" s="13" t="s">
        <v>37</v>
      </c>
      <c r="D631" s="13">
        <v>1169</v>
      </c>
      <c r="E631" s="13" t="s">
        <v>397</v>
      </c>
      <c r="F631" s="13">
        <v>8</v>
      </c>
      <c r="G631" s="13">
        <v>2</v>
      </c>
      <c r="H631" s="13" t="s">
        <v>87</v>
      </c>
      <c r="I631" s="13">
        <v>1</v>
      </c>
      <c r="J631" s="13">
        <v>869</v>
      </c>
      <c r="K631" s="13">
        <v>2</v>
      </c>
      <c r="L631" s="13" t="s">
        <v>63</v>
      </c>
      <c r="M631" s="13">
        <v>63</v>
      </c>
      <c r="N631" s="13">
        <v>2</v>
      </c>
      <c r="O631" s="13">
        <v>1</v>
      </c>
      <c r="P631" s="13" t="s">
        <v>397</v>
      </c>
      <c r="Q631" s="13">
        <v>4</v>
      </c>
      <c r="R631" s="13" t="s">
        <v>109</v>
      </c>
      <c r="S631" s="20">
        <v>4936</v>
      </c>
      <c r="T631" s="13">
        <v>23965</v>
      </c>
      <c r="U631" s="13">
        <v>1</v>
      </c>
      <c r="V631" s="13" t="s">
        <v>52</v>
      </c>
      <c r="W631" s="13" t="s">
        <v>59</v>
      </c>
      <c r="X631" s="13">
        <v>13</v>
      </c>
      <c r="Y631" s="13">
        <v>3</v>
      </c>
      <c r="Z631" s="13">
        <v>4</v>
      </c>
      <c r="AA631" s="13">
        <v>80</v>
      </c>
      <c r="AB631" s="13">
        <v>1</v>
      </c>
      <c r="AC631" s="13">
        <v>6</v>
      </c>
      <c r="AD631" s="13">
        <v>6</v>
      </c>
      <c r="AE631" s="13">
        <v>3</v>
      </c>
      <c r="AF631" s="14">
        <v>5</v>
      </c>
      <c r="AG631" s="13">
        <v>1</v>
      </c>
      <c r="AH631" s="13">
        <v>0</v>
      </c>
      <c r="AI631" s="13">
        <v>4</v>
      </c>
      <c r="AJ631" s="13" t="str">
        <f t="shared" si="9"/>
        <v>Under 30</v>
      </c>
      <c r="AK631" s="13" t="str">
        <f>IF(tblCleanData[[#This Row],[MonthlyIncome]]&lt;5000, "Low Income", IF(tblCleanData[[#This Row],[MonthlyIncome]]&lt;15000, "Medium Income", "High Income"))</f>
        <v>Low Income</v>
      </c>
      <c r="AL631" s="13">
        <f>IF(tblCleanData[[#This Row],[Attrition]]="No", 0,1)</f>
        <v>0</v>
      </c>
      <c r="AM631" s="13">
        <f>IF(tblCleanData[[#This Row],[OverTime]] = "No", 0, 1)</f>
        <v>0</v>
      </c>
      <c r="AN631" s="13" t="str">
        <f>CHOOSE(tblCleanData[[#This Row],[Education]], "Below College","College","Bachelor","Master","Doctor")</f>
        <v>College</v>
      </c>
      <c r="AO631" s="13" t="str">
        <f>VLOOKUP(tblCleanData[[#This Row],[EmployeeNumber]],tblHelpers[],15,TRUE)</f>
        <v>High Risk</v>
      </c>
      <c r="AP631" s="13">
        <f>VLOOKUP(tblCleanData[[#This Row],[EmployeeNumber]],tblHelpers[],14,0)</f>
        <v>56</v>
      </c>
    </row>
    <row r="632" spans="1:42" x14ac:dyDescent="0.25">
      <c r="A632" s="13">
        <v>22</v>
      </c>
      <c r="B632" s="13" t="s">
        <v>59</v>
      </c>
      <c r="C632" s="13" t="s">
        <v>37</v>
      </c>
      <c r="D632" s="13">
        <v>1230</v>
      </c>
      <c r="E632" s="13" t="s">
        <v>62</v>
      </c>
      <c r="F632" s="13">
        <v>1</v>
      </c>
      <c r="G632" s="13">
        <v>2</v>
      </c>
      <c r="H632" s="13" t="s">
        <v>42</v>
      </c>
      <c r="I632" s="13">
        <v>1</v>
      </c>
      <c r="J632" s="13">
        <v>872</v>
      </c>
      <c r="K632" s="13">
        <v>4</v>
      </c>
      <c r="L632" s="13" t="s">
        <v>63</v>
      </c>
      <c r="M632" s="13">
        <v>33</v>
      </c>
      <c r="N632" s="13">
        <v>2</v>
      </c>
      <c r="O632" s="13">
        <v>2</v>
      </c>
      <c r="P632" s="13" t="s">
        <v>116</v>
      </c>
      <c r="Q632" s="13">
        <v>4</v>
      </c>
      <c r="R632" s="13" t="s">
        <v>66</v>
      </c>
      <c r="S632" s="20">
        <v>4775</v>
      </c>
      <c r="T632" s="13">
        <v>19146</v>
      </c>
      <c r="U632" s="13">
        <v>6</v>
      </c>
      <c r="V632" s="13" t="s">
        <v>52</v>
      </c>
      <c r="W632" s="13" t="s">
        <v>59</v>
      </c>
      <c r="X632" s="13">
        <v>22</v>
      </c>
      <c r="Y632" s="13">
        <v>4</v>
      </c>
      <c r="Z632" s="13">
        <v>1</v>
      </c>
      <c r="AA632" s="13">
        <v>80</v>
      </c>
      <c r="AB632" s="13">
        <v>2</v>
      </c>
      <c r="AC632" s="13">
        <v>4</v>
      </c>
      <c r="AD632" s="13">
        <v>2</v>
      </c>
      <c r="AE632" s="13">
        <v>1</v>
      </c>
      <c r="AF632" s="14">
        <v>2</v>
      </c>
      <c r="AG632" s="13">
        <v>2</v>
      </c>
      <c r="AH632" s="13">
        <v>2</v>
      </c>
      <c r="AI632" s="13">
        <v>2</v>
      </c>
      <c r="AJ632" s="13" t="str">
        <f t="shared" si="9"/>
        <v>Under 30</v>
      </c>
      <c r="AK632" s="13" t="str">
        <f>IF(tblCleanData[[#This Row],[MonthlyIncome]]&lt;5000, "Low Income", IF(tblCleanData[[#This Row],[MonthlyIncome]]&lt;15000, "Medium Income", "High Income"))</f>
        <v>Low Income</v>
      </c>
      <c r="AL632" s="13">
        <f>IF(tblCleanData[[#This Row],[Attrition]]="No", 0,1)</f>
        <v>0</v>
      </c>
      <c r="AM632" s="13">
        <f>IF(tblCleanData[[#This Row],[OverTime]] = "No", 0, 1)</f>
        <v>0</v>
      </c>
      <c r="AN632" s="13" t="str">
        <f>CHOOSE(tblCleanData[[#This Row],[Education]], "Below College","College","Bachelor","Master","Doctor")</f>
        <v>College</v>
      </c>
      <c r="AO632" s="13" t="str">
        <f>VLOOKUP(tblCleanData[[#This Row],[EmployeeNumber]],tblHelpers[],15,TRUE)</f>
        <v>High Risk</v>
      </c>
      <c r="AP632" s="13">
        <f>VLOOKUP(tblCleanData[[#This Row],[EmployeeNumber]],tblHelpers[],14,0)</f>
        <v>66</v>
      </c>
    </row>
    <row r="633" spans="1:42" x14ac:dyDescent="0.25">
      <c r="A633" s="13">
        <v>44</v>
      </c>
      <c r="B633" s="13" t="s">
        <v>59</v>
      </c>
      <c r="C633" s="13" t="s">
        <v>37</v>
      </c>
      <c r="D633" s="13">
        <v>986</v>
      </c>
      <c r="E633" s="13" t="s">
        <v>62</v>
      </c>
      <c r="F633" s="13">
        <v>8</v>
      </c>
      <c r="G633" s="13">
        <v>4</v>
      </c>
      <c r="H633" s="13" t="s">
        <v>42</v>
      </c>
      <c r="I633" s="13">
        <v>1</v>
      </c>
      <c r="J633" s="13">
        <v>874</v>
      </c>
      <c r="K633" s="13">
        <v>1</v>
      </c>
      <c r="L633" s="13" t="s">
        <v>63</v>
      </c>
      <c r="M633" s="13">
        <v>62</v>
      </c>
      <c r="N633" s="13">
        <v>4</v>
      </c>
      <c r="O633" s="13">
        <v>1</v>
      </c>
      <c r="P633" s="13" t="s">
        <v>76</v>
      </c>
      <c r="Q633" s="13">
        <v>4</v>
      </c>
      <c r="R633" s="13" t="s">
        <v>66</v>
      </c>
      <c r="S633" s="20">
        <v>2818</v>
      </c>
      <c r="T633" s="13">
        <v>5044</v>
      </c>
      <c r="U633" s="13">
        <v>2</v>
      </c>
      <c r="V633" s="13" t="s">
        <v>52</v>
      </c>
      <c r="W633" s="13" t="s">
        <v>36</v>
      </c>
      <c r="X633" s="13">
        <v>24</v>
      </c>
      <c r="Y633" s="13">
        <v>4</v>
      </c>
      <c r="Z633" s="13">
        <v>3</v>
      </c>
      <c r="AA633" s="13">
        <v>80</v>
      </c>
      <c r="AB633" s="13">
        <v>1</v>
      </c>
      <c r="AC633" s="13">
        <v>10</v>
      </c>
      <c r="AD633" s="13">
        <v>2</v>
      </c>
      <c r="AE633" s="13">
        <v>2</v>
      </c>
      <c r="AF633" s="14">
        <v>3</v>
      </c>
      <c r="AG633" s="13">
        <v>2</v>
      </c>
      <c r="AH633" s="13">
        <v>0</v>
      </c>
      <c r="AI633" s="13">
        <v>2</v>
      </c>
      <c r="AJ633" s="13" t="str">
        <f t="shared" si="9"/>
        <v>40-49</v>
      </c>
      <c r="AK633" s="13" t="str">
        <f>IF(tblCleanData[[#This Row],[MonthlyIncome]]&lt;5000, "Low Income", IF(tblCleanData[[#This Row],[MonthlyIncome]]&lt;15000, "Medium Income", "High Income"))</f>
        <v>Low Income</v>
      </c>
      <c r="AL633" s="13">
        <f>IF(tblCleanData[[#This Row],[Attrition]]="No", 0,1)</f>
        <v>0</v>
      </c>
      <c r="AM633" s="13">
        <f>IF(tblCleanData[[#This Row],[OverTime]] = "No", 0, 1)</f>
        <v>1</v>
      </c>
      <c r="AN633" s="13" t="str">
        <f>CHOOSE(tblCleanData[[#This Row],[Education]], "Below College","College","Bachelor","Master","Doctor")</f>
        <v>Master</v>
      </c>
      <c r="AO633" s="13" t="str">
        <f>VLOOKUP(tblCleanData[[#This Row],[EmployeeNumber]],tblHelpers[],15,TRUE)</f>
        <v>High Risk</v>
      </c>
      <c r="AP633" s="13">
        <f>VLOOKUP(tblCleanData[[#This Row],[EmployeeNumber]],tblHelpers[],14,0)</f>
        <v>61</v>
      </c>
    </row>
    <row r="634" spans="1:42" x14ac:dyDescent="0.25">
      <c r="A634" s="13">
        <v>42</v>
      </c>
      <c r="B634" s="13" t="s">
        <v>59</v>
      </c>
      <c r="C634" s="13" t="s">
        <v>60</v>
      </c>
      <c r="D634" s="13">
        <v>1271</v>
      </c>
      <c r="E634" s="13" t="s">
        <v>62</v>
      </c>
      <c r="F634" s="13">
        <v>2</v>
      </c>
      <c r="G634" s="13">
        <v>1</v>
      </c>
      <c r="H634" s="13" t="s">
        <v>87</v>
      </c>
      <c r="I634" s="13">
        <v>1</v>
      </c>
      <c r="J634" s="13">
        <v>875</v>
      </c>
      <c r="K634" s="13">
        <v>2</v>
      </c>
      <c r="L634" s="13" t="s">
        <v>63</v>
      </c>
      <c r="M634" s="13">
        <v>35</v>
      </c>
      <c r="N634" s="13">
        <v>3</v>
      </c>
      <c r="O634" s="13">
        <v>1</v>
      </c>
      <c r="P634" s="13" t="s">
        <v>65</v>
      </c>
      <c r="Q634" s="13">
        <v>4</v>
      </c>
      <c r="R634" s="13" t="s">
        <v>48</v>
      </c>
      <c r="S634" s="20">
        <v>2515</v>
      </c>
      <c r="T634" s="13">
        <v>9068</v>
      </c>
      <c r="U634" s="13">
        <v>5</v>
      </c>
      <c r="V634" s="13" t="s">
        <v>52</v>
      </c>
      <c r="W634" s="13" t="s">
        <v>36</v>
      </c>
      <c r="X634" s="13">
        <v>14</v>
      </c>
      <c r="Y634" s="13">
        <v>3</v>
      </c>
      <c r="Z634" s="13">
        <v>4</v>
      </c>
      <c r="AA634" s="13">
        <v>80</v>
      </c>
      <c r="AB634" s="13">
        <v>0</v>
      </c>
      <c r="AC634" s="13">
        <v>8</v>
      </c>
      <c r="AD634" s="13">
        <v>2</v>
      </c>
      <c r="AE634" s="13">
        <v>3</v>
      </c>
      <c r="AF634" s="14">
        <v>2</v>
      </c>
      <c r="AG634" s="13">
        <v>1</v>
      </c>
      <c r="AH634" s="13">
        <v>2</v>
      </c>
      <c r="AI634" s="13">
        <v>2</v>
      </c>
      <c r="AJ634" s="13" t="str">
        <f t="shared" si="9"/>
        <v>40-49</v>
      </c>
      <c r="AK634" s="13" t="str">
        <f>IF(tblCleanData[[#This Row],[MonthlyIncome]]&lt;5000, "Low Income", IF(tblCleanData[[#This Row],[MonthlyIncome]]&lt;15000, "Medium Income", "High Income"))</f>
        <v>Low Income</v>
      </c>
      <c r="AL634" s="13">
        <f>IF(tblCleanData[[#This Row],[Attrition]]="No", 0,1)</f>
        <v>0</v>
      </c>
      <c r="AM634" s="13">
        <f>IF(tblCleanData[[#This Row],[OverTime]] = "No", 0, 1)</f>
        <v>1</v>
      </c>
      <c r="AN634" s="13" t="str">
        <f>CHOOSE(tblCleanData[[#This Row],[Education]], "Below College","College","Bachelor","Master","Doctor")</f>
        <v>Below College</v>
      </c>
      <c r="AO634" s="13" t="str">
        <f>VLOOKUP(tblCleanData[[#This Row],[EmployeeNumber]],tblHelpers[],15,TRUE)</f>
        <v>High Risk</v>
      </c>
      <c r="AP634" s="13">
        <f>VLOOKUP(tblCleanData[[#This Row],[EmployeeNumber]],tblHelpers[],14,0)</f>
        <v>71</v>
      </c>
    </row>
    <row r="635" spans="1:42" x14ac:dyDescent="0.25">
      <c r="A635" s="13">
        <v>36</v>
      </c>
      <c r="B635" s="13" t="s">
        <v>59</v>
      </c>
      <c r="C635" s="13" t="s">
        <v>37</v>
      </c>
      <c r="D635" s="13">
        <v>1278</v>
      </c>
      <c r="E635" s="13" t="s">
        <v>397</v>
      </c>
      <c r="F635" s="13">
        <v>8</v>
      </c>
      <c r="G635" s="13">
        <v>3</v>
      </c>
      <c r="H635" s="13" t="s">
        <v>42</v>
      </c>
      <c r="I635" s="13">
        <v>1</v>
      </c>
      <c r="J635" s="13">
        <v>878</v>
      </c>
      <c r="K635" s="13">
        <v>1</v>
      </c>
      <c r="L635" s="13" t="s">
        <v>63</v>
      </c>
      <c r="M635" s="13">
        <v>77</v>
      </c>
      <c r="N635" s="13">
        <v>2</v>
      </c>
      <c r="O635" s="13">
        <v>1</v>
      </c>
      <c r="P635" s="13" t="s">
        <v>397</v>
      </c>
      <c r="Q635" s="13">
        <v>1</v>
      </c>
      <c r="R635" s="13" t="s">
        <v>66</v>
      </c>
      <c r="S635" s="20">
        <v>2342</v>
      </c>
      <c r="T635" s="13">
        <v>8635</v>
      </c>
      <c r="U635" s="13">
        <v>0</v>
      </c>
      <c r="V635" s="13" t="s">
        <v>52</v>
      </c>
      <c r="W635" s="13" t="s">
        <v>59</v>
      </c>
      <c r="X635" s="13">
        <v>21</v>
      </c>
      <c r="Y635" s="13">
        <v>4</v>
      </c>
      <c r="Z635" s="13">
        <v>3</v>
      </c>
      <c r="AA635" s="13">
        <v>80</v>
      </c>
      <c r="AB635" s="13">
        <v>0</v>
      </c>
      <c r="AC635" s="13">
        <v>6</v>
      </c>
      <c r="AD635" s="13">
        <v>3</v>
      </c>
      <c r="AE635" s="13">
        <v>3</v>
      </c>
      <c r="AF635" s="14">
        <v>5</v>
      </c>
      <c r="AG635" s="13">
        <v>4</v>
      </c>
      <c r="AH635" s="13">
        <v>0</v>
      </c>
      <c r="AI635" s="13">
        <v>3</v>
      </c>
      <c r="AJ635" s="13" t="str">
        <f t="shared" si="9"/>
        <v>30-39</v>
      </c>
      <c r="AK635" s="13" t="str">
        <f>IF(tblCleanData[[#This Row],[MonthlyIncome]]&lt;5000, "Low Income", IF(tblCleanData[[#This Row],[MonthlyIncome]]&lt;15000, "Medium Income", "High Income"))</f>
        <v>Low Income</v>
      </c>
      <c r="AL635" s="13">
        <f>IF(tblCleanData[[#This Row],[Attrition]]="No", 0,1)</f>
        <v>0</v>
      </c>
      <c r="AM635" s="13">
        <f>IF(tblCleanData[[#This Row],[OverTime]] = "No", 0, 1)</f>
        <v>0</v>
      </c>
      <c r="AN635" s="13" t="str">
        <f>CHOOSE(tblCleanData[[#This Row],[Education]], "Below College","College","Bachelor","Master","Doctor")</f>
        <v>Bachelor</v>
      </c>
      <c r="AO635" s="13" t="str">
        <f>VLOOKUP(tblCleanData[[#This Row],[EmployeeNumber]],tblHelpers[],15,TRUE)</f>
        <v>High Risk</v>
      </c>
      <c r="AP635" s="13">
        <f>VLOOKUP(tblCleanData[[#This Row],[EmployeeNumber]],tblHelpers[],14,0)</f>
        <v>65</v>
      </c>
    </row>
    <row r="636" spans="1:42" x14ac:dyDescent="0.25">
      <c r="A636" s="13">
        <v>25</v>
      </c>
      <c r="B636" s="13" t="s">
        <v>59</v>
      </c>
      <c r="C636" s="13" t="s">
        <v>37</v>
      </c>
      <c r="D636" s="13">
        <v>141</v>
      </c>
      <c r="E636" s="13" t="s">
        <v>39</v>
      </c>
      <c r="F636" s="13">
        <v>3</v>
      </c>
      <c r="G636" s="13">
        <v>1</v>
      </c>
      <c r="H636" s="13" t="s">
        <v>74</v>
      </c>
      <c r="I636" s="13">
        <v>1</v>
      </c>
      <c r="J636" s="13">
        <v>879</v>
      </c>
      <c r="K636" s="13">
        <v>3</v>
      </c>
      <c r="L636" s="13" t="s">
        <v>63</v>
      </c>
      <c r="M636" s="13">
        <v>98</v>
      </c>
      <c r="N636" s="13">
        <v>3</v>
      </c>
      <c r="O636" s="13">
        <v>2</v>
      </c>
      <c r="P636" s="13" t="s">
        <v>46</v>
      </c>
      <c r="Q636" s="13">
        <v>1</v>
      </c>
      <c r="R636" s="13" t="s">
        <v>66</v>
      </c>
      <c r="S636" s="20">
        <v>4194</v>
      </c>
      <c r="T636" s="13">
        <v>14363</v>
      </c>
      <c r="U636" s="13">
        <v>1</v>
      </c>
      <c r="V636" s="13" t="s">
        <v>52</v>
      </c>
      <c r="W636" s="13" t="s">
        <v>36</v>
      </c>
      <c r="X636" s="13">
        <v>18</v>
      </c>
      <c r="Y636" s="13">
        <v>3</v>
      </c>
      <c r="Z636" s="13">
        <v>4</v>
      </c>
      <c r="AA636" s="13">
        <v>80</v>
      </c>
      <c r="AB636" s="13">
        <v>0</v>
      </c>
      <c r="AC636" s="13">
        <v>5</v>
      </c>
      <c r="AD636" s="13">
        <v>3</v>
      </c>
      <c r="AE636" s="13">
        <v>3</v>
      </c>
      <c r="AF636" s="14">
        <v>5</v>
      </c>
      <c r="AG636" s="13">
        <v>3</v>
      </c>
      <c r="AH636" s="13">
        <v>0</v>
      </c>
      <c r="AI636" s="13">
        <v>3</v>
      </c>
      <c r="AJ636" s="13" t="str">
        <f t="shared" si="9"/>
        <v>Under 30</v>
      </c>
      <c r="AK636" s="13" t="str">
        <f>IF(tblCleanData[[#This Row],[MonthlyIncome]]&lt;5000, "Low Income", IF(tblCleanData[[#This Row],[MonthlyIncome]]&lt;15000, "Medium Income", "High Income"))</f>
        <v>Low Income</v>
      </c>
      <c r="AL636" s="13">
        <f>IF(tblCleanData[[#This Row],[Attrition]]="No", 0,1)</f>
        <v>0</v>
      </c>
      <c r="AM636" s="13">
        <f>IF(tblCleanData[[#This Row],[OverTime]] = "No", 0, 1)</f>
        <v>1</v>
      </c>
      <c r="AN636" s="13" t="str">
        <f>CHOOSE(tblCleanData[[#This Row],[Education]], "Below College","College","Bachelor","Master","Doctor")</f>
        <v>Below College</v>
      </c>
      <c r="AO636" s="13" t="str">
        <f>VLOOKUP(tblCleanData[[#This Row],[EmployeeNumber]],tblHelpers[],15,TRUE)</f>
        <v>High Risk</v>
      </c>
      <c r="AP636" s="13">
        <f>VLOOKUP(tblCleanData[[#This Row],[EmployeeNumber]],tblHelpers[],14,0)</f>
        <v>100</v>
      </c>
    </row>
    <row r="637" spans="1:42" x14ac:dyDescent="0.25">
      <c r="A637" s="13">
        <v>35</v>
      </c>
      <c r="B637" s="13" t="s">
        <v>59</v>
      </c>
      <c r="C637" s="13" t="s">
        <v>37</v>
      </c>
      <c r="D637" s="13">
        <v>607</v>
      </c>
      <c r="E637" s="13" t="s">
        <v>62</v>
      </c>
      <c r="F637" s="13">
        <v>9</v>
      </c>
      <c r="G637" s="13">
        <v>3</v>
      </c>
      <c r="H637" s="13" t="s">
        <v>42</v>
      </c>
      <c r="I637" s="13">
        <v>1</v>
      </c>
      <c r="J637" s="13">
        <v>880</v>
      </c>
      <c r="K637" s="13">
        <v>4</v>
      </c>
      <c r="L637" s="13" t="s">
        <v>43</v>
      </c>
      <c r="M637" s="13">
        <v>66</v>
      </c>
      <c r="N637" s="13">
        <v>2</v>
      </c>
      <c r="O637" s="13">
        <v>3</v>
      </c>
      <c r="P637" s="13" t="s">
        <v>116</v>
      </c>
      <c r="Q637" s="13">
        <v>3</v>
      </c>
      <c r="R637" s="13" t="s">
        <v>66</v>
      </c>
      <c r="S637" s="20">
        <v>10685</v>
      </c>
      <c r="T637" s="13">
        <v>23457</v>
      </c>
      <c r="U637" s="13">
        <v>1</v>
      </c>
      <c r="V637" s="13" t="s">
        <v>52</v>
      </c>
      <c r="W637" s="13" t="s">
        <v>36</v>
      </c>
      <c r="X637" s="13">
        <v>20</v>
      </c>
      <c r="Y637" s="13">
        <v>4</v>
      </c>
      <c r="Z637" s="13">
        <v>2</v>
      </c>
      <c r="AA637" s="13">
        <v>80</v>
      </c>
      <c r="AB637" s="13">
        <v>1</v>
      </c>
      <c r="AC637" s="13">
        <v>17</v>
      </c>
      <c r="AD637" s="13">
        <v>2</v>
      </c>
      <c r="AE637" s="13">
        <v>3</v>
      </c>
      <c r="AF637" s="14">
        <v>17</v>
      </c>
      <c r="AG637" s="13">
        <v>14</v>
      </c>
      <c r="AH637" s="13">
        <v>5</v>
      </c>
      <c r="AI637" s="13">
        <v>15</v>
      </c>
      <c r="AJ637" s="13" t="str">
        <f t="shared" si="9"/>
        <v>30-39</v>
      </c>
      <c r="AK637" s="13" t="str">
        <f>IF(tblCleanData[[#This Row],[MonthlyIncome]]&lt;5000, "Low Income", IF(tblCleanData[[#This Row],[MonthlyIncome]]&lt;15000, "Medium Income", "High Income"))</f>
        <v>Medium Income</v>
      </c>
      <c r="AL637" s="13">
        <f>IF(tblCleanData[[#This Row],[Attrition]]="No", 0,1)</f>
        <v>0</v>
      </c>
      <c r="AM637" s="13">
        <f>IF(tblCleanData[[#This Row],[OverTime]] = "No", 0, 1)</f>
        <v>1</v>
      </c>
      <c r="AN637" s="13" t="str">
        <f>CHOOSE(tblCleanData[[#This Row],[Education]], "Below College","College","Bachelor","Master","Doctor")</f>
        <v>Bachelor</v>
      </c>
      <c r="AO637" s="13" t="str">
        <f>VLOOKUP(tblCleanData[[#This Row],[EmployeeNumber]],tblHelpers[],15,TRUE)</f>
        <v>High Risk</v>
      </c>
      <c r="AP637" s="13">
        <f>VLOOKUP(tblCleanData[[#This Row],[EmployeeNumber]],tblHelpers[],14,0)</f>
        <v>66</v>
      </c>
    </row>
    <row r="638" spans="1:42" x14ac:dyDescent="0.25">
      <c r="A638" s="13">
        <v>35</v>
      </c>
      <c r="B638" s="13" t="s">
        <v>36</v>
      </c>
      <c r="C638" s="13" t="s">
        <v>60</v>
      </c>
      <c r="D638" s="13">
        <v>130</v>
      </c>
      <c r="E638" s="13" t="s">
        <v>62</v>
      </c>
      <c r="F638" s="13">
        <v>25</v>
      </c>
      <c r="G638" s="13">
        <v>4</v>
      </c>
      <c r="H638" s="13" t="s">
        <v>42</v>
      </c>
      <c r="I638" s="13">
        <v>1</v>
      </c>
      <c r="J638" s="13">
        <v>881</v>
      </c>
      <c r="K638" s="13">
        <v>4</v>
      </c>
      <c r="L638" s="13" t="s">
        <v>43</v>
      </c>
      <c r="M638" s="13">
        <v>96</v>
      </c>
      <c r="N638" s="13">
        <v>3</v>
      </c>
      <c r="O638" s="13">
        <v>1</v>
      </c>
      <c r="P638" s="13" t="s">
        <v>65</v>
      </c>
      <c r="Q638" s="13">
        <v>2</v>
      </c>
      <c r="R638" s="13" t="s">
        <v>109</v>
      </c>
      <c r="S638" s="20">
        <v>2022</v>
      </c>
      <c r="T638" s="13">
        <v>16612</v>
      </c>
      <c r="U638" s="13">
        <v>1</v>
      </c>
      <c r="V638" s="13" t="s">
        <v>52</v>
      </c>
      <c r="W638" s="13" t="s">
        <v>36</v>
      </c>
      <c r="X638" s="13">
        <v>19</v>
      </c>
      <c r="Y638" s="13">
        <v>3</v>
      </c>
      <c r="Z638" s="13">
        <v>1</v>
      </c>
      <c r="AA638" s="13">
        <v>80</v>
      </c>
      <c r="AB638" s="13">
        <v>1</v>
      </c>
      <c r="AC638" s="13">
        <v>10</v>
      </c>
      <c r="AD638" s="13">
        <v>3</v>
      </c>
      <c r="AE638" s="13">
        <v>2</v>
      </c>
      <c r="AF638" s="14">
        <v>10</v>
      </c>
      <c r="AG638" s="13">
        <v>2</v>
      </c>
      <c r="AH638" s="13">
        <v>7</v>
      </c>
      <c r="AI638" s="13">
        <v>8</v>
      </c>
      <c r="AJ638" s="13" t="str">
        <f t="shared" si="9"/>
        <v>30-39</v>
      </c>
      <c r="AK638" s="13" t="str">
        <f>IF(tblCleanData[[#This Row],[MonthlyIncome]]&lt;5000, "Low Income", IF(tblCleanData[[#This Row],[MonthlyIncome]]&lt;15000, "Medium Income", "High Income"))</f>
        <v>Low Income</v>
      </c>
      <c r="AL638" s="13">
        <f>IF(tblCleanData[[#This Row],[Attrition]]="No", 0,1)</f>
        <v>1</v>
      </c>
      <c r="AM638" s="13">
        <f>IF(tblCleanData[[#This Row],[OverTime]] = "No", 0, 1)</f>
        <v>1</v>
      </c>
      <c r="AN638" s="13" t="str">
        <f>CHOOSE(tblCleanData[[#This Row],[Education]], "Below College","College","Bachelor","Master","Doctor")</f>
        <v>Master</v>
      </c>
      <c r="AO638" s="13" t="str">
        <f>VLOOKUP(tblCleanData[[#This Row],[EmployeeNumber]],tblHelpers[],15,TRUE)</f>
        <v>High Risk</v>
      </c>
      <c r="AP638" s="13">
        <f>VLOOKUP(tblCleanData[[#This Row],[EmployeeNumber]],tblHelpers[],14,0)</f>
        <v>77</v>
      </c>
    </row>
    <row r="639" spans="1:42" x14ac:dyDescent="0.25">
      <c r="A639" s="13">
        <v>32</v>
      </c>
      <c r="B639" s="13" t="s">
        <v>59</v>
      </c>
      <c r="C639" s="13" t="s">
        <v>161</v>
      </c>
      <c r="D639" s="13">
        <v>300</v>
      </c>
      <c r="E639" s="13" t="s">
        <v>62</v>
      </c>
      <c r="F639" s="13">
        <v>1</v>
      </c>
      <c r="G639" s="13">
        <v>3</v>
      </c>
      <c r="H639" s="13" t="s">
        <v>42</v>
      </c>
      <c r="I639" s="13">
        <v>1</v>
      </c>
      <c r="J639" s="13">
        <v>882</v>
      </c>
      <c r="K639" s="13">
        <v>4</v>
      </c>
      <c r="L639" s="13" t="s">
        <v>63</v>
      </c>
      <c r="M639" s="13">
        <v>61</v>
      </c>
      <c r="N639" s="13">
        <v>3</v>
      </c>
      <c r="O639" s="13">
        <v>1</v>
      </c>
      <c r="P639" s="13" t="s">
        <v>76</v>
      </c>
      <c r="Q639" s="13">
        <v>4</v>
      </c>
      <c r="R639" s="13" t="s">
        <v>109</v>
      </c>
      <c r="S639" s="20">
        <v>2314</v>
      </c>
      <c r="T639" s="13">
        <v>9148</v>
      </c>
      <c r="U639" s="13">
        <v>0</v>
      </c>
      <c r="V639" s="13" t="s">
        <v>52</v>
      </c>
      <c r="W639" s="13" t="s">
        <v>59</v>
      </c>
      <c r="X639" s="13">
        <v>12</v>
      </c>
      <c r="Y639" s="13">
        <v>3</v>
      </c>
      <c r="Z639" s="13">
        <v>2</v>
      </c>
      <c r="AA639" s="13">
        <v>80</v>
      </c>
      <c r="AB639" s="13">
        <v>1</v>
      </c>
      <c r="AC639" s="13">
        <v>4</v>
      </c>
      <c r="AD639" s="13">
        <v>2</v>
      </c>
      <c r="AE639" s="13">
        <v>3</v>
      </c>
      <c r="AF639" s="14">
        <v>3</v>
      </c>
      <c r="AG639" s="13">
        <v>0</v>
      </c>
      <c r="AH639" s="13">
        <v>0</v>
      </c>
      <c r="AI639" s="13">
        <v>2</v>
      </c>
      <c r="AJ639" s="13" t="str">
        <f t="shared" si="9"/>
        <v>30-39</v>
      </c>
      <c r="AK639" s="13" t="str">
        <f>IF(tblCleanData[[#This Row],[MonthlyIncome]]&lt;5000, "Low Income", IF(tblCleanData[[#This Row],[MonthlyIncome]]&lt;15000, "Medium Income", "High Income"))</f>
        <v>Low Income</v>
      </c>
      <c r="AL639" s="13">
        <f>IF(tblCleanData[[#This Row],[Attrition]]="No", 0,1)</f>
        <v>0</v>
      </c>
      <c r="AM639" s="13">
        <f>IF(tblCleanData[[#This Row],[OverTime]] = "No", 0, 1)</f>
        <v>0</v>
      </c>
      <c r="AN639" s="13" t="str">
        <f>CHOOSE(tblCleanData[[#This Row],[Education]], "Below College","College","Bachelor","Master","Doctor")</f>
        <v>Bachelor</v>
      </c>
      <c r="AO639" s="13" t="str">
        <f>VLOOKUP(tblCleanData[[#This Row],[EmployeeNumber]],tblHelpers[],15,TRUE)</f>
        <v>Medium Risk</v>
      </c>
      <c r="AP639" s="13">
        <f>VLOOKUP(tblCleanData[[#This Row],[EmployeeNumber]],tblHelpers[],14,0)</f>
        <v>46</v>
      </c>
    </row>
    <row r="640" spans="1:42" x14ac:dyDescent="0.25">
      <c r="A640" s="13">
        <v>25</v>
      </c>
      <c r="B640" s="13" t="s">
        <v>59</v>
      </c>
      <c r="C640" s="13" t="s">
        <v>37</v>
      </c>
      <c r="D640" s="13">
        <v>583</v>
      </c>
      <c r="E640" s="13" t="s">
        <v>39</v>
      </c>
      <c r="F640" s="13">
        <v>4</v>
      </c>
      <c r="G640" s="13">
        <v>1</v>
      </c>
      <c r="H640" s="13" t="s">
        <v>206</v>
      </c>
      <c r="I640" s="13">
        <v>1</v>
      </c>
      <c r="J640" s="13">
        <v>885</v>
      </c>
      <c r="K640" s="13">
        <v>3</v>
      </c>
      <c r="L640" s="13" t="s">
        <v>63</v>
      </c>
      <c r="M640" s="13">
        <v>87</v>
      </c>
      <c r="N640" s="13">
        <v>2</v>
      </c>
      <c r="O640" s="13">
        <v>2</v>
      </c>
      <c r="P640" s="13" t="s">
        <v>46</v>
      </c>
      <c r="Q640" s="13">
        <v>1</v>
      </c>
      <c r="R640" s="13" t="s">
        <v>66</v>
      </c>
      <c r="S640" s="20">
        <v>4256</v>
      </c>
      <c r="T640" s="13">
        <v>18154</v>
      </c>
      <c r="U640" s="13">
        <v>1</v>
      </c>
      <c r="V640" s="13" t="s">
        <v>52</v>
      </c>
      <c r="W640" s="13" t="s">
        <v>59</v>
      </c>
      <c r="X640" s="13">
        <v>12</v>
      </c>
      <c r="Y640" s="13">
        <v>3</v>
      </c>
      <c r="Z640" s="13">
        <v>1</v>
      </c>
      <c r="AA640" s="13">
        <v>80</v>
      </c>
      <c r="AB640" s="13">
        <v>0</v>
      </c>
      <c r="AC640" s="13">
        <v>5</v>
      </c>
      <c r="AD640" s="13">
        <v>1</v>
      </c>
      <c r="AE640" s="13">
        <v>4</v>
      </c>
      <c r="AF640" s="14">
        <v>5</v>
      </c>
      <c r="AG640" s="13">
        <v>2</v>
      </c>
      <c r="AH640" s="13">
        <v>0</v>
      </c>
      <c r="AI640" s="13">
        <v>3</v>
      </c>
      <c r="AJ640" s="13" t="str">
        <f t="shared" si="9"/>
        <v>Under 30</v>
      </c>
      <c r="AK640" s="13" t="str">
        <f>IF(tblCleanData[[#This Row],[MonthlyIncome]]&lt;5000, "Low Income", IF(tblCleanData[[#This Row],[MonthlyIncome]]&lt;15000, "Medium Income", "High Income"))</f>
        <v>Low Income</v>
      </c>
      <c r="AL640" s="13">
        <f>IF(tblCleanData[[#This Row],[Attrition]]="No", 0,1)</f>
        <v>0</v>
      </c>
      <c r="AM640" s="13">
        <f>IF(tblCleanData[[#This Row],[OverTime]] = "No", 0, 1)</f>
        <v>0</v>
      </c>
      <c r="AN640" s="13" t="str">
        <f>CHOOSE(tblCleanData[[#This Row],[Education]], "Below College","College","Bachelor","Master","Doctor")</f>
        <v>Below College</v>
      </c>
      <c r="AO640" s="13" t="str">
        <f>VLOOKUP(tblCleanData[[#This Row],[EmployeeNumber]],tblHelpers[],15,TRUE)</f>
        <v>High Risk</v>
      </c>
      <c r="AP640" s="13">
        <f>VLOOKUP(tblCleanData[[#This Row],[EmployeeNumber]],tblHelpers[],14,0)</f>
        <v>75</v>
      </c>
    </row>
    <row r="641" spans="1:42" x14ac:dyDescent="0.25">
      <c r="A641" s="13">
        <v>49</v>
      </c>
      <c r="B641" s="13" t="s">
        <v>59</v>
      </c>
      <c r="C641" s="13" t="s">
        <v>37</v>
      </c>
      <c r="D641" s="13">
        <v>1418</v>
      </c>
      <c r="E641" s="13" t="s">
        <v>62</v>
      </c>
      <c r="F641" s="13">
        <v>1</v>
      </c>
      <c r="G641" s="13">
        <v>3</v>
      </c>
      <c r="H641" s="13" t="s">
        <v>228</v>
      </c>
      <c r="I641" s="13">
        <v>1</v>
      </c>
      <c r="J641" s="13">
        <v>887</v>
      </c>
      <c r="K641" s="13">
        <v>3</v>
      </c>
      <c r="L641" s="13" t="s">
        <v>43</v>
      </c>
      <c r="M641" s="13">
        <v>36</v>
      </c>
      <c r="N641" s="13">
        <v>3</v>
      </c>
      <c r="O641" s="13">
        <v>1</v>
      </c>
      <c r="P641" s="13" t="s">
        <v>65</v>
      </c>
      <c r="Q641" s="13">
        <v>1</v>
      </c>
      <c r="R641" s="13" t="s">
        <v>66</v>
      </c>
      <c r="S641" s="20">
        <v>3580</v>
      </c>
      <c r="T641" s="13">
        <v>10554</v>
      </c>
      <c r="U641" s="13">
        <v>2</v>
      </c>
      <c r="V641" s="13" t="s">
        <v>52</v>
      </c>
      <c r="W641" s="13" t="s">
        <v>59</v>
      </c>
      <c r="X641" s="13">
        <v>16</v>
      </c>
      <c r="Y641" s="13">
        <v>3</v>
      </c>
      <c r="Z641" s="13">
        <v>2</v>
      </c>
      <c r="AA641" s="13">
        <v>80</v>
      </c>
      <c r="AB641" s="13">
        <v>1</v>
      </c>
      <c r="AC641" s="13">
        <v>7</v>
      </c>
      <c r="AD641" s="13">
        <v>2</v>
      </c>
      <c r="AE641" s="13">
        <v>3</v>
      </c>
      <c r="AF641" s="14">
        <v>4</v>
      </c>
      <c r="AG641" s="13">
        <v>2</v>
      </c>
      <c r="AH641" s="13">
        <v>0</v>
      </c>
      <c r="AI641" s="13">
        <v>2</v>
      </c>
      <c r="AJ641" s="13" t="str">
        <f t="shared" si="9"/>
        <v>40-49</v>
      </c>
      <c r="AK641" s="13" t="str">
        <f>IF(tblCleanData[[#This Row],[MonthlyIncome]]&lt;5000, "Low Income", IF(tblCleanData[[#This Row],[MonthlyIncome]]&lt;15000, "Medium Income", "High Income"))</f>
        <v>Low Income</v>
      </c>
      <c r="AL641" s="13">
        <f>IF(tblCleanData[[#This Row],[Attrition]]="No", 0,1)</f>
        <v>0</v>
      </c>
      <c r="AM641" s="13">
        <f>IF(tblCleanData[[#This Row],[OverTime]] = "No", 0, 1)</f>
        <v>0</v>
      </c>
      <c r="AN641" s="13" t="str">
        <f>CHOOSE(tblCleanData[[#This Row],[Education]], "Below College","College","Bachelor","Master","Doctor")</f>
        <v>Bachelor</v>
      </c>
      <c r="AO641" s="13" t="str">
        <f>VLOOKUP(tblCleanData[[#This Row],[EmployeeNumber]],tblHelpers[],15,TRUE)</f>
        <v>High Risk</v>
      </c>
      <c r="AP641" s="13">
        <f>VLOOKUP(tblCleanData[[#This Row],[EmployeeNumber]],tblHelpers[],14,0)</f>
        <v>55</v>
      </c>
    </row>
    <row r="642" spans="1:42" x14ac:dyDescent="0.25">
      <c r="A642" s="13">
        <v>24</v>
      </c>
      <c r="B642" s="13" t="s">
        <v>59</v>
      </c>
      <c r="C642" s="13" t="s">
        <v>161</v>
      </c>
      <c r="D642" s="13">
        <v>1269</v>
      </c>
      <c r="E642" s="13" t="s">
        <v>62</v>
      </c>
      <c r="F642" s="13">
        <v>4</v>
      </c>
      <c r="G642" s="13">
        <v>1</v>
      </c>
      <c r="H642" s="13" t="s">
        <v>42</v>
      </c>
      <c r="I642" s="13">
        <v>1</v>
      </c>
      <c r="J642" s="13">
        <v>888</v>
      </c>
      <c r="K642" s="13">
        <v>1</v>
      </c>
      <c r="L642" s="13" t="s">
        <v>63</v>
      </c>
      <c r="M642" s="13">
        <v>46</v>
      </c>
      <c r="N642" s="13">
        <v>2</v>
      </c>
      <c r="O642" s="13">
        <v>1</v>
      </c>
      <c r="P642" s="13" t="s">
        <v>76</v>
      </c>
      <c r="Q642" s="13">
        <v>4</v>
      </c>
      <c r="R642" s="13" t="s">
        <v>66</v>
      </c>
      <c r="S642" s="20">
        <v>3162</v>
      </c>
      <c r="T642" s="13">
        <v>10778</v>
      </c>
      <c r="U642" s="13">
        <v>0</v>
      </c>
      <c r="V642" s="13" t="s">
        <v>52</v>
      </c>
      <c r="W642" s="13" t="s">
        <v>59</v>
      </c>
      <c r="X642" s="13">
        <v>17</v>
      </c>
      <c r="Y642" s="13">
        <v>3</v>
      </c>
      <c r="Z642" s="13">
        <v>4</v>
      </c>
      <c r="AA642" s="13">
        <v>80</v>
      </c>
      <c r="AB642" s="13">
        <v>0</v>
      </c>
      <c r="AC642" s="13">
        <v>6</v>
      </c>
      <c r="AD642" s="13">
        <v>2</v>
      </c>
      <c r="AE642" s="13">
        <v>2</v>
      </c>
      <c r="AF642" s="14">
        <v>5</v>
      </c>
      <c r="AG642" s="13">
        <v>2</v>
      </c>
      <c r="AH642" s="13">
        <v>3</v>
      </c>
      <c r="AI642" s="13">
        <v>4</v>
      </c>
      <c r="AJ642" s="13" t="str">
        <f t="shared" ref="AJ642:AJ705" si="10">IF(A642&lt;30,"Under 30", IF(A642&lt;40,"30-39", IF(A642&lt;50,"40-49", "50+")))</f>
        <v>Under 30</v>
      </c>
      <c r="AK642" s="13" t="str">
        <f>IF(tblCleanData[[#This Row],[MonthlyIncome]]&lt;5000, "Low Income", IF(tblCleanData[[#This Row],[MonthlyIncome]]&lt;15000, "Medium Income", "High Income"))</f>
        <v>Low Income</v>
      </c>
      <c r="AL642" s="13">
        <f>IF(tblCleanData[[#This Row],[Attrition]]="No", 0,1)</f>
        <v>0</v>
      </c>
      <c r="AM642" s="13">
        <f>IF(tblCleanData[[#This Row],[OverTime]] = "No", 0, 1)</f>
        <v>0</v>
      </c>
      <c r="AN642" s="13" t="str">
        <f>CHOOSE(tblCleanData[[#This Row],[Education]], "Below College","College","Bachelor","Master","Doctor")</f>
        <v>Below College</v>
      </c>
      <c r="AO642" s="13" t="str">
        <f>VLOOKUP(tblCleanData[[#This Row],[EmployeeNumber]],tblHelpers[],15,TRUE)</f>
        <v>High Risk</v>
      </c>
      <c r="AP642" s="13">
        <f>VLOOKUP(tblCleanData[[#This Row],[EmployeeNumber]],tblHelpers[],14,0)</f>
        <v>56</v>
      </c>
    </row>
    <row r="643" spans="1:42" x14ac:dyDescent="0.25">
      <c r="A643" s="13">
        <v>32</v>
      </c>
      <c r="B643" s="13" t="s">
        <v>59</v>
      </c>
      <c r="C643" s="13" t="s">
        <v>60</v>
      </c>
      <c r="D643" s="13">
        <v>379</v>
      </c>
      <c r="E643" s="13" t="s">
        <v>39</v>
      </c>
      <c r="F643" s="13">
        <v>5</v>
      </c>
      <c r="G643" s="13">
        <v>2</v>
      </c>
      <c r="H643" s="13" t="s">
        <v>42</v>
      </c>
      <c r="I643" s="13">
        <v>1</v>
      </c>
      <c r="J643" s="13">
        <v>889</v>
      </c>
      <c r="K643" s="13">
        <v>2</v>
      </c>
      <c r="L643" s="13" t="s">
        <v>63</v>
      </c>
      <c r="M643" s="13">
        <v>48</v>
      </c>
      <c r="N643" s="13">
        <v>3</v>
      </c>
      <c r="O643" s="13">
        <v>2</v>
      </c>
      <c r="P643" s="13" t="s">
        <v>46</v>
      </c>
      <c r="Q643" s="13">
        <v>2</v>
      </c>
      <c r="R643" s="13" t="s">
        <v>66</v>
      </c>
      <c r="S643" s="20">
        <v>6524</v>
      </c>
      <c r="T643" s="13">
        <v>8891</v>
      </c>
      <c r="U643" s="13">
        <v>1</v>
      </c>
      <c r="V643" s="13" t="s">
        <v>52</v>
      </c>
      <c r="W643" s="13" t="s">
        <v>59</v>
      </c>
      <c r="X643" s="13">
        <v>14</v>
      </c>
      <c r="Y643" s="13">
        <v>3</v>
      </c>
      <c r="Z643" s="13">
        <v>4</v>
      </c>
      <c r="AA643" s="13">
        <v>80</v>
      </c>
      <c r="AB643" s="13">
        <v>1</v>
      </c>
      <c r="AC643" s="13">
        <v>10</v>
      </c>
      <c r="AD643" s="13">
        <v>3</v>
      </c>
      <c r="AE643" s="13">
        <v>3</v>
      </c>
      <c r="AF643" s="14">
        <v>10</v>
      </c>
      <c r="AG643" s="13">
        <v>8</v>
      </c>
      <c r="AH643" s="13">
        <v>5</v>
      </c>
      <c r="AI643" s="13">
        <v>3</v>
      </c>
      <c r="AJ643" s="13" t="str">
        <f t="shared" si="10"/>
        <v>30-39</v>
      </c>
      <c r="AK643" s="13" t="str">
        <f>IF(tblCleanData[[#This Row],[MonthlyIncome]]&lt;5000, "Low Income", IF(tblCleanData[[#This Row],[MonthlyIncome]]&lt;15000, "Medium Income", "High Income"))</f>
        <v>Medium Income</v>
      </c>
      <c r="AL643" s="13">
        <f>IF(tblCleanData[[#This Row],[Attrition]]="No", 0,1)</f>
        <v>0</v>
      </c>
      <c r="AM643" s="13">
        <f>IF(tblCleanData[[#This Row],[OverTime]] = "No", 0, 1)</f>
        <v>0</v>
      </c>
      <c r="AN643" s="13" t="str">
        <f>CHOOSE(tblCleanData[[#This Row],[Education]], "Below College","College","Bachelor","Master","Doctor")</f>
        <v>College</v>
      </c>
      <c r="AO643" s="13" t="str">
        <f>VLOOKUP(tblCleanData[[#This Row],[EmployeeNumber]],tblHelpers[],15,TRUE)</f>
        <v>Medium Risk</v>
      </c>
      <c r="AP643" s="13">
        <f>VLOOKUP(tblCleanData[[#This Row],[EmployeeNumber]],tblHelpers[],14,0)</f>
        <v>52</v>
      </c>
    </row>
    <row r="644" spans="1:42" x14ac:dyDescent="0.25">
      <c r="A644" s="13">
        <v>38</v>
      </c>
      <c r="B644" s="13" t="s">
        <v>59</v>
      </c>
      <c r="C644" s="13" t="s">
        <v>37</v>
      </c>
      <c r="D644" s="13">
        <v>395</v>
      </c>
      <c r="E644" s="13" t="s">
        <v>39</v>
      </c>
      <c r="F644" s="13">
        <v>9</v>
      </c>
      <c r="G644" s="13">
        <v>3</v>
      </c>
      <c r="H644" s="13" t="s">
        <v>206</v>
      </c>
      <c r="I644" s="13">
        <v>1</v>
      </c>
      <c r="J644" s="13">
        <v>893</v>
      </c>
      <c r="K644" s="13">
        <v>2</v>
      </c>
      <c r="L644" s="13" t="s">
        <v>63</v>
      </c>
      <c r="M644" s="13">
        <v>98</v>
      </c>
      <c r="N644" s="13">
        <v>2</v>
      </c>
      <c r="O644" s="13">
        <v>1</v>
      </c>
      <c r="P644" s="13" t="s">
        <v>182</v>
      </c>
      <c r="Q644" s="13">
        <v>2</v>
      </c>
      <c r="R644" s="13" t="s">
        <v>66</v>
      </c>
      <c r="S644" s="20">
        <v>2899</v>
      </c>
      <c r="T644" s="13">
        <v>12102</v>
      </c>
      <c r="U644" s="13">
        <v>0</v>
      </c>
      <c r="V644" s="13" t="s">
        <v>52</v>
      </c>
      <c r="W644" s="13" t="s">
        <v>59</v>
      </c>
      <c r="X644" s="13">
        <v>19</v>
      </c>
      <c r="Y644" s="13">
        <v>3</v>
      </c>
      <c r="Z644" s="13">
        <v>4</v>
      </c>
      <c r="AA644" s="13">
        <v>80</v>
      </c>
      <c r="AB644" s="13">
        <v>1</v>
      </c>
      <c r="AC644" s="13">
        <v>3</v>
      </c>
      <c r="AD644" s="13">
        <v>3</v>
      </c>
      <c r="AE644" s="13">
        <v>3</v>
      </c>
      <c r="AF644" s="14">
        <v>2</v>
      </c>
      <c r="AG644" s="13">
        <v>2</v>
      </c>
      <c r="AH644" s="13">
        <v>1</v>
      </c>
      <c r="AI644" s="13">
        <v>2</v>
      </c>
      <c r="AJ644" s="13" t="str">
        <f t="shared" si="10"/>
        <v>30-39</v>
      </c>
      <c r="AK644" s="13" t="str">
        <f>IF(tblCleanData[[#This Row],[MonthlyIncome]]&lt;5000, "Low Income", IF(tblCleanData[[#This Row],[MonthlyIncome]]&lt;15000, "Medium Income", "High Income"))</f>
        <v>Low Income</v>
      </c>
      <c r="AL644" s="13">
        <f>IF(tblCleanData[[#This Row],[Attrition]]="No", 0,1)</f>
        <v>0</v>
      </c>
      <c r="AM644" s="13">
        <f>IF(tblCleanData[[#This Row],[OverTime]] = "No", 0, 1)</f>
        <v>0</v>
      </c>
      <c r="AN644" s="13" t="str">
        <f>CHOOSE(tblCleanData[[#This Row],[Education]], "Below College","College","Bachelor","Master","Doctor")</f>
        <v>Bachelor</v>
      </c>
      <c r="AO644" s="13" t="str">
        <f>VLOOKUP(tblCleanData[[#This Row],[EmployeeNumber]],tblHelpers[],15,TRUE)</f>
        <v>High Risk</v>
      </c>
      <c r="AP644" s="13">
        <f>VLOOKUP(tblCleanData[[#This Row],[EmployeeNumber]],tblHelpers[],14,0)</f>
        <v>69</v>
      </c>
    </row>
    <row r="645" spans="1:42" x14ac:dyDescent="0.25">
      <c r="A645" s="13">
        <v>42</v>
      </c>
      <c r="B645" s="13" t="s">
        <v>59</v>
      </c>
      <c r="C645" s="13" t="s">
        <v>37</v>
      </c>
      <c r="D645" s="13">
        <v>1265</v>
      </c>
      <c r="E645" s="13" t="s">
        <v>62</v>
      </c>
      <c r="F645" s="13">
        <v>3</v>
      </c>
      <c r="G645" s="13">
        <v>3</v>
      </c>
      <c r="H645" s="13" t="s">
        <v>42</v>
      </c>
      <c r="I645" s="13">
        <v>1</v>
      </c>
      <c r="J645" s="13">
        <v>894</v>
      </c>
      <c r="K645" s="13">
        <v>3</v>
      </c>
      <c r="L645" s="13" t="s">
        <v>43</v>
      </c>
      <c r="M645" s="13">
        <v>95</v>
      </c>
      <c r="N645" s="13">
        <v>4</v>
      </c>
      <c r="O645" s="13">
        <v>2</v>
      </c>
      <c r="P645" s="13" t="s">
        <v>76</v>
      </c>
      <c r="Q645" s="13">
        <v>4</v>
      </c>
      <c r="R645" s="13" t="s">
        <v>66</v>
      </c>
      <c r="S645" s="20">
        <v>5231</v>
      </c>
      <c r="T645" s="13">
        <v>23726</v>
      </c>
      <c r="U645" s="13">
        <v>2</v>
      </c>
      <c r="V645" s="13" t="s">
        <v>52</v>
      </c>
      <c r="W645" s="13" t="s">
        <v>36</v>
      </c>
      <c r="X645" s="13">
        <v>13</v>
      </c>
      <c r="Y645" s="13">
        <v>3</v>
      </c>
      <c r="Z645" s="13">
        <v>2</v>
      </c>
      <c r="AA645" s="13">
        <v>80</v>
      </c>
      <c r="AB645" s="13">
        <v>1</v>
      </c>
      <c r="AC645" s="13">
        <v>17</v>
      </c>
      <c r="AD645" s="13">
        <v>1</v>
      </c>
      <c r="AE645" s="13">
        <v>2</v>
      </c>
      <c r="AF645" s="14">
        <v>5</v>
      </c>
      <c r="AG645" s="13">
        <v>3</v>
      </c>
      <c r="AH645" s="13">
        <v>1</v>
      </c>
      <c r="AI645" s="13">
        <v>3</v>
      </c>
      <c r="AJ645" s="13" t="str">
        <f t="shared" si="10"/>
        <v>40-49</v>
      </c>
      <c r="AK645" s="13" t="str">
        <f>IF(tblCleanData[[#This Row],[MonthlyIncome]]&lt;5000, "Low Income", IF(tblCleanData[[#This Row],[MonthlyIncome]]&lt;15000, "Medium Income", "High Income"))</f>
        <v>Medium Income</v>
      </c>
      <c r="AL645" s="13">
        <f>IF(tblCleanData[[#This Row],[Attrition]]="No", 0,1)</f>
        <v>0</v>
      </c>
      <c r="AM645" s="13">
        <f>IF(tblCleanData[[#This Row],[OverTime]] = "No", 0, 1)</f>
        <v>1</v>
      </c>
      <c r="AN645" s="13" t="str">
        <f>CHOOSE(tblCleanData[[#This Row],[Education]], "Below College","College","Bachelor","Master","Doctor")</f>
        <v>Bachelor</v>
      </c>
      <c r="AO645" s="13" t="str">
        <f>VLOOKUP(tblCleanData[[#This Row],[EmployeeNumber]],tblHelpers[],15,TRUE)</f>
        <v>High Risk</v>
      </c>
      <c r="AP645" s="13">
        <f>VLOOKUP(tblCleanData[[#This Row],[EmployeeNumber]],tblHelpers[],14,0)</f>
        <v>61</v>
      </c>
    </row>
    <row r="646" spans="1:42" x14ac:dyDescent="0.25">
      <c r="A646" s="13">
        <v>31</v>
      </c>
      <c r="B646" s="13" t="s">
        <v>59</v>
      </c>
      <c r="C646" s="13" t="s">
        <v>37</v>
      </c>
      <c r="D646" s="13">
        <v>1222</v>
      </c>
      <c r="E646" s="13" t="s">
        <v>62</v>
      </c>
      <c r="F646" s="13">
        <v>11</v>
      </c>
      <c r="G646" s="13">
        <v>4</v>
      </c>
      <c r="H646" s="13" t="s">
        <v>42</v>
      </c>
      <c r="I646" s="13">
        <v>1</v>
      </c>
      <c r="J646" s="13">
        <v>895</v>
      </c>
      <c r="K646" s="13">
        <v>4</v>
      </c>
      <c r="L646" s="13" t="s">
        <v>63</v>
      </c>
      <c r="M646" s="13">
        <v>48</v>
      </c>
      <c r="N646" s="13">
        <v>3</v>
      </c>
      <c r="O646" s="13">
        <v>1</v>
      </c>
      <c r="P646" s="13" t="s">
        <v>65</v>
      </c>
      <c r="Q646" s="13">
        <v>4</v>
      </c>
      <c r="R646" s="13" t="s">
        <v>66</v>
      </c>
      <c r="S646" s="20">
        <v>2356</v>
      </c>
      <c r="T646" s="13">
        <v>14871</v>
      </c>
      <c r="U646" s="13">
        <v>3</v>
      </c>
      <c r="V646" s="13" t="s">
        <v>52</v>
      </c>
      <c r="W646" s="13" t="s">
        <v>36</v>
      </c>
      <c r="X646" s="13">
        <v>19</v>
      </c>
      <c r="Y646" s="13">
        <v>3</v>
      </c>
      <c r="Z646" s="13">
        <v>2</v>
      </c>
      <c r="AA646" s="13">
        <v>80</v>
      </c>
      <c r="AB646" s="13">
        <v>1</v>
      </c>
      <c r="AC646" s="13">
        <v>8</v>
      </c>
      <c r="AD646" s="13">
        <v>2</v>
      </c>
      <c r="AE646" s="13">
        <v>3</v>
      </c>
      <c r="AF646" s="14">
        <v>6</v>
      </c>
      <c r="AG646" s="13">
        <v>4</v>
      </c>
      <c r="AH646" s="13">
        <v>0</v>
      </c>
      <c r="AI646" s="13">
        <v>2</v>
      </c>
      <c r="AJ646" s="13" t="str">
        <f t="shared" si="10"/>
        <v>30-39</v>
      </c>
      <c r="AK646" s="13" t="str">
        <f>IF(tblCleanData[[#This Row],[MonthlyIncome]]&lt;5000, "Low Income", IF(tblCleanData[[#This Row],[MonthlyIncome]]&lt;15000, "Medium Income", "High Income"))</f>
        <v>Low Income</v>
      </c>
      <c r="AL646" s="13">
        <f>IF(tblCleanData[[#This Row],[Attrition]]="No", 0,1)</f>
        <v>0</v>
      </c>
      <c r="AM646" s="13">
        <f>IF(tblCleanData[[#This Row],[OverTime]] = "No", 0, 1)</f>
        <v>1</v>
      </c>
      <c r="AN646" s="13" t="str">
        <f>CHOOSE(tblCleanData[[#This Row],[Education]], "Below College","College","Bachelor","Master","Doctor")</f>
        <v>Master</v>
      </c>
      <c r="AO646" s="13" t="str">
        <f>VLOOKUP(tblCleanData[[#This Row],[EmployeeNumber]],tblHelpers[],15,TRUE)</f>
        <v>High Risk</v>
      </c>
      <c r="AP646" s="13">
        <f>VLOOKUP(tblCleanData[[#This Row],[EmployeeNumber]],tblHelpers[],14,0)</f>
        <v>64</v>
      </c>
    </row>
    <row r="647" spans="1:42" x14ac:dyDescent="0.25">
      <c r="A647" s="13">
        <v>29</v>
      </c>
      <c r="B647" s="13" t="s">
        <v>36</v>
      </c>
      <c r="C647" s="13" t="s">
        <v>37</v>
      </c>
      <c r="D647" s="13">
        <v>341</v>
      </c>
      <c r="E647" s="13" t="s">
        <v>39</v>
      </c>
      <c r="F647" s="13">
        <v>1</v>
      </c>
      <c r="G647" s="13">
        <v>3</v>
      </c>
      <c r="H647" s="13" t="s">
        <v>87</v>
      </c>
      <c r="I647" s="13">
        <v>1</v>
      </c>
      <c r="J647" s="13">
        <v>896</v>
      </c>
      <c r="K647" s="13">
        <v>2</v>
      </c>
      <c r="L647" s="13" t="s">
        <v>43</v>
      </c>
      <c r="M647" s="13">
        <v>48</v>
      </c>
      <c r="N647" s="13">
        <v>2</v>
      </c>
      <c r="O647" s="13">
        <v>1</v>
      </c>
      <c r="P647" s="13" t="s">
        <v>182</v>
      </c>
      <c r="Q647" s="13">
        <v>3</v>
      </c>
      <c r="R647" s="13" t="s">
        <v>109</v>
      </c>
      <c r="S647" s="20">
        <v>2800</v>
      </c>
      <c r="T647" s="13">
        <v>23522</v>
      </c>
      <c r="U647" s="13">
        <v>6</v>
      </c>
      <c r="V647" s="13" t="s">
        <v>52</v>
      </c>
      <c r="W647" s="13" t="s">
        <v>36</v>
      </c>
      <c r="X647" s="13">
        <v>19</v>
      </c>
      <c r="Y647" s="13">
        <v>3</v>
      </c>
      <c r="Z647" s="13">
        <v>3</v>
      </c>
      <c r="AA647" s="13">
        <v>80</v>
      </c>
      <c r="AB647" s="13">
        <v>3</v>
      </c>
      <c r="AC647" s="13">
        <v>5</v>
      </c>
      <c r="AD647" s="13">
        <v>3</v>
      </c>
      <c r="AE647" s="13">
        <v>3</v>
      </c>
      <c r="AF647" s="14">
        <v>3</v>
      </c>
      <c r="AG647" s="13">
        <v>2</v>
      </c>
      <c r="AH647" s="13">
        <v>0</v>
      </c>
      <c r="AI647" s="13">
        <v>2</v>
      </c>
      <c r="AJ647" s="13" t="str">
        <f t="shared" si="10"/>
        <v>Under 30</v>
      </c>
      <c r="AK647" s="13" t="str">
        <f>IF(tblCleanData[[#This Row],[MonthlyIncome]]&lt;5000, "Low Income", IF(tblCleanData[[#This Row],[MonthlyIncome]]&lt;15000, "Medium Income", "High Income"))</f>
        <v>Low Income</v>
      </c>
      <c r="AL647" s="13">
        <f>IF(tblCleanData[[#This Row],[Attrition]]="No", 0,1)</f>
        <v>1</v>
      </c>
      <c r="AM647" s="13">
        <f>IF(tblCleanData[[#This Row],[OverTime]] = "No", 0, 1)</f>
        <v>1</v>
      </c>
      <c r="AN647" s="13" t="str">
        <f>CHOOSE(tblCleanData[[#This Row],[Education]], "Below College","College","Bachelor","Master","Doctor")</f>
        <v>Bachelor</v>
      </c>
      <c r="AO647" s="13" t="str">
        <f>VLOOKUP(tblCleanData[[#This Row],[EmployeeNumber]],tblHelpers[],15,TRUE)</f>
        <v>High Risk</v>
      </c>
      <c r="AP647" s="13">
        <f>VLOOKUP(tblCleanData[[#This Row],[EmployeeNumber]],tblHelpers[],14,0)</f>
        <v>88</v>
      </c>
    </row>
    <row r="648" spans="1:42" x14ac:dyDescent="0.25">
      <c r="A648" s="13">
        <v>53</v>
      </c>
      <c r="B648" s="13" t="s">
        <v>59</v>
      </c>
      <c r="C648" s="13" t="s">
        <v>37</v>
      </c>
      <c r="D648" s="13">
        <v>868</v>
      </c>
      <c r="E648" s="13" t="s">
        <v>39</v>
      </c>
      <c r="F648" s="13">
        <v>8</v>
      </c>
      <c r="G648" s="13">
        <v>3</v>
      </c>
      <c r="H648" s="13" t="s">
        <v>206</v>
      </c>
      <c r="I648" s="13">
        <v>1</v>
      </c>
      <c r="J648" s="13">
        <v>897</v>
      </c>
      <c r="K648" s="13">
        <v>1</v>
      </c>
      <c r="L648" s="13" t="s">
        <v>63</v>
      </c>
      <c r="M648" s="13">
        <v>73</v>
      </c>
      <c r="N648" s="13">
        <v>3</v>
      </c>
      <c r="O648" s="13">
        <v>4</v>
      </c>
      <c r="P648" s="13" t="s">
        <v>46</v>
      </c>
      <c r="Q648" s="13">
        <v>4</v>
      </c>
      <c r="R648" s="13" t="s">
        <v>66</v>
      </c>
      <c r="S648" s="20">
        <v>11836</v>
      </c>
      <c r="T648" s="13">
        <v>22789</v>
      </c>
      <c r="U648" s="13">
        <v>5</v>
      </c>
      <c r="V648" s="13" t="s">
        <v>52</v>
      </c>
      <c r="W648" s="13" t="s">
        <v>59</v>
      </c>
      <c r="X648" s="13">
        <v>14</v>
      </c>
      <c r="Y648" s="13">
        <v>3</v>
      </c>
      <c r="Z648" s="13">
        <v>3</v>
      </c>
      <c r="AA648" s="13">
        <v>80</v>
      </c>
      <c r="AB648" s="13">
        <v>1</v>
      </c>
      <c r="AC648" s="13">
        <v>28</v>
      </c>
      <c r="AD648" s="13">
        <v>3</v>
      </c>
      <c r="AE648" s="13">
        <v>3</v>
      </c>
      <c r="AF648" s="14">
        <v>2</v>
      </c>
      <c r="AG648" s="13">
        <v>0</v>
      </c>
      <c r="AH648" s="13">
        <v>2</v>
      </c>
      <c r="AI648" s="13">
        <v>2</v>
      </c>
      <c r="AJ648" s="13" t="str">
        <f t="shared" si="10"/>
        <v>50+</v>
      </c>
      <c r="AK648" s="13" t="str">
        <f>IF(tblCleanData[[#This Row],[MonthlyIncome]]&lt;5000, "Low Income", IF(tblCleanData[[#This Row],[MonthlyIncome]]&lt;15000, "Medium Income", "High Income"))</f>
        <v>Medium Income</v>
      </c>
      <c r="AL648" s="13">
        <f>IF(tblCleanData[[#This Row],[Attrition]]="No", 0,1)</f>
        <v>0</v>
      </c>
      <c r="AM648" s="13">
        <f>IF(tblCleanData[[#This Row],[OverTime]] = "No", 0, 1)</f>
        <v>0</v>
      </c>
      <c r="AN648" s="13" t="str">
        <f>CHOOSE(tblCleanData[[#This Row],[Education]], "Below College","College","Bachelor","Master","Doctor")</f>
        <v>Bachelor</v>
      </c>
      <c r="AO648" s="13" t="str">
        <f>VLOOKUP(tblCleanData[[#This Row],[EmployeeNumber]],tblHelpers[],15,TRUE)</f>
        <v>Medium Risk</v>
      </c>
      <c r="AP648" s="13">
        <f>VLOOKUP(tblCleanData[[#This Row],[EmployeeNumber]],tblHelpers[],14,0)</f>
        <v>51</v>
      </c>
    </row>
    <row r="649" spans="1:42" x14ac:dyDescent="0.25">
      <c r="A649" s="13">
        <v>35</v>
      </c>
      <c r="B649" s="13" t="s">
        <v>59</v>
      </c>
      <c r="C649" s="13" t="s">
        <v>37</v>
      </c>
      <c r="D649" s="13">
        <v>672</v>
      </c>
      <c r="E649" s="13" t="s">
        <v>62</v>
      </c>
      <c r="F649" s="13">
        <v>25</v>
      </c>
      <c r="G649" s="13">
        <v>3</v>
      </c>
      <c r="H649" s="13" t="s">
        <v>228</v>
      </c>
      <c r="I649" s="13">
        <v>1</v>
      </c>
      <c r="J649" s="13">
        <v>899</v>
      </c>
      <c r="K649" s="13">
        <v>4</v>
      </c>
      <c r="L649" s="13" t="s">
        <v>63</v>
      </c>
      <c r="M649" s="13">
        <v>78</v>
      </c>
      <c r="N649" s="13">
        <v>2</v>
      </c>
      <c r="O649" s="13">
        <v>3</v>
      </c>
      <c r="P649" s="13" t="s">
        <v>116</v>
      </c>
      <c r="Q649" s="13">
        <v>2</v>
      </c>
      <c r="R649" s="13" t="s">
        <v>66</v>
      </c>
      <c r="S649" s="20">
        <v>10903</v>
      </c>
      <c r="T649" s="13">
        <v>9129</v>
      </c>
      <c r="U649" s="13">
        <v>3</v>
      </c>
      <c r="V649" s="13" t="s">
        <v>52</v>
      </c>
      <c r="W649" s="13" t="s">
        <v>59</v>
      </c>
      <c r="X649" s="13">
        <v>16</v>
      </c>
      <c r="Y649" s="13">
        <v>3</v>
      </c>
      <c r="Z649" s="13">
        <v>1</v>
      </c>
      <c r="AA649" s="13">
        <v>80</v>
      </c>
      <c r="AB649" s="13">
        <v>0</v>
      </c>
      <c r="AC649" s="13">
        <v>16</v>
      </c>
      <c r="AD649" s="13">
        <v>2</v>
      </c>
      <c r="AE649" s="13">
        <v>3</v>
      </c>
      <c r="AF649" s="14">
        <v>13</v>
      </c>
      <c r="AG649" s="13">
        <v>10</v>
      </c>
      <c r="AH649" s="13">
        <v>4</v>
      </c>
      <c r="AI649" s="13">
        <v>8</v>
      </c>
      <c r="AJ649" s="13" t="str">
        <f t="shared" si="10"/>
        <v>30-39</v>
      </c>
      <c r="AK649" s="13" t="str">
        <f>IF(tblCleanData[[#This Row],[MonthlyIncome]]&lt;5000, "Low Income", IF(tblCleanData[[#This Row],[MonthlyIncome]]&lt;15000, "Medium Income", "High Income"))</f>
        <v>Medium Income</v>
      </c>
      <c r="AL649" s="13">
        <f>IF(tblCleanData[[#This Row],[Attrition]]="No", 0,1)</f>
        <v>0</v>
      </c>
      <c r="AM649" s="13">
        <f>IF(tblCleanData[[#This Row],[OverTime]] = "No", 0, 1)</f>
        <v>0</v>
      </c>
      <c r="AN649" s="13" t="str">
        <f>CHOOSE(tblCleanData[[#This Row],[Education]], "Below College","College","Bachelor","Master","Doctor")</f>
        <v>Bachelor</v>
      </c>
      <c r="AO649" s="13" t="str">
        <f>VLOOKUP(tblCleanData[[#This Row],[EmployeeNumber]],tblHelpers[],15,TRUE)</f>
        <v>Medium Risk</v>
      </c>
      <c r="AP649" s="13">
        <f>VLOOKUP(tblCleanData[[#This Row],[EmployeeNumber]],tblHelpers[],14,0)</f>
        <v>47</v>
      </c>
    </row>
    <row r="650" spans="1:42" x14ac:dyDescent="0.25">
      <c r="A650" s="13">
        <v>37</v>
      </c>
      <c r="B650" s="13" t="s">
        <v>59</v>
      </c>
      <c r="C650" s="13" t="s">
        <v>60</v>
      </c>
      <c r="D650" s="13">
        <v>1231</v>
      </c>
      <c r="E650" s="13" t="s">
        <v>39</v>
      </c>
      <c r="F650" s="13">
        <v>21</v>
      </c>
      <c r="G650" s="13">
        <v>2</v>
      </c>
      <c r="H650" s="13" t="s">
        <v>87</v>
      </c>
      <c r="I650" s="13">
        <v>1</v>
      </c>
      <c r="J650" s="13">
        <v>900</v>
      </c>
      <c r="K650" s="13">
        <v>3</v>
      </c>
      <c r="L650" s="13" t="s">
        <v>43</v>
      </c>
      <c r="M650" s="13">
        <v>54</v>
      </c>
      <c r="N650" s="13">
        <v>3</v>
      </c>
      <c r="O650" s="13">
        <v>1</v>
      </c>
      <c r="P650" s="13" t="s">
        <v>182</v>
      </c>
      <c r="Q650" s="13">
        <v>4</v>
      </c>
      <c r="R650" s="13" t="s">
        <v>66</v>
      </c>
      <c r="S650" s="20">
        <v>2973</v>
      </c>
      <c r="T650" s="13">
        <v>21222</v>
      </c>
      <c r="U650" s="13">
        <v>5</v>
      </c>
      <c r="V650" s="13" t="s">
        <v>52</v>
      </c>
      <c r="W650" s="13" t="s">
        <v>59</v>
      </c>
      <c r="X650" s="13">
        <v>15</v>
      </c>
      <c r="Y650" s="13">
        <v>3</v>
      </c>
      <c r="Z650" s="13">
        <v>2</v>
      </c>
      <c r="AA650" s="13">
        <v>80</v>
      </c>
      <c r="AB650" s="13">
        <v>1</v>
      </c>
      <c r="AC650" s="13">
        <v>10</v>
      </c>
      <c r="AD650" s="13">
        <v>3</v>
      </c>
      <c r="AE650" s="13">
        <v>3</v>
      </c>
      <c r="AF650" s="14">
        <v>5</v>
      </c>
      <c r="AG650" s="13">
        <v>4</v>
      </c>
      <c r="AH650" s="13">
        <v>0</v>
      </c>
      <c r="AI650" s="13">
        <v>0</v>
      </c>
      <c r="AJ650" s="13" t="str">
        <f t="shared" si="10"/>
        <v>30-39</v>
      </c>
      <c r="AK650" s="13" t="str">
        <f>IF(tblCleanData[[#This Row],[MonthlyIncome]]&lt;5000, "Low Income", IF(tblCleanData[[#This Row],[MonthlyIncome]]&lt;15000, "Medium Income", "High Income"))</f>
        <v>Low Income</v>
      </c>
      <c r="AL650" s="13">
        <f>IF(tblCleanData[[#This Row],[Attrition]]="No", 0,1)</f>
        <v>0</v>
      </c>
      <c r="AM650" s="13">
        <f>IF(tblCleanData[[#This Row],[OverTime]] = "No", 0, 1)</f>
        <v>0</v>
      </c>
      <c r="AN650" s="13" t="str">
        <f>CHOOSE(tblCleanData[[#This Row],[Education]], "Below College","College","Bachelor","Master","Doctor")</f>
        <v>College</v>
      </c>
      <c r="AO650" s="13" t="str">
        <f>VLOOKUP(tblCleanData[[#This Row],[EmployeeNumber]],tblHelpers[],15,TRUE)</f>
        <v>Medium Risk</v>
      </c>
      <c r="AP650" s="13">
        <f>VLOOKUP(tblCleanData[[#This Row],[EmployeeNumber]],tblHelpers[],14,0)</f>
        <v>46</v>
      </c>
    </row>
    <row r="651" spans="1:42" x14ac:dyDescent="0.25">
      <c r="A651" s="13">
        <v>53</v>
      </c>
      <c r="B651" s="13" t="s">
        <v>59</v>
      </c>
      <c r="C651" s="13" t="s">
        <v>37</v>
      </c>
      <c r="D651" s="13">
        <v>102</v>
      </c>
      <c r="E651" s="13" t="s">
        <v>62</v>
      </c>
      <c r="F651" s="13">
        <v>23</v>
      </c>
      <c r="G651" s="13">
        <v>4</v>
      </c>
      <c r="H651" s="13" t="s">
        <v>42</v>
      </c>
      <c r="I651" s="13">
        <v>1</v>
      </c>
      <c r="J651" s="13">
        <v>901</v>
      </c>
      <c r="K651" s="13">
        <v>4</v>
      </c>
      <c r="L651" s="13" t="s">
        <v>43</v>
      </c>
      <c r="M651" s="13">
        <v>72</v>
      </c>
      <c r="N651" s="13">
        <v>3</v>
      </c>
      <c r="O651" s="13">
        <v>4</v>
      </c>
      <c r="P651" s="13" t="s">
        <v>186</v>
      </c>
      <c r="Q651" s="13">
        <v>4</v>
      </c>
      <c r="R651" s="13" t="s">
        <v>48</v>
      </c>
      <c r="S651" s="20">
        <v>14275</v>
      </c>
      <c r="T651" s="13">
        <v>20206</v>
      </c>
      <c r="U651" s="13">
        <v>6</v>
      </c>
      <c r="V651" s="13" t="s">
        <v>52</v>
      </c>
      <c r="W651" s="13" t="s">
        <v>59</v>
      </c>
      <c r="X651" s="13">
        <v>18</v>
      </c>
      <c r="Y651" s="13">
        <v>3</v>
      </c>
      <c r="Z651" s="13">
        <v>3</v>
      </c>
      <c r="AA651" s="13">
        <v>80</v>
      </c>
      <c r="AB651" s="13">
        <v>0</v>
      </c>
      <c r="AC651" s="13">
        <v>33</v>
      </c>
      <c r="AD651" s="13">
        <v>0</v>
      </c>
      <c r="AE651" s="13">
        <v>3</v>
      </c>
      <c r="AF651" s="14">
        <v>12</v>
      </c>
      <c r="AG651" s="13">
        <v>9</v>
      </c>
      <c r="AH651" s="13">
        <v>3</v>
      </c>
      <c r="AI651" s="13">
        <v>8</v>
      </c>
      <c r="AJ651" s="13" t="str">
        <f t="shared" si="10"/>
        <v>50+</v>
      </c>
      <c r="AK651" s="13" t="str">
        <f>IF(tblCleanData[[#This Row],[MonthlyIncome]]&lt;5000, "Low Income", IF(tblCleanData[[#This Row],[MonthlyIncome]]&lt;15000, "Medium Income", "High Income"))</f>
        <v>Medium Income</v>
      </c>
      <c r="AL651" s="13">
        <f>IF(tblCleanData[[#This Row],[Attrition]]="No", 0,1)</f>
        <v>0</v>
      </c>
      <c r="AM651" s="13">
        <f>IF(tblCleanData[[#This Row],[OverTime]] = "No", 0, 1)</f>
        <v>0</v>
      </c>
      <c r="AN651" s="13" t="str">
        <f>CHOOSE(tblCleanData[[#This Row],[Education]], "Below College","College","Bachelor","Master","Doctor")</f>
        <v>Master</v>
      </c>
      <c r="AO651" s="13" t="str">
        <f>VLOOKUP(tblCleanData[[#This Row],[EmployeeNumber]],tblHelpers[],15,TRUE)</f>
        <v>Low Risk</v>
      </c>
      <c r="AP651" s="13">
        <f>VLOOKUP(tblCleanData[[#This Row],[EmployeeNumber]],tblHelpers[],14,0)</f>
        <v>29</v>
      </c>
    </row>
    <row r="652" spans="1:42" x14ac:dyDescent="0.25">
      <c r="A652" s="13">
        <v>43</v>
      </c>
      <c r="B652" s="13" t="s">
        <v>59</v>
      </c>
      <c r="C652" s="13" t="s">
        <v>60</v>
      </c>
      <c r="D652" s="13">
        <v>422</v>
      </c>
      <c r="E652" s="13" t="s">
        <v>62</v>
      </c>
      <c r="F652" s="13">
        <v>1</v>
      </c>
      <c r="G652" s="13">
        <v>3</v>
      </c>
      <c r="H652" s="13" t="s">
        <v>42</v>
      </c>
      <c r="I652" s="13">
        <v>1</v>
      </c>
      <c r="J652" s="13">
        <v>902</v>
      </c>
      <c r="K652" s="13">
        <v>4</v>
      </c>
      <c r="L652" s="13" t="s">
        <v>43</v>
      </c>
      <c r="M652" s="13">
        <v>33</v>
      </c>
      <c r="N652" s="13">
        <v>3</v>
      </c>
      <c r="O652" s="13">
        <v>2</v>
      </c>
      <c r="P652" s="13" t="s">
        <v>122</v>
      </c>
      <c r="Q652" s="13">
        <v>4</v>
      </c>
      <c r="R652" s="13" t="s">
        <v>66</v>
      </c>
      <c r="S652" s="20">
        <v>5562</v>
      </c>
      <c r="T652" s="13">
        <v>21782</v>
      </c>
      <c r="U652" s="13">
        <v>4</v>
      </c>
      <c r="V652" s="13" t="s">
        <v>52</v>
      </c>
      <c r="W652" s="13" t="s">
        <v>59</v>
      </c>
      <c r="X652" s="13">
        <v>13</v>
      </c>
      <c r="Y652" s="13">
        <v>3</v>
      </c>
      <c r="Z652" s="13">
        <v>2</v>
      </c>
      <c r="AA652" s="13">
        <v>80</v>
      </c>
      <c r="AB652" s="13">
        <v>1</v>
      </c>
      <c r="AC652" s="13">
        <v>12</v>
      </c>
      <c r="AD652" s="13">
        <v>2</v>
      </c>
      <c r="AE652" s="13">
        <v>2</v>
      </c>
      <c r="AF652" s="14">
        <v>5</v>
      </c>
      <c r="AG652" s="13">
        <v>2</v>
      </c>
      <c r="AH652" s="13">
        <v>2</v>
      </c>
      <c r="AI652" s="13">
        <v>2</v>
      </c>
      <c r="AJ652" s="13" t="str">
        <f t="shared" si="10"/>
        <v>40-49</v>
      </c>
      <c r="AK652" s="13" t="str">
        <f>IF(tblCleanData[[#This Row],[MonthlyIncome]]&lt;5000, "Low Income", IF(tblCleanData[[#This Row],[MonthlyIncome]]&lt;15000, "Medium Income", "High Income"))</f>
        <v>Medium Income</v>
      </c>
      <c r="AL652" s="13">
        <f>IF(tblCleanData[[#This Row],[Attrition]]="No", 0,1)</f>
        <v>0</v>
      </c>
      <c r="AM652" s="13">
        <f>IF(tblCleanData[[#This Row],[OverTime]] = "No", 0, 1)</f>
        <v>0</v>
      </c>
      <c r="AN652" s="13" t="str">
        <f>CHOOSE(tblCleanData[[#This Row],[Education]], "Below College","College","Bachelor","Master","Doctor")</f>
        <v>Bachelor</v>
      </c>
      <c r="AO652" s="13" t="str">
        <f>VLOOKUP(tblCleanData[[#This Row],[EmployeeNumber]],tblHelpers[],15,TRUE)</f>
        <v>Medium Risk</v>
      </c>
      <c r="AP652" s="13">
        <f>VLOOKUP(tblCleanData[[#This Row],[EmployeeNumber]],tblHelpers[],14,0)</f>
        <v>36</v>
      </c>
    </row>
    <row r="653" spans="1:42" x14ac:dyDescent="0.25">
      <c r="A653" s="13">
        <v>47</v>
      </c>
      <c r="B653" s="13" t="s">
        <v>59</v>
      </c>
      <c r="C653" s="13" t="s">
        <v>37</v>
      </c>
      <c r="D653" s="13">
        <v>249</v>
      </c>
      <c r="E653" s="13" t="s">
        <v>39</v>
      </c>
      <c r="F653" s="13">
        <v>2</v>
      </c>
      <c r="G653" s="13">
        <v>2</v>
      </c>
      <c r="H653" s="13" t="s">
        <v>206</v>
      </c>
      <c r="I653" s="13">
        <v>1</v>
      </c>
      <c r="J653" s="13">
        <v>903</v>
      </c>
      <c r="K653" s="13">
        <v>3</v>
      </c>
      <c r="L653" s="13" t="s">
        <v>43</v>
      </c>
      <c r="M653" s="13">
        <v>35</v>
      </c>
      <c r="N653" s="13">
        <v>3</v>
      </c>
      <c r="O653" s="13">
        <v>2</v>
      </c>
      <c r="P653" s="13" t="s">
        <v>46</v>
      </c>
      <c r="Q653" s="13">
        <v>4</v>
      </c>
      <c r="R653" s="13" t="s">
        <v>66</v>
      </c>
      <c r="S653" s="20">
        <v>4537</v>
      </c>
      <c r="T653" s="13">
        <v>17783</v>
      </c>
      <c r="U653" s="13">
        <v>0</v>
      </c>
      <c r="V653" s="13" t="s">
        <v>52</v>
      </c>
      <c r="W653" s="13" t="s">
        <v>36</v>
      </c>
      <c r="X653" s="13">
        <v>22</v>
      </c>
      <c r="Y653" s="13">
        <v>4</v>
      </c>
      <c r="Z653" s="13">
        <v>1</v>
      </c>
      <c r="AA653" s="13">
        <v>80</v>
      </c>
      <c r="AB653" s="13">
        <v>1</v>
      </c>
      <c r="AC653" s="13">
        <v>8</v>
      </c>
      <c r="AD653" s="13">
        <v>2</v>
      </c>
      <c r="AE653" s="13">
        <v>3</v>
      </c>
      <c r="AF653" s="14">
        <v>7</v>
      </c>
      <c r="AG653" s="13">
        <v>6</v>
      </c>
      <c r="AH653" s="13">
        <v>7</v>
      </c>
      <c r="AI653" s="13">
        <v>7</v>
      </c>
      <c r="AJ653" s="13" t="str">
        <f t="shared" si="10"/>
        <v>40-49</v>
      </c>
      <c r="AK653" s="13" t="str">
        <f>IF(tblCleanData[[#This Row],[MonthlyIncome]]&lt;5000, "Low Income", IF(tblCleanData[[#This Row],[MonthlyIncome]]&lt;15000, "Medium Income", "High Income"))</f>
        <v>Low Income</v>
      </c>
      <c r="AL653" s="13">
        <f>IF(tblCleanData[[#This Row],[Attrition]]="No", 0,1)</f>
        <v>0</v>
      </c>
      <c r="AM653" s="13">
        <f>IF(tblCleanData[[#This Row],[OverTime]] = "No", 0, 1)</f>
        <v>1</v>
      </c>
      <c r="AN653" s="13" t="str">
        <f>CHOOSE(tblCleanData[[#This Row],[Education]], "Below College","College","Bachelor","Master","Doctor")</f>
        <v>College</v>
      </c>
      <c r="AO653" s="13" t="str">
        <f>VLOOKUP(tblCleanData[[#This Row],[EmployeeNumber]],tblHelpers[],15,TRUE)</f>
        <v>Medium Risk</v>
      </c>
      <c r="AP653" s="13">
        <f>VLOOKUP(tblCleanData[[#This Row],[EmployeeNumber]],tblHelpers[],14,0)</f>
        <v>54</v>
      </c>
    </row>
    <row r="654" spans="1:42" x14ac:dyDescent="0.25">
      <c r="A654" s="13">
        <v>37</v>
      </c>
      <c r="B654" s="13" t="s">
        <v>59</v>
      </c>
      <c r="C654" s="13" t="s">
        <v>161</v>
      </c>
      <c r="D654" s="13">
        <v>1252</v>
      </c>
      <c r="E654" s="13" t="s">
        <v>39</v>
      </c>
      <c r="F654" s="13">
        <v>19</v>
      </c>
      <c r="G654" s="13">
        <v>2</v>
      </c>
      <c r="H654" s="13" t="s">
        <v>87</v>
      </c>
      <c r="I654" s="13">
        <v>1</v>
      </c>
      <c r="J654" s="13">
        <v>904</v>
      </c>
      <c r="K654" s="13">
        <v>1</v>
      </c>
      <c r="L654" s="13" t="s">
        <v>63</v>
      </c>
      <c r="M654" s="13">
        <v>32</v>
      </c>
      <c r="N654" s="13">
        <v>3</v>
      </c>
      <c r="O654" s="13">
        <v>3</v>
      </c>
      <c r="P654" s="13" t="s">
        <v>46</v>
      </c>
      <c r="Q654" s="13">
        <v>2</v>
      </c>
      <c r="R654" s="13" t="s">
        <v>48</v>
      </c>
      <c r="S654" s="20">
        <v>7642</v>
      </c>
      <c r="T654" s="13">
        <v>4814</v>
      </c>
      <c r="U654" s="13">
        <v>1</v>
      </c>
      <c r="V654" s="13" t="s">
        <v>52</v>
      </c>
      <c r="W654" s="13" t="s">
        <v>36</v>
      </c>
      <c r="X654" s="13">
        <v>13</v>
      </c>
      <c r="Y654" s="13">
        <v>3</v>
      </c>
      <c r="Z654" s="13">
        <v>4</v>
      </c>
      <c r="AA654" s="13">
        <v>80</v>
      </c>
      <c r="AB654" s="13">
        <v>0</v>
      </c>
      <c r="AC654" s="13">
        <v>10</v>
      </c>
      <c r="AD654" s="13">
        <v>2</v>
      </c>
      <c r="AE654" s="13">
        <v>3</v>
      </c>
      <c r="AF654" s="14">
        <v>10</v>
      </c>
      <c r="AG654" s="13">
        <v>0</v>
      </c>
      <c r="AH654" s="13">
        <v>0</v>
      </c>
      <c r="AI654" s="13">
        <v>9</v>
      </c>
      <c r="AJ654" s="13" t="str">
        <f t="shared" si="10"/>
        <v>30-39</v>
      </c>
      <c r="AK654" s="13" t="str">
        <f>IF(tblCleanData[[#This Row],[MonthlyIncome]]&lt;5000, "Low Income", IF(tblCleanData[[#This Row],[MonthlyIncome]]&lt;15000, "Medium Income", "High Income"))</f>
        <v>Medium Income</v>
      </c>
      <c r="AL654" s="13">
        <f>IF(tblCleanData[[#This Row],[Attrition]]="No", 0,1)</f>
        <v>0</v>
      </c>
      <c r="AM654" s="13">
        <f>IF(tblCleanData[[#This Row],[OverTime]] = "No", 0, 1)</f>
        <v>1</v>
      </c>
      <c r="AN654" s="13" t="str">
        <f>CHOOSE(tblCleanData[[#This Row],[Education]], "Below College","College","Bachelor","Master","Doctor")</f>
        <v>College</v>
      </c>
      <c r="AO654" s="13" t="str">
        <f>VLOOKUP(tblCleanData[[#This Row],[EmployeeNumber]],tblHelpers[],15,TRUE)</f>
        <v>High Risk</v>
      </c>
      <c r="AP654" s="13">
        <f>VLOOKUP(tblCleanData[[#This Row],[EmployeeNumber]],tblHelpers[],14,0)</f>
        <v>77</v>
      </c>
    </row>
    <row r="655" spans="1:42" x14ac:dyDescent="0.25">
      <c r="A655" s="13">
        <v>50</v>
      </c>
      <c r="B655" s="13" t="s">
        <v>59</v>
      </c>
      <c r="C655" s="13" t="s">
        <v>161</v>
      </c>
      <c r="D655" s="13">
        <v>881</v>
      </c>
      <c r="E655" s="13" t="s">
        <v>62</v>
      </c>
      <c r="F655" s="13">
        <v>2</v>
      </c>
      <c r="G655" s="13">
        <v>4</v>
      </c>
      <c r="H655" s="13" t="s">
        <v>42</v>
      </c>
      <c r="I655" s="13">
        <v>1</v>
      </c>
      <c r="J655" s="13">
        <v>905</v>
      </c>
      <c r="K655" s="13">
        <v>1</v>
      </c>
      <c r="L655" s="13" t="s">
        <v>63</v>
      </c>
      <c r="M655" s="13">
        <v>98</v>
      </c>
      <c r="N655" s="13">
        <v>3</v>
      </c>
      <c r="O655" s="13">
        <v>4</v>
      </c>
      <c r="P655" s="13" t="s">
        <v>169</v>
      </c>
      <c r="Q655" s="13">
        <v>1</v>
      </c>
      <c r="R655" s="13" t="s">
        <v>109</v>
      </c>
      <c r="S655" s="20">
        <v>17924</v>
      </c>
      <c r="T655" s="13">
        <v>4544</v>
      </c>
      <c r="U655" s="13">
        <v>1</v>
      </c>
      <c r="V655" s="13" t="s">
        <v>52</v>
      </c>
      <c r="W655" s="13" t="s">
        <v>59</v>
      </c>
      <c r="X655" s="13">
        <v>11</v>
      </c>
      <c r="Y655" s="13">
        <v>3</v>
      </c>
      <c r="Z655" s="13">
        <v>4</v>
      </c>
      <c r="AA655" s="13">
        <v>80</v>
      </c>
      <c r="AB655" s="13">
        <v>1</v>
      </c>
      <c r="AC655" s="13">
        <v>31</v>
      </c>
      <c r="AD655" s="13">
        <v>3</v>
      </c>
      <c r="AE655" s="13">
        <v>3</v>
      </c>
      <c r="AF655" s="14">
        <v>31</v>
      </c>
      <c r="AG655" s="13">
        <v>6</v>
      </c>
      <c r="AH655" s="13">
        <v>14</v>
      </c>
      <c r="AI655" s="13">
        <v>7</v>
      </c>
      <c r="AJ655" s="13" t="str">
        <f t="shared" si="10"/>
        <v>50+</v>
      </c>
      <c r="AK655" s="13" t="str">
        <f>IF(tblCleanData[[#This Row],[MonthlyIncome]]&lt;5000, "Low Income", IF(tblCleanData[[#This Row],[MonthlyIncome]]&lt;15000, "Medium Income", "High Income"))</f>
        <v>High Income</v>
      </c>
      <c r="AL655" s="13">
        <f>IF(tblCleanData[[#This Row],[Attrition]]="No", 0,1)</f>
        <v>0</v>
      </c>
      <c r="AM655" s="13">
        <f>IF(tblCleanData[[#This Row],[OverTime]] = "No", 0, 1)</f>
        <v>0</v>
      </c>
      <c r="AN655" s="13" t="str">
        <f>CHOOSE(tblCleanData[[#This Row],[Education]], "Below College","College","Bachelor","Master","Doctor")</f>
        <v>Master</v>
      </c>
      <c r="AO655" s="13" t="str">
        <f>VLOOKUP(tblCleanData[[#This Row],[EmployeeNumber]],tblHelpers[],15,TRUE)</f>
        <v>Medium Risk</v>
      </c>
      <c r="AP655" s="13">
        <f>VLOOKUP(tblCleanData[[#This Row],[EmployeeNumber]],tblHelpers[],14,0)</f>
        <v>48</v>
      </c>
    </row>
    <row r="656" spans="1:42" x14ac:dyDescent="0.25">
      <c r="A656" s="13">
        <v>39</v>
      </c>
      <c r="B656" s="13" t="s">
        <v>59</v>
      </c>
      <c r="C656" s="13" t="s">
        <v>37</v>
      </c>
      <c r="D656" s="13">
        <v>1383</v>
      </c>
      <c r="E656" s="13" t="s">
        <v>397</v>
      </c>
      <c r="F656" s="13">
        <v>2</v>
      </c>
      <c r="G656" s="13">
        <v>3</v>
      </c>
      <c r="H656" s="13" t="s">
        <v>42</v>
      </c>
      <c r="I656" s="13">
        <v>1</v>
      </c>
      <c r="J656" s="13">
        <v>909</v>
      </c>
      <c r="K656" s="13">
        <v>4</v>
      </c>
      <c r="L656" s="13" t="s">
        <v>43</v>
      </c>
      <c r="M656" s="13">
        <v>42</v>
      </c>
      <c r="N656" s="13">
        <v>2</v>
      </c>
      <c r="O656" s="13">
        <v>2</v>
      </c>
      <c r="P656" s="13" t="s">
        <v>397</v>
      </c>
      <c r="Q656" s="13">
        <v>4</v>
      </c>
      <c r="R656" s="13" t="s">
        <v>66</v>
      </c>
      <c r="S656" s="20">
        <v>5204</v>
      </c>
      <c r="T656" s="13">
        <v>7790</v>
      </c>
      <c r="U656" s="13">
        <v>8</v>
      </c>
      <c r="V656" s="13" t="s">
        <v>52</v>
      </c>
      <c r="W656" s="13" t="s">
        <v>59</v>
      </c>
      <c r="X656" s="13">
        <v>11</v>
      </c>
      <c r="Y656" s="13">
        <v>3</v>
      </c>
      <c r="Z656" s="13">
        <v>3</v>
      </c>
      <c r="AA656" s="13">
        <v>80</v>
      </c>
      <c r="AB656" s="13">
        <v>2</v>
      </c>
      <c r="AC656" s="13">
        <v>13</v>
      </c>
      <c r="AD656" s="13">
        <v>2</v>
      </c>
      <c r="AE656" s="13">
        <v>3</v>
      </c>
      <c r="AF656" s="14">
        <v>5</v>
      </c>
      <c r="AG656" s="13">
        <v>4</v>
      </c>
      <c r="AH656" s="13">
        <v>0</v>
      </c>
      <c r="AI656" s="13">
        <v>4</v>
      </c>
      <c r="AJ656" s="13" t="str">
        <f t="shared" si="10"/>
        <v>30-39</v>
      </c>
      <c r="AK656" s="13" t="str">
        <f>IF(tblCleanData[[#This Row],[MonthlyIncome]]&lt;5000, "Low Income", IF(tblCleanData[[#This Row],[MonthlyIncome]]&lt;15000, "Medium Income", "High Income"))</f>
        <v>Medium Income</v>
      </c>
      <c r="AL656" s="13">
        <f>IF(tblCleanData[[#This Row],[Attrition]]="No", 0,1)</f>
        <v>0</v>
      </c>
      <c r="AM656" s="13">
        <f>IF(tblCleanData[[#This Row],[OverTime]] = "No", 0, 1)</f>
        <v>0</v>
      </c>
      <c r="AN656" s="13" t="str">
        <f>CHOOSE(tblCleanData[[#This Row],[Education]], "Below College","College","Bachelor","Master","Doctor")</f>
        <v>Bachelor</v>
      </c>
      <c r="AO656" s="13" t="str">
        <f>VLOOKUP(tblCleanData[[#This Row],[EmployeeNumber]],tblHelpers[],15,TRUE)</f>
        <v>Medium Risk</v>
      </c>
      <c r="AP656" s="13">
        <f>VLOOKUP(tblCleanData[[#This Row],[EmployeeNumber]],tblHelpers[],14,0)</f>
        <v>46</v>
      </c>
    </row>
    <row r="657" spans="1:42" x14ac:dyDescent="0.25">
      <c r="A657" s="13">
        <v>33</v>
      </c>
      <c r="B657" s="13" t="s">
        <v>59</v>
      </c>
      <c r="C657" s="13" t="s">
        <v>37</v>
      </c>
      <c r="D657" s="13">
        <v>1075</v>
      </c>
      <c r="E657" s="13" t="s">
        <v>397</v>
      </c>
      <c r="F657" s="13">
        <v>3</v>
      </c>
      <c r="G657" s="13">
        <v>2</v>
      </c>
      <c r="H657" s="13" t="s">
        <v>397</v>
      </c>
      <c r="I657" s="13">
        <v>1</v>
      </c>
      <c r="J657" s="13">
        <v>910</v>
      </c>
      <c r="K657" s="13">
        <v>4</v>
      </c>
      <c r="L657" s="13" t="s">
        <v>63</v>
      </c>
      <c r="M657" s="13">
        <v>57</v>
      </c>
      <c r="N657" s="13">
        <v>3</v>
      </c>
      <c r="O657" s="13">
        <v>1</v>
      </c>
      <c r="P657" s="13" t="s">
        <v>397</v>
      </c>
      <c r="Q657" s="13">
        <v>2</v>
      </c>
      <c r="R657" s="13" t="s">
        <v>109</v>
      </c>
      <c r="S657" s="20">
        <v>2277</v>
      </c>
      <c r="T657" s="13">
        <v>22650</v>
      </c>
      <c r="U657" s="13">
        <v>3</v>
      </c>
      <c r="V657" s="13" t="s">
        <v>52</v>
      </c>
      <c r="W657" s="13" t="s">
        <v>36</v>
      </c>
      <c r="X657" s="13">
        <v>11</v>
      </c>
      <c r="Y657" s="13">
        <v>3</v>
      </c>
      <c r="Z657" s="13">
        <v>3</v>
      </c>
      <c r="AA657" s="13">
        <v>80</v>
      </c>
      <c r="AB657" s="13">
        <v>1</v>
      </c>
      <c r="AC657" s="13">
        <v>7</v>
      </c>
      <c r="AD657" s="13">
        <v>4</v>
      </c>
      <c r="AE657" s="13">
        <v>4</v>
      </c>
      <c r="AF657" s="14">
        <v>4</v>
      </c>
      <c r="AG657" s="13">
        <v>3</v>
      </c>
      <c r="AH657" s="13">
        <v>0</v>
      </c>
      <c r="AI657" s="13">
        <v>3</v>
      </c>
      <c r="AJ657" s="13" t="str">
        <f t="shared" si="10"/>
        <v>30-39</v>
      </c>
      <c r="AK657" s="13" t="str">
        <f>IF(tblCleanData[[#This Row],[MonthlyIncome]]&lt;5000, "Low Income", IF(tblCleanData[[#This Row],[MonthlyIncome]]&lt;15000, "Medium Income", "High Income"))</f>
        <v>Low Income</v>
      </c>
      <c r="AL657" s="13">
        <f>IF(tblCleanData[[#This Row],[Attrition]]="No", 0,1)</f>
        <v>0</v>
      </c>
      <c r="AM657" s="13">
        <f>IF(tblCleanData[[#This Row],[OverTime]] = "No", 0, 1)</f>
        <v>1</v>
      </c>
      <c r="AN657" s="13" t="str">
        <f>CHOOSE(tblCleanData[[#This Row],[Education]], "Below College","College","Bachelor","Master","Doctor")</f>
        <v>College</v>
      </c>
      <c r="AO657" s="13" t="str">
        <f>VLOOKUP(tblCleanData[[#This Row],[EmployeeNumber]],tblHelpers[],15,TRUE)</f>
        <v>High Risk</v>
      </c>
      <c r="AP657" s="13">
        <f>VLOOKUP(tblCleanData[[#This Row],[EmployeeNumber]],tblHelpers[],14,0)</f>
        <v>84</v>
      </c>
    </row>
    <row r="658" spans="1:42" x14ac:dyDescent="0.25">
      <c r="A658" s="13">
        <v>32</v>
      </c>
      <c r="B658" s="13" t="s">
        <v>36</v>
      </c>
      <c r="C658" s="13" t="s">
        <v>37</v>
      </c>
      <c r="D658" s="13">
        <v>374</v>
      </c>
      <c r="E658" s="13" t="s">
        <v>62</v>
      </c>
      <c r="F658" s="13">
        <v>25</v>
      </c>
      <c r="G658" s="13">
        <v>4</v>
      </c>
      <c r="H658" s="13" t="s">
        <v>42</v>
      </c>
      <c r="I658" s="13">
        <v>1</v>
      </c>
      <c r="J658" s="13">
        <v>911</v>
      </c>
      <c r="K658" s="13">
        <v>1</v>
      </c>
      <c r="L658" s="13" t="s">
        <v>63</v>
      </c>
      <c r="M658" s="13">
        <v>87</v>
      </c>
      <c r="N658" s="13">
        <v>3</v>
      </c>
      <c r="O658" s="13">
        <v>1</v>
      </c>
      <c r="P658" s="13" t="s">
        <v>76</v>
      </c>
      <c r="Q658" s="13">
        <v>4</v>
      </c>
      <c r="R658" s="13" t="s">
        <v>48</v>
      </c>
      <c r="S658" s="20">
        <v>2795</v>
      </c>
      <c r="T658" s="13">
        <v>18016</v>
      </c>
      <c r="U658" s="13">
        <v>1</v>
      </c>
      <c r="V658" s="13" t="s">
        <v>52</v>
      </c>
      <c r="W658" s="13" t="s">
        <v>36</v>
      </c>
      <c r="X658" s="13">
        <v>24</v>
      </c>
      <c r="Y658" s="13">
        <v>4</v>
      </c>
      <c r="Z658" s="13">
        <v>3</v>
      </c>
      <c r="AA658" s="13">
        <v>80</v>
      </c>
      <c r="AB658" s="13">
        <v>0</v>
      </c>
      <c r="AC658" s="13">
        <v>1</v>
      </c>
      <c r="AD658" s="13">
        <v>2</v>
      </c>
      <c r="AE658" s="13">
        <v>1</v>
      </c>
      <c r="AF658" s="14">
        <v>1</v>
      </c>
      <c r="AG658" s="13">
        <v>0</v>
      </c>
      <c r="AH658" s="13">
        <v>0</v>
      </c>
      <c r="AI658" s="13">
        <v>1</v>
      </c>
      <c r="AJ658" s="13" t="str">
        <f t="shared" si="10"/>
        <v>30-39</v>
      </c>
      <c r="AK658" s="13" t="str">
        <f>IF(tblCleanData[[#This Row],[MonthlyIncome]]&lt;5000, "Low Income", IF(tblCleanData[[#This Row],[MonthlyIncome]]&lt;15000, "Medium Income", "High Income"))</f>
        <v>Low Income</v>
      </c>
      <c r="AL658" s="13">
        <f>IF(tblCleanData[[#This Row],[Attrition]]="No", 0,1)</f>
        <v>1</v>
      </c>
      <c r="AM658" s="13">
        <f>IF(tblCleanData[[#This Row],[OverTime]] = "No", 0, 1)</f>
        <v>1</v>
      </c>
      <c r="AN658" s="13" t="str">
        <f>CHOOSE(tblCleanData[[#This Row],[Education]], "Below College","College","Bachelor","Master","Doctor")</f>
        <v>Master</v>
      </c>
      <c r="AO658" s="13" t="str">
        <f>VLOOKUP(tblCleanData[[#This Row],[EmployeeNumber]],tblHelpers[],15,TRUE)</f>
        <v>High Risk</v>
      </c>
      <c r="AP658" s="13">
        <f>VLOOKUP(tblCleanData[[#This Row],[EmployeeNumber]],tblHelpers[],14,0)</f>
        <v>81</v>
      </c>
    </row>
    <row r="659" spans="1:42" x14ac:dyDescent="0.25">
      <c r="A659" s="13">
        <v>29</v>
      </c>
      <c r="B659" s="13" t="s">
        <v>59</v>
      </c>
      <c r="C659" s="13" t="s">
        <v>37</v>
      </c>
      <c r="D659" s="13">
        <v>1086</v>
      </c>
      <c r="E659" s="13" t="s">
        <v>62</v>
      </c>
      <c r="F659" s="13">
        <v>7</v>
      </c>
      <c r="G659" s="13">
        <v>1</v>
      </c>
      <c r="H659" s="13" t="s">
        <v>87</v>
      </c>
      <c r="I659" s="13">
        <v>1</v>
      </c>
      <c r="J659" s="13">
        <v>912</v>
      </c>
      <c r="K659" s="13">
        <v>1</v>
      </c>
      <c r="L659" s="13" t="s">
        <v>43</v>
      </c>
      <c r="M659" s="13">
        <v>62</v>
      </c>
      <c r="N659" s="13">
        <v>2</v>
      </c>
      <c r="O659" s="13">
        <v>1</v>
      </c>
      <c r="P659" s="13" t="s">
        <v>76</v>
      </c>
      <c r="Q659" s="13">
        <v>4</v>
      </c>
      <c r="R659" s="13" t="s">
        <v>109</v>
      </c>
      <c r="S659" s="20">
        <v>2532</v>
      </c>
      <c r="T659" s="13">
        <v>6054</v>
      </c>
      <c r="U659" s="13">
        <v>6</v>
      </c>
      <c r="V659" s="13" t="s">
        <v>52</v>
      </c>
      <c r="W659" s="13" t="s">
        <v>59</v>
      </c>
      <c r="X659" s="13">
        <v>14</v>
      </c>
      <c r="Y659" s="13">
        <v>3</v>
      </c>
      <c r="Z659" s="13">
        <v>3</v>
      </c>
      <c r="AA659" s="13">
        <v>80</v>
      </c>
      <c r="AB659" s="13">
        <v>3</v>
      </c>
      <c r="AC659" s="13">
        <v>8</v>
      </c>
      <c r="AD659" s="13">
        <v>5</v>
      </c>
      <c r="AE659" s="13">
        <v>3</v>
      </c>
      <c r="AF659" s="14">
        <v>4</v>
      </c>
      <c r="AG659" s="13">
        <v>3</v>
      </c>
      <c r="AH659" s="13">
        <v>0</v>
      </c>
      <c r="AI659" s="13">
        <v>3</v>
      </c>
      <c r="AJ659" s="13" t="str">
        <f t="shared" si="10"/>
        <v>Under 30</v>
      </c>
      <c r="AK659" s="13" t="str">
        <f>IF(tblCleanData[[#This Row],[MonthlyIncome]]&lt;5000, "Low Income", IF(tblCleanData[[#This Row],[MonthlyIncome]]&lt;15000, "Medium Income", "High Income"))</f>
        <v>Low Income</v>
      </c>
      <c r="AL659" s="13">
        <f>IF(tblCleanData[[#This Row],[Attrition]]="No", 0,1)</f>
        <v>0</v>
      </c>
      <c r="AM659" s="13">
        <f>IF(tblCleanData[[#This Row],[OverTime]] = "No", 0, 1)</f>
        <v>0</v>
      </c>
      <c r="AN659" s="13" t="str">
        <f>CHOOSE(tblCleanData[[#This Row],[Education]], "Below College","College","Bachelor","Master","Doctor")</f>
        <v>Below College</v>
      </c>
      <c r="AO659" s="13" t="str">
        <f>VLOOKUP(tblCleanData[[#This Row],[EmployeeNumber]],tblHelpers[],15,TRUE)</f>
        <v>High Risk</v>
      </c>
      <c r="AP659" s="13">
        <f>VLOOKUP(tblCleanData[[#This Row],[EmployeeNumber]],tblHelpers[],14,0)</f>
        <v>56</v>
      </c>
    </row>
    <row r="660" spans="1:42" x14ac:dyDescent="0.25">
      <c r="A660" s="13">
        <v>44</v>
      </c>
      <c r="B660" s="13" t="s">
        <v>59</v>
      </c>
      <c r="C660" s="13" t="s">
        <v>37</v>
      </c>
      <c r="D660" s="13">
        <v>661</v>
      </c>
      <c r="E660" s="13" t="s">
        <v>62</v>
      </c>
      <c r="F660" s="13">
        <v>9</v>
      </c>
      <c r="G660" s="13">
        <v>2</v>
      </c>
      <c r="H660" s="13" t="s">
        <v>42</v>
      </c>
      <c r="I660" s="13">
        <v>1</v>
      </c>
      <c r="J660" s="13">
        <v>913</v>
      </c>
      <c r="K660" s="13">
        <v>2</v>
      </c>
      <c r="L660" s="13" t="s">
        <v>63</v>
      </c>
      <c r="M660" s="13">
        <v>61</v>
      </c>
      <c r="N660" s="13">
        <v>3</v>
      </c>
      <c r="O660" s="13">
        <v>1</v>
      </c>
      <c r="P660" s="13" t="s">
        <v>65</v>
      </c>
      <c r="Q660" s="13">
        <v>1</v>
      </c>
      <c r="R660" s="13" t="s">
        <v>66</v>
      </c>
      <c r="S660" s="20">
        <v>2559</v>
      </c>
      <c r="T660" s="13">
        <v>7508</v>
      </c>
      <c r="U660" s="13">
        <v>1</v>
      </c>
      <c r="V660" s="13" t="s">
        <v>52</v>
      </c>
      <c r="W660" s="13" t="s">
        <v>36</v>
      </c>
      <c r="X660" s="13">
        <v>13</v>
      </c>
      <c r="Y660" s="13">
        <v>3</v>
      </c>
      <c r="Z660" s="13">
        <v>4</v>
      </c>
      <c r="AA660" s="13">
        <v>80</v>
      </c>
      <c r="AB660" s="13">
        <v>0</v>
      </c>
      <c r="AC660" s="13">
        <v>8</v>
      </c>
      <c r="AD660" s="13">
        <v>0</v>
      </c>
      <c r="AE660" s="13">
        <v>3</v>
      </c>
      <c r="AF660" s="14">
        <v>8</v>
      </c>
      <c r="AG660" s="13">
        <v>7</v>
      </c>
      <c r="AH660" s="13">
        <v>7</v>
      </c>
      <c r="AI660" s="13">
        <v>1</v>
      </c>
      <c r="AJ660" s="13" t="str">
        <f t="shared" si="10"/>
        <v>40-49</v>
      </c>
      <c r="AK660" s="13" t="str">
        <f>IF(tblCleanData[[#This Row],[MonthlyIncome]]&lt;5000, "Low Income", IF(tblCleanData[[#This Row],[MonthlyIncome]]&lt;15000, "Medium Income", "High Income"))</f>
        <v>Low Income</v>
      </c>
      <c r="AL660" s="13">
        <f>IF(tblCleanData[[#This Row],[Attrition]]="No", 0,1)</f>
        <v>0</v>
      </c>
      <c r="AM660" s="13">
        <f>IF(tblCleanData[[#This Row],[OverTime]] = "No", 0, 1)</f>
        <v>1</v>
      </c>
      <c r="AN660" s="13" t="str">
        <f>CHOOSE(tblCleanData[[#This Row],[Education]], "Below College","College","Bachelor","Master","Doctor")</f>
        <v>College</v>
      </c>
      <c r="AO660" s="13" t="str">
        <f>VLOOKUP(tblCleanData[[#This Row],[EmployeeNumber]],tblHelpers[],15,TRUE)</f>
        <v>High Risk</v>
      </c>
      <c r="AP660" s="13">
        <f>VLOOKUP(tblCleanData[[#This Row],[EmployeeNumber]],tblHelpers[],14,0)</f>
        <v>73</v>
      </c>
    </row>
    <row r="661" spans="1:42" x14ac:dyDescent="0.25">
      <c r="A661" s="13">
        <v>28</v>
      </c>
      <c r="B661" s="13" t="s">
        <v>59</v>
      </c>
      <c r="C661" s="13" t="s">
        <v>37</v>
      </c>
      <c r="D661" s="13">
        <v>821</v>
      </c>
      <c r="E661" s="13" t="s">
        <v>39</v>
      </c>
      <c r="F661" s="13">
        <v>5</v>
      </c>
      <c r="G661" s="13">
        <v>4</v>
      </c>
      <c r="H661" s="13" t="s">
        <v>87</v>
      </c>
      <c r="I661" s="13">
        <v>1</v>
      </c>
      <c r="J661" s="13">
        <v>916</v>
      </c>
      <c r="K661" s="13">
        <v>1</v>
      </c>
      <c r="L661" s="13" t="s">
        <v>63</v>
      </c>
      <c r="M661" s="13">
        <v>98</v>
      </c>
      <c r="N661" s="13">
        <v>3</v>
      </c>
      <c r="O661" s="13">
        <v>2</v>
      </c>
      <c r="P661" s="13" t="s">
        <v>46</v>
      </c>
      <c r="Q661" s="13">
        <v>4</v>
      </c>
      <c r="R661" s="13" t="s">
        <v>48</v>
      </c>
      <c r="S661" s="20">
        <v>4908</v>
      </c>
      <c r="T661" s="13">
        <v>24252</v>
      </c>
      <c r="U661" s="13">
        <v>1</v>
      </c>
      <c r="V661" s="13" t="s">
        <v>52</v>
      </c>
      <c r="W661" s="13" t="s">
        <v>59</v>
      </c>
      <c r="X661" s="13">
        <v>14</v>
      </c>
      <c r="Y661" s="13">
        <v>3</v>
      </c>
      <c r="Z661" s="13">
        <v>2</v>
      </c>
      <c r="AA661" s="13">
        <v>80</v>
      </c>
      <c r="AB661" s="13">
        <v>0</v>
      </c>
      <c r="AC661" s="13">
        <v>4</v>
      </c>
      <c r="AD661" s="13">
        <v>3</v>
      </c>
      <c r="AE661" s="13">
        <v>3</v>
      </c>
      <c r="AF661" s="14">
        <v>4</v>
      </c>
      <c r="AG661" s="13">
        <v>2</v>
      </c>
      <c r="AH661" s="13">
        <v>0</v>
      </c>
      <c r="AI661" s="13">
        <v>2</v>
      </c>
      <c r="AJ661" s="13" t="str">
        <f t="shared" si="10"/>
        <v>Under 30</v>
      </c>
      <c r="AK661" s="13" t="str">
        <f>IF(tblCleanData[[#This Row],[MonthlyIncome]]&lt;5000, "Low Income", IF(tblCleanData[[#This Row],[MonthlyIncome]]&lt;15000, "Medium Income", "High Income"))</f>
        <v>Low Income</v>
      </c>
      <c r="AL661" s="13">
        <f>IF(tblCleanData[[#This Row],[Attrition]]="No", 0,1)</f>
        <v>0</v>
      </c>
      <c r="AM661" s="13">
        <f>IF(tblCleanData[[#This Row],[OverTime]] = "No", 0, 1)</f>
        <v>0</v>
      </c>
      <c r="AN661" s="13" t="str">
        <f>CHOOSE(tblCleanData[[#This Row],[Education]], "Below College","College","Bachelor","Master","Doctor")</f>
        <v>Master</v>
      </c>
      <c r="AO661" s="13" t="str">
        <f>VLOOKUP(tblCleanData[[#This Row],[EmployeeNumber]],tblHelpers[],15,TRUE)</f>
        <v>High Risk</v>
      </c>
      <c r="AP661" s="13">
        <f>VLOOKUP(tblCleanData[[#This Row],[EmployeeNumber]],tblHelpers[],14,0)</f>
        <v>56</v>
      </c>
    </row>
    <row r="662" spans="1:42" x14ac:dyDescent="0.25">
      <c r="A662" s="13">
        <v>58</v>
      </c>
      <c r="B662" s="13" t="s">
        <v>36</v>
      </c>
      <c r="C662" s="13" t="s">
        <v>60</v>
      </c>
      <c r="D662" s="13">
        <v>781</v>
      </c>
      <c r="E662" s="13" t="s">
        <v>62</v>
      </c>
      <c r="F662" s="13">
        <v>2</v>
      </c>
      <c r="G662" s="13">
        <v>1</v>
      </c>
      <c r="H662" s="13" t="s">
        <v>42</v>
      </c>
      <c r="I662" s="13">
        <v>1</v>
      </c>
      <c r="J662" s="13">
        <v>918</v>
      </c>
      <c r="K662" s="13">
        <v>4</v>
      </c>
      <c r="L662" s="13" t="s">
        <v>63</v>
      </c>
      <c r="M662" s="13">
        <v>57</v>
      </c>
      <c r="N662" s="13">
        <v>2</v>
      </c>
      <c r="O662" s="13">
        <v>1</v>
      </c>
      <c r="P662" s="13" t="s">
        <v>76</v>
      </c>
      <c r="Q662" s="13">
        <v>4</v>
      </c>
      <c r="R662" s="13" t="s">
        <v>109</v>
      </c>
      <c r="S662" s="20">
        <v>2380</v>
      </c>
      <c r="T662" s="13">
        <v>13384</v>
      </c>
      <c r="U662" s="13">
        <v>9</v>
      </c>
      <c r="V662" s="13" t="s">
        <v>52</v>
      </c>
      <c r="W662" s="13" t="s">
        <v>36</v>
      </c>
      <c r="X662" s="13">
        <v>14</v>
      </c>
      <c r="Y662" s="13">
        <v>3</v>
      </c>
      <c r="Z662" s="13">
        <v>4</v>
      </c>
      <c r="AA662" s="13">
        <v>80</v>
      </c>
      <c r="AB662" s="13">
        <v>1</v>
      </c>
      <c r="AC662" s="13">
        <v>3</v>
      </c>
      <c r="AD662" s="13">
        <v>3</v>
      </c>
      <c r="AE662" s="13">
        <v>2</v>
      </c>
      <c r="AF662" s="14">
        <v>1</v>
      </c>
      <c r="AG662" s="13">
        <v>0</v>
      </c>
      <c r="AH662" s="13">
        <v>0</v>
      </c>
      <c r="AI662" s="13">
        <v>0</v>
      </c>
      <c r="AJ662" s="13" t="str">
        <f t="shared" si="10"/>
        <v>50+</v>
      </c>
      <c r="AK662" s="13" t="str">
        <f>IF(tblCleanData[[#This Row],[MonthlyIncome]]&lt;5000, "Low Income", IF(tblCleanData[[#This Row],[MonthlyIncome]]&lt;15000, "Medium Income", "High Income"))</f>
        <v>Low Income</v>
      </c>
      <c r="AL662" s="13">
        <f>IF(tblCleanData[[#This Row],[Attrition]]="No", 0,1)</f>
        <v>1</v>
      </c>
      <c r="AM662" s="13">
        <f>IF(tblCleanData[[#This Row],[OverTime]] = "No", 0, 1)</f>
        <v>1</v>
      </c>
      <c r="AN662" s="13" t="str">
        <f>CHOOSE(tblCleanData[[#This Row],[Education]], "Below College","College","Bachelor","Master","Doctor")</f>
        <v>Below College</v>
      </c>
      <c r="AO662" s="13" t="str">
        <f>VLOOKUP(tblCleanData[[#This Row],[EmployeeNumber]],tblHelpers[],15,TRUE)</f>
        <v>High Risk</v>
      </c>
      <c r="AP662" s="13">
        <f>VLOOKUP(tblCleanData[[#This Row],[EmployeeNumber]],tblHelpers[],14,0)</f>
        <v>76</v>
      </c>
    </row>
    <row r="663" spans="1:42" x14ac:dyDescent="0.25">
      <c r="A663" s="13">
        <v>43</v>
      </c>
      <c r="B663" s="13" t="s">
        <v>59</v>
      </c>
      <c r="C663" s="13" t="s">
        <v>37</v>
      </c>
      <c r="D663" s="13">
        <v>177</v>
      </c>
      <c r="E663" s="13" t="s">
        <v>62</v>
      </c>
      <c r="F663" s="13">
        <v>8</v>
      </c>
      <c r="G663" s="13">
        <v>3</v>
      </c>
      <c r="H663" s="13" t="s">
        <v>42</v>
      </c>
      <c r="I663" s="13">
        <v>1</v>
      </c>
      <c r="J663" s="13">
        <v>920</v>
      </c>
      <c r="K663" s="13">
        <v>1</v>
      </c>
      <c r="L663" s="13" t="s">
        <v>43</v>
      </c>
      <c r="M663" s="13">
        <v>55</v>
      </c>
      <c r="N663" s="13">
        <v>3</v>
      </c>
      <c r="O663" s="13">
        <v>2</v>
      </c>
      <c r="P663" s="13" t="s">
        <v>116</v>
      </c>
      <c r="Q663" s="13">
        <v>2</v>
      </c>
      <c r="R663" s="13" t="s">
        <v>109</v>
      </c>
      <c r="S663" s="20">
        <v>4765</v>
      </c>
      <c r="T663" s="13">
        <v>23814</v>
      </c>
      <c r="U663" s="13">
        <v>4</v>
      </c>
      <c r="V663" s="13" t="s">
        <v>52</v>
      </c>
      <c r="W663" s="13" t="s">
        <v>59</v>
      </c>
      <c r="X663" s="13">
        <v>21</v>
      </c>
      <c r="Y663" s="13">
        <v>4</v>
      </c>
      <c r="Z663" s="13">
        <v>3</v>
      </c>
      <c r="AA663" s="13">
        <v>80</v>
      </c>
      <c r="AB663" s="13">
        <v>1</v>
      </c>
      <c r="AC663" s="13">
        <v>4</v>
      </c>
      <c r="AD663" s="13">
        <v>2</v>
      </c>
      <c r="AE663" s="13">
        <v>4</v>
      </c>
      <c r="AF663" s="14">
        <v>1</v>
      </c>
      <c r="AG663" s="13">
        <v>0</v>
      </c>
      <c r="AH663" s="13">
        <v>0</v>
      </c>
      <c r="AI663" s="13">
        <v>0</v>
      </c>
      <c r="AJ663" s="13" t="str">
        <f t="shared" si="10"/>
        <v>40-49</v>
      </c>
      <c r="AK663" s="13" t="str">
        <f>IF(tblCleanData[[#This Row],[MonthlyIncome]]&lt;5000, "Low Income", IF(tblCleanData[[#This Row],[MonthlyIncome]]&lt;15000, "Medium Income", "High Income"))</f>
        <v>Low Income</v>
      </c>
      <c r="AL663" s="13">
        <f>IF(tblCleanData[[#This Row],[Attrition]]="No", 0,1)</f>
        <v>0</v>
      </c>
      <c r="AM663" s="13">
        <f>IF(tblCleanData[[#This Row],[OverTime]] = "No", 0, 1)</f>
        <v>0</v>
      </c>
      <c r="AN663" s="13" t="str">
        <f>CHOOSE(tblCleanData[[#This Row],[Education]], "Below College","College","Bachelor","Master","Doctor")</f>
        <v>Bachelor</v>
      </c>
      <c r="AO663" s="13" t="str">
        <f>VLOOKUP(tblCleanData[[#This Row],[EmployeeNumber]],tblHelpers[],15,TRUE)</f>
        <v>High Risk</v>
      </c>
      <c r="AP663" s="13">
        <f>VLOOKUP(tblCleanData[[#This Row],[EmployeeNumber]],tblHelpers[],14,0)</f>
        <v>59</v>
      </c>
    </row>
    <row r="664" spans="1:42" x14ac:dyDescent="0.25">
      <c r="A664" s="13">
        <v>20</v>
      </c>
      <c r="B664" s="13" t="s">
        <v>36</v>
      </c>
      <c r="C664" s="13" t="s">
        <v>37</v>
      </c>
      <c r="D664" s="13">
        <v>500</v>
      </c>
      <c r="E664" s="13" t="s">
        <v>39</v>
      </c>
      <c r="F664" s="13">
        <v>2</v>
      </c>
      <c r="G664" s="13">
        <v>3</v>
      </c>
      <c r="H664" s="13" t="s">
        <v>87</v>
      </c>
      <c r="I664" s="13">
        <v>1</v>
      </c>
      <c r="J664" s="13">
        <v>922</v>
      </c>
      <c r="K664" s="13">
        <v>3</v>
      </c>
      <c r="L664" s="13" t="s">
        <v>43</v>
      </c>
      <c r="M664" s="13">
        <v>49</v>
      </c>
      <c r="N664" s="13">
        <v>2</v>
      </c>
      <c r="O664" s="13">
        <v>1</v>
      </c>
      <c r="P664" s="13" t="s">
        <v>182</v>
      </c>
      <c r="Q664" s="13">
        <v>3</v>
      </c>
      <c r="R664" s="13" t="s">
        <v>48</v>
      </c>
      <c r="S664" s="20">
        <v>2044</v>
      </c>
      <c r="T664" s="13">
        <v>22052</v>
      </c>
      <c r="U664" s="13">
        <v>1</v>
      </c>
      <c r="V664" s="13" t="s">
        <v>52</v>
      </c>
      <c r="W664" s="13" t="s">
        <v>59</v>
      </c>
      <c r="X664" s="13">
        <v>13</v>
      </c>
      <c r="Y664" s="13">
        <v>3</v>
      </c>
      <c r="Z664" s="13">
        <v>4</v>
      </c>
      <c r="AA664" s="13">
        <v>80</v>
      </c>
      <c r="AB664" s="13">
        <v>0</v>
      </c>
      <c r="AC664" s="13">
        <v>2</v>
      </c>
      <c r="AD664" s="13">
        <v>3</v>
      </c>
      <c r="AE664" s="13">
        <v>2</v>
      </c>
      <c r="AF664" s="14">
        <v>2</v>
      </c>
      <c r="AG664" s="13">
        <v>2</v>
      </c>
      <c r="AH664" s="13">
        <v>0</v>
      </c>
      <c r="AI664" s="13">
        <v>2</v>
      </c>
      <c r="AJ664" s="13" t="str">
        <f t="shared" si="10"/>
        <v>Under 30</v>
      </c>
      <c r="AK664" s="13" t="str">
        <f>IF(tblCleanData[[#This Row],[MonthlyIncome]]&lt;5000, "Low Income", IF(tblCleanData[[#This Row],[MonthlyIncome]]&lt;15000, "Medium Income", "High Income"))</f>
        <v>Low Income</v>
      </c>
      <c r="AL664" s="13">
        <f>IF(tblCleanData[[#This Row],[Attrition]]="No", 0,1)</f>
        <v>1</v>
      </c>
      <c r="AM664" s="13">
        <f>IF(tblCleanData[[#This Row],[OverTime]] = "No", 0, 1)</f>
        <v>0</v>
      </c>
      <c r="AN664" s="13" t="str">
        <f>CHOOSE(tblCleanData[[#This Row],[Education]], "Below College","College","Bachelor","Master","Doctor")</f>
        <v>Bachelor</v>
      </c>
      <c r="AO664" s="13" t="str">
        <f>VLOOKUP(tblCleanData[[#This Row],[EmployeeNumber]],tblHelpers[],15,TRUE)</f>
        <v>High Risk</v>
      </c>
      <c r="AP664" s="13">
        <f>VLOOKUP(tblCleanData[[#This Row],[EmployeeNumber]],tblHelpers[],14,0)</f>
        <v>73</v>
      </c>
    </row>
    <row r="665" spans="1:42" x14ac:dyDescent="0.25">
      <c r="A665" s="13">
        <v>21</v>
      </c>
      <c r="B665" s="13" t="s">
        <v>36</v>
      </c>
      <c r="C665" s="13" t="s">
        <v>37</v>
      </c>
      <c r="D665" s="13">
        <v>1427</v>
      </c>
      <c r="E665" s="13" t="s">
        <v>62</v>
      </c>
      <c r="F665" s="13">
        <v>18</v>
      </c>
      <c r="G665" s="13">
        <v>1</v>
      </c>
      <c r="H665" s="13" t="s">
        <v>74</v>
      </c>
      <c r="I665" s="13">
        <v>1</v>
      </c>
      <c r="J665" s="13">
        <v>923</v>
      </c>
      <c r="K665" s="13">
        <v>4</v>
      </c>
      <c r="L665" s="13" t="s">
        <v>43</v>
      </c>
      <c r="M665" s="13">
        <v>65</v>
      </c>
      <c r="N665" s="13">
        <v>3</v>
      </c>
      <c r="O665" s="13">
        <v>1</v>
      </c>
      <c r="P665" s="13" t="s">
        <v>65</v>
      </c>
      <c r="Q665" s="13">
        <v>4</v>
      </c>
      <c r="R665" s="13" t="s">
        <v>48</v>
      </c>
      <c r="S665" s="20">
        <v>2693</v>
      </c>
      <c r="T665" s="13">
        <v>8870</v>
      </c>
      <c r="U665" s="13">
        <v>1</v>
      </c>
      <c r="V665" s="13" t="s">
        <v>52</v>
      </c>
      <c r="W665" s="13" t="s">
        <v>59</v>
      </c>
      <c r="X665" s="13">
        <v>19</v>
      </c>
      <c r="Y665" s="13">
        <v>3</v>
      </c>
      <c r="Z665" s="13">
        <v>1</v>
      </c>
      <c r="AA665" s="13">
        <v>80</v>
      </c>
      <c r="AB665" s="13">
        <v>0</v>
      </c>
      <c r="AC665" s="13">
        <v>1</v>
      </c>
      <c r="AD665" s="13">
        <v>3</v>
      </c>
      <c r="AE665" s="13">
        <v>2</v>
      </c>
      <c r="AF665" s="14">
        <v>1</v>
      </c>
      <c r="AG665" s="13">
        <v>0</v>
      </c>
      <c r="AH665" s="13">
        <v>0</v>
      </c>
      <c r="AI665" s="13">
        <v>0</v>
      </c>
      <c r="AJ665" s="13" t="str">
        <f t="shared" si="10"/>
        <v>Under 30</v>
      </c>
      <c r="AK665" s="13" t="str">
        <f>IF(tblCleanData[[#This Row],[MonthlyIncome]]&lt;5000, "Low Income", IF(tblCleanData[[#This Row],[MonthlyIncome]]&lt;15000, "Medium Income", "High Income"))</f>
        <v>Low Income</v>
      </c>
      <c r="AL665" s="13">
        <f>IF(tblCleanData[[#This Row],[Attrition]]="No", 0,1)</f>
        <v>1</v>
      </c>
      <c r="AM665" s="13">
        <f>IF(tblCleanData[[#This Row],[OverTime]] = "No", 0, 1)</f>
        <v>0</v>
      </c>
      <c r="AN665" s="13" t="str">
        <f>CHOOSE(tblCleanData[[#This Row],[Education]], "Below College","College","Bachelor","Master","Doctor")</f>
        <v>Below College</v>
      </c>
      <c r="AO665" s="13" t="str">
        <f>VLOOKUP(tblCleanData[[#This Row],[EmployeeNumber]],tblHelpers[],15,TRUE)</f>
        <v>High Risk</v>
      </c>
      <c r="AP665" s="13">
        <f>VLOOKUP(tblCleanData[[#This Row],[EmployeeNumber]],tblHelpers[],14,0)</f>
        <v>66</v>
      </c>
    </row>
    <row r="666" spans="1:42" x14ac:dyDescent="0.25">
      <c r="A666" s="13">
        <v>36</v>
      </c>
      <c r="B666" s="13" t="s">
        <v>59</v>
      </c>
      <c r="C666" s="13" t="s">
        <v>37</v>
      </c>
      <c r="D666" s="13">
        <v>1425</v>
      </c>
      <c r="E666" s="13" t="s">
        <v>62</v>
      </c>
      <c r="F666" s="13">
        <v>14</v>
      </c>
      <c r="G666" s="13">
        <v>1</v>
      </c>
      <c r="H666" s="13" t="s">
        <v>42</v>
      </c>
      <c r="I666" s="13">
        <v>1</v>
      </c>
      <c r="J666" s="13">
        <v>924</v>
      </c>
      <c r="K666" s="13">
        <v>3</v>
      </c>
      <c r="L666" s="13" t="s">
        <v>63</v>
      </c>
      <c r="M666" s="13">
        <v>68</v>
      </c>
      <c r="N666" s="13">
        <v>3</v>
      </c>
      <c r="O666" s="13">
        <v>2</v>
      </c>
      <c r="P666" s="13" t="s">
        <v>122</v>
      </c>
      <c r="Q666" s="13">
        <v>4</v>
      </c>
      <c r="R666" s="13" t="s">
        <v>66</v>
      </c>
      <c r="S666" s="20">
        <v>6586</v>
      </c>
      <c r="T666" s="13">
        <v>4821</v>
      </c>
      <c r="U666" s="13">
        <v>0</v>
      </c>
      <c r="V666" s="13" t="s">
        <v>52</v>
      </c>
      <c r="W666" s="13" t="s">
        <v>36</v>
      </c>
      <c r="X666" s="13">
        <v>17</v>
      </c>
      <c r="Y666" s="13">
        <v>3</v>
      </c>
      <c r="Z666" s="13">
        <v>1</v>
      </c>
      <c r="AA666" s="13">
        <v>80</v>
      </c>
      <c r="AB666" s="13">
        <v>1</v>
      </c>
      <c r="AC666" s="13">
        <v>17</v>
      </c>
      <c r="AD666" s="13">
        <v>2</v>
      </c>
      <c r="AE666" s="13">
        <v>2</v>
      </c>
      <c r="AF666" s="14">
        <v>16</v>
      </c>
      <c r="AG666" s="13">
        <v>8</v>
      </c>
      <c r="AH666" s="13">
        <v>4</v>
      </c>
      <c r="AI666" s="13">
        <v>11</v>
      </c>
      <c r="AJ666" s="13" t="str">
        <f t="shared" si="10"/>
        <v>30-39</v>
      </c>
      <c r="AK666" s="13" t="str">
        <f>IF(tblCleanData[[#This Row],[MonthlyIncome]]&lt;5000, "Low Income", IF(tblCleanData[[#This Row],[MonthlyIncome]]&lt;15000, "Medium Income", "High Income"))</f>
        <v>Medium Income</v>
      </c>
      <c r="AL666" s="13">
        <f>IF(tblCleanData[[#This Row],[Attrition]]="No", 0,1)</f>
        <v>0</v>
      </c>
      <c r="AM666" s="13">
        <f>IF(tblCleanData[[#This Row],[OverTime]] = "No", 0, 1)</f>
        <v>1</v>
      </c>
      <c r="AN666" s="13" t="str">
        <f>CHOOSE(tblCleanData[[#This Row],[Education]], "Below College","College","Bachelor","Master","Doctor")</f>
        <v>Below College</v>
      </c>
      <c r="AO666" s="13" t="str">
        <f>VLOOKUP(tblCleanData[[#This Row],[EmployeeNumber]],tblHelpers[],15,TRUE)</f>
        <v>High Risk</v>
      </c>
      <c r="AP666" s="13">
        <f>VLOOKUP(tblCleanData[[#This Row],[EmployeeNumber]],tblHelpers[],14,0)</f>
        <v>59</v>
      </c>
    </row>
    <row r="667" spans="1:42" x14ac:dyDescent="0.25">
      <c r="A667" s="13">
        <v>47</v>
      </c>
      <c r="B667" s="13" t="s">
        <v>59</v>
      </c>
      <c r="C667" s="13" t="s">
        <v>37</v>
      </c>
      <c r="D667" s="13">
        <v>1454</v>
      </c>
      <c r="E667" s="13" t="s">
        <v>39</v>
      </c>
      <c r="F667" s="13">
        <v>2</v>
      </c>
      <c r="G667" s="13">
        <v>4</v>
      </c>
      <c r="H667" s="13" t="s">
        <v>42</v>
      </c>
      <c r="I667" s="13">
        <v>1</v>
      </c>
      <c r="J667" s="13">
        <v>925</v>
      </c>
      <c r="K667" s="13">
        <v>4</v>
      </c>
      <c r="L667" s="13" t="s">
        <v>43</v>
      </c>
      <c r="M667" s="13">
        <v>65</v>
      </c>
      <c r="N667" s="13">
        <v>2</v>
      </c>
      <c r="O667" s="13">
        <v>1</v>
      </c>
      <c r="P667" s="13" t="s">
        <v>182</v>
      </c>
      <c r="Q667" s="13">
        <v>4</v>
      </c>
      <c r="R667" s="13" t="s">
        <v>48</v>
      </c>
      <c r="S667" s="20">
        <v>3294</v>
      </c>
      <c r="T667" s="13">
        <v>13137</v>
      </c>
      <c r="U667" s="13">
        <v>1</v>
      </c>
      <c r="V667" s="13" t="s">
        <v>52</v>
      </c>
      <c r="W667" s="13" t="s">
        <v>36</v>
      </c>
      <c r="X667" s="13">
        <v>18</v>
      </c>
      <c r="Y667" s="13">
        <v>3</v>
      </c>
      <c r="Z667" s="13">
        <v>1</v>
      </c>
      <c r="AA667" s="13">
        <v>80</v>
      </c>
      <c r="AB667" s="13">
        <v>0</v>
      </c>
      <c r="AC667" s="13">
        <v>3</v>
      </c>
      <c r="AD667" s="13">
        <v>3</v>
      </c>
      <c r="AE667" s="13">
        <v>2</v>
      </c>
      <c r="AF667" s="14">
        <v>3</v>
      </c>
      <c r="AG667" s="13">
        <v>2</v>
      </c>
      <c r="AH667" s="13">
        <v>1</v>
      </c>
      <c r="AI667" s="13">
        <v>2</v>
      </c>
      <c r="AJ667" s="13" t="str">
        <f t="shared" si="10"/>
        <v>40-49</v>
      </c>
      <c r="AK667" s="13" t="str">
        <f>IF(tblCleanData[[#This Row],[MonthlyIncome]]&lt;5000, "Low Income", IF(tblCleanData[[#This Row],[MonthlyIncome]]&lt;15000, "Medium Income", "High Income"))</f>
        <v>Low Income</v>
      </c>
      <c r="AL667" s="13">
        <f>IF(tblCleanData[[#This Row],[Attrition]]="No", 0,1)</f>
        <v>0</v>
      </c>
      <c r="AM667" s="13">
        <f>IF(tblCleanData[[#This Row],[OverTime]] = "No", 0, 1)</f>
        <v>1</v>
      </c>
      <c r="AN667" s="13" t="str">
        <f>CHOOSE(tblCleanData[[#This Row],[Education]], "Below College","College","Bachelor","Master","Doctor")</f>
        <v>Master</v>
      </c>
      <c r="AO667" s="13" t="str">
        <f>VLOOKUP(tblCleanData[[#This Row],[EmployeeNumber]],tblHelpers[],15,TRUE)</f>
        <v>High Risk</v>
      </c>
      <c r="AP667" s="13">
        <f>VLOOKUP(tblCleanData[[#This Row],[EmployeeNumber]],tblHelpers[],14,0)</f>
        <v>61</v>
      </c>
    </row>
    <row r="668" spans="1:42" x14ac:dyDescent="0.25">
      <c r="A668" s="13">
        <v>22</v>
      </c>
      <c r="B668" s="13" t="s">
        <v>36</v>
      </c>
      <c r="C668" s="13" t="s">
        <v>37</v>
      </c>
      <c r="D668" s="13">
        <v>617</v>
      </c>
      <c r="E668" s="13" t="s">
        <v>62</v>
      </c>
      <c r="F668" s="13">
        <v>3</v>
      </c>
      <c r="G668" s="13">
        <v>1</v>
      </c>
      <c r="H668" s="13" t="s">
        <v>42</v>
      </c>
      <c r="I668" s="13">
        <v>1</v>
      </c>
      <c r="J668" s="13">
        <v>926</v>
      </c>
      <c r="K668" s="13">
        <v>2</v>
      </c>
      <c r="L668" s="13" t="s">
        <v>43</v>
      </c>
      <c r="M668" s="13">
        <v>34</v>
      </c>
      <c r="N668" s="13">
        <v>3</v>
      </c>
      <c r="O668" s="13">
        <v>2</v>
      </c>
      <c r="P668" s="13" t="s">
        <v>116</v>
      </c>
      <c r="Q668" s="13">
        <v>3</v>
      </c>
      <c r="R668" s="13" t="s">
        <v>66</v>
      </c>
      <c r="S668" s="20">
        <v>4171</v>
      </c>
      <c r="T668" s="13">
        <v>10022</v>
      </c>
      <c r="U668" s="13">
        <v>0</v>
      </c>
      <c r="V668" s="13" t="s">
        <v>52</v>
      </c>
      <c r="W668" s="13" t="s">
        <v>36</v>
      </c>
      <c r="X668" s="13">
        <v>19</v>
      </c>
      <c r="Y668" s="13">
        <v>3</v>
      </c>
      <c r="Z668" s="13">
        <v>1</v>
      </c>
      <c r="AA668" s="13">
        <v>80</v>
      </c>
      <c r="AB668" s="13">
        <v>1</v>
      </c>
      <c r="AC668" s="13">
        <v>4</v>
      </c>
      <c r="AD668" s="13">
        <v>3</v>
      </c>
      <c r="AE668" s="13">
        <v>4</v>
      </c>
      <c r="AF668" s="14">
        <v>3</v>
      </c>
      <c r="AG668" s="13">
        <v>2</v>
      </c>
      <c r="AH668" s="13">
        <v>0</v>
      </c>
      <c r="AI668" s="13">
        <v>2</v>
      </c>
      <c r="AJ668" s="13" t="str">
        <f t="shared" si="10"/>
        <v>Under 30</v>
      </c>
      <c r="AK668" s="13" t="str">
        <f>IF(tblCleanData[[#This Row],[MonthlyIncome]]&lt;5000, "Low Income", IF(tblCleanData[[#This Row],[MonthlyIncome]]&lt;15000, "Medium Income", "High Income"))</f>
        <v>Low Income</v>
      </c>
      <c r="AL668" s="13">
        <f>IF(tblCleanData[[#This Row],[Attrition]]="No", 0,1)</f>
        <v>1</v>
      </c>
      <c r="AM668" s="13">
        <f>IF(tblCleanData[[#This Row],[OverTime]] = "No", 0, 1)</f>
        <v>1</v>
      </c>
      <c r="AN668" s="13" t="str">
        <f>CHOOSE(tblCleanData[[#This Row],[Education]], "Below College","College","Bachelor","Master","Doctor")</f>
        <v>Below College</v>
      </c>
      <c r="AO668" s="13" t="str">
        <f>VLOOKUP(tblCleanData[[#This Row],[EmployeeNumber]],tblHelpers[],15,TRUE)</f>
        <v>High Risk</v>
      </c>
      <c r="AP668" s="13">
        <f>VLOOKUP(tblCleanData[[#This Row],[EmployeeNumber]],tblHelpers[],14,0)</f>
        <v>88</v>
      </c>
    </row>
    <row r="669" spans="1:42" x14ac:dyDescent="0.25">
      <c r="A669" s="13">
        <v>41</v>
      </c>
      <c r="B669" s="13" t="s">
        <v>36</v>
      </c>
      <c r="C669" s="13" t="s">
        <v>37</v>
      </c>
      <c r="D669" s="13">
        <v>1085</v>
      </c>
      <c r="E669" s="13" t="s">
        <v>62</v>
      </c>
      <c r="F669" s="13">
        <v>2</v>
      </c>
      <c r="G669" s="13">
        <v>4</v>
      </c>
      <c r="H669" s="13" t="s">
        <v>42</v>
      </c>
      <c r="I669" s="13">
        <v>1</v>
      </c>
      <c r="J669" s="13">
        <v>927</v>
      </c>
      <c r="K669" s="13">
        <v>2</v>
      </c>
      <c r="L669" s="13" t="s">
        <v>43</v>
      </c>
      <c r="M669" s="13">
        <v>57</v>
      </c>
      <c r="N669" s="13">
        <v>1</v>
      </c>
      <c r="O669" s="13">
        <v>1</v>
      </c>
      <c r="P669" s="13" t="s">
        <v>76</v>
      </c>
      <c r="Q669" s="13">
        <v>4</v>
      </c>
      <c r="R669" s="13" t="s">
        <v>109</v>
      </c>
      <c r="S669" s="20">
        <v>2778</v>
      </c>
      <c r="T669" s="13">
        <v>17725</v>
      </c>
      <c r="U669" s="13">
        <v>4</v>
      </c>
      <c r="V669" s="13" t="s">
        <v>52</v>
      </c>
      <c r="W669" s="13" t="s">
        <v>36</v>
      </c>
      <c r="X669" s="13">
        <v>13</v>
      </c>
      <c r="Y669" s="13">
        <v>3</v>
      </c>
      <c r="Z669" s="13">
        <v>3</v>
      </c>
      <c r="AA669" s="13">
        <v>80</v>
      </c>
      <c r="AB669" s="13">
        <v>1</v>
      </c>
      <c r="AC669" s="13">
        <v>10</v>
      </c>
      <c r="AD669" s="13">
        <v>1</v>
      </c>
      <c r="AE669" s="13">
        <v>2</v>
      </c>
      <c r="AF669" s="14">
        <v>7</v>
      </c>
      <c r="AG669" s="13">
        <v>7</v>
      </c>
      <c r="AH669" s="13">
        <v>1</v>
      </c>
      <c r="AI669" s="13">
        <v>0</v>
      </c>
      <c r="AJ669" s="13" t="str">
        <f t="shared" si="10"/>
        <v>40-49</v>
      </c>
      <c r="AK669" s="13" t="str">
        <f>IF(tblCleanData[[#This Row],[MonthlyIncome]]&lt;5000, "Low Income", IF(tblCleanData[[#This Row],[MonthlyIncome]]&lt;15000, "Medium Income", "High Income"))</f>
        <v>Low Income</v>
      </c>
      <c r="AL669" s="13">
        <f>IF(tblCleanData[[#This Row],[Attrition]]="No", 0,1)</f>
        <v>1</v>
      </c>
      <c r="AM669" s="13">
        <f>IF(tblCleanData[[#This Row],[OverTime]] = "No", 0, 1)</f>
        <v>1</v>
      </c>
      <c r="AN669" s="13" t="str">
        <f>CHOOSE(tblCleanData[[#This Row],[Education]], "Below College","College","Bachelor","Master","Doctor")</f>
        <v>Master</v>
      </c>
      <c r="AO669" s="13" t="str">
        <f>VLOOKUP(tblCleanData[[#This Row],[EmployeeNumber]],tblHelpers[],15,TRUE)</f>
        <v>Medium Risk</v>
      </c>
      <c r="AP669" s="13">
        <f>VLOOKUP(tblCleanData[[#This Row],[EmployeeNumber]],tblHelpers[],14,0)</f>
        <v>54</v>
      </c>
    </row>
    <row r="670" spans="1:42" x14ac:dyDescent="0.25">
      <c r="A670" s="13">
        <v>28</v>
      </c>
      <c r="B670" s="13" t="s">
        <v>59</v>
      </c>
      <c r="C670" s="13" t="s">
        <v>37</v>
      </c>
      <c r="D670" s="13">
        <v>995</v>
      </c>
      <c r="E670" s="13" t="s">
        <v>62</v>
      </c>
      <c r="F670" s="13">
        <v>9</v>
      </c>
      <c r="G670" s="13">
        <v>3</v>
      </c>
      <c r="H670" s="13" t="s">
        <v>87</v>
      </c>
      <c r="I670" s="13">
        <v>1</v>
      </c>
      <c r="J670" s="13">
        <v>930</v>
      </c>
      <c r="K670" s="13">
        <v>3</v>
      </c>
      <c r="L670" s="13" t="s">
        <v>43</v>
      </c>
      <c r="M670" s="13">
        <v>77</v>
      </c>
      <c r="N670" s="13">
        <v>3</v>
      </c>
      <c r="O670" s="13">
        <v>1</v>
      </c>
      <c r="P670" s="13" t="s">
        <v>65</v>
      </c>
      <c r="Q670" s="13">
        <v>3</v>
      </c>
      <c r="R670" s="13" t="s">
        <v>109</v>
      </c>
      <c r="S670" s="20">
        <v>2377</v>
      </c>
      <c r="T670" s="13">
        <v>9834</v>
      </c>
      <c r="U670" s="13">
        <v>5</v>
      </c>
      <c r="V670" s="13" t="s">
        <v>52</v>
      </c>
      <c r="W670" s="13" t="s">
        <v>59</v>
      </c>
      <c r="X670" s="13">
        <v>18</v>
      </c>
      <c r="Y670" s="13">
        <v>3</v>
      </c>
      <c r="Z670" s="13">
        <v>2</v>
      </c>
      <c r="AA670" s="13">
        <v>80</v>
      </c>
      <c r="AB670" s="13">
        <v>1</v>
      </c>
      <c r="AC670" s="13">
        <v>6</v>
      </c>
      <c r="AD670" s="13">
        <v>2</v>
      </c>
      <c r="AE670" s="13">
        <v>3</v>
      </c>
      <c r="AF670" s="14">
        <v>2</v>
      </c>
      <c r="AG670" s="13">
        <v>2</v>
      </c>
      <c r="AH670" s="13">
        <v>2</v>
      </c>
      <c r="AI670" s="13">
        <v>2</v>
      </c>
      <c r="AJ670" s="13" t="str">
        <f t="shared" si="10"/>
        <v>Under 30</v>
      </c>
      <c r="AK670" s="13" t="str">
        <f>IF(tblCleanData[[#This Row],[MonthlyIncome]]&lt;5000, "Low Income", IF(tblCleanData[[#This Row],[MonthlyIncome]]&lt;15000, "Medium Income", "High Income"))</f>
        <v>Low Income</v>
      </c>
      <c r="AL670" s="13">
        <f>IF(tblCleanData[[#This Row],[Attrition]]="No", 0,1)</f>
        <v>0</v>
      </c>
      <c r="AM670" s="13">
        <f>IF(tblCleanData[[#This Row],[OverTime]] = "No", 0, 1)</f>
        <v>0</v>
      </c>
      <c r="AN670" s="13" t="str">
        <f>CHOOSE(tblCleanData[[#This Row],[Education]], "Below College","College","Bachelor","Master","Doctor")</f>
        <v>Bachelor</v>
      </c>
      <c r="AO670" s="13" t="str">
        <f>VLOOKUP(tblCleanData[[#This Row],[EmployeeNumber]],tblHelpers[],15,TRUE)</f>
        <v>High Risk</v>
      </c>
      <c r="AP670" s="13">
        <f>VLOOKUP(tblCleanData[[#This Row],[EmployeeNumber]],tblHelpers[],14,0)</f>
        <v>73</v>
      </c>
    </row>
    <row r="671" spans="1:42" x14ac:dyDescent="0.25">
      <c r="A671" s="13">
        <v>39</v>
      </c>
      <c r="B671" s="13" t="s">
        <v>36</v>
      </c>
      <c r="C671" s="13" t="s">
        <v>37</v>
      </c>
      <c r="D671" s="13">
        <v>1122</v>
      </c>
      <c r="E671" s="13" t="s">
        <v>62</v>
      </c>
      <c r="F671" s="13">
        <v>6</v>
      </c>
      <c r="G671" s="13">
        <v>3</v>
      </c>
      <c r="H671" s="13" t="s">
        <v>87</v>
      </c>
      <c r="I671" s="13">
        <v>1</v>
      </c>
      <c r="J671" s="13">
        <v>932</v>
      </c>
      <c r="K671" s="13">
        <v>4</v>
      </c>
      <c r="L671" s="13" t="s">
        <v>63</v>
      </c>
      <c r="M671" s="13">
        <v>70</v>
      </c>
      <c r="N671" s="13">
        <v>3</v>
      </c>
      <c r="O671" s="13">
        <v>1</v>
      </c>
      <c r="P671" s="13" t="s">
        <v>76</v>
      </c>
      <c r="Q671" s="13">
        <v>1</v>
      </c>
      <c r="R671" s="13" t="s">
        <v>66</v>
      </c>
      <c r="S671" s="20">
        <v>2404</v>
      </c>
      <c r="T671" s="13">
        <v>4303</v>
      </c>
      <c r="U671" s="13">
        <v>7</v>
      </c>
      <c r="V671" s="13" t="s">
        <v>52</v>
      </c>
      <c r="W671" s="13" t="s">
        <v>36</v>
      </c>
      <c r="X671" s="13">
        <v>21</v>
      </c>
      <c r="Y671" s="13">
        <v>4</v>
      </c>
      <c r="Z671" s="13">
        <v>4</v>
      </c>
      <c r="AA671" s="13">
        <v>80</v>
      </c>
      <c r="AB671" s="13">
        <v>0</v>
      </c>
      <c r="AC671" s="13">
        <v>8</v>
      </c>
      <c r="AD671" s="13">
        <v>2</v>
      </c>
      <c r="AE671" s="13">
        <v>1</v>
      </c>
      <c r="AF671" s="14">
        <v>2</v>
      </c>
      <c r="AG671" s="13">
        <v>2</v>
      </c>
      <c r="AH671" s="13">
        <v>2</v>
      </c>
      <c r="AI671" s="13">
        <v>2</v>
      </c>
      <c r="AJ671" s="13" t="str">
        <f t="shared" si="10"/>
        <v>30-39</v>
      </c>
      <c r="AK671" s="13" t="str">
        <f>IF(tblCleanData[[#This Row],[MonthlyIncome]]&lt;5000, "Low Income", IF(tblCleanData[[#This Row],[MonthlyIncome]]&lt;15000, "Medium Income", "High Income"))</f>
        <v>Low Income</v>
      </c>
      <c r="AL671" s="13">
        <f>IF(tblCleanData[[#This Row],[Attrition]]="No", 0,1)</f>
        <v>1</v>
      </c>
      <c r="AM671" s="13">
        <f>IF(tblCleanData[[#This Row],[OverTime]] = "No", 0, 1)</f>
        <v>1</v>
      </c>
      <c r="AN671" s="13" t="str">
        <f>CHOOSE(tblCleanData[[#This Row],[Education]], "Below College","College","Bachelor","Master","Doctor")</f>
        <v>Bachelor</v>
      </c>
      <c r="AO671" s="13" t="str">
        <f>VLOOKUP(tblCleanData[[#This Row],[EmployeeNumber]],tblHelpers[],15,TRUE)</f>
        <v>High Risk</v>
      </c>
      <c r="AP671" s="13">
        <f>VLOOKUP(tblCleanData[[#This Row],[EmployeeNumber]],tblHelpers[],14,0)</f>
        <v>100</v>
      </c>
    </row>
    <row r="672" spans="1:42" x14ac:dyDescent="0.25">
      <c r="A672" s="13">
        <v>27</v>
      </c>
      <c r="B672" s="13" t="s">
        <v>59</v>
      </c>
      <c r="C672" s="13" t="s">
        <v>37</v>
      </c>
      <c r="D672" s="13">
        <v>618</v>
      </c>
      <c r="E672" s="13" t="s">
        <v>62</v>
      </c>
      <c r="F672" s="13">
        <v>4</v>
      </c>
      <c r="G672" s="13">
        <v>3</v>
      </c>
      <c r="H672" s="13" t="s">
        <v>42</v>
      </c>
      <c r="I672" s="13">
        <v>1</v>
      </c>
      <c r="J672" s="13">
        <v>933</v>
      </c>
      <c r="K672" s="13">
        <v>2</v>
      </c>
      <c r="L672" s="13" t="s">
        <v>43</v>
      </c>
      <c r="M672" s="13">
        <v>76</v>
      </c>
      <c r="N672" s="13">
        <v>3</v>
      </c>
      <c r="O672" s="13">
        <v>1</v>
      </c>
      <c r="P672" s="13" t="s">
        <v>65</v>
      </c>
      <c r="Q672" s="13">
        <v>3</v>
      </c>
      <c r="R672" s="13" t="s">
        <v>48</v>
      </c>
      <c r="S672" s="20">
        <v>2318</v>
      </c>
      <c r="T672" s="13">
        <v>17808</v>
      </c>
      <c r="U672" s="13">
        <v>1</v>
      </c>
      <c r="V672" s="13" t="s">
        <v>52</v>
      </c>
      <c r="W672" s="13" t="s">
        <v>59</v>
      </c>
      <c r="X672" s="13">
        <v>19</v>
      </c>
      <c r="Y672" s="13">
        <v>3</v>
      </c>
      <c r="Z672" s="13">
        <v>3</v>
      </c>
      <c r="AA672" s="13">
        <v>80</v>
      </c>
      <c r="AB672" s="13">
        <v>0</v>
      </c>
      <c r="AC672" s="13">
        <v>1</v>
      </c>
      <c r="AD672" s="13">
        <v>2</v>
      </c>
      <c r="AE672" s="13">
        <v>3</v>
      </c>
      <c r="AF672" s="14">
        <v>1</v>
      </c>
      <c r="AG672" s="13">
        <v>1</v>
      </c>
      <c r="AH672" s="13">
        <v>0</v>
      </c>
      <c r="AI672" s="13">
        <v>0</v>
      </c>
      <c r="AJ672" s="13" t="str">
        <f t="shared" si="10"/>
        <v>Under 30</v>
      </c>
      <c r="AK672" s="13" t="str">
        <f>IF(tblCleanData[[#This Row],[MonthlyIncome]]&lt;5000, "Low Income", IF(tblCleanData[[#This Row],[MonthlyIncome]]&lt;15000, "Medium Income", "High Income"))</f>
        <v>Low Income</v>
      </c>
      <c r="AL672" s="13">
        <f>IF(tblCleanData[[#This Row],[Attrition]]="No", 0,1)</f>
        <v>0</v>
      </c>
      <c r="AM672" s="13">
        <f>IF(tblCleanData[[#This Row],[OverTime]] = "No", 0, 1)</f>
        <v>0</v>
      </c>
      <c r="AN672" s="13" t="str">
        <f>CHOOSE(tblCleanData[[#This Row],[Education]], "Below College","College","Bachelor","Master","Doctor")</f>
        <v>Bachelor</v>
      </c>
      <c r="AO672" s="13" t="str">
        <f>VLOOKUP(tblCleanData[[#This Row],[EmployeeNumber]],tblHelpers[],15,TRUE)</f>
        <v>High Risk</v>
      </c>
      <c r="AP672" s="13">
        <f>VLOOKUP(tblCleanData[[#This Row],[EmployeeNumber]],tblHelpers[],14,0)</f>
        <v>73</v>
      </c>
    </row>
    <row r="673" spans="1:42" x14ac:dyDescent="0.25">
      <c r="A673" s="13">
        <v>34</v>
      </c>
      <c r="B673" s="13" t="s">
        <v>59</v>
      </c>
      <c r="C673" s="13" t="s">
        <v>37</v>
      </c>
      <c r="D673" s="13">
        <v>546</v>
      </c>
      <c r="E673" s="13" t="s">
        <v>62</v>
      </c>
      <c r="F673" s="13">
        <v>10</v>
      </c>
      <c r="G673" s="13">
        <v>3</v>
      </c>
      <c r="H673" s="13" t="s">
        <v>42</v>
      </c>
      <c r="I673" s="13">
        <v>1</v>
      </c>
      <c r="J673" s="13">
        <v>934</v>
      </c>
      <c r="K673" s="13">
        <v>2</v>
      </c>
      <c r="L673" s="13" t="s">
        <v>63</v>
      </c>
      <c r="M673" s="13">
        <v>83</v>
      </c>
      <c r="N673" s="13">
        <v>3</v>
      </c>
      <c r="O673" s="13">
        <v>1</v>
      </c>
      <c r="P673" s="13" t="s">
        <v>76</v>
      </c>
      <c r="Q673" s="13">
        <v>2</v>
      </c>
      <c r="R673" s="13" t="s">
        <v>109</v>
      </c>
      <c r="S673" s="20">
        <v>2008</v>
      </c>
      <c r="T673" s="13">
        <v>6896</v>
      </c>
      <c r="U673" s="13">
        <v>1</v>
      </c>
      <c r="V673" s="13" t="s">
        <v>52</v>
      </c>
      <c r="W673" s="13" t="s">
        <v>59</v>
      </c>
      <c r="X673" s="13">
        <v>14</v>
      </c>
      <c r="Y673" s="13">
        <v>3</v>
      </c>
      <c r="Z673" s="13">
        <v>2</v>
      </c>
      <c r="AA673" s="13">
        <v>80</v>
      </c>
      <c r="AB673" s="13">
        <v>2</v>
      </c>
      <c r="AC673" s="13">
        <v>1</v>
      </c>
      <c r="AD673" s="13">
        <v>3</v>
      </c>
      <c r="AE673" s="13">
        <v>3</v>
      </c>
      <c r="AF673" s="14">
        <v>1</v>
      </c>
      <c r="AG673" s="13">
        <v>0</v>
      </c>
      <c r="AH673" s="13">
        <v>1</v>
      </c>
      <c r="AI673" s="13">
        <v>0</v>
      </c>
      <c r="AJ673" s="13" t="str">
        <f t="shared" si="10"/>
        <v>30-39</v>
      </c>
      <c r="AK673" s="13" t="str">
        <f>IF(tblCleanData[[#This Row],[MonthlyIncome]]&lt;5000, "Low Income", IF(tblCleanData[[#This Row],[MonthlyIncome]]&lt;15000, "Medium Income", "High Income"))</f>
        <v>Low Income</v>
      </c>
      <c r="AL673" s="13">
        <f>IF(tblCleanData[[#This Row],[Attrition]]="No", 0,1)</f>
        <v>0</v>
      </c>
      <c r="AM673" s="13">
        <f>IF(tblCleanData[[#This Row],[OverTime]] = "No", 0, 1)</f>
        <v>0</v>
      </c>
      <c r="AN673" s="13" t="str">
        <f>CHOOSE(tblCleanData[[#This Row],[Education]], "Below College","College","Bachelor","Master","Doctor")</f>
        <v>Bachelor</v>
      </c>
      <c r="AO673" s="13" t="str">
        <f>VLOOKUP(tblCleanData[[#This Row],[EmployeeNumber]],tblHelpers[],15,TRUE)</f>
        <v>High Risk</v>
      </c>
      <c r="AP673" s="13">
        <f>VLOOKUP(tblCleanData[[#This Row],[EmployeeNumber]],tblHelpers[],14,0)</f>
        <v>69</v>
      </c>
    </row>
    <row r="674" spans="1:42" x14ac:dyDescent="0.25">
      <c r="A674" s="13">
        <v>42</v>
      </c>
      <c r="B674" s="13" t="s">
        <v>59</v>
      </c>
      <c r="C674" s="13" t="s">
        <v>37</v>
      </c>
      <c r="D674" s="13">
        <v>462</v>
      </c>
      <c r="E674" s="13" t="s">
        <v>39</v>
      </c>
      <c r="F674" s="13">
        <v>14</v>
      </c>
      <c r="G674" s="13">
        <v>2</v>
      </c>
      <c r="H674" s="13" t="s">
        <v>87</v>
      </c>
      <c r="I674" s="13">
        <v>1</v>
      </c>
      <c r="J674" s="13">
        <v>936</v>
      </c>
      <c r="K674" s="13">
        <v>3</v>
      </c>
      <c r="L674" s="13" t="s">
        <v>43</v>
      </c>
      <c r="M674" s="13">
        <v>68</v>
      </c>
      <c r="N674" s="13">
        <v>2</v>
      </c>
      <c r="O674" s="13">
        <v>2</v>
      </c>
      <c r="P674" s="13" t="s">
        <v>46</v>
      </c>
      <c r="Q674" s="13">
        <v>3</v>
      </c>
      <c r="R674" s="13" t="s">
        <v>48</v>
      </c>
      <c r="S674" s="20">
        <v>6244</v>
      </c>
      <c r="T674" s="13">
        <v>7824</v>
      </c>
      <c r="U674" s="13">
        <v>7</v>
      </c>
      <c r="V674" s="13" t="s">
        <v>52</v>
      </c>
      <c r="W674" s="13" t="s">
        <v>59</v>
      </c>
      <c r="X674" s="13">
        <v>17</v>
      </c>
      <c r="Y674" s="13">
        <v>3</v>
      </c>
      <c r="Z674" s="13">
        <v>1</v>
      </c>
      <c r="AA674" s="13">
        <v>80</v>
      </c>
      <c r="AB674" s="13">
        <v>0</v>
      </c>
      <c r="AC674" s="13">
        <v>10</v>
      </c>
      <c r="AD674" s="13">
        <v>6</v>
      </c>
      <c r="AE674" s="13">
        <v>3</v>
      </c>
      <c r="AF674" s="14">
        <v>5</v>
      </c>
      <c r="AG674" s="13">
        <v>4</v>
      </c>
      <c r="AH674" s="13">
        <v>0</v>
      </c>
      <c r="AI674" s="13">
        <v>3</v>
      </c>
      <c r="AJ674" s="13" t="str">
        <f t="shared" si="10"/>
        <v>40-49</v>
      </c>
      <c r="AK674" s="13" t="str">
        <f>IF(tblCleanData[[#This Row],[MonthlyIncome]]&lt;5000, "Low Income", IF(tblCleanData[[#This Row],[MonthlyIncome]]&lt;15000, "Medium Income", "High Income"))</f>
        <v>Medium Income</v>
      </c>
      <c r="AL674" s="13">
        <f>IF(tblCleanData[[#This Row],[Attrition]]="No", 0,1)</f>
        <v>0</v>
      </c>
      <c r="AM674" s="13">
        <f>IF(tblCleanData[[#This Row],[OverTime]] = "No", 0, 1)</f>
        <v>0</v>
      </c>
      <c r="AN674" s="13" t="str">
        <f>CHOOSE(tblCleanData[[#This Row],[Education]], "Below College","College","Bachelor","Master","Doctor")</f>
        <v>College</v>
      </c>
      <c r="AO674" s="13" t="str">
        <f>VLOOKUP(tblCleanData[[#This Row],[EmployeeNumber]],tblHelpers[],15,TRUE)</f>
        <v>Medium Risk</v>
      </c>
      <c r="AP674" s="13">
        <f>VLOOKUP(tblCleanData[[#This Row],[EmployeeNumber]],tblHelpers[],14,0)</f>
        <v>43</v>
      </c>
    </row>
    <row r="675" spans="1:42" x14ac:dyDescent="0.25">
      <c r="A675" s="13">
        <v>33</v>
      </c>
      <c r="B675" s="13" t="s">
        <v>59</v>
      </c>
      <c r="C675" s="13" t="s">
        <v>37</v>
      </c>
      <c r="D675" s="13">
        <v>1198</v>
      </c>
      <c r="E675" s="13" t="s">
        <v>62</v>
      </c>
      <c r="F675" s="13">
        <v>1</v>
      </c>
      <c r="G675" s="13">
        <v>4</v>
      </c>
      <c r="H675" s="13" t="s">
        <v>74</v>
      </c>
      <c r="I675" s="13">
        <v>1</v>
      </c>
      <c r="J675" s="13">
        <v>939</v>
      </c>
      <c r="K675" s="13">
        <v>3</v>
      </c>
      <c r="L675" s="13" t="s">
        <v>63</v>
      </c>
      <c r="M675" s="13">
        <v>100</v>
      </c>
      <c r="N675" s="13">
        <v>2</v>
      </c>
      <c r="O675" s="13">
        <v>1</v>
      </c>
      <c r="P675" s="13" t="s">
        <v>65</v>
      </c>
      <c r="Q675" s="13">
        <v>1</v>
      </c>
      <c r="R675" s="13" t="s">
        <v>48</v>
      </c>
      <c r="S675" s="20">
        <v>2799</v>
      </c>
      <c r="T675" s="13">
        <v>3339</v>
      </c>
      <c r="U675" s="13">
        <v>3</v>
      </c>
      <c r="V675" s="13" t="s">
        <v>52</v>
      </c>
      <c r="W675" s="13" t="s">
        <v>36</v>
      </c>
      <c r="X675" s="13">
        <v>11</v>
      </c>
      <c r="Y675" s="13">
        <v>3</v>
      </c>
      <c r="Z675" s="13">
        <v>2</v>
      </c>
      <c r="AA675" s="13">
        <v>80</v>
      </c>
      <c r="AB675" s="13">
        <v>0</v>
      </c>
      <c r="AC675" s="13">
        <v>6</v>
      </c>
      <c r="AD675" s="13">
        <v>1</v>
      </c>
      <c r="AE675" s="13">
        <v>3</v>
      </c>
      <c r="AF675" s="14">
        <v>3</v>
      </c>
      <c r="AG675" s="13">
        <v>2</v>
      </c>
      <c r="AH675" s="13">
        <v>0</v>
      </c>
      <c r="AI675" s="13">
        <v>2</v>
      </c>
      <c r="AJ675" s="13" t="str">
        <f t="shared" si="10"/>
        <v>30-39</v>
      </c>
      <c r="AK675" s="13" t="str">
        <f>IF(tblCleanData[[#This Row],[MonthlyIncome]]&lt;5000, "Low Income", IF(tblCleanData[[#This Row],[MonthlyIncome]]&lt;15000, "Medium Income", "High Income"))</f>
        <v>Low Income</v>
      </c>
      <c r="AL675" s="13">
        <f>IF(tblCleanData[[#This Row],[Attrition]]="No", 0,1)</f>
        <v>0</v>
      </c>
      <c r="AM675" s="13">
        <f>IF(tblCleanData[[#This Row],[OverTime]] = "No", 0, 1)</f>
        <v>1</v>
      </c>
      <c r="AN675" s="13" t="str">
        <f>CHOOSE(tblCleanData[[#This Row],[Education]], "Below College","College","Bachelor","Master","Doctor")</f>
        <v>Master</v>
      </c>
      <c r="AO675" s="13" t="str">
        <f>VLOOKUP(tblCleanData[[#This Row],[EmployeeNumber]],tblHelpers[],15,TRUE)</f>
        <v>High Risk</v>
      </c>
      <c r="AP675" s="13">
        <f>VLOOKUP(tblCleanData[[#This Row],[EmployeeNumber]],tblHelpers[],14,0)</f>
        <v>90</v>
      </c>
    </row>
    <row r="676" spans="1:42" x14ac:dyDescent="0.25">
      <c r="A676" s="13">
        <v>58</v>
      </c>
      <c r="B676" s="13" t="s">
        <v>59</v>
      </c>
      <c r="C676" s="13" t="s">
        <v>37</v>
      </c>
      <c r="D676" s="13">
        <v>1272</v>
      </c>
      <c r="E676" s="13" t="s">
        <v>62</v>
      </c>
      <c r="F676" s="13">
        <v>5</v>
      </c>
      <c r="G676" s="13">
        <v>3</v>
      </c>
      <c r="H676" s="13" t="s">
        <v>228</v>
      </c>
      <c r="I676" s="13">
        <v>1</v>
      </c>
      <c r="J676" s="13">
        <v>940</v>
      </c>
      <c r="K676" s="13">
        <v>3</v>
      </c>
      <c r="L676" s="13" t="s">
        <v>43</v>
      </c>
      <c r="M676" s="13">
        <v>37</v>
      </c>
      <c r="N676" s="13">
        <v>2</v>
      </c>
      <c r="O676" s="13">
        <v>3</v>
      </c>
      <c r="P676" s="13" t="s">
        <v>122</v>
      </c>
      <c r="Q676" s="13">
        <v>2</v>
      </c>
      <c r="R676" s="13" t="s">
        <v>109</v>
      </c>
      <c r="S676" s="20">
        <v>10552</v>
      </c>
      <c r="T676" s="13">
        <v>9255</v>
      </c>
      <c r="U676" s="13">
        <v>2</v>
      </c>
      <c r="V676" s="13" t="s">
        <v>52</v>
      </c>
      <c r="W676" s="13" t="s">
        <v>36</v>
      </c>
      <c r="X676" s="13">
        <v>13</v>
      </c>
      <c r="Y676" s="13">
        <v>3</v>
      </c>
      <c r="Z676" s="13">
        <v>4</v>
      </c>
      <c r="AA676" s="13">
        <v>80</v>
      </c>
      <c r="AB676" s="13">
        <v>1</v>
      </c>
      <c r="AC676" s="13">
        <v>24</v>
      </c>
      <c r="AD676" s="13">
        <v>3</v>
      </c>
      <c r="AE676" s="13">
        <v>3</v>
      </c>
      <c r="AF676" s="14">
        <v>6</v>
      </c>
      <c r="AG676" s="13">
        <v>0</v>
      </c>
      <c r="AH676" s="13">
        <v>0</v>
      </c>
      <c r="AI676" s="13">
        <v>4</v>
      </c>
      <c r="AJ676" s="13" t="str">
        <f t="shared" si="10"/>
        <v>50+</v>
      </c>
      <c r="AK676" s="13" t="str">
        <f>IF(tblCleanData[[#This Row],[MonthlyIncome]]&lt;5000, "Low Income", IF(tblCleanData[[#This Row],[MonthlyIncome]]&lt;15000, "Medium Income", "High Income"))</f>
        <v>Medium Income</v>
      </c>
      <c r="AL676" s="13">
        <f>IF(tblCleanData[[#This Row],[Attrition]]="No", 0,1)</f>
        <v>0</v>
      </c>
      <c r="AM676" s="13">
        <f>IF(tblCleanData[[#This Row],[OverTime]] = "No", 0, 1)</f>
        <v>1</v>
      </c>
      <c r="AN676" s="13" t="str">
        <f>CHOOSE(tblCleanData[[#This Row],[Education]], "Below College","College","Bachelor","Master","Doctor")</f>
        <v>Bachelor</v>
      </c>
      <c r="AO676" s="13" t="str">
        <f>VLOOKUP(tblCleanData[[#This Row],[EmployeeNumber]],tblHelpers[],15,TRUE)</f>
        <v>High Risk</v>
      </c>
      <c r="AP676" s="13">
        <f>VLOOKUP(tblCleanData[[#This Row],[EmployeeNumber]],tblHelpers[],14,0)</f>
        <v>72</v>
      </c>
    </row>
    <row r="677" spans="1:42" x14ac:dyDescent="0.25">
      <c r="A677" s="13">
        <v>31</v>
      </c>
      <c r="B677" s="13" t="s">
        <v>59</v>
      </c>
      <c r="C677" s="13" t="s">
        <v>37</v>
      </c>
      <c r="D677" s="13">
        <v>154</v>
      </c>
      <c r="E677" s="13" t="s">
        <v>39</v>
      </c>
      <c r="F677" s="13">
        <v>7</v>
      </c>
      <c r="G677" s="13">
        <v>4</v>
      </c>
      <c r="H677" s="13" t="s">
        <v>42</v>
      </c>
      <c r="I677" s="13">
        <v>1</v>
      </c>
      <c r="J677" s="13">
        <v>941</v>
      </c>
      <c r="K677" s="13">
        <v>2</v>
      </c>
      <c r="L677" s="13" t="s">
        <v>63</v>
      </c>
      <c r="M677" s="13">
        <v>41</v>
      </c>
      <c r="N677" s="13">
        <v>2</v>
      </c>
      <c r="O677" s="13">
        <v>1</v>
      </c>
      <c r="P677" s="13" t="s">
        <v>182</v>
      </c>
      <c r="Q677" s="13">
        <v>3</v>
      </c>
      <c r="R677" s="13" t="s">
        <v>66</v>
      </c>
      <c r="S677" s="20">
        <v>2329</v>
      </c>
      <c r="T677" s="13">
        <v>11737</v>
      </c>
      <c r="U677" s="13">
        <v>3</v>
      </c>
      <c r="V677" s="13" t="s">
        <v>52</v>
      </c>
      <c r="W677" s="13" t="s">
        <v>59</v>
      </c>
      <c r="X677" s="13">
        <v>15</v>
      </c>
      <c r="Y677" s="13">
        <v>3</v>
      </c>
      <c r="Z677" s="13">
        <v>2</v>
      </c>
      <c r="AA677" s="13">
        <v>80</v>
      </c>
      <c r="AB677" s="13">
        <v>0</v>
      </c>
      <c r="AC677" s="13">
        <v>13</v>
      </c>
      <c r="AD677" s="13">
        <v>2</v>
      </c>
      <c r="AE677" s="13">
        <v>4</v>
      </c>
      <c r="AF677" s="14">
        <v>7</v>
      </c>
      <c r="AG677" s="13">
        <v>7</v>
      </c>
      <c r="AH677" s="13">
        <v>5</v>
      </c>
      <c r="AI677" s="13">
        <v>2</v>
      </c>
      <c r="AJ677" s="13" t="str">
        <f t="shared" si="10"/>
        <v>30-39</v>
      </c>
      <c r="AK677" s="13" t="str">
        <f>IF(tblCleanData[[#This Row],[MonthlyIncome]]&lt;5000, "Low Income", IF(tblCleanData[[#This Row],[MonthlyIncome]]&lt;15000, "Medium Income", "High Income"))</f>
        <v>Low Income</v>
      </c>
      <c r="AL677" s="13">
        <f>IF(tblCleanData[[#This Row],[Attrition]]="No", 0,1)</f>
        <v>0</v>
      </c>
      <c r="AM677" s="13">
        <f>IF(tblCleanData[[#This Row],[OverTime]] = "No", 0, 1)</f>
        <v>0</v>
      </c>
      <c r="AN677" s="13" t="str">
        <f>CHOOSE(tblCleanData[[#This Row],[Education]], "Below College","College","Bachelor","Master","Doctor")</f>
        <v>Master</v>
      </c>
      <c r="AO677" s="13" t="str">
        <f>VLOOKUP(tblCleanData[[#This Row],[EmployeeNumber]],tblHelpers[],15,TRUE)</f>
        <v>Medium Risk</v>
      </c>
      <c r="AP677" s="13">
        <f>VLOOKUP(tblCleanData[[#This Row],[EmployeeNumber]],tblHelpers[],14,0)</f>
        <v>46</v>
      </c>
    </row>
    <row r="678" spans="1:42" x14ac:dyDescent="0.25">
      <c r="A678" s="13">
        <v>35</v>
      </c>
      <c r="B678" s="13" t="s">
        <v>59</v>
      </c>
      <c r="C678" s="13" t="s">
        <v>37</v>
      </c>
      <c r="D678" s="13">
        <v>1137</v>
      </c>
      <c r="E678" s="13" t="s">
        <v>62</v>
      </c>
      <c r="F678" s="13">
        <v>21</v>
      </c>
      <c r="G678" s="13">
        <v>1</v>
      </c>
      <c r="H678" s="13" t="s">
        <v>42</v>
      </c>
      <c r="I678" s="13">
        <v>1</v>
      </c>
      <c r="J678" s="13">
        <v>942</v>
      </c>
      <c r="K678" s="13">
        <v>4</v>
      </c>
      <c r="L678" s="13" t="s">
        <v>43</v>
      </c>
      <c r="M678" s="13">
        <v>51</v>
      </c>
      <c r="N678" s="13">
        <v>3</v>
      </c>
      <c r="O678" s="13">
        <v>2</v>
      </c>
      <c r="P678" s="13" t="s">
        <v>122</v>
      </c>
      <c r="Q678" s="13">
        <v>4</v>
      </c>
      <c r="R678" s="13" t="s">
        <v>66</v>
      </c>
      <c r="S678" s="20">
        <v>4014</v>
      </c>
      <c r="T678" s="13">
        <v>19170</v>
      </c>
      <c r="U678" s="13">
        <v>1</v>
      </c>
      <c r="V678" s="13" t="s">
        <v>52</v>
      </c>
      <c r="W678" s="13" t="s">
        <v>36</v>
      </c>
      <c r="X678" s="13">
        <v>25</v>
      </c>
      <c r="Y678" s="13">
        <v>4</v>
      </c>
      <c r="Z678" s="13">
        <v>4</v>
      </c>
      <c r="AA678" s="13">
        <v>80</v>
      </c>
      <c r="AB678" s="13">
        <v>1</v>
      </c>
      <c r="AC678" s="13">
        <v>10</v>
      </c>
      <c r="AD678" s="13">
        <v>2</v>
      </c>
      <c r="AE678" s="13">
        <v>1</v>
      </c>
      <c r="AF678" s="14">
        <v>10</v>
      </c>
      <c r="AG678" s="13">
        <v>6</v>
      </c>
      <c r="AH678" s="13">
        <v>0</v>
      </c>
      <c r="AI678" s="13">
        <v>7</v>
      </c>
      <c r="AJ678" s="13" t="str">
        <f t="shared" si="10"/>
        <v>30-39</v>
      </c>
      <c r="AK678" s="13" t="str">
        <f>IF(tblCleanData[[#This Row],[MonthlyIncome]]&lt;5000, "Low Income", IF(tblCleanData[[#This Row],[MonthlyIncome]]&lt;15000, "Medium Income", "High Income"))</f>
        <v>Low Income</v>
      </c>
      <c r="AL678" s="13">
        <f>IF(tblCleanData[[#This Row],[Attrition]]="No", 0,1)</f>
        <v>0</v>
      </c>
      <c r="AM678" s="13">
        <f>IF(tblCleanData[[#This Row],[OverTime]] = "No", 0, 1)</f>
        <v>1</v>
      </c>
      <c r="AN678" s="13" t="str">
        <f>CHOOSE(tblCleanData[[#This Row],[Education]], "Below College","College","Bachelor","Master","Doctor")</f>
        <v>Below College</v>
      </c>
      <c r="AO678" s="13" t="str">
        <f>VLOOKUP(tblCleanData[[#This Row],[EmployeeNumber]],tblHelpers[],15,TRUE)</f>
        <v>High Risk</v>
      </c>
      <c r="AP678" s="13">
        <f>VLOOKUP(tblCleanData[[#This Row],[EmployeeNumber]],tblHelpers[],14,0)</f>
        <v>64</v>
      </c>
    </row>
    <row r="679" spans="1:42" x14ac:dyDescent="0.25">
      <c r="A679" s="13">
        <v>49</v>
      </c>
      <c r="B679" s="13" t="s">
        <v>59</v>
      </c>
      <c r="C679" s="13" t="s">
        <v>37</v>
      </c>
      <c r="D679" s="13">
        <v>527</v>
      </c>
      <c r="E679" s="13" t="s">
        <v>62</v>
      </c>
      <c r="F679" s="13">
        <v>8</v>
      </c>
      <c r="G679" s="13">
        <v>2</v>
      </c>
      <c r="H679" s="13" t="s">
        <v>74</v>
      </c>
      <c r="I679" s="13">
        <v>1</v>
      </c>
      <c r="J679" s="13">
        <v>944</v>
      </c>
      <c r="K679" s="13">
        <v>1</v>
      </c>
      <c r="L679" s="13" t="s">
        <v>43</v>
      </c>
      <c r="M679" s="13">
        <v>51</v>
      </c>
      <c r="N679" s="13">
        <v>3</v>
      </c>
      <c r="O679" s="13">
        <v>3</v>
      </c>
      <c r="P679" s="13" t="s">
        <v>76</v>
      </c>
      <c r="Q679" s="13">
        <v>2</v>
      </c>
      <c r="R679" s="13" t="s">
        <v>66</v>
      </c>
      <c r="S679" s="20">
        <v>7403</v>
      </c>
      <c r="T679" s="13">
        <v>22477</v>
      </c>
      <c r="U679" s="13">
        <v>4</v>
      </c>
      <c r="V679" s="13" t="s">
        <v>52</v>
      </c>
      <c r="W679" s="13" t="s">
        <v>59</v>
      </c>
      <c r="X679" s="13">
        <v>11</v>
      </c>
      <c r="Y679" s="13">
        <v>3</v>
      </c>
      <c r="Z679" s="13">
        <v>3</v>
      </c>
      <c r="AA679" s="13">
        <v>80</v>
      </c>
      <c r="AB679" s="13">
        <v>1</v>
      </c>
      <c r="AC679" s="13">
        <v>29</v>
      </c>
      <c r="AD679" s="13">
        <v>3</v>
      </c>
      <c r="AE679" s="13">
        <v>2</v>
      </c>
      <c r="AF679" s="14">
        <v>26</v>
      </c>
      <c r="AG679" s="13">
        <v>9</v>
      </c>
      <c r="AH679" s="13">
        <v>1</v>
      </c>
      <c r="AI679" s="13">
        <v>7</v>
      </c>
      <c r="AJ679" s="13" t="str">
        <f t="shared" si="10"/>
        <v>40-49</v>
      </c>
      <c r="AK679" s="13" t="str">
        <f>IF(tblCleanData[[#This Row],[MonthlyIncome]]&lt;5000, "Low Income", IF(tblCleanData[[#This Row],[MonthlyIncome]]&lt;15000, "Medium Income", "High Income"))</f>
        <v>Medium Income</v>
      </c>
      <c r="AL679" s="13">
        <f>IF(tblCleanData[[#This Row],[Attrition]]="No", 0,1)</f>
        <v>0</v>
      </c>
      <c r="AM679" s="13">
        <f>IF(tblCleanData[[#This Row],[OverTime]] = "No", 0, 1)</f>
        <v>0</v>
      </c>
      <c r="AN679" s="13" t="str">
        <f>CHOOSE(tblCleanData[[#This Row],[Education]], "Below College","College","Bachelor","Master","Doctor")</f>
        <v>College</v>
      </c>
      <c r="AO679" s="13" t="str">
        <f>VLOOKUP(tblCleanData[[#This Row],[EmployeeNumber]],tblHelpers[],15,TRUE)</f>
        <v>Medium Risk</v>
      </c>
      <c r="AP679" s="13">
        <f>VLOOKUP(tblCleanData[[#This Row],[EmployeeNumber]],tblHelpers[],14,0)</f>
        <v>37</v>
      </c>
    </row>
    <row r="680" spans="1:42" x14ac:dyDescent="0.25">
      <c r="A680" s="13">
        <v>48</v>
      </c>
      <c r="B680" s="13" t="s">
        <v>59</v>
      </c>
      <c r="C680" s="13" t="s">
        <v>37</v>
      </c>
      <c r="D680" s="13">
        <v>1469</v>
      </c>
      <c r="E680" s="13" t="s">
        <v>62</v>
      </c>
      <c r="F680" s="13">
        <v>20</v>
      </c>
      <c r="G680" s="13">
        <v>4</v>
      </c>
      <c r="H680" s="13" t="s">
        <v>87</v>
      </c>
      <c r="I680" s="13">
        <v>1</v>
      </c>
      <c r="J680" s="13">
        <v>945</v>
      </c>
      <c r="K680" s="13">
        <v>4</v>
      </c>
      <c r="L680" s="13" t="s">
        <v>63</v>
      </c>
      <c r="M680" s="13">
        <v>51</v>
      </c>
      <c r="N680" s="13">
        <v>3</v>
      </c>
      <c r="O680" s="13">
        <v>1</v>
      </c>
      <c r="P680" s="13" t="s">
        <v>65</v>
      </c>
      <c r="Q680" s="13">
        <v>3</v>
      </c>
      <c r="R680" s="13" t="s">
        <v>66</v>
      </c>
      <c r="S680" s="20">
        <v>2259</v>
      </c>
      <c r="T680" s="13">
        <v>5543</v>
      </c>
      <c r="U680" s="13">
        <v>4</v>
      </c>
      <c r="V680" s="13" t="s">
        <v>52</v>
      </c>
      <c r="W680" s="13" t="s">
        <v>59</v>
      </c>
      <c r="X680" s="13">
        <v>17</v>
      </c>
      <c r="Y680" s="13">
        <v>3</v>
      </c>
      <c r="Z680" s="13">
        <v>1</v>
      </c>
      <c r="AA680" s="13">
        <v>80</v>
      </c>
      <c r="AB680" s="13">
        <v>2</v>
      </c>
      <c r="AC680" s="13">
        <v>13</v>
      </c>
      <c r="AD680" s="13">
        <v>2</v>
      </c>
      <c r="AE680" s="13">
        <v>2</v>
      </c>
      <c r="AF680" s="14">
        <v>0</v>
      </c>
      <c r="AG680" s="13">
        <v>0</v>
      </c>
      <c r="AH680" s="13">
        <v>0</v>
      </c>
      <c r="AI680" s="13">
        <v>0</v>
      </c>
      <c r="AJ680" s="13" t="str">
        <f t="shared" si="10"/>
        <v>40-49</v>
      </c>
      <c r="AK680" s="13" t="str">
        <f>IF(tblCleanData[[#This Row],[MonthlyIncome]]&lt;5000, "Low Income", IF(tblCleanData[[#This Row],[MonthlyIncome]]&lt;15000, "Medium Income", "High Income"))</f>
        <v>Low Income</v>
      </c>
      <c r="AL680" s="13">
        <f>IF(tblCleanData[[#This Row],[Attrition]]="No", 0,1)</f>
        <v>0</v>
      </c>
      <c r="AM680" s="13">
        <f>IF(tblCleanData[[#This Row],[OverTime]] = "No", 0, 1)</f>
        <v>0</v>
      </c>
      <c r="AN680" s="13" t="str">
        <f>CHOOSE(tblCleanData[[#This Row],[Education]], "Below College","College","Bachelor","Master","Doctor")</f>
        <v>Master</v>
      </c>
      <c r="AO680" s="13" t="str">
        <f>VLOOKUP(tblCleanData[[#This Row],[EmployeeNumber]],tblHelpers[],15,TRUE)</f>
        <v>Medium Risk</v>
      </c>
      <c r="AP680" s="13">
        <f>VLOOKUP(tblCleanData[[#This Row],[EmployeeNumber]],tblHelpers[],14,0)</f>
        <v>53</v>
      </c>
    </row>
    <row r="681" spans="1:42" x14ac:dyDescent="0.25">
      <c r="A681" s="13">
        <v>31</v>
      </c>
      <c r="B681" s="13" t="s">
        <v>59</v>
      </c>
      <c r="C681" s="13" t="s">
        <v>161</v>
      </c>
      <c r="D681" s="13">
        <v>1188</v>
      </c>
      <c r="E681" s="13" t="s">
        <v>39</v>
      </c>
      <c r="F681" s="13">
        <v>20</v>
      </c>
      <c r="G681" s="13">
        <v>2</v>
      </c>
      <c r="H681" s="13" t="s">
        <v>206</v>
      </c>
      <c r="I681" s="13">
        <v>1</v>
      </c>
      <c r="J681" s="13">
        <v>947</v>
      </c>
      <c r="K681" s="13">
        <v>4</v>
      </c>
      <c r="L681" s="13" t="s">
        <v>43</v>
      </c>
      <c r="M681" s="13">
        <v>45</v>
      </c>
      <c r="N681" s="13">
        <v>3</v>
      </c>
      <c r="O681" s="13">
        <v>2</v>
      </c>
      <c r="P681" s="13" t="s">
        <v>46</v>
      </c>
      <c r="Q681" s="13">
        <v>3</v>
      </c>
      <c r="R681" s="13" t="s">
        <v>66</v>
      </c>
      <c r="S681" s="20">
        <v>6932</v>
      </c>
      <c r="T681" s="13">
        <v>24406</v>
      </c>
      <c r="U681" s="13">
        <v>1</v>
      </c>
      <c r="V681" s="13" t="s">
        <v>52</v>
      </c>
      <c r="W681" s="13" t="s">
        <v>59</v>
      </c>
      <c r="X681" s="13">
        <v>13</v>
      </c>
      <c r="Y681" s="13">
        <v>3</v>
      </c>
      <c r="Z681" s="13">
        <v>4</v>
      </c>
      <c r="AA681" s="13">
        <v>80</v>
      </c>
      <c r="AB681" s="13">
        <v>1</v>
      </c>
      <c r="AC681" s="13">
        <v>9</v>
      </c>
      <c r="AD681" s="13">
        <v>2</v>
      </c>
      <c r="AE681" s="13">
        <v>2</v>
      </c>
      <c r="AF681" s="14">
        <v>9</v>
      </c>
      <c r="AG681" s="13">
        <v>8</v>
      </c>
      <c r="AH681" s="13">
        <v>0</v>
      </c>
      <c r="AI681" s="13">
        <v>0</v>
      </c>
      <c r="AJ681" s="13" t="str">
        <f t="shared" si="10"/>
        <v>30-39</v>
      </c>
      <c r="AK681" s="13" t="str">
        <f>IF(tblCleanData[[#This Row],[MonthlyIncome]]&lt;5000, "Low Income", IF(tblCleanData[[#This Row],[MonthlyIncome]]&lt;15000, "Medium Income", "High Income"))</f>
        <v>Medium Income</v>
      </c>
      <c r="AL681" s="13">
        <f>IF(tblCleanData[[#This Row],[Attrition]]="No", 0,1)</f>
        <v>0</v>
      </c>
      <c r="AM681" s="13">
        <f>IF(tblCleanData[[#This Row],[OverTime]] = "No", 0, 1)</f>
        <v>0</v>
      </c>
      <c r="AN681" s="13" t="str">
        <f>CHOOSE(tblCleanData[[#This Row],[Education]], "Below College","College","Bachelor","Master","Doctor")</f>
        <v>College</v>
      </c>
      <c r="AO681" s="13" t="str">
        <f>VLOOKUP(tblCleanData[[#This Row],[EmployeeNumber]],tblHelpers[],15,TRUE)</f>
        <v>Medium Risk</v>
      </c>
      <c r="AP681" s="13">
        <f>VLOOKUP(tblCleanData[[#This Row],[EmployeeNumber]],tblHelpers[],14,0)</f>
        <v>46</v>
      </c>
    </row>
    <row r="682" spans="1:42" x14ac:dyDescent="0.25">
      <c r="A682" s="13">
        <v>36</v>
      </c>
      <c r="B682" s="13" t="s">
        <v>59</v>
      </c>
      <c r="C682" s="13" t="s">
        <v>37</v>
      </c>
      <c r="D682" s="13">
        <v>188</v>
      </c>
      <c r="E682" s="13" t="s">
        <v>62</v>
      </c>
      <c r="F682" s="13">
        <v>7</v>
      </c>
      <c r="G682" s="13">
        <v>4</v>
      </c>
      <c r="H682" s="13" t="s">
        <v>74</v>
      </c>
      <c r="I682" s="13">
        <v>1</v>
      </c>
      <c r="J682" s="13">
        <v>949</v>
      </c>
      <c r="K682" s="13">
        <v>2</v>
      </c>
      <c r="L682" s="13" t="s">
        <v>63</v>
      </c>
      <c r="M682" s="13">
        <v>65</v>
      </c>
      <c r="N682" s="13">
        <v>3</v>
      </c>
      <c r="O682" s="13">
        <v>1</v>
      </c>
      <c r="P682" s="13" t="s">
        <v>65</v>
      </c>
      <c r="Q682" s="13">
        <v>4</v>
      </c>
      <c r="R682" s="13" t="s">
        <v>48</v>
      </c>
      <c r="S682" s="20">
        <v>4678</v>
      </c>
      <c r="T682" s="13">
        <v>23293</v>
      </c>
      <c r="U682" s="13">
        <v>2</v>
      </c>
      <c r="V682" s="13" t="s">
        <v>52</v>
      </c>
      <c r="W682" s="13" t="s">
        <v>59</v>
      </c>
      <c r="X682" s="13">
        <v>18</v>
      </c>
      <c r="Y682" s="13">
        <v>3</v>
      </c>
      <c r="Z682" s="13">
        <v>3</v>
      </c>
      <c r="AA682" s="13">
        <v>80</v>
      </c>
      <c r="AB682" s="13">
        <v>0</v>
      </c>
      <c r="AC682" s="13">
        <v>8</v>
      </c>
      <c r="AD682" s="13">
        <v>6</v>
      </c>
      <c r="AE682" s="13">
        <v>3</v>
      </c>
      <c r="AF682" s="14">
        <v>6</v>
      </c>
      <c r="AG682" s="13">
        <v>2</v>
      </c>
      <c r="AH682" s="13">
        <v>0</v>
      </c>
      <c r="AI682" s="13">
        <v>1</v>
      </c>
      <c r="AJ682" s="13" t="str">
        <f t="shared" si="10"/>
        <v>30-39</v>
      </c>
      <c r="AK682" s="13" t="str">
        <f>IF(tblCleanData[[#This Row],[MonthlyIncome]]&lt;5000, "Low Income", IF(tblCleanData[[#This Row],[MonthlyIncome]]&lt;15000, "Medium Income", "High Income"))</f>
        <v>Low Income</v>
      </c>
      <c r="AL682" s="13">
        <f>IF(tblCleanData[[#This Row],[Attrition]]="No", 0,1)</f>
        <v>0</v>
      </c>
      <c r="AM682" s="13">
        <f>IF(tblCleanData[[#This Row],[OverTime]] = "No", 0, 1)</f>
        <v>0</v>
      </c>
      <c r="AN682" s="13" t="str">
        <f>CHOOSE(tblCleanData[[#This Row],[Education]], "Below College","College","Bachelor","Master","Doctor")</f>
        <v>Master</v>
      </c>
      <c r="AO682" s="13" t="str">
        <f>VLOOKUP(tblCleanData[[#This Row],[EmployeeNumber]],tblHelpers[],15,TRUE)</f>
        <v>Medium Risk</v>
      </c>
      <c r="AP682" s="13">
        <f>VLOOKUP(tblCleanData[[#This Row],[EmployeeNumber]],tblHelpers[],14,0)</f>
        <v>39</v>
      </c>
    </row>
    <row r="683" spans="1:42" x14ac:dyDescent="0.25">
      <c r="A683" s="13">
        <v>38</v>
      </c>
      <c r="B683" s="13" t="s">
        <v>59</v>
      </c>
      <c r="C683" s="13" t="s">
        <v>37</v>
      </c>
      <c r="D683" s="13">
        <v>1333</v>
      </c>
      <c r="E683" s="13" t="s">
        <v>62</v>
      </c>
      <c r="F683" s="13">
        <v>1</v>
      </c>
      <c r="G683" s="13">
        <v>3</v>
      </c>
      <c r="H683" s="13" t="s">
        <v>228</v>
      </c>
      <c r="I683" s="13">
        <v>1</v>
      </c>
      <c r="J683" s="13">
        <v>950</v>
      </c>
      <c r="K683" s="13">
        <v>4</v>
      </c>
      <c r="L683" s="13" t="s">
        <v>43</v>
      </c>
      <c r="M683" s="13">
        <v>80</v>
      </c>
      <c r="N683" s="13">
        <v>3</v>
      </c>
      <c r="O683" s="13">
        <v>3</v>
      </c>
      <c r="P683" s="13" t="s">
        <v>186</v>
      </c>
      <c r="Q683" s="13">
        <v>1</v>
      </c>
      <c r="R683" s="13" t="s">
        <v>66</v>
      </c>
      <c r="S683" s="20">
        <v>13582</v>
      </c>
      <c r="T683" s="13">
        <v>16292</v>
      </c>
      <c r="U683" s="13">
        <v>1</v>
      </c>
      <c r="V683" s="13" t="s">
        <v>52</v>
      </c>
      <c r="W683" s="13" t="s">
        <v>59</v>
      </c>
      <c r="X683" s="13">
        <v>13</v>
      </c>
      <c r="Y683" s="13">
        <v>3</v>
      </c>
      <c r="Z683" s="13">
        <v>2</v>
      </c>
      <c r="AA683" s="13">
        <v>80</v>
      </c>
      <c r="AB683" s="13">
        <v>1</v>
      </c>
      <c r="AC683" s="13">
        <v>15</v>
      </c>
      <c r="AD683" s="13">
        <v>3</v>
      </c>
      <c r="AE683" s="13">
        <v>3</v>
      </c>
      <c r="AF683" s="14">
        <v>15</v>
      </c>
      <c r="AG683" s="13">
        <v>12</v>
      </c>
      <c r="AH683" s="13">
        <v>5</v>
      </c>
      <c r="AI683" s="13">
        <v>11</v>
      </c>
      <c r="AJ683" s="13" t="str">
        <f t="shared" si="10"/>
        <v>30-39</v>
      </c>
      <c r="AK683" s="13" t="str">
        <f>IF(tblCleanData[[#This Row],[MonthlyIncome]]&lt;5000, "Low Income", IF(tblCleanData[[#This Row],[MonthlyIncome]]&lt;15000, "Medium Income", "High Income"))</f>
        <v>Medium Income</v>
      </c>
      <c r="AL683" s="13">
        <f>IF(tblCleanData[[#This Row],[Attrition]]="No", 0,1)</f>
        <v>0</v>
      </c>
      <c r="AM683" s="13">
        <f>IF(tblCleanData[[#This Row],[OverTime]] = "No", 0, 1)</f>
        <v>0</v>
      </c>
      <c r="AN683" s="13" t="str">
        <f>CHOOSE(tblCleanData[[#This Row],[Education]], "Below College","College","Bachelor","Master","Doctor")</f>
        <v>Bachelor</v>
      </c>
      <c r="AO683" s="13" t="str">
        <f>VLOOKUP(tblCleanData[[#This Row],[EmployeeNumber]],tblHelpers[],15,TRUE)</f>
        <v>Medium Risk</v>
      </c>
      <c r="AP683" s="13">
        <f>VLOOKUP(tblCleanData[[#This Row],[EmployeeNumber]],tblHelpers[],14,0)</f>
        <v>53</v>
      </c>
    </row>
    <row r="684" spans="1:42" x14ac:dyDescent="0.25">
      <c r="A684" s="13">
        <v>32</v>
      </c>
      <c r="B684" s="13" t="s">
        <v>59</v>
      </c>
      <c r="C684" s="13" t="s">
        <v>161</v>
      </c>
      <c r="D684" s="13">
        <v>1184</v>
      </c>
      <c r="E684" s="13" t="s">
        <v>62</v>
      </c>
      <c r="F684" s="13">
        <v>1</v>
      </c>
      <c r="G684" s="13">
        <v>3</v>
      </c>
      <c r="H684" s="13" t="s">
        <v>42</v>
      </c>
      <c r="I684" s="13">
        <v>1</v>
      </c>
      <c r="J684" s="13">
        <v>951</v>
      </c>
      <c r="K684" s="13">
        <v>3</v>
      </c>
      <c r="L684" s="13" t="s">
        <v>43</v>
      </c>
      <c r="M684" s="13">
        <v>70</v>
      </c>
      <c r="N684" s="13">
        <v>2</v>
      </c>
      <c r="O684" s="13">
        <v>1</v>
      </c>
      <c r="P684" s="13" t="s">
        <v>76</v>
      </c>
      <c r="Q684" s="13">
        <v>2</v>
      </c>
      <c r="R684" s="13" t="s">
        <v>66</v>
      </c>
      <c r="S684" s="20">
        <v>2332</v>
      </c>
      <c r="T684" s="13">
        <v>3974</v>
      </c>
      <c r="U684" s="13">
        <v>6</v>
      </c>
      <c r="V684" s="13" t="s">
        <v>52</v>
      </c>
      <c r="W684" s="13" t="s">
        <v>59</v>
      </c>
      <c r="X684" s="13">
        <v>20</v>
      </c>
      <c r="Y684" s="13">
        <v>4</v>
      </c>
      <c r="Z684" s="13">
        <v>3</v>
      </c>
      <c r="AA684" s="13">
        <v>80</v>
      </c>
      <c r="AB684" s="13">
        <v>0</v>
      </c>
      <c r="AC684" s="13">
        <v>5</v>
      </c>
      <c r="AD684" s="13">
        <v>3</v>
      </c>
      <c r="AE684" s="13">
        <v>3</v>
      </c>
      <c r="AF684" s="14">
        <v>3</v>
      </c>
      <c r="AG684" s="13">
        <v>0</v>
      </c>
      <c r="AH684" s="13">
        <v>0</v>
      </c>
      <c r="AI684" s="13">
        <v>2</v>
      </c>
      <c r="AJ684" s="13" t="str">
        <f t="shared" si="10"/>
        <v>30-39</v>
      </c>
      <c r="AK684" s="13" t="str">
        <f>IF(tblCleanData[[#This Row],[MonthlyIncome]]&lt;5000, "Low Income", IF(tblCleanData[[#This Row],[MonthlyIncome]]&lt;15000, "Medium Income", "High Income"))</f>
        <v>Low Income</v>
      </c>
      <c r="AL684" s="13">
        <f>IF(tblCleanData[[#This Row],[Attrition]]="No", 0,1)</f>
        <v>0</v>
      </c>
      <c r="AM684" s="13">
        <f>IF(tblCleanData[[#This Row],[OverTime]] = "No", 0, 1)</f>
        <v>0</v>
      </c>
      <c r="AN684" s="13" t="str">
        <f>CHOOSE(tblCleanData[[#This Row],[Education]], "Below College","College","Bachelor","Master","Doctor")</f>
        <v>Bachelor</v>
      </c>
      <c r="AO684" s="13" t="str">
        <f>VLOOKUP(tblCleanData[[#This Row],[EmployeeNumber]],tblHelpers[],15,TRUE)</f>
        <v>High Risk</v>
      </c>
      <c r="AP684" s="13">
        <f>VLOOKUP(tblCleanData[[#This Row],[EmployeeNumber]],tblHelpers[],14,0)</f>
        <v>59</v>
      </c>
    </row>
    <row r="685" spans="1:42" x14ac:dyDescent="0.25">
      <c r="A685" s="13">
        <v>25</v>
      </c>
      <c r="B685" s="13" t="s">
        <v>36</v>
      </c>
      <c r="C685" s="13" t="s">
        <v>37</v>
      </c>
      <c r="D685" s="13">
        <v>867</v>
      </c>
      <c r="E685" s="13" t="s">
        <v>39</v>
      </c>
      <c r="F685" s="13">
        <v>19</v>
      </c>
      <c r="G685" s="13">
        <v>2</v>
      </c>
      <c r="H685" s="13" t="s">
        <v>206</v>
      </c>
      <c r="I685" s="13">
        <v>1</v>
      </c>
      <c r="J685" s="13">
        <v>952</v>
      </c>
      <c r="K685" s="13">
        <v>3</v>
      </c>
      <c r="L685" s="13" t="s">
        <v>63</v>
      </c>
      <c r="M685" s="13">
        <v>36</v>
      </c>
      <c r="N685" s="13">
        <v>2</v>
      </c>
      <c r="O685" s="13">
        <v>1</v>
      </c>
      <c r="P685" s="13" t="s">
        <v>182</v>
      </c>
      <c r="Q685" s="13">
        <v>2</v>
      </c>
      <c r="R685" s="13" t="s">
        <v>66</v>
      </c>
      <c r="S685" s="20">
        <v>2413</v>
      </c>
      <c r="T685" s="13">
        <v>18798</v>
      </c>
      <c r="U685" s="13">
        <v>1</v>
      </c>
      <c r="V685" s="13" t="s">
        <v>52</v>
      </c>
      <c r="W685" s="13" t="s">
        <v>36</v>
      </c>
      <c r="X685" s="13">
        <v>18</v>
      </c>
      <c r="Y685" s="13">
        <v>3</v>
      </c>
      <c r="Z685" s="13">
        <v>3</v>
      </c>
      <c r="AA685" s="13">
        <v>80</v>
      </c>
      <c r="AB685" s="13">
        <v>3</v>
      </c>
      <c r="AC685" s="13">
        <v>1</v>
      </c>
      <c r="AD685" s="13">
        <v>2</v>
      </c>
      <c r="AE685" s="13">
        <v>3</v>
      </c>
      <c r="AF685" s="14">
        <v>1</v>
      </c>
      <c r="AG685" s="13">
        <v>0</v>
      </c>
      <c r="AH685" s="13">
        <v>0</v>
      </c>
      <c r="AI685" s="13">
        <v>0</v>
      </c>
      <c r="AJ685" s="13" t="str">
        <f t="shared" si="10"/>
        <v>Under 30</v>
      </c>
      <c r="AK685" s="13" t="str">
        <f>IF(tblCleanData[[#This Row],[MonthlyIncome]]&lt;5000, "Low Income", IF(tblCleanData[[#This Row],[MonthlyIncome]]&lt;15000, "Medium Income", "High Income"))</f>
        <v>Low Income</v>
      </c>
      <c r="AL685" s="13">
        <f>IF(tblCleanData[[#This Row],[Attrition]]="No", 0,1)</f>
        <v>1</v>
      </c>
      <c r="AM685" s="13">
        <f>IF(tblCleanData[[#This Row],[OverTime]] = "No", 0, 1)</f>
        <v>1</v>
      </c>
      <c r="AN685" s="13" t="str">
        <f>CHOOSE(tblCleanData[[#This Row],[Education]], "Below College","College","Bachelor","Master","Doctor")</f>
        <v>College</v>
      </c>
      <c r="AO685" s="13" t="str">
        <f>VLOOKUP(tblCleanData[[#This Row],[EmployeeNumber]],tblHelpers[],15,TRUE)</f>
        <v>High Risk</v>
      </c>
      <c r="AP685" s="13">
        <f>VLOOKUP(tblCleanData[[#This Row],[EmployeeNumber]],tblHelpers[],14,0)</f>
        <v>104</v>
      </c>
    </row>
    <row r="686" spans="1:42" x14ac:dyDescent="0.25">
      <c r="A686" s="13">
        <v>40</v>
      </c>
      <c r="B686" s="13" t="s">
        <v>59</v>
      </c>
      <c r="C686" s="13" t="s">
        <v>37</v>
      </c>
      <c r="D686" s="13">
        <v>658</v>
      </c>
      <c r="E686" s="13" t="s">
        <v>39</v>
      </c>
      <c r="F686" s="13">
        <v>10</v>
      </c>
      <c r="G686" s="13">
        <v>4</v>
      </c>
      <c r="H686" s="13" t="s">
        <v>206</v>
      </c>
      <c r="I686" s="13">
        <v>1</v>
      </c>
      <c r="J686" s="13">
        <v>954</v>
      </c>
      <c r="K686" s="13">
        <v>1</v>
      </c>
      <c r="L686" s="13" t="s">
        <v>63</v>
      </c>
      <c r="M686" s="13">
        <v>67</v>
      </c>
      <c r="N686" s="13">
        <v>2</v>
      </c>
      <c r="O686" s="13">
        <v>3</v>
      </c>
      <c r="P686" s="13" t="s">
        <v>46</v>
      </c>
      <c r="Q686" s="13">
        <v>2</v>
      </c>
      <c r="R686" s="13" t="s">
        <v>109</v>
      </c>
      <c r="S686" s="20">
        <v>9705</v>
      </c>
      <c r="T686" s="13">
        <v>20652</v>
      </c>
      <c r="U686" s="13">
        <v>2</v>
      </c>
      <c r="V686" s="13" t="s">
        <v>52</v>
      </c>
      <c r="W686" s="13" t="s">
        <v>59</v>
      </c>
      <c r="X686" s="13">
        <v>12</v>
      </c>
      <c r="Y686" s="13">
        <v>3</v>
      </c>
      <c r="Z686" s="13">
        <v>2</v>
      </c>
      <c r="AA686" s="13">
        <v>80</v>
      </c>
      <c r="AB686" s="13">
        <v>1</v>
      </c>
      <c r="AC686" s="13">
        <v>11</v>
      </c>
      <c r="AD686" s="13">
        <v>2</v>
      </c>
      <c r="AE686" s="13">
        <v>2</v>
      </c>
      <c r="AF686" s="14">
        <v>1</v>
      </c>
      <c r="AG686" s="13">
        <v>0</v>
      </c>
      <c r="AH686" s="13">
        <v>0</v>
      </c>
      <c r="AI686" s="13">
        <v>0</v>
      </c>
      <c r="AJ686" s="13" t="str">
        <f t="shared" si="10"/>
        <v>40-49</v>
      </c>
      <c r="AK686" s="13" t="str">
        <f>IF(tblCleanData[[#This Row],[MonthlyIncome]]&lt;5000, "Low Income", IF(tblCleanData[[#This Row],[MonthlyIncome]]&lt;15000, "Medium Income", "High Income"))</f>
        <v>Medium Income</v>
      </c>
      <c r="AL686" s="13">
        <f>IF(tblCleanData[[#This Row],[Attrition]]="No", 0,1)</f>
        <v>0</v>
      </c>
      <c r="AM686" s="13">
        <f>IF(tblCleanData[[#This Row],[OverTime]] = "No", 0, 1)</f>
        <v>0</v>
      </c>
      <c r="AN686" s="13" t="str">
        <f>CHOOSE(tblCleanData[[#This Row],[Education]], "Below College","College","Bachelor","Master","Doctor")</f>
        <v>Master</v>
      </c>
      <c r="AO686" s="13" t="str">
        <f>VLOOKUP(tblCleanData[[#This Row],[EmployeeNumber]],tblHelpers[],15,TRUE)</f>
        <v>High Risk</v>
      </c>
      <c r="AP686" s="13">
        <f>VLOOKUP(tblCleanData[[#This Row],[EmployeeNumber]],tblHelpers[],14,0)</f>
        <v>59</v>
      </c>
    </row>
    <row r="687" spans="1:42" x14ac:dyDescent="0.25">
      <c r="A687" s="13">
        <v>26</v>
      </c>
      <c r="B687" s="13" t="s">
        <v>59</v>
      </c>
      <c r="C687" s="13" t="s">
        <v>60</v>
      </c>
      <c r="D687" s="13">
        <v>1283</v>
      </c>
      <c r="E687" s="13" t="s">
        <v>39</v>
      </c>
      <c r="F687" s="13">
        <v>1</v>
      </c>
      <c r="G687" s="13">
        <v>3</v>
      </c>
      <c r="H687" s="13" t="s">
        <v>87</v>
      </c>
      <c r="I687" s="13">
        <v>1</v>
      </c>
      <c r="J687" s="13">
        <v>956</v>
      </c>
      <c r="K687" s="13">
        <v>3</v>
      </c>
      <c r="L687" s="13" t="s">
        <v>63</v>
      </c>
      <c r="M687" s="13">
        <v>52</v>
      </c>
      <c r="N687" s="13">
        <v>2</v>
      </c>
      <c r="O687" s="13">
        <v>2</v>
      </c>
      <c r="P687" s="13" t="s">
        <v>46</v>
      </c>
      <c r="Q687" s="13">
        <v>1</v>
      </c>
      <c r="R687" s="13" t="s">
        <v>48</v>
      </c>
      <c r="S687" s="20">
        <v>4294</v>
      </c>
      <c r="T687" s="13">
        <v>11148</v>
      </c>
      <c r="U687" s="13">
        <v>1</v>
      </c>
      <c r="V687" s="13" t="s">
        <v>52</v>
      </c>
      <c r="W687" s="13" t="s">
        <v>59</v>
      </c>
      <c r="X687" s="13">
        <v>12</v>
      </c>
      <c r="Y687" s="13">
        <v>3</v>
      </c>
      <c r="Z687" s="13">
        <v>2</v>
      </c>
      <c r="AA687" s="13">
        <v>80</v>
      </c>
      <c r="AB687" s="13">
        <v>0</v>
      </c>
      <c r="AC687" s="13">
        <v>7</v>
      </c>
      <c r="AD687" s="13">
        <v>2</v>
      </c>
      <c r="AE687" s="13">
        <v>3</v>
      </c>
      <c r="AF687" s="14">
        <v>7</v>
      </c>
      <c r="AG687" s="13">
        <v>7</v>
      </c>
      <c r="AH687" s="13">
        <v>0</v>
      </c>
      <c r="AI687" s="13">
        <v>7</v>
      </c>
      <c r="AJ687" s="13" t="str">
        <f t="shared" si="10"/>
        <v>Under 30</v>
      </c>
      <c r="AK687" s="13" t="str">
        <f>IF(tblCleanData[[#This Row],[MonthlyIncome]]&lt;5000, "Low Income", IF(tblCleanData[[#This Row],[MonthlyIncome]]&lt;15000, "Medium Income", "High Income"))</f>
        <v>Low Income</v>
      </c>
      <c r="AL687" s="13">
        <f>IF(tblCleanData[[#This Row],[Attrition]]="No", 0,1)</f>
        <v>0</v>
      </c>
      <c r="AM687" s="13">
        <f>IF(tblCleanData[[#This Row],[OverTime]] = "No", 0, 1)</f>
        <v>0</v>
      </c>
      <c r="AN687" s="13" t="str">
        <f>CHOOSE(tblCleanData[[#This Row],[Education]], "Below College","College","Bachelor","Master","Doctor")</f>
        <v>Bachelor</v>
      </c>
      <c r="AO687" s="13" t="str">
        <f>VLOOKUP(tblCleanData[[#This Row],[EmployeeNumber]],tblHelpers[],15,TRUE)</f>
        <v>High Risk</v>
      </c>
      <c r="AP687" s="13">
        <f>VLOOKUP(tblCleanData[[#This Row],[EmployeeNumber]],tblHelpers[],14,0)</f>
        <v>68</v>
      </c>
    </row>
    <row r="688" spans="1:42" x14ac:dyDescent="0.25">
      <c r="A688" s="13">
        <v>41</v>
      </c>
      <c r="B688" s="13" t="s">
        <v>59</v>
      </c>
      <c r="C688" s="13" t="s">
        <v>37</v>
      </c>
      <c r="D688" s="13">
        <v>263</v>
      </c>
      <c r="E688" s="13" t="s">
        <v>62</v>
      </c>
      <c r="F688" s="13">
        <v>6</v>
      </c>
      <c r="G688" s="13">
        <v>3</v>
      </c>
      <c r="H688" s="13" t="s">
        <v>87</v>
      </c>
      <c r="I688" s="13">
        <v>1</v>
      </c>
      <c r="J688" s="13">
        <v>957</v>
      </c>
      <c r="K688" s="13">
        <v>4</v>
      </c>
      <c r="L688" s="13" t="s">
        <v>63</v>
      </c>
      <c r="M688" s="13">
        <v>59</v>
      </c>
      <c r="N688" s="13">
        <v>3</v>
      </c>
      <c r="O688" s="13">
        <v>1</v>
      </c>
      <c r="P688" s="13" t="s">
        <v>76</v>
      </c>
      <c r="Q688" s="13">
        <v>1</v>
      </c>
      <c r="R688" s="13" t="s">
        <v>48</v>
      </c>
      <c r="S688" s="20">
        <v>4721</v>
      </c>
      <c r="T688" s="13">
        <v>3119</v>
      </c>
      <c r="U688" s="13">
        <v>2</v>
      </c>
      <c r="V688" s="13" t="s">
        <v>52</v>
      </c>
      <c r="W688" s="13" t="s">
        <v>36</v>
      </c>
      <c r="X688" s="13">
        <v>13</v>
      </c>
      <c r="Y688" s="13">
        <v>3</v>
      </c>
      <c r="Z688" s="13">
        <v>3</v>
      </c>
      <c r="AA688" s="13">
        <v>80</v>
      </c>
      <c r="AB688" s="13">
        <v>0</v>
      </c>
      <c r="AC688" s="13">
        <v>20</v>
      </c>
      <c r="AD688" s="13">
        <v>3</v>
      </c>
      <c r="AE688" s="13">
        <v>3</v>
      </c>
      <c r="AF688" s="14">
        <v>18</v>
      </c>
      <c r="AG688" s="13">
        <v>13</v>
      </c>
      <c r="AH688" s="13">
        <v>2</v>
      </c>
      <c r="AI688" s="13">
        <v>17</v>
      </c>
      <c r="AJ688" s="13" t="str">
        <f t="shared" si="10"/>
        <v>40-49</v>
      </c>
      <c r="AK688" s="13" t="str">
        <f>IF(tblCleanData[[#This Row],[MonthlyIncome]]&lt;5000, "Low Income", IF(tblCleanData[[#This Row],[MonthlyIncome]]&lt;15000, "Medium Income", "High Income"))</f>
        <v>Low Income</v>
      </c>
      <c r="AL688" s="13">
        <f>IF(tblCleanData[[#This Row],[Attrition]]="No", 0,1)</f>
        <v>0</v>
      </c>
      <c r="AM688" s="13">
        <f>IF(tblCleanData[[#This Row],[OverTime]] = "No", 0, 1)</f>
        <v>1</v>
      </c>
      <c r="AN688" s="13" t="str">
        <f>CHOOSE(tblCleanData[[#This Row],[Education]], "Below College","College","Bachelor","Master","Doctor")</f>
        <v>Bachelor</v>
      </c>
      <c r="AO688" s="13" t="str">
        <f>VLOOKUP(tblCleanData[[#This Row],[EmployeeNumber]],tblHelpers[],15,TRUE)</f>
        <v>High Risk</v>
      </c>
      <c r="AP688" s="13">
        <f>VLOOKUP(tblCleanData[[#This Row],[EmployeeNumber]],tblHelpers[],14,0)</f>
        <v>68</v>
      </c>
    </row>
    <row r="689" spans="1:42" x14ac:dyDescent="0.25">
      <c r="A689" s="13">
        <v>36</v>
      </c>
      <c r="B689" s="13" t="s">
        <v>59</v>
      </c>
      <c r="C689" s="13" t="s">
        <v>37</v>
      </c>
      <c r="D689" s="13">
        <v>938</v>
      </c>
      <c r="E689" s="13" t="s">
        <v>62</v>
      </c>
      <c r="F689" s="13">
        <v>2</v>
      </c>
      <c r="G689" s="13">
        <v>4</v>
      </c>
      <c r="H689" s="13" t="s">
        <v>87</v>
      </c>
      <c r="I689" s="13">
        <v>1</v>
      </c>
      <c r="J689" s="13">
        <v>958</v>
      </c>
      <c r="K689" s="13">
        <v>3</v>
      </c>
      <c r="L689" s="13" t="s">
        <v>63</v>
      </c>
      <c r="M689" s="13">
        <v>79</v>
      </c>
      <c r="N689" s="13">
        <v>3</v>
      </c>
      <c r="O689" s="13">
        <v>1</v>
      </c>
      <c r="P689" s="13" t="s">
        <v>76</v>
      </c>
      <c r="Q689" s="13">
        <v>3</v>
      </c>
      <c r="R689" s="13" t="s">
        <v>48</v>
      </c>
      <c r="S689" s="20">
        <v>2519</v>
      </c>
      <c r="T689" s="13">
        <v>12287</v>
      </c>
      <c r="U689" s="13">
        <v>4</v>
      </c>
      <c r="V689" s="13" t="s">
        <v>52</v>
      </c>
      <c r="W689" s="13" t="s">
        <v>59</v>
      </c>
      <c r="X689" s="13">
        <v>21</v>
      </c>
      <c r="Y689" s="13">
        <v>4</v>
      </c>
      <c r="Z689" s="13">
        <v>3</v>
      </c>
      <c r="AA689" s="13">
        <v>80</v>
      </c>
      <c r="AB689" s="13">
        <v>0</v>
      </c>
      <c r="AC689" s="13">
        <v>16</v>
      </c>
      <c r="AD689" s="13">
        <v>6</v>
      </c>
      <c r="AE689" s="13">
        <v>3</v>
      </c>
      <c r="AF689" s="14">
        <v>11</v>
      </c>
      <c r="AG689" s="13">
        <v>8</v>
      </c>
      <c r="AH689" s="13">
        <v>3</v>
      </c>
      <c r="AI689" s="13">
        <v>9</v>
      </c>
      <c r="AJ689" s="13" t="str">
        <f t="shared" si="10"/>
        <v>30-39</v>
      </c>
      <c r="AK689" s="13" t="str">
        <f>IF(tblCleanData[[#This Row],[MonthlyIncome]]&lt;5000, "Low Income", IF(tblCleanData[[#This Row],[MonthlyIncome]]&lt;15000, "Medium Income", "High Income"))</f>
        <v>Low Income</v>
      </c>
      <c r="AL689" s="13">
        <f>IF(tblCleanData[[#This Row],[Attrition]]="No", 0,1)</f>
        <v>0</v>
      </c>
      <c r="AM689" s="13">
        <f>IF(tblCleanData[[#This Row],[OverTime]] = "No", 0, 1)</f>
        <v>0</v>
      </c>
      <c r="AN689" s="13" t="str">
        <f>CHOOSE(tblCleanData[[#This Row],[Education]], "Below College","College","Bachelor","Master","Doctor")</f>
        <v>Master</v>
      </c>
      <c r="AO689" s="13" t="str">
        <f>VLOOKUP(tblCleanData[[#This Row],[EmployeeNumber]],tblHelpers[],15,TRUE)</f>
        <v>Medium Risk</v>
      </c>
      <c r="AP689" s="13">
        <f>VLOOKUP(tblCleanData[[#This Row],[EmployeeNumber]],tblHelpers[],14,0)</f>
        <v>41</v>
      </c>
    </row>
    <row r="690" spans="1:42" x14ac:dyDescent="0.25">
      <c r="A690" s="13">
        <v>19</v>
      </c>
      <c r="B690" s="13" t="s">
        <v>36</v>
      </c>
      <c r="C690" s="13" t="s">
        <v>37</v>
      </c>
      <c r="D690" s="13">
        <v>419</v>
      </c>
      <c r="E690" s="13" t="s">
        <v>39</v>
      </c>
      <c r="F690" s="13">
        <v>21</v>
      </c>
      <c r="G690" s="13">
        <v>3</v>
      </c>
      <c r="H690" s="13" t="s">
        <v>74</v>
      </c>
      <c r="I690" s="13">
        <v>1</v>
      </c>
      <c r="J690" s="13">
        <v>959</v>
      </c>
      <c r="K690" s="13">
        <v>4</v>
      </c>
      <c r="L690" s="13" t="s">
        <v>63</v>
      </c>
      <c r="M690" s="13">
        <v>37</v>
      </c>
      <c r="N690" s="13">
        <v>2</v>
      </c>
      <c r="O690" s="13">
        <v>1</v>
      </c>
      <c r="P690" s="13" t="s">
        <v>182</v>
      </c>
      <c r="Q690" s="13">
        <v>2</v>
      </c>
      <c r="R690" s="13" t="s">
        <v>48</v>
      </c>
      <c r="S690" s="20">
        <v>2121</v>
      </c>
      <c r="T690" s="13">
        <v>9947</v>
      </c>
      <c r="U690" s="13">
        <v>1</v>
      </c>
      <c r="V690" s="13" t="s">
        <v>52</v>
      </c>
      <c r="W690" s="13" t="s">
        <v>36</v>
      </c>
      <c r="X690" s="13">
        <v>13</v>
      </c>
      <c r="Y690" s="13">
        <v>3</v>
      </c>
      <c r="Z690" s="13">
        <v>2</v>
      </c>
      <c r="AA690" s="13">
        <v>80</v>
      </c>
      <c r="AB690" s="13">
        <v>0</v>
      </c>
      <c r="AC690" s="13">
        <v>1</v>
      </c>
      <c r="AD690" s="13">
        <v>3</v>
      </c>
      <c r="AE690" s="13">
        <v>4</v>
      </c>
      <c r="AF690" s="14">
        <v>1</v>
      </c>
      <c r="AG690" s="13">
        <v>0</v>
      </c>
      <c r="AH690" s="13">
        <v>0</v>
      </c>
      <c r="AI690" s="13">
        <v>0</v>
      </c>
      <c r="AJ690" s="13" t="str">
        <f t="shared" si="10"/>
        <v>Under 30</v>
      </c>
      <c r="AK690" s="13" t="str">
        <f>IF(tblCleanData[[#This Row],[MonthlyIncome]]&lt;5000, "Low Income", IF(tblCleanData[[#This Row],[MonthlyIncome]]&lt;15000, "Medium Income", "High Income"))</f>
        <v>Low Income</v>
      </c>
      <c r="AL690" s="13">
        <f>IF(tblCleanData[[#This Row],[Attrition]]="No", 0,1)</f>
        <v>1</v>
      </c>
      <c r="AM690" s="13">
        <f>IF(tblCleanData[[#This Row],[OverTime]] = "No", 0, 1)</f>
        <v>1</v>
      </c>
      <c r="AN690" s="13" t="str">
        <f>CHOOSE(tblCleanData[[#This Row],[Education]], "Below College","College","Bachelor","Master","Doctor")</f>
        <v>Bachelor</v>
      </c>
      <c r="AO690" s="13" t="str">
        <f>VLOOKUP(tblCleanData[[#This Row],[EmployeeNumber]],tblHelpers[],15,TRUE)</f>
        <v>High Risk</v>
      </c>
      <c r="AP690" s="13">
        <f>VLOOKUP(tblCleanData[[#This Row],[EmployeeNumber]],tblHelpers[],14,0)</f>
        <v>104</v>
      </c>
    </row>
    <row r="691" spans="1:42" x14ac:dyDescent="0.25">
      <c r="A691" s="13">
        <v>20</v>
      </c>
      <c r="B691" s="13" t="s">
        <v>36</v>
      </c>
      <c r="C691" s="13" t="s">
        <v>37</v>
      </c>
      <c r="D691" s="13">
        <v>129</v>
      </c>
      <c r="E691" s="13" t="s">
        <v>62</v>
      </c>
      <c r="F691" s="13">
        <v>4</v>
      </c>
      <c r="G691" s="13">
        <v>3</v>
      </c>
      <c r="H691" s="13" t="s">
        <v>228</v>
      </c>
      <c r="I691" s="13">
        <v>1</v>
      </c>
      <c r="J691" s="13">
        <v>960</v>
      </c>
      <c r="K691" s="13">
        <v>1</v>
      </c>
      <c r="L691" s="13" t="s">
        <v>63</v>
      </c>
      <c r="M691" s="13">
        <v>84</v>
      </c>
      <c r="N691" s="13">
        <v>3</v>
      </c>
      <c r="O691" s="13">
        <v>1</v>
      </c>
      <c r="P691" s="13" t="s">
        <v>76</v>
      </c>
      <c r="Q691" s="13">
        <v>1</v>
      </c>
      <c r="R691" s="13" t="s">
        <v>48</v>
      </c>
      <c r="S691" s="20">
        <v>2973</v>
      </c>
      <c r="T691" s="13">
        <v>13008</v>
      </c>
      <c r="U691" s="13">
        <v>1</v>
      </c>
      <c r="V691" s="13" t="s">
        <v>52</v>
      </c>
      <c r="W691" s="13" t="s">
        <v>59</v>
      </c>
      <c r="X691" s="13">
        <v>19</v>
      </c>
      <c r="Y691" s="13">
        <v>3</v>
      </c>
      <c r="Z691" s="13">
        <v>2</v>
      </c>
      <c r="AA691" s="13">
        <v>80</v>
      </c>
      <c r="AB691" s="13">
        <v>0</v>
      </c>
      <c r="AC691" s="13">
        <v>1</v>
      </c>
      <c r="AD691" s="13">
        <v>2</v>
      </c>
      <c r="AE691" s="13">
        <v>3</v>
      </c>
      <c r="AF691" s="14">
        <v>1</v>
      </c>
      <c r="AG691" s="13">
        <v>0</v>
      </c>
      <c r="AH691" s="13">
        <v>0</v>
      </c>
      <c r="AI691" s="13">
        <v>0</v>
      </c>
      <c r="AJ691" s="13" t="str">
        <f t="shared" si="10"/>
        <v>Under 30</v>
      </c>
      <c r="AK691" s="13" t="str">
        <f>IF(tblCleanData[[#This Row],[MonthlyIncome]]&lt;5000, "Low Income", IF(tblCleanData[[#This Row],[MonthlyIncome]]&lt;15000, "Medium Income", "High Income"))</f>
        <v>Low Income</v>
      </c>
      <c r="AL691" s="13">
        <f>IF(tblCleanData[[#This Row],[Attrition]]="No", 0,1)</f>
        <v>1</v>
      </c>
      <c r="AM691" s="13">
        <f>IF(tblCleanData[[#This Row],[OverTime]] = "No", 0, 1)</f>
        <v>0</v>
      </c>
      <c r="AN691" s="13" t="str">
        <f>CHOOSE(tblCleanData[[#This Row],[Education]], "Below College","College","Bachelor","Master","Doctor")</f>
        <v>Bachelor</v>
      </c>
      <c r="AO691" s="13" t="str">
        <f>VLOOKUP(tblCleanData[[#This Row],[EmployeeNumber]],tblHelpers[],15,TRUE)</f>
        <v>High Risk</v>
      </c>
      <c r="AP691" s="13">
        <f>VLOOKUP(tblCleanData[[#This Row],[EmployeeNumber]],tblHelpers[],14,0)</f>
        <v>85</v>
      </c>
    </row>
    <row r="692" spans="1:42" x14ac:dyDescent="0.25">
      <c r="A692" s="13">
        <v>31</v>
      </c>
      <c r="B692" s="13" t="s">
        <v>59</v>
      </c>
      <c r="C692" s="13" t="s">
        <v>37</v>
      </c>
      <c r="D692" s="13">
        <v>616</v>
      </c>
      <c r="E692" s="13" t="s">
        <v>62</v>
      </c>
      <c r="F692" s="13">
        <v>12</v>
      </c>
      <c r="G692" s="13">
        <v>3</v>
      </c>
      <c r="H692" s="13" t="s">
        <v>87</v>
      </c>
      <c r="I692" s="13">
        <v>1</v>
      </c>
      <c r="J692" s="13">
        <v>961</v>
      </c>
      <c r="K692" s="13">
        <v>4</v>
      </c>
      <c r="L692" s="13" t="s">
        <v>43</v>
      </c>
      <c r="M692" s="13">
        <v>41</v>
      </c>
      <c r="N692" s="13">
        <v>3</v>
      </c>
      <c r="O692" s="13">
        <v>2</v>
      </c>
      <c r="P692" s="13" t="s">
        <v>122</v>
      </c>
      <c r="Q692" s="13">
        <v>4</v>
      </c>
      <c r="R692" s="13" t="s">
        <v>66</v>
      </c>
      <c r="S692" s="20">
        <v>5855</v>
      </c>
      <c r="T692" s="13">
        <v>17369</v>
      </c>
      <c r="U692" s="13">
        <v>0</v>
      </c>
      <c r="V692" s="13" t="s">
        <v>52</v>
      </c>
      <c r="W692" s="13" t="s">
        <v>36</v>
      </c>
      <c r="X692" s="13">
        <v>11</v>
      </c>
      <c r="Y692" s="13">
        <v>3</v>
      </c>
      <c r="Z692" s="13">
        <v>3</v>
      </c>
      <c r="AA692" s="13">
        <v>80</v>
      </c>
      <c r="AB692" s="13">
        <v>2</v>
      </c>
      <c r="AC692" s="13">
        <v>10</v>
      </c>
      <c r="AD692" s="13">
        <v>2</v>
      </c>
      <c r="AE692" s="13">
        <v>1</v>
      </c>
      <c r="AF692" s="14">
        <v>9</v>
      </c>
      <c r="AG692" s="13">
        <v>7</v>
      </c>
      <c r="AH692" s="13">
        <v>8</v>
      </c>
      <c r="AI692" s="13">
        <v>5</v>
      </c>
      <c r="AJ692" s="13" t="str">
        <f t="shared" si="10"/>
        <v>30-39</v>
      </c>
      <c r="AK692" s="13" t="str">
        <f>IF(tblCleanData[[#This Row],[MonthlyIncome]]&lt;5000, "Low Income", IF(tblCleanData[[#This Row],[MonthlyIncome]]&lt;15000, "Medium Income", "High Income"))</f>
        <v>Medium Income</v>
      </c>
      <c r="AL692" s="13">
        <f>IF(tblCleanData[[#This Row],[Attrition]]="No", 0,1)</f>
        <v>0</v>
      </c>
      <c r="AM692" s="13">
        <f>IF(tblCleanData[[#This Row],[OverTime]] = "No", 0, 1)</f>
        <v>1</v>
      </c>
      <c r="AN692" s="13" t="str">
        <f>CHOOSE(tblCleanData[[#This Row],[Education]], "Below College","College","Bachelor","Master","Doctor")</f>
        <v>Bachelor</v>
      </c>
      <c r="AO692" s="13" t="str">
        <f>VLOOKUP(tblCleanData[[#This Row],[EmployeeNumber]],tblHelpers[],15,TRUE)</f>
        <v>High Risk</v>
      </c>
      <c r="AP692" s="13">
        <f>VLOOKUP(tblCleanData[[#This Row],[EmployeeNumber]],tblHelpers[],14,0)</f>
        <v>64</v>
      </c>
    </row>
    <row r="693" spans="1:42" x14ac:dyDescent="0.25">
      <c r="A693" s="13">
        <v>40</v>
      </c>
      <c r="B693" s="13" t="s">
        <v>59</v>
      </c>
      <c r="C693" s="13" t="s">
        <v>60</v>
      </c>
      <c r="D693" s="13">
        <v>1469</v>
      </c>
      <c r="E693" s="13" t="s">
        <v>62</v>
      </c>
      <c r="F693" s="13">
        <v>9</v>
      </c>
      <c r="G693" s="13">
        <v>4</v>
      </c>
      <c r="H693" s="13" t="s">
        <v>87</v>
      </c>
      <c r="I693" s="13">
        <v>1</v>
      </c>
      <c r="J693" s="13">
        <v>964</v>
      </c>
      <c r="K693" s="13">
        <v>4</v>
      </c>
      <c r="L693" s="13" t="s">
        <v>63</v>
      </c>
      <c r="M693" s="13">
        <v>35</v>
      </c>
      <c r="N693" s="13">
        <v>3</v>
      </c>
      <c r="O693" s="13">
        <v>1</v>
      </c>
      <c r="P693" s="13" t="s">
        <v>65</v>
      </c>
      <c r="Q693" s="13">
        <v>2</v>
      </c>
      <c r="R693" s="13" t="s">
        <v>109</v>
      </c>
      <c r="S693" s="20">
        <v>3617</v>
      </c>
      <c r="T693" s="13">
        <v>25063</v>
      </c>
      <c r="U693" s="13">
        <v>8</v>
      </c>
      <c r="V693" s="13" t="s">
        <v>52</v>
      </c>
      <c r="W693" s="13" t="s">
        <v>36</v>
      </c>
      <c r="X693" s="13">
        <v>14</v>
      </c>
      <c r="Y693" s="13">
        <v>3</v>
      </c>
      <c r="Z693" s="13">
        <v>4</v>
      </c>
      <c r="AA693" s="13">
        <v>80</v>
      </c>
      <c r="AB693" s="13">
        <v>1</v>
      </c>
      <c r="AC693" s="13">
        <v>3</v>
      </c>
      <c r="AD693" s="13">
        <v>2</v>
      </c>
      <c r="AE693" s="13">
        <v>3</v>
      </c>
      <c r="AF693" s="14">
        <v>1</v>
      </c>
      <c r="AG693" s="13">
        <v>1</v>
      </c>
      <c r="AH693" s="13">
        <v>0</v>
      </c>
      <c r="AI693" s="13">
        <v>0</v>
      </c>
      <c r="AJ693" s="13" t="str">
        <f t="shared" si="10"/>
        <v>40-49</v>
      </c>
      <c r="AK693" s="13" t="str">
        <f>IF(tblCleanData[[#This Row],[MonthlyIncome]]&lt;5000, "Low Income", IF(tblCleanData[[#This Row],[MonthlyIncome]]&lt;15000, "Medium Income", "High Income"))</f>
        <v>Low Income</v>
      </c>
      <c r="AL693" s="13">
        <f>IF(tblCleanData[[#This Row],[Attrition]]="No", 0,1)</f>
        <v>0</v>
      </c>
      <c r="AM693" s="13">
        <f>IF(tblCleanData[[#This Row],[OverTime]] = "No", 0, 1)</f>
        <v>1</v>
      </c>
      <c r="AN693" s="13" t="str">
        <f>CHOOSE(tblCleanData[[#This Row],[Education]], "Below College","College","Bachelor","Master","Doctor")</f>
        <v>Master</v>
      </c>
      <c r="AO693" s="13" t="str">
        <f>VLOOKUP(tblCleanData[[#This Row],[EmployeeNumber]],tblHelpers[],15,TRUE)</f>
        <v>High Risk</v>
      </c>
      <c r="AP693" s="13">
        <f>VLOOKUP(tblCleanData[[#This Row],[EmployeeNumber]],tblHelpers[],14,0)</f>
        <v>84</v>
      </c>
    </row>
    <row r="694" spans="1:42" x14ac:dyDescent="0.25">
      <c r="A694" s="13">
        <v>32</v>
      </c>
      <c r="B694" s="13" t="s">
        <v>59</v>
      </c>
      <c r="C694" s="13" t="s">
        <v>37</v>
      </c>
      <c r="D694" s="13">
        <v>498</v>
      </c>
      <c r="E694" s="13" t="s">
        <v>62</v>
      </c>
      <c r="F694" s="13">
        <v>3</v>
      </c>
      <c r="G694" s="13">
        <v>4</v>
      </c>
      <c r="H694" s="13" t="s">
        <v>87</v>
      </c>
      <c r="I694" s="13">
        <v>1</v>
      </c>
      <c r="J694" s="13">
        <v>966</v>
      </c>
      <c r="K694" s="13">
        <v>3</v>
      </c>
      <c r="L694" s="13" t="s">
        <v>43</v>
      </c>
      <c r="M694" s="13">
        <v>93</v>
      </c>
      <c r="N694" s="13">
        <v>3</v>
      </c>
      <c r="O694" s="13">
        <v>2</v>
      </c>
      <c r="P694" s="13" t="s">
        <v>116</v>
      </c>
      <c r="Q694" s="13">
        <v>1</v>
      </c>
      <c r="R694" s="13" t="s">
        <v>66</v>
      </c>
      <c r="S694" s="20">
        <v>6725</v>
      </c>
      <c r="T694" s="13">
        <v>13554</v>
      </c>
      <c r="U694" s="13">
        <v>1</v>
      </c>
      <c r="V694" s="13" t="s">
        <v>52</v>
      </c>
      <c r="W694" s="13" t="s">
        <v>59</v>
      </c>
      <c r="X694" s="13">
        <v>12</v>
      </c>
      <c r="Y694" s="13">
        <v>3</v>
      </c>
      <c r="Z694" s="13">
        <v>3</v>
      </c>
      <c r="AA694" s="13">
        <v>80</v>
      </c>
      <c r="AB694" s="13">
        <v>1</v>
      </c>
      <c r="AC694" s="13">
        <v>8</v>
      </c>
      <c r="AD694" s="13">
        <v>2</v>
      </c>
      <c r="AE694" s="13">
        <v>4</v>
      </c>
      <c r="AF694" s="14">
        <v>8</v>
      </c>
      <c r="AG694" s="13">
        <v>7</v>
      </c>
      <c r="AH694" s="13">
        <v>6</v>
      </c>
      <c r="AI694" s="13">
        <v>3</v>
      </c>
      <c r="AJ694" s="13" t="str">
        <f t="shared" si="10"/>
        <v>30-39</v>
      </c>
      <c r="AK694" s="13" t="str">
        <f>IF(tblCleanData[[#This Row],[MonthlyIncome]]&lt;5000, "Low Income", IF(tblCleanData[[#This Row],[MonthlyIncome]]&lt;15000, "Medium Income", "High Income"))</f>
        <v>Medium Income</v>
      </c>
      <c r="AL694" s="13">
        <f>IF(tblCleanData[[#This Row],[Attrition]]="No", 0,1)</f>
        <v>0</v>
      </c>
      <c r="AM694" s="13">
        <f>IF(tblCleanData[[#This Row],[OverTime]] = "No", 0, 1)</f>
        <v>0</v>
      </c>
      <c r="AN694" s="13" t="str">
        <f>CHOOSE(tblCleanData[[#This Row],[Education]], "Below College","College","Bachelor","Master","Doctor")</f>
        <v>Master</v>
      </c>
      <c r="AO694" s="13" t="str">
        <f>VLOOKUP(tblCleanData[[#This Row],[EmployeeNumber]],tblHelpers[],15,TRUE)</f>
        <v>High Risk</v>
      </c>
      <c r="AP694" s="13">
        <f>VLOOKUP(tblCleanData[[#This Row],[EmployeeNumber]],tblHelpers[],14,0)</f>
        <v>58</v>
      </c>
    </row>
    <row r="695" spans="1:42" x14ac:dyDescent="0.25">
      <c r="A695" s="13">
        <v>36</v>
      </c>
      <c r="B695" s="13" t="s">
        <v>36</v>
      </c>
      <c r="C695" s="13" t="s">
        <v>37</v>
      </c>
      <c r="D695" s="13">
        <v>530</v>
      </c>
      <c r="E695" s="13" t="s">
        <v>39</v>
      </c>
      <c r="F695" s="13">
        <v>3</v>
      </c>
      <c r="G695" s="13">
        <v>1</v>
      </c>
      <c r="H695" s="13" t="s">
        <v>42</v>
      </c>
      <c r="I695" s="13">
        <v>1</v>
      </c>
      <c r="J695" s="13">
        <v>967</v>
      </c>
      <c r="K695" s="13">
        <v>3</v>
      </c>
      <c r="L695" s="13" t="s">
        <v>63</v>
      </c>
      <c r="M695" s="13">
        <v>51</v>
      </c>
      <c r="N695" s="13">
        <v>2</v>
      </c>
      <c r="O695" s="13">
        <v>3</v>
      </c>
      <c r="P695" s="13" t="s">
        <v>46</v>
      </c>
      <c r="Q695" s="13">
        <v>4</v>
      </c>
      <c r="R695" s="13" t="s">
        <v>66</v>
      </c>
      <c r="S695" s="20">
        <v>10325</v>
      </c>
      <c r="T695" s="13">
        <v>5518</v>
      </c>
      <c r="U695" s="13">
        <v>1</v>
      </c>
      <c r="V695" s="13" t="s">
        <v>52</v>
      </c>
      <c r="W695" s="13" t="s">
        <v>36</v>
      </c>
      <c r="X695" s="13">
        <v>11</v>
      </c>
      <c r="Y695" s="13">
        <v>3</v>
      </c>
      <c r="Z695" s="13">
        <v>1</v>
      </c>
      <c r="AA695" s="13">
        <v>80</v>
      </c>
      <c r="AB695" s="13">
        <v>1</v>
      </c>
      <c r="AC695" s="13">
        <v>16</v>
      </c>
      <c r="AD695" s="13">
        <v>6</v>
      </c>
      <c r="AE695" s="13">
        <v>3</v>
      </c>
      <c r="AF695" s="14">
        <v>16</v>
      </c>
      <c r="AG695" s="13">
        <v>7</v>
      </c>
      <c r="AH695" s="13">
        <v>3</v>
      </c>
      <c r="AI695" s="13">
        <v>7</v>
      </c>
      <c r="AJ695" s="13" t="str">
        <f t="shared" si="10"/>
        <v>30-39</v>
      </c>
      <c r="AK695" s="13" t="str">
        <f>IF(tblCleanData[[#This Row],[MonthlyIncome]]&lt;5000, "Low Income", IF(tblCleanData[[#This Row],[MonthlyIncome]]&lt;15000, "Medium Income", "High Income"))</f>
        <v>Medium Income</v>
      </c>
      <c r="AL695" s="13">
        <f>IF(tblCleanData[[#This Row],[Attrition]]="No", 0,1)</f>
        <v>1</v>
      </c>
      <c r="AM695" s="13">
        <f>IF(tblCleanData[[#This Row],[OverTime]] = "No", 0, 1)</f>
        <v>1</v>
      </c>
      <c r="AN695" s="13" t="str">
        <f>CHOOSE(tblCleanData[[#This Row],[Education]], "Below College","College","Bachelor","Master","Doctor")</f>
        <v>Below College</v>
      </c>
      <c r="AO695" s="13" t="str">
        <f>VLOOKUP(tblCleanData[[#This Row],[EmployeeNumber]],tblHelpers[],15,TRUE)</f>
        <v>High Risk</v>
      </c>
      <c r="AP695" s="13">
        <f>VLOOKUP(tblCleanData[[#This Row],[EmployeeNumber]],tblHelpers[],14,0)</f>
        <v>59</v>
      </c>
    </row>
    <row r="696" spans="1:42" x14ac:dyDescent="0.25">
      <c r="A696" s="13">
        <v>33</v>
      </c>
      <c r="B696" s="13" t="s">
        <v>59</v>
      </c>
      <c r="C696" s="13" t="s">
        <v>37</v>
      </c>
      <c r="D696" s="13">
        <v>1069</v>
      </c>
      <c r="E696" s="13" t="s">
        <v>62</v>
      </c>
      <c r="F696" s="13">
        <v>1</v>
      </c>
      <c r="G696" s="13">
        <v>3</v>
      </c>
      <c r="H696" s="13" t="s">
        <v>42</v>
      </c>
      <c r="I696" s="13">
        <v>1</v>
      </c>
      <c r="J696" s="13">
        <v>969</v>
      </c>
      <c r="K696" s="13">
        <v>2</v>
      </c>
      <c r="L696" s="13" t="s">
        <v>43</v>
      </c>
      <c r="M696" s="13">
        <v>42</v>
      </c>
      <c r="N696" s="13">
        <v>2</v>
      </c>
      <c r="O696" s="13">
        <v>2</v>
      </c>
      <c r="P696" s="13" t="s">
        <v>122</v>
      </c>
      <c r="Q696" s="13">
        <v>4</v>
      </c>
      <c r="R696" s="13" t="s">
        <v>48</v>
      </c>
      <c r="S696" s="20">
        <v>6949</v>
      </c>
      <c r="T696" s="13">
        <v>12291</v>
      </c>
      <c r="U696" s="13">
        <v>0</v>
      </c>
      <c r="V696" s="13" t="s">
        <v>52</v>
      </c>
      <c r="W696" s="13" t="s">
        <v>59</v>
      </c>
      <c r="X696" s="13">
        <v>14</v>
      </c>
      <c r="Y696" s="13">
        <v>3</v>
      </c>
      <c r="Z696" s="13">
        <v>1</v>
      </c>
      <c r="AA696" s="13">
        <v>80</v>
      </c>
      <c r="AB696" s="13">
        <v>0</v>
      </c>
      <c r="AC696" s="13">
        <v>6</v>
      </c>
      <c r="AD696" s="13">
        <v>3</v>
      </c>
      <c r="AE696" s="13">
        <v>3</v>
      </c>
      <c r="AF696" s="14">
        <v>5</v>
      </c>
      <c r="AG696" s="13">
        <v>0</v>
      </c>
      <c r="AH696" s="13">
        <v>1</v>
      </c>
      <c r="AI696" s="13">
        <v>4</v>
      </c>
      <c r="AJ696" s="13" t="str">
        <f t="shared" si="10"/>
        <v>30-39</v>
      </c>
      <c r="AK696" s="13" t="str">
        <f>IF(tblCleanData[[#This Row],[MonthlyIncome]]&lt;5000, "Low Income", IF(tblCleanData[[#This Row],[MonthlyIncome]]&lt;15000, "Medium Income", "High Income"))</f>
        <v>Medium Income</v>
      </c>
      <c r="AL696" s="13">
        <f>IF(tblCleanData[[#This Row],[Attrition]]="No", 0,1)</f>
        <v>0</v>
      </c>
      <c r="AM696" s="13">
        <f>IF(tblCleanData[[#This Row],[OverTime]] = "No", 0, 1)</f>
        <v>0</v>
      </c>
      <c r="AN696" s="13" t="str">
        <f>CHOOSE(tblCleanData[[#This Row],[Education]], "Below College","College","Bachelor","Master","Doctor")</f>
        <v>Bachelor</v>
      </c>
      <c r="AO696" s="13" t="str">
        <f>VLOOKUP(tblCleanData[[#This Row],[EmployeeNumber]],tblHelpers[],15,TRUE)</f>
        <v>Medium Risk</v>
      </c>
      <c r="AP696" s="13">
        <f>VLOOKUP(tblCleanData[[#This Row],[EmployeeNumber]],tblHelpers[],14,0)</f>
        <v>46</v>
      </c>
    </row>
    <row r="697" spans="1:42" x14ac:dyDescent="0.25">
      <c r="A697" s="13">
        <v>37</v>
      </c>
      <c r="B697" s="13" t="s">
        <v>36</v>
      </c>
      <c r="C697" s="13" t="s">
        <v>37</v>
      </c>
      <c r="D697" s="13">
        <v>625</v>
      </c>
      <c r="E697" s="13" t="s">
        <v>39</v>
      </c>
      <c r="F697" s="13">
        <v>1</v>
      </c>
      <c r="G697" s="13">
        <v>4</v>
      </c>
      <c r="H697" s="13" t="s">
        <v>42</v>
      </c>
      <c r="I697" s="13">
        <v>1</v>
      </c>
      <c r="J697" s="13">
        <v>970</v>
      </c>
      <c r="K697" s="13">
        <v>1</v>
      </c>
      <c r="L697" s="13" t="s">
        <v>63</v>
      </c>
      <c r="M697" s="13">
        <v>46</v>
      </c>
      <c r="N697" s="13">
        <v>2</v>
      </c>
      <c r="O697" s="13">
        <v>3</v>
      </c>
      <c r="P697" s="13" t="s">
        <v>46</v>
      </c>
      <c r="Q697" s="13">
        <v>3</v>
      </c>
      <c r="R697" s="13" t="s">
        <v>66</v>
      </c>
      <c r="S697" s="20">
        <v>10609</v>
      </c>
      <c r="T697" s="13">
        <v>14922</v>
      </c>
      <c r="U697" s="13">
        <v>5</v>
      </c>
      <c r="V697" s="13" t="s">
        <v>52</v>
      </c>
      <c r="W697" s="13" t="s">
        <v>59</v>
      </c>
      <c r="X697" s="13">
        <v>11</v>
      </c>
      <c r="Y697" s="13">
        <v>3</v>
      </c>
      <c r="Z697" s="13">
        <v>3</v>
      </c>
      <c r="AA697" s="13">
        <v>80</v>
      </c>
      <c r="AB697" s="13">
        <v>0</v>
      </c>
      <c r="AC697" s="13">
        <v>17</v>
      </c>
      <c r="AD697" s="13">
        <v>2</v>
      </c>
      <c r="AE697" s="13">
        <v>1</v>
      </c>
      <c r="AF697" s="14">
        <v>14</v>
      </c>
      <c r="AG697" s="13">
        <v>1</v>
      </c>
      <c r="AH697" s="13">
        <v>11</v>
      </c>
      <c r="AI697" s="13">
        <v>7</v>
      </c>
      <c r="AJ697" s="13" t="str">
        <f t="shared" si="10"/>
        <v>30-39</v>
      </c>
      <c r="AK697" s="13" t="str">
        <f>IF(tblCleanData[[#This Row],[MonthlyIncome]]&lt;5000, "Low Income", IF(tblCleanData[[#This Row],[MonthlyIncome]]&lt;15000, "Medium Income", "High Income"))</f>
        <v>Medium Income</v>
      </c>
      <c r="AL697" s="13">
        <f>IF(tblCleanData[[#This Row],[Attrition]]="No", 0,1)</f>
        <v>1</v>
      </c>
      <c r="AM697" s="13">
        <f>IF(tblCleanData[[#This Row],[OverTime]] = "No", 0, 1)</f>
        <v>0</v>
      </c>
      <c r="AN697" s="13" t="str">
        <f>CHOOSE(tblCleanData[[#This Row],[Education]], "Below College","College","Bachelor","Master","Doctor")</f>
        <v>Master</v>
      </c>
      <c r="AO697" s="13" t="str">
        <f>VLOOKUP(tblCleanData[[#This Row],[EmployeeNumber]],tblHelpers[],15,TRUE)</f>
        <v>Medium Risk</v>
      </c>
      <c r="AP697" s="13">
        <f>VLOOKUP(tblCleanData[[#This Row],[EmployeeNumber]],tblHelpers[],14,0)</f>
        <v>41</v>
      </c>
    </row>
    <row r="698" spans="1:42" x14ac:dyDescent="0.25">
      <c r="A698" s="13">
        <v>45</v>
      </c>
      <c r="B698" s="13" t="s">
        <v>59</v>
      </c>
      <c r="C698" s="13" t="s">
        <v>161</v>
      </c>
      <c r="D698" s="13">
        <v>805</v>
      </c>
      <c r="E698" s="13" t="s">
        <v>62</v>
      </c>
      <c r="F698" s="13">
        <v>4</v>
      </c>
      <c r="G698" s="13">
        <v>2</v>
      </c>
      <c r="H698" s="13" t="s">
        <v>42</v>
      </c>
      <c r="I698" s="13">
        <v>1</v>
      </c>
      <c r="J698" s="13">
        <v>972</v>
      </c>
      <c r="K698" s="13">
        <v>3</v>
      </c>
      <c r="L698" s="13" t="s">
        <v>63</v>
      </c>
      <c r="M698" s="13">
        <v>57</v>
      </c>
      <c r="N698" s="13">
        <v>3</v>
      </c>
      <c r="O698" s="13">
        <v>2</v>
      </c>
      <c r="P698" s="13" t="s">
        <v>76</v>
      </c>
      <c r="Q698" s="13">
        <v>2</v>
      </c>
      <c r="R698" s="13" t="s">
        <v>66</v>
      </c>
      <c r="S698" s="20">
        <v>4447</v>
      </c>
      <c r="T698" s="13">
        <v>23163</v>
      </c>
      <c r="U698" s="13">
        <v>1</v>
      </c>
      <c r="V698" s="13" t="s">
        <v>52</v>
      </c>
      <c r="W698" s="13" t="s">
        <v>59</v>
      </c>
      <c r="X698" s="13">
        <v>12</v>
      </c>
      <c r="Y698" s="13">
        <v>3</v>
      </c>
      <c r="Z698" s="13">
        <v>2</v>
      </c>
      <c r="AA698" s="13">
        <v>80</v>
      </c>
      <c r="AB698" s="13">
        <v>0</v>
      </c>
      <c r="AC698" s="13">
        <v>9</v>
      </c>
      <c r="AD698" s="13">
        <v>5</v>
      </c>
      <c r="AE698" s="13">
        <v>2</v>
      </c>
      <c r="AF698" s="14">
        <v>9</v>
      </c>
      <c r="AG698" s="13">
        <v>7</v>
      </c>
      <c r="AH698" s="13">
        <v>0</v>
      </c>
      <c r="AI698" s="13">
        <v>8</v>
      </c>
      <c r="AJ698" s="13" t="str">
        <f t="shared" si="10"/>
        <v>40-49</v>
      </c>
      <c r="AK698" s="13" t="str">
        <f>IF(tblCleanData[[#This Row],[MonthlyIncome]]&lt;5000, "Low Income", IF(tblCleanData[[#This Row],[MonthlyIncome]]&lt;15000, "Medium Income", "High Income"))</f>
        <v>Low Income</v>
      </c>
      <c r="AL698" s="13">
        <f>IF(tblCleanData[[#This Row],[Attrition]]="No", 0,1)</f>
        <v>0</v>
      </c>
      <c r="AM698" s="13">
        <f>IF(tblCleanData[[#This Row],[OverTime]] = "No", 0, 1)</f>
        <v>0</v>
      </c>
      <c r="AN698" s="13" t="str">
        <f>CHOOSE(tblCleanData[[#This Row],[Education]], "Below College","College","Bachelor","Master","Doctor")</f>
        <v>College</v>
      </c>
      <c r="AO698" s="13" t="str">
        <f>VLOOKUP(tblCleanData[[#This Row],[EmployeeNumber]],tblHelpers[],15,TRUE)</f>
        <v>Medium Risk</v>
      </c>
      <c r="AP698" s="13">
        <f>VLOOKUP(tblCleanData[[#This Row],[EmployeeNumber]],tblHelpers[],14,0)</f>
        <v>42</v>
      </c>
    </row>
    <row r="699" spans="1:42" x14ac:dyDescent="0.25">
      <c r="A699" s="13">
        <v>29</v>
      </c>
      <c r="B699" s="13" t="s">
        <v>59</v>
      </c>
      <c r="C699" s="13" t="s">
        <v>60</v>
      </c>
      <c r="D699" s="13">
        <v>1404</v>
      </c>
      <c r="E699" s="13" t="s">
        <v>39</v>
      </c>
      <c r="F699" s="13">
        <v>20</v>
      </c>
      <c r="G699" s="13">
        <v>3</v>
      </c>
      <c r="H699" s="13" t="s">
        <v>228</v>
      </c>
      <c r="I699" s="13">
        <v>1</v>
      </c>
      <c r="J699" s="13">
        <v>974</v>
      </c>
      <c r="K699" s="13">
        <v>3</v>
      </c>
      <c r="L699" s="13" t="s">
        <v>43</v>
      </c>
      <c r="M699" s="13">
        <v>84</v>
      </c>
      <c r="N699" s="13">
        <v>3</v>
      </c>
      <c r="O699" s="13">
        <v>1</v>
      </c>
      <c r="P699" s="13" t="s">
        <v>182</v>
      </c>
      <c r="Q699" s="13">
        <v>4</v>
      </c>
      <c r="R699" s="13" t="s">
        <v>66</v>
      </c>
      <c r="S699" s="20">
        <v>2157</v>
      </c>
      <c r="T699" s="13">
        <v>18203</v>
      </c>
      <c r="U699" s="13">
        <v>1</v>
      </c>
      <c r="V699" s="13" t="s">
        <v>52</v>
      </c>
      <c r="W699" s="13" t="s">
        <v>59</v>
      </c>
      <c r="X699" s="13">
        <v>15</v>
      </c>
      <c r="Y699" s="13">
        <v>3</v>
      </c>
      <c r="Z699" s="13">
        <v>2</v>
      </c>
      <c r="AA699" s="13">
        <v>80</v>
      </c>
      <c r="AB699" s="13">
        <v>1</v>
      </c>
      <c r="AC699" s="13">
        <v>3</v>
      </c>
      <c r="AD699" s="13">
        <v>5</v>
      </c>
      <c r="AE699" s="13">
        <v>3</v>
      </c>
      <c r="AF699" s="14">
        <v>3</v>
      </c>
      <c r="AG699" s="13">
        <v>1</v>
      </c>
      <c r="AH699" s="13">
        <v>0</v>
      </c>
      <c r="AI699" s="13">
        <v>2</v>
      </c>
      <c r="AJ699" s="13" t="str">
        <f t="shared" si="10"/>
        <v>Under 30</v>
      </c>
      <c r="AK699" s="13" t="str">
        <f>IF(tblCleanData[[#This Row],[MonthlyIncome]]&lt;5000, "Low Income", IF(tblCleanData[[#This Row],[MonthlyIncome]]&lt;15000, "Medium Income", "High Income"))</f>
        <v>Low Income</v>
      </c>
      <c r="AL699" s="13">
        <f>IF(tblCleanData[[#This Row],[Attrition]]="No", 0,1)</f>
        <v>0</v>
      </c>
      <c r="AM699" s="13">
        <f>IF(tblCleanData[[#This Row],[OverTime]] = "No", 0, 1)</f>
        <v>0</v>
      </c>
      <c r="AN699" s="13" t="str">
        <f>CHOOSE(tblCleanData[[#This Row],[Education]], "Below College","College","Bachelor","Master","Doctor")</f>
        <v>Bachelor</v>
      </c>
      <c r="AO699" s="13" t="str">
        <f>VLOOKUP(tblCleanData[[#This Row],[EmployeeNumber]],tblHelpers[],15,TRUE)</f>
        <v>High Risk</v>
      </c>
      <c r="AP699" s="13">
        <f>VLOOKUP(tblCleanData[[#This Row],[EmployeeNumber]],tblHelpers[],14,0)</f>
        <v>56</v>
      </c>
    </row>
    <row r="700" spans="1:42" x14ac:dyDescent="0.25">
      <c r="A700" s="13">
        <v>35</v>
      </c>
      <c r="B700" s="13" t="s">
        <v>59</v>
      </c>
      <c r="C700" s="13" t="s">
        <v>37</v>
      </c>
      <c r="D700" s="13">
        <v>1219</v>
      </c>
      <c r="E700" s="13" t="s">
        <v>39</v>
      </c>
      <c r="F700" s="13">
        <v>18</v>
      </c>
      <c r="G700" s="13">
        <v>3</v>
      </c>
      <c r="H700" s="13" t="s">
        <v>87</v>
      </c>
      <c r="I700" s="13">
        <v>1</v>
      </c>
      <c r="J700" s="13">
        <v>975</v>
      </c>
      <c r="K700" s="13">
        <v>3</v>
      </c>
      <c r="L700" s="13" t="s">
        <v>43</v>
      </c>
      <c r="M700" s="13">
        <v>86</v>
      </c>
      <c r="N700" s="13">
        <v>3</v>
      </c>
      <c r="O700" s="13">
        <v>2</v>
      </c>
      <c r="P700" s="13" t="s">
        <v>46</v>
      </c>
      <c r="Q700" s="13">
        <v>3</v>
      </c>
      <c r="R700" s="13" t="s">
        <v>66</v>
      </c>
      <c r="S700" s="20">
        <v>4601</v>
      </c>
      <c r="T700" s="13">
        <v>6179</v>
      </c>
      <c r="U700" s="13">
        <v>1</v>
      </c>
      <c r="V700" s="13" t="s">
        <v>52</v>
      </c>
      <c r="W700" s="13" t="s">
        <v>59</v>
      </c>
      <c r="X700" s="13">
        <v>16</v>
      </c>
      <c r="Y700" s="13">
        <v>3</v>
      </c>
      <c r="Z700" s="13">
        <v>2</v>
      </c>
      <c r="AA700" s="13">
        <v>80</v>
      </c>
      <c r="AB700" s="13">
        <v>0</v>
      </c>
      <c r="AC700" s="13">
        <v>5</v>
      </c>
      <c r="AD700" s="13">
        <v>3</v>
      </c>
      <c r="AE700" s="13">
        <v>3</v>
      </c>
      <c r="AF700" s="14">
        <v>5</v>
      </c>
      <c r="AG700" s="13">
        <v>2</v>
      </c>
      <c r="AH700" s="13">
        <v>1</v>
      </c>
      <c r="AI700" s="13">
        <v>0</v>
      </c>
      <c r="AJ700" s="13" t="str">
        <f t="shared" si="10"/>
        <v>30-39</v>
      </c>
      <c r="AK700" s="13" t="str">
        <f>IF(tblCleanData[[#This Row],[MonthlyIncome]]&lt;5000, "Low Income", IF(tblCleanData[[#This Row],[MonthlyIncome]]&lt;15000, "Medium Income", "High Income"))</f>
        <v>Low Income</v>
      </c>
      <c r="AL700" s="13">
        <f>IF(tblCleanData[[#This Row],[Attrition]]="No", 0,1)</f>
        <v>0</v>
      </c>
      <c r="AM700" s="13">
        <f>IF(tblCleanData[[#This Row],[OverTime]] = "No", 0, 1)</f>
        <v>0</v>
      </c>
      <c r="AN700" s="13" t="str">
        <f>CHOOSE(tblCleanData[[#This Row],[Education]], "Below College","College","Bachelor","Master","Doctor")</f>
        <v>Bachelor</v>
      </c>
      <c r="AO700" s="13" t="str">
        <f>VLOOKUP(tblCleanData[[#This Row],[EmployeeNumber]],tblHelpers[],15,TRUE)</f>
        <v>Medium Risk</v>
      </c>
      <c r="AP700" s="13">
        <f>VLOOKUP(tblCleanData[[#This Row],[EmployeeNumber]],tblHelpers[],14,0)</f>
        <v>53</v>
      </c>
    </row>
    <row r="701" spans="1:42" x14ac:dyDescent="0.25">
      <c r="A701" s="13">
        <v>52</v>
      </c>
      <c r="B701" s="13" t="s">
        <v>59</v>
      </c>
      <c r="C701" s="13" t="s">
        <v>37</v>
      </c>
      <c r="D701" s="13">
        <v>1053</v>
      </c>
      <c r="E701" s="13" t="s">
        <v>62</v>
      </c>
      <c r="F701" s="13">
        <v>1</v>
      </c>
      <c r="G701" s="13">
        <v>2</v>
      </c>
      <c r="H701" s="13" t="s">
        <v>42</v>
      </c>
      <c r="I701" s="13">
        <v>1</v>
      </c>
      <c r="J701" s="13">
        <v>976</v>
      </c>
      <c r="K701" s="13">
        <v>4</v>
      </c>
      <c r="L701" s="13" t="s">
        <v>63</v>
      </c>
      <c r="M701" s="13">
        <v>70</v>
      </c>
      <c r="N701" s="13">
        <v>3</v>
      </c>
      <c r="O701" s="13">
        <v>4</v>
      </c>
      <c r="P701" s="13" t="s">
        <v>169</v>
      </c>
      <c r="Q701" s="13">
        <v>4</v>
      </c>
      <c r="R701" s="13" t="s">
        <v>66</v>
      </c>
      <c r="S701" s="20">
        <v>17099</v>
      </c>
      <c r="T701" s="13">
        <v>13829</v>
      </c>
      <c r="U701" s="13">
        <v>2</v>
      </c>
      <c r="V701" s="13" t="s">
        <v>52</v>
      </c>
      <c r="W701" s="13" t="s">
        <v>59</v>
      </c>
      <c r="X701" s="13">
        <v>15</v>
      </c>
      <c r="Y701" s="13">
        <v>3</v>
      </c>
      <c r="Z701" s="13">
        <v>2</v>
      </c>
      <c r="AA701" s="13">
        <v>80</v>
      </c>
      <c r="AB701" s="13">
        <v>1</v>
      </c>
      <c r="AC701" s="13">
        <v>26</v>
      </c>
      <c r="AD701" s="13">
        <v>2</v>
      </c>
      <c r="AE701" s="13">
        <v>2</v>
      </c>
      <c r="AF701" s="14">
        <v>9</v>
      </c>
      <c r="AG701" s="13">
        <v>8</v>
      </c>
      <c r="AH701" s="13">
        <v>7</v>
      </c>
      <c r="AI701" s="13">
        <v>8</v>
      </c>
      <c r="AJ701" s="13" t="str">
        <f t="shared" si="10"/>
        <v>50+</v>
      </c>
      <c r="AK701" s="13" t="str">
        <f>IF(tblCleanData[[#This Row],[MonthlyIncome]]&lt;5000, "Low Income", IF(tblCleanData[[#This Row],[MonthlyIncome]]&lt;15000, "Medium Income", "High Income"))</f>
        <v>High Income</v>
      </c>
      <c r="AL701" s="13">
        <f>IF(tblCleanData[[#This Row],[Attrition]]="No", 0,1)</f>
        <v>0</v>
      </c>
      <c r="AM701" s="13">
        <f>IF(tblCleanData[[#This Row],[OverTime]] = "No", 0, 1)</f>
        <v>0</v>
      </c>
      <c r="AN701" s="13" t="str">
        <f>CHOOSE(tblCleanData[[#This Row],[Education]], "Below College","College","Bachelor","Master","Doctor")</f>
        <v>College</v>
      </c>
      <c r="AO701" s="13" t="str">
        <f>VLOOKUP(tblCleanData[[#This Row],[EmployeeNumber]],tblHelpers[],15,TRUE)</f>
        <v>Low Risk</v>
      </c>
      <c r="AP701" s="13">
        <f>VLOOKUP(tblCleanData[[#This Row],[EmployeeNumber]],tblHelpers[],14,0)</f>
        <v>34</v>
      </c>
    </row>
    <row r="702" spans="1:42" x14ac:dyDescent="0.25">
      <c r="A702" s="13">
        <v>58</v>
      </c>
      <c r="B702" s="13" t="s">
        <v>36</v>
      </c>
      <c r="C702" s="13" t="s">
        <v>37</v>
      </c>
      <c r="D702" s="13">
        <v>289</v>
      </c>
      <c r="E702" s="13" t="s">
        <v>62</v>
      </c>
      <c r="F702" s="13">
        <v>2</v>
      </c>
      <c r="G702" s="13">
        <v>3</v>
      </c>
      <c r="H702" s="13" t="s">
        <v>228</v>
      </c>
      <c r="I702" s="13">
        <v>1</v>
      </c>
      <c r="J702" s="13">
        <v>977</v>
      </c>
      <c r="K702" s="13">
        <v>4</v>
      </c>
      <c r="L702" s="13" t="s">
        <v>63</v>
      </c>
      <c r="M702" s="13">
        <v>51</v>
      </c>
      <c r="N702" s="13">
        <v>3</v>
      </c>
      <c r="O702" s="13">
        <v>1</v>
      </c>
      <c r="P702" s="13" t="s">
        <v>65</v>
      </c>
      <c r="Q702" s="13">
        <v>3</v>
      </c>
      <c r="R702" s="13" t="s">
        <v>48</v>
      </c>
      <c r="S702" s="20">
        <v>2479</v>
      </c>
      <c r="T702" s="13">
        <v>26227</v>
      </c>
      <c r="U702" s="13">
        <v>4</v>
      </c>
      <c r="V702" s="13" t="s">
        <v>52</v>
      </c>
      <c r="W702" s="13" t="s">
        <v>59</v>
      </c>
      <c r="X702" s="13">
        <v>24</v>
      </c>
      <c r="Y702" s="13">
        <v>4</v>
      </c>
      <c r="Z702" s="13">
        <v>1</v>
      </c>
      <c r="AA702" s="13">
        <v>80</v>
      </c>
      <c r="AB702" s="13">
        <v>0</v>
      </c>
      <c r="AC702" s="13">
        <v>7</v>
      </c>
      <c r="AD702" s="13">
        <v>4</v>
      </c>
      <c r="AE702" s="13">
        <v>3</v>
      </c>
      <c r="AF702" s="14">
        <v>1</v>
      </c>
      <c r="AG702" s="13">
        <v>0</v>
      </c>
      <c r="AH702" s="13">
        <v>0</v>
      </c>
      <c r="AI702" s="13">
        <v>0</v>
      </c>
      <c r="AJ702" s="13" t="str">
        <f t="shared" si="10"/>
        <v>50+</v>
      </c>
      <c r="AK702" s="13" t="str">
        <f>IF(tblCleanData[[#This Row],[MonthlyIncome]]&lt;5000, "Low Income", IF(tblCleanData[[#This Row],[MonthlyIncome]]&lt;15000, "Medium Income", "High Income"))</f>
        <v>Low Income</v>
      </c>
      <c r="AL702" s="13">
        <f>IF(tblCleanData[[#This Row],[Attrition]]="No", 0,1)</f>
        <v>1</v>
      </c>
      <c r="AM702" s="13">
        <f>IF(tblCleanData[[#This Row],[OverTime]] = "No", 0, 1)</f>
        <v>0</v>
      </c>
      <c r="AN702" s="13" t="str">
        <f>CHOOSE(tblCleanData[[#This Row],[Education]], "Below College","College","Bachelor","Master","Doctor")</f>
        <v>Bachelor</v>
      </c>
      <c r="AO702" s="13" t="str">
        <f>VLOOKUP(tblCleanData[[#This Row],[EmployeeNumber]],tblHelpers[],15,TRUE)</f>
        <v>High Risk</v>
      </c>
      <c r="AP702" s="13">
        <f>VLOOKUP(tblCleanData[[#This Row],[EmployeeNumber]],tblHelpers[],14,0)</f>
        <v>58</v>
      </c>
    </row>
    <row r="703" spans="1:42" x14ac:dyDescent="0.25">
      <c r="A703" s="13">
        <v>53</v>
      </c>
      <c r="B703" s="13" t="s">
        <v>59</v>
      </c>
      <c r="C703" s="13" t="s">
        <v>37</v>
      </c>
      <c r="D703" s="13">
        <v>1376</v>
      </c>
      <c r="E703" s="13" t="s">
        <v>39</v>
      </c>
      <c r="F703" s="13">
        <v>2</v>
      </c>
      <c r="G703" s="13">
        <v>2</v>
      </c>
      <c r="H703" s="13" t="s">
        <v>87</v>
      </c>
      <c r="I703" s="13">
        <v>1</v>
      </c>
      <c r="J703" s="13">
        <v>981</v>
      </c>
      <c r="K703" s="13">
        <v>3</v>
      </c>
      <c r="L703" s="13" t="s">
        <v>63</v>
      </c>
      <c r="M703" s="13">
        <v>45</v>
      </c>
      <c r="N703" s="13">
        <v>3</v>
      </c>
      <c r="O703" s="13">
        <v>4</v>
      </c>
      <c r="P703" s="13" t="s">
        <v>169</v>
      </c>
      <c r="Q703" s="13">
        <v>3</v>
      </c>
      <c r="R703" s="13" t="s">
        <v>109</v>
      </c>
      <c r="S703" s="20">
        <v>14852</v>
      </c>
      <c r="T703" s="13">
        <v>13938</v>
      </c>
      <c r="U703" s="13">
        <v>6</v>
      </c>
      <c r="V703" s="13" t="s">
        <v>52</v>
      </c>
      <c r="W703" s="13" t="s">
        <v>59</v>
      </c>
      <c r="X703" s="13">
        <v>13</v>
      </c>
      <c r="Y703" s="13">
        <v>3</v>
      </c>
      <c r="Z703" s="13">
        <v>3</v>
      </c>
      <c r="AA703" s="13">
        <v>80</v>
      </c>
      <c r="AB703" s="13">
        <v>1</v>
      </c>
      <c r="AC703" s="13">
        <v>22</v>
      </c>
      <c r="AD703" s="13">
        <v>3</v>
      </c>
      <c r="AE703" s="13">
        <v>4</v>
      </c>
      <c r="AF703" s="14">
        <v>17</v>
      </c>
      <c r="AG703" s="13">
        <v>13</v>
      </c>
      <c r="AH703" s="13">
        <v>15</v>
      </c>
      <c r="AI703" s="13">
        <v>2</v>
      </c>
      <c r="AJ703" s="13" t="str">
        <f t="shared" si="10"/>
        <v>50+</v>
      </c>
      <c r="AK703" s="13" t="str">
        <f>IF(tblCleanData[[#This Row],[MonthlyIncome]]&lt;5000, "Low Income", IF(tblCleanData[[#This Row],[MonthlyIncome]]&lt;15000, "Medium Income", "High Income"))</f>
        <v>Medium Income</v>
      </c>
      <c r="AL703" s="13">
        <f>IF(tblCleanData[[#This Row],[Attrition]]="No", 0,1)</f>
        <v>0</v>
      </c>
      <c r="AM703" s="13">
        <f>IF(tblCleanData[[#This Row],[OverTime]] = "No", 0, 1)</f>
        <v>0</v>
      </c>
      <c r="AN703" s="13" t="str">
        <f>CHOOSE(tblCleanData[[#This Row],[Education]], "Below College","College","Bachelor","Master","Doctor")</f>
        <v>College</v>
      </c>
      <c r="AO703" s="13" t="str">
        <f>VLOOKUP(tblCleanData[[#This Row],[EmployeeNumber]],tblHelpers[],15,TRUE)</f>
        <v>Medium Risk</v>
      </c>
      <c r="AP703" s="13">
        <f>VLOOKUP(tblCleanData[[#This Row],[EmployeeNumber]],tblHelpers[],14,0)</f>
        <v>36</v>
      </c>
    </row>
    <row r="704" spans="1:42" x14ac:dyDescent="0.25">
      <c r="A704" s="13">
        <v>30</v>
      </c>
      <c r="B704" s="13" t="s">
        <v>59</v>
      </c>
      <c r="C704" s="13" t="s">
        <v>37</v>
      </c>
      <c r="D704" s="13">
        <v>231</v>
      </c>
      <c r="E704" s="13" t="s">
        <v>39</v>
      </c>
      <c r="F704" s="13">
        <v>8</v>
      </c>
      <c r="G704" s="13">
        <v>2</v>
      </c>
      <c r="H704" s="13" t="s">
        <v>74</v>
      </c>
      <c r="I704" s="13">
        <v>1</v>
      </c>
      <c r="J704" s="13">
        <v>982</v>
      </c>
      <c r="K704" s="13">
        <v>3</v>
      </c>
      <c r="L704" s="13" t="s">
        <v>63</v>
      </c>
      <c r="M704" s="13">
        <v>62</v>
      </c>
      <c r="N704" s="13">
        <v>3</v>
      </c>
      <c r="O704" s="13">
        <v>3</v>
      </c>
      <c r="P704" s="13" t="s">
        <v>46</v>
      </c>
      <c r="Q704" s="13">
        <v>3</v>
      </c>
      <c r="R704" s="13" t="s">
        <v>109</v>
      </c>
      <c r="S704" s="20">
        <v>7264</v>
      </c>
      <c r="T704" s="13">
        <v>9977</v>
      </c>
      <c r="U704" s="13">
        <v>5</v>
      </c>
      <c r="V704" s="13" t="s">
        <v>52</v>
      </c>
      <c r="W704" s="13" t="s">
        <v>59</v>
      </c>
      <c r="X704" s="13">
        <v>11</v>
      </c>
      <c r="Y704" s="13">
        <v>3</v>
      </c>
      <c r="Z704" s="13">
        <v>1</v>
      </c>
      <c r="AA704" s="13">
        <v>80</v>
      </c>
      <c r="AB704" s="13">
        <v>1</v>
      </c>
      <c r="AC704" s="13">
        <v>10</v>
      </c>
      <c r="AD704" s="13">
        <v>2</v>
      </c>
      <c r="AE704" s="13">
        <v>4</v>
      </c>
      <c r="AF704" s="14">
        <v>8</v>
      </c>
      <c r="AG704" s="13">
        <v>4</v>
      </c>
      <c r="AH704" s="13">
        <v>7</v>
      </c>
      <c r="AI704" s="13">
        <v>7</v>
      </c>
      <c r="AJ704" s="13" t="str">
        <f t="shared" si="10"/>
        <v>30-39</v>
      </c>
      <c r="AK704" s="13" t="str">
        <f>IF(tblCleanData[[#This Row],[MonthlyIncome]]&lt;5000, "Low Income", IF(tblCleanData[[#This Row],[MonthlyIncome]]&lt;15000, "Medium Income", "High Income"))</f>
        <v>Medium Income</v>
      </c>
      <c r="AL704" s="13">
        <f>IF(tblCleanData[[#This Row],[Attrition]]="No", 0,1)</f>
        <v>0</v>
      </c>
      <c r="AM704" s="13">
        <f>IF(tblCleanData[[#This Row],[OverTime]] = "No", 0, 1)</f>
        <v>0</v>
      </c>
      <c r="AN704" s="13" t="str">
        <f>CHOOSE(tblCleanData[[#This Row],[Education]], "Below College","College","Bachelor","Master","Doctor")</f>
        <v>College</v>
      </c>
      <c r="AO704" s="13" t="str">
        <f>VLOOKUP(tblCleanData[[#This Row],[EmployeeNumber]],tblHelpers[],15,TRUE)</f>
        <v>Medium Risk</v>
      </c>
      <c r="AP704" s="13">
        <f>VLOOKUP(tblCleanData[[#This Row],[EmployeeNumber]],tblHelpers[],14,0)</f>
        <v>46</v>
      </c>
    </row>
    <row r="705" spans="1:42" x14ac:dyDescent="0.25">
      <c r="A705" s="13">
        <v>38</v>
      </c>
      <c r="B705" s="13" t="s">
        <v>59</v>
      </c>
      <c r="C705" s="13" t="s">
        <v>161</v>
      </c>
      <c r="D705" s="13">
        <v>152</v>
      </c>
      <c r="E705" s="13" t="s">
        <v>39</v>
      </c>
      <c r="F705" s="13">
        <v>10</v>
      </c>
      <c r="G705" s="13">
        <v>3</v>
      </c>
      <c r="H705" s="13" t="s">
        <v>228</v>
      </c>
      <c r="I705" s="13">
        <v>1</v>
      </c>
      <c r="J705" s="13">
        <v>983</v>
      </c>
      <c r="K705" s="13">
        <v>3</v>
      </c>
      <c r="L705" s="13" t="s">
        <v>43</v>
      </c>
      <c r="M705" s="13">
        <v>85</v>
      </c>
      <c r="N705" s="13">
        <v>3</v>
      </c>
      <c r="O705" s="13">
        <v>2</v>
      </c>
      <c r="P705" s="13" t="s">
        <v>46</v>
      </c>
      <c r="Q705" s="13">
        <v>4</v>
      </c>
      <c r="R705" s="13" t="s">
        <v>48</v>
      </c>
      <c r="S705" s="20">
        <v>5666</v>
      </c>
      <c r="T705" s="13">
        <v>19899</v>
      </c>
      <c r="U705" s="13">
        <v>1</v>
      </c>
      <c r="V705" s="13" t="s">
        <v>52</v>
      </c>
      <c r="W705" s="13" t="s">
        <v>36</v>
      </c>
      <c r="X705" s="13">
        <v>13</v>
      </c>
      <c r="Y705" s="13">
        <v>3</v>
      </c>
      <c r="Z705" s="13">
        <v>2</v>
      </c>
      <c r="AA705" s="13">
        <v>80</v>
      </c>
      <c r="AB705" s="13">
        <v>0</v>
      </c>
      <c r="AC705" s="13">
        <v>6</v>
      </c>
      <c r="AD705" s="13">
        <v>1</v>
      </c>
      <c r="AE705" s="13">
        <v>3</v>
      </c>
      <c r="AF705" s="14">
        <v>5</v>
      </c>
      <c r="AG705" s="13">
        <v>3</v>
      </c>
      <c r="AH705" s="13">
        <v>1</v>
      </c>
      <c r="AI705" s="13">
        <v>3</v>
      </c>
      <c r="AJ705" s="13" t="str">
        <f t="shared" si="10"/>
        <v>30-39</v>
      </c>
      <c r="AK705" s="13" t="str">
        <f>IF(tblCleanData[[#This Row],[MonthlyIncome]]&lt;5000, "Low Income", IF(tblCleanData[[#This Row],[MonthlyIncome]]&lt;15000, "Medium Income", "High Income"))</f>
        <v>Medium Income</v>
      </c>
      <c r="AL705" s="13">
        <f>IF(tblCleanData[[#This Row],[Attrition]]="No", 0,1)</f>
        <v>0</v>
      </c>
      <c r="AM705" s="13">
        <f>IF(tblCleanData[[#This Row],[OverTime]] = "No", 0, 1)</f>
        <v>1</v>
      </c>
      <c r="AN705" s="13" t="str">
        <f>CHOOSE(tblCleanData[[#This Row],[Education]], "Below College","College","Bachelor","Master","Doctor")</f>
        <v>Bachelor</v>
      </c>
      <c r="AO705" s="13" t="str">
        <f>VLOOKUP(tblCleanData[[#This Row],[EmployeeNumber]],tblHelpers[],15,TRUE)</f>
        <v>High Risk</v>
      </c>
      <c r="AP705" s="13">
        <f>VLOOKUP(tblCleanData[[#This Row],[EmployeeNumber]],tblHelpers[],14,0)</f>
        <v>71</v>
      </c>
    </row>
    <row r="706" spans="1:42" x14ac:dyDescent="0.25">
      <c r="A706" s="13">
        <v>35</v>
      </c>
      <c r="B706" s="13" t="s">
        <v>59</v>
      </c>
      <c r="C706" s="13" t="s">
        <v>37</v>
      </c>
      <c r="D706" s="13">
        <v>882</v>
      </c>
      <c r="E706" s="13" t="s">
        <v>39</v>
      </c>
      <c r="F706" s="13">
        <v>3</v>
      </c>
      <c r="G706" s="13">
        <v>4</v>
      </c>
      <c r="H706" s="13" t="s">
        <v>42</v>
      </c>
      <c r="I706" s="13">
        <v>1</v>
      </c>
      <c r="J706" s="13">
        <v>984</v>
      </c>
      <c r="K706" s="13">
        <v>4</v>
      </c>
      <c r="L706" s="13" t="s">
        <v>63</v>
      </c>
      <c r="M706" s="13">
        <v>92</v>
      </c>
      <c r="N706" s="13">
        <v>3</v>
      </c>
      <c r="O706" s="13">
        <v>3</v>
      </c>
      <c r="P706" s="13" t="s">
        <v>46</v>
      </c>
      <c r="Q706" s="13">
        <v>4</v>
      </c>
      <c r="R706" s="13" t="s">
        <v>109</v>
      </c>
      <c r="S706" s="20">
        <v>7823</v>
      </c>
      <c r="T706" s="13">
        <v>6812</v>
      </c>
      <c r="U706" s="13">
        <v>6</v>
      </c>
      <c r="V706" s="13" t="s">
        <v>52</v>
      </c>
      <c r="W706" s="13" t="s">
        <v>59</v>
      </c>
      <c r="X706" s="13">
        <v>13</v>
      </c>
      <c r="Y706" s="13">
        <v>3</v>
      </c>
      <c r="Z706" s="13">
        <v>2</v>
      </c>
      <c r="AA706" s="13">
        <v>80</v>
      </c>
      <c r="AB706" s="13">
        <v>1</v>
      </c>
      <c r="AC706" s="13">
        <v>12</v>
      </c>
      <c r="AD706" s="13">
        <v>2</v>
      </c>
      <c r="AE706" s="13">
        <v>3</v>
      </c>
      <c r="AF706" s="14">
        <v>10</v>
      </c>
      <c r="AG706" s="13">
        <v>9</v>
      </c>
      <c r="AH706" s="13">
        <v>0</v>
      </c>
      <c r="AI706" s="13">
        <v>8</v>
      </c>
      <c r="AJ706" s="13" t="str">
        <f t="shared" ref="AJ706:AJ769" si="11">IF(A706&lt;30,"Under 30", IF(A706&lt;40,"30-39", IF(A706&lt;50,"40-49", "50+")))</f>
        <v>30-39</v>
      </c>
      <c r="AK706" s="13" t="str">
        <f>IF(tblCleanData[[#This Row],[MonthlyIncome]]&lt;5000, "Low Income", IF(tblCleanData[[#This Row],[MonthlyIncome]]&lt;15000, "Medium Income", "High Income"))</f>
        <v>Medium Income</v>
      </c>
      <c r="AL706" s="13">
        <f>IF(tblCleanData[[#This Row],[Attrition]]="No", 0,1)</f>
        <v>0</v>
      </c>
      <c r="AM706" s="13">
        <f>IF(tblCleanData[[#This Row],[OverTime]] = "No", 0, 1)</f>
        <v>0</v>
      </c>
      <c r="AN706" s="13" t="str">
        <f>CHOOSE(tblCleanData[[#This Row],[Education]], "Below College","College","Bachelor","Master","Doctor")</f>
        <v>Master</v>
      </c>
      <c r="AO706" s="13" t="str">
        <f>VLOOKUP(tblCleanData[[#This Row],[EmployeeNumber]],tblHelpers[],15,TRUE)</f>
        <v>Medium Risk</v>
      </c>
      <c r="AP706" s="13">
        <f>VLOOKUP(tblCleanData[[#This Row],[EmployeeNumber]],tblHelpers[],14,0)</f>
        <v>39</v>
      </c>
    </row>
    <row r="707" spans="1:42" x14ac:dyDescent="0.25">
      <c r="A707" s="13">
        <v>39</v>
      </c>
      <c r="B707" s="13" t="s">
        <v>59</v>
      </c>
      <c r="C707" s="13" t="s">
        <v>37</v>
      </c>
      <c r="D707" s="13">
        <v>903</v>
      </c>
      <c r="E707" s="13" t="s">
        <v>39</v>
      </c>
      <c r="F707" s="13">
        <v>2</v>
      </c>
      <c r="G707" s="13">
        <v>5</v>
      </c>
      <c r="H707" s="13" t="s">
        <v>42</v>
      </c>
      <c r="I707" s="13">
        <v>1</v>
      </c>
      <c r="J707" s="13">
        <v>985</v>
      </c>
      <c r="K707" s="13">
        <v>1</v>
      </c>
      <c r="L707" s="13" t="s">
        <v>63</v>
      </c>
      <c r="M707" s="13">
        <v>41</v>
      </c>
      <c r="N707" s="13">
        <v>4</v>
      </c>
      <c r="O707" s="13">
        <v>3</v>
      </c>
      <c r="P707" s="13" t="s">
        <v>46</v>
      </c>
      <c r="Q707" s="13">
        <v>3</v>
      </c>
      <c r="R707" s="13" t="s">
        <v>48</v>
      </c>
      <c r="S707" s="20">
        <v>7880</v>
      </c>
      <c r="T707" s="13">
        <v>2560</v>
      </c>
      <c r="U707" s="13">
        <v>0</v>
      </c>
      <c r="V707" s="13" t="s">
        <v>52</v>
      </c>
      <c r="W707" s="13" t="s">
        <v>59</v>
      </c>
      <c r="X707" s="13">
        <v>18</v>
      </c>
      <c r="Y707" s="13">
        <v>3</v>
      </c>
      <c r="Z707" s="13">
        <v>4</v>
      </c>
      <c r="AA707" s="13">
        <v>80</v>
      </c>
      <c r="AB707" s="13">
        <v>0</v>
      </c>
      <c r="AC707" s="13">
        <v>9</v>
      </c>
      <c r="AD707" s="13">
        <v>3</v>
      </c>
      <c r="AE707" s="13">
        <v>3</v>
      </c>
      <c r="AF707" s="14">
        <v>8</v>
      </c>
      <c r="AG707" s="13">
        <v>7</v>
      </c>
      <c r="AH707" s="13">
        <v>0</v>
      </c>
      <c r="AI707" s="13">
        <v>7</v>
      </c>
      <c r="AJ707" s="13" t="str">
        <f t="shared" si="11"/>
        <v>30-39</v>
      </c>
      <c r="AK707" s="13" t="str">
        <f>IF(tblCleanData[[#This Row],[MonthlyIncome]]&lt;5000, "Low Income", IF(tblCleanData[[#This Row],[MonthlyIncome]]&lt;15000, "Medium Income", "High Income"))</f>
        <v>Medium Income</v>
      </c>
      <c r="AL707" s="13">
        <f>IF(tblCleanData[[#This Row],[Attrition]]="No", 0,1)</f>
        <v>0</v>
      </c>
      <c r="AM707" s="13">
        <f>IF(tblCleanData[[#This Row],[OverTime]] = "No", 0, 1)</f>
        <v>0</v>
      </c>
      <c r="AN707" s="13" t="str">
        <f>CHOOSE(tblCleanData[[#This Row],[Education]], "Below College","College","Bachelor","Master","Doctor")</f>
        <v>Doctor</v>
      </c>
      <c r="AO707" s="13" t="str">
        <f>VLOOKUP(tblCleanData[[#This Row],[EmployeeNumber]],tblHelpers[],15,TRUE)</f>
        <v>Medium Risk</v>
      </c>
      <c r="AP707" s="13">
        <f>VLOOKUP(tblCleanData[[#This Row],[EmployeeNumber]],tblHelpers[],14,0)</f>
        <v>46</v>
      </c>
    </row>
    <row r="708" spans="1:42" x14ac:dyDescent="0.25">
      <c r="A708" s="13">
        <v>40</v>
      </c>
      <c r="B708" s="13" t="s">
        <v>36</v>
      </c>
      <c r="C708" s="13" t="s">
        <v>161</v>
      </c>
      <c r="D708" s="13">
        <v>1479</v>
      </c>
      <c r="E708" s="13" t="s">
        <v>39</v>
      </c>
      <c r="F708" s="13">
        <v>24</v>
      </c>
      <c r="G708" s="13">
        <v>3</v>
      </c>
      <c r="H708" s="13" t="s">
        <v>42</v>
      </c>
      <c r="I708" s="13">
        <v>1</v>
      </c>
      <c r="J708" s="13">
        <v>986</v>
      </c>
      <c r="K708" s="13">
        <v>2</v>
      </c>
      <c r="L708" s="13" t="s">
        <v>43</v>
      </c>
      <c r="M708" s="13">
        <v>100</v>
      </c>
      <c r="N708" s="13">
        <v>4</v>
      </c>
      <c r="O708" s="13">
        <v>4</v>
      </c>
      <c r="P708" s="13" t="s">
        <v>46</v>
      </c>
      <c r="Q708" s="13">
        <v>2</v>
      </c>
      <c r="R708" s="13" t="s">
        <v>48</v>
      </c>
      <c r="S708" s="20">
        <v>13194</v>
      </c>
      <c r="T708" s="13">
        <v>17071</v>
      </c>
      <c r="U708" s="13">
        <v>4</v>
      </c>
      <c r="V708" s="13" t="s">
        <v>52</v>
      </c>
      <c r="W708" s="13" t="s">
        <v>36</v>
      </c>
      <c r="X708" s="13">
        <v>16</v>
      </c>
      <c r="Y708" s="13">
        <v>3</v>
      </c>
      <c r="Z708" s="13">
        <v>4</v>
      </c>
      <c r="AA708" s="13">
        <v>80</v>
      </c>
      <c r="AB708" s="13">
        <v>0</v>
      </c>
      <c r="AC708" s="13">
        <v>22</v>
      </c>
      <c r="AD708" s="13">
        <v>2</v>
      </c>
      <c r="AE708" s="13">
        <v>2</v>
      </c>
      <c r="AF708" s="14">
        <v>1</v>
      </c>
      <c r="AG708" s="13">
        <v>0</v>
      </c>
      <c r="AH708" s="13">
        <v>0</v>
      </c>
      <c r="AI708" s="13">
        <v>0</v>
      </c>
      <c r="AJ708" s="13" t="str">
        <f t="shared" si="11"/>
        <v>40-49</v>
      </c>
      <c r="AK708" s="13" t="str">
        <f>IF(tblCleanData[[#This Row],[MonthlyIncome]]&lt;5000, "Low Income", IF(tblCleanData[[#This Row],[MonthlyIncome]]&lt;15000, "Medium Income", "High Income"))</f>
        <v>Medium Income</v>
      </c>
      <c r="AL708" s="13">
        <f>IF(tblCleanData[[#This Row],[Attrition]]="No", 0,1)</f>
        <v>1</v>
      </c>
      <c r="AM708" s="13">
        <f>IF(tblCleanData[[#This Row],[OverTime]] = "No", 0, 1)</f>
        <v>1</v>
      </c>
      <c r="AN708" s="13" t="str">
        <f>CHOOSE(tblCleanData[[#This Row],[Education]], "Below College","College","Bachelor","Master","Doctor")</f>
        <v>Bachelor</v>
      </c>
      <c r="AO708" s="13" t="str">
        <f>VLOOKUP(tblCleanData[[#This Row],[EmployeeNumber]],tblHelpers[],15,TRUE)</f>
        <v>High Risk</v>
      </c>
      <c r="AP708" s="13">
        <f>VLOOKUP(tblCleanData[[#This Row],[EmployeeNumber]],tblHelpers[],14,0)</f>
        <v>84</v>
      </c>
    </row>
    <row r="709" spans="1:42" x14ac:dyDescent="0.25">
      <c r="A709" s="13">
        <v>47</v>
      </c>
      <c r="B709" s="13" t="s">
        <v>59</v>
      </c>
      <c r="C709" s="13" t="s">
        <v>60</v>
      </c>
      <c r="D709" s="13">
        <v>1379</v>
      </c>
      <c r="E709" s="13" t="s">
        <v>62</v>
      </c>
      <c r="F709" s="13">
        <v>16</v>
      </c>
      <c r="G709" s="13">
        <v>4</v>
      </c>
      <c r="H709" s="13" t="s">
        <v>87</v>
      </c>
      <c r="I709" s="13">
        <v>1</v>
      </c>
      <c r="J709" s="13">
        <v>987</v>
      </c>
      <c r="K709" s="13">
        <v>3</v>
      </c>
      <c r="L709" s="13" t="s">
        <v>63</v>
      </c>
      <c r="M709" s="13">
        <v>64</v>
      </c>
      <c r="N709" s="13">
        <v>4</v>
      </c>
      <c r="O709" s="13">
        <v>2</v>
      </c>
      <c r="P709" s="13" t="s">
        <v>116</v>
      </c>
      <c r="Q709" s="13">
        <v>3</v>
      </c>
      <c r="R709" s="13" t="s">
        <v>109</v>
      </c>
      <c r="S709" s="20">
        <v>5067</v>
      </c>
      <c r="T709" s="13">
        <v>6759</v>
      </c>
      <c r="U709" s="13">
        <v>1</v>
      </c>
      <c r="V709" s="13" t="s">
        <v>52</v>
      </c>
      <c r="W709" s="13" t="s">
        <v>36</v>
      </c>
      <c r="X709" s="13">
        <v>19</v>
      </c>
      <c r="Y709" s="13">
        <v>3</v>
      </c>
      <c r="Z709" s="13">
        <v>3</v>
      </c>
      <c r="AA709" s="13">
        <v>80</v>
      </c>
      <c r="AB709" s="13">
        <v>0</v>
      </c>
      <c r="AC709" s="13">
        <v>20</v>
      </c>
      <c r="AD709" s="13">
        <v>3</v>
      </c>
      <c r="AE709" s="13">
        <v>4</v>
      </c>
      <c r="AF709" s="14">
        <v>19</v>
      </c>
      <c r="AG709" s="13">
        <v>10</v>
      </c>
      <c r="AH709" s="13">
        <v>2</v>
      </c>
      <c r="AI709" s="13">
        <v>7</v>
      </c>
      <c r="AJ709" s="13" t="str">
        <f t="shared" si="11"/>
        <v>40-49</v>
      </c>
      <c r="AK709" s="13" t="str">
        <f>IF(tblCleanData[[#This Row],[MonthlyIncome]]&lt;5000, "Low Income", IF(tblCleanData[[#This Row],[MonthlyIncome]]&lt;15000, "Medium Income", "High Income"))</f>
        <v>Medium Income</v>
      </c>
      <c r="AL709" s="13">
        <f>IF(tblCleanData[[#This Row],[Attrition]]="No", 0,1)</f>
        <v>0</v>
      </c>
      <c r="AM709" s="13">
        <f>IF(tblCleanData[[#This Row],[OverTime]] = "No", 0, 1)</f>
        <v>1</v>
      </c>
      <c r="AN709" s="13" t="str">
        <f>CHOOSE(tblCleanData[[#This Row],[Education]], "Below College","College","Bachelor","Master","Doctor")</f>
        <v>Master</v>
      </c>
      <c r="AO709" s="13" t="str">
        <f>VLOOKUP(tblCleanData[[#This Row],[EmployeeNumber]],tblHelpers[],15,TRUE)</f>
        <v>High Risk</v>
      </c>
      <c r="AP709" s="13">
        <f>VLOOKUP(tblCleanData[[#This Row],[EmployeeNumber]],tblHelpers[],14,0)</f>
        <v>56</v>
      </c>
    </row>
    <row r="710" spans="1:42" x14ac:dyDescent="0.25">
      <c r="A710" s="13">
        <v>36</v>
      </c>
      <c r="B710" s="13" t="s">
        <v>59</v>
      </c>
      <c r="C710" s="13" t="s">
        <v>161</v>
      </c>
      <c r="D710" s="13">
        <v>1229</v>
      </c>
      <c r="E710" s="13" t="s">
        <v>39</v>
      </c>
      <c r="F710" s="13">
        <v>8</v>
      </c>
      <c r="G710" s="13">
        <v>4</v>
      </c>
      <c r="H710" s="13" t="s">
        <v>228</v>
      </c>
      <c r="I710" s="13">
        <v>1</v>
      </c>
      <c r="J710" s="13">
        <v>990</v>
      </c>
      <c r="K710" s="13">
        <v>1</v>
      </c>
      <c r="L710" s="13" t="s">
        <v>63</v>
      </c>
      <c r="M710" s="13">
        <v>84</v>
      </c>
      <c r="N710" s="13">
        <v>3</v>
      </c>
      <c r="O710" s="13">
        <v>2</v>
      </c>
      <c r="P710" s="13" t="s">
        <v>46</v>
      </c>
      <c r="Q710" s="13">
        <v>4</v>
      </c>
      <c r="R710" s="13" t="s">
        <v>109</v>
      </c>
      <c r="S710" s="20">
        <v>5079</v>
      </c>
      <c r="T710" s="13">
        <v>25952</v>
      </c>
      <c r="U710" s="13">
        <v>4</v>
      </c>
      <c r="V710" s="13" t="s">
        <v>52</v>
      </c>
      <c r="W710" s="13" t="s">
        <v>59</v>
      </c>
      <c r="X710" s="13">
        <v>13</v>
      </c>
      <c r="Y710" s="13">
        <v>3</v>
      </c>
      <c r="Z710" s="13">
        <v>4</v>
      </c>
      <c r="AA710" s="13">
        <v>80</v>
      </c>
      <c r="AB710" s="13">
        <v>2</v>
      </c>
      <c r="AC710" s="13">
        <v>12</v>
      </c>
      <c r="AD710" s="13">
        <v>3</v>
      </c>
      <c r="AE710" s="13">
        <v>3</v>
      </c>
      <c r="AF710" s="14">
        <v>7</v>
      </c>
      <c r="AG710" s="13">
        <v>7</v>
      </c>
      <c r="AH710" s="13">
        <v>0</v>
      </c>
      <c r="AI710" s="13">
        <v>7</v>
      </c>
      <c r="AJ710" s="13" t="str">
        <f t="shared" si="11"/>
        <v>30-39</v>
      </c>
      <c r="AK710" s="13" t="str">
        <f>IF(tblCleanData[[#This Row],[MonthlyIncome]]&lt;5000, "Low Income", IF(tblCleanData[[#This Row],[MonthlyIncome]]&lt;15000, "Medium Income", "High Income"))</f>
        <v>Medium Income</v>
      </c>
      <c r="AL710" s="13">
        <f>IF(tblCleanData[[#This Row],[Attrition]]="No", 0,1)</f>
        <v>0</v>
      </c>
      <c r="AM710" s="13">
        <f>IF(tblCleanData[[#This Row],[OverTime]] = "No", 0, 1)</f>
        <v>0</v>
      </c>
      <c r="AN710" s="13" t="str">
        <f>CHOOSE(tblCleanData[[#This Row],[Education]], "Below College","College","Bachelor","Master","Doctor")</f>
        <v>Master</v>
      </c>
      <c r="AO710" s="13" t="str">
        <f>VLOOKUP(tblCleanData[[#This Row],[EmployeeNumber]],tblHelpers[],15,TRUE)</f>
        <v>Medium Risk</v>
      </c>
      <c r="AP710" s="13">
        <f>VLOOKUP(tblCleanData[[#This Row],[EmployeeNumber]],tblHelpers[],14,0)</f>
        <v>39</v>
      </c>
    </row>
    <row r="711" spans="1:42" x14ac:dyDescent="0.25">
      <c r="A711" s="13">
        <v>31</v>
      </c>
      <c r="B711" s="13" t="s">
        <v>36</v>
      </c>
      <c r="C711" s="13" t="s">
        <v>161</v>
      </c>
      <c r="D711" s="13">
        <v>335</v>
      </c>
      <c r="E711" s="13" t="s">
        <v>62</v>
      </c>
      <c r="F711" s="13">
        <v>9</v>
      </c>
      <c r="G711" s="13">
        <v>2</v>
      </c>
      <c r="H711" s="13" t="s">
        <v>87</v>
      </c>
      <c r="I711" s="13">
        <v>1</v>
      </c>
      <c r="J711" s="13">
        <v>991</v>
      </c>
      <c r="K711" s="13">
        <v>3</v>
      </c>
      <c r="L711" s="13" t="s">
        <v>63</v>
      </c>
      <c r="M711" s="13">
        <v>46</v>
      </c>
      <c r="N711" s="13">
        <v>2</v>
      </c>
      <c r="O711" s="13">
        <v>1</v>
      </c>
      <c r="P711" s="13" t="s">
        <v>65</v>
      </c>
      <c r="Q711" s="13">
        <v>1</v>
      </c>
      <c r="R711" s="13" t="s">
        <v>48</v>
      </c>
      <c r="S711" s="20">
        <v>2321</v>
      </c>
      <c r="T711" s="13">
        <v>10322</v>
      </c>
      <c r="U711" s="13">
        <v>0</v>
      </c>
      <c r="V711" s="13" t="s">
        <v>52</v>
      </c>
      <c r="W711" s="13" t="s">
        <v>36</v>
      </c>
      <c r="X711" s="13">
        <v>22</v>
      </c>
      <c r="Y711" s="13">
        <v>4</v>
      </c>
      <c r="Z711" s="13">
        <v>1</v>
      </c>
      <c r="AA711" s="13">
        <v>80</v>
      </c>
      <c r="AB711" s="13">
        <v>0</v>
      </c>
      <c r="AC711" s="13">
        <v>4</v>
      </c>
      <c r="AD711" s="13">
        <v>0</v>
      </c>
      <c r="AE711" s="13">
        <v>3</v>
      </c>
      <c r="AF711" s="14">
        <v>3</v>
      </c>
      <c r="AG711" s="13">
        <v>2</v>
      </c>
      <c r="AH711" s="13">
        <v>1</v>
      </c>
      <c r="AI711" s="13">
        <v>2</v>
      </c>
      <c r="AJ711" s="13" t="str">
        <f t="shared" si="11"/>
        <v>30-39</v>
      </c>
      <c r="AK711" s="13" t="str">
        <f>IF(tblCleanData[[#This Row],[MonthlyIncome]]&lt;5000, "Low Income", IF(tblCleanData[[#This Row],[MonthlyIncome]]&lt;15000, "Medium Income", "High Income"))</f>
        <v>Low Income</v>
      </c>
      <c r="AL711" s="13">
        <f>IF(tblCleanData[[#This Row],[Attrition]]="No", 0,1)</f>
        <v>1</v>
      </c>
      <c r="AM711" s="13">
        <f>IF(tblCleanData[[#This Row],[OverTime]] = "No", 0, 1)</f>
        <v>1</v>
      </c>
      <c r="AN711" s="13" t="str">
        <f>CHOOSE(tblCleanData[[#This Row],[Education]], "Below College","College","Bachelor","Master","Doctor")</f>
        <v>College</v>
      </c>
      <c r="AO711" s="13" t="str">
        <f>VLOOKUP(tblCleanData[[#This Row],[EmployeeNumber]],tblHelpers[],15,TRUE)</f>
        <v>High Risk</v>
      </c>
      <c r="AP711" s="13">
        <f>VLOOKUP(tblCleanData[[#This Row],[EmployeeNumber]],tblHelpers[],14,0)</f>
        <v>90</v>
      </c>
    </row>
    <row r="712" spans="1:42" x14ac:dyDescent="0.25">
      <c r="A712" s="13">
        <v>33</v>
      </c>
      <c r="B712" s="13" t="s">
        <v>59</v>
      </c>
      <c r="C712" s="13" t="s">
        <v>161</v>
      </c>
      <c r="D712" s="13">
        <v>722</v>
      </c>
      <c r="E712" s="13" t="s">
        <v>39</v>
      </c>
      <c r="F712" s="13">
        <v>17</v>
      </c>
      <c r="G712" s="13">
        <v>3</v>
      </c>
      <c r="H712" s="13" t="s">
        <v>42</v>
      </c>
      <c r="I712" s="13">
        <v>1</v>
      </c>
      <c r="J712" s="13">
        <v>992</v>
      </c>
      <c r="K712" s="13">
        <v>4</v>
      </c>
      <c r="L712" s="13" t="s">
        <v>63</v>
      </c>
      <c r="M712" s="13">
        <v>38</v>
      </c>
      <c r="N712" s="13">
        <v>3</v>
      </c>
      <c r="O712" s="13">
        <v>4</v>
      </c>
      <c r="P712" s="13" t="s">
        <v>169</v>
      </c>
      <c r="Q712" s="13">
        <v>3</v>
      </c>
      <c r="R712" s="13" t="s">
        <v>48</v>
      </c>
      <c r="S712" s="20">
        <v>17444</v>
      </c>
      <c r="T712" s="13">
        <v>20489</v>
      </c>
      <c r="U712" s="13">
        <v>1</v>
      </c>
      <c r="V712" s="13" t="s">
        <v>52</v>
      </c>
      <c r="W712" s="13" t="s">
        <v>59</v>
      </c>
      <c r="X712" s="13">
        <v>11</v>
      </c>
      <c r="Y712" s="13">
        <v>3</v>
      </c>
      <c r="Z712" s="13">
        <v>4</v>
      </c>
      <c r="AA712" s="13">
        <v>80</v>
      </c>
      <c r="AB712" s="13">
        <v>0</v>
      </c>
      <c r="AC712" s="13">
        <v>10</v>
      </c>
      <c r="AD712" s="13">
        <v>2</v>
      </c>
      <c r="AE712" s="13">
        <v>3</v>
      </c>
      <c r="AF712" s="14">
        <v>10</v>
      </c>
      <c r="AG712" s="13">
        <v>8</v>
      </c>
      <c r="AH712" s="13">
        <v>6</v>
      </c>
      <c r="AI712" s="13">
        <v>0</v>
      </c>
      <c r="AJ712" s="13" t="str">
        <f t="shared" si="11"/>
        <v>30-39</v>
      </c>
      <c r="AK712" s="13" t="str">
        <f>IF(tblCleanData[[#This Row],[MonthlyIncome]]&lt;5000, "Low Income", IF(tblCleanData[[#This Row],[MonthlyIncome]]&lt;15000, "Medium Income", "High Income"))</f>
        <v>High Income</v>
      </c>
      <c r="AL712" s="13">
        <f>IF(tblCleanData[[#This Row],[Attrition]]="No", 0,1)</f>
        <v>0</v>
      </c>
      <c r="AM712" s="13">
        <f>IF(tblCleanData[[#This Row],[OverTime]] = "No", 0, 1)</f>
        <v>0</v>
      </c>
      <c r="AN712" s="13" t="str">
        <f>CHOOSE(tblCleanData[[#This Row],[Education]], "Below College","College","Bachelor","Master","Doctor")</f>
        <v>Bachelor</v>
      </c>
      <c r="AO712" s="13" t="str">
        <f>VLOOKUP(tblCleanData[[#This Row],[EmployeeNumber]],tblHelpers[],15,TRUE)</f>
        <v>Medium Risk</v>
      </c>
      <c r="AP712" s="13">
        <f>VLOOKUP(tblCleanData[[#This Row],[EmployeeNumber]],tblHelpers[],14,0)</f>
        <v>46</v>
      </c>
    </row>
    <row r="713" spans="1:42" x14ac:dyDescent="0.25">
      <c r="A713" s="13">
        <v>29</v>
      </c>
      <c r="B713" s="13" t="s">
        <v>36</v>
      </c>
      <c r="C713" s="13" t="s">
        <v>37</v>
      </c>
      <c r="D713" s="13">
        <v>906</v>
      </c>
      <c r="E713" s="13" t="s">
        <v>62</v>
      </c>
      <c r="F713" s="13">
        <v>10</v>
      </c>
      <c r="G713" s="13">
        <v>3</v>
      </c>
      <c r="H713" s="13" t="s">
        <v>42</v>
      </c>
      <c r="I713" s="13">
        <v>1</v>
      </c>
      <c r="J713" s="13">
        <v>994</v>
      </c>
      <c r="K713" s="13">
        <v>4</v>
      </c>
      <c r="L713" s="13" t="s">
        <v>43</v>
      </c>
      <c r="M713" s="13">
        <v>92</v>
      </c>
      <c r="N713" s="13">
        <v>2</v>
      </c>
      <c r="O713" s="13">
        <v>1</v>
      </c>
      <c r="P713" s="13" t="s">
        <v>65</v>
      </c>
      <c r="Q713" s="13">
        <v>1</v>
      </c>
      <c r="R713" s="13" t="s">
        <v>48</v>
      </c>
      <c r="S713" s="20">
        <v>2404</v>
      </c>
      <c r="T713" s="13">
        <v>11479</v>
      </c>
      <c r="U713" s="13">
        <v>6</v>
      </c>
      <c r="V713" s="13" t="s">
        <v>52</v>
      </c>
      <c r="W713" s="13" t="s">
        <v>36</v>
      </c>
      <c r="X713" s="13">
        <v>20</v>
      </c>
      <c r="Y713" s="13">
        <v>4</v>
      </c>
      <c r="Z713" s="13">
        <v>3</v>
      </c>
      <c r="AA713" s="13">
        <v>80</v>
      </c>
      <c r="AB713" s="13">
        <v>0</v>
      </c>
      <c r="AC713" s="13">
        <v>3</v>
      </c>
      <c r="AD713" s="13">
        <v>5</v>
      </c>
      <c r="AE713" s="13">
        <v>3</v>
      </c>
      <c r="AF713" s="14">
        <v>0</v>
      </c>
      <c r="AG713" s="13">
        <v>0</v>
      </c>
      <c r="AH713" s="13">
        <v>0</v>
      </c>
      <c r="AI713" s="13">
        <v>0</v>
      </c>
      <c r="AJ713" s="13" t="str">
        <f t="shared" si="11"/>
        <v>Under 30</v>
      </c>
      <c r="AK713" s="13" t="str">
        <f>IF(tblCleanData[[#This Row],[MonthlyIncome]]&lt;5000, "Low Income", IF(tblCleanData[[#This Row],[MonthlyIncome]]&lt;15000, "Medium Income", "High Income"))</f>
        <v>Low Income</v>
      </c>
      <c r="AL713" s="13">
        <f>IF(tblCleanData[[#This Row],[Attrition]]="No", 0,1)</f>
        <v>1</v>
      </c>
      <c r="AM713" s="13">
        <f>IF(tblCleanData[[#This Row],[OverTime]] = "No", 0, 1)</f>
        <v>1</v>
      </c>
      <c r="AN713" s="13" t="str">
        <f>CHOOSE(tblCleanData[[#This Row],[Education]], "Below College","College","Bachelor","Master","Doctor")</f>
        <v>Bachelor</v>
      </c>
      <c r="AO713" s="13" t="str">
        <f>VLOOKUP(tblCleanData[[#This Row],[EmployeeNumber]],tblHelpers[],15,TRUE)</f>
        <v>High Risk</v>
      </c>
      <c r="AP713" s="13">
        <f>VLOOKUP(tblCleanData[[#This Row],[EmployeeNumber]],tblHelpers[],14,0)</f>
        <v>110</v>
      </c>
    </row>
    <row r="714" spans="1:42" x14ac:dyDescent="0.25">
      <c r="A714" s="13">
        <v>33</v>
      </c>
      <c r="B714" s="13" t="s">
        <v>59</v>
      </c>
      <c r="C714" s="13" t="s">
        <v>37</v>
      </c>
      <c r="D714" s="13">
        <v>461</v>
      </c>
      <c r="E714" s="13" t="s">
        <v>62</v>
      </c>
      <c r="F714" s="13">
        <v>13</v>
      </c>
      <c r="G714" s="13">
        <v>1</v>
      </c>
      <c r="H714" s="13" t="s">
        <v>42</v>
      </c>
      <c r="I714" s="13">
        <v>1</v>
      </c>
      <c r="J714" s="13">
        <v>995</v>
      </c>
      <c r="K714" s="13">
        <v>2</v>
      </c>
      <c r="L714" s="13" t="s">
        <v>43</v>
      </c>
      <c r="M714" s="13">
        <v>53</v>
      </c>
      <c r="N714" s="13">
        <v>3</v>
      </c>
      <c r="O714" s="13">
        <v>1</v>
      </c>
      <c r="P714" s="13" t="s">
        <v>65</v>
      </c>
      <c r="Q714" s="13">
        <v>4</v>
      </c>
      <c r="R714" s="13" t="s">
        <v>48</v>
      </c>
      <c r="S714" s="20">
        <v>3452</v>
      </c>
      <c r="T714" s="13">
        <v>17241</v>
      </c>
      <c r="U714" s="13">
        <v>3</v>
      </c>
      <c r="V714" s="13" t="s">
        <v>52</v>
      </c>
      <c r="W714" s="13" t="s">
        <v>59</v>
      </c>
      <c r="X714" s="13">
        <v>18</v>
      </c>
      <c r="Y714" s="13">
        <v>3</v>
      </c>
      <c r="Z714" s="13">
        <v>1</v>
      </c>
      <c r="AA714" s="13">
        <v>80</v>
      </c>
      <c r="AB714" s="13">
        <v>0</v>
      </c>
      <c r="AC714" s="13">
        <v>5</v>
      </c>
      <c r="AD714" s="13">
        <v>4</v>
      </c>
      <c r="AE714" s="13">
        <v>3</v>
      </c>
      <c r="AF714" s="14">
        <v>3</v>
      </c>
      <c r="AG714" s="13">
        <v>2</v>
      </c>
      <c r="AH714" s="13">
        <v>0</v>
      </c>
      <c r="AI714" s="13">
        <v>2</v>
      </c>
      <c r="AJ714" s="13" t="str">
        <f t="shared" si="11"/>
        <v>30-39</v>
      </c>
      <c r="AK714" s="13" t="str">
        <f>IF(tblCleanData[[#This Row],[MonthlyIncome]]&lt;5000, "Low Income", IF(tblCleanData[[#This Row],[MonthlyIncome]]&lt;15000, "Medium Income", "High Income"))</f>
        <v>Low Income</v>
      </c>
      <c r="AL714" s="13">
        <f>IF(tblCleanData[[#This Row],[Attrition]]="No", 0,1)</f>
        <v>0</v>
      </c>
      <c r="AM714" s="13">
        <f>IF(tblCleanData[[#This Row],[OverTime]] = "No", 0, 1)</f>
        <v>0</v>
      </c>
      <c r="AN714" s="13" t="str">
        <f>CHOOSE(tblCleanData[[#This Row],[Education]], "Below College","College","Bachelor","Master","Doctor")</f>
        <v>Below College</v>
      </c>
      <c r="AO714" s="13" t="str">
        <f>VLOOKUP(tblCleanData[[#This Row],[EmployeeNumber]],tblHelpers[],15,TRUE)</f>
        <v>Medium Risk</v>
      </c>
      <c r="AP714" s="13">
        <f>VLOOKUP(tblCleanData[[#This Row],[EmployeeNumber]],tblHelpers[],14,0)</f>
        <v>46</v>
      </c>
    </row>
    <row r="715" spans="1:42" x14ac:dyDescent="0.25">
      <c r="A715" s="13">
        <v>45</v>
      </c>
      <c r="B715" s="13" t="s">
        <v>59</v>
      </c>
      <c r="C715" s="13" t="s">
        <v>37</v>
      </c>
      <c r="D715" s="13">
        <v>974</v>
      </c>
      <c r="E715" s="13" t="s">
        <v>62</v>
      </c>
      <c r="F715" s="13">
        <v>1</v>
      </c>
      <c r="G715" s="13">
        <v>4</v>
      </c>
      <c r="H715" s="13" t="s">
        <v>87</v>
      </c>
      <c r="I715" s="13">
        <v>1</v>
      </c>
      <c r="J715" s="13">
        <v>996</v>
      </c>
      <c r="K715" s="13">
        <v>4</v>
      </c>
      <c r="L715" s="13" t="s">
        <v>43</v>
      </c>
      <c r="M715" s="13">
        <v>91</v>
      </c>
      <c r="N715" s="13">
        <v>3</v>
      </c>
      <c r="O715" s="13">
        <v>1</v>
      </c>
      <c r="P715" s="13" t="s">
        <v>76</v>
      </c>
      <c r="Q715" s="13">
        <v>4</v>
      </c>
      <c r="R715" s="13" t="s">
        <v>109</v>
      </c>
      <c r="S715" s="20">
        <v>2270</v>
      </c>
      <c r="T715" s="13">
        <v>11005</v>
      </c>
      <c r="U715" s="13">
        <v>3</v>
      </c>
      <c r="V715" s="13" t="s">
        <v>52</v>
      </c>
      <c r="W715" s="13" t="s">
        <v>59</v>
      </c>
      <c r="X715" s="13">
        <v>14</v>
      </c>
      <c r="Y715" s="13">
        <v>3</v>
      </c>
      <c r="Z715" s="13">
        <v>4</v>
      </c>
      <c r="AA715" s="13">
        <v>80</v>
      </c>
      <c r="AB715" s="13">
        <v>2</v>
      </c>
      <c r="AC715" s="13">
        <v>8</v>
      </c>
      <c r="AD715" s="13">
        <v>2</v>
      </c>
      <c r="AE715" s="13">
        <v>3</v>
      </c>
      <c r="AF715" s="14">
        <v>5</v>
      </c>
      <c r="AG715" s="13">
        <v>3</v>
      </c>
      <c r="AH715" s="13">
        <v>0</v>
      </c>
      <c r="AI715" s="13">
        <v>2</v>
      </c>
      <c r="AJ715" s="13" t="str">
        <f t="shared" si="11"/>
        <v>40-49</v>
      </c>
      <c r="AK715" s="13" t="str">
        <f>IF(tblCleanData[[#This Row],[MonthlyIncome]]&lt;5000, "Low Income", IF(tblCleanData[[#This Row],[MonthlyIncome]]&lt;15000, "Medium Income", "High Income"))</f>
        <v>Low Income</v>
      </c>
      <c r="AL715" s="13">
        <f>IF(tblCleanData[[#This Row],[Attrition]]="No", 0,1)</f>
        <v>0</v>
      </c>
      <c r="AM715" s="13">
        <f>IF(tblCleanData[[#This Row],[OverTime]] = "No", 0, 1)</f>
        <v>0</v>
      </c>
      <c r="AN715" s="13" t="str">
        <f>CHOOSE(tblCleanData[[#This Row],[Education]], "Below College","College","Bachelor","Master","Doctor")</f>
        <v>Master</v>
      </c>
      <c r="AO715" s="13" t="str">
        <f>VLOOKUP(tblCleanData[[#This Row],[EmployeeNumber]],tblHelpers[],15,TRUE)</f>
        <v>Medium Risk</v>
      </c>
      <c r="AP715" s="13">
        <f>VLOOKUP(tblCleanData[[#This Row],[EmployeeNumber]],tblHelpers[],14,0)</f>
        <v>36</v>
      </c>
    </row>
    <row r="716" spans="1:42" x14ac:dyDescent="0.25">
      <c r="A716" s="13">
        <v>50</v>
      </c>
      <c r="B716" s="13" t="s">
        <v>59</v>
      </c>
      <c r="C716" s="13" t="s">
        <v>37</v>
      </c>
      <c r="D716" s="13">
        <v>1126</v>
      </c>
      <c r="E716" s="13" t="s">
        <v>62</v>
      </c>
      <c r="F716" s="13">
        <v>1</v>
      </c>
      <c r="G716" s="13">
        <v>2</v>
      </c>
      <c r="H716" s="13" t="s">
        <v>87</v>
      </c>
      <c r="I716" s="13">
        <v>1</v>
      </c>
      <c r="J716" s="13">
        <v>997</v>
      </c>
      <c r="K716" s="13">
        <v>4</v>
      </c>
      <c r="L716" s="13" t="s">
        <v>63</v>
      </c>
      <c r="M716" s="13">
        <v>66</v>
      </c>
      <c r="N716" s="13">
        <v>3</v>
      </c>
      <c r="O716" s="13">
        <v>4</v>
      </c>
      <c r="P716" s="13" t="s">
        <v>186</v>
      </c>
      <c r="Q716" s="13">
        <v>4</v>
      </c>
      <c r="R716" s="13" t="s">
        <v>109</v>
      </c>
      <c r="S716" s="20">
        <v>17399</v>
      </c>
      <c r="T716" s="13">
        <v>6615</v>
      </c>
      <c r="U716" s="13">
        <v>9</v>
      </c>
      <c r="V716" s="13" t="s">
        <v>52</v>
      </c>
      <c r="W716" s="13" t="s">
        <v>59</v>
      </c>
      <c r="X716" s="13">
        <v>22</v>
      </c>
      <c r="Y716" s="13">
        <v>4</v>
      </c>
      <c r="Z716" s="13">
        <v>3</v>
      </c>
      <c r="AA716" s="13">
        <v>80</v>
      </c>
      <c r="AB716" s="13">
        <v>1</v>
      </c>
      <c r="AC716" s="13">
        <v>32</v>
      </c>
      <c r="AD716" s="13">
        <v>1</v>
      </c>
      <c r="AE716" s="13">
        <v>2</v>
      </c>
      <c r="AF716" s="14">
        <v>5</v>
      </c>
      <c r="AG716" s="13">
        <v>4</v>
      </c>
      <c r="AH716" s="13">
        <v>1</v>
      </c>
      <c r="AI716" s="13">
        <v>3</v>
      </c>
      <c r="AJ716" s="13" t="str">
        <f t="shared" si="11"/>
        <v>50+</v>
      </c>
      <c r="AK716" s="13" t="str">
        <f>IF(tblCleanData[[#This Row],[MonthlyIncome]]&lt;5000, "Low Income", IF(tblCleanData[[#This Row],[MonthlyIncome]]&lt;15000, "Medium Income", "High Income"))</f>
        <v>High Income</v>
      </c>
      <c r="AL716" s="13">
        <f>IF(tblCleanData[[#This Row],[Attrition]]="No", 0,1)</f>
        <v>0</v>
      </c>
      <c r="AM716" s="13">
        <f>IF(tblCleanData[[#This Row],[OverTime]] = "No", 0, 1)</f>
        <v>0</v>
      </c>
      <c r="AN716" s="13" t="str">
        <f>CHOOSE(tblCleanData[[#This Row],[Education]], "Below College","College","Bachelor","Master","Doctor")</f>
        <v>College</v>
      </c>
      <c r="AO716" s="13" t="str">
        <f>VLOOKUP(tblCleanData[[#This Row],[EmployeeNumber]],tblHelpers[],15,TRUE)</f>
        <v>Medium Risk</v>
      </c>
      <c r="AP716" s="13">
        <f>VLOOKUP(tblCleanData[[#This Row],[EmployeeNumber]],tblHelpers[],14,0)</f>
        <v>41</v>
      </c>
    </row>
    <row r="717" spans="1:42" x14ac:dyDescent="0.25">
      <c r="A717" s="13">
        <v>33</v>
      </c>
      <c r="B717" s="13" t="s">
        <v>59</v>
      </c>
      <c r="C717" s="13" t="s">
        <v>60</v>
      </c>
      <c r="D717" s="13">
        <v>827</v>
      </c>
      <c r="E717" s="13" t="s">
        <v>62</v>
      </c>
      <c r="F717" s="13">
        <v>1</v>
      </c>
      <c r="G717" s="13">
        <v>4</v>
      </c>
      <c r="H717" s="13" t="s">
        <v>74</v>
      </c>
      <c r="I717" s="13">
        <v>1</v>
      </c>
      <c r="J717" s="13">
        <v>998</v>
      </c>
      <c r="K717" s="13">
        <v>3</v>
      </c>
      <c r="L717" s="13" t="s">
        <v>43</v>
      </c>
      <c r="M717" s="13">
        <v>84</v>
      </c>
      <c r="N717" s="13">
        <v>4</v>
      </c>
      <c r="O717" s="13">
        <v>2</v>
      </c>
      <c r="P717" s="13" t="s">
        <v>122</v>
      </c>
      <c r="Q717" s="13">
        <v>2</v>
      </c>
      <c r="R717" s="13" t="s">
        <v>66</v>
      </c>
      <c r="S717" s="20">
        <v>5488</v>
      </c>
      <c r="T717" s="13">
        <v>20161</v>
      </c>
      <c r="U717" s="13">
        <v>1</v>
      </c>
      <c r="V717" s="13" t="s">
        <v>52</v>
      </c>
      <c r="W717" s="13" t="s">
        <v>36</v>
      </c>
      <c r="X717" s="13">
        <v>13</v>
      </c>
      <c r="Y717" s="13">
        <v>3</v>
      </c>
      <c r="Z717" s="13">
        <v>1</v>
      </c>
      <c r="AA717" s="13">
        <v>80</v>
      </c>
      <c r="AB717" s="13">
        <v>1</v>
      </c>
      <c r="AC717" s="13">
        <v>6</v>
      </c>
      <c r="AD717" s="13">
        <v>2</v>
      </c>
      <c r="AE717" s="13">
        <v>3</v>
      </c>
      <c r="AF717" s="14">
        <v>6</v>
      </c>
      <c r="AG717" s="13">
        <v>5</v>
      </c>
      <c r="AH717" s="13">
        <v>1</v>
      </c>
      <c r="AI717" s="13">
        <v>2</v>
      </c>
      <c r="AJ717" s="13" t="str">
        <f t="shared" si="11"/>
        <v>30-39</v>
      </c>
      <c r="AK717" s="13" t="str">
        <f>IF(tblCleanData[[#This Row],[MonthlyIncome]]&lt;5000, "Low Income", IF(tblCleanData[[#This Row],[MonthlyIncome]]&lt;15000, "Medium Income", "High Income"))</f>
        <v>Medium Income</v>
      </c>
      <c r="AL717" s="13">
        <f>IF(tblCleanData[[#This Row],[Attrition]]="No", 0,1)</f>
        <v>0</v>
      </c>
      <c r="AM717" s="13">
        <f>IF(tblCleanData[[#This Row],[OverTime]] = "No", 0, 1)</f>
        <v>1</v>
      </c>
      <c r="AN717" s="13" t="str">
        <f>CHOOSE(tblCleanData[[#This Row],[Education]], "Below College","College","Bachelor","Master","Doctor")</f>
        <v>Master</v>
      </c>
      <c r="AO717" s="13" t="str">
        <f>VLOOKUP(tblCleanData[[#This Row],[EmployeeNumber]],tblHelpers[],15,TRUE)</f>
        <v>High Risk</v>
      </c>
      <c r="AP717" s="13">
        <f>VLOOKUP(tblCleanData[[#This Row],[EmployeeNumber]],tblHelpers[],14,0)</f>
        <v>77</v>
      </c>
    </row>
    <row r="718" spans="1:42" x14ac:dyDescent="0.25">
      <c r="A718" s="13">
        <v>41</v>
      </c>
      <c r="B718" s="13" t="s">
        <v>59</v>
      </c>
      <c r="C718" s="13" t="s">
        <v>60</v>
      </c>
      <c r="D718" s="13">
        <v>840</v>
      </c>
      <c r="E718" s="13" t="s">
        <v>62</v>
      </c>
      <c r="F718" s="13">
        <v>9</v>
      </c>
      <c r="G718" s="13">
        <v>3</v>
      </c>
      <c r="H718" s="13" t="s">
        <v>87</v>
      </c>
      <c r="I718" s="13">
        <v>1</v>
      </c>
      <c r="J718" s="13">
        <v>999</v>
      </c>
      <c r="K718" s="13">
        <v>1</v>
      </c>
      <c r="L718" s="13" t="s">
        <v>63</v>
      </c>
      <c r="M718" s="13">
        <v>64</v>
      </c>
      <c r="N718" s="13">
        <v>3</v>
      </c>
      <c r="O718" s="13">
        <v>5</v>
      </c>
      <c r="P718" s="13" t="s">
        <v>186</v>
      </c>
      <c r="Q718" s="13">
        <v>3</v>
      </c>
      <c r="R718" s="13" t="s">
        <v>109</v>
      </c>
      <c r="S718" s="20">
        <v>19419</v>
      </c>
      <c r="T718" s="13">
        <v>3735</v>
      </c>
      <c r="U718" s="13">
        <v>2</v>
      </c>
      <c r="V718" s="13" t="s">
        <v>52</v>
      </c>
      <c r="W718" s="13" t="s">
        <v>59</v>
      </c>
      <c r="X718" s="13">
        <v>17</v>
      </c>
      <c r="Y718" s="13">
        <v>3</v>
      </c>
      <c r="Z718" s="13">
        <v>2</v>
      </c>
      <c r="AA718" s="13">
        <v>80</v>
      </c>
      <c r="AB718" s="13">
        <v>1</v>
      </c>
      <c r="AC718" s="13">
        <v>21</v>
      </c>
      <c r="AD718" s="13">
        <v>2</v>
      </c>
      <c r="AE718" s="13">
        <v>4</v>
      </c>
      <c r="AF718" s="14">
        <v>18</v>
      </c>
      <c r="AG718" s="13">
        <v>16</v>
      </c>
      <c r="AH718" s="13">
        <v>0</v>
      </c>
      <c r="AI718" s="13">
        <v>11</v>
      </c>
      <c r="AJ718" s="13" t="str">
        <f t="shared" si="11"/>
        <v>40-49</v>
      </c>
      <c r="AK718" s="13" t="str">
        <f>IF(tblCleanData[[#This Row],[MonthlyIncome]]&lt;5000, "Low Income", IF(tblCleanData[[#This Row],[MonthlyIncome]]&lt;15000, "Medium Income", "High Income"))</f>
        <v>High Income</v>
      </c>
      <c r="AL718" s="13">
        <f>IF(tblCleanData[[#This Row],[Attrition]]="No", 0,1)</f>
        <v>0</v>
      </c>
      <c r="AM718" s="13">
        <f>IF(tblCleanData[[#This Row],[OverTime]] = "No", 0, 1)</f>
        <v>0</v>
      </c>
      <c r="AN718" s="13" t="str">
        <f>CHOOSE(tblCleanData[[#This Row],[Education]], "Below College","College","Bachelor","Master","Doctor")</f>
        <v>Bachelor</v>
      </c>
      <c r="AO718" s="13" t="str">
        <f>VLOOKUP(tblCleanData[[#This Row],[EmployeeNumber]],tblHelpers[],15,TRUE)</f>
        <v>Low Risk</v>
      </c>
      <c r="AP718" s="13">
        <f>VLOOKUP(tblCleanData[[#This Row],[EmployeeNumber]],tblHelpers[],14,0)</f>
        <v>31</v>
      </c>
    </row>
    <row r="719" spans="1:42" x14ac:dyDescent="0.25">
      <c r="A719" s="13">
        <v>27</v>
      </c>
      <c r="B719" s="13" t="s">
        <v>59</v>
      </c>
      <c r="C719" s="13" t="s">
        <v>37</v>
      </c>
      <c r="D719" s="13">
        <v>1134</v>
      </c>
      <c r="E719" s="13" t="s">
        <v>62</v>
      </c>
      <c r="F719" s="13">
        <v>16</v>
      </c>
      <c r="G719" s="13">
        <v>4</v>
      </c>
      <c r="H719" s="13" t="s">
        <v>228</v>
      </c>
      <c r="I719" s="13">
        <v>1</v>
      </c>
      <c r="J719" s="13">
        <v>1001</v>
      </c>
      <c r="K719" s="13">
        <v>3</v>
      </c>
      <c r="L719" s="13" t="s">
        <v>43</v>
      </c>
      <c r="M719" s="13">
        <v>37</v>
      </c>
      <c r="N719" s="13">
        <v>3</v>
      </c>
      <c r="O719" s="13">
        <v>1</v>
      </c>
      <c r="P719" s="13" t="s">
        <v>76</v>
      </c>
      <c r="Q719" s="13">
        <v>2</v>
      </c>
      <c r="R719" s="13" t="s">
        <v>66</v>
      </c>
      <c r="S719" s="20">
        <v>2811</v>
      </c>
      <c r="T719" s="13">
        <v>12086</v>
      </c>
      <c r="U719" s="13">
        <v>9</v>
      </c>
      <c r="V719" s="13" t="s">
        <v>52</v>
      </c>
      <c r="W719" s="13" t="s">
        <v>59</v>
      </c>
      <c r="X719" s="13">
        <v>14</v>
      </c>
      <c r="Y719" s="13">
        <v>3</v>
      </c>
      <c r="Z719" s="13">
        <v>2</v>
      </c>
      <c r="AA719" s="13">
        <v>80</v>
      </c>
      <c r="AB719" s="13">
        <v>1</v>
      </c>
      <c r="AC719" s="13">
        <v>4</v>
      </c>
      <c r="AD719" s="13">
        <v>2</v>
      </c>
      <c r="AE719" s="13">
        <v>3</v>
      </c>
      <c r="AF719" s="14">
        <v>2</v>
      </c>
      <c r="AG719" s="13">
        <v>2</v>
      </c>
      <c r="AH719" s="13">
        <v>2</v>
      </c>
      <c r="AI719" s="13">
        <v>2</v>
      </c>
      <c r="AJ719" s="13" t="str">
        <f t="shared" si="11"/>
        <v>Under 30</v>
      </c>
      <c r="AK719" s="13" t="str">
        <f>IF(tblCleanData[[#This Row],[MonthlyIncome]]&lt;5000, "Low Income", IF(tblCleanData[[#This Row],[MonthlyIncome]]&lt;15000, "Medium Income", "High Income"))</f>
        <v>Low Income</v>
      </c>
      <c r="AL719" s="13">
        <f>IF(tblCleanData[[#This Row],[Attrition]]="No", 0,1)</f>
        <v>0</v>
      </c>
      <c r="AM719" s="13">
        <f>IF(tblCleanData[[#This Row],[OverTime]] = "No", 0, 1)</f>
        <v>0</v>
      </c>
      <c r="AN719" s="13" t="str">
        <f>CHOOSE(tblCleanData[[#This Row],[Education]], "Below College","College","Bachelor","Master","Doctor")</f>
        <v>Master</v>
      </c>
      <c r="AO719" s="13" t="str">
        <f>VLOOKUP(tblCleanData[[#This Row],[EmployeeNumber]],tblHelpers[],15,TRUE)</f>
        <v>High Risk</v>
      </c>
      <c r="AP719" s="13">
        <f>VLOOKUP(tblCleanData[[#This Row],[EmployeeNumber]],tblHelpers[],14,0)</f>
        <v>79</v>
      </c>
    </row>
    <row r="720" spans="1:42" x14ac:dyDescent="0.25">
      <c r="A720" s="13">
        <v>45</v>
      </c>
      <c r="B720" s="13" t="s">
        <v>59</v>
      </c>
      <c r="C720" s="13" t="s">
        <v>161</v>
      </c>
      <c r="D720" s="13">
        <v>248</v>
      </c>
      <c r="E720" s="13" t="s">
        <v>62</v>
      </c>
      <c r="F720" s="13">
        <v>23</v>
      </c>
      <c r="G720" s="13">
        <v>2</v>
      </c>
      <c r="H720" s="13" t="s">
        <v>42</v>
      </c>
      <c r="I720" s="13">
        <v>1</v>
      </c>
      <c r="J720" s="13">
        <v>1002</v>
      </c>
      <c r="K720" s="13">
        <v>4</v>
      </c>
      <c r="L720" s="13" t="s">
        <v>63</v>
      </c>
      <c r="M720" s="13">
        <v>42</v>
      </c>
      <c r="N720" s="13">
        <v>3</v>
      </c>
      <c r="O720" s="13">
        <v>2</v>
      </c>
      <c r="P720" s="13" t="s">
        <v>76</v>
      </c>
      <c r="Q720" s="13">
        <v>1</v>
      </c>
      <c r="R720" s="13" t="s">
        <v>66</v>
      </c>
      <c r="S720" s="20">
        <v>3633</v>
      </c>
      <c r="T720" s="13">
        <v>14039</v>
      </c>
      <c r="U720" s="13">
        <v>1</v>
      </c>
      <c r="V720" s="13" t="s">
        <v>52</v>
      </c>
      <c r="W720" s="13" t="s">
        <v>36</v>
      </c>
      <c r="X720" s="13">
        <v>15</v>
      </c>
      <c r="Y720" s="13">
        <v>3</v>
      </c>
      <c r="Z720" s="13">
        <v>3</v>
      </c>
      <c r="AA720" s="13">
        <v>80</v>
      </c>
      <c r="AB720" s="13">
        <v>1</v>
      </c>
      <c r="AC720" s="13">
        <v>9</v>
      </c>
      <c r="AD720" s="13">
        <v>2</v>
      </c>
      <c r="AE720" s="13">
        <v>3</v>
      </c>
      <c r="AF720" s="14">
        <v>9</v>
      </c>
      <c r="AG720" s="13">
        <v>8</v>
      </c>
      <c r="AH720" s="13">
        <v>0</v>
      </c>
      <c r="AI720" s="13">
        <v>8</v>
      </c>
      <c r="AJ720" s="13" t="str">
        <f t="shared" si="11"/>
        <v>40-49</v>
      </c>
      <c r="AK720" s="13" t="str">
        <f>IF(tblCleanData[[#This Row],[MonthlyIncome]]&lt;5000, "Low Income", IF(tblCleanData[[#This Row],[MonthlyIncome]]&lt;15000, "Medium Income", "High Income"))</f>
        <v>Low Income</v>
      </c>
      <c r="AL720" s="13">
        <f>IF(tblCleanData[[#This Row],[Attrition]]="No", 0,1)</f>
        <v>0</v>
      </c>
      <c r="AM720" s="13">
        <f>IF(tblCleanData[[#This Row],[OverTime]] = "No", 0, 1)</f>
        <v>1</v>
      </c>
      <c r="AN720" s="13" t="str">
        <f>CHOOSE(tblCleanData[[#This Row],[Education]], "Below College","College","Bachelor","Master","Doctor")</f>
        <v>College</v>
      </c>
      <c r="AO720" s="13" t="str">
        <f>VLOOKUP(tblCleanData[[#This Row],[EmployeeNumber]],tblHelpers[],15,TRUE)</f>
        <v>High Risk</v>
      </c>
      <c r="AP720" s="13">
        <f>VLOOKUP(tblCleanData[[#This Row],[EmployeeNumber]],tblHelpers[],14,0)</f>
        <v>73</v>
      </c>
    </row>
    <row r="721" spans="1:42" x14ac:dyDescent="0.25">
      <c r="A721" s="13">
        <v>47</v>
      </c>
      <c r="B721" s="13" t="s">
        <v>59</v>
      </c>
      <c r="C721" s="13" t="s">
        <v>37</v>
      </c>
      <c r="D721" s="13">
        <v>955</v>
      </c>
      <c r="E721" s="13" t="s">
        <v>39</v>
      </c>
      <c r="F721" s="13">
        <v>4</v>
      </c>
      <c r="G721" s="13">
        <v>2</v>
      </c>
      <c r="H721" s="13" t="s">
        <v>42</v>
      </c>
      <c r="I721" s="13">
        <v>1</v>
      </c>
      <c r="J721" s="13">
        <v>1003</v>
      </c>
      <c r="K721" s="13">
        <v>4</v>
      </c>
      <c r="L721" s="13" t="s">
        <v>43</v>
      </c>
      <c r="M721" s="13">
        <v>83</v>
      </c>
      <c r="N721" s="13">
        <v>3</v>
      </c>
      <c r="O721" s="13">
        <v>2</v>
      </c>
      <c r="P721" s="13" t="s">
        <v>46</v>
      </c>
      <c r="Q721" s="13">
        <v>4</v>
      </c>
      <c r="R721" s="13" t="s">
        <v>48</v>
      </c>
      <c r="S721" s="20">
        <v>4163</v>
      </c>
      <c r="T721" s="13">
        <v>8571</v>
      </c>
      <c r="U721" s="13">
        <v>1</v>
      </c>
      <c r="V721" s="13" t="s">
        <v>52</v>
      </c>
      <c r="W721" s="13" t="s">
        <v>36</v>
      </c>
      <c r="X721" s="13">
        <v>17</v>
      </c>
      <c r="Y721" s="13">
        <v>3</v>
      </c>
      <c r="Z721" s="13">
        <v>3</v>
      </c>
      <c r="AA721" s="13">
        <v>80</v>
      </c>
      <c r="AB721" s="13">
        <v>0</v>
      </c>
      <c r="AC721" s="13">
        <v>9</v>
      </c>
      <c r="AD721" s="13">
        <v>0</v>
      </c>
      <c r="AE721" s="13">
        <v>3</v>
      </c>
      <c r="AF721" s="14">
        <v>9</v>
      </c>
      <c r="AG721" s="13">
        <v>0</v>
      </c>
      <c r="AH721" s="13">
        <v>0</v>
      </c>
      <c r="AI721" s="13">
        <v>7</v>
      </c>
      <c r="AJ721" s="13" t="str">
        <f t="shared" si="11"/>
        <v>40-49</v>
      </c>
      <c r="AK721" s="13" t="str">
        <f>IF(tblCleanData[[#This Row],[MonthlyIncome]]&lt;5000, "Low Income", IF(tblCleanData[[#This Row],[MonthlyIncome]]&lt;15000, "Medium Income", "High Income"))</f>
        <v>Low Income</v>
      </c>
      <c r="AL721" s="13">
        <f>IF(tblCleanData[[#This Row],[Attrition]]="No", 0,1)</f>
        <v>0</v>
      </c>
      <c r="AM721" s="13">
        <f>IF(tblCleanData[[#This Row],[OverTime]] = "No", 0, 1)</f>
        <v>1</v>
      </c>
      <c r="AN721" s="13" t="str">
        <f>CHOOSE(tblCleanData[[#This Row],[Education]], "Below College","College","Bachelor","Master","Doctor")</f>
        <v>College</v>
      </c>
      <c r="AO721" s="13" t="str">
        <f>VLOOKUP(tblCleanData[[#This Row],[EmployeeNumber]],tblHelpers[],15,TRUE)</f>
        <v>Medium Risk</v>
      </c>
      <c r="AP721" s="13">
        <f>VLOOKUP(tblCleanData[[#This Row],[EmployeeNumber]],tblHelpers[],14,0)</f>
        <v>54</v>
      </c>
    </row>
    <row r="722" spans="1:42" x14ac:dyDescent="0.25">
      <c r="A722" s="13">
        <v>30</v>
      </c>
      <c r="B722" s="13" t="s">
        <v>36</v>
      </c>
      <c r="C722" s="13" t="s">
        <v>37</v>
      </c>
      <c r="D722" s="13">
        <v>138</v>
      </c>
      <c r="E722" s="13" t="s">
        <v>62</v>
      </c>
      <c r="F722" s="13">
        <v>22</v>
      </c>
      <c r="G722" s="13">
        <v>3</v>
      </c>
      <c r="H722" s="13" t="s">
        <v>42</v>
      </c>
      <c r="I722" s="13">
        <v>1</v>
      </c>
      <c r="J722" s="13">
        <v>1004</v>
      </c>
      <c r="K722" s="13">
        <v>1</v>
      </c>
      <c r="L722" s="13" t="s">
        <v>43</v>
      </c>
      <c r="M722" s="13">
        <v>48</v>
      </c>
      <c r="N722" s="13">
        <v>3</v>
      </c>
      <c r="O722" s="13">
        <v>1</v>
      </c>
      <c r="P722" s="13" t="s">
        <v>65</v>
      </c>
      <c r="Q722" s="13">
        <v>3</v>
      </c>
      <c r="R722" s="13" t="s">
        <v>66</v>
      </c>
      <c r="S722" s="20">
        <v>2132</v>
      </c>
      <c r="T722" s="13">
        <v>11539</v>
      </c>
      <c r="U722" s="13">
        <v>4</v>
      </c>
      <c r="V722" s="13" t="s">
        <v>52</v>
      </c>
      <c r="W722" s="13" t="s">
        <v>36</v>
      </c>
      <c r="X722" s="13">
        <v>11</v>
      </c>
      <c r="Y722" s="13">
        <v>3</v>
      </c>
      <c r="Z722" s="13">
        <v>2</v>
      </c>
      <c r="AA722" s="13">
        <v>80</v>
      </c>
      <c r="AB722" s="13">
        <v>0</v>
      </c>
      <c r="AC722" s="13">
        <v>7</v>
      </c>
      <c r="AD722" s="13">
        <v>2</v>
      </c>
      <c r="AE722" s="13">
        <v>3</v>
      </c>
      <c r="AF722" s="14">
        <v>5</v>
      </c>
      <c r="AG722" s="13">
        <v>2</v>
      </c>
      <c r="AH722" s="13">
        <v>0</v>
      </c>
      <c r="AI722" s="13">
        <v>1</v>
      </c>
      <c r="AJ722" s="13" t="str">
        <f t="shared" si="11"/>
        <v>30-39</v>
      </c>
      <c r="AK722" s="13" t="str">
        <f>IF(tblCleanData[[#This Row],[MonthlyIncome]]&lt;5000, "Low Income", IF(tblCleanData[[#This Row],[MonthlyIncome]]&lt;15000, "Medium Income", "High Income"))</f>
        <v>Low Income</v>
      </c>
      <c r="AL722" s="13">
        <f>IF(tblCleanData[[#This Row],[Attrition]]="No", 0,1)</f>
        <v>1</v>
      </c>
      <c r="AM722" s="13">
        <f>IF(tblCleanData[[#This Row],[OverTime]] = "No", 0, 1)</f>
        <v>1</v>
      </c>
      <c r="AN722" s="13" t="str">
        <f>CHOOSE(tblCleanData[[#This Row],[Education]], "Below College","College","Bachelor","Master","Doctor")</f>
        <v>Bachelor</v>
      </c>
      <c r="AO722" s="13" t="str">
        <f>VLOOKUP(tblCleanData[[#This Row],[EmployeeNumber]],tblHelpers[],15,TRUE)</f>
        <v>High Risk</v>
      </c>
      <c r="AP722" s="13">
        <f>VLOOKUP(tblCleanData[[#This Row],[EmployeeNumber]],tblHelpers[],14,0)</f>
        <v>78</v>
      </c>
    </row>
    <row r="723" spans="1:42" x14ac:dyDescent="0.25">
      <c r="A723" s="13">
        <v>50</v>
      </c>
      <c r="B723" s="13" t="s">
        <v>59</v>
      </c>
      <c r="C723" s="13" t="s">
        <v>37</v>
      </c>
      <c r="D723" s="13">
        <v>939</v>
      </c>
      <c r="E723" s="13" t="s">
        <v>62</v>
      </c>
      <c r="F723" s="13">
        <v>24</v>
      </c>
      <c r="G723" s="13">
        <v>3</v>
      </c>
      <c r="H723" s="13" t="s">
        <v>42</v>
      </c>
      <c r="I723" s="13">
        <v>1</v>
      </c>
      <c r="J723" s="13">
        <v>1005</v>
      </c>
      <c r="K723" s="13">
        <v>4</v>
      </c>
      <c r="L723" s="13" t="s">
        <v>63</v>
      </c>
      <c r="M723" s="13">
        <v>95</v>
      </c>
      <c r="N723" s="13">
        <v>3</v>
      </c>
      <c r="O723" s="13">
        <v>4</v>
      </c>
      <c r="P723" s="13" t="s">
        <v>116</v>
      </c>
      <c r="Q723" s="13">
        <v>3</v>
      </c>
      <c r="R723" s="13" t="s">
        <v>66</v>
      </c>
      <c r="S723" s="20">
        <v>13973</v>
      </c>
      <c r="T723" s="13">
        <v>4161</v>
      </c>
      <c r="U723" s="13">
        <v>3</v>
      </c>
      <c r="V723" s="13" t="s">
        <v>52</v>
      </c>
      <c r="W723" s="13" t="s">
        <v>36</v>
      </c>
      <c r="X723" s="13">
        <v>18</v>
      </c>
      <c r="Y723" s="13">
        <v>3</v>
      </c>
      <c r="Z723" s="13">
        <v>4</v>
      </c>
      <c r="AA723" s="13">
        <v>80</v>
      </c>
      <c r="AB723" s="13">
        <v>1</v>
      </c>
      <c r="AC723" s="13">
        <v>22</v>
      </c>
      <c r="AD723" s="13">
        <v>2</v>
      </c>
      <c r="AE723" s="13">
        <v>3</v>
      </c>
      <c r="AF723" s="14">
        <v>12</v>
      </c>
      <c r="AG723" s="13">
        <v>11</v>
      </c>
      <c r="AH723" s="13">
        <v>1</v>
      </c>
      <c r="AI723" s="13">
        <v>5</v>
      </c>
      <c r="AJ723" s="13" t="str">
        <f t="shared" si="11"/>
        <v>50+</v>
      </c>
      <c r="AK723" s="13" t="str">
        <f>IF(tblCleanData[[#This Row],[MonthlyIncome]]&lt;5000, "Low Income", IF(tblCleanData[[#This Row],[MonthlyIncome]]&lt;15000, "Medium Income", "High Income"))</f>
        <v>Medium Income</v>
      </c>
      <c r="AL723" s="13">
        <f>IF(tblCleanData[[#This Row],[Attrition]]="No", 0,1)</f>
        <v>0</v>
      </c>
      <c r="AM723" s="13">
        <f>IF(tblCleanData[[#This Row],[OverTime]] = "No", 0, 1)</f>
        <v>1</v>
      </c>
      <c r="AN723" s="13" t="str">
        <f>CHOOSE(tblCleanData[[#This Row],[Education]], "Below College","College","Bachelor","Master","Doctor")</f>
        <v>Bachelor</v>
      </c>
      <c r="AO723" s="13" t="str">
        <f>VLOOKUP(tblCleanData[[#This Row],[EmployeeNumber]],tblHelpers[],15,TRUE)</f>
        <v>High Risk</v>
      </c>
      <c r="AP723" s="13">
        <f>VLOOKUP(tblCleanData[[#This Row],[EmployeeNumber]],tblHelpers[],14,0)</f>
        <v>61</v>
      </c>
    </row>
    <row r="724" spans="1:42" x14ac:dyDescent="0.25">
      <c r="A724" s="13">
        <v>38</v>
      </c>
      <c r="B724" s="13" t="s">
        <v>59</v>
      </c>
      <c r="C724" s="13" t="s">
        <v>60</v>
      </c>
      <c r="D724" s="13">
        <v>1391</v>
      </c>
      <c r="E724" s="13" t="s">
        <v>62</v>
      </c>
      <c r="F724" s="13">
        <v>10</v>
      </c>
      <c r="G724" s="13">
        <v>1</v>
      </c>
      <c r="H724" s="13" t="s">
        <v>87</v>
      </c>
      <c r="I724" s="13">
        <v>1</v>
      </c>
      <c r="J724" s="13">
        <v>1006</v>
      </c>
      <c r="K724" s="13">
        <v>3</v>
      </c>
      <c r="L724" s="13" t="s">
        <v>63</v>
      </c>
      <c r="M724" s="13">
        <v>66</v>
      </c>
      <c r="N724" s="13">
        <v>3</v>
      </c>
      <c r="O724" s="13">
        <v>1</v>
      </c>
      <c r="P724" s="13" t="s">
        <v>65</v>
      </c>
      <c r="Q724" s="13">
        <v>3</v>
      </c>
      <c r="R724" s="13" t="s">
        <v>66</v>
      </c>
      <c r="S724" s="20">
        <v>2684</v>
      </c>
      <c r="T724" s="13">
        <v>12127</v>
      </c>
      <c r="U724" s="13">
        <v>0</v>
      </c>
      <c r="V724" s="13" t="s">
        <v>52</v>
      </c>
      <c r="W724" s="13" t="s">
        <v>59</v>
      </c>
      <c r="X724" s="13">
        <v>17</v>
      </c>
      <c r="Y724" s="13">
        <v>3</v>
      </c>
      <c r="Z724" s="13">
        <v>2</v>
      </c>
      <c r="AA724" s="13">
        <v>80</v>
      </c>
      <c r="AB724" s="13">
        <v>1</v>
      </c>
      <c r="AC724" s="13">
        <v>3</v>
      </c>
      <c r="AD724" s="13">
        <v>0</v>
      </c>
      <c r="AE724" s="13">
        <v>2</v>
      </c>
      <c r="AF724" s="14">
        <v>2</v>
      </c>
      <c r="AG724" s="13">
        <v>1</v>
      </c>
      <c r="AH724" s="13">
        <v>0</v>
      </c>
      <c r="AI724" s="13">
        <v>2</v>
      </c>
      <c r="AJ724" s="13" t="str">
        <f t="shared" si="11"/>
        <v>30-39</v>
      </c>
      <c r="AK724" s="13" t="str">
        <f>IF(tblCleanData[[#This Row],[MonthlyIncome]]&lt;5000, "Low Income", IF(tblCleanData[[#This Row],[MonthlyIncome]]&lt;15000, "Medium Income", "High Income"))</f>
        <v>Low Income</v>
      </c>
      <c r="AL724" s="13">
        <f>IF(tblCleanData[[#This Row],[Attrition]]="No", 0,1)</f>
        <v>0</v>
      </c>
      <c r="AM724" s="13">
        <f>IF(tblCleanData[[#This Row],[OverTime]] = "No", 0, 1)</f>
        <v>0</v>
      </c>
      <c r="AN724" s="13" t="str">
        <f>CHOOSE(tblCleanData[[#This Row],[Education]], "Below College","College","Bachelor","Master","Doctor")</f>
        <v>Below College</v>
      </c>
      <c r="AO724" s="13" t="str">
        <f>VLOOKUP(tblCleanData[[#This Row],[EmployeeNumber]],tblHelpers[],15,TRUE)</f>
        <v>High Risk</v>
      </c>
      <c r="AP724" s="13">
        <f>VLOOKUP(tblCleanData[[#This Row],[EmployeeNumber]],tblHelpers[],14,0)</f>
        <v>63</v>
      </c>
    </row>
    <row r="725" spans="1:42" x14ac:dyDescent="0.25">
      <c r="A725" s="13">
        <v>46</v>
      </c>
      <c r="B725" s="13" t="s">
        <v>59</v>
      </c>
      <c r="C725" s="13" t="s">
        <v>37</v>
      </c>
      <c r="D725" s="13">
        <v>566</v>
      </c>
      <c r="E725" s="13" t="s">
        <v>62</v>
      </c>
      <c r="F725" s="13">
        <v>7</v>
      </c>
      <c r="G725" s="13">
        <v>2</v>
      </c>
      <c r="H725" s="13" t="s">
        <v>87</v>
      </c>
      <c r="I725" s="13">
        <v>1</v>
      </c>
      <c r="J725" s="13">
        <v>1007</v>
      </c>
      <c r="K725" s="13">
        <v>4</v>
      </c>
      <c r="L725" s="13" t="s">
        <v>63</v>
      </c>
      <c r="M725" s="13">
        <v>75</v>
      </c>
      <c r="N725" s="13">
        <v>3</v>
      </c>
      <c r="O725" s="13">
        <v>3</v>
      </c>
      <c r="P725" s="13" t="s">
        <v>116</v>
      </c>
      <c r="Q725" s="13">
        <v>3</v>
      </c>
      <c r="R725" s="13" t="s">
        <v>109</v>
      </c>
      <c r="S725" s="20">
        <v>10845</v>
      </c>
      <c r="T725" s="13">
        <v>24208</v>
      </c>
      <c r="U725" s="13">
        <v>6</v>
      </c>
      <c r="V725" s="13" t="s">
        <v>52</v>
      </c>
      <c r="W725" s="13" t="s">
        <v>59</v>
      </c>
      <c r="X725" s="13">
        <v>13</v>
      </c>
      <c r="Y725" s="13">
        <v>3</v>
      </c>
      <c r="Z725" s="13">
        <v>2</v>
      </c>
      <c r="AA725" s="13">
        <v>80</v>
      </c>
      <c r="AB725" s="13">
        <v>1</v>
      </c>
      <c r="AC725" s="13">
        <v>13</v>
      </c>
      <c r="AD725" s="13">
        <v>3</v>
      </c>
      <c r="AE725" s="13">
        <v>3</v>
      </c>
      <c r="AF725" s="14">
        <v>8</v>
      </c>
      <c r="AG725" s="13">
        <v>7</v>
      </c>
      <c r="AH725" s="13">
        <v>0</v>
      </c>
      <c r="AI725" s="13">
        <v>7</v>
      </c>
      <c r="AJ725" s="13" t="str">
        <f t="shared" si="11"/>
        <v>40-49</v>
      </c>
      <c r="AK725" s="13" t="str">
        <f>IF(tblCleanData[[#This Row],[MonthlyIncome]]&lt;5000, "Low Income", IF(tblCleanData[[#This Row],[MonthlyIncome]]&lt;15000, "Medium Income", "High Income"))</f>
        <v>Medium Income</v>
      </c>
      <c r="AL725" s="13">
        <f>IF(tblCleanData[[#This Row],[Attrition]]="No", 0,1)</f>
        <v>0</v>
      </c>
      <c r="AM725" s="13">
        <f>IF(tblCleanData[[#This Row],[OverTime]] = "No", 0, 1)</f>
        <v>0</v>
      </c>
      <c r="AN725" s="13" t="str">
        <f>CHOOSE(tblCleanData[[#This Row],[Education]], "Below College","College","Bachelor","Master","Doctor")</f>
        <v>College</v>
      </c>
      <c r="AO725" s="13" t="str">
        <f>VLOOKUP(tblCleanData[[#This Row],[EmployeeNumber]],tblHelpers[],15,TRUE)</f>
        <v>Medium Risk</v>
      </c>
      <c r="AP725" s="13">
        <f>VLOOKUP(tblCleanData[[#This Row],[EmployeeNumber]],tblHelpers[],14,0)</f>
        <v>36</v>
      </c>
    </row>
    <row r="726" spans="1:42" x14ac:dyDescent="0.25">
      <c r="A726" s="13">
        <v>24</v>
      </c>
      <c r="B726" s="13" t="s">
        <v>59</v>
      </c>
      <c r="C726" s="13" t="s">
        <v>37</v>
      </c>
      <c r="D726" s="13">
        <v>1206</v>
      </c>
      <c r="E726" s="13" t="s">
        <v>62</v>
      </c>
      <c r="F726" s="13">
        <v>17</v>
      </c>
      <c r="G726" s="13">
        <v>1</v>
      </c>
      <c r="H726" s="13" t="s">
        <v>87</v>
      </c>
      <c r="I726" s="13">
        <v>1</v>
      </c>
      <c r="J726" s="13">
        <v>1009</v>
      </c>
      <c r="K726" s="13">
        <v>4</v>
      </c>
      <c r="L726" s="13" t="s">
        <v>43</v>
      </c>
      <c r="M726" s="13">
        <v>41</v>
      </c>
      <c r="N726" s="13">
        <v>2</v>
      </c>
      <c r="O726" s="13">
        <v>2</v>
      </c>
      <c r="P726" s="13" t="s">
        <v>116</v>
      </c>
      <c r="Q726" s="13">
        <v>3</v>
      </c>
      <c r="R726" s="13" t="s">
        <v>109</v>
      </c>
      <c r="S726" s="20">
        <v>4377</v>
      </c>
      <c r="T726" s="13">
        <v>24117</v>
      </c>
      <c r="U726" s="13">
        <v>1</v>
      </c>
      <c r="V726" s="13" t="s">
        <v>52</v>
      </c>
      <c r="W726" s="13" t="s">
        <v>59</v>
      </c>
      <c r="X726" s="13">
        <v>15</v>
      </c>
      <c r="Y726" s="13">
        <v>3</v>
      </c>
      <c r="Z726" s="13">
        <v>2</v>
      </c>
      <c r="AA726" s="13">
        <v>80</v>
      </c>
      <c r="AB726" s="13">
        <v>2</v>
      </c>
      <c r="AC726" s="13">
        <v>5</v>
      </c>
      <c r="AD726" s="13">
        <v>6</v>
      </c>
      <c r="AE726" s="13">
        <v>3</v>
      </c>
      <c r="AF726" s="14">
        <v>4</v>
      </c>
      <c r="AG726" s="13">
        <v>2</v>
      </c>
      <c r="AH726" s="13">
        <v>3</v>
      </c>
      <c r="AI726" s="13">
        <v>2</v>
      </c>
      <c r="AJ726" s="13" t="str">
        <f t="shared" si="11"/>
        <v>Under 30</v>
      </c>
      <c r="AK726" s="13" t="str">
        <f>IF(tblCleanData[[#This Row],[MonthlyIncome]]&lt;5000, "Low Income", IF(tblCleanData[[#This Row],[MonthlyIncome]]&lt;15000, "Medium Income", "High Income"))</f>
        <v>Low Income</v>
      </c>
      <c r="AL726" s="13">
        <f>IF(tblCleanData[[#This Row],[Attrition]]="No", 0,1)</f>
        <v>0</v>
      </c>
      <c r="AM726" s="13">
        <f>IF(tblCleanData[[#This Row],[OverTime]] = "No", 0, 1)</f>
        <v>0</v>
      </c>
      <c r="AN726" s="13" t="str">
        <f>CHOOSE(tblCleanData[[#This Row],[Education]], "Below College","College","Bachelor","Master","Doctor")</f>
        <v>Below College</v>
      </c>
      <c r="AO726" s="13" t="str">
        <f>VLOOKUP(tblCleanData[[#This Row],[EmployeeNumber]],tblHelpers[],15,TRUE)</f>
        <v>High Risk</v>
      </c>
      <c r="AP726" s="13">
        <f>VLOOKUP(tblCleanData[[#This Row],[EmployeeNumber]],tblHelpers[],14,0)</f>
        <v>63</v>
      </c>
    </row>
    <row r="727" spans="1:42" x14ac:dyDescent="0.25">
      <c r="A727" s="13">
        <v>35</v>
      </c>
      <c r="B727" s="13" t="s">
        <v>36</v>
      </c>
      <c r="C727" s="13" t="s">
        <v>37</v>
      </c>
      <c r="D727" s="13">
        <v>622</v>
      </c>
      <c r="E727" s="13" t="s">
        <v>62</v>
      </c>
      <c r="F727" s="13">
        <v>14</v>
      </c>
      <c r="G727" s="13">
        <v>4</v>
      </c>
      <c r="H727" s="13" t="s">
        <v>74</v>
      </c>
      <c r="I727" s="13">
        <v>1</v>
      </c>
      <c r="J727" s="13">
        <v>1010</v>
      </c>
      <c r="K727" s="13">
        <v>3</v>
      </c>
      <c r="L727" s="13" t="s">
        <v>63</v>
      </c>
      <c r="M727" s="13">
        <v>39</v>
      </c>
      <c r="N727" s="13">
        <v>2</v>
      </c>
      <c r="O727" s="13">
        <v>1</v>
      </c>
      <c r="P727" s="13" t="s">
        <v>76</v>
      </c>
      <c r="Q727" s="13">
        <v>2</v>
      </c>
      <c r="R727" s="13" t="s">
        <v>109</v>
      </c>
      <c r="S727" s="20">
        <v>3743</v>
      </c>
      <c r="T727" s="13">
        <v>10074</v>
      </c>
      <c r="U727" s="13">
        <v>1</v>
      </c>
      <c r="V727" s="13" t="s">
        <v>52</v>
      </c>
      <c r="W727" s="13" t="s">
        <v>36</v>
      </c>
      <c r="X727" s="13">
        <v>24</v>
      </c>
      <c r="Y727" s="13">
        <v>4</v>
      </c>
      <c r="Z727" s="13">
        <v>4</v>
      </c>
      <c r="AA727" s="13">
        <v>80</v>
      </c>
      <c r="AB727" s="13">
        <v>1</v>
      </c>
      <c r="AC727" s="13">
        <v>5</v>
      </c>
      <c r="AD727" s="13">
        <v>2</v>
      </c>
      <c r="AE727" s="13">
        <v>1</v>
      </c>
      <c r="AF727" s="14">
        <v>4</v>
      </c>
      <c r="AG727" s="13">
        <v>2</v>
      </c>
      <c r="AH727" s="13">
        <v>0</v>
      </c>
      <c r="AI727" s="13">
        <v>2</v>
      </c>
      <c r="AJ727" s="13" t="str">
        <f t="shared" si="11"/>
        <v>30-39</v>
      </c>
      <c r="AK727" s="13" t="str">
        <f>IF(tblCleanData[[#This Row],[MonthlyIncome]]&lt;5000, "Low Income", IF(tblCleanData[[#This Row],[MonthlyIncome]]&lt;15000, "Medium Income", "High Income"))</f>
        <v>Low Income</v>
      </c>
      <c r="AL727" s="13">
        <f>IF(tblCleanData[[#This Row],[Attrition]]="No", 0,1)</f>
        <v>1</v>
      </c>
      <c r="AM727" s="13">
        <f>IF(tblCleanData[[#This Row],[OverTime]] = "No", 0, 1)</f>
        <v>1</v>
      </c>
      <c r="AN727" s="13" t="str">
        <f>CHOOSE(tblCleanData[[#This Row],[Education]], "Below College","College","Bachelor","Master","Doctor")</f>
        <v>Master</v>
      </c>
      <c r="AO727" s="13" t="str">
        <f>VLOOKUP(tblCleanData[[#This Row],[EmployeeNumber]],tblHelpers[],15,TRUE)</f>
        <v>High Risk</v>
      </c>
      <c r="AP727" s="13">
        <f>VLOOKUP(tblCleanData[[#This Row],[EmployeeNumber]],tblHelpers[],14,0)</f>
        <v>84</v>
      </c>
    </row>
    <row r="728" spans="1:42" x14ac:dyDescent="0.25">
      <c r="A728" s="13">
        <v>31</v>
      </c>
      <c r="B728" s="13" t="s">
        <v>59</v>
      </c>
      <c r="C728" s="13" t="s">
        <v>60</v>
      </c>
      <c r="D728" s="13">
        <v>853</v>
      </c>
      <c r="E728" s="13" t="s">
        <v>62</v>
      </c>
      <c r="F728" s="13">
        <v>1</v>
      </c>
      <c r="G728" s="13">
        <v>1</v>
      </c>
      <c r="H728" s="13" t="s">
        <v>42</v>
      </c>
      <c r="I728" s="13">
        <v>1</v>
      </c>
      <c r="J728" s="13">
        <v>1011</v>
      </c>
      <c r="K728" s="13">
        <v>3</v>
      </c>
      <c r="L728" s="13" t="s">
        <v>43</v>
      </c>
      <c r="M728" s="13">
        <v>96</v>
      </c>
      <c r="N728" s="13">
        <v>3</v>
      </c>
      <c r="O728" s="13">
        <v>2</v>
      </c>
      <c r="P728" s="13" t="s">
        <v>116</v>
      </c>
      <c r="Q728" s="13">
        <v>1</v>
      </c>
      <c r="R728" s="13" t="s">
        <v>66</v>
      </c>
      <c r="S728" s="20">
        <v>4148</v>
      </c>
      <c r="T728" s="13">
        <v>11275</v>
      </c>
      <c r="U728" s="13">
        <v>1</v>
      </c>
      <c r="V728" s="13" t="s">
        <v>52</v>
      </c>
      <c r="W728" s="13" t="s">
        <v>59</v>
      </c>
      <c r="X728" s="13">
        <v>12</v>
      </c>
      <c r="Y728" s="13">
        <v>3</v>
      </c>
      <c r="Z728" s="13">
        <v>3</v>
      </c>
      <c r="AA728" s="13">
        <v>80</v>
      </c>
      <c r="AB728" s="13">
        <v>1</v>
      </c>
      <c r="AC728" s="13">
        <v>4</v>
      </c>
      <c r="AD728" s="13">
        <v>1</v>
      </c>
      <c r="AE728" s="13">
        <v>3</v>
      </c>
      <c r="AF728" s="14">
        <v>4</v>
      </c>
      <c r="AG728" s="13">
        <v>3</v>
      </c>
      <c r="AH728" s="13">
        <v>0</v>
      </c>
      <c r="AI728" s="13">
        <v>3</v>
      </c>
      <c r="AJ728" s="13" t="str">
        <f t="shared" si="11"/>
        <v>30-39</v>
      </c>
      <c r="AK728" s="13" t="str">
        <f>IF(tblCleanData[[#This Row],[MonthlyIncome]]&lt;5000, "Low Income", IF(tblCleanData[[#This Row],[MonthlyIncome]]&lt;15000, "Medium Income", "High Income"))</f>
        <v>Low Income</v>
      </c>
      <c r="AL728" s="13">
        <f>IF(tblCleanData[[#This Row],[Attrition]]="No", 0,1)</f>
        <v>0</v>
      </c>
      <c r="AM728" s="13">
        <f>IF(tblCleanData[[#This Row],[OverTime]] = "No", 0, 1)</f>
        <v>0</v>
      </c>
      <c r="AN728" s="13" t="str">
        <f>CHOOSE(tblCleanData[[#This Row],[Education]], "Below College","College","Bachelor","Master","Doctor")</f>
        <v>Below College</v>
      </c>
      <c r="AO728" s="13" t="str">
        <f>VLOOKUP(tblCleanData[[#This Row],[EmployeeNumber]],tblHelpers[],15,TRUE)</f>
        <v>High Risk</v>
      </c>
      <c r="AP728" s="13">
        <f>VLOOKUP(tblCleanData[[#This Row],[EmployeeNumber]],tblHelpers[],14,0)</f>
        <v>65</v>
      </c>
    </row>
    <row r="729" spans="1:42" x14ac:dyDescent="0.25">
      <c r="A729" s="13">
        <v>18</v>
      </c>
      <c r="B729" s="13" t="s">
        <v>59</v>
      </c>
      <c r="C729" s="13" t="s">
        <v>161</v>
      </c>
      <c r="D729" s="13">
        <v>287</v>
      </c>
      <c r="E729" s="13" t="s">
        <v>62</v>
      </c>
      <c r="F729" s="13">
        <v>5</v>
      </c>
      <c r="G729" s="13">
        <v>2</v>
      </c>
      <c r="H729" s="13" t="s">
        <v>42</v>
      </c>
      <c r="I729" s="13">
        <v>1</v>
      </c>
      <c r="J729" s="13">
        <v>1012</v>
      </c>
      <c r="K729" s="13">
        <v>2</v>
      </c>
      <c r="L729" s="13" t="s">
        <v>63</v>
      </c>
      <c r="M729" s="13">
        <v>73</v>
      </c>
      <c r="N729" s="13">
        <v>3</v>
      </c>
      <c r="O729" s="13">
        <v>1</v>
      </c>
      <c r="P729" s="13" t="s">
        <v>65</v>
      </c>
      <c r="Q729" s="13">
        <v>4</v>
      </c>
      <c r="R729" s="13" t="s">
        <v>48</v>
      </c>
      <c r="S729" s="20">
        <v>1051</v>
      </c>
      <c r="T729" s="13">
        <v>13493</v>
      </c>
      <c r="U729" s="13">
        <v>1</v>
      </c>
      <c r="V729" s="13" t="s">
        <v>52</v>
      </c>
      <c r="W729" s="13" t="s">
        <v>59</v>
      </c>
      <c r="X729" s="13">
        <v>15</v>
      </c>
      <c r="Y729" s="13">
        <v>3</v>
      </c>
      <c r="Z729" s="13">
        <v>4</v>
      </c>
      <c r="AA729" s="13">
        <v>80</v>
      </c>
      <c r="AB729" s="13">
        <v>0</v>
      </c>
      <c r="AC729" s="13">
        <v>0</v>
      </c>
      <c r="AD729" s="13">
        <v>2</v>
      </c>
      <c r="AE729" s="13">
        <v>3</v>
      </c>
      <c r="AF729" s="14">
        <v>0</v>
      </c>
      <c r="AG729" s="13">
        <v>0</v>
      </c>
      <c r="AH729" s="13">
        <v>0</v>
      </c>
      <c r="AI729" s="13">
        <v>0</v>
      </c>
      <c r="AJ729" s="13" t="str">
        <f t="shared" si="11"/>
        <v>Under 30</v>
      </c>
      <c r="AK729" s="13" t="str">
        <f>IF(tblCleanData[[#This Row],[MonthlyIncome]]&lt;5000, "Low Income", IF(tblCleanData[[#This Row],[MonthlyIncome]]&lt;15000, "Medium Income", "High Income"))</f>
        <v>Low Income</v>
      </c>
      <c r="AL729" s="13">
        <f>IF(tblCleanData[[#This Row],[Attrition]]="No", 0,1)</f>
        <v>0</v>
      </c>
      <c r="AM729" s="13">
        <f>IF(tblCleanData[[#This Row],[OverTime]] = "No", 0, 1)</f>
        <v>0</v>
      </c>
      <c r="AN729" s="13" t="str">
        <f>CHOOSE(tblCleanData[[#This Row],[Education]], "Below College","College","Bachelor","Master","Doctor")</f>
        <v>College</v>
      </c>
      <c r="AO729" s="13" t="str">
        <f>VLOOKUP(tblCleanData[[#This Row],[EmployeeNumber]],tblHelpers[],15,TRUE)</f>
        <v>High Risk</v>
      </c>
      <c r="AP729" s="13">
        <f>VLOOKUP(tblCleanData[[#This Row],[EmployeeNumber]],tblHelpers[],14,0)</f>
        <v>66</v>
      </c>
    </row>
    <row r="730" spans="1:42" x14ac:dyDescent="0.25">
      <c r="A730" s="13">
        <v>54</v>
      </c>
      <c r="B730" s="13" t="s">
        <v>59</v>
      </c>
      <c r="C730" s="13" t="s">
        <v>37</v>
      </c>
      <c r="D730" s="13">
        <v>1441</v>
      </c>
      <c r="E730" s="13" t="s">
        <v>62</v>
      </c>
      <c r="F730" s="13">
        <v>17</v>
      </c>
      <c r="G730" s="13">
        <v>3</v>
      </c>
      <c r="H730" s="13" t="s">
        <v>228</v>
      </c>
      <c r="I730" s="13">
        <v>1</v>
      </c>
      <c r="J730" s="13">
        <v>1013</v>
      </c>
      <c r="K730" s="13">
        <v>3</v>
      </c>
      <c r="L730" s="13" t="s">
        <v>43</v>
      </c>
      <c r="M730" s="13">
        <v>56</v>
      </c>
      <c r="N730" s="13">
        <v>3</v>
      </c>
      <c r="O730" s="13">
        <v>3</v>
      </c>
      <c r="P730" s="13" t="s">
        <v>116</v>
      </c>
      <c r="Q730" s="13">
        <v>3</v>
      </c>
      <c r="R730" s="13" t="s">
        <v>66</v>
      </c>
      <c r="S730" s="20">
        <v>10739</v>
      </c>
      <c r="T730" s="13">
        <v>13943</v>
      </c>
      <c r="U730" s="13">
        <v>8</v>
      </c>
      <c r="V730" s="13" t="s">
        <v>52</v>
      </c>
      <c r="W730" s="13" t="s">
        <v>59</v>
      </c>
      <c r="X730" s="13">
        <v>11</v>
      </c>
      <c r="Y730" s="13">
        <v>3</v>
      </c>
      <c r="Z730" s="13">
        <v>3</v>
      </c>
      <c r="AA730" s="13">
        <v>80</v>
      </c>
      <c r="AB730" s="13">
        <v>1</v>
      </c>
      <c r="AC730" s="13">
        <v>22</v>
      </c>
      <c r="AD730" s="13">
        <v>2</v>
      </c>
      <c r="AE730" s="13">
        <v>3</v>
      </c>
      <c r="AF730" s="14">
        <v>10</v>
      </c>
      <c r="AG730" s="13">
        <v>7</v>
      </c>
      <c r="AH730" s="13">
        <v>0</v>
      </c>
      <c r="AI730" s="13">
        <v>8</v>
      </c>
      <c r="AJ730" s="13" t="str">
        <f t="shared" si="11"/>
        <v>50+</v>
      </c>
      <c r="AK730" s="13" t="str">
        <f>IF(tblCleanData[[#This Row],[MonthlyIncome]]&lt;5000, "Low Income", IF(tblCleanData[[#This Row],[MonthlyIncome]]&lt;15000, "Medium Income", "High Income"))</f>
        <v>Medium Income</v>
      </c>
      <c r="AL730" s="13">
        <f>IF(tblCleanData[[#This Row],[Attrition]]="No", 0,1)</f>
        <v>0</v>
      </c>
      <c r="AM730" s="13">
        <f>IF(tblCleanData[[#This Row],[OverTime]] = "No", 0, 1)</f>
        <v>0</v>
      </c>
      <c r="AN730" s="13" t="str">
        <f>CHOOSE(tblCleanData[[#This Row],[Education]], "Below College","College","Bachelor","Master","Doctor")</f>
        <v>Bachelor</v>
      </c>
      <c r="AO730" s="13" t="str">
        <f>VLOOKUP(tblCleanData[[#This Row],[EmployeeNumber]],tblHelpers[],15,TRUE)</f>
        <v>Medium Risk</v>
      </c>
      <c r="AP730" s="13">
        <f>VLOOKUP(tblCleanData[[#This Row],[EmployeeNumber]],tblHelpers[],14,0)</f>
        <v>41</v>
      </c>
    </row>
    <row r="731" spans="1:42" x14ac:dyDescent="0.25">
      <c r="A731" s="13">
        <v>35</v>
      </c>
      <c r="B731" s="13" t="s">
        <v>59</v>
      </c>
      <c r="C731" s="13" t="s">
        <v>37</v>
      </c>
      <c r="D731" s="13">
        <v>583</v>
      </c>
      <c r="E731" s="13" t="s">
        <v>62</v>
      </c>
      <c r="F731" s="13">
        <v>25</v>
      </c>
      <c r="G731" s="13">
        <v>4</v>
      </c>
      <c r="H731" s="13" t="s">
        <v>87</v>
      </c>
      <c r="I731" s="13">
        <v>1</v>
      </c>
      <c r="J731" s="13">
        <v>1014</v>
      </c>
      <c r="K731" s="13">
        <v>3</v>
      </c>
      <c r="L731" s="13" t="s">
        <v>43</v>
      </c>
      <c r="M731" s="13">
        <v>57</v>
      </c>
      <c r="N731" s="13">
        <v>3</v>
      </c>
      <c r="O731" s="13">
        <v>3</v>
      </c>
      <c r="P731" s="13" t="s">
        <v>122</v>
      </c>
      <c r="Q731" s="13">
        <v>3</v>
      </c>
      <c r="R731" s="13" t="s">
        <v>109</v>
      </c>
      <c r="S731" s="20">
        <v>10388</v>
      </c>
      <c r="T731" s="13">
        <v>6975</v>
      </c>
      <c r="U731" s="13">
        <v>1</v>
      </c>
      <c r="V731" s="13" t="s">
        <v>52</v>
      </c>
      <c r="W731" s="13" t="s">
        <v>36</v>
      </c>
      <c r="X731" s="13">
        <v>11</v>
      </c>
      <c r="Y731" s="13">
        <v>3</v>
      </c>
      <c r="Z731" s="13">
        <v>3</v>
      </c>
      <c r="AA731" s="13">
        <v>80</v>
      </c>
      <c r="AB731" s="13">
        <v>1</v>
      </c>
      <c r="AC731" s="13">
        <v>16</v>
      </c>
      <c r="AD731" s="13">
        <v>3</v>
      </c>
      <c r="AE731" s="13">
        <v>2</v>
      </c>
      <c r="AF731" s="14">
        <v>16</v>
      </c>
      <c r="AG731" s="13">
        <v>10</v>
      </c>
      <c r="AH731" s="13">
        <v>10</v>
      </c>
      <c r="AI731" s="13">
        <v>1</v>
      </c>
      <c r="AJ731" s="13" t="str">
        <f t="shared" si="11"/>
        <v>30-39</v>
      </c>
      <c r="AK731" s="13" t="str">
        <f>IF(tblCleanData[[#This Row],[MonthlyIncome]]&lt;5000, "Low Income", IF(tblCleanData[[#This Row],[MonthlyIncome]]&lt;15000, "Medium Income", "High Income"))</f>
        <v>Medium Income</v>
      </c>
      <c r="AL731" s="13">
        <f>IF(tblCleanData[[#This Row],[Attrition]]="No", 0,1)</f>
        <v>0</v>
      </c>
      <c r="AM731" s="13">
        <f>IF(tblCleanData[[#This Row],[OverTime]] = "No", 0, 1)</f>
        <v>1</v>
      </c>
      <c r="AN731" s="13" t="str">
        <f>CHOOSE(tblCleanData[[#This Row],[Education]], "Below College","College","Bachelor","Master","Doctor")</f>
        <v>Master</v>
      </c>
      <c r="AO731" s="13" t="str">
        <f>VLOOKUP(tblCleanData[[#This Row],[EmployeeNumber]],tblHelpers[],15,TRUE)</f>
        <v>High Risk</v>
      </c>
      <c r="AP731" s="13">
        <f>VLOOKUP(tblCleanData[[#This Row],[EmployeeNumber]],tblHelpers[],14,0)</f>
        <v>66</v>
      </c>
    </row>
    <row r="732" spans="1:42" x14ac:dyDescent="0.25">
      <c r="A732" s="13">
        <v>30</v>
      </c>
      <c r="B732" s="13" t="s">
        <v>59</v>
      </c>
      <c r="C732" s="13" t="s">
        <v>37</v>
      </c>
      <c r="D732" s="13">
        <v>153</v>
      </c>
      <c r="E732" s="13" t="s">
        <v>62</v>
      </c>
      <c r="F732" s="13">
        <v>8</v>
      </c>
      <c r="G732" s="13">
        <v>2</v>
      </c>
      <c r="H732" s="13" t="s">
        <v>42</v>
      </c>
      <c r="I732" s="13">
        <v>1</v>
      </c>
      <c r="J732" s="13">
        <v>1015</v>
      </c>
      <c r="K732" s="13">
        <v>2</v>
      </c>
      <c r="L732" s="13" t="s">
        <v>43</v>
      </c>
      <c r="M732" s="13">
        <v>73</v>
      </c>
      <c r="N732" s="13">
        <v>4</v>
      </c>
      <c r="O732" s="13">
        <v>3</v>
      </c>
      <c r="P732" s="13" t="s">
        <v>186</v>
      </c>
      <c r="Q732" s="13">
        <v>1</v>
      </c>
      <c r="R732" s="13" t="s">
        <v>66</v>
      </c>
      <c r="S732" s="20">
        <v>11416</v>
      </c>
      <c r="T732" s="13">
        <v>17802</v>
      </c>
      <c r="U732" s="13">
        <v>0</v>
      </c>
      <c r="V732" s="13" t="s">
        <v>52</v>
      </c>
      <c r="W732" s="13" t="s">
        <v>36</v>
      </c>
      <c r="X732" s="13">
        <v>12</v>
      </c>
      <c r="Y732" s="13">
        <v>3</v>
      </c>
      <c r="Z732" s="13">
        <v>3</v>
      </c>
      <c r="AA732" s="13">
        <v>80</v>
      </c>
      <c r="AB732" s="13">
        <v>3</v>
      </c>
      <c r="AC732" s="13">
        <v>9</v>
      </c>
      <c r="AD732" s="13">
        <v>4</v>
      </c>
      <c r="AE732" s="13">
        <v>2</v>
      </c>
      <c r="AF732" s="14">
        <v>8</v>
      </c>
      <c r="AG732" s="13">
        <v>7</v>
      </c>
      <c r="AH732" s="13">
        <v>1</v>
      </c>
      <c r="AI732" s="13">
        <v>7</v>
      </c>
      <c r="AJ732" s="13" t="str">
        <f t="shared" si="11"/>
        <v>30-39</v>
      </c>
      <c r="AK732" s="13" t="str">
        <f>IF(tblCleanData[[#This Row],[MonthlyIncome]]&lt;5000, "Low Income", IF(tblCleanData[[#This Row],[MonthlyIncome]]&lt;15000, "Medium Income", "High Income"))</f>
        <v>Medium Income</v>
      </c>
      <c r="AL732" s="13">
        <f>IF(tblCleanData[[#This Row],[Attrition]]="No", 0,1)</f>
        <v>0</v>
      </c>
      <c r="AM732" s="13">
        <f>IF(tblCleanData[[#This Row],[OverTime]] = "No", 0, 1)</f>
        <v>1</v>
      </c>
      <c r="AN732" s="13" t="str">
        <f>CHOOSE(tblCleanData[[#This Row],[Education]], "Below College","College","Bachelor","Master","Doctor")</f>
        <v>College</v>
      </c>
      <c r="AO732" s="13" t="str">
        <f>VLOOKUP(tblCleanData[[#This Row],[EmployeeNumber]],tblHelpers[],15,TRUE)</f>
        <v>High Risk</v>
      </c>
      <c r="AP732" s="13">
        <f>VLOOKUP(tblCleanData[[#This Row],[EmployeeNumber]],tblHelpers[],14,0)</f>
        <v>83</v>
      </c>
    </row>
    <row r="733" spans="1:42" x14ac:dyDescent="0.25">
      <c r="A733" s="13">
        <v>20</v>
      </c>
      <c r="B733" s="13" t="s">
        <v>36</v>
      </c>
      <c r="C733" s="13" t="s">
        <v>37</v>
      </c>
      <c r="D733" s="13">
        <v>1097</v>
      </c>
      <c r="E733" s="13" t="s">
        <v>62</v>
      </c>
      <c r="F733" s="13">
        <v>11</v>
      </c>
      <c r="G733" s="13">
        <v>3</v>
      </c>
      <c r="H733" s="13" t="s">
        <v>87</v>
      </c>
      <c r="I733" s="13">
        <v>1</v>
      </c>
      <c r="J733" s="13">
        <v>1016</v>
      </c>
      <c r="K733" s="13">
        <v>4</v>
      </c>
      <c r="L733" s="13" t="s">
        <v>43</v>
      </c>
      <c r="M733" s="13">
        <v>98</v>
      </c>
      <c r="N733" s="13">
        <v>2</v>
      </c>
      <c r="O733" s="13">
        <v>1</v>
      </c>
      <c r="P733" s="13" t="s">
        <v>65</v>
      </c>
      <c r="Q733" s="13">
        <v>1</v>
      </c>
      <c r="R733" s="13" t="s">
        <v>48</v>
      </c>
      <c r="S733" s="20">
        <v>2600</v>
      </c>
      <c r="T733" s="13">
        <v>18275</v>
      </c>
      <c r="U733" s="13">
        <v>1</v>
      </c>
      <c r="V733" s="13" t="s">
        <v>52</v>
      </c>
      <c r="W733" s="13" t="s">
        <v>36</v>
      </c>
      <c r="X733" s="13">
        <v>15</v>
      </c>
      <c r="Y733" s="13">
        <v>3</v>
      </c>
      <c r="Z733" s="13">
        <v>1</v>
      </c>
      <c r="AA733" s="13">
        <v>80</v>
      </c>
      <c r="AB733" s="13">
        <v>0</v>
      </c>
      <c r="AC733" s="13">
        <v>1</v>
      </c>
      <c r="AD733" s="13">
        <v>2</v>
      </c>
      <c r="AE733" s="13">
        <v>3</v>
      </c>
      <c r="AF733" s="14">
        <v>1</v>
      </c>
      <c r="AG733" s="13">
        <v>0</v>
      </c>
      <c r="AH733" s="13">
        <v>0</v>
      </c>
      <c r="AI733" s="13">
        <v>0</v>
      </c>
      <c r="AJ733" s="13" t="str">
        <f t="shared" si="11"/>
        <v>Under 30</v>
      </c>
      <c r="AK733" s="13" t="str">
        <f>IF(tblCleanData[[#This Row],[MonthlyIncome]]&lt;5000, "Low Income", IF(tblCleanData[[#This Row],[MonthlyIncome]]&lt;15000, "Medium Income", "High Income"))</f>
        <v>Low Income</v>
      </c>
      <c r="AL733" s="13">
        <f>IF(tblCleanData[[#This Row],[Attrition]]="No", 0,1)</f>
        <v>1</v>
      </c>
      <c r="AM733" s="13">
        <f>IF(tblCleanData[[#This Row],[OverTime]] = "No", 0, 1)</f>
        <v>1</v>
      </c>
      <c r="AN733" s="13" t="str">
        <f>CHOOSE(tblCleanData[[#This Row],[Education]], "Below College","College","Bachelor","Master","Doctor")</f>
        <v>Bachelor</v>
      </c>
      <c r="AO733" s="13" t="str">
        <f>VLOOKUP(tblCleanData[[#This Row],[EmployeeNumber]],tblHelpers[],15,TRUE)</f>
        <v>High Risk</v>
      </c>
      <c r="AP733" s="13">
        <f>VLOOKUP(tblCleanData[[#This Row],[EmployeeNumber]],tblHelpers[],14,0)</f>
        <v>110</v>
      </c>
    </row>
    <row r="734" spans="1:42" x14ac:dyDescent="0.25">
      <c r="A734" s="13">
        <v>30</v>
      </c>
      <c r="B734" s="13" t="s">
        <v>36</v>
      </c>
      <c r="C734" s="13" t="s">
        <v>60</v>
      </c>
      <c r="D734" s="13">
        <v>109</v>
      </c>
      <c r="E734" s="13" t="s">
        <v>62</v>
      </c>
      <c r="F734" s="13">
        <v>5</v>
      </c>
      <c r="G734" s="13">
        <v>3</v>
      </c>
      <c r="H734" s="13" t="s">
        <v>87</v>
      </c>
      <c r="I734" s="13">
        <v>1</v>
      </c>
      <c r="J734" s="13">
        <v>1017</v>
      </c>
      <c r="K734" s="13">
        <v>2</v>
      </c>
      <c r="L734" s="13" t="s">
        <v>43</v>
      </c>
      <c r="M734" s="13">
        <v>60</v>
      </c>
      <c r="N734" s="13">
        <v>3</v>
      </c>
      <c r="O734" s="13">
        <v>1</v>
      </c>
      <c r="P734" s="13" t="s">
        <v>76</v>
      </c>
      <c r="Q734" s="13">
        <v>2</v>
      </c>
      <c r="R734" s="13" t="s">
        <v>48</v>
      </c>
      <c r="S734" s="20">
        <v>2422</v>
      </c>
      <c r="T734" s="13">
        <v>25725</v>
      </c>
      <c r="U734" s="13">
        <v>0</v>
      </c>
      <c r="V734" s="13" t="s">
        <v>52</v>
      </c>
      <c r="W734" s="13" t="s">
        <v>59</v>
      </c>
      <c r="X734" s="13">
        <v>17</v>
      </c>
      <c r="Y734" s="13">
        <v>3</v>
      </c>
      <c r="Z734" s="13">
        <v>1</v>
      </c>
      <c r="AA734" s="13">
        <v>80</v>
      </c>
      <c r="AB734" s="13">
        <v>0</v>
      </c>
      <c r="AC734" s="13">
        <v>4</v>
      </c>
      <c r="AD734" s="13">
        <v>3</v>
      </c>
      <c r="AE734" s="13">
        <v>3</v>
      </c>
      <c r="AF734" s="14">
        <v>3</v>
      </c>
      <c r="AG734" s="13">
        <v>2</v>
      </c>
      <c r="AH734" s="13">
        <v>1</v>
      </c>
      <c r="AI734" s="13">
        <v>2</v>
      </c>
      <c r="AJ734" s="13" t="str">
        <f t="shared" si="11"/>
        <v>30-39</v>
      </c>
      <c r="AK734" s="13" t="str">
        <f>IF(tblCleanData[[#This Row],[MonthlyIncome]]&lt;5000, "Low Income", IF(tblCleanData[[#This Row],[MonthlyIncome]]&lt;15000, "Medium Income", "High Income"))</f>
        <v>Low Income</v>
      </c>
      <c r="AL734" s="13">
        <f>IF(tblCleanData[[#This Row],[Attrition]]="No", 0,1)</f>
        <v>1</v>
      </c>
      <c r="AM734" s="13">
        <f>IF(tblCleanData[[#This Row],[OverTime]] = "No", 0, 1)</f>
        <v>0</v>
      </c>
      <c r="AN734" s="13" t="str">
        <f>CHOOSE(tblCleanData[[#This Row],[Education]], "Below College","College","Bachelor","Master","Doctor")</f>
        <v>Bachelor</v>
      </c>
      <c r="AO734" s="13" t="str">
        <f>VLOOKUP(tblCleanData[[#This Row],[EmployeeNumber]],tblHelpers[],15,TRUE)</f>
        <v>High Risk</v>
      </c>
      <c r="AP734" s="13">
        <f>VLOOKUP(tblCleanData[[#This Row],[EmployeeNumber]],tblHelpers[],14,0)</f>
        <v>59</v>
      </c>
    </row>
    <row r="735" spans="1:42" x14ac:dyDescent="0.25">
      <c r="A735" s="13">
        <v>26</v>
      </c>
      <c r="B735" s="13" t="s">
        <v>59</v>
      </c>
      <c r="C735" s="13" t="s">
        <v>37</v>
      </c>
      <c r="D735" s="13">
        <v>1066</v>
      </c>
      <c r="E735" s="13" t="s">
        <v>62</v>
      </c>
      <c r="F735" s="13">
        <v>2</v>
      </c>
      <c r="G735" s="13">
        <v>2</v>
      </c>
      <c r="H735" s="13" t="s">
        <v>87</v>
      </c>
      <c r="I735" s="13">
        <v>1</v>
      </c>
      <c r="J735" s="13">
        <v>1018</v>
      </c>
      <c r="K735" s="13">
        <v>4</v>
      </c>
      <c r="L735" s="13" t="s">
        <v>63</v>
      </c>
      <c r="M735" s="13">
        <v>32</v>
      </c>
      <c r="N735" s="13">
        <v>4</v>
      </c>
      <c r="O735" s="13">
        <v>2</v>
      </c>
      <c r="P735" s="13" t="s">
        <v>116</v>
      </c>
      <c r="Q735" s="13">
        <v>4</v>
      </c>
      <c r="R735" s="13" t="s">
        <v>66</v>
      </c>
      <c r="S735" s="20">
        <v>5472</v>
      </c>
      <c r="T735" s="13">
        <v>3334</v>
      </c>
      <c r="U735" s="13">
        <v>1</v>
      </c>
      <c r="V735" s="13" t="s">
        <v>52</v>
      </c>
      <c r="W735" s="13" t="s">
        <v>59</v>
      </c>
      <c r="X735" s="13">
        <v>12</v>
      </c>
      <c r="Y735" s="13">
        <v>3</v>
      </c>
      <c r="Z735" s="13">
        <v>2</v>
      </c>
      <c r="AA735" s="13">
        <v>80</v>
      </c>
      <c r="AB735" s="13">
        <v>0</v>
      </c>
      <c r="AC735" s="13">
        <v>8</v>
      </c>
      <c r="AD735" s="13">
        <v>2</v>
      </c>
      <c r="AE735" s="13">
        <v>3</v>
      </c>
      <c r="AF735" s="14">
        <v>8</v>
      </c>
      <c r="AG735" s="13">
        <v>7</v>
      </c>
      <c r="AH735" s="13">
        <v>1</v>
      </c>
      <c r="AI735" s="13">
        <v>3</v>
      </c>
      <c r="AJ735" s="13" t="str">
        <f t="shared" si="11"/>
        <v>Under 30</v>
      </c>
      <c r="AK735" s="13" t="str">
        <f>IF(tblCleanData[[#This Row],[MonthlyIncome]]&lt;5000, "Low Income", IF(tblCleanData[[#This Row],[MonthlyIncome]]&lt;15000, "Medium Income", "High Income"))</f>
        <v>Medium Income</v>
      </c>
      <c r="AL735" s="13">
        <f>IF(tblCleanData[[#This Row],[Attrition]]="No", 0,1)</f>
        <v>0</v>
      </c>
      <c r="AM735" s="13">
        <f>IF(tblCleanData[[#This Row],[OverTime]] = "No", 0, 1)</f>
        <v>0</v>
      </c>
      <c r="AN735" s="13" t="str">
        <f>CHOOSE(tblCleanData[[#This Row],[Education]], "Below College","College","Bachelor","Master","Doctor")</f>
        <v>College</v>
      </c>
      <c r="AO735" s="13" t="str">
        <f>VLOOKUP(tblCleanData[[#This Row],[EmployeeNumber]],tblHelpers[],15,TRUE)</f>
        <v>Medium Risk</v>
      </c>
      <c r="AP735" s="13">
        <f>VLOOKUP(tblCleanData[[#This Row],[EmployeeNumber]],tblHelpers[],14,0)</f>
        <v>49</v>
      </c>
    </row>
    <row r="736" spans="1:42" x14ac:dyDescent="0.25">
      <c r="A736" s="13">
        <v>22</v>
      </c>
      <c r="B736" s="13" t="s">
        <v>59</v>
      </c>
      <c r="C736" s="13" t="s">
        <v>37</v>
      </c>
      <c r="D736" s="13">
        <v>217</v>
      </c>
      <c r="E736" s="13" t="s">
        <v>62</v>
      </c>
      <c r="F736" s="13">
        <v>8</v>
      </c>
      <c r="G736" s="13">
        <v>1</v>
      </c>
      <c r="H736" s="13" t="s">
        <v>42</v>
      </c>
      <c r="I736" s="13">
        <v>1</v>
      </c>
      <c r="J736" s="13">
        <v>1019</v>
      </c>
      <c r="K736" s="13">
        <v>2</v>
      </c>
      <c r="L736" s="13" t="s">
        <v>63</v>
      </c>
      <c r="M736" s="13">
        <v>94</v>
      </c>
      <c r="N736" s="13">
        <v>1</v>
      </c>
      <c r="O736" s="13">
        <v>1</v>
      </c>
      <c r="P736" s="13" t="s">
        <v>76</v>
      </c>
      <c r="Q736" s="13">
        <v>1</v>
      </c>
      <c r="R736" s="13" t="s">
        <v>66</v>
      </c>
      <c r="S736" s="20">
        <v>2451</v>
      </c>
      <c r="T736" s="13">
        <v>6881</v>
      </c>
      <c r="U736" s="13">
        <v>1</v>
      </c>
      <c r="V736" s="13" t="s">
        <v>52</v>
      </c>
      <c r="W736" s="13" t="s">
        <v>59</v>
      </c>
      <c r="X736" s="13">
        <v>15</v>
      </c>
      <c r="Y736" s="13">
        <v>3</v>
      </c>
      <c r="Z736" s="13">
        <v>1</v>
      </c>
      <c r="AA736" s="13">
        <v>80</v>
      </c>
      <c r="AB736" s="13">
        <v>1</v>
      </c>
      <c r="AC736" s="13">
        <v>4</v>
      </c>
      <c r="AD736" s="13">
        <v>3</v>
      </c>
      <c r="AE736" s="13">
        <v>2</v>
      </c>
      <c r="AF736" s="14">
        <v>4</v>
      </c>
      <c r="AG736" s="13">
        <v>3</v>
      </c>
      <c r="AH736" s="13">
        <v>1</v>
      </c>
      <c r="AI736" s="13">
        <v>1</v>
      </c>
      <c r="AJ736" s="13" t="str">
        <f t="shared" si="11"/>
        <v>Under 30</v>
      </c>
      <c r="AK736" s="13" t="str">
        <f>IF(tblCleanData[[#This Row],[MonthlyIncome]]&lt;5000, "Low Income", IF(tblCleanData[[#This Row],[MonthlyIncome]]&lt;15000, "Medium Income", "High Income"))</f>
        <v>Low Income</v>
      </c>
      <c r="AL736" s="13">
        <f>IF(tblCleanData[[#This Row],[Attrition]]="No", 0,1)</f>
        <v>0</v>
      </c>
      <c r="AM736" s="13">
        <f>IF(tblCleanData[[#This Row],[OverTime]] = "No", 0, 1)</f>
        <v>0</v>
      </c>
      <c r="AN736" s="13" t="str">
        <f>CHOOSE(tblCleanData[[#This Row],[Education]], "Below College","College","Bachelor","Master","Doctor")</f>
        <v>Below College</v>
      </c>
      <c r="AO736" s="13" t="str">
        <f>VLOOKUP(tblCleanData[[#This Row],[EmployeeNumber]],tblHelpers[],15,TRUE)</f>
        <v>High Risk</v>
      </c>
      <c r="AP736" s="13">
        <f>VLOOKUP(tblCleanData[[#This Row],[EmployeeNumber]],tblHelpers[],14,0)</f>
        <v>75</v>
      </c>
    </row>
    <row r="737" spans="1:42" x14ac:dyDescent="0.25">
      <c r="A737" s="13">
        <v>48</v>
      </c>
      <c r="B737" s="13" t="s">
        <v>59</v>
      </c>
      <c r="C737" s="13" t="s">
        <v>37</v>
      </c>
      <c r="D737" s="13">
        <v>277</v>
      </c>
      <c r="E737" s="13" t="s">
        <v>62</v>
      </c>
      <c r="F737" s="13">
        <v>6</v>
      </c>
      <c r="G737" s="13">
        <v>3</v>
      </c>
      <c r="H737" s="13" t="s">
        <v>42</v>
      </c>
      <c r="I737" s="13">
        <v>1</v>
      </c>
      <c r="J737" s="13">
        <v>1022</v>
      </c>
      <c r="K737" s="13">
        <v>1</v>
      </c>
      <c r="L737" s="13" t="s">
        <v>63</v>
      </c>
      <c r="M737" s="13">
        <v>97</v>
      </c>
      <c r="N737" s="13">
        <v>2</v>
      </c>
      <c r="O737" s="13">
        <v>2</v>
      </c>
      <c r="P737" s="13" t="s">
        <v>122</v>
      </c>
      <c r="Q737" s="13">
        <v>3</v>
      </c>
      <c r="R737" s="13" t="s">
        <v>48</v>
      </c>
      <c r="S737" s="20">
        <v>4240</v>
      </c>
      <c r="T737" s="13">
        <v>13119</v>
      </c>
      <c r="U737" s="13">
        <v>2</v>
      </c>
      <c r="V737" s="13" t="s">
        <v>52</v>
      </c>
      <c r="W737" s="13" t="s">
        <v>59</v>
      </c>
      <c r="X737" s="13">
        <v>13</v>
      </c>
      <c r="Y737" s="13">
        <v>3</v>
      </c>
      <c r="Z737" s="13">
        <v>4</v>
      </c>
      <c r="AA737" s="13">
        <v>80</v>
      </c>
      <c r="AB737" s="13">
        <v>0</v>
      </c>
      <c r="AC737" s="13">
        <v>19</v>
      </c>
      <c r="AD737" s="13">
        <v>0</v>
      </c>
      <c r="AE737" s="13">
        <v>3</v>
      </c>
      <c r="AF737" s="14">
        <v>2</v>
      </c>
      <c r="AG737" s="13">
        <v>2</v>
      </c>
      <c r="AH737" s="13">
        <v>2</v>
      </c>
      <c r="AI737" s="13">
        <v>2</v>
      </c>
      <c r="AJ737" s="13" t="str">
        <f t="shared" si="11"/>
        <v>40-49</v>
      </c>
      <c r="AK737" s="13" t="str">
        <f>IF(tblCleanData[[#This Row],[MonthlyIncome]]&lt;5000, "Low Income", IF(tblCleanData[[#This Row],[MonthlyIncome]]&lt;15000, "Medium Income", "High Income"))</f>
        <v>Low Income</v>
      </c>
      <c r="AL737" s="13">
        <f>IF(tblCleanData[[#This Row],[Attrition]]="No", 0,1)</f>
        <v>0</v>
      </c>
      <c r="AM737" s="13">
        <f>IF(tblCleanData[[#This Row],[OverTime]] = "No", 0, 1)</f>
        <v>0</v>
      </c>
      <c r="AN737" s="13" t="str">
        <f>CHOOSE(tblCleanData[[#This Row],[Education]], "Below College","College","Bachelor","Master","Doctor")</f>
        <v>Bachelor</v>
      </c>
      <c r="AO737" s="13" t="str">
        <f>VLOOKUP(tblCleanData[[#This Row],[EmployeeNumber]],tblHelpers[],15,TRUE)</f>
        <v>Medium Risk</v>
      </c>
      <c r="AP737" s="13">
        <f>VLOOKUP(tblCleanData[[#This Row],[EmployeeNumber]],tblHelpers[],14,0)</f>
        <v>53</v>
      </c>
    </row>
    <row r="738" spans="1:42" x14ac:dyDescent="0.25">
      <c r="A738" s="13">
        <v>48</v>
      </c>
      <c r="B738" s="13" t="s">
        <v>59</v>
      </c>
      <c r="C738" s="13" t="s">
        <v>37</v>
      </c>
      <c r="D738" s="13">
        <v>1355</v>
      </c>
      <c r="E738" s="13" t="s">
        <v>62</v>
      </c>
      <c r="F738" s="13">
        <v>4</v>
      </c>
      <c r="G738" s="13">
        <v>4</v>
      </c>
      <c r="H738" s="13" t="s">
        <v>42</v>
      </c>
      <c r="I738" s="13">
        <v>1</v>
      </c>
      <c r="J738" s="13">
        <v>1024</v>
      </c>
      <c r="K738" s="13">
        <v>3</v>
      </c>
      <c r="L738" s="13" t="s">
        <v>63</v>
      </c>
      <c r="M738" s="13">
        <v>78</v>
      </c>
      <c r="N738" s="13">
        <v>2</v>
      </c>
      <c r="O738" s="13">
        <v>3</v>
      </c>
      <c r="P738" s="13" t="s">
        <v>122</v>
      </c>
      <c r="Q738" s="13">
        <v>3</v>
      </c>
      <c r="R738" s="13" t="s">
        <v>48</v>
      </c>
      <c r="S738" s="20">
        <v>10999</v>
      </c>
      <c r="T738" s="13">
        <v>22245</v>
      </c>
      <c r="U738" s="13">
        <v>7</v>
      </c>
      <c r="V738" s="13" t="s">
        <v>52</v>
      </c>
      <c r="W738" s="13" t="s">
        <v>59</v>
      </c>
      <c r="X738" s="13">
        <v>14</v>
      </c>
      <c r="Y738" s="13">
        <v>3</v>
      </c>
      <c r="Z738" s="13">
        <v>2</v>
      </c>
      <c r="AA738" s="13">
        <v>80</v>
      </c>
      <c r="AB738" s="13">
        <v>0</v>
      </c>
      <c r="AC738" s="13">
        <v>27</v>
      </c>
      <c r="AD738" s="13">
        <v>3</v>
      </c>
      <c r="AE738" s="13">
        <v>3</v>
      </c>
      <c r="AF738" s="14">
        <v>15</v>
      </c>
      <c r="AG738" s="13">
        <v>11</v>
      </c>
      <c r="AH738" s="13">
        <v>4</v>
      </c>
      <c r="AI738" s="13">
        <v>8</v>
      </c>
      <c r="AJ738" s="13" t="str">
        <f t="shared" si="11"/>
        <v>40-49</v>
      </c>
      <c r="AK738" s="13" t="str">
        <f>IF(tblCleanData[[#This Row],[MonthlyIncome]]&lt;5000, "Low Income", IF(tblCleanData[[#This Row],[MonthlyIncome]]&lt;15000, "Medium Income", "High Income"))</f>
        <v>Medium Income</v>
      </c>
      <c r="AL738" s="13">
        <f>IF(tblCleanData[[#This Row],[Attrition]]="No", 0,1)</f>
        <v>0</v>
      </c>
      <c r="AM738" s="13">
        <f>IF(tblCleanData[[#This Row],[OverTime]] = "No", 0, 1)</f>
        <v>0</v>
      </c>
      <c r="AN738" s="13" t="str">
        <f>CHOOSE(tblCleanData[[#This Row],[Education]], "Below College","College","Bachelor","Master","Doctor")</f>
        <v>Master</v>
      </c>
      <c r="AO738" s="13" t="str">
        <f>VLOOKUP(tblCleanData[[#This Row],[EmployeeNumber]],tblHelpers[],15,TRUE)</f>
        <v>Low Risk</v>
      </c>
      <c r="AP738" s="13">
        <f>VLOOKUP(tblCleanData[[#This Row],[EmployeeNumber]],tblHelpers[],14,0)</f>
        <v>31</v>
      </c>
    </row>
    <row r="739" spans="1:42" x14ac:dyDescent="0.25">
      <c r="A739" s="13">
        <v>41</v>
      </c>
      <c r="B739" s="13" t="s">
        <v>59</v>
      </c>
      <c r="C739" s="13" t="s">
        <v>37</v>
      </c>
      <c r="D739" s="13">
        <v>549</v>
      </c>
      <c r="E739" s="13" t="s">
        <v>62</v>
      </c>
      <c r="F739" s="13">
        <v>7</v>
      </c>
      <c r="G739" s="13">
        <v>2</v>
      </c>
      <c r="H739" s="13" t="s">
        <v>87</v>
      </c>
      <c r="I739" s="13">
        <v>1</v>
      </c>
      <c r="J739" s="13">
        <v>1025</v>
      </c>
      <c r="K739" s="13">
        <v>4</v>
      </c>
      <c r="L739" s="13" t="s">
        <v>43</v>
      </c>
      <c r="M739" s="13">
        <v>42</v>
      </c>
      <c r="N739" s="13">
        <v>3</v>
      </c>
      <c r="O739" s="13">
        <v>2</v>
      </c>
      <c r="P739" s="13" t="s">
        <v>116</v>
      </c>
      <c r="Q739" s="13">
        <v>3</v>
      </c>
      <c r="R739" s="13" t="s">
        <v>48</v>
      </c>
      <c r="S739" s="20">
        <v>5003</v>
      </c>
      <c r="T739" s="13">
        <v>23371</v>
      </c>
      <c r="U739" s="13">
        <v>6</v>
      </c>
      <c r="V739" s="13" t="s">
        <v>52</v>
      </c>
      <c r="W739" s="13" t="s">
        <v>59</v>
      </c>
      <c r="X739" s="13">
        <v>14</v>
      </c>
      <c r="Y739" s="13">
        <v>3</v>
      </c>
      <c r="Z739" s="13">
        <v>2</v>
      </c>
      <c r="AA739" s="13">
        <v>80</v>
      </c>
      <c r="AB739" s="13">
        <v>0</v>
      </c>
      <c r="AC739" s="13">
        <v>8</v>
      </c>
      <c r="AD739" s="13">
        <v>6</v>
      </c>
      <c r="AE739" s="13">
        <v>3</v>
      </c>
      <c r="AF739" s="14">
        <v>2</v>
      </c>
      <c r="AG739" s="13">
        <v>2</v>
      </c>
      <c r="AH739" s="13">
        <v>2</v>
      </c>
      <c r="AI739" s="13">
        <v>1</v>
      </c>
      <c r="AJ739" s="13" t="str">
        <f t="shared" si="11"/>
        <v>40-49</v>
      </c>
      <c r="AK739" s="13" t="str">
        <f>IF(tblCleanData[[#This Row],[MonthlyIncome]]&lt;5000, "Low Income", IF(tblCleanData[[#This Row],[MonthlyIncome]]&lt;15000, "Medium Income", "High Income"))</f>
        <v>Medium Income</v>
      </c>
      <c r="AL739" s="13">
        <f>IF(tblCleanData[[#This Row],[Attrition]]="No", 0,1)</f>
        <v>0</v>
      </c>
      <c r="AM739" s="13">
        <f>IF(tblCleanData[[#This Row],[OverTime]] = "No", 0, 1)</f>
        <v>0</v>
      </c>
      <c r="AN739" s="13" t="str">
        <f>CHOOSE(tblCleanData[[#This Row],[Education]], "Below College","College","Bachelor","Master","Doctor")</f>
        <v>College</v>
      </c>
      <c r="AO739" s="13" t="str">
        <f>VLOOKUP(tblCleanData[[#This Row],[EmployeeNumber]],tblHelpers[],15,TRUE)</f>
        <v>Medium Risk</v>
      </c>
      <c r="AP739" s="13">
        <f>VLOOKUP(tblCleanData[[#This Row],[EmployeeNumber]],tblHelpers[],14,0)</f>
        <v>53</v>
      </c>
    </row>
    <row r="740" spans="1:42" x14ac:dyDescent="0.25">
      <c r="A740" s="13">
        <v>39</v>
      </c>
      <c r="B740" s="13" t="s">
        <v>59</v>
      </c>
      <c r="C740" s="13" t="s">
        <v>37</v>
      </c>
      <c r="D740" s="13">
        <v>466</v>
      </c>
      <c r="E740" s="13" t="s">
        <v>62</v>
      </c>
      <c r="F740" s="13">
        <v>1</v>
      </c>
      <c r="G740" s="13">
        <v>1</v>
      </c>
      <c r="H740" s="13" t="s">
        <v>42</v>
      </c>
      <c r="I740" s="13">
        <v>1</v>
      </c>
      <c r="J740" s="13">
        <v>1026</v>
      </c>
      <c r="K740" s="13">
        <v>4</v>
      </c>
      <c r="L740" s="13" t="s">
        <v>43</v>
      </c>
      <c r="M740" s="13">
        <v>65</v>
      </c>
      <c r="N740" s="13">
        <v>2</v>
      </c>
      <c r="O740" s="13">
        <v>4</v>
      </c>
      <c r="P740" s="13" t="s">
        <v>116</v>
      </c>
      <c r="Q740" s="13">
        <v>4</v>
      </c>
      <c r="R740" s="13" t="s">
        <v>66</v>
      </c>
      <c r="S740" s="20">
        <v>12742</v>
      </c>
      <c r="T740" s="13">
        <v>7060</v>
      </c>
      <c r="U740" s="13">
        <v>1</v>
      </c>
      <c r="V740" s="13" t="s">
        <v>52</v>
      </c>
      <c r="W740" s="13" t="s">
        <v>59</v>
      </c>
      <c r="X740" s="13">
        <v>16</v>
      </c>
      <c r="Y740" s="13">
        <v>3</v>
      </c>
      <c r="Z740" s="13">
        <v>3</v>
      </c>
      <c r="AA740" s="13">
        <v>80</v>
      </c>
      <c r="AB740" s="13">
        <v>1</v>
      </c>
      <c r="AC740" s="13">
        <v>21</v>
      </c>
      <c r="AD740" s="13">
        <v>3</v>
      </c>
      <c r="AE740" s="13">
        <v>3</v>
      </c>
      <c r="AF740" s="14">
        <v>21</v>
      </c>
      <c r="AG740" s="13">
        <v>6</v>
      </c>
      <c r="AH740" s="13">
        <v>11</v>
      </c>
      <c r="AI740" s="13">
        <v>8</v>
      </c>
      <c r="AJ740" s="13" t="str">
        <f t="shared" si="11"/>
        <v>30-39</v>
      </c>
      <c r="AK740" s="13" t="str">
        <f>IF(tblCleanData[[#This Row],[MonthlyIncome]]&lt;5000, "Low Income", IF(tblCleanData[[#This Row],[MonthlyIncome]]&lt;15000, "Medium Income", "High Income"))</f>
        <v>Medium Income</v>
      </c>
      <c r="AL740" s="13">
        <f>IF(tblCleanData[[#This Row],[Attrition]]="No", 0,1)</f>
        <v>0</v>
      </c>
      <c r="AM740" s="13">
        <f>IF(tblCleanData[[#This Row],[OverTime]] = "No", 0, 1)</f>
        <v>0</v>
      </c>
      <c r="AN740" s="13" t="str">
        <f>CHOOSE(tblCleanData[[#This Row],[Education]], "Below College","College","Bachelor","Master","Doctor")</f>
        <v>Below College</v>
      </c>
      <c r="AO740" s="13" t="str">
        <f>VLOOKUP(tblCleanData[[#This Row],[EmployeeNumber]],tblHelpers[],15,TRUE)</f>
        <v>Low Risk</v>
      </c>
      <c r="AP740" s="13">
        <f>VLOOKUP(tblCleanData[[#This Row],[EmployeeNumber]],tblHelpers[],14,0)</f>
        <v>34</v>
      </c>
    </row>
    <row r="741" spans="1:42" x14ac:dyDescent="0.25">
      <c r="A741" s="13">
        <v>27</v>
      </c>
      <c r="B741" s="13" t="s">
        <v>59</v>
      </c>
      <c r="C741" s="13" t="s">
        <v>37</v>
      </c>
      <c r="D741" s="13">
        <v>1055</v>
      </c>
      <c r="E741" s="13" t="s">
        <v>62</v>
      </c>
      <c r="F741" s="13">
        <v>2</v>
      </c>
      <c r="G741" s="13">
        <v>4</v>
      </c>
      <c r="H741" s="13" t="s">
        <v>42</v>
      </c>
      <c r="I741" s="13">
        <v>1</v>
      </c>
      <c r="J741" s="13">
        <v>1027</v>
      </c>
      <c r="K741" s="13">
        <v>1</v>
      </c>
      <c r="L741" s="13" t="s">
        <v>43</v>
      </c>
      <c r="M741" s="13">
        <v>47</v>
      </c>
      <c r="N741" s="13">
        <v>3</v>
      </c>
      <c r="O741" s="13">
        <v>2</v>
      </c>
      <c r="P741" s="13" t="s">
        <v>116</v>
      </c>
      <c r="Q741" s="13">
        <v>4</v>
      </c>
      <c r="R741" s="13" t="s">
        <v>66</v>
      </c>
      <c r="S741" s="20">
        <v>4227</v>
      </c>
      <c r="T741" s="13">
        <v>4658</v>
      </c>
      <c r="U741" s="13">
        <v>0</v>
      </c>
      <c r="V741" s="13" t="s">
        <v>52</v>
      </c>
      <c r="W741" s="13" t="s">
        <v>59</v>
      </c>
      <c r="X741" s="13">
        <v>18</v>
      </c>
      <c r="Y741" s="13">
        <v>3</v>
      </c>
      <c r="Z741" s="13">
        <v>2</v>
      </c>
      <c r="AA741" s="13">
        <v>80</v>
      </c>
      <c r="AB741" s="13">
        <v>1</v>
      </c>
      <c r="AC741" s="13">
        <v>4</v>
      </c>
      <c r="AD741" s="13">
        <v>2</v>
      </c>
      <c r="AE741" s="13">
        <v>3</v>
      </c>
      <c r="AF741" s="14">
        <v>3</v>
      </c>
      <c r="AG741" s="13">
        <v>2</v>
      </c>
      <c r="AH741" s="13">
        <v>2</v>
      </c>
      <c r="AI741" s="13">
        <v>2</v>
      </c>
      <c r="AJ741" s="13" t="str">
        <f t="shared" si="11"/>
        <v>Under 30</v>
      </c>
      <c r="AK741" s="13" t="str">
        <f>IF(tblCleanData[[#This Row],[MonthlyIncome]]&lt;5000, "Low Income", IF(tblCleanData[[#This Row],[MonthlyIncome]]&lt;15000, "Medium Income", "High Income"))</f>
        <v>Low Income</v>
      </c>
      <c r="AL741" s="13">
        <f>IF(tblCleanData[[#This Row],[Attrition]]="No", 0,1)</f>
        <v>0</v>
      </c>
      <c r="AM741" s="13">
        <f>IF(tblCleanData[[#This Row],[OverTime]] = "No", 0, 1)</f>
        <v>0</v>
      </c>
      <c r="AN741" s="13" t="str">
        <f>CHOOSE(tblCleanData[[#This Row],[Education]], "Below College","College","Bachelor","Master","Doctor")</f>
        <v>Master</v>
      </c>
      <c r="AO741" s="13" t="str">
        <f>VLOOKUP(tblCleanData[[#This Row],[EmployeeNumber]],tblHelpers[],15,TRUE)</f>
        <v>High Risk</v>
      </c>
      <c r="AP741" s="13">
        <f>VLOOKUP(tblCleanData[[#This Row],[EmployeeNumber]],tblHelpers[],14,0)</f>
        <v>56</v>
      </c>
    </row>
    <row r="742" spans="1:42" x14ac:dyDescent="0.25">
      <c r="A742" s="13">
        <v>35</v>
      </c>
      <c r="B742" s="13" t="s">
        <v>59</v>
      </c>
      <c r="C742" s="13" t="s">
        <v>37</v>
      </c>
      <c r="D742" s="13">
        <v>802</v>
      </c>
      <c r="E742" s="13" t="s">
        <v>62</v>
      </c>
      <c r="F742" s="13">
        <v>10</v>
      </c>
      <c r="G742" s="13">
        <v>3</v>
      </c>
      <c r="H742" s="13" t="s">
        <v>74</v>
      </c>
      <c r="I742" s="13">
        <v>1</v>
      </c>
      <c r="J742" s="13">
        <v>1028</v>
      </c>
      <c r="K742" s="13">
        <v>2</v>
      </c>
      <c r="L742" s="13" t="s">
        <v>63</v>
      </c>
      <c r="M742" s="13">
        <v>45</v>
      </c>
      <c r="N742" s="13">
        <v>3</v>
      </c>
      <c r="O742" s="13">
        <v>1</v>
      </c>
      <c r="P742" s="13" t="s">
        <v>76</v>
      </c>
      <c r="Q742" s="13">
        <v>4</v>
      </c>
      <c r="R742" s="13" t="s">
        <v>109</v>
      </c>
      <c r="S742" s="20">
        <v>3917</v>
      </c>
      <c r="T742" s="13">
        <v>9541</v>
      </c>
      <c r="U742" s="13">
        <v>1</v>
      </c>
      <c r="V742" s="13" t="s">
        <v>52</v>
      </c>
      <c r="W742" s="13" t="s">
        <v>59</v>
      </c>
      <c r="X742" s="13">
        <v>20</v>
      </c>
      <c r="Y742" s="13">
        <v>4</v>
      </c>
      <c r="Z742" s="13">
        <v>1</v>
      </c>
      <c r="AA742" s="13">
        <v>80</v>
      </c>
      <c r="AB742" s="13">
        <v>1</v>
      </c>
      <c r="AC742" s="13">
        <v>3</v>
      </c>
      <c r="AD742" s="13">
        <v>4</v>
      </c>
      <c r="AE742" s="13">
        <v>2</v>
      </c>
      <c r="AF742" s="14">
        <v>3</v>
      </c>
      <c r="AG742" s="13">
        <v>2</v>
      </c>
      <c r="AH742" s="13">
        <v>1</v>
      </c>
      <c r="AI742" s="13">
        <v>2</v>
      </c>
      <c r="AJ742" s="13" t="str">
        <f t="shared" si="11"/>
        <v>30-39</v>
      </c>
      <c r="AK742" s="13" t="str">
        <f>IF(tblCleanData[[#This Row],[MonthlyIncome]]&lt;5000, "Low Income", IF(tblCleanData[[#This Row],[MonthlyIncome]]&lt;15000, "Medium Income", "High Income"))</f>
        <v>Low Income</v>
      </c>
      <c r="AL742" s="13">
        <f>IF(tblCleanData[[#This Row],[Attrition]]="No", 0,1)</f>
        <v>0</v>
      </c>
      <c r="AM742" s="13">
        <f>IF(tblCleanData[[#This Row],[OverTime]] = "No", 0, 1)</f>
        <v>0</v>
      </c>
      <c r="AN742" s="13" t="str">
        <f>CHOOSE(tblCleanData[[#This Row],[Education]], "Below College","College","Bachelor","Master","Doctor")</f>
        <v>Bachelor</v>
      </c>
      <c r="AO742" s="13" t="str">
        <f>VLOOKUP(tblCleanData[[#This Row],[EmployeeNumber]],tblHelpers[],15,TRUE)</f>
        <v>Medium Risk</v>
      </c>
      <c r="AP742" s="13">
        <f>VLOOKUP(tblCleanData[[#This Row],[EmployeeNumber]],tblHelpers[],14,0)</f>
        <v>46</v>
      </c>
    </row>
    <row r="743" spans="1:42" x14ac:dyDescent="0.25">
      <c r="A743" s="13">
        <v>42</v>
      </c>
      <c r="B743" s="13" t="s">
        <v>59</v>
      </c>
      <c r="C743" s="13" t="s">
        <v>37</v>
      </c>
      <c r="D743" s="13">
        <v>265</v>
      </c>
      <c r="E743" s="13" t="s">
        <v>39</v>
      </c>
      <c r="F743" s="13">
        <v>5</v>
      </c>
      <c r="G743" s="13">
        <v>2</v>
      </c>
      <c r="H743" s="13" t="s">
        <v>206</v>
      </c>
      <c r="I743" s="13">
        <v>1</v>
      </c>
      <c r="J743" s="13">
        <v>1029</v>
      </c>
      <c r="K743" s="13">
        <v>4</v>
      </c>
      <c r="L743" s="13" t="s">
        <v>63</v>
      </c>
      <c r="M743" s="13">
        <v>90</v>
      </c>
      <c r="N743" s="13">
        <v>3</v>
      </c>
      <c r="O743" s="13">
        <v>5</v>
      </c>
      <c r="P743" s="13" t="s">
        <v>169</v>
      </c>
      <c r="Q743" s="13">
        <v>3</v>
      </c>
      <c r="R743" s="13" t="s">
        <v>66</v>
      </c>
      <c r="S743" s="20">
        <v>18303</v>
      </c>
      <c r="T743" s="13">
        <v>7770</v>
      </c>
      <c r="U743" s="13">
        <v>6</v>
      </c>
      <c r="V743" s="13" t="s">
        <v>52</v>
      </c>
      <c r="W743" s="13" t="s">
        <v>59</v>
      </c>
      <c r="X743" s="13">
        <v>13</v>
      </c>
      <c r="Y743" s="13">
        <v>3</v>
      </c>
      <c r="Z743" s="13">
        <v>2</v>
      </c>
      <c r="AA743" s="13">
        <v>80</v>
      </c>
      <c r="AB743" s="13">
        <v>0</v>
      </c>
      <c r="AC743" s="13">
        <v>21</v>
      </c>
      <c r="AD743" s="13">
        <v>3</v>
      </c>
      <c r="AE743" s="13">
        <v>4</v>
      </c>
      <c r="AF743" s="14">
        <v>1</v>
      </c>
      <c r="AG743" s="13">
        <v>0</v>
      </c>
      <c r="AH743" s="13">
        <v>0</v>
      </c>
      <c r="AI743" s="13">
        <v>0</v>
      </c>
      <c r="AJ743" s="13" t="str">
        <f t="shared" si="11"/>
        <v>40-49</v>
      </c>
      <c r="AK743" s="13" t="str">
        <f>IF(tblCleanData[[#This Row],[MonthlyIncome]]&lt;5000, "Low Income", IF(tblCleanData[[#This Row],[MonthlyIncome]]&lt;15000, "Medium Income", "High Income"))</f>
        <v>High Income</v>
      </c>
      <c r="AL743" s="13">
        <f>IF(tblCleanData[[#This Row],[Attrition]]="No", 0,1)</f>
        <v>0</v>
      </c>
      <c r="AM743" s="13">
        <f>IF(tblCleanData[[#This Row],[OverTime]] = "No", 0, 1)</f>
        <v>0</v>
      </c>
      <c r="AN743" s="13" t="str">
        <f>CHOOSE(tblCleanData[[#This Row],[Education]], "Below College","College","Bachelor","Master","Doctor")</f>
        <v>College</v>
      </c>
      <c r="AO743" s="13" t="str">
        <f>VLOOKUP(tblCleanData[[#This Row],[EmployeeNumber]],tblHelpers[],15,TRUE)</f>
        <v>Medium Risk</v>
      </c>
      <c r="AP743" s="13">
        <f>VLOOKUP(tblCleanData[[#This Row],[EmployeeNumber]],tblHelpers[],14,0)</f>
        <v>53</v>
      </c>
    </row>
    <row r="744" spans="1:42" x14ac:dyDescent="0.25">
      <c r="A744" s="13">
        <v>50</v>
      </c>
      <c r="B744" s="13" t="s">
        <v>59</v>
      </c>
      <c r="C744" s="13" t="s">
        <v>37</v>
      </c>
      <c r="D744" s="13">
        <v>804</v>
      </c>
      <c r="E744" s="13" t="s">
        <v>62</v>
      </c>
      <c r="F744" s="13">
        <v>9</v>
      </c>
      <c r="G744" s="13">
        <v>3</v>
      </c>
      <c r="H744" s="13" t="s">
        <v>42</v>
      </c>
      <c r="I744" s="13">
        <v>1</v>
      </c>
      <c r="J744" s="13">
        <v>1030</v>
      </c>
      <c r="K744" s="13">
        <v>1</v>
      </c>
      <c r="L744" s="13" t="s">
        <v>63</v>
      </c>
      <c r="M744" s="13">
        <v>64</v>
      </c>
      <c r="N744" s="13">
        <v>3</v>
      </c>
      <c r="O744" s="13">
        <v>1</v>
      </c>
      <c r="P744" s="13" t="s">
        <v>76</v>
      </c>
      <c r="Q744" s="13">
        <v>4</v>
      </c>
      <c r="R744" s="13" t="s">
        <v>66</v>
      </c>
      <c r="S744" s="20">
        <v>2380</v>
      </c>
      <c r="T744" s="13">
        <v>20165</v>
      </c>
      <c r="U744" s="13">
        <v>4</v>
      </c>
      <c r="V744" s="13" t="s">
        <v>52</v>
      </c>
      <c r="W744" s="13" t="s">
        <v>59</v>
      </c>
      <c r="X744" s="13">
        <v>18</v>
      </c>
      <c r="Y744" s="13">
        <v>3</v>
      </c>
      <c r="Z744" s="13">
        <v>2</v>
      </c>
      <c r="AA744" s="13">
        <v>80</v>
      </c>
      <c r="AB744" s="13">
        <v>0</v>
      </c>
      <c r="AC744" s="13">
        <v>8</v>
      </c>
      <c r="AD744" s="13">
        <v>5</v>
      </c>
      <c r="AE744" s="13">
        <v>3</v>
      </c>
      <c r="AF744" s="14">
        <v>1</v>
      </c>
      <c r="AG744" s="13">
        <v>0</v>
      </c>
      <c r="AH744" s="13">
        <v>0</v>
      </c>
      <c r="AI744" s="13">
        <v>0</v>
      </c>
      <c r="AJ744" s="13" t="str">
        <f t="shared" si="11"/>
        <v>50+</v>
      </c>
      <c r="AK744" s="13" t="str">
        <f>IF(tblCleanData[[#This Row],[MonthlyIncome]]&lt;5000, "Low Income", IF(tblCleanData[[#This Row],[MonthlyIncome]]&lt;15000, "Medium Income", "High Income"))</f>
        <v>Low Income</v>
      </c>
      <c r="AL744" s="13">
        <f>IF(tblCleanData[[#This Row],[Attrition]]="No", 0,1)</f>
        <v>0</v>
      </c>
      <c r="AM744" s="13">
        <f>IF(tblCleanData[[#This Row],[OverTime]] = "No", 0, 1)</f>
        <v>0</v>
      </c>
      <c r="AN744" s="13" t="str">
        <f>CHOOSE(tblCleanData[[#This Row],[Education]], "Below College","College","Bachelor","Master","Doctor")</f>
        <v>Bachelor</v>
      </c>
      <c r="AO744" s="13" t="str">
        <f>VLOOKUP(tblCleanData[[#This Row],[EmployeeNumber]],tblHelpers[],15,TRUE)</f>
        <v>Medium Risk</v>
      </c>
      <c r="AP744" s="13">
        <f>VLOOKUP(tblCleanData[[#This Row],[EmployeeNumber]],tblHelpers[],14,0)</f>
        <v>51</v>
      </c>
    </row>
    <row r="745" spans="1:42" x14ac:dyDescent="0.25">
      <c r="A745" s="13">
        <v>59</v>
      </c>
      <c r="B745" s="13" t="s">
        <v>59</v>
      </c>
      <c r="C745" s="13" t="s">
        <v>37</v>
      </c>
      <c r="D745" s="13">
        <v>715</v>
      </c>
      <c r="E745" s="13" t="s">
        <v>62</v>
      </c>
      <c r="F745" s="13">
        <v>2</v>
      </c>
      <c r="G745" s="13">
        <v>3</v>
      </c>
      <c r="H745" s="13" t="s">
        <v>42</v>
      </c>
      <c r="I745" s="13">
        <v>1</v>
      </c>
      <c r="J745" s="13">
        <v>1032</v>
      </c>
      <c r="K745" s="13">
        <v>3</v>
      </c>
      <c r="L745" s="13" t="s">
        <v>43</v>
      </c>
      <c r="M745" s="13">
        <v>69</v>
      </c>
      <c r="N745" s="13">
        <v>2</v>
      </c>
      <c r="O745" s="13">
        <v>4</v>
      </c>
      <c r="P745" s="13" t="s">
        <v>116</v>
      </c>
      <c r="Q745" s="13">
        <v>4</v>
      </c>
      <c r="R745" s="13" t="s">
        <v>48</v>
      </c>
      <c r="S745" s="20">
        <v>13726</v>
      </c>
      <c r="T745" s="13">
        <v>21829</v>
      </c>
      <c r="U745" s="13">
        <v>3</v>
      </c>
      <c r="V745" s="13" t="s">
        <v>52</v>
      </c>
      <c r="W745" s="13" t="s">
        <v>36</v>
      </c>
      <c r="X745" s="13">
        <v>13</v>
      </c>
      <c r="Y745" s="13">
        <v>3</v>
      </c>
      <c r="Z745" s="13">
        <v>1</v>
      </c>
      <c r="AA745" s="13">
        <v>80</v>
      </c>
      <c r="AB745" s="13">
        <v>0</v>
      </c>
      <c r="AC745" s="13">
        <v>30</v>
      </c>
      <c r="AD745" s="13">
        <v>4</v>
      </c>
      <c r="AE745" s="13">
        <v>3</v>
      </c>
      <c r="AF745" s="14">
        <v>5</v>
      </c>
      <c r="AG745" s="13">
        <v>3</v>
      </c>
      <c r="AH745" s="13">
        <v>4</v>
      </c>
      <c r="AI745" s="13">
        <v>3</v>
      </c>
      <c r="AJ745" s="13" t="str">
        <f t="shared" si="11"/>
        <v>50+</v>
      </c>
      <c r="AK745" s="13" t="str">
        <f>IF(tblCleanData[[#This Row],[MonthlyIncome]]&lt;5000, "Low Income", IF(tblCleanData[[#This Row],[MonthlyIncome]]&lt;15000, "Medium Income", "High Income"))</f>
        <v>Medium Income</v>
      </c>
      <c r="AL745" s="13">
        <f>IF(tblCleanData[[#This Row],[Attrition]]="No", 0,1)</f>
        <v>0</v>
      </c>
      <c r="AM745" s="13">
        <f>IF(tblCleanData[[#This Row],[OverTime]] = "No", 0, 1)</f>
        <v>1</v>
      </c>
      <c r="AN745" s="13" t="str">
        <f>CHOOSE(tblCleanData[[#This Row],[Education]], "Below College","College","Bachelor","Master","Doctor")</f>
        <v>Bachelor</v>
      </c>
      <c r="AO745" s="13" t="str">
        <f>VLOOKUP(tblCleanData[[#This Row],[EmployeeNumber]],tblHelpers[],15,TRUE)</f>
        <v>High Risk</v>
      </c>
      <c r="AP745" s="13">
        <f>VLOOKUP(tblCleanData[[#This Row],[EmployeeNumber]],tblHelpers[],14,0)</f>
        <v>66</v>
      </c>
    </row>
    <row r="746" spans="1:42" x14ac:dyDescent="0.25">
      <c r="A746" s="13">
        <v>37</v>
      </c>
      <c r="B746" s="13" t="s">
        <v>36</v>
      </c>
      <c r="C746" s="13" t="s">
        <v>37</v>
      </c>
      <c r="D746" s="13">
        <v>1141</v>
      </c>
      <c r="E746" s="13" t="s">
        <v>62</v>
      </c>
      <c r="F746" s="13">
        <v>11</v>
      </c>
      <c r="G746" s="13">
        <v>2</v>
      </c>
      <c r="H746" s="13" t="s">
        <v>87</v>
      </c>
      <c r="I746" s="13">
        <v>1</v>
      </c>
      <c r="J746" s="13">
        <v>1033</v>
      </c>
      <c r="K746" s="13">
        <v>1</v>
      </c>
      <c r="L746" s="13" t="s">
        <v>43</v>
      </c>
      <c r="M746" s="13">
        <v>61</v>
      </c>
      <c r="N746" s="13">
        <v>1</v>
      </c>
      <c r="O746" s="13">
        <v>2</v>
      </c>
      <c r="P746" s="13" t="s">
        <v>122</v>
      </c>
      <c r="Q746" s="13">
        <v>2</v>
      </c>
      <c r="R746" s="13" t="s">
        <v>66</v>
      </c>
      <c r="S746" s="20">
        <v>4777</v>
      </c>
      <c r="T746" s="13">
        <v>14382</v>
      </c>
      <c r="U746" s="13">
        <v>5</v>
      </c>
      <c r="V746" s="13" t="s">
        <v>52</v>
      </c>
      <c r="W746" s="13" t="s">
        <v>59</v>
      </c>
      <c r="X746" s="13">
        <v>15</v>
      </c>
      <c r="Y746" s="13">
        <v>3</v>
      </c>
      <c r="Z746" s="13">
        <v>1</v>
      </c>
      <c r="AA746" s="13">
        <v>80</v>
      </c>
      <c r="AB746" s="13">
        <v>0</v>
      </c>
      <c r="AC746" s="13">
        <v>15</v>
      </c>
      <c r="AD746" s="13">
        <v>2</v>
      </c>
      <c r="AE746" s="13">
        <v>1</v>
      </c>
      <c r="AF746" s="14">
        <v>1</v>
      </c>
      <c r="AG746" s="13">
        <v>0</v>
      </c>
      <c r="AH746" s="13">
        <v>0</v>
      </c>
      <c r="AI746" s="13">
        <v>0</v>
      </c>
      <c r="AJ746" s="13" t="str">
        <f t="shared" si="11"/>
        <v>30-39</v>
      </c>
      <c r="AK746" s="13" t="str">
        <f>IF(tblCleanData[[#This Row],[MonthlyIncome]]&lt;5000, "Low Income", IF(tblCleanData[[#This Row],[MonthlyIncome]]&lt;15000, "Medium Income", "High Income"))</f>
        <v>Low Income</v>
      </c>
      <c r="AL746" s="13">
        <f>IF(tblCleanData[[#This Row],[Attrition]]="No", 0,1)</f>
        <v>1</v>
      </c>
      <c r="AM746" s="13">
        <f>IF(tblCleanData[[#This Row],[OverTime]] = "No", 0, 1)</f>
        <v>0</v>
      </c>
      <c r="AN746" s="13" t="str">
        <f>CHOOSE(tblCleanData[[#This Row],[Education]], "Below College","College","Bachelor","Master","Doctor")</f>
        <v>College</v>
      </c>
      <c r="AO746" s="13" t="str">
        <f>VLOOKUP(tblCleanData[[#This Row],[EmployeeNumber]],tblHelpers[],15,TRUE)</f>
        <v>High Risk</v>
      </c>
      <c r="AP746" s="13">
        <f>VLOOKUP(tblCleanData[[#This Row],[EmployeeNumber]],tblHelpers[],14,0)</f>
        <v>69</v>
      </c>
    </row>
    <row r="747" spans="1:42" x14ac:dyDescent="0.25">
      <c r="A747" s="13">
        <v>55</v>
      </c>
      <c r="B747" s="13" t="s">
        <v>59</v>
      </c>
      <c r="C747" s="13" t="s">
        <v>60</v>
      </c>
      <c r="D747" s="13">
        <v>135</v>
      </c>
      <c r="E747" s="13" t="s">
        <v>62</v>
      </c>
      <c r="F747" s="13">
        <v>18</v>
      </c>
      <c r="G747" s="13">
        <v>4</v>
      </c>
      <c r="H747" s="13" t="s">
        <v>87</v>
      </c>
      <c r="I747" s="13">
        <v>1</v>
      </c>
      <c r="J747" s="13">
        <v>1034</v>
      </c>
      <c r="K747" s="13">
        <v>3</v>
      </c>
      <c r="L747" s="13" t="s">
        <v>63</v>
      </c>
      <c r="M747" s="13">
        <v>62</v>
      </c>
      <c r="N747" s="13">
        <v>3</v>
      </c>
      <c r="O747" s="13">
        <v>2</v>
      </c>
      <c r="P747" s="13" t="s">
        <v>122</v>
      </c>
      <c r="Q747" s="13">
        <v>2</v>
      </c>
      <c r="R747" s="13" t="s">
        <v>66</v>
      </c>
      <c r="S747" s="20">
        <v>6385</v>
      </c>
      <c r="T747" s="13">
        <v>12992</v>
      </c>
      <c r="U747" s="13">
        <v>3</v>
      </c>
      <c r="V747" s="13" t="s">
        <v>52</v>
      </c>
      <c r="W747" s="13" t="s">
        <v>36</v>
      </c>
      <c r="X747" s="13">
        <v>14</v>
      </c>
      <c r="Y747" s="13">
        <v>3</v>
      </c>
      <c r="Z747" s="13">
        <v>4</v>
      </c>
      <c r="AA747" s="13">
        <v>80</v>
      </c>
      <c r="AB747" s="13">
        <v>2</v>
      </c>
      <c r="AC747" s="13">
        <v>17</v>
      </c>
      <c r="AD747" s="13">
        <v>3</v>
      </c>
      <c r="AE747" s="13">
        <v>3</v>
      </c>
      <c r="AF747" s="14">
        <v>8</v>
      </c>
      <c r="AG747" s="13">
        <v>7</v>
      </c>
      <c r="AH747" s="13">
        <v>6</v>
      </c>
      <c r="AI747" s="13">
        <v>7</v>
      </c>
      <c r="AJ747" s="13" t="str">
        <f t="shared" si="11"/>
        <v>50+</v>
      </c>
      <c r="AK747" s="13" t="str">
        <f>IF(tblCleanData[[#This Row],[MonthlyIncome]]&lt;5000, "Low Income", IF(tblCleanData[[#This Row],[MonthlyIncome]]&lt;15000, "Medium Income", "High Income"))</f>
        <v>Medium Income</v>
      </c>
      <c r="AL747" s="13">
        <f>IF(tblCleanData[[#This Row],[Attrition]]="No", 0,1)</f>
        <v>0</v>
      </c>
      <c r="AM747" s="13">
        <f>IF(tblCleanData[[#This Row],[OverTime]] = "No", 0, 1)</f>
        <v>1</v>
      </c>
      <c r="AN747" s="13" t="str">
        <f>CHOOSE(tblCleanData[[#This Row],[Education]], "Below College","College","Bachelor","Master","Doctor")</f>
        <v>Master</v>
      </c>
      <c r="AO747" s="13" t="str">
        <f>VLOOKUP(tblCleanData[[#This Row],[EmployeeNumber]],tblHelpers[],15,TRUE)</f>
        <v>High Risk</v>
      </c>
      <c r="AP747" s="13">
        <f>VLOOKUP(tblCleanData[[#This Row],[EmployeeNumber]],tblHelpers[],14,0)</f>
        <v>72</v>
      </c>
    </row>
    <row r="748" spans="1:42" x14ac:dyDescent="0.25">
      <c r="A748" s="13">
        <v>41</v>
      </c>
      <c r="B748" s="13" t="s">
        <v>59</v>
      </c>
      <c r="C748" s="13" t="s">
        <v>161</v>
      </c>
      <c r="D748" s="13">
        <v>247</v>
      </c>
      <c r="E748" s="13" t="s">
        <v>62</v>
      </c>
      <c r="F748" s="13">
        <v>7</v>
      </c>
      <c r="G748" s="13">
        <v>1</v>
      </c>
      <c r="H748" s="13" t="s">
        <v>42</v>
      </c>
      <c r="I748" s="13">
        <v>1</v>
      </c>
      <c r="J748" s="13">
        <v>1035</v>
      </c>
      <c r="K748" s="13">
        <v>2</v>
      </c>
      <c r="L748" s="13" t="s">
        <v>43</v>
      </c>
      <c r="M748" s="13">
        <v>55</v>
      </c>
      <c r="N748" s="13">
        <v>1</v>
      </c>
      <c r="O748" s="13">
        <v>5</v>
      </c>
      <c r="P748" s="13" t="s">
        <v>186</v>
      </c>
      <c r="Q748" s="13">
        <v>3</v>
      </c>
      <c r="R748" s="13" t="s">
        <v>109</v>
      </c>
      <c r="S748" s="20">
        <v>19973</v>
      </c>
      <c r="T748" s="13">
        <v>20284</v>
      </c>
      <c r="U748" s="13">
        <v>1</v>
      </c>
      <c r="V748" s="13" t="s">
        <v>52</v>
      </c>
      <c r="W748" s="13" t="s">
        <v>59</v>
      </c>
      <c r="X748" s="13">
        <v>22</v>
      </c>
      <c r="Y748" s="13">
        <v>4</v>
      </c>
      <c r="Z748" s="13">
        <v>2</v>
      </c>
      <c r="AA748" s="13">
        <v>80</v>
      </c>
      <c r="AB748" s="13">
        <v>2</v>
      </c>
      <c r="AC748" s="13">
        <v>21</v>
      </c>
      <c r="AD748" s="13">
        <v>3</v>
      </c>
      <c r="AE748" s="13">
        <v>3</v>
      </c>
      <c r="AF748" s="14">
        <v>21</v>
      </c>
      <c r="AG748" s="13">
        <v>16</v>
      </c>
      <c r="AH748" s="13">
        <v>5</v>
      </c>
      <c r="AI748" s="13">
        <v>10</v>
      </c>
      <c r="AJ748" s="13" t="str">
        <f t="shared" si="11"/>
        <v>40-49</v>
      </c>
      <c r="AK748" s="13" t="str">
        <f>IF(tblCleanData[[#This Row],[MonthlyIncome]]&lt;5000, "Low Income", IF(tblCleanData[[#This Row],[MonthlyIncome]]&lt;15000, "Medium Income", "High Income"))</f>
        <v>High Income</v>
      </c>
      <c r="AL748" s="13">
        <f>IF(tblCleanData[[#This Row],[Attrition]]="No", 0,1)</f>
        <v>0</v>
      </c>
      <c r="AM748" s="13">
        <f>IF(tblCleanData[[#This Row],[OverTime]] = "No", 0, 1)</f>
        <v>0</v>
      </c>
      <c r="AN748" s="13" t="str">
        <f>CHOOSE(tblCleanData[[#This Row],[Education]], "Below College","College","Bachelor","Master","Doctor")</f>
        <v>Below College</v>
      </c>
      <c r="AO748" s="13" t="str">
        <f>VLOOKUP(tblCleanData[[#This Row],[EmployeeNumber]],tblHelpers[],15,TRUE)</f>
        <v>Low Risk</v>
      </c>
      <c r="AP748" s="13">
        <f>VLOOKUP(tblCleanData[[#This Row],[EmployeeNumber]],tblHelpers[],14,0)</f>
        <v>31</v>
      </c>
    </row>
    <row r="749" spans="1:42" x14ac:dyDescent="0.25">
      <c r="A749" s="13">
        <v>38</v>
      </c>
      <c r="B749" s="13" t="s">
        <v>59</v>
      </c>
      <c r="C749" s="13" t="s">
        <v>37</v>
      </c>
      <c r="D749" s="13">
        <v>1035</v>
      </c>
      <c r="E749" s="13" t="s">
        <v>39</v>
      </c>
      <c r="F749" s="13">
        <v>3</v>
      </c>
      <c r="G749" s="13">
        <v>4</v>
      </c>
      <c r="H749" s="13" t="s">
        <v>42</v>
      </c>
      <c r="I749" s="13">
        <v>1</v>
      </c>
      <c r="J749" s="13">
        <v>1036</v>
      </c>
      <c r="K749" s="13">
        <v>2</v>
      </c>
      <c r="L749" s="13" t="s">
        <v>63</v>
      </c>
      <c r="M749" s="13">
        <v>42</v>
      </c>
      <c r="N749" s="13">
        <v>3</v>
      </c>
      <c r="O749" s="13">
        <v>2</v>
      </c>
      <c r="P749" s="13" t="s">
        <v>46</v>
      </c>
      <c r="Q749" s="13">
        <v>4</v>
      </c>
      <c r="R749" s="13" t="s">
        <v>48</v>
      </c>
      <c r="S749" s="20">
        <v>6861</v>
      </c>
      <c r="T749" s="13">
        <v>4981</v>
      </c>
      <c r="U749" s="13">
        <v>8</v>
      </c>
      <c r="V749" s="13" t="s">
        <v>52</v>
      </c>
      <c r="W749" s="13" t="s">
        <v>36</v>
      </c>
      <c r="X749" s="13">
        <v>12</v>
      </c>
      <c r="Y749" s="13">
        <v>3</v>
      </c>
      <c r="Z749" s="13">
        <v>3</v>
      </c>
      <c r="AA749" s="13">
        <v>80</v>
      </c>
      <c r="AB749" s="13">
        <v>0</v>
      </c>
      <c r="AC749" s="13">
        <v>19</v>
      </c>
      <c r="AD749" s="13">
        <v>1</v>
      </c>
      <c r="AE749" s="13">
        <v>3</v>
      </c>
      <c r="AF749" s="14">
        <v>1</v>
      </c>
      <c r="AG749" s="13">
        <v>0</v>
      </c>
      <c r="AH749" s="13">
        <v>0</v>
      </c>
      <c r="AI749" s="13">
        <v>0</v>
      </c>
      <c r="AJ749" s="13" t="str">
        <f t="shared" si="11"/>
        <v>30-39</v>
      </c>
      <c r="AK749" s="13" t="str">
        <f>IF(tblCleanData[[#This Row],[MonthlyIncome]]&lt;5000, "Low Income", IF(tblCleanData[[#This Row],[MonthlyIncome]]&lt;15000, "Medium Income", "High Income"))</f>
        <v>Medium Income</v>
      </c>
      <c r="AL749" s="13">
        <f>IF(tblCleanData[[#This Row],[Attrition]]="No", 0,1)</f>
        <v>0</v>
      </c>
      <c r="AM749" s="13">
        <f>IF(tblCleanData[[#This Row],[OverTime]] = "No", 0, 1)</f>
        <v>1</v>
      </c>
      <c r="AN749" s="13" t="str">
        <f>CHOOSE(tblCleanData[[#This Row],[Education]], "Below College","College","Bachelor","Master","Doctor")</f>
        <v>Master</v>
      </c>
      <c r="AO749" s="13" t="str">
        <f>VLOOKUP(tblCleanData[[#This Row],[EmployeeNumber]],tblHelpers[],15,TRUE)</f>
        <v>High Risk</v>
      </c>
      <c r="AP749" s="13">
        <f>VLOOKUP(tblCleanData[[#This Row],[EmployeeNumber]],tblHelpers[],14,0)</f>
        <v>81</v>
      </c>
    </row>
    <row r="750" spans="1:42" x14ac:dyDescent="0.25">
      <c r="A750" s="13">
        <v>26</v>
      </c>
      <c r="B750" s="13" t="s">
        <v>36</v>
      </c>
      <c r="C750" s="13" t="s">
        <v>161</v>
      </c>
      <c r="D750" s="13">
        <v>265</v>
      </c>
      <c r="E750" s="13" t="s">
        <v>39</v>
      </c>
      <c r="F750" s="13">
        <v>29</v>
      </c>
      <c r="G750" s="13">
        <v>2</v>
      </c>
      <c r="H750" s="13" t="s">
        <v>87</v>
      </c>
      <c r="I750" s="13">
        <v>1</v>
      </c>
      <c r="J750" s="13">
        <v>1037</v>
      </c>
      <c r="K750" s="13">
        <v>2</v>
      </c>
      <c r="L750" s="13" t="s">
        <v>63</v>
      </c>
      <c r="M750" s="13">
        <v>79</v>
      </c>
      <c r="N750" s="13">
        <v>1</v>
      </c>
      <c r="O750" s="13">
        <v>2</v>
      </c>
      <c r="P750" s="13" t="s">
        <v>46</v>
      </c>
      <c r="Q750" s="13">
        <v>1</v>
      </c>
      <c r="R750" s="13" t="s">
        <v>48</v>
      </c>
      <c r="S750" s="20">
        <v>4969</v>
      </c>
      <c r="T750" s="13">
        <v>21813</v>
      </c>
      <c r="U750" s="13">
        <v>8</v>
      </c>
      <c r="V750" s="13" t="s">
        <v>52</v>
      </c>
      <c r="W750" s="13" t="s">
        <v>59</v>
      </c>
      <c r="X750" s="13">
        <v>18</v>
      </c>
      <c r="Y750" s="13">
        <v>3</v>
      </c>
      <c r="Z750" s="13">
        <v>4</v>
      </c>
      <c r="AA750" s="13">
        <v>80</v>
      </c>
      <c r="AB750" s="13">
        <v>0</v>
      </c>
      <c r="AC750" s="13">
        <v>7</v>
      </c>
      <c r="AD750" s="13">
        <v>6</v>
      </c>
      <c r="AE750" s="13">
        <v>3</v>
      </c>
      <c r="AF750" s="14">
        <v>2</v>
      </c>
      <c r="AG750" s="13">
        <v>2</v>
      </c>
      <c r="AH750" s="13">
        <v>2</v>
      </c>
      <c r="AI750" s="13">
        <v>2</v>
      </c>
      <c r="AJ750" s="13" t="str">
        <f t="shared" si="11"/>
        <v>Under 30</v>
      </c>
      <c r="AK750" s="13" t="str">
        <f>IF(tblCleanData[[#This Row],[MonthlyIncome]]&lt;5000, "Low Income", IF(tblCleanData[[#This Row],[MonthlyIncome]]&lt;15000, "Medium Income", "High Income"))</f>
        <v>Low Income</v>
      </c>
      <c r="AL750" s="13">
        <f>IF(tblCleanData[[#This Row],[Attrition]]="No", 0,1)</f>
        <v>1</v>
      </c>
      <c r="AM750" s="13">
        <f>IF(tblCleanData[[#This Row],[OverTime]] = "No", 0, 1)</f>
        <v>0</v>
      </c>
      <c r="AN750" s="13" t="str">
        <f>CHOOSE(tblCleanData[[#This Row],[Education]], "Below College","College","Bachelor","Master","Doctor")</f>
        <v>College</v>
      </c>
      <c r="AO750" s="13" t="str">
        <f>VLOOKUP(tblCleanData[[#This Row],[EmployeeNumber]],tblHelpers[],15,TRUE)</f>
        <v>High Risk</v>
      </c>
      <c r="AP750" s="13">
        <f>VLOOKUP(tblCleanData[[#This Row],[EmployeeNumber]],tblHelpers[],14,0)</f>
        <v>85</v>
      </c>
    </row>
    <row r="751" spans="1:42" x14ac:dyDescent="0.25">
      <c r="A751" s="13">
        <v>52</v>
      </c>
      <c r="B751" s="13" t="s">
        <v>36</v>
      </c>
      <c r="C751" s="13" t="s">
        <v>37</v>
      </c>
      <c r="D751" s="13">
        <v>266</v>
      </c>
      <c r="E751" s="13" t="s">
        <v>39</v>
      </c>
      <c r="F751" s="13">
        <v>2</v>
      </c>
      <c r="G751" s="13">
        <v>1</v>
      </c>
      <c r="H751" s="13" t="s">
        <v>206</v>
      </c>
      <c r="I751" s="13">
        <v>1</v>
      </c>
      <c r="J751" s="13">
        <v>1038</v>
      </c>
      <c r="K751" s="13">
        <v>1</v>
      </c>
      <c r="L751" s="13" t="s">
        <v>43</v>
      </c>
      <c r="M751" s="13">
        <v>57</v>
      </c>
      <c r="N751" s="13">
        <v>1</v>
      </c>
      <c r="O751" s="13">
        <v>5</v>
      </c>
      <c r="P751" s="13" t="s">
        <v>169</v>
      </c>
      <c r="Q751" s="13">
        <v>4</v>
      </c>
      <c r="R751" s="13" t="s">
        <v>66</v>
      </c>
      <c r="S751" s="20">
        <v>19845</v>
      </c>
      <c r="T751" s="13">
        <v>25846</v>
      </c>
      <c r="U751" s="13">
        <v>1</v>
      </c>
      <c r="V751" s="13" t="s">
        <v>52</v>
      </c>
      <c r="W751" s="13" t="s">
        <v>59</v>
      </c>
      <c r="X751" s="13">
        <v>15</v>
      </c>
      <c r="Y751" s="13">
        <v>3</v>
      </c>
      <c r="Z751" s="13">
        <v>4</v>
      </c>
      <c r="AA751" s="13">
        <v>80</v>
      </c>
      <c r="AB751" s="13">
        <v>1</v>
      </c>
      <c r="AC751" s="13">
        <v>33</v>
      </c>
      <c r="AD751" s="13">
        <v>3</v>
      </c>
      <c r="AE751" s="13">
        <v>3</v>
      </c>
      <c r="AF751" s="14">
        <v>32</v>
      </c>
      <c r="AG751" s="13">
        <v>14</v>
      </c>
      <c r="AH751" s="13">
        <v>6</v>
      </c>
      <c r="AI751" s="13">
        <v>9</v>
      </c>
      <c r="AJ751" s="13" t="str">
        <f t="shared" si="11"/>
        <v>50+</v>
      </c>
      <c r="AK751" s="13" t="str">
        <f>IF(tblCleanData[[#This Row],[MonthlyIncome]]&lt;5000, "Low Income", IF(tblCleanData[[#This Row],[MonthlyIncome]]&lt;15000, "Medium Income", "High Income"))</f>
        <v>High Income</v>
      </c>
      <c r="AL751" s="13">
        <f>IF(tblCleanData[[#This Row],[Attrition]]="No", 0,1)</f>
        <v>1</v>
      </c>
      <c r="AM751" s="13">
        <f>IF(tblCleanData[[#This Row],[OverTime]] = "No", 0, 1)</f>
        <v>0</v>
      </c>
      <c r="AN751" s="13" t="str">
        <f>CHOOSE(tblCleanData[[#This Row],[Education]], "Below College","College","Bachelor","Master","Doctor")</f>
        <v>Below College</v>
      </c>
      <c r="AO751" s="13" t="str">
        <f>VLOOKUP(tblCleanData[[#This Row],[EmployeeNumber]],tblHelpers[],15,TRUE)</f>
        <v>Low Risk</v>
      </c>
      <c r="AP751" s="13">
        <f>VLOOKUP(tblCleanData[[#This Row],[EmployeeNumber]],tblHelpers[],14,0)</f>
        <v>29</v>
      </c>
    </row>
    <row r="752" spans="1:42" x14ac:dyDescent="0.25">
      <c r="A752" s="13">
        <v>44</v>
      </c>
      <c r="B752" s="13" t="s">
        <v>59</v>
      </c>
      <c r="C752" s="13" t="s">
        <v>37</v>
      </c>
      <c r="D752" s="13">
        <v>1448</v>
      </c>
      <c r="E752" s="13" t="s">
        <v>39</v>
      </c>
      <c r="F752" s="13">
        <v>28</v>
      </c>
      <c r="G752" s="13">
        <v>3</v>
      </c>
      <c r="H752" s="13" t="s">
        <v>87</v>
      </c>
      <c r="I752" s="13">
        <v>1</v>
      </c>
      <c r="J752" s="13">
        <v>1039</v>
      </c>
      <c r="K752" s="13">
        <v>4</v>
      </c>
      <c r="L752" s="13" t="s">
        <v>43</v>
      </c>
      <c r="M752" s="13">
        <v>53</v>
      </c>
      <c r="N752" s="13">
        <v>4</v>
      </c>
      <c r="O752" s="13">
        <v>4</v>
      </c>
      <c r="P752" s="13" t="s">
        <v>46</v>
      </c>
      <c r="Q752" s="13">
        <v>4</v>
      </c>
      <c r="R752" s="13" t="s">
        <v>66</v>
      </c>
      <c r="S752" s="20">
        <v>13320</v>
      </c>
      <c r="T752" s="13">
        <v>11737</v>
      </c>
      <c r="U752" s="13">
        <v>3</v>
      </c>
      <c r="V752" s="13" t="s">
        <v>52</v>
      </c>
      <c r="W752" s="13" t="s">
        <v>36</v>
      </c>
      <c r="X752" s="13">
        <v>18</v>
      </c>
      <c r="Y752" s="13">
        <v>3</v>
      </c>
      <c r="Z752" s="13">
        <v>3</v>
      </c>
      <c r="AA752" s="13">
        <v>80</v>
      </c>
      <c r="AB752" s="13">
        <v>1</v>
      </c>
      <c r="AC752" s="13">
        <v>23</v>
      </c>
      <c r="AD752" s="13">
        <v>2</v>
      </c>
      <c r="AE752" s="13">
        <v>3</v>
      </c>
      <c r="AF752" s="14">
        <v>12</v>
      </c>
      <c r="AG752" s="13">
        <v>11</v>
      </c>
      <c r="AH752" s="13">
        <v>11</v>
      </c>
      <c r="AI752" s="13">
        <v>11</v>
      </c>
      <c r="AJ752" s="13" t="str">
        <f t="shared" si="11"/>
        <v>40-49</v>
      </c>
      <c r="AK752" s="13" t="str">
        <f>IF(tblCleanData[[#This Row],[MonthlyIncome]]&lt;5000, "Low Income", IF(tblCleanData[[#This Row],[MonthlyIncome]]&lt;15000, "Medium Income", "High Income"))</f>
        <v>Medium Income</v>
      </c>
      <c r="AL752" s="13">
        <f>IF(tblCleanData[[#This Row],[Attrition]]="No", 0,1)</f>
        <v>0</v>
      </c>
      <c r="AM752" s="13">
        <f>IF(tblCleanData[[#This Row],[OverTime]] = "No", 0, 1)</f>
        <v>1</v>
      </c>
      <c r="AN752" s="13" t="str">
        <f>CHOOSE(tblCleanData[[#This Row],[Education]], "Below College","College","Bachelor","Master","Doctor")</f>
        <v>Bachelor</v>
      </c>
      <c r="AO752" s="13" t="str">
        <f>VLOOKUP(tblCleanData[[#This Row],[EmployeeNumber]],tblHelpers[],15,TRUE)</f>
        <v>Medium Risk</v>
      </c>
      <c r="AP752" s="13">
        <f>VLOOKUP(tblCleanData[[#This Row],[EmployeeNumber]],tblHelpers[],14,0)</f>
        <v>49</v>
      </c>
    </row>
    <row r="753" spans="1:42" x14ac:dyDescent="0.25">
      <c r="A753" s="13">
        <v>50</v>
      </c>
      <c r="B753" s="13" t="s">
        <v>59</v>
      </c>
      <c r="C753" s="13" t="s">
        <v>161</v>
      </c>
      <c r="D753" s="13">
        <v>145</v>
      </c>
      <c r="E753" s="13" t="s">
        <v>39</v>
      </c>
      <c r="F753" s="13">
        <v>1</v>
      </c>
      <c r="G753" s="13">
        <v>3</v>
      </c>
      <c r="H753" s="13" t="s">
        <v>42</v>
      </c>
      <c r="I753" s="13">
        <v>1</v>
      </c>
      <c r="J753" s="13">
        <v>1040</v>
      </c>
      <c r="K753" s="13">
        <v>4</v>
      </c>
      <c r="L753" s="13" t="s">
        <v>43</v>
      </c>
      <c r="M753" s="13">
        <v>95</v>
      </c>
      <c r="N753" s="13">
        <v>3</v>
      </c>
      <c r="O753" s="13">
        <v>2</v>
      </c>
      <c r="P753" s="13" t="s">
        <v>46</v>
      </c>
      <c r="Q753" s="13">
        <v>3</v>
      </c>
      <c r="R753" s="13" t="s">
        <v>66</v>
      </c>
      <c r="S753" s="20">
        <v>6347</v>
      </c>
      <c r="T753" s="13">
        <v>24920</v>
      </c>
      <c r="U753" s="13">
        <v>0</v>
      </c>
      <c r="V753" s="13" t="s">
        <v>52</v>
      </c>
      <c r="W753" s="13" t="s">
        <v>59</v>
      </c>
      <c r="X753" s="13">
        <v>12</v>
      </c>
      <c r="Y753" s="13">
        <v>3</v>
      </c>
      <c r="Z753" s="13">
        <v>1</v>
      </c>
      <c r="AA753" s="13">
        <v>80</v>
      </c>
      <c r="AB753" s="13">
        <v>1</v>
      </c>
      <c r="AC753" s="13">
        <v>19</v>
      </c>
      <c r="AD753" s="13">
        <v>3</v>
      </c>
      <c r="AE753" s="13">
        <v>3</v>
      </c>
      <c r="AF753" s="14">
        <v>18</v>
      </c>
      <c r="AG753" s="13">
        <v>7</v>
      </c>
      <c r="AH753" s="13">
        <v>0</v>
      </c>
      <c r="AI753" s="13">
        <v>13</v>
      </c>
      <c r="AJ753" s="13" t="str">
        <f t="shared" si="11"/>
        <v>50+</v>
      </c>
      <c r="AK753" s="13" t="str">
        <f>IF(tblCleanData[[#This Row],[MonthlyIncome]]&lt;5000, "Low Income", IF(tblCleanData[[#This Row],[MonthlyIncome]]&lt;15000, "Medium Income", "High Income"))</f>
        <v>Medium Income</v>
      </c>
      <c r="AL753" s="13">
        <f>IF(tblCleanData[[#This Row],[Attrition]]="No", 0,1)</f>
        <v>0</v>
      </c>
      <c r="AM753" s="13">
        <f>IF(tblCleanData[[#This Row],[OverTime]] = "No", 0, 1)</f>
        <v>0</v>
      </c>
      <c r="AN753" s="13" t="str">
        <f>CHOOSE(tblCleanData[[#This Row],[Education]], "Below College","College","Bachelor","Master","Doctor")</f>
        <v>Bachelor</v>
      </c>
      <c r="AO753" s="13" t="str">
        <f>VLOOKUP(tblCleanData[[#This Row],[EmployeeNumber]],tblHelpers[],15,TRUE)</f>
        <v>Medium Risk</v>
      </c>
      <c r="AP753" s="13">
        <f>VLOOKUP(tblCleanData[[#This Row],[EmployeeNumber]],tblHelpers[],14,0)</f>
        <v>36</v>
      </c>
    </row>
    <row r="754" spans="1:42" x14ac:dyDescent="0.25">
      <c r="A754" s="13">
        <v>36</v>
      </c>
      <c r="B754" s="13" t="s">
        <v>36</v>
      </c>
      <c r="C754" s="13" t="s">
        <v>37</v>
      </c>
      <c r="D754" s="13">
        <v>885</v>
      </c>
      <c r="E754" s="13" t="s">
        <v>62</v>
      </c>
      <c r="F754" s="13">
        <v>16</v>
      </c>
      <c r="G754" s="13">
        <v>4</v>
      </c>
      <c r="H754" s="13" t="s">
        <v>42</v>
      </c>
      <c r="I754" s="13">
        <v>1</v>
      </c>
      <c r="J754" s="13">
        <v>1042</v>
      </c>
      <c r="K754" s="13">
        <v>3</v>
      </c>
      <c r="L754" s="13" t="s">
        <v>43</v>
      </c>
      <c r="M754" s="13">
        <v>43</v>
      </c>
      <c r="N754" s="13">
        <v>4</v>
      </c>
      <c r="O754" s="13">
        <v>1</v>
      </c>
      <c r="P754" s="13" t="s">
        <v>76</v>
      </c>
      <c r="Q754" s="13">
        <v>1</v>
      </c>
      <c r="R754" s="13" t="s">
        <v>48</v>
      </c>
      <c r="S754" s="20">
        <v>2743</v>
      </c>
      <c r="T754" s="13">
        <v>8269</v>
      </c>
      <c r="U754" s="13">
        <v>1</v>
      </c>
      <c r="V754" s="13" t="s">
        <v>52</v>
      </c>
      <c r="W754" s="13" t="s">
        <v>59</v>
      </c>
      <c r="X754" s="13">
        <v>16</v>
      </c>
      <c r="Y754" s="13">
        <v>3</v>
      </c>
      <c r="Z754" s="13">
        <v>3</v>
      </c>
      <c r="AA754" s="13">
        <v>80</v>
      </c>
      <c r="AB754" s="13">
        <v>0</v>
      </c>
      <c r="AC754" s="13">
        <v>18</v>
      </c>
      <c r="AD754" s="13">
        <v>1</v>
      </c>
      <c r="AE754" s="13">
        <v>3</v>
      </c>
      <c r="AF754" s="14">
        <v>17</v>
      </c>
      <c r="AG754" s="13">
        <v>13</v>
      </c>
      <c r="AH754" s="13">
        <v>15</v>
      </c>
      <c r="AI754" s="13">
        <v>14</v>
      </c>
      <c r="AJ754" s="13" t="str">
        <f t="shared" si="11"/>
        <v>30-39</v>
      </c>
      <c r="AK754" s="13" t="str">
        <f>IF(tblCleanData[[#This Row],[MonthlyIncome]]&lt;5000, "Low Income", IF(tblCleanData[[#This Row],[MonthlyIncome]]&lt;15000, "Medium Income", "High Income"))</f>
        <v>Low Income</v>
      </c>
      <c r="AL754" s="13">
        <f>IF(tblCleanData[[#This Row],[Attrition]]="No", 0,1)</f>
        <v>1</v>
      </c>
      <c r="AM754" s="13">
        <f>IF(tblCleanData[[#This Row],[OverTime]] = "No", 0, 1)</f>
        <v>0</v>
      </c>
      <c r="AN754" s="13" t="str">
        <f>CHOOSE(tblCleanData[[#This Row],[Education]], "Below College","College","Bachelor","Master","Doctor")</f>
        <v>Master</v>
      </c>
      <c r="AO754" s="13" t="str">
        <f>VLOOKUP(tblCleanData[[#This Row],[EmployeeNumber]],tblHelpers[],15,TRUE)</f>
        <v>Medium Risk</v>
      </c>
      <c r="AP754" s="13">
        <f>VLOOKUP(tblCleanData[[#This Row],[EmployeeNumber]],tblHelpers[],14,0)</f>
        <v>53</v>
      </c>
    </row>
    <row r="755" spans="1:42" x14ac:dyDescent="0.25">
      <c r="A755" s="13">
        <v>39</v>
      </c>
      <c r="B755" s="13" t="s">
        <v>59</v>
      </c>
      <c r="C755" s="13" t="s">
        <v>60</v>
      </c>
      <c r="D755" s="13">
        <v>945</v>
      </c>
      <c r="E755" s="13" t="s">
        <v>62</v>
      </c>
      <c r="F755" s="13">
        <v>22</v>
      </c>
      <c r="G755" s="13">
        <v>3</v>
      </c>
      <c r="H755" s="13" t="s">
        <v>87</v>
      </c>
      <c r="I755" s="13">
        <v>1</v>
      </c>
      <c r="J755" s="13">
        <v>1043</v>
      </c>
      <c r="K755" s="13">
        <v>4</v>
      </c>
      <c r="L755" s="13" t="s">
        <v>43</v>
      </c>
      <c r="M755" s="13">
        <v>82</v>
      </c>
      <c r="N755" s="13">
        <v>3</v>
      </c>
      <c r="O755" s="13">
        <v>3</v>
      </c>
      <c r="P755" s="13" t="s">
        <v>116</v>
      </c>
      <c r="Q755" s="13">
        <v>1</v>
      </c>
      <c r="R755" s="13" t="s">
        <v>48</v>
      </c>
      <c r="S755" s="20">
        <v>10880</v>
      </c>
      <c r="T755" s="13">
        <v>5083</v>
      </c>
      <c r="U755" s="13">
        <v>1</v>
      </c>
      <c r="V755" s="13" t="s">
        <v>52</v>
      </c>
      <c r="W755" s="13" t="s">
        <v>36</v>
      </c>
      <c r="X755" s="13">
        <v>13</v>
      </c>
      <c r="Y755" s="13">
        <v>3</v>
      </c>
      <c r="Z755" s="13">
        <v>3</v>
      </c>
      <c r="AA755" s="13">
        <v>80</v>
      </c>
      <c r="AB755" s="13">
        <v>0</v>
      </c>
      <c r="AC755" s="13">
        <v>21</v>
      </c>
      <c r="AD755" s="13">
        <v>2</v>
      </c>
      <c r="AE755" s="13">
        <v>3</v>
      </c>
      <c r="AF755" s="14">
        <v>21</v>
      </c>
      <c r="AG755" s="13">
        <v>6</v>
      </c>
      <c r="AH755" s="13">
        <v>2</v>
      </c>
      <c r="AI755" s="13">
        <v>8</v>
      </c>
      <c r="AJ755" s="13" t="str">
        <f t="shared" si="11"/>
        <v>30-39</v>
      </c>
      <c r="AK755" s="13" t="str">
        <f>IF(tblCleanData[[#This Row],[MonthlyIncome]]&lt;5000, "Low Income", IF(tblCleanData[[#This Row],[MonthlyIncome]]&lt;15000, "Medium Income", "High Income"))</f>
        <v>Medium Income</v>
      </c>
      <c r="AL755" s="13">
        <f>IF(tblCleanData[[#This Row],[Attrition]]="No", 0,1)</f>
        <v>0</v>
      </c>
      <c r="AM755" s="13">
        <f>IF(tblCleanData[[#This Row],[OverTime]] = "No", 0, 1)</f>
        <v>1</v>
      </c>
      <c r="AN755" s="13" t="str">
        <f>CHOOSE(tblCleanData[[#This Row],[Education]], "Below College","College","Bachelor","Master","Doctor")</f>
        <v>Bachelor</v>
      </c>
      <c r="AO755" s="13" t="str">
        <f>VLOOKUP(tblCleanData[[#This Row],[EmployeeNumber]],tblHelpers[],15,TRUE)</f>
        <v>High Risk</v>
      </c>
      <c r="AP755" s="13">
        <f>VLOOKUP(tblCleanData[[#This Row],[EmployeeNumber]],tblHelpers[],14,0)</f>
        <v>78</v>
      </c>
    </row>
    <row r="756" spans="1:42" x14ac:dyDescent="0.25">
      <c r="A756" s="13">
        <v>33</v>
      </c>
      <c r="B756" s="13" t="s">
        <v>59</v>
      </c>
      <c r="C756" s="13" t="s">
        <v>161</v>
      </c>
      <c r="D756" s="13">
        <v>1038</v>
      </c>
      <c r="E756" s="13" t="s">
        <v>39</v>
      </c>
      <c r="F756" s="13">
        <v>8</v>
      </c>
      <c r="G756" s="13">
        <v>1</v>
      </c>
      <c r="H756" s="13" t="s">
        <v>42</v>
      </c>
      <c r="I756" s="13">
        <v>1</v>
      </c>
      <c r="J756" s="13">
        <v>1044</v>
      </c>
      <c r="K756" s="13">
        <v>2</v>
      </c>
      <c r="L756" s="13" t="s">
        <v>43</v>
      </c>
      <c r="M756" s="13">
        <v>88</v>
      </c>
      <c r="N756" s="13">
        <v>2</v>
      </c>
      <c r="O756" s="13">
        <v>1</v>
      </c>
      <c r="P756" s="13" t="s">
        <v>182</v>
      </c>
      <c r="Q756" s="13">
        <v>4</v>
      </c>
      <c r="R756" s="13" t="s">
        <v>48</v>
      </c>
      <c r="S756" s="20">
        <v>2342</v>
      </c>
      <c r="T756" s="13">
        <v>21437</v>
      </c>
      <c r="U756" s="13">
        <v>0</v>
      </c>
      <c r="V756" s="13" t="s">
        <v>52</v>
      </c>
      <c r="W756" s="13" t="s">
        <v>59</v>
      </c>
      <c r="X756" s="13">
        <v>19</v>
      </c>
      <c r="Y756" s="13">
        <v>3</v>
      </c>
      <c r="Z756" s="13">
        <v>4</v>
      </c>
      <c r="AA756" s="13">
        <v>80</v>
      </c>
      <c r="AB756" s="13">
        <v>0</v>
      </c>
      <c r="AC756" s="13">
        <v>3</v>
      </c>
      <c r="AD756" s="13">
        <v>2</v>
      </c>
      <c r="AE756" s="13">
        <v>2</v>
      </c>
      <c r="AF756" s="14">
        <v>2</v>
      </c>
      <c r="AG756" s="13">
        <v>2</v>
      </c>
      <c r="AH756" s="13">
        <v>2</v>
      </c>
      <c r="AI756" s="13">
        <v>2</v>
      </c>
      <c r="AJ756" s="13" t="str">
        <f t="shared" si="11"/>
        <v>30-39</v>
      </c>
      <c r="AK756" s="13" t="str">
        <f>IF(tblCleanData[[#This Row],[MonthlyIncome]]&lt;5000, "Low Income", IF(tblCleanData[[#This Row],[MonthlyIncome]]&lt;15000, "Medium Income", "High Income"))</f>
        <v>Low Income</v>
      </c>
      <c r="AL756" s="13">
        <f>IF(tblCleanData[[#This Row],[Attrition]]="No", 0,1)</f>
        <v>0</v>
      </c>
      <c r="AM756" s="13">
        <f>IF(tblCleanData[[#This Row],[OverTime]] = "No", 0, 1)</f>
        <v>0</v>
      </c>
      <c r="AN756" s="13" t="str">
        <f>CHOOSE(tblCleanData[[#This Row],[Education]], "Below College","College","Bachelor","Master","Doctor")</f>
        <v>Below College</v>
      </c>
      <c r="AO756" s="13" t="str">
        <f>VLOOKUP(tblCleanData[[#This Row],[EmployeeNumber]],tblHelpers[],15,TRUE)</f>
        <v>High Risk</v>
      </c>
      <c r="AP756" s="13">
        <f>VLOOKUP(tblCleanData[[#This Row],[EmployeeNumber]],tblHelpers[],14,0)</f>
        <v>56</v>
      </c>
    </row>
    <row r="757" spans="1:42" x14ac:dyDescent="0.25">
      <c r="A757" s="13">
        <v>45</v>
      </c>
      <c r="B757" s="13" t="s">
        <v>59</v>
      </c>
      <c r="C757" s="13" t="s">
        <v>37</v>
      </c>
      <c r="D757" s="13">
        <v>1234</v>
      </c>
      <c r="E757" s="13" t="s">
        <v>39</v>
      </c>
      <c r="F757" s="13">
        <v>11</v>
      </c>
      <c r="G757" s="13">
        <v>2</v>
      </c>
      <c r="H757" s="13" t="s">
        <v>42</v>
      </c>
      <c r="I757" s="13">
        <v>1</v>
      </c>
      <c r="J757" s="13">
        <v>1045</v>
      </c>
      <c r="K757" s="13">
        <v>4</v>
      </c>
      <c r="L757" s="13" t="s">
        <v>43</v>
      </c>
      <c r="M757" s="13">
        <v>90</v>
      </c>
      <c r="N757" s="13">
        <v>3</v>
      </c>
      <c r="O757" s="13">
        <v>4</v>
      </c>
      <c r="P757" s="13" t="s">
        <v>169</v>
      </c>
      <c r="Q757" s="13">
        <v>4</v>
      </c>
      <c r="R757" s="13" t="s">
        <v>66</v>
      </c>
      <c r="S757" s="20">
        <v>17650</v>
      </c>
      <c r="T757" s="13">
        <v>5404</v>
      </c>
      <c r="U757" s="13">
        <v>3</v>
      </c>
      <c r="V757" s="13" t="s">
        <v>52</v>
      </c>
      <c r="W757" s="13" t="s">
        <v>59</v>
      </c>
      <c r="X757" s="13">
        <v>13</v>
      </c>
      <c r="Y757" s="13">
        <v>3</v>
      </c>
      <c r="Z757" s="13">
        <v>2</v>
      </c>
      <c r="AA757" s="13">
        <v>80</v>
      </c>
      <c r="AB757" s="13">
        <v>1</v>
      </c>
      <c r="AC757" s="13">
        <v>26</v>
      </c>
      <c r="AD757" s="13">
        <v>4</v>
      </c>
      <c r="AE757" s="13">
        <v>4</v>
      </c>
      <c r="AF757" s="14">
        <v>9</v>
      </c>
      <c r="AG757" s="13">
        <v>3</v>
      </c>
      <c r="AH757" s="13">
        <v>1</v>
      </c>
      <c r="AI757" s="13">
        <v>1</v>
      </c>
      <c r="AJ757" s="13" t="str">
        <f t="shared" si="11"/>
        <v>40-49</v>
      </c>
      <c r="AK757" s="13" t="str">
        <f>IF(tblCleanData[[#This Row],[MonthlyIncome]]&lt;5000, "Low Income", IF(tblCleanData[[#This Row],[MonthlyIncome]]&lt;15000, "Medium Income", "High Income"))</f>
        <v>High Income</v>
      </c>
      <c r="AL757" s="13">
        <f>IF(tblCleanData[[#This Row],[Attrition]]="No", 0,1)</f>
        <v>0</v>
      </c>
      <c r="AM757" s="13">
        <f>IF(tblCleanData[[#This Row],[OverTime]] = "No", 0, 1)</f>
        <v>0</v>
      </c>
      <c r="AN757" s="13" t="str">
        <f>CHOOSE(tblCleanData[[#This Row],[Education]], "Below College","College","Bachelor","Master","Doctor")</f>
        <v>College</v>
      </c>
      <c r="AO757" s="13" t="str">
        <f>VLOOKUP(tblCleanData[[#This Row],[EmployeeNumber]],tblHelpers[],15,TRUE)</f>
        <v>Low Risk</v>
      </c>
      <c r="AP757" s="13">
        <f>VLOOKUP(tblCleanData[[#This Row],[EmployeeNumber]],tblHelpers[],14,0)</f>
        <v>29</v>
      </c>
    </row>
    <row r="758" spans="1:42" x14ac:dyDescent="0.25">
      <c r="A758" s="13">
        <v>32</v>
      </c>
      <c r="B758" s="13" t="s">
        <v>59</v>
      </c>
      <c r="C758" s="13" t="s">
        <v>161</v>
      </c>
      <c r="D758" s="13">
        <v>1109</v>
      </c>
      <c r="E758" s="13" t="s">
        <v>62</v>
      </c>
      <c r="F758" s="13">
        <v>29</v>
      </c>
      <c r="G758" s="13">
        <v>4</v>
      </c>
      <c r="H758" s="13" t="s">
        <v>87</v>
      </c>
      <c r="I758" s="13">
        <v>1</v>
      </c>
      <c r="J758" s="13">
        <v>1046</v>
      </c>
      <c r="K758" s="13">
        <v>4</v>
      </c>
      <c r="L758" s="13" t="s">
        <v>43</v>
      </c>
      <c r="M758" s="13">
        <v>69</v>
      </c>
      <c r="N758" s="13">
        <v>3</v>
      </c>
      <c r="O758" s="13">
        <v>1</v>
      </c>
      <c r="P758" s="13" t="s">
        <v>76</v>
      </c>
      <c r="Q758" s="13">
        <v>3</v>
      </c>
      <c r="R758" s="13" t="s">
        <v>48</v>
      </c>
      <c r="S758" s="20">
        <v>4025</v>
      </c>
      <c r="T758" s="13">
        <v>11135</v>
      </c>
      <c r="U758" s="13">
        <v>9</v>
      </c>
      <c r="V758" s="13" t="s">
        <v>52</v>
      </c>
      <c r="W758" s="13" t="s">
        <v>59</v>
      </c>
      <c r="X758" s="13">
        <v>12</v>
      </c>
      <c r="Y758" s="13">
        <v>3</v>
      </c>
      <c r="Z758" s="13">
        <v>2</v>
      </c>
      <c r="AA758" s="13">
        <v>80</v>
      </c>
      <c r="AB758" s="13">
        <v>0</v>
      </c>
      <c r="AC758" s="13">
        <v>10</v>
      </c>
      <c r="AD758" s="13">
        <v>2</v>
      </c>
      <c r="AE758" s="13">
        <v>3</v>
      </c>
      <c r="AF758" s="14">
        <v>8</v>
      </c>
      <c r="AG758" s="13">
        <v>7</v>
      </c>
      <c r="AH758" s="13">
        <v>7</v>
      </c>
      <c r="AI758" s="13">
        <v>7</v>
      </c>
      <c r="AJ758" s="13" t="str">
        <f t="shared" si="11"/>
        <v>30-39</v>
      </c>
      <c r="AK758" s="13" t="str">
        <f>IF(tblCleanData[[#This Row],[MonthlyIncome]]&lt;5000, "Low Income", IF(tblCleanData[[#This Row],[MonthlyIncome]]&lt;15000, "Medium Income", "High Income"))</f>
        <v>Low Income</v>
      </c>
      <c r="AL758" s="13">
        <f>IF(tblCleanData[[#This Row],[Attrition]]="No", 0,1)</f>
        <v>0</v>
      </c>
      <c r="AM758" s="13">
        <f>IF(tblCleanData[[#This Row],[OverTime]] = "No", 0, 1)</f>
        <v>0</v>
      </c>
      <c r="AN758" s="13" t="str">
        <f>CHOOSE(tblCleanData[[#This Row],[Education]], "Below College","College","Bachelor","Master","Doctor")</f>
        <v>Master</v>
      </c>
      <c r="AO758" s="13" t="str">
        <f>VLOOKUP(tblCleanData[[#This Row],[EmployeeNumber]],tblHelpers[],15,TRUE)</f>
        <v>Medium Risk</v>
      </c>
      <c r="AP758" s="13">
        <f>VLOOKUP(tblCleanData[[#This Row],[EmployeeNumber]],tblHelpers[],14,0)</f>
        <v>46</v>
      </c>
    </row>
    <row r="759" spans="1:42" x14ac:dyDescent="0.25">
      <c r="A759" s="13">
        <v>34</v>
      </c>
      <c r="B759" s="13" t="s">
        <v>59</v>
      </c>
      <c r="C759" s="13" t="s">
        <v>37</v>
      </c>
      <c r="D759" s="13">
        <v>216</v>
      </c>
      <c r="E759" s="13" t="s">
        <v>39</v>
      </c>
      <c r="F759" s="13">
        <v>1</v>
      </c>
      <c r="G759" s="13">
        <v>4</v>
      </c>
      <c r="H759" s="13" t="s">
        <v>206</v>
      </c>
      <c r="I759" s="13">
        <v>1</v>
      </c>
      <c r="J759" s="13">
        <v>1047</v>
      </c>
      <c r="K759" s="13">
        <v>2</v>
      </c>
      <c r="L759" s="13" t="s">
        <v>63</v>
      </c>
      <c r="M759" s="13">
        <v>75</v>
      </c>
      <c r="N759" s="13">
        <v>4</v>
      </c>
      <c r="O759" s="13">
        <v>2</v>
      </c>
      <c r="P759" s="13" t="s">
        <v>46</v>
      </c>
      <c r="Q759" s="13">
        <v>4</v>
      </c>
      <c r="R759" s="13" t="s">
        <v>109</v>
      </c>
      <c r="S759" s="20">
        <v>9725</v>
      </c>
      <c r="T759" s="13">
        <v>12278</v>
      </c>
      <c r="U759" s="13">
        <v>0</v>
      </c>
      <c r="V759" s="13" t="s">
        <v>52</v>
      </c>
      <c r="W759" s="13" t="s">
        <v>59</v>
      </c>
      <c r="X759" s="13">
        <v>11</v>
      </c>
      <c r="Y759" s="13">
        <v>3</v>
      </c>
      <c r="Z759" s="13">
        <v>4</v>
      </c>
      <c r="AA759" s="13">
        <v>80</v>
      </c>
      <c r="AB759" s="13">
        <v>1</v>
      </c>
      <c r="AC759" s="13">
        <v>16</v>
      </c>
      <c r="AD759" s="13">
        <v>2</v>
      </c>
      <c r="AE759" s="13">
        <v>2</v>
      </c>
      <c r="AF759" s="14">
        <v>15</v>
      </c>
      <c r="AG759" s="13">
        <v>1</v>
      </c>
      <c r="AH759" s="13">
        <v>0</v>
      </c>
      <c r="AI759" s="13">
        <v>9</v>
      </c>
      <c r="AJ759" s="13" t="str">
        <f t="shared" si="11"/>
        <v>30-39</v>
      </c>
      <c r="AK759" s="13" t="str">
        <f>IF(tblCleanData[[#This Row],[MonthlyIncome]]&lt;5000, "Low Income", IF(tblCleanData[[#This Row],[MonthlyIncome]]&lt;15000, "Medium Income", "High Income"))</f>
        <v>Medium Income</v>
      </c>
      <c r="AL759" s="13">
        <f>IF(tblCleanData[[#This Row],[Attrition]]="No", 0,1)</f>
        <v>0</v>
      </c>
      <c r="AM759" s="13">
        <f>IF(tblCleanData[[#This Row],[OverTime]] = "No", 0, 1)</f>
        <v>0</v>
      </c>
      <c r="AN759" s="13" t="str">
        <f>CHOOSE(tblCleanData[[#This Row],[Education]], "Below College","College","Bachelor","Master","Doctor")</f>
        <v>Master</v>
      </c>
      <c r="AO759" s="13" t="str">
        <f>VLOOKUP(tblCleanData[[#This Row],[EmployeeNumber]],tblHelpers[],15,TRUE)</f>
        <v>Low Risk</v>
      </c>
      <c r="AP759" s="13">
        <f>VLOOKUP(tblCleanData[[#This Row],[EmployeeNumber]],tblHelpers[],14,0)</f>
        <v>34</v>
      </c>
    </row>
    <row r="760" spans="1:42" x14ac:dyDescent="0.25">
      <c r="A760" s="13">
        <v>59</v>
      </c>
      <c r="B760" s="13" t="s">
        <v>59</v>
      </c>
      <c r="C760" s="13" t="s">
        <v>37</v>
      </c>
      <c r="D760" s="13">
        <v>1089</v>
      </c>
      <c r="E760" s="13" t="s">
        <v>39</v>
      </c>
      <c r="F760" s="13">
        <v>1</v>
      </c>
      <c r="G760" s="13">
        <v>2</v>
      </c>
      <c r="H760" s="13" t="s">
        <v>228</v>
      </c>
      <c r="I760" s="13">
        <v>1</v>
      </c>
      <c r="J760" s="13">
        <v>1048</v>
      </c>
      <c r="K760" s="13">
        <v>2</v>
      </c>
      <c r="L760" s="13" t="s">
        <v>63</v>
      </c>
      <c r="M760" s="13">
        <v>66</v>
      </c>
      <c r="N760" s="13">
        <v>3</v>
      </c>
      <c r="O760" s="13">
        <v>3</v>
      </c>
      <c r="P760" s="13" t="s">
        <v>169</v>
      </c>
      <c r="Q760" s="13">
        <v>4</v>
      </c>
      <c r="R760" s="13" t="s">
        <v>66</v>
      </c>
      <c r="S760" s="20">
        <v>11904</v>
      </c>
      <c r="T760" s="13">
        <v>11038</v>
      </c>
      <c r="U760" s="13">
        <v>3</v>
      </c>
      <c r="V760" s="13" t="s">
        <v>52</v>
      </c>
      <c r="W760" s="13" t="s">
        <v>36</v>
      </c>
      <c r="X760" s="13">
        <v>14</v>
      </c>
      <c r="Y760" s="13">
        <v>3</v>
      </c>
      <c r="Z760" s="13">
        <v>3</v>
      </c>
      <c r="AA760" s="13">
        <v>80</v>
      </c>
      <c r="AB760" s="13">
        <v>1</v>
      </c>
      <c r="AC760" s="13">
        <v>14</v>
      </c>
      <c r="AD760" s="13">
        <v>1</v>
      </c>
      <c r="AE760" s="13">
        <v>1</v>
      </c>
      <c r="AF760" s="14">
        <v>6</v>
      </c>
      <c r="AG760" s="13">
        <v>4</v>
      </c>
      <c r="AH760" s="13">
        <v>0</v>
      </c>
      <c r="AI760" s="13">
        <v>4</v>
      </c>
      <c r="AJ760" s="13" t="str">
        <f t="shared" si="11"/>
        <v>50+</v>
      </c>
      <c r="AK760" s="13" t="str">
        <f>IF(tblCleanData[[#This Row],[MonthlyIncome]]&lt;5000, "Low Income", IF(tblCleanData[[#This Row],[MonthlyIncome]]&lt;15000, "Medium Income", "High Income"))</f>
        <v>Medium Income</v>
      </c>
      <c r="AL760" s="13">
        <f>IF(tblCleanData[[#This Row],[Attrition]]="No", 0,1)</f>
        <v>0</v>
      </c>
      <c r="AM760" s="13">
        <f>IF(tblCleanData[[#This Row],[OverTime]] = "No", 0, 1)</f>
        <v>1</v>
      </c>
      <c r="AN760" s="13" t="str">
        <f>CHOOSE(tblCleanData[[#This Row],[Education]], "Below College","College","Bachelor","Master","Doctor")</f>
        <v>College</v>
      </c>
      <c r="AO760" s="13" t="str">
        <f>VLOOKUP(tblCleanData[[#This Row],[EmployeeNumber]],tblHelpers[],15,TRUE)</f>
        <v>High Risk</v>
      </c>
      <c r="AP760" s="13">
        <f>VLOOKUP(tblCleanData[[#This Row],[EmployeeNumber]],tblHelpers[],14,0)</f>
        <v>59</v>
      </c>
    </row>
    <row r="761" spans="1:42" x14ac:dyDescent="0.25">
      <c r="A761" s="13">
        <v>45</v>
      </c>
      <c r="B761" s="13" t="s">
        <v>59</v>
      </c>
      <c r="C761" s="13" t="s">
        <v>37</v>
      </c>
      <c r="D761" s="13">
        <v>788</v>
      </c>
      <c r="E761" s="13" t="s">
        <v>397</v>
      </c>
      <c r="F761" s="13">
        <v>24</v>
      </c>
      <c r="G761" s="13">
        <v>4</v>
      </c>
      <c r="H761" s="13" t="s">
        <v>87</v>
      </c>
      <c r="I761" s="13">
        <v>1</v>
      </c>
      <c r="J761" s="13">
        <v>1049</v>
      </c>
      <c r="K761" s="13">
        <v>2</v>
      </c>
      <c r="L761" s="13" t="s">
        <v>63</v>
      </c>
      <c r="M761" s="13">
        <v>36</v>
      </c>
      <c r="N761" s="13">
        <v>3</v>
      </c>
      <c r="O761" s="13">
        <v>1</v>
      </c>
      <c r="P761" s="13" t="s">
        <v>397</v>
      </c>
      <c r="Q761" s="13">
        <v>2</v>
      </c>
      <c r="R761" s="13" t="s">
        <v>48</v>
      </c>
      <c r="S761" s="20">
        <v>2177</v>
      </c>
      <c r="T761" s="13">
        <v>8318</v>
      </c>
      <c r="U761" s="13">
        <v>1</v>
      </c>
      <c r="V761" s="13" t="s">
        <v>52</v>
      </c>
      <c r="W761" s="13" t="s">
        <v>59</v>
      </c>
      <c r="X761" s="13">
        <v>16</v>
      </c>
      <c r="Y761" s="13">
        <v>3</v>
      </c>
      <c r="Z761" s="13">
        <v>1</v>
      </c>
      <c r="AA761" s="13">
        <v>80</v>
      </c>
      <c r="AB761" s="13">
        <v>0</v>
      </c>
      <c r="AC761" s="13">
        <v>6</v>
      </c>
      <c r="AD761" s="13">
        <v>3</v>
      </c>
      <c r="AE761" s="13">
        <v>3</v>
      </c>
      <c r="AF761" s="14">
        <v>6</v>
      </c>
      <c r="AG761" s="13">
        <v>3</v>
      </c>
      <c r="AH761" s="13">
        <v>0</v>
      </c>
      <c r="AI761" s="13">
        <v>4</v>
      </c>
      <c r="AJ761" s="13" t="str">
        <f t="shared" si="11"/>
        <v>40-49</v>
      </c>
      <c r="AK761" s="13" t="str">
        <f>IF(tblCleanData[[#This Row],[MonthlyIncome]]&lt;5000, "Low Income", IF(tblCleanData[[#This Row],[MonthlyIncome]]&lt;15000, "Medium Income", "High Income"))</f>
        <v>Low Income</v>
      </c>
      <c r="AL761" s="13">
        <f>IF(tblCleanData[[#This Row],[Attrition]]="No", 0,1)</f>
        <v>0</v>
      </c>
      <c r="AM761" s="13">
        <f>IF(tblCleanData[[#This Row],[OverTime]] = "No", 0, 1)</f>
        <v>0</v>
      </c>
      <c r="AN761" s="13" t="str">
        <f>CHOOSE(tblCleanData[[#This Row],[Education]], "Below College","College","Bachelor","Master","Doctor")</f>
        <v>Master</v>
      </c>
      <c r="AO761" s="13" t="str">
        <f>VLOOKUP(tblCleanData[[#This Row],[EmployeeNumber]],tblHelpers[],15,TRUE)</f>
        <v>Medium Risk</v>
      </c>
      <c r="AP761" s="13">
        <f>VLOOKUP(tblCleanData[[#This Row],[EmployeeNumber]],tblHelpers[],14,0)</f>
        <v>42</v>
      </c>
    </row>
    <row r="762" spans="1:42" x14ac:dyDescent="0.25">
      <c r="A762" s="13">
        <v>53</v>
      </c>
      <c r="B762" s="13" t="s">
        <v>59</v>
      </c>
      <c r="C762" s="13" t="s">
        <v>60</v>
      </c>
      <c r="D762" s="13">
        <v>124</v>
      </c>
      <c r="E762" s="13" t="s">
        <v>39</v>
      </c>
      <c r="F762" s="13">
        <v>2</v>
      </c>
      <c r="G762" s="13">
        <v>3</v>
      </c>
      <c r="H762" s="13" t="s">
        <v>206</v>
      </c>
      <c r="I762" s="13">
        <v>1</v>
      </c>
      <c r="J762" s="13">
        <v>1050</v>
      </c>
      <c r="K762" s="13">
        <v>3</v>
      </c>
      <c r="L762" s="13" t="s">
        <v>43</v>
      </c>
      <c r="M762" s="13">
        <v>38</v>
      </c>
      <c r="N762" s="13">
        <v>2</v>
      </c>
      <c r="O762" s="13">
        <v>3</v>
      </c>
      <c r="P762" s="13" t="s">
        <v>46</v>
      </c>
      <c r="Q762" s="13">
        <v>2</v>
      </c>
      <c r="R762" s="13" t="s">
        <v>66</v>
      </c>
      <c r="S762" s="20">
        <v>7525</v>
      </c>
      <c r="T762" s="13">
        <v>23537</v>
      </c>
      <c r="U762" s="13">
        <v>2</v>
      </c>
      <c r="V762" s="13" t="s">
        <v>52</v>
      </c>
      <c r="W762" s="13" t="s">
        <v>59</v>
      </c>
      <c r="X762" s="13">
        <v>12</v>
      </c>
      <c r="Y762" s="13">
        <v>3</v>
      </c>
      <c r="Z762" s="13">
        <v>1</v>
      </c>
      <c r="AA762" s="13">
        <v>80</v>
      </c>
      <c r="AB762" s="13">
        <v>1</v>
      </c>
      <c r="AC762" s="13">
        <v>30</v>
      </c>
      <c r="AD762" s="13">
        <v>2</v>
      </c>
      <c r="AE762" s="13">
        <v>3</v>
      </c>
      <c r="AF762" s="14">
        <v>15</v>
      </c>
      <c r="AG762" s="13">
        <v>7</v>
      </c>
      <c r="AH762" s="13">
        <v>6</v>
      </c>
      <c r="AI762" s="13">
        <v>12</v>
      </c>
      <c r="AJ762" s="13" t="str">
        <f t="shared" si="11"/>
        <v>50+</v>
      </c>
      <c r="AK762" s="13" t="str">
        <f>IF(tblCleanData[[#This Row],[MonthlyIncome]]&lt;5000, "Low Income", IF(tblCleanData[[#This Row],[MonthlyIncome]]&lt;15000, "Medium Income", "High Income"))</f>
        <v>Medium Income</v>
      </c>
      <c r="AL762" s="13">
        <f>IF(tblCleanData[[#This Row],[Attrition]]="No", 0,1)</f>
        <v>0</v>
      </c>
      <c r="AM762" s="13">
        <f>IF(tblCleanData[[#This Row],[OverTime]] = "No", 0, 1)</f>
        <v>0</v>
      </c>
      <c r="AN762" s="13" t="str">
        <f>CHOOSE(tblCleanData[[#This Row],[Education]], "Below College","College","Bachelor","Master","Doctor")</f>
        <v>Bachelor</v>
      </c>
      <c r="AO762" s="13" t="str">
        <f>VLOOKUP(tblCleanData[[#This Row],[EmployeeNumber]],tblHelpers[],15,TRUE)</f>
        <v>Medium Risk</v>
      </c>
      <c r="AP762" s="13">
        <f>VLOOKUP(tblCleanData[[#This Row],[EmployeeNumber]],tblHelpers[],14,0)</f>
        <v>42</v>
      </c>
    </row>
    <row r="763" spans="1:42" x14ac:dyDescent="0.25">
      <c r="A763" s="13">
        <v>36</v>
      </c>
      <c r="B763" s="13" t="s">
        <v>36</v>
      </c>
      <c r="C763" s="13" t="s">
        <v>37</v>
      </c>
      <c r="D763" s="13">
        <v>660</v>
      </c>
      <c r="E763" s="13" t="s">
        <v>62</v>
      </c>
      <c r="F763" s="13">
        <v>15</v>
      </c>
      <c r="G763" s="13">
        <v>3</v>
      </c>
      <c r="H763" s="13" t="s">
        <v>74</v>
      </c>
      <c r="I763" s="13">
        <v>1</v>
      </c>
      <c r="J763" s="13">
        <v>1052</v>
      </c>
      <c r="K763" s="13">
        <v>1</v>
      </c>
      <c r="L763" s="13" t="s">
        <v>63</v>
      </c>
      <c r="M763" s="13">
        <v>81</v>
      </c>
      <c r="N763" s="13">
        <v>3</v>
      </c>
      <c r="O763" s="13">
        <v>2</v>
      </c>
      <c r="P763" s="13" t="s">
        <v>76</v>
      </c>
      <c r="Q763" s="13">
        <v>3</v>
      </c>
      <c r="R763" s="13" t="s">
        <v>109</v>
      </c>
      <c r="S763" s="20">
        <v>4834</v>
      </c>
      <c r="T763" s="13">
        <v>7858</v>
      </c>
      <c r="U763" s="13">
        <v>7</v>
      </c>
      <c r="V763" s="13" t="s">
        <v>52</v>
      </c>
      <c r="W763" s="13" t="s">
        <v>59</v>
      </c>
      <c r="X763" s="13">
        <v>14</v>
      </c>
      <c r="Y763" s="13">
        <v>3</v>
      </c>
      <c r="Z763" s="13">
        <v>2</v>
      </c>
      <c r="AA763" s="13">
        <v>80</v>
      </c>
      <c r="AB763" s="13">
        <v>1</v>
      </c>
      <c r="AC763" s="13">
        <v>9</v>
      </c>
      <c r="AD763" s="13">
        <v>3</v>
      </c>
      <c r="AE763" s="13">
        <v>2</v>
      </c>
      <c r="AF763" s="14">
        <v>1</v>
      </c>
      <c r="AG763" s="13">
        <v>0</v>
      </c>
      <c r="AH763" s="13">
        <v>0</v>
      </c>
      <c r="AI763" s="13">
        <v>0</v>
      </c>
      <c r="AJ763" s="13" t="str">
        <f t="shared" si="11"/>
        <v>30-39</v>
      </c>
      <c r="AK763" s="13" t="str">
        <f>IF(tblCleanData[[#This Row],[MonthlyIncome]]&lt;5000, "Low Income", IF(tblCleanData[[#This Row],[MonthlyIncome]]&lt;15000, "Medium Income", "High Income"))</f>
        <v>Low Income</v>
      </c>
      <c r="AL763" s="13">
        <f>IF(tblCleanData[[#This Row],[Attrition]]="No", 0,1)</f>
        <v>1</v>
      </c>
      <c r="AM763" s="13">
        <f>IF(tblCleanData[[#This Row],[OverTime]] = "No", 0, 1)</f>
        <v>0</v>
      </c>
      <c r="AN763" s="13" t="str">
        <f>CHOOSE(tblCleanData[[#This Row],[Education]], "Below College","College","Bachelor","Master","Doctor")</f>
        <v>Bachelor</v>
      </c>
      <c r="AO763" s="13" t="str">
        <f>VLOOKUP(tblCleanData[[#This Row],[EmployeeNumber]],tblHelpers[],15,TRUE)</f>
        <v>High Risk</v>
      </c>
      <c r="AP763" s="13">
        <f>VLOOKUP(tblCleanData[[#This Row],[EmployeeNumber]],tblHelpers[],14,0)</f>
        <v>63</v>
      </c>
    </row>
    <row r="764" spans="1:42" x14ac:dyDescent="0.25">
      <c r="A764" s="13">
        <v>26</v>
      </c>
      <c r="B764" s="13" t="s">
        <v>36</v>
      </c>
      <c r="C764" s="13" t="s">
        <v>60</v>
      </c>
      <c r="D764" s="13">
        <v>342</v>
      </c>
      <c r="E764" s="13" t="s">
        <v>62</v>
      </c>
      <c r="F764" s="13">
        <v>2</v>
      </c>
      <c r="G764" s="13">
        <v>3</v>
      </c>
      <c r="H764" s="13" t="s">
        <v>42</v>
      </c>
      <c r="I764" s="13">
        <v>1</v>
      </c>
      <c r="J764" s="13">
        <v>1053</v>
      </c>
      <c r="K764" s="13">
        <v>1</v>
      </c>
      <c r="L764" s="13" t="s">
        <v>63</v>
      </c>
      <c r="M764" s="13">
        <v>57</v>
      </c>
      <c r="N764" s="13">
        <v>3</v>
      </c>
      <c r="O764" s="13">
        <v>1</v>
      </c>
      <c r="P764" s="13" t="s">
        <v>65</v>
      </c>
      <c r="Q764" s="13">
        <v>1</v>
      </c>
      <c r="R764" s="13" t="s">
        <v>66</v>
      </c>
      <c r="S764" s="20">
        <v>2042</v>
      </c>
      <c r="T764" s="13">
        <v>15346</v>
      </c>
      <c r="U764" s="13">
        <v>6</v>
      </c>
      <c r="V764" s="13" t="s">
        <v>52</v>
      </c>
      <c r="W764" s="13" t="s">
        <v>36</v>
      </c>
      <c r="X764" s="13">
        <v>14</v>
      </c>
      <c r="Y764" s="13">
        <v>3</v>
      </c>
      <c r="Z764" s="13">
        <v>2</v>
      </c>
      <c r="AA764" s="13">
        <v>80</v>
      </c>
      <c r="AB764" s="13">
        <v>1</v>
      </c>
      <c r="AC764" s="13">
        <v>6</v>
      </c>
      <c r="AD764" s="13">
        <v>2</v>
      </c>
      <c r="AE764" s="13">
        <v>3</v>
      </c>
      <c r="AF764" s="14">
        <v>3</v>
      </c>
      <c r="AG764" s="13">
        <v>2</v>
      </c>
      <c r="AH764" s="13">
        <v>1</v>
      </c>
      <c r="AI764" s="13">
        <v>2</v>
      </c>
      <c r="AJ764" s="13" t="str">
        <f t="shared" si="11"/>
        <v>Under 30</v>
      </c>
      <c r="AK764" s="13" t="str">
        <f>IF(tblCleanData[[#This Row],[MonthlyIncome]]&lt;5000, "Low Income", IF(tblCleanData[[#This Row],[MonthlyIncome]]&lt;15000, "Medium Income", "High Income"))</f>
        <v>Low Income</v>
      </c>
      <c r="AL764" s="13">
        <f>IF(tblCleanData[[#This Row],[Attrition]]="No", 0,1)</f>
        <v>1</v>
      </c>
      <c r="AM764" s="13">
        <f>IF(tblCleanData[[#This Row],[OverTime]] = "No", 0, 1)</f>
        <v>1</v>
      </c>
      <c r="AN764" s="13" t="str">
        <f>CHOOSE(tblCleanData[[#This Row],[Education]], "Below College","College","Bachelor","Master","Doctor")</f>
        <v>Bachelor</v>
      </c>
      <c r="AO764" s="13" t="str">
        <f>VLOOKUP(tblCleanData[[#This Row],[EmployeeNumber]],tblHelpers[],15,TRUE)</f>
        <v>High Risk</v>
      </c>
      <c r="AP764" s="13">
        <f>VLOOKUP(tblCleanData[[#This Row],[EmployeeNumber]],tblHelpers[],14,0)</f>
        <v>100</v>
      </c>
    </row>
    <row r="765" spans="1:42" x14ac:dyDescent="0.25">
      <c r="A765" s="13">
        <v>34</v>
      </c>
      <c r="B765" s="13" t="s">
        <v>59</v>
      </c>
      <c r="C765" s="13" t="s">
        <v>37</v>
      </c>
      <c r="D765" s="13">
        <v>1333</v>
      </c>
      <c r="E765" s="13" t="s">
        <v>39</v>
      </c>
      <c r="F765" s="13">
        <v>10</v>
      </c>
      <c r="G765" s="13">
        <v>4</v>
      </c>
      <c r="H765" s="13" t="s">
        <v>42</v>
      </c>
      <c r="I765" s="13">
        <v>1</v>
      </c>
      <c r="J765" s="13">
        <v>1055</v>
      </c>
      <c r="K765" s="13">
        <v>3</v>
      </c>
      <c r="L765" s="13" t="s">
        <v>43</v>
      </c>
      <c r="M765" s="13">
        <v>87</v>
      </c>
      <c r="N765" s="13">
        <v>3</v>
      </c>
      <c r="O765" s="13">
        <v>1</v>
      </c>
      <c r="P765" s="13" t="s">
        <v>182</v>
      </c>
      <c r="Q765" s="13">
        <v>3</v>
      </c>
      <c r="R765" s="13" t="s">
        <v>66</v>
      </c>
      <c r="S765" s="20">
        <v>2220</v>
      </c>
      <c r="T765" s="13">
        <v>18410</v>
      </c>
      <c r="U765" s="13">
        <v>1</v>
      </c>
      <c r="V765" s="13" t="s">
        <v>52</v>
      </c>
      <c r="W765" s="13" t="s">
        <v>36</v>
      </c>
      <c r="X765" s="13">
        <v>19</v>
      </c>
      <c r="Y765" s="13">
        <v>3</v>
      </c>
      <c r="Z765" s="13">
        <v>4</v>
      </c>
      <c r="AA765" s="13">
        <v>80</v>
      </c>
      <c r="AB765" s="13">
        <v>1</v>
      </c>
      <c r="AC765" s="13">
        <v>1</v>
      </c>
      <c r="AD765" s="13">
        <v>2</v>
      </c>
      <c r="AE765" s="13">
        <v>3</v>
      </c>
      <c r="AF765" s="14">
        <v>1</v>
      </c>
      <c r="AG765" s="13">
        <v>1</v>
      </c>
      <c r="AH765" s="13">
        <v>0</v>
      </c>
      <c r="AI765" s="13">
        <v>0</v>
      </c>
      <c r="AJ765" s="13" t="str">
        <f t="shared" si="11"/>
        <v>30-39</v>
      </c>
      <c r="AK765" s="13" t="str">
        <f>IF(tblCleanData[[#This Row],[MonthlyIncome]]&lt;5000, "Low Income", IF(tblCleanData[[#This Row],[MonthlyIncome]]&lt;15000, "Medium Income", "High Income"))</f>
        <v>Low Income</v>
      </c>
      <c r="AL765" s="13">
        <f>IF(tblCleanData[[#This Row],[Attrition]]="No", 0,1)</f>
        <v>0</v>
      </c>
      <c r="AM765" s="13">
        <f>IF(tblCleanData[[#This Row],[OverTime]] = "No", 0, 1)</f>
        <v>1</v>
      </c>
      <c r="AN765" s="13" t="str">
        <f>CHOOSE(tblCleanData[[#This Row],[Education]], "Below College","College","Bachelor","Master","Doctor")</f>
        <v>Master</v>
      </c>
      <c r="AO765" s="13" t="str">
        <f>VLOOKUP(tblCleanData[[#This Row],[EmployeeNumber]],tblHelpers[],15,TRUE)</f>
        <v>High Risk</v>
      </c>
      <c r="AP765" s="13">
        <f>VLOOKUP(tblCleanData[[#This Row],[EmployeeNumber]],tblHelpers[],14,0)</f>
        <v>88</v>
      </c>
    </row>
    <row r="766" spans="1:42" x14ac:dyDescent="0.25">
      <c r="A766" s="13">
        <v>28</v>
      </c>
      <c r="B766" s="13" t="s">
        <v>59</v>
      </c>
      <c r="C766" s="13" t="s">
        <v>37</v>
      </c>
      <c r="D766" s="13">
        <v>1144</v>
      </c>
      <c r="E766" s="13" t="s">
        <v>39</v>
      </c>
      <c r="F766" s="13">
        <v>10</v>
      </c>
      <c r="G766" s="13">
        <v>1</v>
      </c>
      <c r="H766" s="13" t="s">
        <v>87</v>
      </c>
      <c r="I766" s="13">
        <v>1</v>
      </c>
      <c r="J766" s="13">
        <v>1056</v>
      </c>
      <c r="K766" s="13">
        <v>4</v>
      </c>
      <c r="L766" s="13" t="s">
        <v>63</v>
      </c>
      <c r="M766" s="13">
        <v>74</v>
      </c>
      <c r="N766" s="13">
        <v>3</v>
      </c>
      <c r="O766" s="13">
        <v>1</v>
      </c>
      <c r="P766" s="13" t="s">
        <v>182</v>
      </c>
      <c r="Q766" s="13">
        <v>2</v>
      </c>
      <c r="R766" s="13" t="s">
        <v>66</v>
      </c>
      <c r="S766" s="20">
        <v>1052</v>
      </c>
      <c r="T766" s="13">
        <v>23384</v>
      </c>
      <c r="U766" s="13">
        <v>1</v>
      </c>
      <c r="V766" s="13" t="s">
        <v>52</v>
      </c>
      <c r="W766" s="13" t="s">
        <v>59</v>
      </c>
      <c r="X766" s="13">
        <v>22</v>
      </c>
      <c r="Y766" s="13">
        <v>4</v>
      </c>
      <c r="Z766" s="13">
        <v>2</v>
      </c>
      <c r="AA766" s="13">
        <v>80</v>
      </c>
      <c r="AB766" s="13">
        <v>0</v>
      </c>
      <c r="AC766" s="13">
        <v>1</v>
      </c>
      <c r="AD766" s="13">
        <v>5</v>
      </c>
      <c r="AE766" s="13">
        <v>3</v>
      </c>
      <c r="AF766" s="14">
        <v>1</v>
      </c>
      <c r="AG766" s="13">
        <v>0</v>
      </c>
      <c r="AH766" s="13">
        <v>0</v>
      </c>
      <c r="AI766" s="13">
        <v>0</v>
      </c>
      <c r="AJ766" s="13" t="str">
        <f t="shared" si="11"/>
        <v>Under 30</v>
      </c>
      <c r="AK766" s="13" t="str">
        <f>IF(tblCleanData[[#This Row],[MonthlyIncome]]&lt;5000, "Low Income", IF(tblCleanData[[#This Row],[MonthlyIncome]]&lt;15000, "Medium Income", "High Income"))</f>
        <v>Low Income</v>
      </c>
      <c r="AL766" s="13">
        <f>IF(tblCleanData[[#This Row],[Attrition]]="No", 0,1)</f>
        <v>0</v>
      </c>
      <c r="AM766" s="13">
        <f>IF(tblCleanData[[#This Row],[OverTime]] = "No", 0, 1)</f>
        <v>0</v>
      </c>
      <c r="AN766" s="13" t="str">
        <f>CHOOSE(tblCleanData[[#This Row],[Education]], "Below College","College","Bachelor","Master","Doctor")</f>
        <v>Below College</v>
      </c>
      <c r="AO766" s="13" t="str">
        <f>VLOOKUP(tblCleanData[[#This Row],[EmployeeNumber]],tblHelpers[],15,TRUE)</f>
        <v>High Risk</v>
      </c>
      <c r="AP766" s="13">
        <f>VLOOKUP(tblCleanData[[#This Row],[EmployeeNumber]],tblHelpers[],14,0)</f>
        <v>79</v>
      </c>
    </row>
    <row r="767" spans="1:42" x14ac:dyDescent="0.25">
      <c r="A767" s="13">
        <v>38</v>
      </c>
      <c r="B767" s="13" t="s">
        <v>59</v>
      </c>
      <c r="C767" s="13" t="s">
        <v>60</v>
      </c>
      <c r="D767" s="13">
        <v>1186</v>
      </c>
      <c r="E767" s="13" t="s">
        <v>62</v>
      </c>
      <c r="F767" s="13">
        <v>3</v>
      </c>
      <c r="G767" s="13">
        <v>4</v>
      </c>
      <c r="H767" s="13" t="s">
        <v>74</v>
      </c>
      <c r="I767" s="13">
        <v>1</v>
      </c>
      <c r="J767" s="13">
        <v>1060</v>
      </c>
      <c r="K767" s="13">
        <v>3</v>
      </c>
      <c r="L767" s="13" t="s">
        <v>63</v>
      </c>
      <c r="M767" s="13">
        <v>44</v>
      </c>
      <c r="N767" s="13">
        <v>3</v>
      </c>
      <c r="O767" s="13">
        <v>1</v>
      </c>
      <c r="P767" s="13" t="s">
        <v>65</v>
      </c>
      <c r="Q767" s="13">
        <v>3</v>
      </c>
      <c r="R767" s="13" t="s">
        <v>66</v>
      </c>
      <c r="S767" s="20">
        <v>2821</v>
      </c>
      <c r="T767" s="13">
        <v>2997</v>
      </c>
      <c r="U767" s="13">
        <v>3</v>
      </c>
      <c r="V767" s="13" t="s">
        <v>52</v>
      </c>
      <c r="W767" s="13" t="s">
        <v>59</v>
      </c>
      <c r="X767" s="13">
        <v>16</v>
      </c>
      <c r="Y767" s="13">
        <v>3</v>
      </c>
      <c r="Z767" s="13">
        <v>1</v>
      </c>
      <c r="AA767" s="13">
        <v>80</v>
      </c>
      <c r="AB767" s="13">
        <v>1</v>
      </c>
      <c r="AC767" s="13">
        <v>8</v>
      </c>
      <c r="AD767" s="13">
        <v>2</v>
      </c>
      <c r="AE767" s="13">
        <v>3</v>
      </c>
      <c r="AF767" s="14">
        <v>2</v>
      </c>
      <c r="AG767" s="13">
        <v>2</v>
      </c>
      <c r="AH767" s="13">
        <v>2</v>
      </c>
      <c r="AI767" s="13">
        <v>2</v>
      </c>
      <c r="AJ767" s="13" t="str">
        <f t="shared" si="11"/>
        <v>30-39</v>
      </c>
      <c r="AK767" s="13" t="str">
        <f>IF(tblCleanData[[#This Row],[MonthlyIncome]]&lt;5000, "Low Income", IF(tblCleanData[[#This Row],[MonthlyIncome]]&lt;15000, "Medium Income", "High Income"))</f>
        <v>Low Income</v>
      </c>
      <c r="AL767" s="13">
        <f>IF(tblCleanData[[#This Row],[Attrition]]="No", 0,1)</f>
        <v>0</v>
      </c>
      <c r="AM767" s="13">
        <f>IF(tblCleanData[[#This Row],[OverTime]] = "No", 0, 1)</f>
        <v>0</v>
      </c>
      <c r="AN767" s="13" t="str">
        <f>CHOOSE(tblCleanData[[#This Row],[Education]], "Below College","College","Bachelor","Master","Doctor")</f>
        <v>Master</v>
      </c>
      <c r="AO767" s="13" t="str">
        <f>VLOOKUP(tblCleanData[[#This Row],[EmployeeNumber]],tblHelpers[],15,TRUE)</f>
        <v>High Risk</v>
      </c>
      <c r="AP767" s="13">
        <f>VLOOKUP(tblCleanData[[#This Row],[EmployeeNumber]],tblHelpers[],14,0)</f>
        <v>63</v>
      </c>
    </row>
    <row r="768" spans="1:42" x14ac:dyDescent="0.25">
      <c r="A768" s="13">
        <v>50</v>
      </c>
      <c r="B768" s="13" t="s">
        <v>59</v>
      </c>
      <c r="C768" s="13" t="s">
        <v>37</v>
      </c>
      <c r="D768" s="13">
        <v>1464</v>
      </c>
      <c r="E768" s="13" t="s">
        <v>62</v>
      </c>
      <c r="F768" s="13">
        <v>2</v>
      </c>
      <c r="G768" s="13">
        <v>4</v>
      </c>
      <c r="H768" s="13" t="s">
        <v>87</v>
      </c>
      <c r="I768" s="13">
        <v>1</v>
      </c>
      <c r="J768" s="13">
        <v>1061</v>
      </c>
      <c r="K768" s="13">
        <v>2</v>
      </c>
      <c r="L768" s="13" t="s">
        <v>63</v>
      </c>
      <c r="M768" s="13">
        <v>62</v>
      </c>
      <c r="N768" s="13">
        <v>3</v>
      </c>
      <c r="O768" s="13">
        <v>5</v>
      </c>
      <c r="P768" s="13" t="s">
        <v>186</v>
      </c>
      <c r="Q768" s="13">
        <v>3</v>
      </c>
      <c r="R768" s="13" t="s">
        <v>66</v>
      </c>
      <c r="S768" s="20">
        <v>19237</v>
      </c>
      <c r="T768" s="13">
        <v>12853</v>
      </c>
      <c r="U768" s="13">
        <v>2</v>
      </c>
      <c r="V768" s="13" t="s">
        <v>52</v>
      </c>
      <c r="W768" s="13" t="s">
        <v>36</v>
      </c>
      <c r="X768" s="13">
        <v>11</v>
      </c>
      <c r="Y768" s="13">
        <v>3</v>
      </c>
      <c r="Z768" s="13">
        <v>4</v>
      </c>
      <c r="AA768" s="13">
        <v>80</v>
      </c>
      <c r="AB768" s="13">
        <v>1</v>
      </c>
      <c r="AC768" s="13">
        <v>29</v>
      </c>
      <c r="AD768" s="13">
        <v>2</v>
      </c>
      <c r="AE768" s="13">
        <v>2</v>
      </c>
      <c r="AF768" s="14">
        <v>8</v>
      </c>
      <c r="AG768" s="13">
        <v>1</v>
      </c>
      <c r="AH768" s="13">
        <v>7</v>
      </c>
      <c r="AI768" s="13">
        <v>7</v>
      </c>
      <c r="AJ768" s="13" t="str">
        <f t="shared" si="11"/>
        <v>50+</v>
      </c>
      <c r="AK768" s="13" t="str">
        <f>IF(tblCleanData[[#This Row],[MonthlyIncome]]&lt;5000, "Low Income", IF(tblCleanData[[#This Row],[MonthlyIncome]]&lt;15000, "Medium Income", "High Income"))</f>
        <v>High Income</v>
      </c>
      <c r="AL768" s="13">
        <f>IF(tblCleanData[[#This Row],[Attrition]]="No", 0,1)</f>
        <v>0</v>
      </c>
      <c r="AM768" s="13">
        <f>IF(tblCleanData[[#This Row],[OverTime]] = "No", 0, 1)</f>
        <v>1</v>
      </c>
      <c r="AN768" s="13" t="str">
        <f>CHOOSE(tblCleanData[[#This Row],[Education]], "Below College","College","Bachelor","Master","Doctor")</f>
        <v>Master</v>
      </c>
      <c r="AO768" s="13" t="str">
        <f>VLOOKUP(tblCleanData[[#This Row],[EmployeeNumber]],tblHelpers[],15,TRUE)</f>
        <v>High Risk</v>
      </c>
      <c r="AP768" s="13">
        <f>VLOOKUP(tblCleanData[[#This Row],[EmployeeNumber]],tblHelpers[],14,0)</f>
        <v>66</v>
      </c>
    </row>
    <row r="769" spans="1:42" x14ac:dyDescent="0.25">
      <c r="A769" s="13">
        <v>37</v>
      </c>
      <c r="B769" s="13" t="s">
        <v>59</v>
      </c>
      <c r="C769" s="13" t="s">
        <v>37</v>
      </c>
      <c r="D769" s="13">
        <v>124</v>
      </c>
      <c r="E769" s="13" t="s">
        <v>62</v>
      </c>
      <c r="F769" s="13">
        <v>3</v>
      </c>
      <c r="G769" s="13">
        <v>3</v>
      </c>
      <c r="H769" s="13" t="s">
        <v>74</v>
      </c>
      <c r="I769" s="13">
        <v>1</v>
      </c>
      <c r="J769" s="13">
        <v>1062</v>
      </c>
      <c r="K769" s="13">
        <v>4</v>
      </c>
      <c r="L769" s="13" t="s">
        <v>43</v>
      </c>
      <c r="M769" s="13">
        <v>35</v>
      </c>
      <c r="N769" s="13">
        <v>3</v>
      </c>
      <c r="O769" s="13">
        <v>2</v>
      </c>
      <c r="P769" s="13" t="s">
        <v>122</v>
      </c>
      <c r="Q769" s="13">
        <v>2</v>
      </c>
      <c r="R769" s="13" t="s">
        <v>48</v>
      </c>
      <c r="S769" s="20">
        <v>4107</v>
      </c>
      <c r="T769" s="13">
        <v>13848</v>
      </c>
      <c r="U769" s="13">
        <v>3</v>
      </c>
      <c r="V769" s="13" t="s">
        <v>52</v>
      </c>
      <c r="W769" s="13" t="s">
        <v>59</v>
      </c>
      <c r="X769" s="13">
        <v>15</v>
      </c>
      <c r="Y769" s="13">
        <v>3</v>
      </c>
      <c r="Z769" s="13">
        <v>1</v>
      </c>
      <c r="AA769" s="13">
        <v>80</v>
      </c>
      <c r="AB769" s="13">
        <v>0</v>
      </c>
      <c r="AC769" s="13">
        <v>8</v>
      </c>
      <c r="AD769" s="13">
        <v>3</v>
      </c>
      <c r="AE769" s="13">
        <v>2</v>
      </c>
      <c r="AF769" s="14">
        <v>4</v>
      </c>
      <c r="AG769" s="13">
        <v>3</v>
      </c>
      <c r="AH769" s="13">
        <v>0</v>
      </c>
      <c r="AI769" s="13">
        <v>1</v>
      </c>
      <c r="AJ769" s="13" t="str">
        <f t="shared" si="11"/>
        <v>30-39</v>
      </c>
      <c r="AK769" s="13" t="str">
        <f>IF(tblCleanData[[#This Row],[MonthlyIncome]]&lt;5000, "Low Income", IF(tblCleanData[[#This Row],[MonthlyIncome]]&lt;15000, "Medium Income", "High Income"))</f>
        <v>Low Income</v>
      </c>
      <c r="AL769" s="13">
        <f>IF(tblCleanData[[#This Row],[Attrition]]="No", 0,1)</f>
        <v>0</v>
      </c>
      <c r="AM769" s="13">
        <f>IF(tblCleanData[[#This Row],[OverTime]] = "No", 0, 1)</f>
        <v>0</v>
      </c>
      <c r="AN769" s="13" t="str">
        <f>CHOOSE(tblCleanData[[#This Row],[Education]], "Below College","College","Bachelor","Master","Doctor")</f>
        <v>Bachelor</v>
      </c>
      <c r="AO769" s="13" t="str">
        <f>VLOOKUP(tblCleanData[[#This Row],[EmployeeNumber]],tblHelpers[],15,TRUE)</f>
        <v>High Risk</v>
      </c>
      <c r="AP769" s="13">
        <f>VLOOKUP(tblCleanData[[#This Row],[EmployeeNumber]],tblHelpers[],14,0)</f>
        <v>59</v>
      </c>
    </row>
    <row r="770" spans="1:42" x14ac:dyDescent="0.25">
      <c r="A770" s="13">
        <v>40</v>
      </c>
      <c r="B770" s="13" t="s">
        <v>59</v>
      </c>
      <c r="C770" s="13" t="s">
        <v>37</v>
      </c>
      <c r="D770" s="13">
        <v>300</v>
      </c>
      <c r="E770" s="13" t="s">
        <v>39</v>
      </c>
      <c r="F770" s="13">
        <v>26</v>
      </c>
      <c r="G770" s="13">
        <v>3</v>
      </c>
      <c r="H770" s="13" t="s">
        <v>206</v>
      </c>
      <c r="I770" s="13">
        <v>1</v>
      </c>
      <c r="J770" s="13">
        <v>1066</v>
      </c>
      <c r="K770" s="13">
        <v>3</v>
      </c>
      <c r="L770" s="13" t="s">
        <v>63</v>
      </c>
      <c r="M770" s="13">
        <v>74</v>
      </c>
      <c r="N770" s="13">
        <v>3</v>
      </c>
      <c r="O770" s="13">
        <v>2</v>
      </c>
      <c r="P770" s="13" t="s">
        <v>46</v>
      </c>
      <c r="Q770" s="13">
        <v>1</v>
      </c>
      <c r="R770" s="13" t="s">
        <v>66</v>
      </c>
      <c r="S770" s="20">
        <v>8396</v>
      </c>
      <c r="T770" s="13">
        <v>22217</v>
      </c>
      <c r="U770" s="13">
        <v>1</v>
      </c>
      <c r="V770" s="13" t="s">
        <v>52</v>
      </c>
      <c r="W770" s="13" t="s">
        <v>59</v>
      </c>
      <c r="X770" s="13">
        <v>14</v>
      </c>
      <c r="Y770" s="13">
        <v>3</v>
      </c>
      <c r="Z770" s="13">
        <v>2</v>
      </c>
      <c r="AA770" s="13">
        <v>80</v>
      </c>
      <c r="AB770" s="13">
        <v>1</v>
      </c>
      <c r="AC770" s="13">
        <v>8</v>
      </c>
      <c r="AD770" s="13">
        <v>3</v>
      </c>
      <c r="AE770" s="13">
        <v>2</v>
      </c>
      <c r="AF770" s="14">
        <v>7</v>
      </c>
      <c r="AG770" s="13">
        <v>7</v>
      </c>
      <c r="AH770" s="13">
        <v>7</v>
      </c>
      <c r="AI770" s="13">
        <v>5</v>
      </c>
      <c r="AJ770" s="13" t="str">
        <f t="shared" ref="AJ770:AJ833" si="12">IF(A770&lt;30,"Under 30", IF(A770&lt;40,"30-39", IF(A770&lt;50,"40-49", "50+")))</f>
        <v>40-49</v>
      </c>
      <c r="AK770" s="13" t="str">
        <f>IF(tblCleanData[[#This Row],[MonthlyIncome]]&lt;5000, "Low Income", IF(tblCleanData[[#This Row],[MonthlyIncome]]&lt;15000, "Medium Income", "High Income"))</f>
        <v>Medium Income</v>
      </c>
      <c r="AL770" s="13">
        <f>IF(tblCleanData[[#This Row],[Attrition]]="No", 0,1)</f>
        <v>0</v>
      </c>
      <c r="AM770" s="13">
        <f>IF(tblCleanData[[#This Row],[OverTime]] = "No", 0, 1)</f>
        <v>0</v>
      </c>
      <c r="AN770" s="13" t="str">
        <f>CHOOSE(tblCleanData[[#This Row],[Education]], "Below College","College","Bachelor","Master","Doctor")</f>
        <v>Bachelor</v>
      </c>
      <c r="AO770" s="13" t="str">
        <f>VLOOKUP(tblCleanData[[#This Row],[EmployeeNumber]],tblHelpers[],15,TRUE)</f>
        <v>Medium Risk</v>
      </c>
      <c r="AP770" s="13">
        <f>VLOOKUP(tblCleanData[[#This Row],[EmployeeNumber]],tblHelpers[],14,0)</f>
        <v>48</v>
      </c>
    </row>
    <row r="771" spans="1:42" x14ac:dyDescent="0.25">
      <c r="A771" s="13">
        <v>26</v>
      </c>
      <c r="B771" s="13" t="s">
        <v>59</v>
      </c>
      <c r="C771" s="13" t="s">
        <v>60</v>
      </c>
      <c r="D771" s="13">
        <v>921</v>
      </c>
      <c r="E771" s="13" t="s">
        <v>62</v>
      </c>
      <c r="F771" s="13">
        <v>1</v>
      </c>
      <c r="G771" s="13">
        <v>1</v>
      </c>
      <c r="H771" s="13" t="s">
        <v>87</v>
      </c>
      <c r="I771" s="13">
        <v>1</v>
      </c>
      <c r="J771" s="13">
        <v>1068</v>
      </c>
      <c r="K771" s="13">
        <v>1</v>
      </c>
      <c r="L771" s="13" t="s">
        <v>43</v>
      </c>
      <c r="M771" s="13">
        <v>66</v>
      </c>
      <c r="N771" s="13">
        <v>2</v>
      </c>
      <c r="O771" s="13">
        <v>1</v>
      </c>
      <c r="P771" s="13" t="s">
        <v>65</v>
      </c>
      <c r="Q771" s="13">
        <v>3</v>
      </c>
      <c r="R771" s="13" t="s">
        <v>109</v>
      </c>
      <c r="S771" s="20">
        <v>2007</v>
      </c>
      <c r="T771" s="13">
        <v>25265</v>
      </c>
      <c r="U771" s="13">
        <v>1</v>
      </c>
      <c r="V771" s="13" t="s">
        <v>52</v>
      </c>
      <c r="W771" s="13" t="s">
        <v>59</v>
      </c>
      <c r="X771" s="13">
        <v>13</v>
      </c>
      <c r="Y771" s="13">
        <v>3</v>
      </c>
      <c r="Z771" s="13">
        <v>3</v>
      </c>
      <c r="AA771" s="13">
        <v>80</v>
      </c>
      <c r="AB771" s="13">
        <v>2</v>
      </c>
      <c r="AC771" s="13">
        <v>5</v>
      </c>
      <c r="AD771" s="13">
        <v>5</v>
      </c>
      <c r="AE771" s="13">
        <v>3</v>
      </c>
      <c r="AF771" s="14">
        <v>5</v>
      </c>
      <c r="AG771" s="13">
        <v>3</v>
      </c>
      <c r="AH771" s="13">
        <v>1</v>
      </c>
      <c r="AI771" s="13">
        <v>3</v>
      </c>
      <c r="AJ771" s="13" t="str">
        <f t="shared" si="12"/>
        <v>Under 30</v>
      </c>
      <c r="AK771" s="13" t="str">
        <f>IF(tblCleanData[[#This Row],[MonthlyIncome]]&lt;5000, "Low Income", IF(tblCleanData[[#This Row],[MonthlyIncome]]&lt;15000, "Medium Income", "High Income"))</f>
        <v>Low Income</v>
      </c>
      <c r="AL771" s="13">
        <f>IF(tblCleanData[[#This Row],[Attrition]]="No", 0,1)</f>
        <v>0</v>
      </c>
      <c r="AM771" s="13">
        <f>IF(tblCleanData[[#This Row],[OverTime]] = "No", 0, 1)</f>
        <v>0</v>
      </c>
      <c r="AN771" s="13" t="str">
        <f>CHOOSE(tblCleanData[[#This Row],[Education]], "Below College","College","Bachelor","Master","Doctor")</f>
        <v>Below College</v>
      </c>
      <c r="AO771" s="13" t="str">
        <f>VLOOKUP(tblCleanData[[#This Row],[EmployeeNumber]],tblHelpers[],15,TRUE)</f>
        <v>High Risk</v>
      </c>
      <c r="AP771" s="13">
        <f>VLOOKUP(tblCleanData[[#This Row],[EmployeeNumber]],tblHelpers[],14,0)</f>
        <v>63</v>
      </c>
    </row>
    <row r="772" spans="1:42" x14ac:dyDescent="0.25">
      <c r="A772" s="13">
        <v>46</v>
      </c>
      <c r="B772" s="13" t="s">
        <v>59</v>
      </c>
      <c r="C772" s="13" t="s">
        <v>37</v>
      </c>
      <c r="D772" s="13">
        <v>430</v>
      </c>
      <c r="E772" s="13" t="s">
        <v>62</v>
      </c>
      <c r="F772" s="13">
        <v>1</v>
      </c>
      <c r="G772" s="13">
        <v>4</v>
      </c>
      <c r="H772" s="13" t="s">
        <v>87</v>
      </c>
      <c r="I772" s="13">
        <v>1</v>
      </c>
      <c r="J772" s="13">
        <v>1069</v>
      </c>
      <c r="K772" s="13">
        <v>4</v>
      </c>
      <c r="L772" s="13" t="s">
        <v>63</v>
      </c>
      <c r="M772" s="13">
        <v>40</v>
      </c>
      <c r="N772" s="13">
        <v>3</v>
      </c>
      <c r="O772" s="13">
        <v>5</v>
      </c>
      <c r="P772" s="13" t="s">
        <v>186</v>
      </c>
      <c r="Q772" s="13">
        <v>4</v>
      </c>
      <c r="R772" s="13" t="s">
        <v>109</v>
      </c>
      <c r="S772" s="20">
        <v>19627</v>
      </c>
      <c r="T772" s="13">
        <v>21445</v>
      </c>
      <c r="U772" s="13">
        <v>9</v>
      </c>
      <c r="V772" s="13" t="s">
        <v>52</v>
      </c>
      <c r="W772" s="13" t="s">
        <v>59</v>
      </c>
      <c r="X772" s="13">
        <v>17</v>
      </c>
      <c r="Y772" s="13">
        <v>3</v>
      </c>
      <c r="Z772" s="13">
        <v>4</v>
      </c>
      <c r="AA772" s="13">
        <v>80</v>
      </c>
      <c r="AB772" s="13">
        <v>2</v>
      </c>
      <c r="AC772" s="13">
        <v>23</v>
      </c>
      <c r="AD772" s="13">
        <v>0</v>
      </c>
      <c r="AE772" s="13">
        <v>3</v>
      </c>
      <c r="AF772" s="14">
        <v>2</v>
      </c>
      <c r="AG772" s="13">
        <v>2</v>
      </c>
      <c r="AH772" s="13">
        <v>2</v>
      </c>
      <c r="AI772" s="13">
        <v>2</v>
      </c>
      <c r="AJ772" s="13" t="str">
        <f t="shared" si="12"/>
        <v>40-49</v>
      </c>
      <c r="AK772" s="13" t="str">
        <f>IF(tblCleanData[[#This Row],[MonthlyIncome]]&lt;5000, "Low Income", IF(tblCleanData[[#This Row],[MonthlyIncome]]&lt;15000, "Medium Income", "High Income"))</f>
        <v>High Income</v>
      </c>
      <c r="AL772" s="13">
        <f>IF(tblCleanData[[#This Row],[Attrition]]="No", 0,1)</f>
        <v>0</v>
      </c>
      <c r="AM772" s="13">
        <f>IF(tblCleanData[[#This Row],[OverTime]] = "No", 0, 1)</f>
        <v>0</v>
      </c>
      <c r="AN772" s="13" t="str">
        <f>CHOOSE(tblCleanData[[#This Row],[Education]], "Below College","College","Bachelor","Master","Doctor")</f>
        <v>Master</v>
      </c>
      <c r="AO772" s="13" t="str">
        <f>VLOOKUP(tblCleanData[[#This Row],[EmployeeNumber]],tblHelpers[],15,TRUE)</f>
        <v>Medium Risk</v>
      </c>
      <c r="AP772" s="13">
        <f>VLOOKUP(tblCleanData[[#This Row],[EmployeeNumber]],tblHelpers[],14,0)</f>
        <v>46</v>
      </c>
    </row>
    <row r="773" spans="1:42" x14ac:dyDescent="0.25">
      <c r="A773" s="13">
        <v>54</v>
      </c>
      <c r="B773" s="13" t="s">
        <v>59</v>
      </c>
      <c r="C773" s="13" t="s">
        <v>37</v>
      </c>
      <c r="D773" s="13">
        <v>1082</v>
      </c>
      <c r="E773" s="13" t="s">
        <v>39</v>
      </c>
      <c r="F773" s="13">
        <v>2</v>
      </c>
      <c r="G773" s="13">
        <v>4</v>
      </c>
      <c r="H773" s="13" t="s">
        <v>42</v>
      </c>
      <c r="I773" s="13">
        <v>1</v>
      </c>
      <c r="J773" s="13">
        <v>1070</v>
      </c>
      <c r="K773" s="13">
        <v>3</v>
      </c>
      <c r="L773" s="13" t="s">
        <v>43</v>
      </c>
      <c r="M773" s="13">
        <v>41</v>
      </c>
      <c r="N773" s="13">
        <v>2</v>
      </c>
      <c r="O773" s="13">
        <v>3</v>
      </c>
      <c r="P773" s="13" t="s">
        <v>46</v>
      </c>
      <c r="Q773" s="13">
        <v>3</v>
      </c>
      <c r="R773" s="13" t="s">
        <v>66</v>
      </c>
      <c r="S773" s="20">
        <v>10686</v>
      </c>
      <c r="T773" s="13">
        <v>8392</v>
      </c>
      <c r="U773" s="13">
        <v>6</v>
      </c>
      <c r="V773" s="13" t="s">
        <v>52</v>
      </c>
      <c r="W773" s="13" t="s">
        <v>59</v>
      </c>
      <c r="X773" s="13">
        <v>11</v>
      </c>
      <c r="Y773" s="13">
        <v>3</v>
      </c>
      <c r="Z773" s="13">
        <v>2</v>
      </c>
      <c r="AA773" s="13">
        <v>80</v>
      </c>
      <c r="AB773" s="13">
        <v>1</v>
      </c>
      <c r="AC773" s="13">
        <v>13</v>
      </c>
      <c r="AD773" s="13">
        <v>4</v>
      </c>
      <c r="AE773" s="13">
        <v>3</v>
      </c>
      <c r="AF773" s="14">
        <v>9</v>
      </c>
      <c r="AG773" s="13">
        <v>4</v>
      </c>
      <c r="AH773" s="13">
        <v>7</v>
      </c>
      <c r="AI773" s="13">
        <v>0</v>
      </c>
      <c r="AJ773" s="13" t="str">
        <f t="shared" si="12"/>
        <v>50+</v>
      </c>
      <c r="AK773" s="13" t="str">
        <f>IF(tblCleanData[[#This Row],[MonthlyIncome]]&lt;5000, "Low Income", IF(tblCleanData[[#This Row],[MonthlyIncome]]&lt;15000, "Medium Income", "High Income"))</f>
        <v>Medium Income</v>
      </c>
      <c r="AL773" s="13">
        <f>IF(tblCleanData[[#This Row],[Attrition]]="No", 0,1)</f>
        <v>0</v>
      </c>
      <c r="AM773" s="13">
        <f>IF(tblCleanData[[#This Row],[OverTime]] = "No", 0, 1)</f>
        <v>0</v>
      </c>
      <c r="AN773" s="13" t="str">
        <f>CHOOSE(tblCleanData[[#This Row],[Education]], "Below College","College","Bachelor","Master","Doctor")</f>
        <v>Master</v>
      </c>
      <c r="AO773" s="13" t="str">
        <f>VLOOKUP(tblCleanData[[#This Row],[EmployeeNumber]],tblHelpers[],15,TRUE)</f>
        <v>Medium Risk</v>
      </c>
      <c r="AP773" s="13">
        <f>VLOOKUP(tblCleanData[[#This Row],[EmployeeNumber]],tblHelpers[],14,0)</f>
        <v>41</v>
      </c>
    </row>
    <row r="774" spans="1:42" x14ac:dyDescent="0.25">
      <c r="A774" s="13">
        <v>56</v>
      </c>
      <c r="B774" s="13" t="s">
        <v>59</v>
      </c>
      <c r="C774" s="13" t="s">
        <v>60</v>
      </c>
      <c r="D774" s="13">
        <v>1240</v>
      </c>
      <c r="E774" s="13" t="s">
        <v>62</v>
      </c>
      <c r="F774" s="13">
        <v>9</v>
      </c>
      <c r="G774" s="13">
        <v>3</v>
      </c>
      <c r="H774" s="13" t="s">
        <v>87</v>
      </c>
      <c r="I774" s="13">
        <v>1</v>
      </c>
      <c r="J774" s="13">
        <v>1071</v>
      </c>
      <c r="K774" s="13">
        <v>1</v>
      </c>
      <c r="L774" s="13" t="s">
        <v>43</v>
      </c>
      <c r="M774" s="13">
        <v>63</v>
      </c>
      <c r="N774" s="13">
        <v>3</v>
      </c>
      <c r="O774" s="13">
        <v>1</v>
      </c>
      <c r="P774" s="13" t="s">
        <v>65</v>
      </c>
      <c r="Q774" s="13">
        <v>3</v>
      </c>
      <c r="R774" s="13" t="s">
        <v>66</v>
      </c>
      <c r="S774" s="20">
        <v>2942</v>
      </c>
      <c r="T774" s="13">
        <v>12154</v>
      </c>
      <c r="U774" s="13">
        <v>2</v>
      </c>
      <c r="V774" s="13" t="s">
        <v>52</v>
      </c>
      <c r="W774" s="13" t="s">
        <v>59</v>
      </c>
      <c r="X774" s="13">
        <v>19</v>
      </c>
      <c r="Y774" s="13">
        <v>3</v>
      </c>
      <c r="Z774" s="13">
        <v>2</v>
      </c>
      <c r="AA774" s="13">
        <v>80</v>
      </c>
      <c r="AB774" s="13">
        <v>1</v>
      </c>
      <c r="AC774" s="13">
        <v>18</v>
      </c>
      <c r="AD774" s="13">
        <v>4</v>
      </c>
      <c r="AE774" s="13">
        <v>3</v>
      </c>
      <c r="AF774" s="14">
        <v>5</v>
      </c>
      <c r="AG774" s="13">
        <v>4</v>
      </c>
      <c r="AH774" s="13">
        <v>0</v>
      </c>
      <c r="AI774" s="13">
        <v>3</v>
      </c>
      <c r="AJ774" s="13" t="str">
        <f t="shared" si="12"/>
        <v>50+</v>
      </c>
      <c r="AK774" s="13" t="str">
        <f>IF(tblCleanData[[#This Row],[MonthlyIncome]]&lt;5000, "Low Income", IF(tblCleanData[[#This Row],[MonthlyIncome]]&lt;15000, "Medium Income", "High Income"))</f>
        <v>Low Income</v>
      </c>
      <c r="AL774" s="13">
        <f>IF(tblCleanData[[#This Row],[Attrition]]="No", 0,1)</f>
        <v>0</v>
      </c>
      <c r="AM774" s="13">
        <f>IF(tblCleanData[[#This Row],[OverTime]] = "No", 0, 1)</f>
        <v>0</v>
      </c>
      <c r="AN774" s="13" t="str">
        <f>CHOOSE(tblCleanData[[#This Row],[Education]], "Below College","College","Bachelor","Master","Doctor")</f>
        <v>Bachelor</v>
      </c>
      <c r="AO774" s="13" t="str">
        <f>VLOOKUP(tblCleanData[[#This Row],[EmployeeNumber]],tblHelpers[],15,TRUE)</f>
        <v>Medium Risk</v>
      </c>
      <c r="AP774" s="13">
        <f>VLOOKUP(tblCleanData[[#This Row],[EmployeeNumber]],tblHelpers[],14,0)</f>
        <v>48</v>
      </c>
    </row>
    <row r="775" spans="1:42" x14ac:dyDescent="0.25">
      <c r="A775" s="13">
        <v>36</v>
      </c>
      <c r="B775" s="13" t="s">
        <v>59</v>
      </c>
      <c r="C775" s="13" t="s">
        <v>37</v>
      </c>
      <c r="D775" s="13">
        <v>796</v>
      </c>
      <c r="E775" s="13" t="s">
        <v>62</v>
      </c>
      <c r="F775" s="13">
        <v>12</v>
      </c>
      <c r="G775" s="13">
        <v>5</v>
      </c>
      <c r="H775" s="13" t="s">
        <v>87</v>
      </c>
      <c r="I775" s="13">
        <v>1</v>
      </c>
      <c r="J775" s="13">
        <v>1073</v>
      </c>
      <c r="K775" s="13">
        <v>4</v>
      </c>
      <c r="L775" s="13" t="s">
        <v>43</v>
      </c>
      <c r="M775" s="13">
        <v>51</v>
      </c>
      <c r="N775" s="13">
        <v>2</v>
      </c>
      <c r="O775" s="13">
        <v>3</v>
      </c>
      <c r="P775" s="13" t="s">
        <v>116</v>
      </c>
      <c r="Q775" s="13">
        <v>4</v>
      </c>
      <c r="R775" s="13" t="s">
        <v>48</v>
      </c>
      <c r="S775" s="20">
        <v>8858</v>
      </c>
      <c r="T775" s="13">
        <v>15669</v>
      </c>
      <c r="U775" s="13">
        <v>0</v>
      </c>
      <c r="V775" s="13" t="s">
        <v>52</v>
      </c>
      <c r="W775" s="13" t="s">
        <v>59</v>
      </c>
      <c r="X775" s="13">
        <v>11</v>
      </c>
      <c r="Y775" s="13">
        <v>3</v>
      </c>
      <c r="Z775" s="13">
        <v>2</v>
      </c>
      <c r="AA775" s="13">
        <v>80</v>
      </c>
      <c r="AB775" s="13">
        <v>0</v>
      </c>
      <c r="AC775" s="13">
        <v>15</v>
      </c>
      <c r="AD775" s="13">
        <v>2</v>
      </c>
      <c r="AE775" s="13">
        <v>2</v>
      </c>
      <c r="AF775" s="14">
        <v>14</v>
      </c>
      <c r="AG775" s="13">
        <v>8</v>
      </c>
      <c r="AH775" s="13">
        <v>7</v>
      </c>
      <c r="AI775" s="13">
        <v>8</v>
      </c>
      <c r="AJ775" s="13" t="str">
        <f t="shared" si="12"/>
        <v>30-39</v>
      </c>
      <c r="AK775" s="13" t="str">
        <f>IF(tblCleanData[[#This Row],[MonthlyIncome]]&lt;5000, "Low Income", IF(tblCleanData[[#This Row],[MonthlyIncome]]&lt;15000, "Medium Income", "High Income"))</f>
        <v>Medium Income</v>
      </c>
      <c r="AL775" s="13">
        <f>IF(tblCleanData[[#This Row],[Attrition]]="No", 0,1)</f>
        <v>0</v>
      </c>
      <c r="AM775" s="13">
        <f>IF(tblCleanData[[#This Row],[OverTime]] = "No", 0, 1)</f>
        <v>0</v>
      </c>
      <c r="AN775" s="13" t="str">
        <f>CHOOSE(tblCleanData[[#This Row],[Education]], "Below College","College","Bachelor","Master","Doctor")</f>
        <v>Doctor</v>
      </c>
      <c r="AO775" s="13" t="str">
        <f>VLOOKUP(tblCleanData[[#This Row],[EmployeeNumber]],tblHelpers[],15,TRUE)</f>
        <v>Low Risk</v>
      </c>
      <c r="AP775" s="13">
        <f>VLOOKUP(tblCleanData[[#This Row],[EmployeeNumber]],tblHelpers[],14,0)</f>
        <v>34</v>
      </c>
    </row>
    <row r="776" spans="1:42" x14ac:dyDescent="0.25">
      <c r="A776" s="13">
        <v>55</v>
      </c>
      <c r="B776" s="13" t="s">
        <v>59</v>
      </c>
      <c r="C776" s="13" t="s">
        <v>161</v>
      </c>
      <c r="D776" s="13">
        <v>444</v>
      </c>
      <c r="E776" s="13" t="s">
        <v>62</v>
      </c>
      <c r="F776" s="13">
        <v>2</v>
      </c>
      <c r="G776" s="13">
        <v>1</v>
      </c>
      <c r="H776" s="13" t="s">
        <v>87</v>
      </c>
      <c r="I776" s="13">
        <v>1</v>
      </c>
      <c r="J776" s="13">
        <v>1074</v>
      </c>
      <c r="K776" s="13">
        <v>3</v>
      </c>
      <c r="L776" s="13" t="s">
        <v>63</v>
      </c>
      <c r="M776" s="13">
        <v>40</v>
      </c>
      <c r="N776" s="13">
        <v>2</v>
      </c>
      <c r="O776" s="13">
        <v>4</v>
      </c>
      <c r="P776" s="13" t="s">
        <v>169</v>
      </c>
      <c r="Q776" s="13">
        <v>1</v>
      </c>
      <c r="R776" s="13" t="s">
        <v>48</v>
      </c>
      <c r="S776" s="20">
        <v>16756</v>
      </c>
      <c r="T776" s="13">
        <v>17323</v>
      </c>
      <c r="U776" s="13">
        <v>7</v>
      </c>
      <c r="V776" s="13" t="s">
        <v>52</v>
      </c>
      <c r="W776" s="13" t="s">
        <v>59</v>
      </c>
      <c r="X776" s="13">
        <v>15</v>
      </c>
      <c r="Y776" s="13">
        <v>3</v>
      </c>
      <c r="Z776" s="13">
        <v>2</v>
      </c>
      <c r="AA776" s="13">
        <v>80</v>
      </c>
      <c r="AB776" s="13">
        <v>0</v>
      </c>
      <c r="AC776" s="13">
        <v>31</v>
      </c>
      <c r="AD776" s="13">
        <v>3</v>
      </c>
      <c r="AE776" s="13">
        <v>4</v>
      </c>
      <c r="AF776" s="14">
        <v>9</v>
      </c>
      <c r="AG776" s="13">
        <v>7</v>
      </c>
      <c r="AH776" s="13">
        <v>6</v>
      </c>
      <c r="AI776" s="13">
        <v>2</v>
      </c>
      <c r="AJ776" s="13" t="str">
        <f t="shared" si="12"/>
        <v>50+</v>
      </c>
      <c r="AK776" s="13" t="str">
        <f>IF(tblCleanData[[#This Row],[MonthlyIncome]]&lt;5000, "Low Income", IF(tblCleanData[[#This Row],[MonthlyIncome]]&lt;15000, "Medium Income", "High Income"))</f>
        <v>High Income</v>
      </c>
      <c r="AL776" s="13">
        <f>IF(tblCleanData[[#This Row],[Attrition]]="No", 0,1)</f>
        <v>0</v>
      </c>
      <c r="AM776" s="13">
        <f>IF(tblCleanData[[#This Row],[OverTime]] = "No", 0, 1)</f>
        <v>0</v>
      </c>
      <c r="AN776" s="13" t="str">
        <f>CHOOSE(tblCleanData[[#This Row],[Education]], "Below College","College","Bachelor","Master","Doctor")</f>
        <v>Below College</v>
      </c>
      <c r="AO776" s="13" t="str">
        <f>VLOOKUP(tblCleanData[[#This Row],[EmployeeNumber]],tblHelpers[],15,TRUE)</f>
        <v>Medium Risk</v>
      </c>
      <c r="AP776" s="13">
        <f>VLOOKUP(tblCleanData[[#This Row],[EmployeeNumber]],tblHelpers[],14,0)</f>
        <v>53</v>
      </c>
    </row>
    <row r="777" spans="1:42" x14ac:dyDescent="0.25">
      <c r="A777" s="13">
        <v>43</v>
      </c>
      <c r="B777" s="13" t="s">
        <v>59</v>
      </c>
      <c r="C777" s="13" t="s">
        <v>37</v>
      </c>
      <c r="D777" s="13">
        <v>415</v>
      </c>
      <c r="E777" s="13" t="s">
        <v>39</v>
      </c>
      <c r="F777" s="13">
        <v>25</v>
      </c>
      <c r="G777" s="13">
        <v>3</v>
      </c>
      <c r="H777" s="13" t="s">
        <v>87</v>
      </c>
      <c r="I777" s="13">
        <v>1</v>
      </c>
      <c r="J777" s="13">
        <v>1076</v>
      </c>
      <c r="K777" s="13">
        <v>3</v>
      </c>
      <c r="L777" s="13" t="s">
        <v>63</v>
      </c>
      <c r="M777" s="13">
        <v>79</v>
      </c>
      <c r="N777" s="13">
        <v>2</v>
      </c>
      <c r="O777" s="13">
        <v>3</v>
      </c>
      <c r="P777" s="13" t="s">
        <v>46</v>
      </c>
      <c r="Q777" s="13">
        <v>4</v>
      </c>
      <c r="R777" s="13" t="s">
        <v>109</v>
      </c>
      <c r="S777" s="20">
        <v>10798</v>
      </c>
      <c r="T777" s="13">
        <v>5268</v>
      </c>
      <c r="U777" s="13">
        <v>5</v>
      </c>
      <c r="V777" s="13" t="s">
        <v>52</v>
      </c>
      <c r="W777" s="13" t="s">
        <v>59</v>
      </c>
      <c r="X777" s="13">
        <v>13</v>
      </c>
      <c r="Y777" s="13">
        <v>3</v>
      </c>
      <c r="Z777" s="13">
        <v>3</v>
      </c>
      <c r="AA777" s="13">
        <v>80</v>
      </c>
      <c r="AB777" s="13">
        <v>1</v>
      </c>
      <c r="AC777" s="13">
        <v>18</v>
      </c>
      <c r="AD777" s="13">
        <v>5</v>
      </c>
      <c r="AE777" s="13">
        <v>3</v>
      </c>
      <c r="AF777" s="14">
        <v>1</v>
      </c>
      <c r="AG777" s="13">
        <v>0</v>
      </c>
      <c r="AH777" s="13">
        <v>0</v>
      </c>
      <c r="AI777" s="13">
        <v>0</v>
      </c>
      <c r="AJ777" s="13" t="str">
        <f t="shared" si="12"/>
        <v>40-49</v>
      </c>
      <c r="AK777" s="13" t="str">
        <f>IF(tblCleanData[[#This Row],[MonthlyIncome]]&lt;5000, "Low Income", IF(tblCleanData[[#This Row],[MonthlyIncome]]&lt;15000, "Medium Income", "High Income"))</f>
        <v>Medium Income</v>
      </c>
      <c r="AL777" s="13">
        <f>IF(tblCleanData[[#This Row],[Attrition]]="No", 0,1)</f>
        <v>0</v>
      </c>
      <c r="AM777" s="13">
        <f>IF(tblCleanData[[#This Row],[OverTime]] = "No", 0, 1)</f>
        <v>0</v>
      </c>
      <c r="AN777" s="13" t="str">
        <f>CHOOSE(tblCleanData[[#This Row],[Education]], "Below College","College","Bachelor","Master","Doctor")</f>
        <v>Bachelor</v>
      </c>
      <c r="AO777" s="13" t="str">
        <f>VLOOKUP(tblCleanData[[#This Row],[EmployeeNumber]],tblHelpers[],15,TRUE)</f>
        <v>Medium Risk</v>
      </c>
      <c r="AP777" s="13">
        <f>VLOOKUP(tblCleanData[[#This Row],[EmployeeNumber]],tblHelpers[],14,0)</f>
        <v>46</v>
      </c>
    </row>
    <row r="778" spans="1:42" x14ac:dyDescent="0.25">
      <c r="A778" s="13">
        <v>20</v>
      </c>
      <c r="B778" s="13" t="s">
        <v>36</v>
      </c>
      <c r="C778" s="13" t="s">
        <v>60</v>
      </c>
      <c r="D778" s="13">
        <v>769</v>
      </c>
      <c r="E778" s="13" t="s">
        <v>39</v>
      </c>
      <c r="F778" s="13">
        <v>9</v>
      </c>
      <c r="G778" s="13">
        <v>3</v>
      </c>
      <c r="H778" s="13" t="s">
        <v>206</v>
      </c>
      <c r="I778" s="13">
        <v>1</v>
      </c>
      <c r="J778" s="13">
        <v>1077</v>
      </c>
      <c r="K778" s="13">
        <v>4</v>
      </c>
      <c r="L778" s="13" t="s">
        <v>43</v>
      </c>
      <c r="M778" s="13">
        <v>54</v>
      </c>
      <c r="N778" s="13">
        <v>3</v>
      </c>
      <c r="O778" s="13">
        <v>1</v>
      </c>
      <c r="P778" s="13" t="s">
        <v>182</v>
      </c>
      <c r="Q778" s="13">
        <v>4</v>
      </c>
      <c r="R778" s="13" t="s">
        <v>48</v>
      </c>
      <c r="S778" s="20">
        <v>2323</v>
      </c>
      <c r="T778" s="13">
        <v>17205</v>
      </c>
      <c r="U778" s="13">
        <v>1</v>
      </c>
      <c r="V778" s="13" t="s">
        <v>52</v>
      </c>
      <c r="W778" s="13" t="s">
        <v>36</v>
      </c>
      <c r="X778" s="13">
        <v>14</v>
      </c>
      <c r="Y778" s="13">
        <v>3</v>
      </c>
      <c r="Z778" s="13">
        <v>2</v>
      </c>
      <c r="AA778" s="13">
        <v>80</v>
      </c>
      <c r="AB778" s="13">
        <v>0</v>
      </c>
      <c r="AC778" s="13">
        <v>2</v>
      </c>
      <c r="AD778" s="13">
        <v>3</v>
      </c>
      <c r="AE778" s="13">
        <v>3</v>
      </c>
      <c r="AF778" s="14">
        <v>2</v>
      </c>
      <c r="AG778" s="13">
        <v>2</v>
      </c>
      <c r="AH778" s="13">
        <v>0</v>
      </c>
      <c r="AI778" s="13">
        <v>2</v>
      </c>
      <c r="AJ778" s="13" t="str">
        <f t="shared" si="12"/>
        <v>Under 30</v>
      </c>
      <c r="AK778" s="13" t="str">
        <f>IF(tblCleanData[[#This Row],[MonthlyIncome]]&lt;5000, "Low Income", IF(tblCleanData[[#This Row],[MonthlyIncome]]&lt;15000, "Medium Income", "High Income"))</f>
        <v>Low Income</v>
      </c>
      <c r="AL778" s="13">
        <f>IF(tblCleanData[[#This Row],[Attrition]]="No", 0,1)</f>
        <v>1</v>
      </c>
      <c r="AM778" s="13">
        <f>IF(tblCleanData[[#This Row],[OverTime]] = "No", 0, 1)</f>
        <v>1</v>
      </c>
      <c r="AN778" s="13" t="str">
        <f>CHOOSE(tblCleanData[[#This Row],[Education]], "Below College","College","Bachelor","Master","Doctor")</f>
        <v>Bachelor</v>
      </c>
      <c r="AO778" s="13" t="str">
        <f>VLOOKUP(tblCleanData[[#This Row],[EmployeeNumber]],tblHelpers[],15,TRUE)</f>
        <v>High Risk</v>
      </c>
      <c r="AP778" s="13">
        <f>VLOOKUP(tblCleanData[[#This Row],[EmployeeNumber]],tblHelpers[],14,0)</f>
        <v>91</v>
      </c>
    </row>
    <row r="779" spans="1:42" x14ac:dyDescent="0.25">
      <c r="A779" s="13">
        <v>21</v>
      </c>
      <c r="B779" s="13" t="s">
        <v>36</v>
      </c>
      <c r="C779" s="13" t="s">
        <v>37</v>
      </c>
      <c r="D779" s="13">
        <v>1334</v>
      </c>
      <c r="E779" s="13" t="s">
        <v>62</v>
      </c>
      <c r="F779" s="13">
        <v>10</v>
      </c>
      <c r="G779" s="13">
        <v>3</v>
      </c>
      <c r="H779" s="13" t="s">
        <v>42</v>
      </c>
      <c r="I779" s="13">
        <v>1</v>
      </c>
      <c r="J779" s="13">
        <v>1079</v>
      </c>
      <c r="K779" s="13">
        <v>3</v>
      </c>
      <c r="L779" s="13" t="s">
        <v>43</v>
      </c>
      <c r="M779" s="13">
        <v>36</v>
      </c>
      <c r="N779" s="13">
        <v>2</v>
      </c>
      <c r="O779" s="13">
        <v>1</v>
      </c>
      <c r="P779" s="13" t="s">
        <v>76</v>
      </c>
      <c r="Q779" s="13">
        <v>1</v>
      </c>
      <c r="R779" s="13" t="s">
        <v>48</v>
      </c>
      <c r="S779" s="20">
        <v>1416</v>
      </c>
      <c r="T779" s="13">
        <v>17258</v>
      </c>
      <c r="U779" s="13">
        <v>1</v>
      </c>
      <c r="V779" s="13" t="s">
        <v>52</v>
      </c>
      <c r="W779" s="13" t="s">
        <v>59</v>
      </c>
      <c r="X779" s="13">
        <v>13</v>
      </c>
      <c r="Y779" s="13">
        <v>3</v>
      </c>
      <c r="Z779" s="13">
        <v>1</v>
      </c>
      <c r="AA779" s="13">
        <v>80</v>
      </c>
      <c r="AB779" s="13">
        <v>0</v>
      </c>
      <c r="AC779" s="13">
        <v>1</v>
      </c>
      <c r="AD779" s="13">
        <v>6</v>
      </c>
      <c r="AE779" s="13">
        <v>2</v>
      </c>
      <c r="AF779" s="14">
        <v>1</v>
      </c>
      <c r="AG779" s="13">
        <v>0</v>
      </c>
      <c r="AH779" s="13">
        <v>1</v>
      </c>
      <c r="AI779" s="13">
        <v>0</v>
      </c>
      <c r="AJ779" s="13" t="str">
        <f t="shared" si="12"/>
        <v>Under 30</v>
      </c>
      <c r="AK779" s="13" t="str">
        <f>IF(tblCleanData[[#This Row],[MonthlyIncome]]&lt;5000, "Low Income", IF(tblCleanData[[#This Row],[MonthlyIncome]]&lt;15000, "Medium Income", "High Income"))</f>
        <v>Low Income</v>
      </c>
      <c r="AL779" s="13">
        <f>IF(tblCleanData[[#This Row],[Attrition]]="No", 0,1)</f>
        <v>1</v>
      </c>
      <c r="AM779" s="13">
        <f>IF(tblCleanData[[#This Row],[OverTime]] = "No", 0, 1)</f>
        <v>0</v>
      </c>
      <c r="AN779" s="13" t="str">
        <f>CHOOSE(tblCleanData[[#This Row],[Education]], "Below College","College","Bachelor","Master","Doctor")</f>
        <v>Bachelor</v>
      </c>
      <c r="AO779" s="13" t="str">
        <f>VLOOKUP(tblCleanData[[#This Row],[EmployeeNumber]],tblHelpers[],15,TRUE)</f>
        <v>High Risk</v>
      </c>
      <c r="AP779" s="13">
        <f>VLOOKUP(tblCleanData[[#This Row],[EmployeeNumber]],tblHelpers[],14,0)</f>
        <v>85</v>
      </c>
    </row>
    <row r="780" spans="1:42" x14ac:dyDescent="0.25">
      <c r="A780" s="13">
        <v>46</v>
      </c>
      <c r="B780" s="13" t="s">
        <v>59</v>
      </c>
      <c r="C780" s="13" t="s">
        <v>37</v>
      </c>
      <c r="D780" s="13">
        <v>1003</v>
      </c>
      <c r="E780" s="13" t="s">
        <v>62</v>
      </c>
      <c r="F780" s="13">
        <v>8</v>
      </c>
      <c r="G780" s="13">
        <v>4</v>
      </c>
      <c r="H780" s="13" t="s">
        <v>42</v>
      </c>
      <c r="I780" s="13">
        <v>1</v>
      </c>
      <c r="J780" s="13">
        <v>1080</v>
      </c>
      <c r="K780" s="13">
        <v>4</v>
      </c>
      <c r="L780" s="13" t="s">
        <v>43</v>
      </c>
      <c r="M780" s="13">
        <v>74</v>
      </c>
      <c r="N780" s="13">
        <v>2</v>
      </c>
      <c r="O780" s="13">
        <v>2</v>
      </c>
      <c r="P780" s="13" t="s">
        <v>65</v>
      </c>
      <c r="Q780" s="13">
        <v>1</v>
      </c>
      <c r="R780" s="13" t="s">
        <v>109</v>
      </c>
      <c r="S780" s="20">
        <v>4615</v>
      </c>
      <c r="T780" s="13">
        <v>21029</v>
      </c>
      <c r="U780" s="13">
        <v>8</v>
      </c>
      <c r="V780" s="13" t="s">
        <v>52</v>
      </c>
      <c r="W780" s="13" t="s">
        <v>36</v>
      </c>
      <c r="X780" s="13">
        <v>23</v>
      </c>
      <c r="Y780" s="13">
        <v>4</v>
      </c>
      <c r="Z780" s="13">
        <v>1</v>
      </c>
      <c r="AA780" s="13">
        <v>80</v>
      </c>
      <c r="AB780" s="13">
        <v>3</v>
      </c>
      <c r="AC780" s="13">
        <v>19</v>
      </c>
      <c r="AD780" s="13">
        <v>2</v>
      </c>
      <c r="AE780" s="13">
        <v>3</v>
      </c>
      <c r="AF780" s="14">
        <v>16</v>
      </c>
      <c r="AG780" s="13">
        <v>13</v>
      </c>
      <c r="AH780" s="13">
        <v>1</v>
      </c>
      <c r="AI780" s="13">
        <v>7</v>
      </c>
      <c r="AJ780" s="13" t="str">
        <f t="shared" si="12"/>
        <v>40-49</v>
      </c>
      <c r="AK780" s="13" t="str">
        <f>IF(tblCleanData[[#This Row],[MonthlyIncome]]&lt;5000, "Low Income", IF(tblCleanData[[#This Row],[MonthlyIncome]]&lt;15000, "Medium Income", "High Income"))</f>
        <v>Low Income</v>
      </c>
      <c r="AL780" s="13">
        <f>IF(tblCleanData[[#This Row],[Attrition]]="No", 0,1)</f>
        <v>0</v>
      </c>
      <c r="AM780" s="13">
        <f>IF(tblCleanData[[#This Row],[OverTime]] = "No", 0, 1)</f>
        <v>1</v>
      </c>
      <c r="AN780" s="13" t="str">
        <f>CHOOSE(tblCleanData[[#This Row],[Education]], "Below College","College","Bachelor","Master","Doctor")</f>
        <v>Master</v>
      </c>
      <c r="AO780" s="13" t="str">
        <f>VLOOKUP(tblCleanData[[#This Row],[EmployeeNumber]],tblHelpers[],15,TRUE)</f>
        <v>High Risk</v>
      </c>
      <c r="AP780" s="13">
        <f>VLOOKUP(tblCleanData[[#This Row],[EmployeeNumber]],tblHelpers[],14,0)</f>
        <v>68</v>
      </c>
    </row>
    <row r="781" spans="1:42" x14ac:dyDescent="0.25">
      <c r="A781" s="13">
        <v>51</v>
      </c>
      <c r="B781" s="13" t="s">
        <v>36</v>
      </c>
      <c r="C781" s="13" t="s">
        <v>37</v>
      </c>
      <c r="D781" s="13">
        <v>1323</v>
      </c>
      <c r="E781" s="13" t="s">
        <v>62</v>
      </c>
      <c r="F781" s="13">
        <v>4</v>
      </c>
      <c r="G781" s="13">
        <v>4</v>
      </c>
      <c r="H781" s="13" t="s">
        <v>42</v>
      </c>
      <c r="I781" s="13">
        <v>1</v>
      </c>
      <c r="J781" s="13">
        <v>1081</v>
      </c>
      <c r="K781" s="13">
        <v>1</v>
      </c>
      <c r="L781" s="13" t="s">
        <v>63</v>
      </c>
      <c r="M781" s="13">
        <v>34</v>
      </c>
      <c r="N781" s="13">
        <v>3</v>
      </c>
      <c r="O781" s="13">
        <v>1</v>
      </c>
      <c r="P781" s="13" t="s">
        <v>65</v>
      </c>
      <c r="Q781" s="13">
        <v>3</v>
      </c>
      <c r="R781" s="13" t="s">
        <v>66</v>
      </c>
      <c r="S781" s="20">
        <v>2461</v>
      </c>
      <c r="T781" s="13">
        <v>10332</v>
      </c>
      <c r="U781" s="13">
        <v>9</v>
      </c>
      <c r="V781" s="13" t="s">
        <v>52</v>
      </c>
      <c r="W781" s="13" t="s">
        <v>36</v>
      </c>
      <c r="X781" s="13">
        <v>12</v>
      </c>
      <c r="Y781" s="13">
        <v>3</v>
      </c>
      <c r="Z781" s="13">
        <v>3</v>
      </c>
      <c r="AA781" s="13">
        <v>80</v>
      </c>
      <c r="AB781" s="13">
        <v>3</v>
      </c>
      <c r="AC781" s="13">
        <v>18</v>
      </c>
      <c r="AD781" s="13">
        <v>2</v>
      </c>
      <c r="AE781" s="13">
        <v>4</v>
      </c>
      <c r="AF781" s="14">
        <v>10</v>
      </c>
      <c r="AG781" s="13">
        <v>0</v>
      </c>
      <c r="AH781" s="13">
        <v>2</v>
      </c>
      <c r="AI781" s="13">
        <v>7</v>
      </c>
      <c r="AJ781" s="13" t="str">
        <f t="shared" si="12"/>
        <v>50+</v>
      </c>
      <c r="AK781" s="13" t="str">
        <f>IF(tblCleanData[[#This Row],[MonthlyIncome]]&lt;5000, "Low Income", IF(tblCleanData[[#This Row],[MonthlyIncome]]&lt;15000, "Medium Income", "High Income"))</f>
        <v>Low Income</v>
      </c>
      <c r="AL781" s="13">
        <f>IF(tblCleanData[[#This Row],[Attrition]]="No", 0,1)</f>
        <v>1</v>
      </c>
      <c r="AM781" s="13">
        <f>IF(tblCleanData[[#This Row],[OverTime]] = "No", 0, 1)</f>
        <v>1</v>
      </c>
      <c r="AN781" s="13" t="str">
        <f>CHOOSE(tblCleanData[[#This Row],[Education]], "Below College","College","Bachelor","Master","Doctor")</f>
        <v>Master</v>
      </c>
      <c r="AO781" s="13" t="str">
        <f>VLOOKUP(tblCleanData[[#This Row],[EmployeeNumber]],tblHelpers[],15,TRUE)</f>
        <v>High Risk</v>
      </c>
      <c r="AP781" s="13">
        <f>VLOOKUP(tblCleanData[[#This Row],[EmployeeNumber]],tblHelpers[],14,0)</f>
        <v>66</v>
      </c>
    </row>
    <row r="782" spans="1:42" x14ac:dyDescent="0.25">
      <c r="A782" s="13">
        <v>28</v>
      </c>
      <c r="B782" s="13" t="s">
        <v>36</v>
      </c>
      <c r="C782" s="13" t="s">
        <v>161</v>
      </c>
      <c r="D782" s="13">
        <v>1366</v>
      </c>
      <c r="E782" s="13" t="s">
        <v>62</v>
      </c>
      <c r="F782" s="13">
        <v>24</v>
      </c>
      <c r="G782" s="13">
        <v>2</v>
      </c>
      <c r="H782" s="13" t="s">
        <v>228</v>
      </c>
      <c r="I782" s="13">
        <v>1</v>
      </c>
      <c r="J782" s="13">
        <v>1082</v>
      </c>
      <c r="K782" s="13">
        <v>2</v>
      </c>
      <c r="L782" s="13" t="s">
        <v>63</v>
      </c>
      <c r="M782" s="13">
        <v>72</v>
      </c>
      <c r="N782" s="13">
        <v>2</v>
      </c>
      <c r="O782" s="13">
        <v>3</v>
      </c>
      <c r="P782" s="13" t="s">
        <v>122</v>
      </c>
      <c r="Q782" s="13">
        <v>1</v>
      </c>
      <c r="R782" s="13" t="s">
        <v>48</v>
      </c>
      <c r="S782" s="20">
        <v>8722</v>
      </c>
      <c r="T782" s="13">
        <v>12355</v>
      </c>
      <c r="U782" s="13">
        <v>1</v>
      </c>
      <c r="V782" s="13" t="s">
        <v>52</v>
      </c>
      <c r="W782" s="13" t="s">
        <v>59</v>
      </c>
      <c r="X782" s="13">
        <v>12</v>
      </c>
      <c r="Y782" s="13">
        <v>3</v>
      </c>
      <c r="Z782" s="13">
        <v>1</v>
      </c>
      <c r="AA782" s="13">
        <v>80</v>
      </c>
      <c r="AB782" s="13">
        <v>0</v>
      </c>
      <c r="AC782" s="13">
        <v>10</v>
      </c>
      <c r="AD782" s="13">
        <v>2</v>
      </c>
      <c r="AE782" s="13">
        <v>2</v>
      </c>
      <c r="AF782" s="14">
        <v>10</v>
      </c>
      <c r="AG782" s="13">
        <v>7</v>
      </c>
      <c r="AH782" s="13">
        <v>1</v>
      </c>
      <c r="AI782" s="13">
        <v>9</v>
      </c>
      <c r="AJ782" s="13" t="str">
        <f t="shared" si="12"/>
        <v>Under 30</v>
      </c>
      <c r="AK782" s="13" t="str">
        <f>IF(tblCleanData[[#This Row],[MonthlyIncome]]&lt;5000, "Low Income", IF(tblCleanData[[#This Row],[MonthlyIncome]]&lt;15000, "Medium Income", "High Income"))</f>
        <v>Medium Income</v>
      </c>
      <c r="AL782" s="13">
        <f>IF(tblCleanData[[#This Row],[Attrition]]="No", 0,1)</f>
        <v>1</v>
      </c>
      <c r="AM782" s="13">
        <f>IF(tblCleanData[[#This Row],[OverTime]] = "No", 0, 1)</f>
        <v>0</v>
      </c>
      <c r="AN782" s="13" t="str">
        <f>CHOOSE(tblCleanData[[#This Row],[Education]], "Below College","College","Bachelor","Master","Doctor")</f>
        <v>College</v>
      </c>
      <c r="AO782" s="13" t="str">
        <f>VLOOKUP(tblCleanData[[#This Row],[EmployeeNumber]],tblHelpers[],15,TRUE)</f>
        <v>High Risk</v>
      </c>
      <c r="AP782" s="13">
        <f>VLOOKUP(tblCleanData[[#This Row],[EmployeeNumber]],tblHelpers[],14,0)</f>
        <v>68</v>
      </c>
    </row>
    <row r="783" spans="1:42" x14ac:dyDescent="0.25">
      <c r="A783" s="13">
        <v>26</v>
      </c>
      <c r="B783" s="13" t="s">
        <v>59</v>
      </c>
      <c r="C783" s="13" t="s">
        <v>37</v>
      </c>
      <c r="D783" s="13">
        <v>192</v>
      </c>
      <c r="E783" s="13" t="s">
        <v>62</v>
      </c>
      <c r="F783" s="13">
        <v>1</v>
      </c>
      <c r="G783" s="13">
        <v>2</v>
      </c>
      <c r="H783" s="13" t="s">
        <v>87</v>
      </c>
      <c r="I783" s="13">
        <v>1</v>
      </c>
      <c r="J783" s="13">
        <v>1083</v>
      </c>
      <c r="K783" s="13">
        <v>1</v>
      </c>
      <c r="L783" s="13" t="s">
        <v>63</v>
      </c>
      <c r="M783" s="13">
        <v>59</v>
      </c>
      <c r="N783" s="13">
        <v>2</v>
      </c>
      <c r="O783" s="13">
        <v>1</v>
      </c>
      <c r="P783" s="13" t="s">
        <v>76</v>
      </c>
      <c r="Q783" s="13">
        <v>1</v>
      </c>
      <c r="R783" s="13" t="s">
        <v>66</v>
      </c>
      <c r="S783" s="20">
        <v>3955</v>
      </c>
      <c r="T783" s="13">
        <v>11141</v>
      </c>
      <c r="U783" s="13">
        <v>1</v>
      </c>
      <c r="V783" s="13" t="s">
        <v>52</v>
      </c>
      <c r="W783" s="13" t="s">
        <v>59</v>
      </c>
      <c r="X783" s="13">
        <v>16</v>
      </c>
      <c r="Y783" s="13">
        <v>3</v>
      </c>
      <c r="Z783" s="13">
        <v>1</v>
      </c>
      <c r="AA783" s="13">
        <v>80</v>
      </c>
      <c r="AB783" s="13">
        <v>2</v>
      </c>
      <c r="AC783" s="13">
        <v>6</v>
      </c>
      <c r="AD783" s="13">
        <v>2</v>
      </c>
      <c r="AE783" s="13">
        <v>3</v>
      </c>
      <c r="AF783" s="14">
        <v>5</v>
      </c>
      <c r="AG783" s="13">
        <v>3</v>
      </c>
      <c r="AH783" s="13">
        <v>1</v>
      </c>
      <c r="AI783" s="13">
        <v>3</v>
      </c>
      <c r="AJ783" s="13" t="str">
        <f t="shared" si="12"/>
        <v>Under 30</v>
      </c>
      <c r="AK783" s="13" t="str">
        <f>IF(tblCleanData[[#This Row],[MonthlyIncome]]&lt;5000, "Low Income", IF(tblCleanData[[#This Row],[MonthlyIncome]]&lt;15000, "Medium Income", "High Income"))</f>
        <v>Low Income</v>
      </c>
      <c r="AL783" s="13">
        <f>IF(tblCleanData[[#This Row],[Attrition]]="No", 0,1)</f>
        <v>0</v>
      </c>
      <c r="AM783" s="13">
        <f>IF(tblCleanData[[#This Row],[OverTime]] = "No", 0, 1)</f>
        <v>0</v>
      </c>
      <c r="AN783" s="13" t="str">
        <f>CHOOSE(tblCleanData[[#This Row],[Education]], "Below College","College","Bachelor","Master","Doctor")</f>
        <v>College</v>
      </c>
      <c r="AO783" s="13" t="str">
        <f>VLOOKUP(tblCleanData[[#This Row],[EmployeeNumber]],tblHelpers[],15,TRUE)</f>
        <v>High Risk</v>
      </c>
      <c r="AP783" s="13">
        <f>VLOOKUP(tblCleanData[[#This Row],[EmployeeNumber]],tblHelpers[],14,0)</f>
        <v>75</v>
      </c>
    </row>
    <row r="784" spans="1:42" x14ac:dyDescent="0.25">
      <c r="A784" s="13">
        <v>30</v>
      </c>
      <c r="B784" s="13" t="s">
        <v>59</v>
      </c>
      <c r="C784" s="13" t="s">
        <v>37</v>
      </c>
      <c r="D784" s="13">
        <v>1176</v>
      </c>
      <c r="E784" s="13" t="s">
        <v>62</v>
      </c>
      <c r="F784" s="13">
        <v>20</v>
      </c>
      <c r="G784" s="13">
        <v>3</v>
      </c>
      <c r="H784" s="13" t="s">
        <v>74</v>
      </c>
      <c r="I784" s="13">
        <v>1</v>
      </c>
      <c r="J784" s="13">
        <v>1084</v>
      </c>
      <c r="K784" s="13">
        <v>3</v>
      </c>
      <c r="L784" s="13" t="s">
        <v>63</v>
      </c>
      <c r="M784" s="13">
        <v>85</v>
      </c>
      <c r="N784" s="13">
        <v>3</v>
      </c>
      <c r="O784" s="13">
        <v>2</v>
      </c>
      <c r="P784" s="13" t="s">
        <v>116</v>
      </c>
      <c r="Q784" s="13">
        <v>1</v>
      </c>
      <c r="R784" s="13" t="s">
        <v>66</v>
      </c>
      <c r="S784" s="20">
        <v>9957</v>
      </c>
      <c r="T784" s="13">
        <v>9096</v>
      </c>
      <c r="U784" s="13">
        <v>0</v>
      </c>
      <c r="V784" s="13" t="s">
        <v>52</v>
      </c>
      <c r="W784" s="13" t="s">
        <v>59</v>
      </c>
      <c r="X784" s="13">
        <v>15</v>
      </c>
      <c r="Y784" s="13">
        <v>3</v>
      </c>
      <c r="Z784" s="13">
        <v>3</v>
      </c>
      <c r="AA784" s="13">
        <v>80</v>
      </c>
      <c r="AB784" s="13">
        <v>1</v>
      </c>
      <c r="AC784" s="13">
        <v>7</v>
      </c>
      <c r="AD784" s="13">
        <v>1</v>
      </c>
      <c r="AE784" s="13">
        <v>2</v>
      </c>
      <c r="AF784" s="14">
        <v>6</v>
      </c>
      <c r="AG784" s="13">
        <v>2</v>
      </c>
      <c r="AH784" s="13">
        <v>0</v>
      </c>
      <c r="AI784" s="13">
        <v>2</v>
      </c>
      <c r="AJ784" s="13" t="str">
        <f t="shared" si="12"/>
        <v>30-39</v>
      </c>
      <c r="AK784" s="13" t="str">
        <f>IF(tblCleanData[[#This Row],[MonthlyIncome]]&lt;5000, "Low Income", IF(tblCleanData[[#This Row],[MonthlyIncome]]&lt;15000, "Medium Income", "High Income"))</f>
        <v>Medium Income</v>
      </c>
      <c r="AL784" s="13">
        <f>IF(tblCleanData[[#This Row],[Attrition]]="No", 0,1)</f>
        <v>0</v>
      </c>
      <c r="AM784" s="13">
        <f>IF(tblCleanData[[#This Row],[OverTime]] = "No", 0, 1)</f>
        <v>0</v>
      </c>
      <c r="AN784" s="13" t="str">
        <f>CHOOSE(tblCleanData[[#This Row],[Education]], "Below College","College","Bachelor","Master","Doctor")</f>
        <v>Bachelor</v>
      </c>
      <c r="AO784" s="13" t="str">
        <f>VLOOKUP(tblCleanData[[#This Row],[EmployeeNumber]],tblHelpers[],15,TRUE)</f>
        <v>High Risk</v>
      </c>
      <c r="AP784" s="13">
        <f>VLOOKUP(tblCleanData[[#This Row],[EmployeeNumber]],tblHelpers[],14,0)</f>
        <v>58</v>
      </c>
    </row>
    <row r="785" spans="1:42" x14ac:dyDescent="0.25">
      <c r="A785" s="13">
        <v>41</v>
      </c>
      <c r="B785" s="13" t="s">
        <v>59</v>
      </c>
      <c r="C785" s="13" t="s">
        <v>37</v>
      </c>
      <c r="D785" s="13">
        <v>509</v>
      </c>
      <c r="E785" s="13" t="s">
        <v>62</v>
      </c>
      <c r="F785" s="13">
        <v>7</v>
      </c>
      <c r="G785" s="13">
        <v>2</v>
      </c>
      <c r="H785" s="13" t="s">
        <v>228</v>
      </c>
      <c r="I785" s="13">
        <v>1</v>
      </c>
      <c r="J785" s="13">
        <v>1085</v>
      </c>
      <c r="K785" s="13">
        <v>2</v>
      </c>
      <c r="L785" s="13" t="s">
        <v>43</v>
      </c>
      <c r="M785" s="13">
        <v>43</v>
      </c>
      <c r="N785" s="13">
        <v>4</v>
      </c>
      <c r="O785" s="13">
        <v>1</v>
      </c>
      <c r="P785" s="13" t="s">
        <v>65</v>
      </c>
      <c r="Q785" s="13">
        <v>3</v>
      </c>
      <c r="R785" s="13" t="s">
        <v>66</v>
      </c>
      <c r="S785" s="20">
        <v>3376</v>
      </c>
      <c r="T785" s="13">
        <v>18863</v>
      </c>
      <c r="U785" s="13">
        <v>1</v>
      </c>
      <c r="V785" s="13" t="s">
        <v>52</v>
      </c>
      <c r="W785" s="13" t="s">
        <v>59</v>
      </c>
      <c r="X785" s="13">
        <v>13</v>
      </c>
      <c r="Y785" s="13">
        <v>3</v>
      </c>
      <c r="Z785" s="13">
        <v>3</v>
      </c>
      <c r="AA785" s="13">
        <v>80</v>
      </c>
      <c r="AB785" s="13">
        <v>0</v>
      </c>
      <c r="AC785" s="13">
        <v>10</v>
      </c>
      <c r="AD785" s="13">
        <v>3</v>
      </c>
      <c r="AE785" s="13">
        <v>3</v>
      </c>
      <c r="AF785" s="14">
        <v>10</v>
      </c>
      <c r="AG785" s="13">
        <v>6</v>
      </c>
      <c r="AH785" s="13">
        <v>0</v>
      </c>
      <c r="AI785" s="13">
        <v>8</v>
      </c>
      <c r="AJ785" s="13" t="str">
        <f t="shared" si="12"/>
        <v>40-49</v>
      </c>
      <c r="AK785" s="13" t="str">
        <f>IF(tblCleanData[[#This Row],[MonthlyIncome]]&lt;5000, "Low Income", IF(tblCleanData[[#This Row],[MonthlyIncome]]&lt;15000, "Medium Income", "High Income"))</f>
        <v>Low Income</v>
      </c>
      <c r="AL785" s="13">
        <f>IF(tblCleanData[[#This Row],[Attrition]]="No", 0,1)</f>
        <v>0</v>
      </c>
      <c r="AM785" s="13">
        <f>IF(tblCleanData[[#This Row],[OverTime]] = "No", 0, 1)</f>
        <v>0</v>
      </c>
      <c r="AN785" s="13" t="str">
        <f>CHOOSE(tblCleanData[[#This Row],[Education]], "Below College","College","Bachelor","Master","Doctor")</f>
        <v>College</v>
      </c>
      <c r="AO785" s="13" t="str">
        <f>VLOOKUP(tblCleanData[[#This Row],[EmployeeNumber]],tblHelpers[],15,TRUE)</f>
        <v>Medium Risk</v>
      </c>
      <c r="AP785" s="13">
        <f>VLOOKUP(tblCleanData[[#This Row],[EmployeeNumber]],tblHelpers[],14,0)</f>
        <v>36</v>
      </c>
    </row>
    <row r="786" spans="1:42" x14ac:dyDescent="0.25">
      <c r="A786" s="13">
        <v>38</v>
      </c>
      <c r="B786" s="13" t="s">
        <v>59</v>
      </c>
      <c r="C786" s="13" t="s">
        <v>37</v>
      </c>
      <c r="D786" s="13">
        <v>330</v>
      </c>
      <c r="E786" s="13" t="s">
        <v>62</v>
      </c>
      <c r="F786" s="13">
        <v>17</v>
      </c>
      <c r="G786" s="13">
        <v>1</v>
      </c>
      <c r="H786" s="13" t="s">
        <v>42</v>
      </c>
      <c r="I786" s="13">
        <v>1</v>
      </c>
      <c r="J786" s="13">
        <v>1088</v>
      </c>
      <c r="K786" s="13">
        <v>3</v>
      </c>
      <c r="L786" s="13" t="s">
        <v>43</v>
      </c>
      <c r="M786" s="13">
        <v>65</v>
      </c>
      <c r="N786" s="13">
        <v>2</v>
      </c>
      <c r="O786" s="13">
        <v>3</v>
      </c>
      <c r="P786" s="13" t="s">
        <v>122</v>
      </c>
      <c r="Q786" s="13">
        <v>3</v>
      </c>
      <c r="R786" s="13" t="s">
        <v>66</v>
      </c>
      <c r="S786" s="20">
        <v>8823</v>
      </c>
      <c r="T786" s="13">
        <v>24608</v>
      </c>
      <c r="U786" s="13">
        <v>0</v>
      </c>
      <c r="V786" s="13" t="s">
        <v>52</v>
      </c>
      <c r="W786" s="13" t="s">
        <v>59</v>
      </c>
      <c r="X786" s="13">
        <v>18</v>
      </c>
      <c r="Y786" s="13">
        <v>3</v>
      </c>
      <c r="Z786" s="13">
        <v>1</v>
      </c>
      <c r="AA786" s="13">
        <v>80</v>
      </c>
      <c r="AB786" s="13">
        <v>1</v>
      </c>
      <c r="AC786" s="13">
        <v>20</v>
      </c>
      <c r="AD786" s="13">
        <v>4</v>
      </c>
      <c r="AE786" s="13">
        <v>2</v>
      </c>
      <c r="AF786" s="14">
        <v>19</v>
      </c>
      <c r="AG786" s="13">
        <v>9</v>
      </c>
      <c r="AH786" s="13">
        <v>1</v>
      </c>
      <c r="AI786" s="13">
        <v>9</v>
      </c>
      <c r="AJ786" s="13" t="str">
        <f t="shared" si="12"/>
        <v>30-39</v>
      </c>
      <c r="AK786" s="13" t="str">
        <f>IF(tblCleanData[[#This Row],[MonthlyIncome]]&lt;5000, "Low Income", IF(tblCleanData[[#This Row],[MonthlyIncome]]&lt;15000, "Medium Income", "High Income"))</f>
        <v>Medium Income</v>
      </c>
      <c r="AL786" s="13">
        <f>IF(tblCleanData[[#This Row],[Attrition]]="No", 0,1)</f>
        <v>0</v>
      </c>
      <c r="AM786" s="13">
        <f>IF(tblCleanData[[#This Row],[OverTime]] = "No", 0, 1)</f>
        <v>0</v>
      </c>
      <c r="AN786" s="13" t="str">
        <f>CHOOSE(tblCleanData[[#This Row],[Education]], "Below College","College","Bachelor","Master","Doctor")</f>
        <v>Below College</v>
      </c>
      <c r="AO786" s="13" t="str">
        <f>VLOOKUP(tblCleanData[[#This Row],[EmployeeNumber]],tblHelpers[],15,TRUE)</f>
        <v>Medium Risk</v>
      </c>
      <c r="AP786" s="13">
        <f>VLOOKUP(tblCleanData[[#This Row],[EmployeeNumber]],tblHelpers[],14,0)</f>
        <v>41</v>
      </c>
    </row>
    <row r="787" spans="1:42" x14ac:dyDescent="0.25">
      <c r="A787" s="13">
        <v>40</v>
      </c>
      <c r="B787" s="13" t="s">
        <v>59</v>
      </c>
      <c r="C787" s="13" t="s">
        <v>37</v>
      </c>
      <c r="D787" s="13">
        <v>1492</v>
      </c>
      <c r="E787" s="13" t="s">
        <v>62</v>
      </c>
      <c r="F787" s="13">
        <v>20</v>
      </c>
      <c r="G787" s="13">
        <v>4</v>
      </c>
      <c r="H787" s="13" t="s">
        <v>228</v>
      </c>
      <c r="I787" s="13">
        <v>1</v>
      </c>
      <c r="J787" s="13">
        <v>1092</v>
      </c>
      <c r="K787" s="13">
        <v>1</v>
      </c>
      <c r="L787" s="13" t="s">
        <v>63</v>
      </c>
      <c r="M787" s="13">
        <v>61</v>
      </c>
      <c r="N787" s="13">
        <v>3</v>
      </c>
      <c r="O787" s="13">
        <v>3</v>
      </c>
      <c r="P787" s="13" t="s">
        <v>122</v>
      </c>
      <c r="Q787" s="13">
        <v>4</v>
      </c>
      <c r="R787" s="13" t="s">
        <v>66</v>
      </c>
      <c r="S787" s="20">
        <v>10322</v>
      </c>
      <c r="T787" s="13">
        <v>26542</v>
      </c>
      <c r="U787" s="13">
        <v>4</v>
      </c>
      <c r="V787" s="13" t="s">
        <v>52</v>
      </c>
      <c r="W787" s="13" t="s">
        <v>59</v>
      </c>
      <c r="X787" s="13">
        <v>20</v>
      </c>
      <c r="Y787" s="13">
        <v>4</v>
      </c>
      <c r="Z787" s="13">
        <v>4</v>
      </c>
      <c r="AA787" s="13">
        <v>80</v>
      </c>
      <c r="AB787" s="13">
        <v>1</v>
      </c>
      <c r="AC787" s="13">
        <v>14</v>
      </c>
      <c r="AD787" s="13">
        <v>6</v>
      </c>
      <c r="AE787" s="13">
        <v>3</v>
      </c>
      <c r="AF787" s="14">
        <v>11</v>
      </c>
      <c r="AG787" s="13">
        <v>10</v>
      </c>
      <c r="AH787" s="13">
        <v>11</v>
      </c>
      <c r="AI787" s="13">
        <v>1</v>
      </c>
      <c r="AJ787" s="13" t="str">
        <f t="shared" si="12"/>
        <v>40-49</v>
      </c>
      <c r="AK787" s="13" t="str">
        <f>IF(tblCleanData[[#This Row],[MonthlyIncome]]&lt;5000, "Low Income", IF(tblCleanData[[#This Row],[MonthlyIncome]]&lt;15000, "Medium Income", "High Income"))</f>
        <v>Medium Income</v>
      </c>
      <c r="AL787" s="13">
        <f>IF(tblCleanData[[#This Row],[Attrition]]="No", 0,1)</f>
        <v>0</v>
      </c>
      <c r="AM787" s="13">
        <f>IF(tblCleanData[[#This Row],[OverTime]] = "No", 0, 1)</f>
        <v>0</v>
      </c>
      <c r="AN787" s="13" t="str">
        <f>CHOOSE(tblCleanData[[#This Row],[Education]], "Below College","College","Bachelor","Master","Doctor")</f>
        <v>Master</v>
      </c>
      <c r="AO787" s="13" t="str">
        <f>VLOOKUP(tblCleanData[[#This Row],[EmployeeNumber]],tblHelpers[],15,TRUE)</f>
        <v>Low Risk</v>
      </c>
      <c r="AP787" s="13">
        <f>VLOOKUP(tblCleanData[[#This Row],[EmployeeNumber]],tblHelpers[],14,0)</f>
        <v>24</v>
      </c>
    </row>
    <row r="788" spans="1:42" x14ac:dyDescent="0.25">
      <c r="A788" s="13">
        <v>27</v>
      </c>
      <c r="B788" s="13" t="s">
        <v>59</v>
      </c>
      <c r="C788" s="13" t="s">
        <v>161</v>
      </c>
      <c r="D788" s="13">
        <v>1277</v>
      </c>
      <c r="E788" s="13" t="s">
        <v>62</v>
      </c>
      <c r="F788" s="13">
        <v>8</v>
      </c>
      <c r="G788" s="13">
        <v>5</v>
      </c>
      <c r="H788" s="13" t="s">
        <v>42</v>
      </c>
      <c r="I788" s="13">
        <v>1</v>
      </c>
      <c r="J788" s="13">
        <v>1094</v>
      </c>
      <c r="K788" s="13">
        <v>1</v>
      </c>
      <c r="L788" s="13" t="s">
        <v>63</v>
      </c>
      <c r="M788" s="13">
        <v>87</v>
      </c>
      <c r="N788" s="13">
        <v>1</v>
      </c>
      <c r="O788" s="13">
        <v>1</v>
      </c>
      <c r="P788" s="13" t="s">
        <v>76</v>
      </c>
      <c r="Q788" s="13">
        <v>3</v>
      </c>
      <c r="R788" s="13" t="s">
        <v>66</v>
      </c>
      <c r="S788" s="20">
        <v>4621</v>
      </c>
      <c r="T788" s="13">
        <v>5869</v>
      </c>
      <c r="U788" s="13">
        <v>1</v>
      </c>
      <c r="V788" s="13" t="s">
        <v>52</v>
      </c>
      <c r="W788" s="13" t="s">
        <v>59</v>
      </c>
      <c r="X788" s="13">
        <v>19</v>
      </c>
      <c r="Y788" s="13">
        <v>3</v>
      </c>
      <c r="Z788" s="13">
        <v>4</v>
      </c>
      <c r="AA788" s="13">
        <v>80</v>
      </c>
      <c r="AB788" s="13">
        <v>3</v>
      </c>
      <c r="AC788" s="13">
        <v>3</v>
      </c>
      <c r="AD788" s="13">
        <v>4</v>
      </c>
      <c r="AE788" s="13">
        <v>3</v>
      </c>
      <c r="AF788" s="14">
        <v>3</v>
      </c>
      <c r="AG788" s="13">
        <v>2</v>
      </c>
      <c r="AH788" s="13">
        <v>1</v>
      </c>
      <c r="AI788" s="13">
        <v>2</v>
      </c>
      <c r="AJ788" s="13" t="str">
        <f t="shared" si="12"/>
        <v>Under 30</v>
      </c>
      <c r="AK788" s="13" t="str">
        <f>IF(tblCleanData[[#This Row],[MonthlyIncome]]&lt;5000, "Low Income", IF(tblCleanData[[#This Row],[MonthlyIncome]]&lt;15000, "Medium Income", "High Income"))</f>
        <v>Low Income</v>
      </c>
      <c r="AL788" s="13">
        <f>IF(tblCleanData[[#This Row],[Attrition]]="No", 0,1)</f>
        <v>0</v>
      </c>
      <c r="AM788" s="13">
        <f>IF(tblCleanData[[#This Row],[OverTime]] = "No", 0, 1)</f>
        <v>0</v>
      </c>
      <c r="AN788" s="13" t="str">
        <f>CHOOSE(tblCleanData[[#This Row],[Education]], "Below College","College","Bachelor","Master","Doctor")</f>
        <v>Doctor</v>
      </c>
      <c r="AO788" s="13" t="str">
        <f>VLOOKUP(tblCleanData[[#This Row],[EmployeeNumber]],tblHelpers[],15,TRUE)</f>
        <v>High Risk</v>
      </c>
      <c r="AP788" s="13">
        <f>VLOOKUP(tblCleanData[[#This Row],[EmployeeNumber]],tblHelpers[],14,0)</f>
        <v>63</v>
      </c>
    </row>
    <row r="789" spans="1:42" x14ac:dyDescent="0.25">
      <c r="A789" s="13">
        <v>55</v>
      </c>
      <c r="B789" s="13" t="s">
        <v>59</v>
      </c>
      <c r="C789" s="13" t="s">
        <v>60</v>
      </c>
      <c r="D789" s="13">
        <v>1091</v>
      </c>
      <c r="E789" s="13" t="s">
        <v>62</v>
      </c>
      <c r="F789" s="13">
        <v>2</v>
      </c>
      <c r="G789" s="13">
        <v>1</v>
      </c>
      <c r="H789" s="13" t="s">
        <v>42</v>
      </c>
      <c r="I789" s="13">
        <v>1</v>
      </c>
      <c r="J789" s="13">
        <v>1096</v>
      </c>
      <c r="K789" s="13">
        <v>4</v>
      </c>
      <c r="L789" s="13" t="s">
        <v>63</v>
      </c>
      <c r="M789" s="13">
        <v>65</v>
      </c>
      <c r="N789" s="13">
        <v>3</v>
      </c>
      <c r="O789" s="13">
        <v>3</v>
      </c>
      <c r="P789" s="13" t="s">
        <v>116</v>
      </c>
      <c r="Q789" s="13">
        <v>2</v>
      </c>
      <c r="R789" s="13" t="s">
        <v>66</v>
      </c>
      <c r="S789" s="20">
        <v>10976</v>
      </c>
      <c r="T789" s="13">
        <v>15813</v>
      </c>
      <c r="U789" s="13">
        <v>3</v>
      </c>
      <c r="V789" s="13" t="s">
        <v>52</v>
      </c>
      <c r="W789" s="13" t="s">
        <v>59</v>
      </c>
      <c r="X789" s="13">
        <v>18</v>
      </c>
      <c r="Y789" s="13">
        <v>3</v>
      </c>
      <c r="Z789" s="13">
        <v>2</v>
      </c>
      <c r="AA789" s="13">
        <v>80</v>
      </c>
      <c r="AB789" s="13">
        <v>1</v>
      </c>
      <c r="AC789" s="13">
        <v>23</v>
      </c>
      <c r="AD789" s="13">
        <v>4</v>
      </c>
      <c r="AE789" s="13">
        <v>3</v>
      </c>
      <c r="AF789" s="14">
        <v>3</v>
      </c>
      <c r="AG789" s="13">
        <v>2</v>
      </c>
      <c r="AH789" s="13">
        <v>1</v>
      </c>
      <c r="AI789" s="13">
        <v>2</v>
      </c>
      <c r="AJ789" s="13" t="str">
        <f t="shared" si="12"/>
        <v>50+</v>
      </c>
      <c r="AK789" s="13" t="str">
        <f>IF(tblCleanData[[#This Row],[MonthlyIncome]]&lt;5000, "Low Income", IF(tblCleanData[[#This Row],[MonthlyIncome]]&lt;15000, "Medium Income", "High Income"))</f>
        <v>Medium Income</v>
      </c>
      <c r="AL789" s="13">
        <f>IF(tblCleanData[[#This Row],[Attrition]]="No", 0,1)</f>
        <v>0</v>
      </c>
      <c r="AM789" s="13">
        <f>IF(tblCleanData[[#This Row],[OverTime]] = "No", 0, 1)</f>
        <v>0</v>
      </c>
      <c r="AN789" s="13" t="str">
        <f>CHOOSE(tblCleanData[[#This Row],[Education]], "Below College","College","Bachelor","Master","Doctor")</f>
        <v>Below College</v>
      </c>
      <c r="AO789" s="13" t="str">
        <f>VLOOKUP(tblCleanData[[#This Row],[EmployeeNumber]],tblHelpers[],15,TRUE)</f>
        <v>Medium Risk</v>
      </c>
      <c r="AP789" s="13">
        <f>VLOOKUP(tblCleanData[[#This Row],[EmployeeNumber]],tblHelpers[],14,0)</f>
        <v>54</v>
      </c>
    </row>
    <row r="790" spans="1:42" x14ac:dyDescent="0.25">
      <c r="A790" s="13">
        <v>28</v>
      </c>
      <c r="B790" s="13" t="s">
        <v>59</v>
      </c>
      <c r="C790" s="13" t="s">
        <v>37</v>
      </c>
      <c r="D790" s="13">
        <v>857</v>
      </c>
      <c r="E790" s="13" t="s">
        <v>62</v>
      </c>
      <c r="F790" s="13">
        <v>10</v>
      </c>
      <c r="G790" s="13">
        <v>3</v>
      </c>
      <c r="H790" s="13" t="s">
        <v>74</v>
      </c>
      <c r="I790" s="13">
        <v>1</v>
      </c>
      <c r="J790" s="13">
        <v>1097</v>
      </c>
      <c r="K790" s="13">
        <v>3</v>
      </c>
      <c r="L790" s="13" t="s">
        <v>43</v>
      </c>
      <c r="M790" s="13">
        <v>59</v>
      </c>
      <c r="N790" s="13">
        <v>3</v>
      </c>
      <c r="O790" s="13">
        <v>2</v>
      </c>
      <c r="P790" s="13" t="s">
        <v>65</v>
      </c>
      <c r="Q790" s="13">
        <v>3</v>
      </c>
      <c r="R790" s="13" t="s">
        <v>48</v>
      </c>
      <c r="S790" s="20">
        <v>3660</v>
      </c>
      <c r="T790" s="13">
        <v>7909</v>
      </c>
      <c r="U790" s="13">
        <v>3</v>
      </c>
      <c r="V790" s="13" t="s">
        <v>52</v>
      </c>
      <c r="W790" s="13" t="s">
        <v>59</v>
      </c>
      <c r="X790" s="13">
        <v>13</v>
      </c>
      <c r="Y790" s="13">
        <v>3</v>
      </c>
      <c r="Z790" s="13">
        <v>4</v>
      </c>
      <c r="AA790" s="13">
        <v>80</v>
      </c>
      <c r="AB790" s="13">
        <v>0</v>
      </c>
      <c r="AC790" s="13">
        <v>10</v>
      </c>
      <c r="AD790" s="13">
        <v>4</v>
      </c>
      <c r="AE790" s="13">
        <v>4</v>
      </c>
      <c r="AF790" s="14">
        <v>8</v>
      </c>
      <c r="AG790" s="13">
        <v>7</v>
      </c>
      <c r="AH790" s="13">
        <v>1</v>
      </c>
      <c r="AI790" s="13">
        <v>7</v>
      </c>
      <c r="AJ790" s="13" t="str">
        <f t="shared" si="12"/>
        <v>Under 30</v>
      </c>
      <c r="AK790" s="13" t="str">
        <f>IF(tblCleanData[[#This Row],[MonthlyIncome]]&lt;5000, "Low Income", IF(tblCleanData[[#This Row],[MonthlyIncome]]&lt;15000, "Medium Income", "High Income"))</f>
        <v>Low Income</v>
      </c>
      <c r="AL790" s="13">
        <f>IF(tblCleanData[[#This Row],[Attrition]]="No", 0,1)</f>
        <v>0</v>
      </c>
      <c r="AM790" s="13">
        <f>IF(tblCleanData[[#This Row],[OverTime]] = "No", 0, 1)</f>
        <v>0</v>
      </c>
      <c r="AN790" s="13" t="str">
        <f>CHOOSE(tblCleanData[[#This Row],[Education]], "Below College","College","Bachelor","Master","Doctor")</f>
        <v>Bachelor</v>
      </c>
      <c r="AO790" s="13" t="str">
        <f>VLOOKUP(tblCleanData[[#This Row],[EmployeeNumber]],tblHelpers[],15,TRUE)</f>
        <v>High Risk</v>
      </c>
      <c r="AP790" s="13">
        <f>VLOOKUP(tblCleanData[[#This Row],[EmployeeNumber]],tblHelpers[],14,0)</f>
        <v>56</v>
      </c>
    </row>
    <row r="791" spans="1:42" x14ac:dyDescent="0.25">
      <c r="A791" s="13">
        <v>44</v>
      </c>
      <c r="B791" s="13" t="s">
        <v>36</v>
      </c>
      <c r="C791" s="13" t="s">
        <v>37</v>
      </c>
      <c r="D791" s="13">
        <v>1376</v>
      </c>
      <c r="E791" s="13" t="s">
        <v>397</v>
      </c>
      <c r="F791" s="13">
        <v>1</v>
      </c>
      <c r="G791" s="13">
        <v>2</v>
      </c>
      <c r="H791" s="13" t="s">
        <v>87</v>
      </c>
      <c r="I791" s="13">
        <v>1</v>
      </c>
      <c r="J791" s="13">
        <v>1098</v>
      </c>
      <c r="K791" s="13">
        <v>2</v>
      </c>
      <c r="L791" s="13" t="s">
        <v>63</v>
      </c>
      <c r="M791" s="13">
        <v>91</v>
      </c>
      <c r="N791" s="13">
        <v>2</v>
      </c>
      <c r="O791" s="13">
        <v>3</v>
      </c>
      <c r="P791" s="13" t="s">
        <v>397</v>
      </c>
      <c r="Q791" s="13">
        <v>1</v>
      </c>
      <c r="R791" s="13" t="s">
        <v>66</v>
      </c>
      <c r="S791" s="20">
        <v>10482</v>
      </c>
      <c r="T791" s="13">
        <v>2326</v>
      </c>
      <c r="U791" s="13">
        <v>9</v>
      </c>
      <c r="V791" s="13" t="s">
        <v>52</v>
      </c>
      <c r="W791" s="13" t="s">
        <v>59</v>
      </c>
      <c r="X791" s="13">
        <v>14</v>
      </c>
      <c r="Y791" s="13">
        <v>3</v>
      </c>
      <c r="Z791" s="13">
        <v>4</v>
      </c>
      <c r="AA791" s="13">
        <v>80</v>
      </c>
      <c r="AB791" s="13">
        <v>1</v>
      </c>
      <c r="AC791" s="13">
        <v>24</v>
      </c>
      <c r="AD791" s="13">
        <v>1</v>
      </c>
      <c r="AE791" s="13">
        <v>3</v>
      </c>
      <c r="AF791" s="14">
        <v>20</v>
      </c>
      <c r="AG791" s="13">
        <v>6</v>
      </c>
      <c r="AH791" s="13">
        <v>3</v>
      </c>
      <c r="AI791" s="13">
        <v>6</v>
      </c>
      <c r="AJ791" s="13" t="str">
        <f t="shared" si="12"/>
        <v>40-49</v>
      </c>
      <c r="AK791" s="13" t="str">
        <f>IF(tblCleanData[[#This Row],[MonthlyIncome]]&lt;5000, "Low Income", IF(tblCleanData[[#This Row],[MonthlyIncome]]&lt;15000, "Medium Income", "High Income"))</f>
        <v>Medium Income</v>
      </c>
      <c r="AL791" s="13">
        <f>IF(tblCleanData[[#This Row],[Attrition]]="No", 0,1)</f>
        <v>1</v>
      </c>
      <c r="AM791" s="13">
        <f>IF(tblCleanData[[#This Row],[OverTime]] = "No", 0, 1)</f>
        <v>0</v>
      </c>
      <c r="AN791" s="13" t="str">
        <f>CHOOSE(tblCleanData[[#This Row],[Education]], "Below College","College","Bachelor","Master","Doctor")</f>
        <v>College</v>
      </c>
      <c r="AO791" s="13" t="str">
        <f>VLOOKUP(tblCleanData[[#This Row],[EmployeeNumber]],tblHelpers[],15,TRUE)</f>
        <v>Medium Risk</v>
      </c>
      <c r="AP791" s="13">
        <f>VLOOKUP(tblCleanData[[#This Row],[EmployeeNumber]],tblHelpers[],14,0)</f>
        <v>43</v>
      </c>
    </row>
    <row r="792" spans="1:42" x14ac:dyDescent="0.25">
      <c r="A792" s="13">
        <v>33</v>
      </c>
      <c r="B792" s="13" t="s">
        <v>59</v>
      </c>
      <c r="C792" s="13" t="s">
        <v>37</v>
      </c>
      <c r="D792" s="13">
        <v>654</v>
      </c>
      <c r="E792" s="13" t="s">
        <v>62</v>
      </c>
      <c r="F792" s="13">
        <v>5</v>
      </c>
      <c r="G792" s="13">
        <v>3</v>
      </c>
      <c r="H792" s="13" t="s">
        <v>42</v>
      </c>
      <c r="I792" s="13">
        <v>1</v>
      </c>
      <c r="J792" s="13">
        <v>1099</v>
      </c>
      <c r="K792" s="13">
        <v>4</v>
      </c>
      <c r="L792" s="13" t="s">
        <v>63</v>
      </c>
      <c r="M792" s="13">
        <v>34</v>
      </c>
      <c r="N792" s="13">
        <v>2</v>
      </c>
      <c r="O792" s="13">
        <v>3</v>
      </c>
      <c r="P792" s="13" t="s">
        <v>122</v>
      </c>
      <c r="Q792" s="13">
        <v>4</v>
      </c>
      <c r="R792" s="13" t="s">
        <v>109</v>
      </c>
      <c r="S792" s="20">
        <v>7119</v>
      </c>
      <c r="T792" s="13">
        <v>21214</v>
      </c>
      <c r="U792" s="13">
        <v>4</v>
      </c>
      <c r="V792" s="13" t="s">
        <v>52</v>
      </c>
      <c r="W792" s="13" t="s">
        <v>59</v>
      </c>
      <c r="X792" s="13">
        <v>15</v>
      </c>
      <c r="Y792" s="13">
        <v>3</v>
      </c>
      <c r="Z792" s="13">
        <v>3</v>
      </c>
      <c r="AA792" s="13">
        <v>80</v>
      </c>
      <c r="AB792" s="13">
        <v>1</v>
      </c>
      <c r="AC792" s="13">
        <v>9</v>
      </c>
      <c r="AD792" s="13">
        <v>2</v>
      </c>
      <c r="AE792" s="13">
        <v>3</v>
      </c>
      <c r="AF792" s="14">
        <v>3</v>
      </c>
      <c r="AG792" s="13">
        <v>2</v>
      </c>
      <c r="AH792" s="13">
        <v>1</v>
      </c>
      <c r="AI792" s="13">
        <v>2</v>
      </c>
      <c r="AJ792" s="13" t="str">
        <f t="shared" si="12"/>
        <v>30-39</v>
      </c>
      <c r="AK792" s="13" t="str">
        <f>IF(tblCleanData[[#This Row],[MonthlyIncome]]&lt;5000, "Low Income", IF(tblCleanData[[#This Row],[MonthlyIncome]]&lt;15000, "Medium Income", "High Income"))</f>
        <v>Medium Income</v>
      </c>
      <c r="AL792" s="13">
        <f>IF(tblCleanData[[#This Row],[Attrition]]="No", 0,1)</f>
        <v>0</v>
      </c>
      <c r="AM792" s="13">
        <f>IF(tblCleanData[[#This Row],[OverTime]] = "No", 0, 1)</f>
        <v>0</v>
      </c>
      <c r="AN792" s="13" t="str">
        <f>CHOOSE(tblCleanData[[#This Row],[Education]], "Below College","College","Bachelor","Master","Doctor")</f>
        <v>Bachelor</v>
      </c>
      <c r="AO792" s="13" t="str">
        <f>VLOOKUP(tblCleanData[[#This Row],[EmployeeNumber]],tblHelpers[],15,TRUE)</f>
        <v>Medium Risk</v>
      </c>
      <c r="AP792" s="13">
        <f>VLOOKUP(tblCleanData[[#This Row],[EmployeeNumber]],tblHelpers[],14,0)</f>
        <v>46</v>
      </c>
    </row>
    <row r="793" spans="1:42" x14ac:dyDescent="0.25">
      <c r="A793" s="13">
        <v>35</v>
      </c>
      <c r="B793" s="13" t="s">
        <v>36</v>
      </c>
      <c r="C793" s="13" t="s">
        <v>37</v>
      </c>
      <c r="D793" s="13">
        <v>1204</v>
      </c>
      <c r="E793" s="13" t="s">
        <v>39</v>
      </c>
      <c r="F793" s="13">
        <v>4</v>
      </c>
      <c r="G793" s="13">
        <v>3</v>
      </c>
      <c r="H793" s="13" t="s">
        <v>228</v>
      </c>
      <c r="I793" s="13">
        <v>1</v>
      </c>
      <c r="J793" s="13">
        <v>1100</v>
      </c>
      <c r="K793" s="13">
        <v>4</v>
      </c>
      <c r="L793" s="13" t="s">
        <v>63</v>
      </c>
      <c r="M793" s="13">
        <v>86</v>
      </c>
      <c r="N793" s="13">
        <v>3</v>
      </c>
      <c r="O793" s="13">
        <v>3</v>
      </c>
      <c r="P793" s="13" t="s">
        <v>46</v>
      </c>
      <c r="Q793" s="13">
        <v>1</v>
      </c>
      <c r="R793" s="13" t="s">
        <v>48</v>
      </c>
      <c r="S793" s="20">
        <v>9582</v>
      </c>
      <c r="T793" s="13">
        <v>10333</v>
      </c>
      <c r="U793" s="13">
        <v>0</v>
      </c>
      <c r="V793" s="13" t="s">
        <v>52</v>
      </c>
      <c r="W793" s="13" t="s">
        <v>36</v>
      </c>
      <c r="X793" s="13">
        <v>22</v>
      </c>
      <c r="Y793" s="13">
        <v>4</v>
      </c>
      <c r="Z793" s="13">
        <v>1</v>
      </c>
      <c r="AA793" s="13">
        <v>80</v>
      </c>
      <c r="AB793" s="13">
        <v>0</v>
      </c>
      <c r="AC793" s="13">
        <v>9</v>
      </c>
      <c r="AD793" s="13">
        <v>2</v>
      </c>
      <c r="AE793" s="13">
        <v>3</v>
      </c>
      <c r="AF793" s="14">
        <v>8</v>
      </c>
      <c r="AG793" s="13">
        <v>7</v>
      </c>
      <c r="AH793" s="13">
        <v>4</v>
      </c>
      <c r="AI793" s="13">
        <v>7</v>
      </c>
      <c r="AJ793" s="13" t="str">
        <f t="shared" si="12"/>
        <v>30-39</v>
      </c>
      <c r="AK793" s="13" t="str">
        <f>IF(tblCleanData[[#This Row],[MonthlyIncome]]&lt;5000, "Low Income", IF(tblCleanData[[#This Row],[MonthlyIncome]]&lt;15000, "Medium Income", "High Income"))</f>
        <v>Medium Income</v>
      </c>
      <c r="AL793" s="13">
        <f>IF(tblCleanData[[#This Row],[Attrition]]="No", 0,1)</f>
        <v>1</v>
      </c>
      <c r="AM793" s="13">
        <f>IF(tblCleanData[[#This Row],[OverTime]] = "No", 0, 1)</f>
        <v>1</v>
      </c>
      <c r="AN793" s="13" t="str">
        <f>CHOOSE(tblCleanData[[#This Row],[Education]], "Below College","College","Bachelor","Master","Doctor")</f>
        <v>Bachelor</v>
      </c>
      <c r="AO793" s="13" t="str">
        <f>VLOOKUP(tblCleanData[[#This Row],[EmployeeNumber]],tblHelpers[],15,TRUE)</f>
        <v>High Risk</v>
      </c>
      <c r="AP793" s="13">
        <f>VLOOKUP(tblCleanData[[#This Row],[EmployeeNumber]],tblHelpers[],14,0)</f>
        <v>83</v>
      </c>
    </row>
    <row r="794" spans="1:42" x14ac:dyDescent="0.25">
      <c r="A794" s="13">
        <v>33</v>
      </c>
      <c r="B794" s="13" t="s">
        <v>36</v>
      </c>
      <c r="C794" s="13" t="s">
        <v>60</v>
      </c>
      <c r="D794" s="13">
        <v>827</v>
      </c>
      <c r="E794" s="13" t="s">
        <v>62</v>
      </c>
      <c r="F794" s="13">
        <v>29</v>
      </c>
      <c r="G794" s="13">
        <v>4</v>
      </c>
      <c r="H794" s="13" t="s">
        <v>87</v>
      </c>
      <c r="I794" s="13">
        <v>1</v>
      </c>
      <c r="J794" s="13">
        <v>1101</v>
      </c>
      <c r="K794" s="13">
        <v>1</v>
      </c>
      <c r="L794" s="13" t="s">
        <v>43</v>
      </c>
      <c r="M794" s="13">
        <v>54</v>
      </c>
      <c r="N794" s="13">
        <v>2</v>
      </c>
      <c r="O794" s="13">
        <v>2</v>
      </c>
      <c r="P794" s="13" t="s">
        <v>65</v>
      </c>
      <c r="Q794" s="13">
        <v>3</v>
      </c>
      <c r="R794" s="13" t="s">
        <v>48</v>
      </c>
      <c r="S794" s="20">
        <v>4508</v>
      </c>
      <c r="T794" s="13">
        <v>3129</v>
      </c>
      <c r="U794" s="13">
        <v>1</v>
      </c>
      <c r="V794" s="13" t="s">
        <v>52</v>
      </c>
      <c r="W794" s="13" t="s">
        <v>59</v>
      </c>
      <c r="X794" s="13">
        <v>22</v>
      </c>
      <c r="Y794" s="13">
        <v>4</v>
      </c>
      <c r="Z794" s="13">
        <v>2</v>
      </c>
      <c r="AA794" s="13">
        <v>80</v>
      </c>
      <c r="AB794" s="13">
        <v>0</v>
      </c>
      <c r="AC794" s="13">
        <v>14</v>
      </c>
      <c r="AD794" s="13">
        <v>4</v>
      </c>
      <c r="AE794" s="13">
        <v>3</v>
      </c>
      <c r="AF794" s="14">
        <v>13</v>
      </c>
      <c r="AG794" s="13">
        <v>7</v>
      </c>
      <c r="AH794" s="13">
        <v>3</v>
      </c>
      <c r="AI794" s="13">
        <v>8</v>
      </c>
      <c r="AJ794" s="13" t="str">
        <f t="shared" si="12"/>
        <v>30-39</v>
      </c>
      <c r="AK794" s="13" t="str">
        <f>IF(tblCleanData[[#This Row],[MonthlyIncome]]&lt;5000, "Low Income", IF(tblCleanData[[#This Row],[MonthlyIncome]]&lt;15000, "Medium Income", "High Income"))</f>
        <v>Low Income</v>
      </c>
      <c r="AL794" s="13">
        <f>IF(tblCleanData[[#This Row],[Attrition]]="No", 0,1)</f>
        <v>1</v>
      </c>
      <c r="AM794" s="13">
        <f>IF(tblCleanData[[#This Row],[OverTime]] = "No", 0, 1)</f>
        <v>0</v>
      </c>
      <c r="AN794" s="13" t="str">
        <f>CHOOSE(tblCleanData[[#This Row],[Education]], "Below College","College","Bachelor","Master","Doctor")</f>
        <v>Master</v>
      </c>
      <c r="AO794" s="13" t="str">
        <f>VLOOKUP(tblCleanData[[#This Row],[EmployeeNumber]],tblHelpers[],15,TRUE)</f>
        <v>Medium Risk</v>
      </c>
      <c r="AP794" s="13">
        <f>VLOOKUP(tblCleanData[[#This Row],[EmployeeNumber]],tblHelpers[],14,0)</f>
        <v>41</v>
      </c>
    </row>
    <row r="795" spans="1:42" x14ac:dyDescent="0.25">
      <c r="A795" s="13">
        <v>28</v>
      </c>
      <c r="B795" s="13" t="s">
        <v>59</v>
      </c>
      <c r="C795" s="13" t="s">
        <v>37</v>
      </c>
      <c r="D795" s="13">
        <v>895</v>
      </c>
      <c r="E795" s="13" t="s">
        <v>62</v>
      </c>
      <c r="F795" s="13">
        <v>15</v>
      </c>
      <c r="G795" s="13">
        <v>2</v>
      </c>
      <c r="H795" s="13" t="s">
        <v>42</v>
      </c>
      <c r="I795" s="13">
        <v>1</v>
      </c>
      <c r="J795" s="13">
        <v>1102</v>
      </c>
      <c r="K795" s="13">
        <v>1</v>
      </c>
      <c r="L795" s="13" t="s">
        <v>63</v>
      </c>
      <c r="M795" s="13">
        <v>50</v>
      </c>
      <c r="N795" s="13">
        <v>3</v>
      </c>
      <c r="O795" s="13">
        <v>1</v>
      </c>
      <c r="P795" s="13" t="s">
        <v>76</v>
      </c>
      <c r="Q795" s="13">
        <v>3</v>
      </c>
      <c r="R795" s="13" t="s">
        <v>109</v>
      </c>
      <c r="S795" s="20">
        <v>2207</v>
      </c>
      <c r="T795" s="13">
        <v>22482</v>
      </c>
      <c r="U795" s="13">
        <v>1</v>
      </c>
      <c r="V795" s="13" t="s">
        <v>52</v>
      </c>
      <c r="W795" s="13" t="s">
        <v>59</v>
      </c>
      <c r="X795" s="13">
        <v>16</v>
      </c>
      <c r="Y795" s="13">
        <v>3</v>
      </c>
      <c r="Z795" s="13">
        <v>4</v>
      </c>
      <c r="AA795" s="13">
        <v>80</v>
      </c>
      <c r="AB795" s="13">
        <v>1</v>
      </c>
      <c r="AC795" s="13">
        <v>4</v>
      </c>
      <c r="AD795" s="13">
        <v>5</v>
      </c>
      <c r="AE795" s="13">
        <v>2</v>
      </c>
      <c r="AF795" s="14">
        <v>4</v>
      </c>
      <c r="AG795" s="13">
        <v>2</v>
      </c>
      <c r="AH795" s="13">
        <v>2</v>
      </c>
      <c r="AI795" s="13">
        <v>2</v>
      </c>
      <c r="AJ795" s="13" t="str">
        <f t="shared" si="12"/>
        <v>Under 30</v>
      </c>
      <c r="AK795" s="13" t="str">
        <f>IF(tblCleanData[[#This Row],[MonthlyIncome]]&lt;5000, "Low Income", IF(tblCleanData[[#This Row],[MonthlyIncome]]&lt;15000, "Medium Income", "High Income"))</f>
        <v>Low Income</v>
      </c>
      <c r="AL795" s="13">
        <f>IF(tblCleanData[[#This Row],[Attrition]]="No", 0,1)</f>
        <v>0</v>
      </c>
      <c r="AM795" s="13">
        <f>IF(tblCleanData[[#This Row],[OverTime]] = "No", 0, 1)</f>
        <v>0</v>
      </c>
      <c r="AN795" s="13" t="str">
        <f>CHOOSE(tblCleanData[[#This Row],[Education]], "Below College","College","Bachelor","Master","Doctor")</f>
        <v>College</v>
      </c>
      <c r="AO795" s="13" t="str">
        <f>VLOOKUP(tblCleanData[[#This Row],[EmployeeNumber]],tblHelpers[],15,TRUE)</f>
        <v>High Risk</v>
      </c>
      <c r="AP795" s="13">
        <f>VLOOKUP(tblCleanData[[#This Row],[EmployeeNumber]],tblHelpers[],14,0)</f>
        <v>63</v>
      </c>
    </row>
    <row r="796" spans="1:42" x14ac:dyDescent="0.25">
      <c r="A796" s="13">
        <v>34</v>
      </c>
      <c r="B796" s="13" t="s">
        <v>59</v>
      </c>
      <c r="C796" s="13" t="s">
        <v>60</v>
      </c>
      <c r="D796" s="13">
        <v>618</v>
      </c>
      <c r="E796" s="13" t="s">
        <v>62</v>
      </c>
      <c r="F796" s="13">
        <v>3</v>
      </c>
      <c r="G796" s="13">
        <v>1</v>
      </c>
      <c r="H796" s="13" t="s">
        <v>42</v>
      </c>
      <c r="I796" s="13">
        <v>1</v>
      </c>
      <c r="J796" s="13">
        <v>1103</v>
      </c>
      <c r="K796" s="13">
        <v>1</v>
      </c>
      <c r="L796" s="13" t="s">
        <v>63</v>
      </c>
      <c r="M796" s="13">
        <v>45</v>
      </c>
      <c r="N796" s="13">
        <v>3</v>
      </c>
      <c r="O796" s="13">
        <v>2</v>
      </c>
      <c r="P796" s="13" t="s">
        <v>122</v>
      </c>
      <c r="Q796" s="13">
        <v>4</v>
      </c>
      <c r="R796" s="13" t="s">
        <v>48</v>
      </c>
      <c r="S796" s="20">
        <v>7756</v>
      </c>
      <c r="T796" s="13">
        <v>22266</v>
      </c>
      <c r="U796" s="13">
        <v>0</v>
      </c>
      <c r="V796" s="13" t="s">
        <v>52</v>
      </c>
      <c r="W796" s="13" t="s">
        <v>59</v>
      </c>
      <c r="X796" s="13">
        <v>17</v>
      </c>
      <c r="Y796" s="13">
        <v>3</v>
      </c>
      <c r="Z796" s="13">
        <v>3</v>
      </c>
      <c r="AA796" s="13">
        <v>80</v>
      </c>
      <c r="AB796" s="13">
        <v>0</v>
      </c>
      <c r="AC796" s="13">
        <v>7</v>
      </c>
      <c r="AD796" s="13">
        <v>1</v>
      </c>
      <c r="AE796" s="13">
        <v>2</v>
      </c>
      <c r="AF796" s="14">
        <v>6</v>
      </c>
      <c r="AG796" s="13">
        <v>2</v>
      </c>
      <c r="AH796" s="13">
        <v>0</v>
      </c>
      <c r="AI796" s="13">
        <v>4</v>
      </c>
      <c r="AJ796" s="13" t="str">
        <f t="shared" si="12"/>
        <v>30-39</v>
      </c>
      <c r="AK796" s="13" t="str">
        <f>IF(tblCleanData[[#This Row],[MonthlyIncome]]&lt;5000, "Low Income", IF(tblCleanData[[#This Row],[MonthlyIncome]]&lt;15000, "Medium Income", "High Income"))</f>
        <v>Medium Income</v>
      </c>
      <c r="AL796" s="13">
        <f>IF(tblCleanData[[#This Row],[Attrition]]="No", 0,1)</f>
        <v>0</v>
      </c>
      <c r="AM796" s="13">
        <f>IF(tblCleanData[[#This Row],[OverTime]] = "No", 0, 1)</f>
        <v>0</v>
      </c>
      <c r="AN796" s="13" t="str">
        <f>CHOOSE(tblCleanData[[#This Row],[Education]], "Below College","College","Bachelor","Master","Doctor")</f>
        <v>Below College</v>
      </c>
      <c r="AO796" s="13" t="str">
        <f>VLOOKUP(tblCleanData[[#This Row],[EmployeeNumber]],tblHelpers[],15,TRUE)</f>
        <v>Medium Risk</v>
      </c>
      <c r="AP796" s="13">
        <f>VLOOKUP(tblCleanData[[#This Row],[EmployeeNumber]],tblHelpers[],14,0)</f>
        <v>39</v>
      </c>
    </row>
    <row r="797" spans="1:42" x14ac:dyDescent="0.25">
      <c r="A797" s="13">
        <v>37</v>
      </c>
      <c r="B797" s="13" t="s">
        <v>59</v>
      </c>
      <c r="C797" s="13" t="s">
        <v>37</v>
      </c>
      <c r="D797" s="13">
        <v>309</v>
      </c>
      <c r="E797" s="13" t="s">
        <v>39</v>
      </c>
      <c r="F797" s="13">
        <v>10</v>
      </c>
      <c r="G797" s="13">
        <v>4</v>
      </c>
      <c r="H797" s="13" t="s">
        <v>42</v>
      </c>
      <c r="I797" s="13">
        <v>1</v>
      </c>
      <c r="J797" s="13">
        <v>1105</v>
      </c>
      <c r="K797" s="13">
        <v>4</v>
      </c>
      <c r="L797" s="13" t="s">
        <v>43</v>
      </c>
      <c r="M797" s="13">
        <v>88</v>
      </c>
      <c r="N797" s="13">
        <v>2</v>
      </c>
      <c r="O797" s="13">
        <v>2</v>
      </c>
      <c r="P797" s="13" t="s">
        <v>46</v>
      </c>
      <c r="Q797" s="13">
        <v>4</v>
      </c>
      <c r="R797" s="13" t="s">
        <v>109</v>
      </c>
      <c r="S797" s="20">
        <v>6694</v>
      </c>
      <c r="T797" s="13">
        <v>24223</v>
      </c>
      <c r="U797" s="13">
        <v>2</v>
      </c>
      <c r="V797" s="13" t="s">
        <v>52</v>
      </c>
      <c r="W797" s="13" t="s">
        <v>36</v>
      </c>
      <c r="X797" s="13">
        <v>14</v>
      </c>
      <c r="Y797" s="13">
        <v>3</v>
      </c>
      <c r="Z797" s="13">
        <v>3</v>
      </c>
      <c r="AA797" s="13">
        <v>80</v>
      </c>
      <c r="AB797" s="13">
        <v>3</v>
      </c>
      <c r="AC797" s="13">
        <v>8</v>
      </c>
      <c r="AD797" s="13">
        <v>5</v>
      </c>
      <c r="AE797" s="13">
        <v>3</v>
      </c>
      <c r="AF797" s="14">
        <v>1</v>
      </c>
      <c r="AG797" s="13">
        <v>0</v>
      </c>
      <c r="AH797" s="13">
        <v>0</v>
      </c>
      <c r="AI797" s="13">
        <v>0</v>
      </c>
      <c r="AJ797" s="13" t="str">
        <f t="shared" si="12"/>
        <v>30-39</v>
      </c>
      <c r="AK797" s="13" t="str">
        <f>IF(tblCleanData[[#This Row],[MonthlyIncome]]&lt;5000, "Low Income", IF(tblCleanData[[#This Row],[MonthlyIncome]]&lt;15000, "Medium Income", "High Income"))</f>
        <v>Medium Income</v>
      </c>
      <c r="AL797" s="13">
        <f>IF(tblCleanData[[#This Row],[Attrition]]="No", 0,1)</f>
        <v>0</v>
      </c>
      <c r="AM797" s="13">
        <f>IF(tblCleanData[[#This Row],[OverTime]] = "No", 0, 1)</f>
        <v>1</v>
      </c>
      <c r="AN797" s="13" t="str">
        <f>CHOOSE(tblCleanData[[#This Row],[Education]], "Below College","College","Bachelor","Master","Doctor")</f>
        <v>Master</v>
      </c>
      <c r="AO797" s="13" t="str">
        <f>VLOOKUP(tblCleanData[[#This Row],[EmployeeNumber]],tblHelpers[],15,TRUE)</f>
        <v>High Risk</v>
      </c>
      <c r="AP797" s="13">
        <f>VLOOKUP(tblCleanData[[#This Row],[EmployeeNumber]],tblHelpers[],14,0)</f>
        <v>81</v>
      </c>
    </row>
    <row r="798" spans="1:42" x14ac:dyDescent="0.25">
      <c r="A798" s="13">
        <v>25</v>
      </c>
      <c r="B798" s="13" t="s">
        <v>36</v>
      </c>
      <c r="C798" s="13" t="s">
        <v>37</v>
      </c>
      <c r="D798" s="13">
        <v>1219</v>
      </c>
      <c r="E798" s="13" t="s">
        <v>62</v>
      </c>
      <c r="F798" s="13">
        <v>4</v>
      </c>
      <c r="G798" s="13">
        <v>1</v>
      </c>
      <c r="H798" s="13" t="s">
        <v>228</v>
      </c>
      <c r="I798" s="13">
        <v>1</v>
      </c>
      <c r="J798" s="13">
        <v>1106</v>
      </c>
      <c r="K798" s="13">
        <v>4</v>
      </c>
      <c r="L798" s="13" t="s">
        <v>63</v>
      </c>
      <c r="M798" s="13">
        <v>32</v>
      </c>
      <c r="N798" s="13">
        <v>3</v>
      </c>
      <c r="O798" s="13">
        <v>1</v>
      </c>
      <c r="P798" s="13" t="s">
        <v>76</v>
      </c>
      <c r="Q798" s="13">
        <v>4</v>
      </c>
      <c r="R798" s="13" t="s">
        <v>66</v>
      </c>
      <c r="S798" s="20">
        <v>3691</v>
      </c>
      <c r="T798" s="13">
        <v>4605</v>
      </c>
      <c r="U798" s="13">
        <v>1</v>
      </c>
      <c r="V798" s="13" t="s">
        <v>52</v>
      </c>
      <c r="W798" s="13" t="s">
        <v>36</v>
      </c>
      <c r="X798" s="13">
        <v>15</v>
      </c>
      <c r="Y798" s="13">
        <v>3</v>
      </c>
      <c r="Z798" s="13">
        <v>2</v>
      </c>
      <c r="AA798" s="13">
        <v>80</v>
      </c>
      <c r="AB798" s="13">
        <v>1</v>
      </c>
      <c r="AC798" s="13">
        <v>7</v>
      </c>
      <c r="AD798" s="13">
        <v>3</v>
      </c>
      <c r="AE798" s="13">
        <v>4</v>
      </c>
      <c r="AF798" s="14">
        <v>7</v>
      </c>
      <c r="AG798" s="13">
        <v>7</v>
      </c>
      <c r="AH798" s="13">
        <v>5</v>
      </c>
      <c r="AI798" s="13">
        <v>6</v>
      </c>
      <c r="AJ798" s="13" t="str">
        <f t="shared" si="12"/>
        <v>Under 30</v>
      </c>
      <c r="AK798" s="13" t="str">
        <f>IF(tblCleanData[[#This Row],[MonthlyIncome]]&lt;5000, "Low Income", IF(tblCleanData[[#This Row],[MonthlyIncome]]&lt;15000, "Medium Income", "High Income"))</f>
        <v>Low Income</v>
      </c>
      <c r="AL798" s="13">
        <f>IF(tblCleanData[[#This Row],[Attrition]]="No", 0,1)</f>
        <v>1</v>
      </c>
      <c r="AM798" s="13">
        <f>IF(tblCleanData[[#This Row],[OverTime]] = "No", 0, 1)</f>
        <v>1</v>
      </c>
      <c r="AN798" s="13" t="str">
        <f>CHOOSE(tblCleanData[[#This Row],[Education]], "Below College","College","Bachelor","Master","Doctor")</f>
        <v>Below College</v>
      </c>
      <c r="AO798" s="13" t="str">
        <f>VLOOKUP(tblCleanData[[#This Row],[EmployeeNumber]],tblHelpers[],15,TRUE)</f>
        <v>High Risk</v>
      </c>
      <c r="AP798" s="13">
        <f>VLOOKUP(tblCleanData[[#This Row],[EmployeeNumber]],tblHelpers[],14,0)</f>
        <v>74</v>
      </c>
    </row>
    <row r="799" spans="1:42" x14ac:dyDescent="0.25">
      <c r="A799" s="13">
        <v>26</v>
      </c>
      <c r="B799" s="13" t="s">
        <v>36</v>
      </c>
      <c r="C799" s="13" t="s">
        <v>37</v>
      </c>
      <c r="D799" s="13">
        <v>1330</v>
      </c>
      <c r="E799" s="13" t="s">
        <v>62</v>
      </c>
      <c r="F799" s="13">
        <v>21</v>
      </c>
      <c r="G799" s="13">
        <v>3</v>
      </c>
      <c r="H799" s="13" t="s">
        <v>87</v>
      </c>
      <c r="I799" s="13">
        <v>1</v>
      </c>
      <c r="J799" s="13">
        <v>1107</v>
      </c>
      <c r="K799" s="13">
        <v>1</v>
      </c>
      <c r="L799" s="13" t="s">
        <v>63</v>
      </c>
      <c r="M799" s="13">
        <v>37</v>
      </c>
      <c r="N799" s="13">
        <v>3</v>
      </c>
      <c r="O799" s="13">
        <v>1</v>
      </c>
      <c r="P799" s="13" t="s">
        <v>76</v>
      </c>
      <c r="Q799" s="13">
        <v>3</v>
      </c>
      <c r="R799" s="13" t="s">
        <v>109</v>
      </c>
      <c r="S799" s="20">
        <v>2377</v>
      </c>
      <c r="T799" s="13">
        <v>19373</v>
      </c>
      <c r="U799" s="13">
        <v>1</v>
      </c>
      <c r="V799" s="13" t="s">
        <v>52</v>
      </c>
      <c r="W799" s="13" t="s">
        <v>59</v>
      </c>
      <c r="X799" s="13">
        <v>20</v>
      </c>
      <c r="Y799" s="13">
        <v>4</v>
      </c>
      <c r="Z799" s="13">
        <v>3</v>
      </c>
      <c r="AA799" s="13">
        <v>80</v>
      </c>
      <c r="AB799" s="13">
        <v>1</v>
      </c>
      <c r="AC799" s="13">
        <v>1</v>
      </c>
      <c r="AD799" s="13">
        <v>0</v>
      </c>
      <c r="AE799" s="13">
        <v>2</v>
      </c>
      <c r="AF799" s="14">
        <v>1</v>
      </c>
      <c r="AG799" s="13">
        <v>1</v>
      </c>
      <c r="AH799" s="13">
        <v>0</v>
      </c>
      <c r="AI799" s="13">
        <v>0</v>
      </c>
      <c r="AJ799" s="13" t="str">
        <f t="shared" si="12"/>
        <v>Under 30</v>
      </c>
      <c r="AK799" s="13" t="str">
        <f>IF(tblCleanData[[#This Row],[MonthlyIncome]]&lt;5000, "Low Income", IF(tblCleanData[[#This Row],[MonthlyIncome]]&lt;15000, "Medium Income", "High Income"))</f>
        <v>Low Income</v>
      </c>
      <c r="AL799" s="13">
        <f>IF(tblCleanData[[#This Row],[Attrition]]="No", 0,1)</f>
        <v>1</v>
      </c>
      <c r="AM799" s="13">
        <f>IF(tblCleanData[[#This Row],[OverTime]] = "No", 0, 1)</f>
        <v>0</v>
      </c>
      <c r="AN799" s="13" t="str">
        <f>CHOOSE(tblCleanData[[#This Row],[Education]], "Below College","College","Bachelor","Master","Doctor")</f>
        <v>Bachelor</v>
      </c>
      <c r="AO799" s="13" t="str">
        <f>VLOOKUP(tblCleanData[[#This Row],[EmployeeNumber]],tblHelpers[],15,TRUE)</f>
        <v>High Risk</v>
      </c>
      <c r="AP799" s="13">
        <f>VLOOKUP(tblCleanData[[#This Row],[EmployeeNumber]],tblHelpers[],14,0)</f>
        <v>73</v>
      </c>
    </row>
    <row r="800" spans="1:42" x14ac:dyDescent="0.25">
      <c r="A800" s="13">
        <v>33</v>
      </c>
      <c r="B800" s="13" t="s">
        <v>36</v>
      </c>
      <c r="C800" s="13" t="s">
        <v>37</v>
      </c>
      <c r="D800" s="13">
        <v>1017</v>
      </c>
      <c r="E800" s="13" t="s">
        <v>62</v>
      </c>
      <c r="F800" s="13">
        <v>25</v>
      </c>
      <c r="G800" s="13">
        <v>3</v>
      </c>
      <c r="H800" s="13" t="s">
        <v>87</v>
      </c>
      <c r="I800" s="13">
        <v>1</v>
      </c>
      <c r="J800" s="13">
        <v>1108</v>
      </c>
      <c r="K800" s="13">
        <v>1</v>
      </c>
      <c r="L800" s="13" t="s">
        <v>63</v>
      </c>
      <c r="M800" s="13">
        <v>55</v>
      </c>
      <c r="N800" s="13">
        <v>2</v>
      </c>
      <c r="O800" s="13">
        <v>1</v>
      </c>
      <c r="P800" s="13" t="s">
        <v>65</v>
      </c>
      <c r="Q800" s="13">
        <v>2</v>
      </c>
      <c r="R800" s="13" t="s">
        <v>48</v>
      </c>
      <c r="S800" s="20">
        <v>2313</v>
      </c>
      <c r="T800" s="13">
        <v>2993</v>
      </c>
      <c r="U800" s="13">
        <v>4</v>
      </c>
      <c r="V800" s="13" t="s">
        <v>52</v>
      </c>
      <c r="W800" s="13" t="s">
        <v>36</v>
      </c>
      <c r="X800" s="13">
        <v>20</v>
      </c>
      <c r="Y800" s="13">
        <v>4</v>
      </c>
      <c r="Z800" s="13">
        <v>2</v>
      </c>
      <c r="AA800" s="13">
        <v>80</v>
      </c>
      <c r="AB800" s="13">
        <v>0</v>
      </c>
      <c r="AC800" s="13">
        <v>5</v>
      </c>
      <c r="AD800" s="13">
        <v>0</v>
      </c>
      <c r="AE800" s="13">
        <v>3</v>
      </c>
      <c r="AF800" s="14">
        <v>2</v>
      </c>
      <c r="AG800" s="13">
        <v>2</v>
      </c>
      <c r="AH800" s="13">
        <v>2</v>
      </c>
      <c r="AI800" s="13">
        <v>2</v>
      </c>
      <c r="AJ800" s="13" t="str">
        <f t="shared" si="12"/>
        <v>30-39</v>
      </c>
      <c r="AK800" s="13" t="str">
        <f>IF(tblCleanData[[#This Row],[MonthlyIncome]]&lt;5000, "Low Income", IF(tblCleanData[[#This Row],[MonthlyIncome]]&lt;15000, "Medium Income", "High Income"))</f>
        <v>Low Income</v>
      </c>
      <c r="AL800" s="13">
        <f>IF(tblCleanData[[#This Row],[Attrition]]="No", 0,1)</f>
        <v>1</v>
      </c>
      <c r="AM800" s="13">
        <f>IF(tblCleanData[[#This Row],[OverTime]] = "No", 0, 1)</f>
        <v>1</v>
      </c>
      <c r="AN800" s="13" t="str">
        <f>CHOOSE(tblCleanData[[#This Row],[Education]], "Below College","College","Bachelor","Master","Doctor")</f>
        <v>Bachelor</v>
      </c>
      <c r="AO800" s="13" t="str">
        <f>VLOOKUP(tblCleanData[[#This Row],[EmployeeNumber]],tblHelpers[],15,TRUE)</f>
        <v>High Risk</v>
      </c>
      <c r="AP800" s="13">
        <f>VLOOKUP(tblCleanData[[#This Row],[EmployeeNumber]],tblHelpers[],14,0)</f>
        <v>94</v>
      </c>
    </row>
    <row r="801" spans="1:42" x14ac:dyDescent="0.25">
      <c r="A801" s="13">
        <v>42</v>
      </c>
      <c r="B801" s="13" t="s">
        <v>59</v>
      </c>
      <c r="C801" s="13" t="s">
        <v>37</v>
      </c>
      <c r="D801" s="13">
        <v>469</v>
      </c>
      <c r="E801" s="13" t="s">
        <v>62</v>
      </c>
      <c r="F801" s="13">
        <v>2</v>
      </c>
      <c r="G801" s="13">
        <v>2</v>
      </c>
      <c r="H801" s="13" t="s">
        <v>87</v>
      </c>
      <c r="I801" s="13">
        <v>1</v>
      </c>
      <c r="J801" s="13">
        <v>1109</v>
      </c>
      <c r="K801" s="13">
        <v>4</v>
      </c>
      <c r="L801" s="13" t="s">
        <v>63</v>
      </c>
      <c r="M801" s="13">
        <v>35</v>
      </c>
      <c r="N801" s="13">
        <v>3</v>
      </c>
      <c r="O801" s="13">
        <v>4</v>
      </c>
      <c r="P801" s="13" t="s">
        <v>169</v>
      </c>
      <c r="Q801" s="13">
        <v>1</v>
      </c>
      <c r="R801" s="13" t="s">
        <v>66</v>
      </c>
      <c r="S801" s="20">
        <v>17665</v>
      </c>
      <c r="T801" s="13">
        <v>14399</v>
      </c>
      <c r="U801" s="13">
        <v>0</v>
      </c>
      <c r="V801" s="13" t="s">
        <v>52</v>
      </c>
      <c r="W801" s="13" t="s">
        <v>59</v>
      </c>
      <c r="X801" s="13">
        <v>17</v>
      </c>
      <c r="Y801" s="13">
        <v>3</v>
      </c>
      <c r="Z801" s="13">
        <v>4</v>
      </c>
      <c r="AA801" s="13">
        <v>80</v>
      </c>
      <c r="AB801" s="13">
        <v>1</v>
      </c>
      <c r="AC801" s="13">
        <v>23</v>
      </c>
      <c r="AD801" s="13">
        <v>3</v>
      </c>
      <c r="AE801" s="13">
        <v>3</v>
      </c>
      <c r="AF801" s="14">
        <v>22</v>
      </c>
      <c r="AG801" s="13">
        <v>6</v>
      </c>
      <c r="AH801" s="13">
        <v>13</v>
      </c>
      <c r="AI801" s="13">
        <v>7</v>
      </c>
      <c r="AJ801" s="13" t="str">
        <f t="shared" si="12"/>
        <v>40-49</v>
      </c>
      <c r="AK801" s="13" t="str">
        <f>IF(tblCleanData[[#This Row],[MonthlyIncome]]&lt;5000, "Low Income", IF(tblCleanData[[#This Row],[MonthlyIncome]]&lt;15000, "Medium Income", "High Income"))</f>
        <v>High Income</v>
      </c>
      <c r="AL801" s="13">
        <f>IF(tblCleanData[[#This Row],[Attrition]]="No", 0,1)</f>
        <v>0</v>
      </c>
      <c r="AM801" s="13">
        <f>IF(tblCleanData[[#This Row],[OverTime]] = "No", 0, 1)</f>
        <v>0</v>
      </c>
      <c r="AN801" s="13" t="str">
        <f>CHOOSE(tblCleanData[[#This Row],[Education]], "Below College","College","Bachelor","Master","Doctor")</f>
        <v>College</v>
      </c>
      <c r="AO801" s="13" t="str">
        <f>VLOOKUP(tblCleanData[[#This Row],[EmployeeNumber]],tblHelpers[],15,TRUE)</f>
        <v>Medium Risk</v>
      </c>
      <c r="AP801" s="13">
        <f>VLOOKUP(tblCleanData[[#This Row],[EmployeeNumber]],tblHelpers[],14,0)</f>
        <v>43</v>
      </c>
    </row>
    <row r="802" spans="1:42" x14ac:dyDescent="0.25">
      <c r="A802" s="13">
        <v>28</v>
      </c>
      <c r="B802" s="13" t="s">
        <v>36</v>
      </c>
      <c r="C802" s="13" t="s">
        <v>60</v>
      </c>
      <c r="D802" s="13">
        <v>1009</v>
      </c>
      <c r="E802" s="13" t="s">
        <v>62</v>
      </c>
      <c r="F802" s="13">
        <v>1</v>
      </c>
      <c r="G802" s="13">
        <v>3</v>
      </c>
      <c r="H802" s="13" t="s">
        <v>87</v>
      </c>
      <c r="I802" s="13">
        <v>1</v>
      </c>
      <c r="J802" s="13">
        <v>1111</v>
      </c>
      <c r="K802" s="13">
        <v>1</v>
      </c>
      <c r="L802" s="13" t="s">
        <v>63</v>
      </c>
      <c r="M802" s="13">
        <v>45</v>
      </c>
      <c r="N802" s="13">
        <v>2</v>
      </c>
      <c r="O802" s="13">
        <v>1</v>
      </c>
      <c r="P802" s="13" t="s">
        <v>76</v>
      </c>
      <c r="Q802" s="13">
        <v>2</v>
      </c>
      <c r="R802" s="13" t="s">
        <v>109</v>
      </c>
      <c r="S802" s="20">
        <v>2596</v>
      </c>
      <c r="T802" s="13">
        <v>7160</v>
      </c>
      <c r="U802" s="13">
        <v>1</v>
      </c>
      <c r="V802" s="13" t="s">
        <v>52</v>
      </c>
      <c r="W802" s="13" t="s">
        <v>59</v>
      </c>
      <c r="X802" s="13">
        <v>15</v>
      </c>
      <c r="Y802" s="13">
        <v>3</v>
      </c>
      <c r="Z802" s="13">
        <v>1</v>
      </c>
      <c r="AA802" s="13">
        <v>80</v>
      </c>
      <c r="AB802" s="13">
        <v>2</v>
      </c>
      <c r="AC802" s="13">
        <v>1</v>
      </c>
      <c r="AD802" s="13">
        <v>2</v>
      </c>
      <c r="AE802" s="13">
        <v>3</v>
      </c>
      <c r="AF802" s="14">
        <v>1</v>
      </c>
      <c r="AG802" s="13">
        <v>0</v>
      </c>
      <c r="AH802" s="13">
        <v>0</v>
      </c>
      <c r="AI802" s="13">
        <v>0</v>
      </c>
      <c r="AJ802" s="13" t="str">
        <f t="shared" si="12"/>
        <v>Under 30</v>
      </c>
      <c r="AK802" s="13" t="str">
        <f>IF(tblCleanData[[#This Row],[MonthlyIncome]]&lt;5000, "Low Income", IF(tblCleanData[[#This Row],[MonthlyIncome]]&lt;15000, "Medium Income", "High Income"))</f>
        <v>Low Income</v>
      </c>
      <c r="AL802" s="13">
        <f>IF(tblCleanData[[#This Row],[Attrition]]="No", 0,1)</f>
        <v>1</v>
      </c>
      <c r="AM802" s="13">
        <f>IF(tblCleanData[[#This Row],[OverTime]] = "No", 0, 1)</f>
        <v>0</v>
      </c>
      <c r="AN802" s="13" t="str">
        <f>CHOOSE(tblCleanData[[#This Row],[Education]], "Below College","College","Bachelor","Master","Doctor")</f>
        <v>Bachelor</v>
      </c>
      <c r="AO802" s="13" t="str">
        <f>VLOOKUP(tblCleanData[[#This Row],[EmployeeNumber]],tblHelpers[],15,TRUE)</f>
        <v>High Risk</v>
      </c>
      <c r="AP802" s="13">
        <f>VLOOKUP(tblCleanData[[#This Row],[EmployeeNumber]],tblHelpers[],14,0)</f>
        <v>79</v>
      </c>
    </row>
    <row r="803" spans="1:42" x14ac:dyDescent="0.25">
      <c r="A803" s="13">
        <v>50</v>
      </c>
      <c r="B803" s="13" t="s">
        <v>36</v>
      </c>
      <c r="C803" s="13" t="s">
        <v>60</v>
      </c>
      <c r="D803" s="13">
        <v>959</v>
      </c>
      <c r="E803" s="13" t="s">
        <v>39</v>
      </c>
      <c r="F803" s="13">
        <v>1</v>
      </c>
      <c r="G803" s="13">
        <v>4</v>
      </c>
      <c r="H803" s="13" t="s">
        <v>74</v>
      </c>
      <c r="I803" s="13">
        <v>1</v>
      </c>
      <c r="J803" s="13">
        <v>1113</v>
      </c>
      <c r="K803" s="13">
        <v>4</v>
      </c>
      <c r="L803" s="13" t="s">
        <v>63</v>
      </c>
      <c r="M803" s="13">
        <v>81</v>
      </c>
      <c r="N803" s="13">
        <v>3</v>
      </c>
      <c r="O803" s="13">
        <v>2</v>
      </c>
      <c r="P803" s="13" t="s">
        <v>46</v>
      </c>
      <c r="Q803" s="13">
        <v>3</v>
      </c>
      <c r="R803" s="13" t="s">
        <v>48</v>
      </c>
      <c r="S803" s="20">
        <v>4728</v>
      </c>
      <c r="T803" s="13">
        <v>17251</v>
      </c>
      <c r="U803" s="13">
        <v>3</v>
      </c>
      <c r="V803" s="13" t="s">
        <v>52</v>
      </c>
      <c r="W803" s="13" t="s">
        <v>36</v>
      </c>
      <c r="X803" s="13">
        <v>14</v>
      </c>
      <c r="Y803" s="13">
        <v>3</v>
      </c>
      <c r="Z803" s="13">
        <v>4</v>
      </c>
      <c r="AA803" s="13">
        <v>80</v>
      </c>
      <c r="AB803" s="13">
        <v>0</v>
      </c>
      <c r="AC803" s="13">
        <v>5</v>
      </c>
      <c r="AD803" s="13">
        <v>4</v>
      </c>
      <c r="AE803" s="13">
        <v>3</v>
      </c>
      <c r="AF803" s="14">
        <v>0</v>
      </c>
      <c r="AG803" s="13">
        <v>0</v>
      </c>
      <c r="AH803" s="13">
        <v>0</v>
      </c>
      <c r="AI803" s="13">
        <v>0</v>
      </c>
      <c r="AJ803" s="13" t="str">
        <f t="shared" si="12"/>
        <v>50+</v>
      </c>
      <c r="AK803" s="13" t="str">
        <f>IF(tblCleanData[[#This Row],[MonthlyIncome]]&lt;5000, "Low Income", IF(tblCleanData[[#This Row],[MonthlyIncome]]&lt;15000, "Medium Income", "High Income"))</f>
        <v>Low Income</v>
      </c>
      <c r="AL803" s="13">
        <f>IF(tblCleanData[[#This Row],[Attrition]]="No", 0,1)</f>
        <v>1</v>
      </c>
      <c r="AM803" s="13">
        <f>IF(tblCleanData[[#This Row],[OverTime]] = "No", 0, 1)</f>
        <v>1</v>
      </c>
      <c r="AN803" s="13" t="str">
        <f>CHOOSE(tblCleanData[[#This Row],[Education]], "Below College","College","Bachelor","Master","Doctor")</f>
        <v>Master</v>
      </c>
      <c r="AO803" s="13" t="str">
        <f>VLOOKUP(tblCleanData[[#This Row],[EmployeeNumber]],tblHelpers[],15,TRUE)</f>
        <v>High Risk</v>
      </c>
      <c r="AP803" s="13">
        <f>VLOOKUP(tblCleanData[[#This Row],[EmployeeNumber]],tblHelpers[],14,0)</f>
        <v>83</v>
      </c>
    </row>
    <row r="804" spans="1:42" x14ac:dyDescent="0.25">
      <c r="A804" s="13">
        <v>33</v>
      </c>
      <c r="B804" s="13" t="s">
        <v>59</v>
      </c>
      <c r="C804" s="13" t="s">
        <v>60</v>
      </c>
      <c r="D804" s="13">
        <v>970</v>
      </c>
      <c r="E804" s="13" t="s">
        <v>39</v>
      </c>
      <c r="F804" s="13">
        <v>7</v>
      </c>
      <c r="G804" s="13">
        <v>3</v>
      </c>
      <c r="H804" s="13" t="s">
        <v>42</v>
      </c>
      <c r="I804" s="13">
        <v>1</v>
      </c>
      <c r="J804" s="13">
        <v>1114</v>
      </c>
      <c r="K804" s="13">
        <v>4</v>
      </c>
      <c r="L804" s="13" t="s">
        <v>43</v>
      </c>
      <c r="M804" s="13">
        <v>30</v>
      </c>
      <c r="N804" s="13">
        <v>3</v>
      </c>
      <c r="O804" s="13">
        <v>2</v>
      </c>
      <c r="P804" s="13" t="s">
        <v>46</v>
      </c>
      <c r="Q804" s="13">
        <v>2</v>
      </c>
      <c r="R804" s="13" t="s">
        <v>66</v>
      </c>
      <c r="S804" s="20">
        <v>4302</v>
      </c>
      <c r="T804" s="13">
        <v>13401</v>
      </c>
      <c r="U804" s="13">
        <v>0</v>
      </c>
      <c r="V804" s="13" t="s">
        <v>52</v>
      </c>
      <c r="W804" s="13" t="s">
        <v>59</v>
      </c>
      <c r="X804" s="13">
        <v>17</v>
      </c>
      <c r="Y804" s="13">
        <v>3</v>
      </c>
      <c r="Z804" s="13">
        <v>3</v>
      </c>
      <c r="AA804" s="13">
        <v>80</v>
      </c>
      <c r="AB804" s="13">
        <v>1</v>
      </c>
      <c r="AC804" s="13">
        <v>4</v>
      </c>
      <c r="AD804" s="13">
        <v>3</v>
      </c>
      <c r="AE804" s="13">
        <v>3</v>
      </c>
      <c r="AF804" s="14">
        <v>3</v>
      </c>
      <c r="AG804" s="13">
        <v>2</v>
      </c>
      <c r="AH804" s="13">
        <v>0</v>
      </c>
      <c r="AI804" s="13">
        <v>2</v>
      </c>
      <c r="AJ804" s="13" t="str">
        <f t="shared" si="12"/>
        <v>30-39</v>
      </c>
      <c r="AK804" s="13" t="str">
        <f>IF(tblCleanData[[#This Row],[MonthlyIncome]]&lt;5000, "Low Income", IF(tblCleanData[[#This Row],[MonthlyIncome]]&lt;15000, "Medium Income", "High Income"))</f>
        <v>Low Income</v>
      </c>
      <c r="AL804" s="13">
        <f>IF(tblCleanData[[#This Row],[Attrition]]="No", 0,1)</f>
        <v>0</v>
      </c>
      <c r="AM804" s="13">
        <f>IF(tblCleanData[[#This Row],[OverTime]] = "No", 0, 1)</f>
        <v>0</v>
      </c>
      <c r="AN804" s="13" t="str">
        <f>CHOOSE(tblCleanData[[#This Row],[Education]], "Below College","College","Bachelor","Master","Doctor")</f>
        <v>Bachelor</v>
      </c>
      <c r="AO804" s="13" t="str">
        <f>VLOOKUP(tblCleanData[[#This Row],[EmployeeNumber]],tblHelpers[],15,TRUE)</f>
        <v>High Risk</v>
      </c>
      <c r="AP804" s="13">
        <f>VLOOKUP(tblCleanData[[#This Row],[EmployeeNumber]],tblHelpers[],14,0)</f>
        <v>59</v>
      </c>
    </row>
    <row r="805" spans="1:42" x14ac:dyDescent="0.25">
      <c r="A805" s="13">
        <v>34</v>
      </c>
      <c r="B805" s="13" t="s">
        <v>59</v>
      </c>
      <c r="C805" s="13" t="s">
        <v>161</v>
      </c>
      <c r="D805" s="13">
        <v>697</v>
      </c>
      <c r="E805" s="13" t="s">
        <v>62</v>
      </c>
      <c r="F805" s="13">
        <v>3</v>
      </c>
      <c r="G805" s="13">
        <v>4</v>
      </c>
      <c r="H805" s="13" t="s">
        <v>42</v>
      </c>
      <c r="I805" s="13">
        <v>1</v>
      </c>
      <c r="J805" s="13">
        <v>1115</v>
      </c>
      <c r="K805" s="13">
        <v>3</v>
      </c>
      <c r="L805" s="13" t="s">
        <v>63</v>
      </c>
      <c r="M805" s="13">
        <v>40</v>
      </c>
      <c r="N805" s="13">
        <v>2</v>
      </c>
      <c r="O805" s="13">
        <v>1</v>
      </c>
      <c r="P805" s="13" t="s">
        <v>65</v>
      </c>
      <c r="Q805" s="13">
        <v>4</v>
      </c>
      <c r="R805" s="13" t="s">
        <v>66</v>
      </c>
      <c r="S805" s="20">
        <v>2979</v>
      </c>
      <c r="T805" s="13">
        <v>22478</v>
      </c>
      <c r="U805" s="13">
        <v>3</v>
      </c>
      <c r="V805" s="13" t="s">
        <v>52</v>
      </c>
      <c r="W805" s="13" t="s">
        <v>59</v>
      </c>
      <c r="X805" s="13">
        <v>17</v>
      </c>
      <c r="Y805" s="13">
        <v>3</v>
      </c>
      <c r="Z805" s="13">
        <v>4</v>
      </c>
      <c r="AA805" s="13">
        <v>80</v>
      </c>
      <c r="AB805" s="13">
        <v>3</v>
      </c>
      <c r="AC805" s="13">
        <v>6</v>
      </c>
      <c r="AD805" s="13">
        <v>2</v>
      </c>
      <c r="AE805" s="13">
        <v>3</v>
      </c>
      <c r="AF805" s="14">
        <v>0</v>
      </c>
      <c r="AG805" s="13">
        <v>0</v>
      </c>
      <c r="AH805" s="13">
        <v>0</v>
      </c>
      <c r="AI805" s="13">
        <v>0</v>
      </c>
      <c r="AJ805" s="13" t="str">
        <f t="shared" si="12"/>
        <v>30-39</v>
      </c>
      <c r="AK805" s="13" t="str">
        <f>IF(tblCleanData[[#This Row],[MonthlyIncome]]&lt;5000, "Low Income", IF(tblCleanData[[#This Row],[MonthlyIncome]]&lt;15000, "Medium Income", "High Income"))</f>
        <v>Low Income</v>
      </c>
      <c r="AL805" s="13">
        <f>IF(tblCleanData[[#This Row],[Attrition]]="No", 0,1)</f>
        <v>0</v>
      </c>
      <c r="AM805" s="13">
        <f>IF(tblCleanData[[#This Row],[OverTime]] = "No", 0, 1)</f>
        <v>0</v>
      </c>
      <c r="AN805" s="13" t="str">
        <f>CHOOSE(tblCleanData[[#This Row],[Education]], "Below College","College","Bachelor","Master","Doctor")</f>
        <v>Master</v>
      </c>
      <c r="AO805" s="13" t="str">
        <f>VLOOKUP(tblCleanData[[#This Row],[EmployeeNumber]],tblHelpers[],15,TRUE)</f>
        <v>High Risk</v>
      </c>
      <c r="AP805" s="13">
        <f>VLOOKUP(tblCleanData[[#This Row],[EmployeeNumber]],tblHelpers[],14,0)</f>
        <v>56</v>
      </c>
    </row>
    <row r="806" spans="1:42" x14ac:dyDescent="0.25">
      <c r="A806" s="13">
        <v>48</v>
      </c>
      <c r="B806" s="13" t="s">
        <v>59</v>
      </c>
      <c r="C806" s="13" t="s">
        <v>161</v>
      </c>
      <c r="D806" s="13">
        <v>1262</v>
      </c>
      <c r="E806" s="13" t="s">
        <v>62</v>
      </c>
      <c r="F806" s="13">
        <v>1</v>
      </c>
      <c r="G806" s="13">
        <v>4</v>
      </c>
      <c r="H806" s="13" t="s">
        <v>87</v>
      </c>
      <c r="I806" s="13">
        <v>1</v>
      </c>
      <c r="J806" s="13">
        <v>1116</v>
      </c>
      <c r="K806" s="13">
        <v>1</v>
      </c>
      <c r="L806" s="13" t="s">
        <v>63</v>
      </c>
      <c r="M806" s="13">
        <v>35</v>
      </c>
      <c r="N806" s="13">
        <v>4</v>
      </c>
      <c r="O806" s="13">
        <v>4</v>
      </c>
      <c r="P806" s="13" t="s">
        <v>169</v>
      </c>
      <c r="Q806" s="13">
        <v>4</v>
      </c>
      <c r="R806" s="13" t="s">
        <v>48</v>
      </c>
      <c r="S806" s="20">
        <v>16885</v>
      </c>
      <c r="T806" s="13">
        <v>16154</v>
      </c>
      <c r="U806" s="13">
        <v>2</v>
      </c>
      <c r="V806" s="13" t="s">
        <v>52</v>
      </c>
      <c r="W806" s="13" t="s">
        <v>59</v>
      </c>
      <c r="X806" s="13">
        <v>22</v>
      </c>
      <c r="Y806" s="13">
        <v>4</v>
      </c>
      <c r="Z806" s="13">
        <v>3</v>
      </c>
      <c r="AA806" s="13">
        <v>80</v>
      </c>
      <c r="AB806" s="13">
        <v>0</v>
      </c>
      <c r="AC806" s="13">
        <v>27</v>
      </c>
      <c r="AD806" s="13">
        <v>3</v>
      </c>
      <c r="AE806" s="13">
        <v>2</v>
      </c>
      <c r="AF806" s="14">
        <v>5</v>
      </c>
      <c r="AG806" s="13">
        <v>4</v>
      </c>
      <c r="AH806" s="13">
        <v>2</v>
      </c>
      <c r="AI806" s="13">
        <v>1</v>
      </c>
      <c r="AJ806" s="13" t="str">
        <f t="shared" si="12"/>
        <v>40-49</v>
      </c>
      <c r="AK806" s="13" t="str">
        <f>IF(tblCleanData[[#This Row],[MonthlyIncome]]&lt;5000, "Low Income", IF(tblCleanData[[#This Row],[MonthlyIncome]]&lt;15000, "Medium Income", "High Income"))</f>
        <v>High Income</v>
      </c>
      <c r="AL806" s="13">
        <f>IF(tblCleanData[[#This Row],[Attrition]]="No", 0,1)</f>
        <v>0</v>
      </c>
      <c r="AM806" s="13">
        <f>IF(tblCleanData[[#This Row],[OverTime]] = "No", 0, 1)</f>
        <v>0</v>
      </c>
      <c r="AN806" s="13" t="str">
        <f>CHOOSE(tblCleanData[[#This Row],[Education]], "Below College","College","Bachelor","Master","Doctor")</f>
        <v>Master</v>
      </c>
      <c r="AO806" s="13" t="str">
        <f>VLOOKUP(tblCleanData[[#This Row],[EmployeeNumber]],tblHelpers[],15,TRUE)</f>
        <v>Medium Risk</v>
      </c>
      <c r="AP806" s="13">
        <f>VLOOKUP(tblCleanData[[#This Row],[EmployeeNumber]],tblHelpers[],14,0)</f>
        <v>36</v>
      </c>
    </row>
    <row r="807" spans="1:42" x14ac:dyDescent="0.25">
      <c r="A807" s="13">
        <v>45</v>
      </c>
      <c r="B807" s="13" t="s">
        <v>59</v>
      </c>
      <c r="C807" s="13" t="s">
        <v>161</v>
      </c>
      <c r="D807" s="13">
        <v>1050</v>
      </c>
      <c r="E807" s="13" t="s">
        <v>39</v>
      </c>
      <c r="F807" s="13">
        <v>9</v>
      </c>
      <c r="G807" s="13">
        <v>4</v>
      </c>
      <c r="H807" s="13" t="s">
        <v>42</v>
      </c>
      <c r="I807" s="13">
        <v>1</v>
      </c>
      <c r="J807" s="13">
        <v>1117</v>
      </c>
      <c r="K807" s="13">
        <v>2</v>
      </c>
      <c r="L807" s="13" t="s">
        <v>43</v>
      </c>
      <c r="M807" s="13">
        <v>65</v>
      </c>
      <c r="N807" s="13">
        <v>2</v>
      </c>
      <c r="O807" s="13">
        <v>2</v>
      </c>
      <c r="P807" s="13" t="s">
        <v>46</v>
      </c>
      <c r="Q807" s="13">
        <v>3</v>
      </c>
      <c r="R807" s="13" t="s">
        <v>66</v>
      </c>
      <c r="S807" s="20">
        <v>5593</v>
      </c>
      <c r="T807" s="13">
        <v>17970</v>
      </c>
      <c r="U807" s="13">
        <v>1</v>
      </c>
      <c r="V807" s="13" t="s">
        <v>52</v>
      </c>
      <c r="W807" s="13" t="s">
        <v>59</v>
      </c>
      <c r="X807" s="13">
        <v>13</v>
      </c>
      <c r="Y807" s="13">
        <v>3</v>
      </c>
      <c r="Z807" s="13">
        <v>4</v>
      </c>
      <c r="AA807" s="13">
        <v>80</v>
      </c>
      <c r="AB807" s="13">
        <v>1</v>
      </c>
      <c r="AC807" s="13">
        <v>15</v>
      </c>
      <c r="AD807" s="13">
        <v>2</v>
      </c>
      <c r="AE807" s="13">
        <v>3</v>
      </c>
      <c r="AF807" s="14">
        <v>15</v>
      </c>
      <c r="AG807" s="13">
        <v>10</v>
      </c>
      <c r="AH807" s="13">
        <v>4</v>
      </c>
      <c r="AI807" s="13">
        <v>12</v>
      </c>
      <c r="AJ807" s="13" t="str">
        <f t="shared" si="12"/>
        <v>40-49</v>
      </c>
      <c r="AK807" s="13" t="str">
        <f>IF(tblCleanData[[#This Row],[MonthlyIncome]]&lt;5000, "Low Income", IF(tblCleanData[[#This Row],[MonthlyIncome]]&lt;15000, "Medium Income", "High Income"))</f>
        <v>Medium Income</v>
      </c>
      <c r="AL807" s="13">
        <f>IF(tblCleanData[[#This Row],[Attrition]]="No", 0,1)</f>
        <v>0</v>
      </c>
      <c r="AM807" s="13">
        <f>IF(tblCleanData[[#This Row],[OverTime]] = "No", 0, 1)</f>
        <v>0</v>
      </c>
      <c r="AN807" s="13" t="str">
        <f>CHOOSE(tblCleanData[[#This Row],[Education]], "Below College","College","Bachelor","Master","Doctor")</f>
        <v>Master</v>
      </c>
      <c r="AO807" s="13" t="str">
        <f>VLOOKUP(tblCleanData[[#This Row],[EmployeeNumber]],tblHelpers[],15,TRUE)</f>
        <v>Low Risk</v>
      </c>
      <c r="AP807" s="13">
        <f>VLOOKUP(tblCleanData[[#This Row],[EmployeeNumber]],tblHelpers[],14,0)</f>
        <v>31</v>
      </c>
    </row>
    <row r="808" spans="1:42" x14ac:dyDescent="0.25">
      <c r="A808" s="13">
        <v>52</v>
      </c>
      <c r="B808" s="13" t="s">
        <v>59</v>
      </c>
      <c r="C808" s="13" t="s">
        <v>37</v>
      </c>
      <c r="D808" s="13">
        <v>994</v>
      </c>
      <c r="E808" s="13" t="s">
        <v>62</v>
      </c>
      <c r="F808" s="13">
        <v>7</v>
      </c>
      <c r="G808" s="13">
        <v>4</v>
      </c>
      <c r="H808" s="13" t="s">
        <v>42</v>
      </c>
      <c r="I808" s="13">
        <v>1</v>
      </c>
      <c r="J808" s="13">
        <v>1118</v>
      </c>
      <c r="K808" s="13">
        <v>2</v>
      </c>
      <c r="L808" s="13" t="s">
        <v>63</v>
      </c>
      <c r="M808" s="13">
        <v>87</v>
      </c>
      <c r="N808" s="13">
        <v>3</v>
      </c>
      <c r="O808" s="13">
        <v>3</v>
      </c>
      <c r="P808" s="13" t="s">
        <v>122</v>
      </c>
      <c r="Q808" s="13">
        <v>2</v>
      </c>
      <c r="R808" s="13" t="s">
        <v>48</v>
      </c>
      <c r="S808" s="20">
        <v>10445</v>
      </c>
      <c r="T808" s="13">
        <v>15322</v>
      </c>
      <c r="U808" s="13">
        <v>7</v>
      </c>
      <c r="V808" s="13" t="s">
        <v>52</v>
      </c>
      <c r="W808" s="13" t="s">
        <v>59</v>
      </c>
      <c r="X808" s="13">
        <v>19</v>
      </c>
      <c r="Y808" s="13">
        <v>3</v>
      </c>
      <c r="Z808" s="13">
        <v>4</v>
      </c>
      <c r="AA808" s="13">
        <v>80</v>
      </c>
      <c r="AB808" s="13">
        <v>0</v>
      </c>
      <c r="AC808" s="13">
        <v>18</v>
      </c>
      <c r="AD808" s="13">
        <v>4</v>
      </c>
      <c r="AE808" s="13">
        <v>3</v>
      </c>
      <c r="AF808" s="14">
        <v>8</v>
      </c>
      <c r="AG808" s="13">
        <v>6</v>
      </c>
      <c r="AH808" s="13">
        <v>4</v>
      </c>
      <c r="AI808" s="13">
        <v>0</v>
      </c>
      <c r="AJ808" s="13" t="str">
        <f t="shared" si="12"/>
        <v>50+</v>
      </c>
      <c r="AK808" s="13" t="str">
        <f>IF(tblCleanData[[#This Row],[MonthlyIncome]]&lt;5000, "Low Income", IF(tblCleanData[[#This Row],[MonthlyIncome]]&lt;15000, "Medium Income", "High Income"))</f>
        <v>Medium Income</v>
      </c>
      <c r="AL808" s="13">
        <f>IF(tblCleanData[[#This Row],[Attrition]]="No", 0,1)</f>
        <v>0</v>
      </c>
      <c r="AM808" s="13">
        <f>IF(tblCleanData[[#This Row],[OverTime]] = "No", 0, 1)</f>
        <v>0</v>
      </c>
      <c r="AN808" s="13" t="str">
        <f>CHOOSE(tblCleanData[[#This Row],[Education]], "Below College","College","Bachelor","Master","Doctor")</f>
        <v>Master</v>
      </c>
      <c r="AO808" s="13" t="str">
        <f>VLOOKUP(tblCleanData[[#This Row],[EmployeeNumber]],tblHelpers[],15,TRUE)</f>
        <v>Medium Risk</v>
      </c>
      <c r="AP808" s="13">
        <f>VLOOKUP(tblCleanData[[#This Row],[EmployeeNumber]],tblHelpers[],14,0)</f>
        <v>47</v>
      </c>
    </row>
    <row r="809" spans="1:42" x14ac:dyDescent="0.25">
      <c r="A809" s="13">
        <v>38</v>
      </c>
      <c r="B809" s="13" t="s">
        <v>59</v>
      </c>
      <c r="C809" s="13" t="s">
        <v>37</v>
      </c>
      <c r="D809" s="13">
        <v>770</v>
      </c>
      <c r="E809" s="13" t="s">
        <v>39</v>
      </c>
      <c r="F809" s="13">
        <v>10</v>
      </c>
      <c r="G809" s="13">
        <v>4</v>
      </c>
      <c r="H809" s="13" t="s">
        <v>206</v>
      </c>
      <c r="I809" s="13">
        <v>1</v>
      </c>
      <c r="J809" s="13">
        <v>1119</v>
      </c>
      <c r="K809" s="13">
        <v>3</v>
      </c>
      <c r="L809" s="13" t="s">
        <v>63</v>
      </c>
      <c r="M809" s="13">
        <v>73</v>
      </c>
      <c r="N809" s="13">
        <v>2</v>
      </c>
      <c r="O809" s="13">
        <v>3</v>
      </c>
      <c r="P809" s="13" t="s">
        <v>46</v>
      </c>
      <c r="Q809" s="13">
        <v>3</v>
      </c>
      <c r="R809" s="13" t="s">
        <v>109</v>
      </c>
      <c r="S809" s="20">
        <v>8740</v>
      </c>
      <c r="T809" s="13">
        <v>5569</v>
      </c>
      <c r="U809" s="13">
        <v>0</v>
      </c>
      <c r="V809" s="13" t="s">
        <v>52</v>
      </c>
      <c r="W809" s="13" t="s">
        <v>36</v>
      </c>
      <c r="X809" s="13">
        <v>14</v>
      </c>
      <c r="Y809" s="13">
        <v>3</v>
      </c>
      <c r="Z809" s="13">
        <v>2</v>
      </c>
      <c r="AA809" s="13">
        <v>80</v>
      </c>
      <c r="AB809" s="13">
        <v>2</v>
      </c>
      <c r="AC809" s="13">
        <v>9</v>
      </c>
      <c r="AD809" s="13">
        <v>2</v>
      </c>
      <c r="AE809" s="13">
        <v>3</v>
      </c>
      <c r="AF809" s="14">
        <v>8</v>
      </c>
      <c r="AG809" s="13">
        <v>7</v>
      </c>
      <c r="AH809" s="13">
        <v>2</v>
      </c>
      <c r="AI809" s="13">
        <v>7</v>
      </c>
      <c r="AJ809" s="13" t="str">
        <f t="shared" si="12"/>
        <v>30-39</v>
      </c>
      <c r="AK809" s="13" t="str">
        <f>IF(tblCleanData[[#This Row],[MonthlyIncome]]&lt;5000, "Low Income", IF(tblCleanData[[#This Row],[MonthlyIncome]]&lt;15000, "Medium Income", "High Income"))</f>
        <v>Medium Income</v>
      </c>
      <c r="AL809" s="13">
        <f>IF(tblCleanData[[#This Row],[Attrition]]="No", 0,1)</f>
        <v>0</v>
      </c>
      <c r="AM809" s="13">
        <f>IF(tblCleanData[[#This Row],[OverTime]] = "No", 0, 1)</f>
        <v>1</v>
      </c>
      <c r="AN809" s="13" t="str">
        <f>CHOOSE(tblCleanData[[#This Row],[Education]], "Below College","College","Bachelor","Master","Doctor")</f>
        <v>Master</v>
      </c>
      <c r="AO809" s="13" t="str">
        <f>VLOOKUP(tblCleanData[[#This Row],[EmployeeNumber]],tblHelpers[],15,TRUE)</f>
        <v>High Risk</v>
      </c>
      <c r="AP809" s="13">
        <f>VLOOKUP(tblCleanData[[#This Row],[EmployeeNumber]],tblHelpers[],14,0)</f>
        <v>71</v>
      </c>
    </row>
    <row r="810" spans="1:42" x14ac:dyDescent="0.25">
      <c r="A810" s="13">
        <v>29</v>
      </c>
      <c r="B810" s="13" t="s">
        <v>59</v>
      </c>
      <c r="C810" s="13" t="s">
        <v>37</v>
      </c>
      <c r="D810" s="13">
        <v>1107</v>
      </c>
      <c r="E810" s="13" t="s">
        <v>62</v>
      </c>
      <c r="F810" s="13">
        <v>28</v>
      </c>
      <c r="G810" s="13">
        <v>4</v>
      </c>
      <c r="H810" s="13" t="s">
        <v>42</v>
      </c>
      <c r="I810" s="13">
        <v>1</v>
      </c>
      <c r="J810" s="13">
        <v>1120</v>
      </c>
      <c r="K810" s="13">
        <v>3</v>
      </c>
      <c r="L810" s="13" t="s">
        <v>43</v>
      </c>
      <c r="M810" s="13">
        <v>93</v>
      </c>
      <c r="N810" s="13">
        <v>3</v>
      </c>
      <c r="O810" s="13">
        <v>1</v>
      </c>
      <c r="P810" s="13" t="s">
        <v>65</v>
      </c>
      <c r="Q810" s="13">
        <v>4</v>
      </c>
      <c r="R810" s="13" t="s">
        <v>109</v>
      </c>
      <c r="S810" s="20">
        <v>2514</v>
      </c>
      <c r="T810" s="13">
        <v>26968</v>
      </c>
      <c r="U810" s="13">
        <v>4</v>
      </c>
      <c r="V810" s="13" t="s">
        <v>52</v>
      </c>
      <c r="W810" s="13" t="s">
        <v>59</v>
      </c>
      <c r="X810" s="13">
        <v>22</v>
      </c>
      <c r="Y810" s="13">
        <v>4</v>
      </c>
      <c r="Z810" s="13">
        <v>1</v>
      </c>
      <c r="AA810" s="13">
        <v>80</v>
      </c>
      <c r="AB810" s="13">
        <v>1</v>
      </c>
      <c r="AC810" s="13">
        <v>11</v>
      </c>
      <c r="AD810" s="13">
        <v>1</v>
      </c>
      <c r="AE810" s="13">
        <v>3</v>
      </c>
      <c r="AF810" s="14">
        <v>7</v>
      </c>
      <c r="AG810" s="13">
        <v>5</v>
      </c>
      <c r="AH810" s="13">
        <v>1</v>
      </c>
      <c r="AI810" s="13">
        <v>7</v>
      </c>
      <c r="AJ810" s="13" t="str">
        <f t="shared" si="12"/>
        <v>Under 30</v>
      </c>
      <c r="AK810" s="13" t="str">
        <f>IF(tblCleanData[[#This Row],[MonthlyIncome]]&lt;5000, "Low Income", IF(tblCleanData[[#This Row],[MonthlyIncome]]&lt;15000, "Medium Income", "High Income"))</f>
        <v>Low Income</v>
      </c>
      <c r="AL810" s="13">
        <f>IF(tblCleanData[[#This Row],[Attrition]]="No", 0,1)</f>
        <v>0</v>
      </c>
      <c r="AM810" s="13">
        <f>IF(tblCleanData[[#This Row],[OverTime]] = "No", 0, 1)</f>
        <v>0</v>
      </c>
      <c r="AN810" s="13" t="str">
        <f>CHOOSE(tblCleanData[[#This Row],[Education]], "Below College","College","Bachelor","Master","Doctor")</f>
        <v>Master</v>
      </c>
      <c r="AO810" s="13" t="str">
        <f>VLOOKUP(tblCleanData[[#This Row],[EmployeeNumber]],tblHelpers[],15,TRUE)</f>
        <v>Medium Risk</v>
      </c>
      <c r="AP810" s="13">
        <f>VLOOKUP(tblCleanData[[#This Row],[EmployeeNumber]],tblHelpers[],14,0)</f>
        <v>49</v>
      </c>
    </row>
    <row r="811" spans="1:42" x14ac:dyDescent="0.25">
      <c r="A811" s="13">
        <v>28</v>
      </c>
      <c r="B811" s="13" t="s">
        <v>59</v>
      </c>
      <c r="C811" s="13" t="s">
        <v>37</v>
      </c>
      <c r="D811" s="13">
        <v>950</v>
      </c>
      <c r="E811" s="13" t="s">
        <v>62</v>
      </c>
      <c r="F811" s="13">
        <v>3</v>
      </c>
      <c r="G811" s="13">
        <v>3</v>
      </c>
      <c r="H811" s="13" t="s">
        <v>87</v>
      </c>
      <c r="I811" s="13">
        <v>1</v>
      </c>
      <c r="J811" s="13">
        <v>1121</v>
      </c>
      <c r="K811" s="13">
        <v>4</v>
      </c>
      <c r="L811" s="13" t="s">
        <v>43</v>
      </c>
      <c r="M811" s="13">
        <v>93</v>
      </c>
      <c r="N811" s="13">
        <v>3</v>
      </c>
      <c r="O811" s="13">
        <v>3</v>
      </c>
      <c r="P811" s="13" t="s">
        <v>116</v>
      </c>
      <c r="Q811" s="13">
        <v>2</v>
      </c>
      <c r="R811" s="13" t="s">
        <v>109</v>
      </c>
      <c r="S811" s="20">
        <v>7655</v>
      </c>
      <c r="T811" s="13">
        <v>8039</v>
      </c>
      <c r="U811" s="13">
        <v>0</v>
      </c>
      <c r="V811" s="13" t="s">
        <v>52</v>
      </c>
      <c r="W811" s="13" t="s">
        <v>59</v>
      </c>
      <c r="X811" s="13">
        <v>17</v>
      </c>
      <c r="Y811" s="13">
        <v>3</v>
      </c>
      <c r="Z811" s="13">
        <v>2</v>
      </c>
      <c r="AA811" s="13">
        <v>80</v>
      </c>
      <c r="AB811" s="13">
        <v>3</v>
      </c>
      <c r="AC811" s="13">
        <v>10</v>
      </c>
      <c r="AD811" s="13">
        <v>3</v>
      </c>
      <c r="AE811" s="13">
        <v>2</v>
      </c>
      <c r="AF811" s="14">
        <v>9</v>
      </c>
      <c r="AG811" s="13">
        <v>7</v>
      </c>
      <c r="AH811" s="13">
        <v>1</v>
      </c>
      <c r="AI811" s="13">
        <v>7</v>
      </c>
      <c r="AJ811" s="13" t="str">
        <f t="shared" si="12"/>
        <v>Under 30</v>
      </c>
      <c r="AK811" s="13" t="str">
        <f>IF(tblCleanData[[#This Row],[MonthlyIncome]]&lt;5000, "Low Income", IF(tblCleanData[[#This Row],[MonthlyIncome]]&lt;15000, "Medium Income", "High Income"))</f>
        <v>Medium Income</v>
      </c>
      <c r="AL811" s="13">
        <f>IF(tblCleanData[[#This Row],[Attrition]]="No", 0,1)</f>
        <v>0</v>
      </c>
      <c r="AM811" s="13">
        <f>IF(tblCleanData[[#This Row],[OverTime]] = "No", 0, 1)</f>
        <v>0</v>
      </c>
      <c r="AN811" s="13" t="str">
        <f>CHOOSE(tblCleanData[[#This Row],[Education]], "Below College","College","Bachelor","Master","Doctor")</f>
        <v>Bachelor</v>
      </c>
      <c r="AO811" s="13" t="str">
        <f>VLOOKUP(tblCleanData[[#This Row],[EmployeeNumber]],tblHelpers[],15,TRUE)</f>
        <v>High Risk</v>
      </c>
      <c r="AP811" s="13">
        <f>VLOOKUP(tblCleanData[[#This Row],[EmployeeNumber]],tblHelpers[],14,0)</f>
        <v>62</v>
      </c>
    </row>
    <row r="812" spans="1:42" x14ac:dyDescent="0.25">
      <c r="A812" s="13">
        <v>46</v>
      </c>
      <c r="B812" s="13" t="s">
        <v>59</v>
      </c>
      <c r="C812" s="13" t="s">
        <v>37</v>
      </c>
      <c r="D812" s="13">
        <v>406</v>
      </c>
      <c r="E812" s="13" t="s">
        <v>39</v>
      </c>
      <c r="F812" s="13">
        <v>3</v>
      </c>
      <c r="G812" s="13">
        <v>1</v>
      </c>
      <c r="H812" s="13" t="s">
        <v>206</v>
      </c>
      <c r="I812" s="13">
        <v>1</v>
      </c>
      <c r="J812" s="13">
        <v>1124</v>
      </c>
      <c r="K812" s="13">
        <v>1</v>
      </c>
      <c r="L812" s="13" t="s">
        <v>63</v>
      </c>
      <c r="M812" s="13">
        <v>52</v>
      </c>
      <c r="N812" s="13">
        <v>3</v>
      </c>
      <c r="O812" s="13">
        <v>4</v>
      </c>
      <c r="P812" s="13" t="s">
        <v>169</v>
      </c>
      <c r="Q812" s="13">
        <v>3</v>
      </c>
      <c r="R812" s="13" t="s">
        <v>66</v>
      </c>
      <c r="S812" s="20">
        <v>17465</v>
      </c>
      <c r="T812" s="13">
        <v>15596</v>
      </c>
      <c r="U812" s="13">
        <v>3</v>
      </c>
      <c r="V812" s="13" t="s">
        <v>52</v>
      </c>
      <c r="W812" s="13" t="s">
        <v>59</v>
      </c>
      <c r="X812" s="13">
        <v>12</v>
      </c>
      <c r="Y812" s="13">
        <v>3</v>
      </c>
      <c r="Z812" s="13">
        <v>4</v>
      </c>
      <c r="AA812" s="13">
        <v>80</v>
      </c>
      <c r="AB812" s="13">
        <v>1</v>
      </c>
      <c r="AC812" s="13">
        <v>23</v>
      </c>
      <c r="AD812" s="13">
        <v>3</v>
      </c>
      <c r="AE812" s="13">
        <v>3</v>
      </c>
      <c r="AF812" s="14">
        <v>12</v>
      </c>
      <c r="AG812" s="13">
        <v>9</v>
      </c>
      <c r="AH812" s="13">
        <v>4</v>
      </c>
      <c r="AI812" s="13">
        <v>9</v>
      </c>
      <c r="AJ812" s="13" t="str">
        <f t="shared" si="12"/>
        <v>40-49</v>
      </c>
      <c r="AK812" s="13" t="str">
        <f>IF(tblCleanData[[#This Row],[MonthlyIncome]]&lt;5000, "Low Income", IF(tblCleanData[[#This Row],[MonthlyIncome]]&lt;15000, "Medium Income", "High Income"))</f>
        <v>High Income</v>
      </c>
      <c r="AL812" s="13">
        <f>IF(tblCleanData[[#This Row],[Attrition]]="No", 0,1)</f>
        <v>0</v>
      </c>
      <c r="AM812" s="13">
        <f>IF(tblCleanData[[#This Row],[OverTime]] = "No", 0, 1)</f>
        <v>0</v>
      </c>
      <c r="AN812" s="13" t="str">
        <f>CHOOSE(tblCleanData[[#This Row],[Education]], "Below College","College","Bachelor","Master","Doctor")</f>
        <v>Below College</v>
      </c>
      <c r="AO812" s="13" t="str">
        <f>VLOOKUP(tblCleanData[[#This Row],[EmployeeNumber]],tblHelpers[],15,TRUE)</f>
        <v>Low Risk</v>
      </c>
      <c r="AP812" s="13">
        <f>VLOOKUP(tblCleanData[[#This Row],[EmployeeNumber]],tblHelpers[],14,0)</f>
        <v>31</v>
      </c>
    </row>
    <row r="813" spans="1:42" x14ac:dyDescent="0.25">
      <c r="A813" s="13">
        <v>38</v>
      </c>
      <c r="B813" s="13" t="s">
        <v>59</v>
      </c>
      <c r="C813" s="13" t="s">
        <v>37</v>
      </c>
      <c r="D813" s="13">
        <v>130</v>
      </c>
      <c r="E813" s="13" t="s">
        <v>39</v>
      </c>
      <c r="F813" s="13">
        <v>2</v>
      </c>
      <c r="G813" s="13">
        <v>2</v>
      </c>
      <c r="H813" s="13" t="s">
        <v>206</v>
      </c>
      <c r="I813" s="13">
        <v>1</v>
      </c>
      <c r="J813" s="13">
        <v>1125</v>
      </c>
      <c r="K813" s="13">
        <v>4</v>
      </c>
      <c r="L813" s="13" t="s">
        <v>63</v>
      </c>
      <c r="M813" s="13">
        <v>32</v>
      </c>
      <c r="N813" s="13">
        <v>3</v>
      </c>
      <c r="O813" s="13">
        <v>3</v>
      </c>
      <c r="P813" s="13" t="s">
        <v>46</v>
      </c>
      <c r="Q813" s="13">
        <v>2</v>
      </c>
      <c r="R813" s="13" t="s">
        <v>48</v>
      </c>
      <c r="S813" s="20">
        <v>7351</v>
      </c>
      <c r="T813" s="13">
        <v>20619</v>
      </c>
      <c r="U813" s="13">
        <v>7</v>
      </c>
      <c r="V813" s="13" t="s">
        <v>52</v>
      </c>
      <c r="W813" s="13" t="s">
        <v>59</v>
      </c>
      <c r="X813" s="13">
        <v>16</v>
      </c>
      <c r="Y813" s="13">
        <v>3</v>
      </c>
      <c r="Z813" s="13">
        <v>3</v>
      </c>
      <c r="AA813" s="13">
        <v>80</v>
      </c>
      <c r="AB813" s="13">
        <v>0</v>
      </c>
      <c r="AC813" s="13">
        <v>10</v>
      </c>
      <c r="AD813" s="13">
        <v>2</v>
      </c>
      <c r="AE813" s="13">
        <v>3</v>
      </c>
      <c r="AF813" s="14">
        <v>1</v>
      </c>
      <c r="AG813" s="13">
        <v>0</v>
      </c>
      <c r="AH813" s="13">
        <v>0</v>
      </c>
      <c r="AI813" s="13">
        <v>0</v>
      </c>
      <c r="AJ813" s="13" t="str">
        <f t="shared" si="12"/>
        <v>30-39</v>
      </c>
      <c r="AK813" s="13" t="str">
        <f>IF(tblCleanData[[#This Row],[MonthlyIncome]]&lt;5000, "Low Income", IF(tblCleanData[[#This Row],[MonthlyIncome]]&lt;15000, "Medium Income", "High Income"))</f>
        <v>Medium Income</v>
      </c>
      <c r="AL813" s="13">
        <f>IF(tblCleanData[[#This Row],[Attrition]]="No", 0,1)</f>
        <v>0</v>
      </c>
      <c r="AM813" s="13">
        <f>IF(tblCleanData[[#This Row],[OverTime]] = "No", 0, 1)</f>
        <v>0</v>
      </c>
      <c r="AN813" s="13" t="str">
        <f>CHOOSE(tblCleanData[[#This Row],[Education]], "Below College","College","Bachelor","Master","Doctor")</f>
        <v>College</v>
      </c>
      <c r="AO813" s="13" t="str">
        <f>VLOOKUP(tblCleanData[[#This Row],[EmployeeNumber]],tblHelpers[],15,TRUE)</f>
        <v>High Risk</v>
      </c>
      <c r="AP813" s="13">
        <f>VLOOKUP(tblCleanData[[#This Row],[EmployeeNumber]],tblHelpers[],14,0)</f>
        <v>69</v>
      </c>
    </row>
    <row r="814" spans="1:42" x14ac:dyDescent="0.25">
      <c r="A814" s="13">
        <v>43</v>
      </c>
      <c r="B814" s="13" t="s">
        <v>59</v>
      </c>
      <c r="C814" s="13" t="s">
        <v>60</v>
      </c>
      <c r="D814" s="13">
        <v>1082</v>
      </c>
      <c r="E814" s="13" t="s">
        <v>62</v>
      </c>
      <c r="F814" s="13">
        <v>27</v>
      </c>
      <c r="G814" s="13">
        <v>3</v>
      </c>
      <c r="H814" s="13" t="s">
        <v>42</v>
      </c>
      <c r="I814" s="13">
        <v>1</v>
      </c>
      <c r="J814" s="13">
        <v>1126</v>
      </c>
      <c r="K814" s="13">
        <v>3</v>
      </c>
      <c r="L814" s="13" t="s">
        <v>43</v>
      </c>
      <c r="M814" s="13">
        <v>83</v>
      </c>
      <c r="N814" s="13">
        <v>3</v>
      </c>
      <c r="O814" s="13">
        <v>3</v>
      </c>
      <c r="P814" s="13" t="s">
        <v>116</v>
      </c>
      <c r="Q814" s="13">
        <v>1</v>
      </c>
      <c r="R814" s="13" t="s">
        <v>66</v>
      </c>
      <c r="S814" s="20">
        <v>10820</v>
      </c>
      <c r="T814" s="13">
        <v>11535</v>
      </c>
      <c r="U814" s="13">
        <v>8</v>
      </c>
      <c r="V814" s="13" t="s">
        <v>52</v>
      </c>
      <c r="W814" s="13" t="s">
        <v>59</v>
      </c>
      <c r="X814" s="13">
        <v>11</v>
      </c>
      <c r="Y814" s="13">
        <v>3</v>
      </c>
      <c r="Z814" s="13">
        <v>3</v>
      </c>
      <c r="AA814" s="13">
        <v>80</v>
      </c>
      <c r="AB814" s="13">
        <v>1</v>
      </c>
      <c r="AC814" s="13">
        <v>18</v>
      </c>
      <c r="AD814" s="13">
        <v>1</v>
      </c>
      <c r="AE814" s="13">
        <v>3</v>
      </c>
      <c r="AF814" s="14">
        <v>8</v>
      </c>
      <c r="AG814" s="13">
        <v>7</v>
      </c>
      <c r="AH814" s="13">
        <v>0</v>
      </c>
      <c r="AI814" s="13">
        <v>1</v>
      </c>
      <c r="AJ814" s="13" t="str">
        <f t="shared" si="12"/>
        <v>40-49</v>
      </c>
      <c r="AK814" s="13" t="str">
        <f>IF(tblCleanData[[#This Row],[MonthlyIncome]]&lt;5000, "Low Income", IF(tblCleanData[[#This Row],[MonthlyIncome]]&lt;15000, "Medium Income", "High Income"))</f>
        <v>Medium Income</v>
      </c>
      <c r="AL814" s="13">
        <f>IF(tblCleanData[[#This Row],[Attrition]]="No", 0,1)</f>
        <v>0</v>
      </c>
      <c r="AM814" s="13">
        <f>IF(tblCleanData[[#This Row],[OverTime]] = "No", 0, 1)</f>
        <v>0</v>
      </c>
      <c r="AN814" s="13" t="str">
        <f>CHOOSE(tblCleanData[[#This Row],[Education]], "Below College","College","Bachelor","Master","Doctor")</f>
        <v>Bachelor</v>
      </c>
      <c r="AO814" s="13" t="str">
        <f>VLOOKUP(tblCleanData[[#This Row],[EmployeeNumber]],tblHelpers[],15,TRUE)</f>
        <v>Medium Risk</v>
      </c>
      <c r="AP814" s="13">
        <f>VLOOKUP(tblCleanData[[#This Row],[EmployeeNumber]],tblHelpers[],14,0)</f>
        <v>48</v>
      </c>
    </row>
    <row r="815" spans="1:42" x14ac:dyDescent="0.25">
      <c r="A815" s="13">
        <v>39</v>
      </c>
      <c r="B815" s="13" t="s">
        <v>36</v>
      </c>
      <c r="C815" s="13" t="s">
        <v>60</v>
      </c>
      <c r="D815" s="13">
        <v>203</v>
      </c>
      <c r="E815" s="13" t="s">
        <v>62</v>
      </c>
      <c r="F815" s="13">
        <v>2</v>
      </c>
      <c r="G815" s="13">
        <v>3</v>
      </c>
      <c r="H815" s="13" t="s">
        <v>42</v>
      </c>
      <c r="I815" s="13">
        <v>1</v>
      </c>
      <c r="J815" s="13">
        <v>1127</v>
      </c>
      <c r="K815" s="13">
        <v>1</v>
      </c>
      <c r="L815" s="13" t="s">
        <v>63</v>
      </c>
      <c r="M815" s="13">
        <v>84</v>
      </c>
      <c r="N815" s="13">
        <v>3</v>
      </c>
      <c r="O815" s="13">
        <v>4</v>
      </c>
      <c r="P815" s="13" t="s">
        <v>122</v>
      </c>
      <c r="Q815" s="13">
        <v>4</v>
      </c>
      <c r="R815" s="13" t="s">
        <v>109</v>
      </c>
      <c r="S815" s="20">
        <v>12169</v>
      </c>
      <c r="T815" s="13">
        <v>13547</v>
      </c>
      <c r="U815" s="13">
        <v>7</v>
      </c>
      <c r="V815" s="13" t="s">
        <v>52</v>
      </c>
      <c r="W815" s="13" t="s">
        <v>59</v>
      </c>
      <c r="X815" s="13">
        <v>11</v>
      </c>
      <c r="Y815" s="13">
        <v>3</v>
      </c>
      <c r="Z815" s="13">
        <v>4</v>
      </c>
      <c r="AA815" s="13">
        <v>80</v>
      </c>
      <c r="AB815" s="13">
        <v>3</v>
      </c>
      <c r="AC815" s="13">
        <v>21</v>
      </c>
      <c r="AD815" s="13">
        <v>4</v>
      </c>
      <c r="AE815" s="13">
        <v>3</v>
      </c>
      <c r="AF815" s="14">
        <v>18</v>
      </c>
      <c r="AG815" s="13">
        <v>7</v>
      </c>
      <c r="AH815" s="13">
        <v>11</v>
      </c>
      <c r="AI815" s="13">
        <v>5</v>
      </c>
      <c r="AJ815" s="13" t="str">
        <f t="shared" si="12"/>
        <v>30-39</v>
      </c>
      <c r="AK815" s="13" t="str">
        <f>IF(tblCleanData[[#This Row],[MonthlyIncome]]&lt;5000, "Low Income", IF(tblCleanData[[#This Row],[MonthlyIncome]]&lt;15000, "Medium Income", "High Income"))</f>
        <v>Medium Income</v>
      </c>
      <c r="AL815" s="13">
        <f>IF(tblCleanData[[#This Row],[Attrition]]="No", 0,1)</f>
        <v>1</v>
      </c>
      <c r="AM815" s="13">
        <f>IF(tblCleanData[[#This Row],[OverTime]] = "No", 0, 1)</f>
        <v>0</v>
      </c>
      <c r="AN815" s="13" t="str">
        <f>CHOOSE(tblCleanData[[#This Row],[Education]], "Below College","College","Bachelor","Master","Doctor")</f>
        <v>Bachelor</v>
      </c>
      <c r="AO815" s="13" t="str">
        <f>VLOOKUP(tblCleanData[[#This Row],[EmployeeNumber]],tblHelpers[],15,TRUE)</f>
        <v>Low Risk</v>
      </c>
      <c r="AP815" s="13">
        <f>VLOOKUP(tblCleanData[[#This Row],[EmployeeNumber]],tblHelpers[],14,0)</f>
        <v>34</v>
      </c>
    </row>
    <row r="816" spans="1:42" x14ac:dyDescent="0.25">
      <c r="A816" s="13">
        <v>40</v>
      </c>
      <c r="B816" s="13" t="s">
        <v>59</v>
      </c>
      <c r="C816" s="13" t="s">
        <v>37</v>
      </c>
      <c r="D816" s="13">
        <v>1308</v>
      </c>
      <c r="E816" s="13" t="s">
        <v>62</v>
      </c>
      <c r="F816" s="13">
        <v>14</v>
      </c>
      <c r="G816" s="13">
        <v>3</v>
      </c>
      <c r="H816" s="13" t="s">
        <v>87</v>
      </c>
      <c r="I816" s="13">
        <v>1</v>
      </c>
      <c r="J816" s="13">
        <v>1128</v>
      </c>
      <c r="K816" s="13">
        <v>3</v>
      </c>
      <c r="L816" s="13" t="s">
        <v>63</v>
      </c>
      <c r="M816" s="13">
        <v>44</v>
      </c>
      <c r="N816" s="13">
        <v>2</v>
      </c>
      <c r="O816" s="13">
        <v>5</v>
      </c>
      <c r="P816" s="13" t="s">
        <v>186</v>
      </c>
      <c r="Q816" s="13">
        <v>3</v>
      </c>
      <c r="R816" s="13" t="s">
        <v>48</v>
      </c>
      <c r="S816" s="20">
        <v>19626</v>
      </c>
      <c r="T816" s="13">
        <v>17544</v>
      </c>
      <c r="U816" s="13">
        <v>1</v>
      </c>
      <c r="V816" s="13" t="s">
        <v>52</v>
      </c>
      <c r="W816" s="13" t="s">
        <v>59</v>
      </c>
      <c r="X816" s="13">
        <v>14</v>
      </c>
      <c r="Y816" s="13">
        <v>3</v>
      </c>
      <c r="Z816" s="13">
        <v>1</v>
      </c>
      <c r="AA816" s="13">
        <v>80</v>
      </c>
      <c r="AB816" s="13">
        <v>0</v>
      </c>
      <c r="AC816" s="13">
        <v>21</v>
      </c>
      <c r="AD816" s="13">
        <v>2</v>
      </c>
      <c r="AE816" s="13">
        <v>4</v>
      </c>
      <c r="AF816" s="14">
        <v>20</v>
      </c>
      <c r="AG816" s="13">
        <v>7</v>
      </c>
      <c r="AH816" s="13">
        <v>4</v>
      </c>
      <c r="AI816" s="13">
        <v>9</v>
      </c>
      <c r="AJ816" s="13" t="str">
        <f t="shared" si="12"/>
        <v>40-49</v>
      </c>
      <c r="AK816" s="13" t="str">
        <f>IF(tblCleanData[[#This Row],[MonthlyIncome]]&lt;5000, "Low Income", IF(tblCleanData[[#This Row],[MonthlyIncome]]&lt;15000, "Medium Income", "High Income"))</f>
        <v>High Income</v>
      </c>
      <c r="AL816" s="13">
        <f>IF(tblCleanData[[#This Row],[Attrition]]="No", 0,1)</f>
        <v>0</v>
      </c>
      <c r="AM816" s="13">
        <f>IF(tblCleanData[[#This Row],[OverTime]] = "No", 0, 1)</f>
        <v>0</v>
      </c>
      <c r="AN816" s="13" t="str">
        <f>CHOOSE(tblCleanData[[#This Row],[Education]], "Below College","College","Bachelor","Master","Doctor")</f>
        <v>Bachelor</v>
      </c>
      <c r="AO816" s="13" t="str">
        <f>VLOOKUP(tblCleanData[[#This Row],[EmployeeNumber]],tblHelpers[],15,TRUE)</f>
        <v>Low Risk</v>
      </c>
      <c r="AP816" s="13">
        <f>VLOOKUP(tblCleanData[[#This Row],[EmployeeNumber]],tblHelpers[],14,0)</f>
        <v>31</v>
      </c>
    </row>
    <row r="817" spans="1:42" x14ac:dyDescent="0.25">
      <c r="A817" s="13">
        <v>21</v>
      </c>
      <c r="B817" s="13" t="s">
        <v>59</v>
      </c>
      <c r="C817" s="13" t="s">
        <v>37</v>
      </c>
      <c r="D817" s="13">
        <v>984</v>
      </c>
      <c r="E817" s="13" t="s">
        <v>62</v>
      </c>
      <c r="F817" s="13">
        <v>1</v>
      </c>
      <c r="G817" s="13">
        <v>1</v>
      </c>
      <c r="H817" s="13" t="s">
        <v>228</v>
      </c>
      <c r="I817" s="13">
        <v>1</v>
      </c>
      <c r="J817" s="13">
        <v>1131</v>
      </c>
      <c r="K817" s="13">
        <v>4</v>
      </c>
      <c r="L817" s="13" t="s">
        <v>43</v>
      </c>
      <c r="M817" s="13">
        <v>70</v>
      </c>
      <c r="N817" s="13">
        <v>2</v>
      </c>
      <c r="O817" s="13">
        <v>1</v>
      </c>
      <c r="P817" s="13" t="s">
        <v>65</v>
      </c>
      <c r="Q817" s="13">
        <v>2</v>
      </c>
      <c r="R817" s="13" t="s">
        <v>48</v>
      </c>
      <c r="S817" s="20">
        <v>2070</v>
      </c>
      <c r="T817" s="13">
        <v>25326</v>
      </c>
      <c r="U817" s="13">
        <v>1</v>
      </c>
      <c r="V817" s="13" t="s">
        <v>52</v>
      </c>
      <c r="W817" s="13" t="s">
        <v>36</v>
      </c>
      <c r="X817" s="13">
        <v>11</v>
      </c>
      <c r="Y817" s="13">
        <v>3</v>
      </c>
      <c r="Z817" s="13">
        <v>3</v>
      </c>
      <c r="AA817" s="13">
        <v>80</v>
      </c>
      <c r="AB817" s="13">
        <v>0</v>
      </c>
      <c r="AC817" s="13">
        <v>2</v>
      </c>
      <c r="AD817" s="13">
        <v>6</v>
      </c>
      <c r="AE817" s="13">
        <v>4</v>
      </c>
      <c r="AF817" s="14">
        <v>2</v>
      </c>
      <c r="AG817" s="13">
        <v>2</v>
      </c>
      <c r="AH817" s="13">
        <v>2</v>
      </c>
      <c r="AI817" s="13">
        <v>2</v>
      </c>
      <c r="AJ817" s="13" t="str">
        <f t="shared" si="12"/>
        <v>Under 30</v>
      </c>
      <c r="AK817" s="13" t="str">
        <f>IF(tblCleanData[[#This Row],[MonthlyIncome]]&lt;5000, "Low Income", IF(tblCleanData[[#This Row],[MonthlyIncome]]&lt;15000, "Medium Income", "High Income"))</f>
        <v>Low Income</v>
      </c>
      <c r="AL817" s="13">
        <f>IF(tblCleanData[[#This Row],[Attrition]]="No", 0,1)</f>
        <v>0</v>
      </c>
      <c r="AM817" s="13">
        <f>IF(tblCleanData[[#This Row],[OverTime]] = "No", 0, 1)</f>
        <v>1</v>
      </c>
      <c r="AN817" s="13" t="str">
        <f>CHOOSE(tblCleanData[[#This Row],[Education]], "Below College","College","Bachelor","Master","Doctor")</f>
        <v>Below College</v>
      </c>
      <c r="AO817" s="13" t="str">
        <f>VLOOKUP(tblCleanData[[#This Row],[EmployeeNumber]],tblHelpers[],15,TRUE)</f>
        <v>High Risk</v>
      </c>
      <c r="AP817" s="13">
        <f>VLOOKUP(tblCleanData[[#This Row],[EmployeeNumber]],tblHelpers[],14,0)</f>
        <v>104</v>
      </c>
    </row>
    <row r="818" spans="1:42" x14ac:dyDescent="0.25">
      <c r="A818" s="13">
        <v>39</v>
      </c>
      <c r="B818" s="13" t="s">
        <v>59</v>
      </c>
      <c r="C818" s="13" t="s">
        <v>161</v>
      </c>
      <c r="D818" s="13">
        <v>439</v>
      </c>
      <c r="E818" s="13" t="s">
        <v>62</v>
      </c>
      <c r="F818" s="13">
        <v>9</v>
      </c>
      <c r="G818" s="13">
        <v>3</v>
      </c>
      <c r="H818" s="13" t="s">
        <v>42</v>
      </c>
      <c r="I818" s="13">
        <v>1</v>
      </c>
      <c r="J818" s="13">
        <v>1132</v>
      </c>
      <c r="K818" s="13">
        <v>3</v>
      </c>
      <c r="L818" s="13" t="s">
        <v>63</v>
      </c>
      <c r="M818" s="13">
        <v>70</v>
      </c>
      <c r="N818" s="13">
        <v>3</v>
      </c>
      <c r="O818" s="13">
        <v>2</v>
      </c>
      <c r="P818" s="13" t="s">
        <v>76</v>
      </c>
      <c r="Q818" s="13">
        <v>2</v>
      </c>
      <c r="R818" s="13" t="s">
        <v>48</v>
      </c>
      <c r="S818" s="20">
        <v>6782</v>
      </c>
      <c r="T818" s="13">
        <v>8770</v>
      </c>
      <c r="U818" s="13">
        <v>9</v>
      </c>
      <c r="V818" s="13" t="s">
        <v>52</v>
      </c>
      <c r="W818" s="13" t="s">
        <v>59</v>
      </c>
      <c r="X818" s="13">
        <v>15</v>
      </c>
      <c r="Y818" s="13">
        <v>3</v>
      </c>
      <c r="Z818" s="13">
        <v>3</v>
      </c>
      <c r="AA818" s="13">
        <v>80</v>
      </c>
      <c r="AB818" s="13">
        <v>0</v>
      </c>
      <c r="AC818" s="13">
        <v>9</v>
      </c>
      <c r="AD818" s="13">
        <v>2</v>
      </c>
      <c r="AE818" s="13">
        <v>2</v>
      </c>
      <c r="AF818" s="14">
        <v>5</v>
      </c>
      <c r="AG818" s="13">
        <v>4</v>
      </c>
      <c r="AH818" s="13">
        <v>0</v>
      </c>
      <c r="AI818" s="13">
        <v>3</v>
      </c>
      <c r="AJ818" s="13" t="str">
        <f t="shared" si="12"/>
        <v>30-39</v>
      </c>
      <c r="AK818" s="13" t="str">
        <f>IF(tblCleanData[[#This Row],[MonthlyIncome]]&lt;5000, "Low Income", IF(tblCleanData[[#This Row],[MonthlyIncome]]&lt;15000, "Medium Income", "High Income"))</f>
        <v>Medium Income</v>
      </c>
      <c r="AL818" s="13">
        <f>IF(tblCleanData[[#This Row],[Attrition]]="No", 0,1)</f>
        <v>0</v>
      </c>
      <c r="AM818" s="13">
        <f>IF(tblCleanData[[#This Row],[OverTime]] = "No", 0, 1)</f>
        <v>0</v>
      </c>
      <c r="AN818" s="13" t="str">
        <f>CHOOSE(tblCleanData[[#This Row],[Education]], "Below College","College","Bachelor","Master","Doctor")</f>
        <v>Bachelor</v>
      </c>
      <c r="AO818" s="13" t="str">
        <f>VLOOKUP(tblCleanData[[#This Row],[EmployeeNumber]],tblHelpers[],15,TRUE)</f>
        <v>High Risk</v>
      </c>
      <c r="AP818" s="13">
        <f>VLOOKUP(tblCleanData[[#This Row],[EmployeeNumber]],tblHelpers[],14,0)</f>
        <v>59</v>
      </c>
    </row>
    <row r="819" spans="1:42" x14ac:dyDescent="0.25">
      <c r="A819" s="13">
        <v>36</v>
      </c>
      <c r="B819" s="13" t="s">
        <v>59</v>
      </c>
      <c r="C819" s="13" t="s">
        <v>161</v>
      </c>
      <c r="D819" s="13">
        <v>217</v>
      </c>
      <c r="E819" s="13" t="s">
        <v>62</v>
      </c>
      <c r="F819" s="13">
        <v>18</v>
      </c>
      <c r="G819" s="13">
        <v>4</v>
      </c>
      <c r="H819" s="13" t="s">
        <v>42</v>
      </c>
      <c r="I819" s="13">
        <v>1</v>
      </c>
      <c r="J819" s="13">
        <v>1133</v>
      </c>
      <c r="K819" s="13">
        <v>1</v>
      </c>
      <c r="L819" s="13" t="s">
        <v>63</v>
      </c>
      <c r="M819" s="13">
        <v>78</v>
      </c>
      <c r="N819" s="13">
        <v>3</v>
      </c>
      <c r="O819" s="13">
        <v>2</v>
      </c>
      <c r="P819" s="13" t="s">
        <v>116</v>
      </c>
      <c r="Q819" s="13">
        <v>4</v>
      </c>
      <c r="R819" s="13" t="s">
        <v>48</v>
      </c>
      <c r="S819" s="20">
        <v>7779</v>
      </c>
      <c r="T819" s="13">
        <v>23238</v>
      </c>
      <c r="U819" s="13">
        <v>2</v>
      </c>
      <c r="V819" s="13" t="s">
        <v>52</v>
      </c>
      <c r="W819" s="13" t="s">
        <v>59</v>
      </c>
      <c r="X819" s="13">
        <v>20</v>
      </c>
      <c r="Y819" s="13">
        <v>4</v>
      </c>
      <c r="Z819" s="13">
        <v>1</v>
      </c>
      <c r="AA819" s="13">
        <v>80</v>
      </c>
      <c r="AB819" s="13">
        <v>0</v>
      </c>
      <c r="AC819" s="13">
        <v>18</v>
      </c>
      <c r="AD819" s="13">
        <v>0</v>
      </c>
      <c r="AE819" s="13">
        <v>3</v>
      </c>
      <c r="AF819" s="14">
        <v>11</v>
      </c>
      <c r="AG819" s="13">
        <v>9</v>
      </c>
      <c r="AH819" s="13">
        <v>0</v>
      </c>
      <c r="AI819" s="13">
        <v>9</v>
      </c>
      <c r="AJ819" s="13" t="str">
        <f t="shared" si="12"/>
        <v>30-39</v>
      </c>
      <c r="AK819" s="13" t="str">
        <f>IF(tblCleanData[[#This Row],[MonthlyIncome]]&lt;5000, "Low Income", IF(tblCleanData[[#This Row],[MonthlyIncome]]&lt;15000, "Medium Income", "High Income"))</f>
        <v>Medium Income</v>
      </c>
      <c r="AL819" s="13">
        <f>IF(tblCleanData[[#This Row],[Attrition]]="No", 0,1)</f>
        <v>0</v>
      </c>
      <c r="AM819" s="13">
        <f>IF(tblCleanData[[#This Row],[OverTime]] = "No", 0, 1)</f>
        <v>0</v>
      </c>
      <c r="AN819" s="13" t="str">
        <f>CHOOSE(tblCleanData[[#This Row],[Education]], "Below College","College","Bachelor","Master","Doctor")</f>
        <v>Master</v>
      </c>
      <c r="AO819" s="13" t="str">
        <f>VLOOKUP(tblCleanData[[#This Row],[EmployeeNumber]],tblHelpers[],15,TRUE)</f>
        <v>Low Risk</v>
      </c>
      <c r="AP819" s="13">
        <f>VLOOKUP(tblCleanData[[#This Row],[EmployeeNumber]],tblHelpers[],14,0)</f>
        <v>34</v>
      </c>
    </row>
    <row r="820" spans="1:42" x14ac:dyDescent="0.25">
      <c r="A820" s="13">
        <v>31</v>
      </c>
      <c r="B820" s="13" t="s">
        <v>59</v>
      </c>
      <c r="C820" s="13" t="s">
        <v>60</v>
      </c>
      <c r="D820" s="13">
        <v>793</v>
      </c>
      <c r="E820" s="13" t="s">
        <v>39</v>
      </c>
      <c r="F820" s="13">
        <v>20</v>
      </c>
      <c r="G820" s="13">
        <v>3</v>
      </c>
      <c r="H820" s="13" t="s">
        <v>42</v>
      </c>
      <c r="I820" s="13">
        <v>1</v>
      </c>
      <c r="J820" s="13">
        <v>1135</v>
      </c>
      <c r="K820" s="13">
        <v>3</v>
      </c>
      <c r="L820" s="13" t="s">
        <v>63</v>
      </c>
      <c r="M820" s="13">
        <v>67</v>
      </c>
      <c r="N820" s="13">
        <v>4</v>
      </c>
      <c r="O820" s="13">
        <v>1</v>
      </c>
      <c r="P820" s="13" t="s">
        <v>182</v>
      </c>
      <c r="Q820" s="13">
        <v>4</v>
      </c>
      <c r="R820" s="13" t="s">
        <v>66</v>
      </c>
      <c r="S820" s="20">
        <v>2791</v>
      </c>
      <c r="T820" s="13">
        <v>21981</v>
      </c>
      <c r="U820" s="13">
        <v>0</v>
      </c>
      <c r="V820" s="13" t="s">
        <v>52</v>
      </c>
      <c r="W820" s="13" t="s">
        <v>59</v>
      </c>
      <c r="X820" s="13">
        <v>12</v>
      </c>
      <c r="Y820" s="13">
        <v>3</v>
      </c>
      <c r="Z820" s="13">
        <v>1</v>
      </c>
      <c r="AA820" s="13">
        <v>80</v>
      </c>
      <c r="AB820" s="13">
        <v>1</v>
      </c>
      <c r="AC820" s="13">
        <v>3</v>
      </c>
      <c r="AD820" s="13">
        <v>4</v>
      </c>
      <c r="AE820" s="13">
        <v>3</v>
      </c>
      <c r="AF820" s="14">
        <v>2</v>
      </c>
      <c r="AG820" s="13">
        <v>2</v>
      </c>
      <c r="AH820" s="13">
        <v>2</v>
      </c>
      <c r="AI820" s="13">
        <v>2</v>
      </c>
      <c r="AJ820" s="13" t="str">
        <f t="shared" si="12"/>
        <v>30-39</v>
      </c>
      <c r="AK820" s="13" t="str">
        <f>IF(tblCleanData[[#This Row],[MonthlyIncome]]&lt;5000, "Low Income", IF(tblCleanData[[#This Row],[MonthlyIncome]]&lt;15000, "Medium Income", "High Income"))</f>
        <v>Low Income</v>
      </c>
      <c r="AL820" s="13">
        <f>IF(tblCleanData[[#This Row],[Attrition]]="No", 0,1)</f>
        <v>0</v>
      </c>
      <c r="AM820" s="13">
        <f>IF(tblCleanData[[#This Row],[OverTime]] = "No", 0, 1)</f>
        <v>0</v>
      </c>
      <c r="AN820" s="13" t="str">
        <f>CHOOSE(tblCleanData[[#This Row],[Education]], "Below College","College","Bachelor","Master","Doctor")</f>
        <v>Bachelor</v>
      </c>
      <c r="AO820" s="13" t="str">
        <f>VLOOKUP(tblCleanData[[#This Row],[EmployeeNumber]],tblHelpers[],15,TRUE)</f>
        <v>High Risk</v>
      </c>
      <c r="AP820" s="13">
        <f>VLOOKUP(tblCleanData[[#This Row],[EmployeeNumber]],tblHelpers[],14,0)</f>
        <v>56</v>
      </c>
    </row>
    <row r="821" spans="1:42" x14ac:dyDescent="0.25">
      <c r="A821" s="13">
        <v>28</v>
      </c>
      <c r="B821" s="13" t="s">
        <v>59</v>
      </c>
      <c r="C821" s="13" t="s">
        <v>37</v>
      </c>
      <c r="D821" s="13">
        <v>1451</v>
      </c>
      <c r="E821" s="13" t="s">
        <v>62</v>
      </c>
      <c r="F821" s="13">
        <v>2</v>
      </c>
      <c r="G821" s="13">
        <v>1</v>
      </c>
      <c r="H821" s="13" t="s">
        <v>42</v>
      </c>
      <c r="I821" s="13">
        <v>1</v>
      </c>
      <c r="J821" s="13">
        <v>1136</v>
      </c>
      <c r="K821" s="13">
        <v>1</v>
      </c>
      <c r="L821" s="13" t="s">
        <v>63</v>
      </c>
      <c r="M821" s="13">
        <v>67</v>
      </c>
      <c r="N821" s="13">
        <v>2</v>
      </c>
      <c r="O821" s="13">
        <v>1</v>
      </c>
      <c r="P821" s="13" t="s">
        <v>65</v>
      </c>
      <c r="Q821" s="13">
        <v>2</v>
      </c>
      <c r="R821" s="13" t="s">
        <v>66</v>
      </c>
      <c r="S821" s="20">
        <v>3201</v>
      </c>
      <c r="T821" s="13">
        <v>19911</v>
      </c>
      <c r="U821" s="13">
        <v>0</v>
      </c>
      <c r="V821" s="13" t="s">
        <v>52</v>
      </c>
      <c r="W821" s="13" t="s">
        <v>59</v>
      </c>
      <c r="X821" s="13">
        <v>17</v>
      </c>
      <c r="Y821" s="13">
        <v>3</v>
      </c>
      <c r="Z821" s="13">
        <v>1</v>
      </c>
      <c r="AA821" s="13">
        <v>80</v>
      </c>
      <c r="AB821" s="13">
        <v>0</v>
      </c>
      <c r="AC821" s="13">
        <v>6</v>
      </c>
      <c r="AD821" s="13">
        <v>2</v>
      </c>
      <c r="AE821" s="13">
        <v>1</v>
      </c>
      <c r="AF821" s="14">
        <v>5</v>
      </c>
      <c r="AG821" s="13">
        <v>3</v>
      </c>
      <c r="AH821" s="13">
        <v>0</v>
      </c>
      <c r="AI821" s="13">
        <v>4</v>
      </c>
      <c r="AJ821" s="13" t="str">
        <f t="shared" si="12"/>
        <v>Under 30</v>
      </c>
      <c r="AK821" s="13" t="str">
        <f>IF(tblCleanData[[#This Row],[MonthlyIncome]]&lt;5000, "Low Income", IF(tblCleanData[[#This Row],[MonthlyIncome]]&lt;15000, "Medium Income", "High Income"))</f>
        <v>Low Income</v>
      </c>
      <c r="AL821" s="13">
        <f>IF(tblCleanData[[#This Row],[Attrition]]="No", 0,1)</f>
        <v>0</v>
      </c>
      <c r="AM821" s="13">
        <f>IF(tblCleanData[[#This Row],[OverTime]] = "No", 0, 1)</f>
        <v>0</v>
      </c>
      <c r="AN821" s="13" t="str">
        <f>CHOOSE(tblCleanData[[#This Row],[Education]], "Below College","College","Bachelor","Master","Doctor")</f>
        <v>Below College</v>
      </c>
      <c r="AO821" s="13" t="str">
        <f>VLOOKUP(tblCleanData[[#This Row],[EmployeeNumber]],tblHelpers[],15,TRUE)</f>
        <v>High Risk</v>
      </c>
      <c r="AP821" s="13">
        <f>VLOOKUP(tblCleanData[[#This Row],[EmployeeNumber]],tblHelpers[],14,0)</f>
        <v>69</v>
      </c>
    </row>
    <row r="822" spans="1:42" x14ac:dyDescent="0.25">
      <c r="A822" s="13">
        <v>35</v>
      </c>
      <c r="B822" s="13" t="s">
        <v>59</v>
      </c>
      <c r="C822" s="13" t="s">
        <v>60</v>
      </c>
      <c r="D822" s="13">
        <v>1182</v>
      </c>
      <c r="E822" s="13" t="s">
        <v>39</v>
      </c>
      <c r="F822" s="13">
        <v>11</v>
      </c>
      <c r="G822" s="13">
        <v>2</v>
      </c>
      <c r="H822" s="13" t="s">
        <v>206</v>
      </c>
      <c r="I822" s="13">
        <v>1</v>
      </c>
      <c r="J822" s="13">
        <v>1137</v>
      </c>
      <c r="K822" s="13">
        <v>4</v>
      </c>
      <c r="L822" s="13" t="s">
        <v>63</v>
      </c>
      <c r="M822" s="13">
        <v>54</v>
      </c>
      <c r="N822" s="13">
        <v>3</v>
      </c>
      <c r="O822" s="13">
        <v>2</v>
      </c>
      <c r="P822" s="13" t="s">
        <v>46</v>
      </c>
      <c r="Q822" s="13">
        <v>4</v>
      </c>
      <c r="R822" s="13" t="s">
        <v>109</v>
      </c>
      <c r="S822" s="20">
        <v>4968</v>
      </c>
      <c r="T822" s="13">
        <v>18500</v>
      </c>
      <c r="U822" s="13">
        <v>1</v>
      </c>
      <c r="V822" s="13" t="s">
        <v>52</v>
      </c>
      <c r="W822" s="13" t="s">
        <v>59</v>
      </c>
      <c r="X822" s="13">
        <v>11</v>
      </c>
      <c r="Y822" s="13">
        <v>3</v>
      </c>
      <c r="Z822" s="13">
        <v>4</v>
      </c>
      <c r="AA822" s="13">
        <v>80</v>
      </c>
      <c r="AB822" s="13">
        <v>1</v>
      </c>
      <c r="AC822" s="13">
        <v>5</v>
      </c>
      <c r="AD822" s="13">
        <v>3</v>
      </c>
      <c r="AE822" s="13">
        <v>3</v>
      </c>
      <c r="AF822" s="14">
        <v>5</v>
      </c>
      <c r="AG822" s="13">
        <v>2</v>
      </c>
      <c r="AH822" s="13">
        <v>0</v>
      </c>
      <c r="AI822" s="13">
        <v>2</v>
      </c>
      <c r="AJ822" s="13" t="str">
        <f t="shared" si="12"/>
        <v>30-39</v>
      </c>
      <c r="AK822" s="13" t="str">
        <f>IF(tblCleanData[[#This Row],[MonthlyIncome]]&lt;5000, "Low Income", IF(tblCleanData[[#This Row],[MonthlyIncome]]&lt;15000, "Medium Income", "High Income"))</f>
        <v>Low Income</v>
      </c>
      <c r="AL822" s="13">
        <f>IF(tblCleanData[[#This Row],[Attrition]]="No", 0,1)</f>
        <v>0</v>
      </c>
      <c r="AM822" s="13">
        <f>IF(tblCleanData[[#This Row],[OverTime]] = "No", 0, 1)</f>
        <v>0</v>
      </c>
      <c r="AN822" s="13" t="str">
        <f>CHOOSE(tblCleanData[[#This Row],[Education]], "Below College","College","Bachelor","Master","Doctor")</f>
        <v>College</v>
      </c>
      <c r="AO822" s="13" t="str">
        <f>VLOOKUP(tblCleanData[[#This Row],[EmployeeNumber]],tblHelpers[],15,TRUE)</f>
        <v>Medium Risk</v>
      </c>
      <c r="AP822" s="13">
        <f>VLOOKUP(tblCleanData[[#This Row],[EmployeeNumber]],tblHelpers[],14,0)</f>
        <v>46</v>
      </c>
    </row>
    <row r="823" spans="1:42" x14ac:dyDescent="0.25">
      <c r="A823" s="13">
        <v>49</v>
      </c>
      <c r="B823" s="13" t="s">
        <v>59</v>
      </c>
      <c r="C823" s="13" t="s">
        <v>37</v>
      </c>
      <c r="D823" s="13">
        <v>174</v>
      </c>
      <c r="E823" s="13" t="s">
        <v>39</v>
      </c>
      <c r="F823" s="13">
        <v>8</v>
      </c>
      <c r="G823" s="13">
        <v>4</v>
      </c>
      <c r="H823" s="13" t="s">
        <v>228</v>
      </c>
      <c r="I823" s="13">
        <v>1</v>
      </c>
      <c r="J823" s="13">
        <v>1138</v>
      </c>
      <c r="K823" s="13">
        <v>4</v>
      </c>
      <c r="L823" s="13" t="s">
        <v>63</v>
      </c>
      <c r="M823" s="13">
        <v>56</v>
      </c>
      <c r="N823" s="13">
        <v>2</v>
      </c>
      <c r="O823" s="13">
        <v>4</v>
      </c>
      <c r="P823" s="13" t="s">
        <v>46</v>
      </c>
      <c r="Q823" s="13">
        <v>2</v>
      </c>
      <c r="R823" s="13" t="s">
        <v>66</v>
      </c>
      <c r="S823" s="20">
        <v>13120</v>
      </c>
      <c r="T823" s="13">
        <v>11879</v>
      </c>
      <c r="U823" s="13">
        <v>6</v>
      </c>
      <c r="V823" s="13" t="s">
        <v>52</v>
      </c>
      <c r="W823" s="13" t="s">
        <v>59</v>
      </c>
      <c r="X823" s="13">
        <v>17</v>
      </c>
      <c r="Y823" s="13">
        <v>3</v>
      </c>
      <c r="Z823" s="13">
        <v>2</v>
      </c>
      <c r="AA823" s="13">
        <v>80</v>
      </c>
      <c r="AB823" s="13">
        <v>1</v>
      </c>
      <c r="AC823" s="13">
        <v>22</v>
      </c>
      <c r="AD823" s="13">
        <v>3</v>
      </c>
      <c r="AE823" s="13">
        <v>3</v>
      </c>
      <c r="AF823" s="14">
        <v>9</v>
      </c>
      <c r="AG823" s="13">
        <v>8</v>
      </c>
      <c r="AH823" s="13">
        <v>2</v>
      </c>
      <c r="AI823" s="13">
        <v>3</v>
      </c>
      <c r="AJ823" s="13" t="str">
        <f t="shared" si="12"/>
        <v>40-49</v>
      </c>
      <c r="AK823" s="13" t="str">
        <f>IF(tblCleanData[[#This Row],[MonthlyIncome]]&lt;5000, "Low Income", IF(tblCleanData[[#This Row],[MonthlyIncome]]&lt;15000, "Medium Income", "High Income"))</f>
        <v>Medium Income</v>
      </c>
      <c r="AL823" s="13">
        <f>IF(tblCleanData[[#This Row],[Attrition]]="No", 0,1)</f>
        <v>0</v>
      </c>
      <c r="AM823" s="13">
        <f>IF(tblCleanData[[#This Row],[OverTime]] = "No", 0, 1)</f>
        <v>0</v>
      </c>
      <c r="AN823" s="13" t="str">
        <f>CHOOSE(tblCleanData[[#This Row],[Education]], "Below College","College","Bachelor","Master","Doctor")</f>
        <v>Master</v>
      </c>
      <c r="AO823" s="13" t="str">
        <f>VLOOKUP(tblCleanData[[#This Row],[EmployeeNumber]],tblHelpers[],15,TRUE)</f>
        <v>Medium Risk</v>
      </c>
      <c r="AP823" s="13">
        <f>VLOOKUP(tblCleanData[[#This Row],[EmployeeNumber]],tblHelpers[],14,0)</f>
        <v>42</v>
      </c>
    </row>
    <row r="824" spans="1:42" x14ac:dyDescent="0.25">
      <c r="A824" s="13">
        <v>34</v>
      </c>
      <c r="B824" s="13" t="s">
        <v>59</v>
      </c>
      <c r="C824" s="13" t="s">
        <v>60</v>
      </c>
      <c r="D824" s="13">
        <v>1003</v>
      </c>
      <c r="E824" s="13" t="s">
        <v>62</v>
      </c>
      <c r="F824" s="13">
        <v>2</v>
      </c>
      <c r="G824" s="13">
        <v>2</v>
      </c>
      <c r="H824" s="13" t="s">
        <v>42</v>
      </c>
      <c r="I824" s="13">
        <v>1</v>
      </c>
      <c r="J824" s="13">
        <v>1140</v>
      </c>
      <c r="K824" s="13">
        <v>4</v>
      </c>
      <c r="L824" s="13" t="s">
        <v>63</v>
      </c>
      <c r="M824" s="13">
        <v>95</v>
      </c>
      <c r="N824" s="13">
        <v>3</v>
      </c>
      <c r="O824" s="13">
        <v>2</v>
      </c>
      <c r="P824" s="13" t="s">
        <v>116</v>
      </c>
      <c r="Q824" s="13">
        <v>3</v>
      </c>
      <c r="R824" s="13" t="s">
        <v>48</v>
      </c>
      <c r="S824" s="20">
        <v>4033</v>
      </c>
      <c r="T824" s="13">
        <v>15834</v>
      </c>
      <c r="U824" s="13">
        <v>2</v>
      </c>
      <c r="V824" s="13" t="s">
        <v>52</v>
      </c>
      <c r="W824" s="13" t="s">
        <v>59</v>
      </c>
      <c r="X824" s="13">
        <v>11</v>
      </c>
      <c r="Y824" s="13">
        <v>3</v>
      </c>
      <c r="Z824" s="13">
        <v>4</v>
      </c>
      <c r="AA824" s="13">
        <v>80</v>
      </c>
      <c r="AB824" s="13">
        <v>0</v>
      </c>
      <c r="AC824" s="13">
        <v>5</v>
      </c>
      <c r="AD824" s="13">
        <v>3</v>
      </c>
      <c r="AE824" s="13">
        <v>2</v>
      </c>
      <c r="AF824" s="14">
        <v>3</v>
      </c>
      <c r="AG824" s="13">
        <v>2</v>
      </c>
      <c r="AH824" s="13">
        <v>0</v>
      </c>
      <c r="AI824" s="13">
        <v>2</v>
      </c>
      <c r="AJ824" s="13" t="str">
        <f t="shared" si="12"/>
        <v>30-39</v>
      </c>
      <c r="AK824" s="13" t="str">
        <f>IF(tblCleanData[[#This Row],[MonthlyIncome]]&lt;5000, "Low Income", IF(tblCleanData[[#This Row],[MonthlyIncome]]&lt;15000, "Medium Income", "High Income"))</f>
        <v>Low Income</v>
      </c>
      <c r="AL824" s="13">
        <f>IF(tblCleanData[[#This Row],[Attrition]]="No", 0,1)</f>
        <v>0</v>
      </c>
      <c r="AM824" s="13">
        <f>IF(tblCleanData[[#This Row],[OverTime]] = "No", 0, 1)</f>
        <v>0</v>
      </c>
      <c r="AN824" s="13" t="str">
        <f>CHOOSE(tblCleanData[[#This Row],[Education]], "Below College","College","Bachelor","Master","Doctor")</f>
        <v>College</v>
      </c>
      <c r="AO824" s="13" t="str">
        <f>VLOOKUP(tblCleanData[[#This Row],[EmployeeNumber]],tblHelpers[],15,TRUE)</f>
        <v>Medium Risk</v>
      </c>
      <c r="AP824" s="13">
        <f>VLOOKUP(tblCleanData[[#This Row],[EmployeeNumber]],tblHelpers[],14,0)</f>
        <v>53</v>
      </c>
    </row>
    <row r="825" spans="1:42" x14ac:dyDescent="0.25">
      <c r="A825" s="13">
        <v>29</v>
      </c>
      <c r="B825" s="13" t="s">
        <v>59</v>
      </c>
      <c r="C825" s="13" t="s">
        <v>60</v>
      </c>
      <c r="D825" s="13">
        <v>490</v>
      </c>
      <c r="E825" s="13" t="s">
        <v>62</v>
      </c>
      <c r="F825" s="13">
        <v>10</v>
      </c>
      <c r="G825" s="13">
        <v>3</v>
      </c>
      <c r="H825" s="13" t="s">
        <v>42</v>
      </c>
      <c r="I825" s="13">
        <v>1</v>
      </c>
      <c r="J825" s="13">
        <v>1143</v>
      </c>
      <c r="K825" s="13">
        <v>4</v>
      </c>
      <c r="L825" s="13" t="s">
        <v>43</v>
      </c>
      <c r="M825" s="13">
        <v>61</v>
      </c>
      <c r="N825" s="13">
        <v>3</v>
      </c>
      <c r="O825" s="13">
        <v>1</v>
      </c>
      <c r="P825" s="13" t="s">
        <v>65</v>
      </c>
      <c r="Q825" s="13">
        <v>2</v>
      </c>
      <c r="R825" s="13" t="s">
        <v>109</v>
      </c>
      <c r="S825" s="20">
        <v>3291</v>
      </c>
      <c r="T825" s="13">
        <v>17940</v>
      </c>
      <c r="U825" s="13">
        <v>0</v>
      </c>
      <c r="V825" s="13" t="s">
        <v>52</v>
      </c>
      <c r="W825" s="13" t="s">
        <v>59</v>
      </c>
      <c r="X825" s="13">
        <v>14</v>
      </c>
      <c r="Y825" s="13">
        <v>3</v>
      </c>
      <c r="Z825" s="13">
        <v>4</v>
      </c>
      <c r="AA825" s="13">
        <v>80</v>
      </c>
      <c r="AB825" s="13">
        <v>2</v>
      </c>
      <c r="AC825" s="13">
        <v>8</v>
      </c>
      <c r="AD825" s="13">
        <v>2</v>
      </c>
      <c r="AE825" s="13">
        <v>2</v>
      </c>
      <c r="AF825" s="14">
        <v>7</v>
      </c>
      <c r="AG825" s="13">
        <v>5</v>
      </c>
      <c r="AH825" s="13">
        <v>1</v>
      </c>
      <c r="AI825" s="13">
        <v>1</v>
      </c>
      <c r="AJ825" s="13" t="str">
        <f t="shared" si="12"/>
        <v>Under 30</v>
      </c>
      <c r="AK825" s="13" t="str">
        <f>IF(tblCleanData[[#This Row],[MonthlyIncome]]&lt;5000, "Low Income", IF(tblCleanData[[#This Row],[MonthlyIncome]]&lt;15000, "Medium Income", "High Income"))</f>
        <v>Low Income</v>
      </c>
      <c r="AL825" s="13">
        <f>IF(tblCleanData[[#This Row],[Attrition]]="No", 0,1)</f>
        <v>0</v>
      </c>
      <c r="AM825" s="13">
        <f>IF(tblCleanData[[#This Row],[OverTime]] = "No", 0, 1)</f>
        <v>0</v>
      </c>
      <c r="AN825" s="13" t="str">
        <f>CHOOSE(tblCleanData[[#This Row],[Education]], "Below College","College","Bachelor","Master","Doctor")</f>
        <v>Bachelor</v>
      </c>
      <c r="AO825" s="13" t="str">
        <f>VLOOKUP(tblCleanData[[#This Row],[EmployeeNumber]],tblHelpers[],15,TRUE)</f>
        <v>High Risk</v>
      </c>
      <c r="AP825" s="13">
        <f>VLOOKUP(tblCleanData[[#This Row],[EmployeeNumber]],tblHelpers[],14,0)</f>
        <v>62</v>
      </c>
    </row>
    <row r="826" spans="1:42" x14ac:dyDescent="0.25">
      <c r="A826" s="13">
        <v>42</v>
      </c>
      <c r="B826" s="13" t="s">
        <v>59</v>
      </c>
      <c r="C826" s="13" t="s">
        <v>37</v>
      </c>
      <c r="D826" s="13">
        <v>188</v>
      </c>
      <c r="E826" s="13" t="s">
        <v>62</v>
      </c>
      <c r="F826" s="13">
        <v>29</v>
      </c>
      <c r="G826" s="13">
        <v>3</v>
      </c>
      <c r="H826" s="13" t="s">
        <v>87</v>
      </c>
      <c r="I826" s="13">
        <v>1</v>
      </c>
      <c r="J826" s="13">
        <v>1148</v>
      </c>
      <c r="K826" s="13">
        <v>2</v>
      </c>
      <c r="L826" s="13" t="s">
        <v>63</v>
      </c>
      <c r="M826" s="13">
        <v>56</v>
      </c>
      <c r="N826" s="13">
        <v>1</v>
      </c>
      <c r="O826" s="13">
        <v>2</v>
      </c>
      <c r="P826" s="13" t="s">
        <v>76</v>
      </c>
      <c r="Q826" s="13">
        <v>4</v>
      </c>
      <c r="R826" s="13" t="s">
        <v>48</v>
      </c>
      <c r="S826" s="20">
        <v>4272</v>
      </c>
      <c r="T826" s="13">
        <v>9558</v>
      </c>
      <c r="U826" s="13">
        <v>4</v>
      </c>
      <c r="V826" s="13" t="s">
        <v>52</v>
      </c>
      <c r="W826" s="13" t="s">
        <v>59</v>
      </c>
      <c r="X826" s="13">
        <v>19</v>
      </c>
      <c r="Y826" s="13">
        <v>3</v>
      </c>
      <c r="Z826" s="13">
        <v>1</v>
      </c>
      <c r="AA826" s="13">
        <v>80</v>
      </c>
      <c r="AB826" s="13">
        <v>0</v>
      </c>
      <c r="AC826" s="13">
        <v>16</v>
      </c>
      <c r="AD826" s="13">
        <v>3</v>
      </c>
      <c r="AE826" s="13">
        <v>3</v>
      </c>
      <c r="AF826" s="14">
        <v>1</v>
      </c>
      <c r="AG826" s="13">
        <v>0</v>
      </c>
      <c r="AH826" s="13">
        <v>0</v>
      </c>
      <c r="AI826" s="13">
        <v>0</v>
      </c>
      <c r="AJ826" s="13" t="str">
        <f t="shared" si="12"/>
        <v>40-49</v>
      </c>
      <c r="AK826" s="13" t="str">
        <f>IF(tblCleanData[[#This Row],[MonthlyIncome]]&lt;5000, "Low Income", IF(tblCleanData[[#This Row],[MonthlyIncome]]&lt;15000, "Medium Income", "High Income"))</f>
        <v>Low Income</v>
      </c>
      <c r="AL826" s="13">
        <f>IF(tblCleanData[[#This Row],[Attrition]]="No", 0,1)</f>
        <v>0</v>
      </c>
      <c r="AM826" s="13">
        <f>IF(tblCleanData[[#This Row],[OverTime]] = "No", 0, 1)</f>
        <v>0</v>
      </c>
      <c r="AN826" s="13" t="str">
        <f>CHOOSE(tblCleanData[[#This Row],[Education]], "Below College","College","Bachelor","Master","Doctor")</f>
        <v>Bachelor</v>
      </c>
      <c r="AO826" s="13" t="str">
        <f>VLOOKUP(tblCleanData[[#This Row],[EmployeeNumber]],tblHelpers[],15,TRUE)</f>
        <v>Medium Risk</v>
      </c>
      <c r="AP826" s="13">
        <f>VLOOKUP(tblCleanData[[#This Row],[EmployeeNumber]],tblHelpers[],14,0)</f>
        <v>46</v>
      </c>
    </row>
    <row r="827" spans="1:42" x14ac:dyDescent="0.25">
      <c r="A827" s="13">
        <v>29</v>
      </c>
      <c r="B827" s="13" t="s">
        <v>59</v>
      </c>
      <c r="C827" s="13" t="s">
        <v>37</v>
      </c>
      <c r="D827" s="13">
        <v>718</v>
      </c>
      <c r="E827" s="13" t="s">
        <v>62</v>
      </c>
      <c r="F827" s="13">
        <v>8</v>
      </c>
      <c r="G827" s="13">
        <v>1</v>
      </c>
      <c r="H827" s="13" t="s">
        <v>87</v>
      </c>
      <c r="I827" s="13">
        <v>1</v>
      </c>
      <c r="J827" s="13">
        <v>1150</v>
      </c>
      <c r="K827" s="13">
        <v>2</v>
      </c>
      <c r="L827" s="13" t="s">
        <v>63</v>
      </c>
      <c r="M827" s="13">
        <v>79</v>
      </c>
      <c r="N827" s="13">
        <v>2</v>
      </c>
      <c r="O827" s="13">
        <v>2</v>
      </c>
      <c r="P827" s="13" t="s">
        <v>116</v>
      </c>
      <c r="Q827" s="13">
        <v>4</v>
      </c>
      <c r="R827" s="13" t="s">
        <v>66</v>
      </c>
      <c r="S827" s="20">
        <v>5056</v>
      </c>
      <c r="T827" s="13">
        <v>17689</v>
      </c>
      <c r="U827" s="13">
        <v>1</v>
      </c>
      <c r="V827" s="13" t="s">
        <v>52</v>
      </c>
      <c r="W827" s="13" t="s">
        <v>36</v>
      </c>
      <c r="X827" s="13">
        <v>15</v>
      </c>
      <c r="Y827" s="13">
        <v>3</v>
      </c>
      <c r="Z827" s="13">
        <v>3</v>
      </c>
      <c r="AA827" s="13">
        <v>80</v>
      </c>
      <c r="AB827" s="13">
        <v>1</v>
      </c>
      <c r="AC827" s="13">
        <v>10</v>
      </c>
      <c r="AD827" s="13">
        <v>2</v>
      </c>
      <c r="AE827" s="13">
        <v>2</v>
      </c>
      <c r="AF827" s="14">
        <v>10</v>
      </c>
      <c r="AG827" s="13">
        <v>7</v>
      </c>
      <c r="AH827" s="13">
        <v>1</v>
      </c>
      <c r="AI827" s="13">
        <v>2</v>
      </c>
      <c r="AJ827" s="13" t="str">
        <f t="shared" si="12"/>
        <v>Under 30</v>
      </c>
      <c r="AK827" s="13" t="str">
        <f>IF(tblCleanData[[#This Row],[MonthlyIncome]]&lt;5000, "Low Income", IF(tblCleanData[[#This Row],[MonthlyIncome]]&lt;15000, "Medium Income", "High Income"))</f>
        <v>Medium Income</v>
      </c>
      <c r="AL827" s="13">
        <f>IF(tblCleanData[[#This Row],[Attrition]]="No", 0,1)</f>
        <v>0</v>
      </c>
      <c r="AM827" s="13">
        <f>IF(tblCleanData[[#This Row],[OverTime]] = "No", 0, 1)</f>
        <v>1</v>
      </c>
      <c r="AN827" s="13" t="str">
        <f>CHOOSE(tblCleanData[[#This Row],[Education]], "Below College","College","Bachelor","Master","Doctor")</f>
        <v>Below College</v>
      </c>
      <c r="AO827" s="13" t="str">
        <f>VLOOKUP(tblCleanData[[#This Row],[EmployeeNumber]],tblHelpers[],15,TRUE)</f>
        <v>High Risk</v>
      </c>
      <c r="AP827" s="13">
        <f>VLOOKUP(tblCleanData[[#This Row],[EmployeeNumber]],tblHelpers[],14,0)</f>
        <v>74</v>
      </c>
    </row>
    <row r="828" spans="1:42" x14ac:dyDescent="0.25">
      <c r="A828" s="13">
        <v>38</v>
      </c>
      <c r="B828" s="13" t="s">
        <v>59</v>
      </c>
      <c r="C828" s="13" t="s">
        <v>37</v>
      </c>
      <c r="D828" s="13">
        <v>433</v>
      </c>
      <c r="E828" s="13" t="s">
        <v>397</v>
      </c>
      <c r="F828" s="13">
        <v>1</v>
      </c>
      <c r="G828" s="13">
        <v>3</v>
      </c>
      <c r="H828" s="13" t="s">
        <v>397</v>
      </c>
      <c r="I828" s="13">
        <v>1</v>
      </c>
      <c r="J828" s="13">
        <v>1152</v>
      </c>
      <c r="K828" s="13">
        <v>3</v>
      </c>
      <c r="L828" s="13" t="s">
        <v>63</v>
      </c>
      <c r="M828" s="13">
        <v>37</v>
      </c>
      <c r="N828" s="13">
        <v>4</v>
      </c>
      <c r="O828" s="13">
        <v>1</v>
      </c>
      <c r="P828" s="13" t="s">
        <v>397</v>
      </c>
      <c r="Q828" s="13">
        <v>3</v>
      </c>
      <c r="R828" s="13" t="s">
        <v>66</v>
      </c>
      <c r="S828" s="20">
        <v>2844</v>
      </c>
      <c r="T828" s="13">
        <v>6004</v>
      </c>
      <c r="U828" s="13">
        <v>1</v>
      </c>
      <c r="V828" s="13" t="s">
        <v>52</v>
      </c>
      <c r="W828" s="13" t="s">
        <v>59</v>
      </c>
      <c r="X828" s="13">
        <v>13</v>
      </c>
      <c r="Y828" s="13">
        <v>3</v>
      </c>
      <c r="Z828" s="13">
        <v>4</v>
      </c>
      <c r="AA828" s="13">
        <v>80</v>
      </c>
      <c r="AB828" s="13">
        <v>1</v>
      </c>
      <c r="AC828" s="13">
        <v>7</v>
      </c>
      <c r="AD828" s="13">
        <v>2</v>
      </c>
      <c r="AE828" s="13">
        <v>4</v>
      </c>
      <c r="AF828" s="14">
        <v>7</v>
      </c>
      <c r="AG828" s="13">
        <v>6</v>
      </c>
      <c r="AH828" s="13">
        <v>5</v>
      </c>
      <c r="AI828" s="13">
        <v>0</v>
      </c>
      <c r="AJ828" s="13" t="str">
        <f t="shared" si="12"/>
        <v>30-39</v>
      </c>
      <c r="AK828" s="13" t="str">
        <f>IF(tblCleanData[[#This Row],[MonthlyIncome]]&lt;5000, "Low Income", IF(tblCleanData[[#This Row],[MonthlyIncome]]&lt;15000, "Medium Income", "High Income"))</f>
        <v>Low Income</v>
      </c>
      <c r="AL828" s="13">
        <f>IF(tblCleanData[[#This Row],[Attrition]]="No", 0,1)</f>
        <v>0</v>
      </c>
      <c r="AM828" s="13">
        <f>IF(tblCleanData[[#This Row],[OverTime]] = "No", 0, 1)</f>
        <v>0</v>
      </c>
      <c r="AN828" s="13" t="str">
        <f>CHOOSE(tblCleanData[[#This Row],[Education]], "Below College","College","Bachelor","Master","Doctor")</f>
        <v>Bachelor</v>
      </c>
      <c r="AO828" s="13" t="str">
        <f>VLOOKUP(tblCleanData[[#This Row],[EmployeeNumber]],tblHelpers[],15,TRUE)</f>
        <v>Medium Risk</v>
      </c>
      <c r="AP828" s="13">
        <f>VLOOKUP(tblCleanData[[#This Row],[EmployeeNumber]],tblHelpers[],14,0)</f>
        <v>46</v>
      </c>
    </row>
    <row r="829" spans="1:42" x14ac:dyDescent="0.25">
      <c r="A829" s="13">
        <v>28</v>
      </c>
      <c r="B829" s="13" t="s">
        <v>59</v>
      </c>
      <c r="C829" s="13" t="s">
        <v>60</v>
      </c>
      <c r="D829" s="13">
        <v>773</v>
      </c>
      <c r="E829" s="13" t="s">
        <v>62</v>
      </c>
      <c r="F829" s="13">
        <v>6</v>
      </c>
      <c r="G829" s="13">
        <v>3</v>
      </c>
      <c r="H829" s="13" t="s">
        <v>42</v>
      </c>
      <c r="I829" s="13">
        <v>1</v>
      </c>
      <c r="J829" s="13">
        <v>1154</v>
      </c>
      <c r="K829" s="13">
        <v>3</v>
      </c>
      <c r="L829" s="13" t="s">
        <v>63</v>
      </c>
      <c r="M829" s="13">
        <v>39</v>
      </c>
      <c r="N829" s="13">
        <v>2</v>
      </c>
      <c r="O829" s="13">
        <v>1</v>
      </c>
      <c r="P829" s="13" t="s">
        <v>65</v>
      </c>
      <c r="Q829" s="13">
        <v>3</v>
      </c>
      <c r="R829" s="13" t="s">
        <v>109</v>
      </c>
      <c r="S829" s="20">
        <v>2703</v>
      </c>
      <c r="T829" s="13">
        <v>22088</v>
      </c>
      <c r="U829" s="13">
        <v>1</v>
      </c>
      <c r="V829" s="13" t="s">
        <v>52</v>
      </c>
      <c r="W829" s="13" t="s">
        <v>36</v>
      </c>
      <c r="X829" s="13">
        <v>14</v>
      </c>
      <c r="Y829" s="13">
        <v>3</v>
      </c>
      <c r="Z829" s="13">
        <v>4</v>
      </c>
      <c r="AA829" s="13">
        <v>80</v>
      </c>
      <c r="AB829" s="13">
        <v>1</v>
      </c>
      <c r="AC829" s="13">
        <v>3</v>
      </c>
      <c r="AD829" s="13">
        <v>2</v>
      </c>
      <c r="AE829" s="13">
        <v>3</v>
      </c>
      <c r="AF829" s="14">
        <v>3</v>
      </c>
      <c r="AG829" s="13">
        <v>1</v>
      </c>
      <c r="AH829" s="13">
        <v>0</v>
      </c>
      <c r="AI829" s="13">
        <v>2</v>
      </c>
      <c r="AJ829" s="13" t="str">
        <f t="shared" si="12"/>
        <v>Under 30</v>
      </c>
      <c r="AK829" s="13" t="str">
        <f>IF(tblCleanData[[#This Row],[MonthlyIncome]]&lt;5000, "Low Income", IF(tblCleanData[[#This Row],[MonthlyIncome]]&lt;15000, "Medium Income", "High Income"))</f>
        <v>Low Income</v>
      </c>
      <c r="AL829" s="13">
        <f>IF(tblCleanData[[#This Row],[Attrition]]="No", 0,1)</f>
        <v>0</v>
      </c>
      <c r="AM829" s="13">
        <f>IF(tblCleanData[[#This Row],[OverTime]] = "No", 0, 1)</f>
        <v>1</v>
      </c>
      <c r="AN829" s="13" t="str">
        <f>CHOOSE(tblCleanData[[#This Row],[Education]], "Below College","College","Bachelor","Master","Doctor")</f>
        <v>Bachelor</v>
      </c>
      <c r="AO829" s="13" t="str">
        <f>VLOOKUP(tblCleanData[[#This Row],[EmployeeNumber]],tblHelpers[],15,TRUE)</f>
        <v>High Risk</v>
      </c>
      <c r="AP829" s="13">
        <f>VLOOKUP(tblCleanData[[#This Row],[EmployeeNumber]],tblHelpers[],14,0)</f>
        <v>88</v>
      </c>
    </row>
    <row r="830" spans="1:42" x14ac:dyDescent="0.25">
      <c r="A830" s="13">
        <v>18</v>
      </c>
      <c r="B830" s="13" t="s">
        <v>36</v>
      </c>
      <c r="C830" s="13" t="s">
        <v>161</v>
      </c>
      <c r="D830" s="13">
        <v>247</v>
      </c>
      <c r="E830" s="13" t="s">
        <v>62</v>
      </c>
      <c r="F830" s="13">
        <v>8</v>
      </c>
      <c r="G830" s="13">
        <v>1</v>
      </c>
      <c r="H830" s="13" t="s">
        <v>87</v>
      </c>
      <c r="I830" s="13">
        <v>1</v>
      </c>
      <c r="J830" s="13">
        <v>1156</v>
      </c>
      <c r="K830" s="13">
        <v>3</v>
      </c>
      <c r="L830" s="13" t="s">
        <v>63</v>
      </c>
      <c r="M830" s="13">
        <v>80</v>
      </c>
      <c r="N830" s="13">
        <v>3</v>
      </c>
      <c r="O830" s="13">
        <v>1</v>
      </c>
      <c r="P830" s="13" t="s">
        <v>76</v>
      </c>
      <c r="Q830" s="13">
        <v>3</v>
      </c>
      <c r="R830" s="13" t="s">
        <v>48</v>
      </c>
      <c r="S830" s="20">
        <v>1904</v>
      </c>
      <c r="T830" s="13">
        <v>13556</v>
      </c>
      <c r="U830" s="13">
        <v>1</v>
      </c>
      <c r="V830" s="13" t="s">
        <v>52</v>
      </c>
      <c r="W830" s="13" t="s">
        <v>59</v>
      </c>
      <c r="X830" s="13">
        <v>12</v>
      </c>
      <c r="Y830" s="13">
        <v>3</v>
      </c>
      <c r="Z830" s="13">
        <v>4</v>
      </c>
      <c r="AA830" s="13">
        <v>80</v>
      </c>
      <c r="AB830" s="13">
        <v>0</v>
      </c>
      <c r="AC830" s="13">
        <v>0</v>
      </c>
      <c r="AD830" s="13">
        <v>0</v>
      </c>
      <c r="AE830" s="13">
        <v>3</v>
      </c>
      <c r="AF830" s="14">
        <v>0</v>
      </c>
      <c r="AG830" s="13">
        <v>0</v>
      </c>
      <c r="AH830" s="13">
        <v>0</v>
      </c>
      <c r="AI830" s="13">
        <v>0</v>
      </c>
      <c r="AJ830" s="13" t="str">
        <f t="shared" si="12"/>
        <v>Under 30</v>
      </c>
      <c r="AK830" s="13" t="str">
        <f>IF(tblCleanData[[#This Row],[MonthlyIncome]]&lt;5000, "Low Income", IF(tblCleanData[[#This Row],[MonthlyIncome]]&lt;15000, "Medium Income", "High Income"))</f>
        <v>Low Income</v>
      </c>
      <c r="AL830" s="13">
        <f>IF(tblCleanData[[#This Row],[Attrition]]="No", 0,1)</f>
        <v>1</v>
      </c>
      <c r="AM830" s="13">
        <f>IF(tblCleanData[[#This Row],[OverTime]] = "No", 0, 1)</f>
        <v>0</v>
      </c>
      <c r="AN830" s="13" t="str">
        <f>CHOOSE(tblCleanData[[#This Row],[Education]], "Below College","College","Bachelor","Master","Doctor")</f>
        <v>Below College</v>
      </c>
      <c r="AO830" s="13" t="str">
        <f>VLOOKUP(tblCleanData[[#This Row],[EmployeeNumber]],tblHelpers[],15,TRUE)</f>
        <v>High Risk</v>
      </c>
      <c r="AP830" s="13">
        <f>VLOOKUP(tblCleanData[[#This Row],[EmployeeNumber]],tblHelpers[],14,0)</f>
        <v>73</v>
      </c>
    </row>
    <row r="831" spans="1:42" x14ac:dyDescent="0.25">
      <c r="A831" s="13">
        <v>33</v>
      </c>
      <c r="B831" s="13" t="s">
        <v>36</v>
      </c>
      <c r="C831" s="13" t="s">
        <v>37</v>
      </c>
      <c r="D831" s="13">
        <v>603</v>
      </c>
      <c r="E831" s="13" t="s">
        <v>39</v>
      </c>
      <c r="F831" s="13">
        <v>9</v>
      </c>
      <c r="G831" s="13">
        <v>4</v>
      </c>
      <c r="H831" s="13" t="s">
        <v>206</v>
      </c>
      <c r="I831" s="13">
        <v>1</v>
      </c>
      <c r="J831" s="13">
        <v>1157</v>
      </c>
      <c r="K831" s="13">
        <v>1</v>
      </c>
      <c r="L831" s="13" t="s">
        <v>43</v>
      </c>
      <c r="M831" s="13">
        <v>77</v>
      </c>
      <c r="N831" s="13">
        <v>3</v>
      </c>
      <c r="O831" s="13">
        <v>2</v>
      </c>
      <c r="P831" s="13" t="s">
        <v>46</v>
      </c>
      <c r="Q831" s="13">
        <v>1</v>
      </c>
      <c r="R831" s="13" t="s">
        <v>48</v>
      </c>
      <c r="S831" s="20">
        <v>8224</v>
      </c>
      <c r="T831" s="13">
        <v>18385</v>
      </c>
      <c r="U831" s="13">
        <v>0</v>
      </c>
      <c r="V831" s="13" t="s">
        <v>52</v>
      </c>
      <c r="W831" s="13" t="s">
        <v>36</v>
      </c>
      <c r="X831" s="13">
        <v>17</v>
      </c>
      <c r="Y831" s="13">
        <v>3</v>
      </c>
      <c r="Z831" s="13">
        <v>1</v>
      </c>
      <c r="AA831" s="13">
        <v>80</v>
      </c>
      <c r="AB831" s="13">
        <v>0</v>
      </c>
      <c r="AC831" s="13">
        <v>6</v>
      </c>
      <c r="AD831" s="13">
        <v>3</v>
      </c>
      <c r="AE831" s="13">
        <v>3</v>
      </c>
      <c r="AF831" s="14">
        <v>5</v>
      </c>
      <c r="AG831" s="13">
        <v>2</v>
      </c>
      <c r="AH831" s="13">
        <v>0</v>
      </c>
      <c r="AI831" s="13">
        <v>3</v>
      </c>
      <c r="AJ831" s="13" t="str">
        <f t="shared" si="12"/>
        <v>30-39</v>
      </c>
      <c r="AK831" s="13" t="str">
        <f>IF(tblCleanData[[#This Row],[MonthlyIncome]]&lt;5000, "Low Income", IF(tblCleanData[[#This Row],[MonthlyIncome]]&lt;15000, "Medium Income", "High Income"))</f>
        <v>Medium Income</v>
      </c>
      <c r="AL831" s="13">
        <f>IF(tblCleanData[[#This Row],[Attrition]]="No", 0,1)</f>
        <v>1</v>
      </c>
      <c r="AM831" s="13">
        <f>IF(tblCleanData[[#This Row],[OverTime]] = "No", 0, 1)</f>
        <v>1</v>
      </c>
      <c r="AN831" s="13" t="str">
        <f>CHOOSE(tblCleanData[[#This Row],[Education]], "Below College","College","Bachelor","Master","Doctor")</f>
        <v>Master</v>
      </c>
      <c r="AO831" s="13" t="str">
        <f>VLOOKUP(tblCleanData[[#This Row],[EmployeeNumber]],tblHelpers[],15,TRUE)</f>
        <v>High Risk</v>
      </c>
      <c r="AP831" s="13">
        <f>VLOOKUP(tblCleanData[[#This Row],[EmployeeNumber]],tblHelpers[],14,0)</f>
        <v>90</v>
      </c>
    </row>
    <row r="832" spans="1:42" x14ac:dyDescent="0.25">
      <c r="A832" s="13">
        <v>41</v>
      </c>
      <c r="B832" s="13" t="s">
        <v>59</v>
      </c>
      <c r="C832" s="13" t="s">
        <v>37</v>
      </c>
      <c r="D832" s="13">
        <v>167</v>
      </c>
      <c r="E832" s="13" t="s">
        <v>62</v>
      </c>
      <c r="F832" s="13">
        <v>12</v>
      </c>
      <c r="G832" s="13">
        <v>4</v>
      </c>
      <c r="H832" s="13" t="s">
        <v>42</v>
      </c>
      <c r="I832" s="13">
        <v>1</v>
      </c>
      <c r="J832" s="13">
        <v>1158</v>
      </c>
      <c r="K832" s="13">
        <v>2</v>
      </c>
      <c r="L832" s="13" t="s">
        <v>63</v>
      </c>
      <c r="M832" s="13">
        <v>46</v>
      </c>
      <c r="N832" s="13">
        <v>3</v>
      </c>
      <c r="O832" s="13">
        <v>1</v>
      </c>
      <c r="P832" s="13" t="s">
        <v>76</v>
      </c>
      <c r="Q832" s="13">
        <v>4</v>
      </c>
      <c r="R832" s="13" t="s">
        <v>66</v>
      </c>
      <c r="S832" s="20">
        <v>4766</v>
      </c>
      <c r="T832" s="13">
        <v>9051</v>
      </c>
      <c r="U832" s="13">
        <v>3</v>
      </c>
      <c r="V832" s="13" t="s">
        <v>52</v>
      </c>
      <c r="W832" s="13" t="s">
        <v>36</v>
      </c>
      <c r="X832" s="13">
        <v>11</v>
      </c>
      <c r="Y832" s="13">
        <v>3</v>
      </c>
      <c r="Z832" s="13">
        <v>1</v>
      </c>
      <c r="AA832" s="13">
        <v>80</v>
      </c>
      <c r="AB832" s="13">
        <v>1</v>
      </c>
      <c r="AC832" s="13">
        <v>6</v>
      </c>
      <c r="AD832" s="13">
        <v>4</v>
      </c>
      <c r="AE832" s="13">
        <v>3</v>
      </c>
      <c r="AF832" s="14">
        <v>1</v>
      </c>
      <c r="AG832" s="13">
        <v>0</v>
      </c>
      <c r="AH832" s="13">
        <v>0</v>
      </c>
      <c r="AI832" s="13">
        <v>0</v>
      </c>
      <c r="AJ832" s="13" t="str">
        <f t="shared" si="12"/>
        <v>40-49</v>
      </c>
      <c r="AK832" s="13" t="str">
        <f>IF(tblCleanData[[#This Row],[MonthlyIncome]]&lt;5000, "Low Income", IF(tblCleanData[[#This Row],[MonthlyIncome]]&lt;15000, "Medium Income", "High Income"))</f>
        <v>Low Income</v>
      </c>
      <c r="AL832" s="13">
        <f>IF(tblCleanData[[#This Row],[Attrition]]="No", 0,1)</f>
        <v>0</v>
      </c>
      <c r="AM832" s="13">
        <f>IF(tblCleanData[[#This Row],[OverTime]] = "No", 0, 1)</f>
        <v>1</v>
      </c>
      <c r="AN832" s="13" t="str">
        <f>CHOOSE(tblCleanData[[#This Row],[Education]], "Below College","College","Bachelor","Master","Doctor")</f>
        <v>Master</v>
      </c>
      <c r="AO832" s="13" t="str">
        <f>VLOOKUP(tblCleanData[[#This Row],[EmployeeNumber]],tblHelpers[],15,TRUE)</f>
        <v>High Risk</v>
      </c>
      <c r="AP832" s="13">
        <f>VLOOKUP(tblCleanData[[#This Row],[EmployeeNumber]],tblHelpers[],14,0)</f>
        <v>71</v>
      </c>
    </row>
    <row r="833" spans="1:42" x14ac:dyDescent="0.25">
      <c r="A833" s="13">
        <v>31</v>
      </c>
      <c r="B833" s="13" t="s">
        <v>36</v>
      </c>
      <c r="C833" s="13" t="s">
        <v>60</v>
      </c>
      <c r="D833" s="13">
        <v>874</v>
      </c>
      <c r="E833" s="13" t="s">
        <v>62</v>
      </c>
      <c r="F833" s="13">
        <v>15</v>
      </c>
      <c r="G833" s="13">
        <v>3</v>
      </c>
      <c r="H833" s="13" t="s">
        <v>87</v>
      </c>
      <c r="I833" s="13">
        <v>1</v>
      </c>
      <c r="J833" s="13">
        <v>1160</v>
      </c>
      <c r="K833" s="13">
        <v>3</v>
      </c>
      <c r="L833" s="13" t="s">
        <v>63</v>
      </c>
      <c r="M833" s="13">
        <v>72</v>
      </c>
      <c r="N833" s="13">
        <v>3</v>
      </c>
      <c r="O833" s="13">
        <v>1</v>
      </c>
      <c r="P833" s="13" t="s">
        <v>76</v>
      </c>
      <c r="Q833" s="13">
        <v>3</v>
      </c>
      <c r="R833" s="13" t="s">
        <v>66</v>
      </c>
      <c r="S833" s="20">
        <v>2610</v>
      </c>
      <c r="T833" s="13">
        <v>6233</v>
      </c>
      <c r="U833" s="13">
        <v>1</v>
      </c>
      <c r="V833" s="13" t="s">
        <v>52</v>
      </c>
      <c r="W833" s="13" t="s">
        <v>59</v>
      </c>
      <c r="X833" s="13">
        <v>12</v>
      </c>
      <c r="Y833" s="13">
        <v>3</v>
      </c>
      <c r="Z833" s="13">
        <v>3</v>
      </c>
      <c r="AA833" s="13">
        <v>80</v>
      </c>
      <c r="AB833" s="13">
        <v>1</v>
      </c>
      <c r="AC833" s="13">
        <v>2</v>
      </c>
      <c r="AD833" s="13">
        <v>5</v>
      </c>
      <c r="AE833" s="13">
        <v>2</v>
      </c>
      <c r="AF833" s="14">
        <v>2</v>
      </c>
      <c r="AG833" s="13">
        <v>2</v>
      </c>
      <c r="AH833" s="13">
        <v>2</v>
      </c>
      <c r="AI833" s="13">
        <v>2</v>
      </c>
      <c r="AJ833" s="13" t="str">
        <f t="shared" si="12"/>
        <v>30-39</v>
      </c>
      <c r="AK833" s="13" t="str">
        <f>IF(tblCleanData[[#This Row],[MonthlyIncome]]&lt;5000, "Low Income", IF(tblCleanData[[#This Row],[MonthlyIncome]]&lt;15000, "Medium Income", "High Income"))</f>
        <v>Low Income</v>
      </c>
      <c r="AL833" s="13">
        <f>IF(tblCleanData[[#This Row],[Attrition]]="No", 0,1)</f>
        <v>1</v>
      </c>
      <c r="AM833" s="13">
        <f>IF(tblCleanData[[#This Row],[OverTime]] = "No", 0, 1)</f>
        <v>0</v>
      </c>
      <c r="AN833" s="13" t="str">
        <f>CHOOSE(tblCleanData[[#This Row],[Education]], "Below College","College","Bachelor","Master","Doctor")</f>
        <v>Bachelor</v>
      </c>
      <c r="AO833" s="13" t="str">
        <f>VLOOKUP(tblCleanData[[#This Row],[EmployeeNumber]],tblHelpers[],15,TRUE)</f>
        <v>High Risk</v>
      </c>
      <c r="AP833" s="13">
        <f>VLOOKUP(tblCleanData[[#This Row],[EmployeeNumber]],tblHelpers[],14,0)</f>
        <v>63</v>
      </c>
    </row>
    <row r="834" spans="1:42" x14ac:dyDescent="0.25">
      <c r="A834" s="13">
        <v>37</v>
      </c>
      <c r="B834" s="13" t="s">
        <v>59</v>
      </c>
      <c r="C834" s="13" t="s">
        <v>37</v>
      </c>
      <c r="D834" s="13">
        <v>367</v>
      </c>
      <c r="E834" s="13" t="s">
        <v>62</v>
      </c>
      <c r="F834" s="13">
        <v>25</v>
      </c>
      <c r="G834" s="13">
        <v>2</v>
      </c>
      <c r="H834" s="13" t="s">
        <v>87</v>
      </c>
      <c r="I834" s="13">
        <v>1</v>
      </c>
      <c r="J834" s="13">
        <v>1161</v>
      </c>
      <c r="K834" s="13">
        <v>3</v>
      </c>
      <c r="L834" s="13" t="s">
        <v>43</v>
      </c>
      <c r="M834" s="13">
        <v>52</v>
      </c>
      <c r="N834" s="13">
        <v>2</v>
      </c>
      <c r="O834" s="13">
        <v>2</v>
      </c>
      <c r="P834" s="13" t="s">
        <v>122</v>
      </c>
      <c r="Q834" s="13">
        <v>4</v>
      </c>
      <c r="R834" s="13" t="s">
        <v>109</v>
      </c>
      <c r="S834" s="20">
        <v>5731</v>
      </c>
      <c r="T834" s="13">
        <v>17171</v>
      </c>
      <c r="U834" s="13">
        <v>7</v>
      </c>
      <c r="V834" s="13" t="s">
        <v>52</v>
      </c>
      <c r="W834" s="13" t="s">
        <v>59</v>
      </c>
      <c r="X834" s="13">
        <v>13</v>
      </c>
      <c r="Y834" s="13">
        <v>3</v>
      </c>
      <c r="Z834" s="13">
        <v>3</v>
      </c>
      <c r="AA834" s="13">
        <v>80</v>
      </c>
      <c r="AB834" s="13">
        <v>2</v>
      </c>
      <c r="AC834" s="13">
        <v>9</v>
      </c>
      <c r="AD834" s="13">
        <v>2</v>
      </c>
      <c r="AE834" s="13">
        <v>3</v>
      </c>
      <c r="AF834" s="14">
        <v>6</v>
      </c>
      <c r="AG834" s="13">
        <v>2</v>
      </c>
      <c r="AH834" s="13">
        <v>1</v>
      </c>
      <c r="AI834" s="13">
        <v>3</v>
      </c>
      <c r="AJ834" s="13" t="str">
        <f t="shared" ref="AJ834:AJ897" si="13">IF(A834&lt;30,"Under 30", IF(A834&lt;40,"30-39", IF(A834&lt;50,"40-49", "50+")))</f>
        <v>30-39</v>
      </c>
      <c r="AK834" s="13" t="str">
        <f>IF(tblCleanData[[#This Row],[MonthlyIncome]]&lt;5000, "Low Income", IF(tblCleanData[[#This Row],[MonthlyIncome]]&lt;15000, "Medium Income", "High Income"))</f>
        <v>Medium Income</v>
      </c>
      <c r="AL834" s="13">
        <f>IF(tblCleanData[[#This Row],[Attrition]]="No", 0,1)</f>
        <v>0</v>
      </c>
      <c r="AM834" s="13">
        <f>IF(tblCleanData[[#This Row],[OverTime]] = "No", 0, 1)</f>
        <v>0</v>
      </c>
      <c r="AN834" s="13" t="str">
        <f>CHOOSE(tblCleanData[[#This Row],[Education]], "Below College","College","Bachelor","Master","Doctor")</f>
        <v>College</v>
      </c>
      <c r="AO834" s="13" t="str">
        <f>VLOOKUP(tblCleanData[[#This Row],[EmployeeNumber]],tblHelpers[],15,TRUE)</f>
        <v>Medium Risk</v>
      </c>
      <c r="AP834" s="13">
        <f>VLOOKUP(tblCleanData[[#This Row],[EmployeeNumber]],tblHelpers[],14,0)</f>
        <v>39</v>
      </c>
    </row>
    <row r="835" spans="1:42" x14ac:dyDescent="0.25">
      <c r="A835" s="13">
        <v>27</v>
      </c>
      <c r="B835" s="13" t="s">
        <v>59</v>
      </c>
      <c r="C835" s="13" t="s">
        <v>37</v>
      </c>
      <c r="D835" s="13">
        <v>199</v>
      </c>
      <c r="E835" s="13" t="s">
        <v>62</v>
      </c>
      <c r="F835" s="13">
        <v>6</v>
      </c>
      <c r="G835" s="13">
        <v>3</v>
      </c>
      <c r="H835" s="13" t="s">
        <v>42</v>
      </c>
      <c r="I835" s="13">
        <v>1</v>
      </c>
      <c r="J835" s="13">
        <v>1162</v>
      </c>
      <c r="K835" s="13">
        <v>4</v>
      </c>
      <c r="L835" s="13" t="s">
        <v>63</v>
      </c>
      <c r="M835" s="13">
        <v>55</v>
      </c>
      <c r="N835" s="13">
        <v>2</v>
      </c>
      <c r="O835" s="13">
        <v>1</v>
      </c>
      <c r="P835" s="13" t="s">
        <v>65</v>
      </c>
      <c r="Q835" s="13">
        <v>3</v>
      </c>
      <c r="R835" s="13" t="s">
        <v>66</v>
      </c>
      <c r="S835" s="20">
        <v>2539</v>
      </c>
      <c r="T835" s="13">
        <v>7950</v>
      </c>
      <c r="U835" s="13">
        <v>1</v>
      </c>
      <c r="V835" s="13" t="s">
        <v>52</v>
      </c>
      <c r="W835" s="13" t="s">
        <v>59</v>
      </c>
      <c r="X835" s="13">
        <v>13</v>
      </c>
      <c r="Y835" s="13">
        <v>3</v>
      </c>
      <c r="Z835" s="13">
        <v>3</v>
      </c>
      <c r="AA835" s="13">
        <v>80</v>
      </c>
      <c r="AB835" s="13">
        <v>1</v>
      </c>
      <c r="AC835" s="13">
        <v>4</v>
      </c>
      <c r="AD835" s="13">
        <v>0</v>
      </c>
      <c r="AE835" s="13">
        <v>3</v>
      </c>
      <c r="AF835" s="14">
        <v>4</v>
      </c>
      <c r="AG835" s="13">
        <v>2</v>
      </c>
      <c r="AH835" s="13">
        <v>2</v>
      </c>
      <c r="AI835" s="13">
        <v>2</v>
      </c>
      <c r="AJ835" s="13" t="str">
        <f t="shared" si="13"/>
        <v>Under 30</v>
      </c>
      <c r="AK835" s="13" t="str">
        <f>IF(tblCleanData[[#This Row],[MonthlyIncome]]&lt;5000, "Low Income", IF(tblCleanData[[#This Row],[MonthlyIncome]]&lt;15000, "Medium Income", "High Income"))</f>
        <v>Low Income</v>
      </c>
      <c r="AL835" s="13">
        <f>IF(tblCleanData[[#This Row],[Attrition]]="No", 0,1)</f>
        <v>0</v>
      </c>
      <c r="AM835" s="13">
        <f>IF(tblCleanData[[#This Row],[OverTime]] = "No", 0, 1)</f>
        <v>0</v>
      </c>
      <c r="AN835" s="13" t="str">
        <f>CHOOSE(tblCleanData[[#This Row],[Education]], "Below College","College","Bachelor","Master","Doctor")</f>
        <v>Bachelor</v>
      </c>
      <c r="AO835" s="13" t="str">
        <f>VLOOKUP(tblCleanData[[#This Row],[EmployeeNumber]],tblHelpers[],15,TRUE)</f>
        <v>High Risk</v>
      </c>
      <c r="AP835" s="13">
        <f>VLOOKUP(tblCleanData[[#This Row],[EmployeeNumber]],tblHelpers[],14,0)</f>
        <v>63</v>
      </c>
    </row>
    <row r="836" spans="1:42" x14ac:dyDescent="0.25">
      <c r="A836" s="13">
        <v>34</v>
      </c>
      <c r="B836" s="13" t="s">
        <v>59</v>
      </c>
      <c r="C836" s="13" t="s">
        <v>37</v>
      </c>
      <c r="D836" s="13">
        <v>1400</v>
      </c>
      <c r="E836" s="13" t="s">
        <v>39</v>
      </c>
      <c r="F836" s="13">
        <v>9</v>
      </c>
      <c r="G836" s="13">
        <v>1</v>
      </c>
      <c r="H836" s="13" t="s">
        <v>42</v>
      </c>
      <c r="I836" s="13">
        <v>1</v>
      </c>
      <c r="J836" s="13">
        <v>1163</v>
      </c>
      <c r="K836" s="13">
        <v>2</v>
      </c>
      <c r="L836" s="13" t="s">
        <v>43</v>
      </c>
      <c r="M836" s="13">
        <v>70</v>
      </c>
      <c r="N836" s="13">
        <v>3</v>
      </c>
      <c r="O836" s="13">
        <v>2</v>
      </c>
      <c r="P836" s="13" t="s">
        <v>46</v>
      </c>
      <c r="Q836" s="13">
        <v>3</v>
      </c>
      <c r="R836" s="13" t="s">
        <v>66</v>
      </c>
      <c r="S836" s="20">
        <v>5714</v>
      </c>
      <c r="T836" s="13">
        <v>5829</v>
      </c>
      <c r="U836" s="13">
        <v>1</v>
      </c>
      <c r="V836" s="13" t="s">
        <v>52</v>
      </c>
      <c r="W836" s="13" t="s">
        <v>59</v>
      </c>
      <c r="X836" s="13">
        <v>20</v>
      </c>
      <c r="Y836" s="13">
        <v>4</v>
      </c>
      <c r="Z836" s="13">
        <v>1</v>
      </c>
      <c r="AA836" s="13">
        <v>80</v>
      </c>
      <c r="AB836" s="13">
        <v>0</v>
      </c>
      <c r="AC836" s="13">
        <v>6</v>
      </c>
      <c r="AD836" s="13">
        <v>3</v>
      </c>
      <c r="AE836" s="13">
        <v>2</v>
      </c>
      <c r="AF836" s="14">
        <v>6</v>
      </c>
      <c r="AG836" s="13">
        <v>5</v>
      </c>
      <c r="AH836" s="13">
        <v>1</v>
      </c>
      <c r="AI836" s="13">
        <v>3</v>
      </c>
      <c r="AJ836" s="13" t="str">
        <f t="shared" si="13"/>
        <v>30-39</v>
      </c>
      <c r="AK836" s="13" t="str">
        <f>IF(tblCleanData[[#This Row],[MonthlyIncome]]&lt;5000, "Low Income", IF(tblCleanData[[#This Row],[MonthlyIncome]]&lt;15000, "Medium Income", "High Income"))</f>
        <v>Medium Income</v>
      </c>
      <c r="AL836" s="13">
        <f>IF(tblCleanData[[#This Row],[Attrition]]="No", 0,1)</f>
        <v>0</v>
      </c>
      <c r="AM836" s="13">
        <f>IF(tblCleanData[[#This Row],[OverTime]] = "No", 0, 1)</f>
        <v>0</v>
      </c>
      <c r="AN836" s="13" t="str">
        <f>CHOOSE(tblCleanData[[#This Row],[Education]], "Below College","College","Bachelor","Master","Doctor")</f>
        <v>Below College</v>
      </c>
      <c r="AO836" s="13" t="str">
        <f>VLOOKUP(tblCleanData[[#This Row],[EmployeeNumber]],tblHelpers[],15,TRUE)</f>
        <v>Medium Risk</v>
      </c>
      <c r="AP836" s="13">
        <f>VLOOKUP(tblCleanData[[#This Row],[EmployeeNumber]],tblHelpers[],14,0)</f>
        <v>46</v>
      </c>
    </row>
    <row r="837" spans="1:42" x14ac:dyDescent="0.25">
      <c r="A837" s="13">
        <v>35</v>
      </c>
      <c r="B837" s="13" t="s">
        <v>59</v>
      </c>
      <c r="C837" s="13" t="s">
        <v>37</v>
      </c>
      <c r="D837" s="13">
        <v>528</v>
      </c>
      <c r="E837" s="13" t="s">
        <v>397</v>
      </c>
      <c r="F837" s="13">
        <v>8</v>
      </c>
      <c r="G837" s="13">
        <v>4</v>
      </c>
      <c r="H837" s="13" t="s">
        <v>228</v>
      </c>
      <c r="I837" s="13">
        <v>1</v>
      </c>
      <c r="J837" s="13">
        <v>1164</v>
      </c>
      <c r="K837" s="13">
        <v>3</v>
      </c>
      <c r="L837" s="13" t="s">
        <v>63</v>
      </c>
      <c r="M837" s="13">
        <v>100</v>
      </c>
      <c r="N837" s="13">
        <v>3</v>
      </c>
      <c r="O837" s="13">
        <v>1</v>
      </c>
      <c r="P837" s="13" t="s">
        <v>397</v>
      </c>
      <c r="Q837" s="13">
        <v>3</v>
      </c>
      <c r="R837" s="13" t="s">
        <v>48</v>
      </c>
      <c r="S837" s="20">
        <v>4323</v>
      </c>
      <c r="T837" s="13">
        <v>7108</v>
      </c>
      <c r="U837" s="13">
        <v>1</v>
      </c>
      <c r="V837" s="13" t="s">
        <v>52</v>
      </c>
      <c r="W837" s="13" t="s">
        <v>59</v>
      </c>
      <c r="X837" s="13">
        <v>17</v>
      </c>
      <c r="Y837" s="13">
        <v>3</v>
      </c>
      <c r="Z837" s="13">
        <v>2</v>
      </c>
      <c r="AA837" s="13">
        <v>80</v>
      </c>
      <c r="AB837" s="13">
        <v>0</v>
      </c>
      <c r="AC837" s="13">
        <v>6</v>
      </c>
      <c r="AD837" s="13">
        <v>2</v>
      </c>
      <c r="AE837" s="13">
        <v>1</v>
      </c>
      <c r="AF837" s="14">
        <v>5</v>
      </c>
      <c r="AG837" s="13">
        <v>4</v>
      </c>
      <c r="AH837" s="13">
        <v>1</v>
      </c>
      <c r="AI837" s="13">
        <v>4</v>
      </c>
      <c r="AJ837" s="13" t="str">
        <f t="shared" si="13"/>
        <v>30-39</v>
      </c>
      <c r="AK837" s="13" t="str">
        <f>IF(tblCleanData[[#This Row],[MonthlyIncome]]&lt;5000, "Low Income", IF(tblCleanData[[#This Row],[MonthlyIncome]]&lt;15000, "Medium Income", "High Income"))</f>
        <v>Low Income</v>
      </c>
      <c r="AL837" s="13">
        <f>IF(tblCleanData[[#This Row],[Attrition]]="No", 0,1)</f>
        <v>0</v>
      </c>
      <c r="AM837" s="13">
        <f>IF(tblCleanData[[#This Row],[OverTime]] = "No", 0, 1)</f>
        <v>0</v>
      </c>
      <c r="AN837" s="13" t="str">
        <f>CHOOSE(tblCleanData[[#This Row],[Education]], "Below College","College","Bachelor","Master","Doctor")</f>
        <v>Master</v>
      </c>
      <c r="AO837" s="13" t="str">
        <f>VLOOKUP(tblCleanData[[#This Row],[EmployeeNumber]],tblHelpers[],15,TRUE)</f>
        <v>Medium Risk</v>
      </c>
      <c r="AP837" s="13">
        <f>VLOOKUP(tblCleanData[[#This Row],[EmployeeNumber]],tblHelpers[],14,0)</f>
        <v>53</v>
      </c>
    </row>
    <row r="838" spans="1:42" x14ac:dyDescent="0.25">
      <c r="A838" s="13">
        <v>29</v>
      </c>
      <c r="B838" s="13" t="s">
        <v>36</v>
      </c>
      <c r="C838" s="13" t="s">
        <v>37</v>
      </c>
      <c r="D838" s="13">
        <v>408</v>
      </c>
      <c r="E838" s="13" t="s">
        <v>39</v>
      </c>
      <c r="F838" s="13">
        <v>23</v>
      </c>
      <c r="G838" s="13">
        <v>1</v>
      </c>
      <c r="H838" s="13" t="s">
        <v>42</v>
      </c>
      <c r="I838" s="13">
        <v>1</v>
      </c>
      <c r="J838" s="13">
        <v>1165</v>
      </c>
      <c r="K838" s="13">
        <v>4</v>
      </c>
      <c r="L838" s="13" t="s">
        <v>43</v>
      </c>
      <c r="M838" s="13">
        <v>45</v>
      </c>
      <c r="N838" s="13">
        <v>2</v>
      </c>
      <c r="O838" s="13">
        <v>3</v>
      </c>
      <c r="P838" s="13" t="s">
        <v>46</v>
      </c>
      <c r="Q838" s="13">
        <v>1</v>
      </c>
      <c r="R838" s="13" t="s">
        <v>66</v>
      </c>
      <c r="S838" s="20">
        <v>7336</v>
      </c>
      <c r="T838" s="13">
        <v>11162</v>
      </c>
      <c r="U838" s="13">
        <v>1</v>
      </c>
      <c r="V838" s="13" t="s">
        <v>52</v>
      </c>
      <c r="W838" s="13" t="s">
        <v>59</v>
      </c>
      <c r="X838" s="13">
        <v>13</v>
      </c>
      <c r="Y838" s="13">
        <v>3</v>
      </c>
      <c r="Z838" s="13">
        <v>1</v>
      </c>
      <c r="AA838" s="13">
        <v>80</v>
      </c>
      <c r="AB838" s="13">
        <v>1</v>
      </c>
      <c r="AC838" s="13">
        <v>11</v>
      </c>
      <c r="AD838" s="13">
        <v>3</v>
      </c>
      <c r="AE838" s="13">
        <v>1</v>
      </c>
      <c r="AF838" s="14">
        <v>11</v>
      </c>
      <c r="AG838" s="13">
        <v>8</v>
      </c>
      <c r="AH838" s="13">
        <v>3</v>
      </c>
      <c r="AI838" s="13">
        <v>10</v>
      </c>
      <c r="AJ838" s="13" t="str">
        <f t="shared" si="13"/>
        <v>Under 30</v>
      </c>
      <c r="AK838" s="13" t="str">
        <f>IF(tblCleanData[[#This Row],[MonthlyIncome]]&lt;5000, "Low Income", IF(tblCleanData[[#This Row],[MonthlyIncome]]&lt;15000, "Medium Income", "High Income"))</f>
        <v>Medium Income</v>
      </c>
      <c r="AL838" s="13">
        <f>IF(tblCleanData[[#This Row],[Attrition]]="No", 0,1)</f>
        <v>1</v>
      </c>
      <c r="AM838" s="13">
        <f>IF(tblCleanData[[#This Row],[OverTime]] = "No", 0, 1)</f>
        <v>0</v>
      </c>
      <c r="AN838" s="13" t="str">
        <f>CHOOSE(tblCleanData[[#This Row],[Education]], "Below College","College","Bachelor","Master","Doctor")</f>
        <v>Below College</v>
      </c>
      <c r="AO838" s="13" t="str">
        <f>VLOOKUP(tblCleanData[[#This Row],[EmployeeNumber]],tblHelpers[],15,TRUE)</f>
        <v>High Risk</v>
      </c>
      <c r="AP838" s="13">
        <f>VLOOKUP(tblCleanData[[#This Row],[EmployeeNumber]],tblHelpers[],14,0)</f>
        <v>63</v>
      </c>
    </row>
    <row r="839" spans="1:42" x14ac:dyDescent="0.25">
      <c r="A839" s="13">
        <v>40</v>
      </c>
      <c r="B839" s="13" t="s">
        <v>59</v>
      </c>
      <c r="C839" s="13" t="s">
        <v>60</v>
      </c>
      <c r="D839" s="13">
        <v>593</v>
      </c>
      <c r="E839" s="13" t="s">
        <v>62</v>
      </c>
      <c r="F839" s="13">
        <v>9</v>
      </c>
      <c r="G839" s="13">
        <v>4</v>
      </c>
      <c r="H839" s="13" t="s">
        <v>87</v>
      </c>
      <c r="I839" s="13">
        <v>1</v>
      </c>
      <c r="J839" s="13">
        <v>1166</v>
      </c>
      <c r="K839" s="13">
        <v>2</v>
      </c>
      <c r="L839" s="13" t="s">
        <v>43</v>
      </c>
      <c r="M839" s="13">
        <v>88</v>
      </c>
      <c r="N839" s="13">
        <v>3</v>
      </c>
      <c r="O839" s="13">
        <v>3</v>
      </c>
      <c r="P839" s="13" t="s">
        <v>186</v>
      </c>
      <c r="Q839" s="13">
        <v>3</v>
      </c>
      <c r="R839" s="13" t="s">
        <v>48</v>
      </c>
      <c r="S839" s="20">
        <v>13499</v>
      </c>
      <c r="T839" s="13">
        <v>13782</v>
      </c>
      <c r="U839" s="13">
        <v>9</v>
      </c>
      <c r="V839" s="13" t="s">
        <v>52</v>
      </c>
      <c r="W839" s="13" t="s">
        <v>59</v>
      </c>
      <c r="X839" s="13">
        <v>17</v>
      </c>
      <c r="Y839" s="13">
        <v>3</v>
      </c>
      <c r="Z839" s="13">
        <v>3</v>
      </c>
      <c r="AA839" s="13">
        <v>80</v>
      </c>
      <c r="AB839" s="13">
        <v>0</v>
      </c>
      <c r="AC839" s="13">
        <v>20</v>
      </c>
      <c r="AD839" s="13">
        <v>3</v>
      </c>
      <c r="AE839" s="13">
        <v>2</v>
      </c>
      <c r="AF839" s="14">
        <v>18</v>
      </c>
      <c r="AG839" s="13">
        <v>7</v>
      </c>
      <c r="AH839" s="13">
        <v>2</v>
      </c>
      <c r="AI839" s="13">
        <v>13</v>
      </c>
      <c r="AJ839" s="13" t="str">
        <f t="shared" si="13"/>
        <v>40-49</v>
      </c>
      <c r="AK839" s="13" t="str">
        <f>IF(tblCleanData[[#This Row],[MonthlyIncome]]&lt;5000, "Low Income", IF(tblCleanData[[#This Row],[MonthlyIncome]]&lt;15000, "Medium Income", "High Income"))</f>
        <v>Medium Income</v>
      </c>
      <c r="AL839" s="13">
        <f>IF(tblCleanData[[#This Row],[Attrition]]="No", 0,1)</f>
        <v>0</v>
      </c>
      <c r="AM839" s="13">
        <f>IF(tblCleanData[[#This Row],[OverTime]] = "No", 0, 1)</f>
        <v>0</v>
      </c>
      <c r="AN839" s="13" t="str">
        <f>CHOOSE(tblCleanData[[#This Row],[Education]], "Below College","College","Bachelor","Master","Doctor")</f>
        <v>Master</v>
      </c>
      <c r="AO839" s="13" t="str">
        <f>VLOOKUP(tblCleanData[[#This Row],[EmployeeNumber]],tblHelpers[],15,TRUE)</f>
        <v>Low Risk</v>
      </c>
      <c r="AP839" s="13">
        <f>VLOOKUP(tblCleanData[[#This Row],[EmployeeNumber]],tblHelpers[],14,0)</f>
        <v>31</v>
      </c>
    </row>
    <row r="840" spans="1:42" x14ac:dyDescent="0.25">
      <c r="A840" s="13">
        <v>42</v>
      </c>
      <c r="B840" s="13" t="s">
        <v>36</v>
      </c>
      <c r="C840" s="13" t="s">
        <v>60</v>
      </c>
      <c r="D840" s="13">
        <v>481</v>
      </c>
      <c r="E840" s="13" t="s">
        <v>39</v>
      </c>
      <c r="F840" s="13">
        <v>12</v>
      </c>
      <c r="G840" s="13">
        <v>3</v>
      </c>
      <c r="H840" s="13" t="s">
        <v>42</v>
      </c>
      <c r="I840" s="13">
        <v>1</v>
      </c>
      <c r="J840" s="13">
        <v>1167</v>
      </c>
      <c r="K840" s="13">
        <v>3</v>
      </c>
      <c r="L840" s="13" t="s">
        <v>63</v>
      </c>
      <c r="M840" s="13">
        <v>44</v>
      </c>
      <c r="N840" s="13">
        <v>3</v>
      </c>
      <c r="O840" s="13">
        <v>4</v>
      </c>
      <c r="P840" s="13" t="s">
        <v>46</v>
      </c>
      <c r="Q840" s="13">
        <v>1</v>
      </c>
      <c r="R840" s="13" t="s">
        <v>48</v>
      </c>
      <c r="S840" s="20">
        <v>13758</v>
      </c>
      <c r="T840" s="13">
        <v>2447</v>
      </c>
      <c r="U840" s="13">
        <v>0</v>
      </c>
      <c r="V840" s="13" t="s">
        <v>52</v>
      </c>
      <c r="W840" s="13" t="s">
        <v>36</v>
      </c>
      <c r="X840" s="13">
        <v>12</v>
      </c>
      <c r="Y840" s="13">
        <v>3</v>
      </c>
      <c r="Z840" s="13">
        <v>2</v>
      </c>
      <c r="AA840" s="13">
        <v>80</v>
      </c>
      <c r="AB840" s="13">
        <v>0</v>
      </c>
      <c r="AC840" s="13">
        <v>22</v>
      </c>
      <c r="AD840" s="13">
        <v>2</v>
      </c>
      <c r="AE840" s="13">
        <v>2</v>
      </c>
      <c r="AF840" s="14">
        <v>21</v>
      </c>
      <c r="AG840" s="13">
        <v>9</v>
      </c>
      <c r="AH840" s="13">
        <v>13</v>
      </c>
      <c r="AI840" s="13">
        <v>14</v>
      </c>
      <c r="AJ840" s="13" t="str">
        <f t="shared" si="13"/>
        <v>40-49</v>
      </c>
      <c r="AK840" s="13" t="str">
        <f>IF(tblCleanData[[#This Row],[MonthlyIncome]]&lt;5000, "Low Income", IF(tblCleanData[[#This Row],[MonthlyIncome]]&lt;15000, "Medium Income", "High Income"))</f>
        <v>Medium Income</v>
      </c>
      <c r="AL840" s="13">
        <f>IF(tblCleanData[[#This Row],[Attrition]]="No", 0,1)</f>
        <v>1</v>
      </c>
      <c r="AM840" s="13">
        <f>IF(tblCleanData[[#This Row],[OverTime]] = "No", 0, 1)</f>
        <v>1</v>
      </c>
      <c r="AN840" s="13" t="str">
        <f>CHOOSE(tblCleanData[[#This Row],[Education]], "Below College","College","Bachelor","Master","Doctor")</f>
        <v>Bachelor</v>
      </c>
      <c r="AO840" s="13" t="str">
        <f>VLOOKUP(tblCleanData[[#This Row],[EmployeeNumber]],tblHelpers[],15,TRUE)</f>
        <v>High Risk</v>
      </c>
      <c r="AP840" s="13">
        <f>VLOOKUP(tblCleanData[[#This Row],[EmployeeNumber]],tblHelpers[],14,0)</f>
        <v>68</v>
      </c>
    </row>
    <row r="841" spans="1:42" x14ac:dyDescent="0.25">
      <c r="A841" s="13">
        <v>42</v>
      </c>
      <c r="B841" s="13" t="s">
        <v>59</v>
      </c>
      <c r="C841" s="13" t="s">
        <v>37</v>
      </c>
      <c r="D841" s="13">
        <v>647</v>
      </c>
      <c r="E841" s="13" t="s">
        <v>39</v>
      </c>
      <c r="F841" s="13">
        <v>4</v>
      </c>
      <c r="G841" s="13">
        <v>4</v>
      </c>
      <c r="H841" s="13" t="s">
        <v>206</v>
      </c>
      <c r="I841" s="13">
        <v>1</v>
      </c>
      <c r="J841" s="13">
        <v>1171</v>
      </c>
      <c r="K841" s="13">
        <v>2</v>
      </c>
      <c r="L841" s="13" t="s">
        <v>63</v>
      </c>
      <c r="M841" s="13">
        <v>45</v>
      </c>
      <c r="N841" s="13">
        <v>3</v>
      </c>
      <c r="O841" s="13">
        <v>2</v>
      </c>
      <c r="P841" s="13" t="s">
        <v>46</v>
      </c>
      <c r="Q841" s="13">
        <v>1</v>
      </c>
      <c r="R841" s="13" t="s">
        <v>48</v>
      </c>
      <c r="S841" s="20">
        <v>5155</v>
      </c>
      <c r="T841" s="13">
        <v>2253</v>
      </c>
      <c r="U841" s="13">
        <v>7</v>
      </c>
      <c r="V841" s="13" t="s">
        <v>52</v>
      </c>
      <c r="W841" s="13" t="s">
        <v>59</v>
      </c>
      <c r="X841" s="13">
        <v>13</v>
      </c>
      <c r="Y841" s="13">
        <v>3</v>
      </c>
      <c r="Z841" s="13">
        <v>4</v>
      </c>
      <c r="AA841" s="13">
        <v>80</v>
      </c>
      <c r="AB841" s="13">
        <v>0</v>
      </c>
      <c r="AC841" s="13">
        <v>9</v>
      </c>
      <c r="AD841" s="13">
        <v>3</v>
      </c>
      <c r="AE841" s="13">
        <v>4</v>
      </c>
      <c r="AF841" s="14">
        <v>6</v>
      </c>
      <c r="AG841" s="13">
        <v>4</v>
      </c>
      <c r="AH841" s="13">
        <v>1</v>
      </c>
      <c r="AI841" s="13">
        <v>5</v>
      </c>
      <c r="AJ841" s="13" t="str">
        <f t="shared" si="13"/>
        <v>40-49</v>
      </c>
      <c r="AK841" s="13" t="str">
        <f>IF(tblCleanData[[#This Row],[MonthlyIncome]]&lt;5000, "Low Income", IF(tblCleanData[[#This Row],[MonthlyIncome]]&lt;15000, "Medium Income", "High Income"))</f>
        <v>Medium Income</v>
      </c>
      <c r="AL841" s="13">
        <f>IF(tblCleanData[[#This Row],[Attrition]]="No", 0,1)</f>
        <v>0</v>
      </c>
      <c r="AM841" s="13">
        <f>IF(tblCleanData[[#This Row],[OverTime]] = "No", 0, 1)</f>
        <v>0</v>
      </c>
      <c r="AN841" s="13" t="str">
        <f>CHOOSE(tblCleanData[[#This Row],[Education]], "Below College","College","Bachelor","Master","Doctor")</f>
        <v>Master</v>
      </c>
      <c r="AO841" s="13" t="str">
        <f>VLOOKUP(tblCleanData[[#This Row],[EmployeeNumber]],tblHelpers[],15,TRUE)</f>
        <v>Medium Risk</v>
      </c>
      <c r="AP841" s="13">
        <f>VLOOKUP(tblCleanData[[#This Row],[EmployeeNumber]],tblHelpers[],14,0)</f>
        <v>48</v>
      </c>
    </row>
    <row r="842" spans="1:42" x14ac:dyDescent="0.25">
      <c r="A842" s="13">
        <v>35</v>
      </c>
      <c r="B842" s="13" t="s">
        <v>59</v>
      </c>
      <c r="C842" s="13" t="s">
        <v>37</v>
      </c>
      <c r="D842" s="13">
        <v>982</v>
      </c>
      <c r="E842" s="13" t="s">
        <v>62</v>
      </c>
      <c r="F842" s="13">
        <v>1</v>
      </c>
      <c r="G842" s="13">
        <v>4</v>
      </c>
      <c r="H842" s="13" t="s">
        <v>87</v>
      </c>
      <c r="I842" s="13">
        <v>1</v>
      </c>
      <c r="J842" s="13">
        <v>1172</v>
      </c>
      <c r="K842" s="13">
        <v>4</v>
      </c>
      <c r="L842" s="13" t="s">
        <v>63</v>
      </c>
      <c r="M842" s="13">
        <v>58</v>
      </c>
      <c r="N842" s="13">
        <v>2</v>
      </c>
      <c r="O842" s="13">
        <v>1</v>
      </c>
      <c r="P842" s="13" t="s">
        <v>76</v>
      </c>
      <c r="Q842" s="13">
        <v>3</v>
      </c>
      <c r="R842" s="13" t="s">
        <v>66</v>
      </c>
      <c r="S842" s="20">
        <v>2258</v>
      </c>
      <c r="T842" s="13">
        <v>16340</v>
      </c>
      <c r="U842" s="13">
        <v>6</v>
      </c>
      <c r="V842" s="13" t="s">
        <v>52</v>
      </c>
      <c r="W842" s="13" t="s">
        <v>59</v>
      </c>
      <c r="X842" s="13">
        <v>12</v>
      </c>
      <c r="Y842" s="13">
        <v>3</v>
      </c>
      <c r="Z842" s="13">
        <v>2</v>
      </c>
      <c r="AA842" s="13">
        <v>80</v>
      </c>
      <c r="AB842" s="13">
        <v>1</v>
      </c>
      <c r="AC842" s="13">
        <v>10</v>
      </c>
      <c r="AD842" s="13">
        <v>2</v>
      </c>
      <c r="AE842" s="13">
        <v>3</v>
      </c>
      <c r="AF842" s="14">
        <v>8</v>
      </c>
      <c r="AG842" s="13">
        <v>0</v>
      </c>
      <c r="AH842" s="13">
        <v>1</v>
      </c>
      <c r="AI842" s="13">
        <v>7</v>
      </c>
      <c r="AJ842" s="13" t="str">
        <f t="shared" si="13"/>
        <v>30-39</v>
      </c>
      <c r="AK842" s="13" t="str">
        <f>IF(tblCleanData[[#This Row],[MonthlyIncome]]&lt;5000, "Low Income", IF(tblCleanData[[#This Row],[MonthlyIncome]]&lt;15000, "Medium Income", "High Income"))</f>
        <v>Low Income</v>
      </c>
      <c r="AL842" s="13">
        <f>IF(tblCleanData[[#This Row],[Attrition]]="No", 0,1)</f>
        <v>0</v>
      </c>
      <c r="AM842" s="13">
        <f>IF(tblCleanData[[#This Row],[OverTime]] = "No", 0, 1)</f>
        <v>0</v>
      </c>
      <c r="AN842" s="13" t="str">
        <f>CHOOSE(tblCleanData[[#This Row],[Education]], "Below College","College","Bachelor","Master","Doctor")</f>
        <v>Master</v>
      </c>
      <c r="AO842" s="13" t="str">
        <f>VLOOKUP(tblCleanData[[#This Row],[EmployeeNumber]],tblHelpers[],15,TRUE)</f>
        <v>Medium Risk</v>
      </c>
      <c r="AP842" s="13">
        <f>VLOOKUP(tblCleanData[[#This Row],[EmployeeNumber]],tblHelpers[],14,0)</f>
        <v>46</v>
      </c>
    </row>
    <row r="843" spans="1:42" x14ac:dyDescent="0.25">
      <c r="A843" s="13">
        <v>24</v>
      </c>
      <c r="B843" s="13" t="s">
        <v>59</v>
      </c>
      <c r="C843" s="13" t="s">
        <v>37</v>
      </c>
      <c r="D843" s="13">
        <v>477</v>
      </c>
      <c r="E843" s="13" t="s">
        <v>62</v>
      </c>
      <c r="F843" s="13">
        <v>24</v>
      </c>
      <c r="G843" s="13">
        <v>3</v>
      </c>
      <c r="H843" s="13" t="s">
        <v>87</v>
      </c>
      <c r="I843" s="13">
        <v>1</v>
      </c>
      <c r="J843" s="13">
        <v>1173</v>
      </c>
      <c r="K843" s="13">
        <v>4</v>
      </c>
      <c r="L843" s="13" t="s">
        <v>63</v>
      </c>
      <c r="M843" s="13">
        <v>49</v>
      </c>
      <c r="N843" s="13">
        <v>3</v>
      </c>
      <c r="O843" s="13">
        <v>1</v>
      </c>
      <c r="P843" s="13" t="s">
        <v>76</v>
      </c>
      <c r="Q843" s="13">
        <v>2</v>
      </c>
      <c r="R843" s="13" t="s">
        <v>48</v>
      </c>
      <c r="S843" s="20">
        <v>3597</v>
      </c>
      <c r="T843" s="13">
        <v>6409</v>
      </c>
      <c r="U843" s="13">
        <v>8</v>
      </c>
      <c r="V843" s="13" t="s">
        <v>52</v>
      </c>
      <c r="W843" s="13" t="s">
        <v>59</v>
      </c>
      <c r="X843" s="13">
        <v>22</v>
      </c>
      <c r="Y843" s="13">
        <v>4</v>
      </c>
      <c r="Z843" s="13">
        <v>4</v>
      </c>
      <c r="AA843" s="13">
        <v>80</v>
      </c>
      <c r="AB843" s="13">
        <v>0</v>
      </c>
      <c r="AC843" s="13">
        <v>6</v>
      </c>
      <c r="AD843" s="13">
        <v>2</v>
      </c>
      <c r="AE843" s="13">
        <v>3</v>
      </c>
      <c r="AF843" s="14">
        <v>4</v>
      </c>
      <c r="AG843" s="13">
        <v>3</v>
      </c>
      <c r="AH843" s="13">
        <v>1</v>
      </c>
      <c r="AI843" s="13">
        <v>2</v>
      </c>
      <c r="AJ843" s="13" t="str">
        <f t="shared" si="13"/>
        <v>Under 30</v>
      </c>
      <c r="AK843" s="13" t="str">
        <f>IF(tblCleanData[[#This Row],[MonthlyIncome]]&lt;5000, "Low Income", IF(tblCleanData[[#This Row],[MonthlyIncome]]&lt;15000, "Medium Income", "High Income"))</f>
        <v>Low Income</v>
      </c>
      <c r="AL843" s="13">
        <f>IF(tblCleanData[[#This Row],[Attrition]]="No", 0,1)</f>
        <v>0</v>
      </c>
      <c r="AM843" s="13">
        <f>IF(tblCleanData[[#This Row],[OverTime]] = "No", 0, 1)</f>
        <v>0</v>
      </c>
      <c r="AN843" s="13" t="str">
        <f>CHOOSE(tblCleanData[[#This Row],[Education]], "Below College","College","Bachelor","Master","Doctor")</f>
        <v>Bachelor</v>
      </c>
      <c r="AO843" s="13" t="str">
        <f>VLOOKUP(tblCleanData[[#This Row],[EmployeeNumber]],tblHelpers[],15,TRUE)</f>
        <v>High Risk</v>
      </c>
      <c r="AP843" s="13">
        <f>VLOOKUP(tblCleanData[[#This Row],[EmployeeNumber]],tblHelpers[],14,0)</f>
        <v>69</v>
      </c>
    </row>
    <row r="844" spans="1:42" x14ac:dyDescent="0.25">
      <c r="A844" s="13">
        <v>28</v>
      </c>
      <c r="B844" s="13" t="s">
        <v>36</v>
      </c>
      <c r="C844" s="13" t="s">
        <v>37</v>
      </c>
      <c r="D844" s="13">
        <v>1485</v>
      </c>
      <c r="E844" s="13" t="s">
        <v>62</v>
      </c>
      <c r="F844" s="13">
        <v>12</v>
      </c>
      <c r="G844" s="13">
        <v>1</v>
      </c>
      <c r="H844" s="13" t="s">
        <v>42</v>
      </c>
      <c r="I844" s="13">
        <v>1</v>
      </c>
      <c r="J844" s="13">
        <v>1175</v>
      </c>
      <c r="K844" s="13">
        <v>3</v>
      </c>
      <c r="L844" s="13" t="s">
        <v>43</v>
      </c>
      <c r="M844" s="13">
        <v>79</v>
      </c>
      <c r="N844" s="13">
        <v>3</v>
      </c>
      <c r="O844" s="13">
        <v>1</v>
      </c>
      <c r="P844" s="13" t="s">
        <v>76</v>
      </c>
      <c r="Q844" s="13">
        <v>4</v>
      </c>
      <c r="R844" s="13" t="s">
        <v>66</v>
      </c>
      <c r="S844" s="20">
        <v>2515</v>
      </c>
      <c r="T844" s="13">
        <v>22955</v>
      </c>
      <c r="U844" s="13">
        <v>1</v>
      </c>
      <c r="V844" s="13" t="s">
        <v>52</v>
      </c>
      <c r="W844" s="13" t="s">
        <v>36</v>
      </c>
      <c r="X844" s="13">
        <v>11</v>
      </c>
      <c r="Y844" s="13">
        <v>3</v>
      </c>
      <c r="Z844" s="13">
        <v>4</v>
      </c>
      <c r="AA844" s="13">
        <v>80</v>
      </c>
      <c r="AB844" s="13">
        <v>0</v>
      </c>
      <c r="AC844" s="13">
        <v>1</v>
      </c>
      <c r="AD844" s="13">
        <v>4</v>
      </c>
      <c r="AE844" s="13">
        <v>2</v>
      </c>
      <c r="AF844" s="14">
        <v>1</v>
      </c>
      <c r="AG844" s="13">
        <v>1</v>
      </c>
      <c r="AH844" s="13">
        <v>0</v>
      </c>
      <c r="AI844" s="13">
        <v>0</v>
      </c>
      <c r="AJ844" s="13" t="str">
        <f t="shared" si="13"/>
        <v>Under 30</v>
      </c>
      <c r="AK844" s="13" t="str">
        <f>IF(tblCleanData[[#This Row],[MonthlyIncome]]&lt;5000, "Low Income", IF(tblCleanData[[#This Row],[MonthlyIncome]]&lt;15000, "Medium Income", "High Income"))</f>
        <v>Low Income</v>
      </c>
      <c r="AL844" s="13">
        <f>IF(tblCleanData[[#This Row],[Attrition]]="No", 0,1)</f>
        <v>1</v>
      </c>
      <c r="AM844" s="13">
        <f>IF(tblCleanData[[#This Row],[OverTime]] = "No", 0, 1)</f>
        <v>1</v>
      </c>
      <c r="AN844" s="13" t="str">
        <f>CHOOSE(tblCleanData[[#This Row],[Education]], "Below College","College","Bachelor","Master","Doctor")</f>
        <v>Below College</v>
      </c>
      <c r="AO844" s="13" t="str">
        <f>VLOOKUP(tblCleanData[[#This Row],[EmployeeNumber]],tblHelpers[],15,TRUE)</f>
        <v>High Risk</v>
      </c>
      <c r="AP844" s="13">
        <f>VLOOKUP(tblCleanData[[#This Row],[EmployeeNumber]],tblHelpers[],14,0)</f>
        <v>91</v>
      </c>
    </row>
    <row r="845" spans="1:42" x14ac:dyDescent="0.25">
      <c r="A845" s="13">
        <v>26</v>
      </c>
      <c r="B845" s="13" t="s">
        <v>59</v>
      </c>
      <c r="C845" s="13" t="s">
        <v>37</v>
      </c>
      <c r="D845" s="13">
        <v>1384</v>
      </c>
      <c r="E845" s="13" t="s">
        <v>62</v>
      </c>
      <c r="F845" s="13">
        <v>3</v>
      </c>
      <c r="G845" s="13">
        <v>4</v>
      </c>
      <c r="H845" s="13" t="s">
        <v>87</v>
      </c>
      <c r="I845" s="13">
        <v>1</v>
      </c>
      <c r="J845" s="13">
        <v>1177</v>
      </c>
      <c r="K845" s="13">
        <v>1</v>
      </c>
      <c r="L845" s="13" t="s">
        <v>63</v>
      </c>
      <c r="M845" s="13">
        <v>82</v>
      </c>
      <c r="N845" s="13">
        <v>4</v>
      </c>
      <c r="O845" s="13">
        <v>1</v>
      </c>
      <c r="P845" s="13" t="s">
        <v>76</v>
      </c>
      <c r="Q845" s="13">
        <v>4</v>
      </c>
      <c r="R845" s="13" t="s">
        <v>66</v>
      </c>
      <c r="S845" s="20">
        <v>4420</v>
      </c>
      <c r="T845" s="13">
        <v>13421</v>
      </c>
      <c r="U845" s="13">
        <v>1</v>
      </c>
      <c r="V845" s="13" t="s">
        <v>52</v>
      </c>
      <c r="W845" s="13" t="s">
        <v>59</v>
      </c>
      <c r="X845" s="13">
        <v>22</v>
      </c>
      <c r="Y845" s="13">
        <v>4</v>
      </c>
      <c r="Z845" s="13">
        <v>2</v>
      </c>
      <c r="AA845" s="13">
        <v>80</v>
      </c>
      <c r="AB845" s="13">
        <v>1</v>
      </c>
      <c r="AC845" s="13">
        <v>8</v>
      </c>
      <c r="AD845" s="13">
        <v>2</v>
      </c>
      <c r="AE845" s="13">
        <v>3</v>
      </c>
      <c r="AF845" s="14">
        <v>8</v>
      </c>
      <c r="AG845" s="13">
        <v>7</v>
      </c>
      <c r="AH845" s="13">
        <v>0</v>
      </c>
      <c r="AI845" s="13">
        <v>7</v>
      </c>
      <c r="AJ845" s="13" t="str">
        <f t="shared" si="13"/>
        <v>Under 30</v>
      </c>
      <c r="AK845" s="13" t="str">
        <f>IF(tblCleanData[[#This Row],[MonthlyIncome]]&lt;5000, "Low Income", IF(tblCleanData[[#This Row],[MonthlyIncome]]&lt;15000, "Medium Income", "High Income"))</f>
        <v>Low Income</v>
      </c>
      <c r="AL845" s="13">
        <f>IF(tblCleanData[[#This Row],[Attrition]]="No", 0,1)</f>
        <v>0</v>
      </c>
      <c r="AM845" s="13">
        <f>IF(tblCleanData[[#This Row],[OverTime]] = "No", 0, 1)</f>
        <v>0</v>
      </c>
      <c r="AN845" s="13" t="str">
        <f>CHOOSE(tblCleanData[[#This Row],[Education]], "Below College","College","Bachelor","Master","Doctor")</f>
        <v>Master</v>
      </c>
      <c r="AO845" s="13" t="str">
        <f>VLOOKUP(tblCleanData[[#This Row],[EmployeeNumber]],tblHelpers[],15,TRUE)</f>
        <v>Medium Risk</v>
      </c>
      <c r="AP845" s="13">
        <f>VLOOKUP(tblCleanData[[#This Row],[EmployeeNumber]],tblHelpers[],14,0)</f>
        <v>49</v>
      </c>
    </row>
    <row r="846" spans="1:42" x14ac:dyDescent="0.25">
      <c r="A846" s="13">
        <v>30</v>
      </c>
      <c r="B846" s="13" t="s">
        <v>59</v>
      </c>
      <c r="C846" s="13" t="s">
        <v>37</v>
      </c>
      <c r="D846" s="13">
        <v>852</v>
      </c>
      <c r="E846" s="13" t="s">
        <v>39</v>
      </c>
      <c r="F846" s="13">
        <v>10</v>
      </c>
      <c r="G846" s="13">
        <v>3</v>
      </c>
      <c r="H846" s="13" t="s">
        <v>206</v>
      </c>
      <c r="I846" s="13">
        <v>1</v>
      </c>
      <c r="J846" s="13">
        <v>1179</v>
      </c>
      <c r="K846" s="13">
        <v>3</v>
      </c>
      <c r="L846" s="13" t="s">
        <v>63</v>
      </c>
      <c r="M846" s="13">
        <v>72</v>
      </c>
      <c r="N846" s="13">
        <v>2</v>
      </c>
      <c r="O846" s="13">
        <v>2</v>
      </c>
      <c r="P846" s="13" t="s">
        <v>46</v>
      </c>
      <c r="Q846" s="13">
        <v>3</v>
      </c>
      <c r="R846" s="13" t="s">
        <v>66</v>
      </c>
      <c r="S846" s="20">
        <v>6578</v>
      </c>
      <c r="T846" s="13">
        <v>2706</v>
      </c>
      <c r="U846" s="13">
        <v>1</v>
      </c>
      <c r="V846" s="13" t="s">
        <v>52</v>
      </c>
      <c r="W846" s="13" t="s">
        <v>59</v>
      </c>
      <c r="X846" s="13">
        <v>18</v>
      </c>
      <c r="Y846" s="13">
        <v>3</v>
      </c>
      <c r="Z846" s="13">
        <v>1</v>
      </c>
      <c r="AA846" s="13">
        <v>80</v>
      </c>
      <c r="AB846" s="13">
        <v>1</v>
      </c>
      <c r="AC846" s="13">
        <v>10</v>
      </c>
      <c r="AD846" s="13">
        <v>3</v>
      </c>
      <c r="AE846" s="13">
        <v>3</v>
      </c>
      <c r="AF846" s="14">
        <v>10</v>
      </c>
      <c r="AG846" s="13">
        <v>3</v>
      </c>
      <c r="AH846" s="13">
        <v>1</v>
      </c>
      <c r="AI846" s="13">
        <v>4</v>
      </c>
      <c r="AJ846" s="13" t="str">
        <f t="shared" si="13"/>
        <v>30-39</v>
      </c>
      <c r="AK846" s="13" t="str">
        <f>IF(tblCleanData[[#This Row],[MonthlyIncome]]&lt;5000, "Low Income", IF(tblCleanData[[#This Row],[MonthlyIncome]]&lt;15000, "Medium Income", "High Income"))</f>
        <v>Medium Income</v>
      </c>
      <c r="AL846" s="13">
        <f>IF(tblCleanData[[#This Row],[Attrition]]="No", 0,1)</f>
        <v>0</v>
      </c>
      <c r="AM846" s="13">
        <f>IF(tblCleanData[[#This Row],[OverTime]] = "No", 0, 1)</f>
        <v>0</v>
      </c>
      <c r="AN846" s="13" t="str">
        <f>CHOOSE(tblCleanData[[#This Row],[Education]], "Below College","College","Bachelor","Master","Doctor")</f>
        <v>Bachelor</v>
      </c>
      <c r="AO846" s="13" t="str">
        <f>VLOOKUP(tblCleanData[[#This Row],[EmployeeNumber]],tblHelpers[],15,TRUE)</f>
        <v>Medium Risk</v>
      </c>
      <c r="AP846" s="13">
        <f>VLOOKUP(tblCleanData[[#This Row],[EmployeeNumber]],tblHelpers[],14,0)</f>
        <v>46</v>
      </c>
    </row>
    <row r="847" spans="1:42" x14ac:dyDescent="0.25">
      <c r="A847" s="13">
        <v>40</v>
      </c>
      <c r="B847" s="13" t="s">
        <v>59</v>
      </c>
      <c r="C847" s="13" t="s">
        <v>60</v>
      </c>
      <c r="D847" s="13">
        <v>902</v>
      </c>
      <c r="E847" s="13" t="s">
        <v>62</v>
      </c>
      <c r="F847" s="13">
        <v>26</v>
      </c>
      <c r="G847" s="13">
        <v>2</v>
      </c>
      <c r="H847" s="13" t="s">
        <v>87</v>
      </c>
      <c r="I847" s="13">
        <v>1</v>
      </c>
      <c r="J847" s="13">
        <v>1180</v>
      </c>
      <c r="K847" s="13">
        <v>3</v>
      </c>
      <c r="L847" s="13" t="s">
        <v>43</v>
      </c>
      <c r="M847" s="13">
        <v>92</v>
      </c>
      <c r="N847" s="13">
        <v>2</v>
      </c>
      <c r="O847" s="13">
        <v>2</v>
      </c>
      <c r="P847" s="13" t="s">
        <v>65</v>
      </c>
      <c r="Q847" s="13">
        <v>4</v>
      </c>
      <c r="R847" s="13" t="s">
        <v>66</v>
      </c>
      <c r="S847" s="20">
        <v>4422</v>
      </c>
      <c r="T847" s="13">
        <v>21203</v>
      </c>
      <c r="U847" s="13">
        <v>3</v>
      </c>
      <c r="V847" s="13" t="s">
        <v>52</v>
      </c>
      <c r="W847" s="13" t="s">
        <v>36</v>
      </c>
      <c r="X847" s="13">
        <v>13</v>
      </c>
      <c r="Y847" s="13">
        <v>3</v>
      </c>
      <c r="Z847" s="13">
        <v>4</v>
      </c>
      <c r="AA847" s="13">
        <v>80</v>
      </c>
      <c r="AB847" s="13">
        <v>1</v>
      </c>
      <c r="AC847" s="13">
        <v>16</v>
      </c>
      <c r="AD847" s="13">
        <v>3</v>
      </c>
      <c r="AE847" s="13">
        <v>1</v>
      </c>
      <c r="AF847" s="14">
        <v>1</v>
      </c>
      <c r="AG847" s="13">
        <v>1</v>
      </c>
      <c r="AH847" s="13">
        <v>0</v>
      </c>
      <c r="AI847" s="13">
        <v>0</v>
      </c>
      <c r="AJ847" s="13" t="str">
        <f t="shared" si="13"/>
        <v>40-49</v>
      </c>
      <c r="AK847" s="13" t="str">
        <f>IF(tblCleanData[[#This Row],[MonthlyIncome]]&lt;5000, "Low Income", IF(tblCleanData[[#This Row],[MonthlyIncome]]&lt;15000, "Medium Income", "High Income"))</f>
        <v>Low Income</v>
      </c>
      <c r="AL847" s="13">
        <f>IF(tblCleanData[[#This Row],[Attrition]]="No", 0,1)</f>
        <v>0</v>
      </c>
      <c r="AM847" s="13">
        <f>IF(tblCleanData[[#This Row],[OverTime]] = "No", 0, 1)</f>
        <v>1</v>
      </c>
      <c r="AN847" s="13" t="str">
        <f>CHOOSE(tblCleanData[[#This Row],[Education]], "Below College","College","Bachelor","Master","Doctor")</f>
        <v>College</v>
      </c>
      <c r="AO847" s="13" t="str">
        <f>VLOOKUP(tblCleanData[[#This Row],[EmployeeNumber]],tblHelpers[],15,TRUE)</f>
        <v>High Risk</v>
      </c>
      <c r="AP847" s="13">
        <f>VLOOKUP(tblCleanData[[#This Row],[EmployeeNumber]],tblHelpers[],14,0)</f>
        <v>71</v>
      </c>
    </row>
    <row r="848" spans="1:42" x14ac:dyDescent="0.25">
      <c r="A848" s="13">
        <v>35</v>
      </c>
      <c r="B848" s="13" t="s">
        <v>59</v>
      </c>
      <c r="C848" s="13" t="s">
        <v>37</v>
      </c>
      <c r="D848" s="13">
        <v>819</v>
      </c>
      <c r="E848" s="13" t="s">
        <v>62</v>
      </c>
      <c r="F848" s="13">
        <v>2</v>
      </c>
      <c r="G848" s="13">
        <v>3</v>
      </c>
      <c r="H848" s="13" t="s">
        <v>42</v>
      </c>
      <c r="I848" s="13">
        <v>1</v>
      </c>
      <c r="J848" s="13">
        <v>1182</v>
      </c>
      <c r="K848" s="13">
        <v>3</v>
      </c>
      <c r="L848" s="13" t="s">
        <v>63</v>
      </c>
      <c r="M848" s="13">
        <v>44</v>
      </c>
      <c r="N848" s="13">
        <v>2</v>
      </c>
      <c r="O848" s="13">
        <v>3</v>
      </c>
      <c r="P848" s="13" t="s">
        <v>116</v>
      </c>
      <c r="Q848" s="13">
        <v>2</v>
      </c>
      <c r="R848" s="13" t="s">
        <v>109</v>
      </c>
      <c r="S848" s="20">
        <v>10274</v>
      </c>
      <c r="T848" s="13">
        <v>19588</v>
      </c>
      <c r="U848" s="13">
        <v>2</v>
      </c>
      <c r="V848" s="13" t="s">
        <v>52</v>
      </c>
      <c r="W848" s="13" t="s">
        <v>59</v>
      </c>
      <c r="X848" s="13">
        <v>18</v>
      </c>
      <c r="Y848" s="13">
        <v>3</v>
      </c>
      <c r="Z848" s="13">
        <v>2</v>
      </c>
      <c r="AA848" s="13">
        <v>80</v>
      </c>
      <c r="AB848" s="13">
        <v>1</v>
      </c>
      <c r="AC848" s="13">
        <v>15</v>
      </c>
      <c r="AD848" s="13">
        <v>2</v>
      </c>
      <c r="AE848" s="13">
        <v>4</v>
      </c>
      <c r="AF848" s="14">
        <v>7</v>
      </c>
      <c r="AG848" s="13">
        <v>7</v>
      </c>
      <c r="AH848" s="13">
        <v>6</v>
      </c>
      <c r="AI848" s="13">
        <v>4</v>
      </c>
      <c r="AJ848" s="13" t="str">
        <f t="shared" si="13"/>
        <v>30-39</v>
      </c>
      <c r="AK848" s="13" t="str">
        <f>IF(tblCleanData[[#This Row],[MonthlyIncome]]&lt;5000, "Low Income", IF(tblCleanData[[#This Row],[MonthlyIncome]]&lt;15000, "Medium Income", "High Income"))</f>
        <v>Medium Income</v>
      </c>
      <c r="AL848" s="13">
        <f>IF(tblCleanData[[#This Row],[Attrition]]="No", 0,1)</f>
        <v>0</v>
      </c>
      <c r="AM848" s="13">
        <f>IF(tblCleanData[[#This Row],[OverTime]] = "No", 0, 1)</f>
        <v>0</v>
      </c>
      <c r="AN848" s="13" t="str">
        <f>CHOOSE(tblCleanData[[#This Row],[Education]], "Below College","College","Bachelor","Master","Doctor")</f>
        <v>Bachelor</v>
      </c>
      <c r="AO848" s="13" t="str">
        <f>VLOOKUP(tblCleanData[[#This Row],[EmployeeNumber]],tblHelpers[],15,TRUE)</f>
        <v>Medium Risk</v>
      </c>
      <c r="AP848" s="13">
        <f>VLOOKUP(tblCleanData[[#This Row],[EmployeeNumber]],tblHelpers[],14,0)</f>
        <v>52</v>
      </c>
    </row>
    <row r="849" spans="1:42" x14ac:dyDescent="0.25">
      <c r="A849" s="13">
        <v>34</v>
      </c>
      <c r="B849" s="13" t="s">
        <v>59</v>
      </c>
      <c r="C849" s="13" t="s">
        <v>60</v>
      </c>
      <c r="D849" s="13">
        <v>669</v>
      </c>
      <c r="E849" s="13" t="s">
        <v>62</v>
      </c>
      <c r="F849" s="13">
        <v>1</v>
      </c>
      <c r="G849" s="13">
        <v>3</v>
      </c>
      <c r="H849" s="13" t="s">
        <v>87</v>
      </c>
      <c r="I849" s="13">
        <v>1</v>
      </c>
      <c r="J849" s="13">
        <v>1184</v>
      </c>
      <c r="K849" s="13">
        <v>4</v>
      </c>
      <c r="L849" s="13" t="s">
        <v>63</v>
      </c>
      <c r="M849" s="13">
        <v>97</v>
      </c>
      <c r="N849" s="13">
        <v>2</v>
      </c>
      <c r="O849" s="13">
        <v>2</v>
      </c>
      <c r="P849" s="13" t="s">
        <v>122</v>
      </c>
      <c r="Q849" s="13">
        <v>1</v>
      </c>
      <c r="R849" s="13" t="s">
        <v>48</v>
      </c>
      <c r="S849" s="20">
        <v>5343</v>
      </c>
      <c r="T849" s="13">
        <v>25755</v>
      </c>
      <c r="U849" s="13">
        <v>0</v>
      </c>
      <c r="V849" s="13" t="s">
        <v>52</v>
      </c>
      <c r="W849" s="13" t="s">
        <v>59</v>
      </c>
      <c r="X849" s="13">
        <v>20</v>
      </c>
      <c r="Y849" s="13">
        <v>4</v>
      </c>
      <c r="Z849" s="13">
        <v>3</v>
      </c>
      <c r="AA849" s="13">
        <v>80</v>
      </c>
      <c r="AB849" s="13">
        <v>0</v>
      </c>
      <c r="AC849" s="13">
        <v>14</v>
      </c>
      <c r="AD849" s="13">
        <v>3</v>
      </c>
      <c r="AE849" s="13">
        <v>3</v>
      </c>
      <c r="AF849" s="14">
        <v>13</v>
      </c>
      <c r="AG849" s="13">
        <v>9</v>
      </c>
      <c r="AH849" s="13">
        <v>4</v>
      </c>
      <c r="AI849" s="13">
        <v>9</v>
      </c>
      <c r="AJ849" s="13" t="str">
        <f t="shared" si="13"/>
        <v>30-39</v>
      </c>
      <c r="AK849" s="13" t="str">
        <f>IF(tblCleanData[[#This Row],[MonthlyIncome]]&lt;5000, "Low Income", IF(tblCleanData[[#This Row],[MonthlyIncome]]&lt;15000, "Medium Income", "High Income"))</f>
        <v>Medium Income</v>
      </c>
      <c r="AL849" s="13">
        <f>IF(tblCleanData[[#This Row],[Attrition]]="No", 0,1)</f>
        <v>0</v>
      </c>
      <c r="AM849" s="13">
        <f>IF(tblCleanData[[#This Row],[OverTime]] = "No", 0, 1)</f>
        <v>0</v>
      </c>
      <c r="AN849" s="13" t="str">
        <f>CHOOSE(tblCleanData[[#This Row],[Education]], "Below College","College","Bachelor","Master","Doctor")</f>
        <v>Bachelor</v>
      </c>
      <c r="AO849" s="13" t="str">
        <f>VLOOKUP(tblCleanData[[#This Row],[EmployeeNumber]],tblHelpers[],15,TRUE)</f>
        <v>Medium Risk</v>
      </c>
      <c r="AP849" s="13">
        <f>VLOOKUP(tblCleanData[[#This Row],[EmployeeNumber]],tblHelpers[],14,0)</f>
        <v>53</v>
      </c>
    </row>
    <row r="850" spans="1:42" x14ac:dyDescent="0.25">
      <c r="A850" s="13">
        <v>35</v>
      </c>
      <c r="B850" s="13" t="s">
        <v>59</v>
      </c>
      <c r="C850" s="13" t="s">
        <v>60</v>
      </c>
      <c r="D850" s="13">
        <v>636</v>
      </c>
      <c r="E850" s="13" t="s">
        <v>62</v>
      </c>
      <c r="F850" s="13">
        <v>4</v>
      </c>
      <c r="G850" s="13">
        <v>4</v>
      </c>
      <c r="H850" s="13" t="s">
        <v>74</v>
      </c>
      <c r="I850" s="13">
        <v>1</v>
      </c>
      <c r="J850" s="13">
        <v>1185</v>
      </c>
      <c r="K850" s="13">
        <v>4</v>
      </c>
      <c r="L850" s="13" t="s">
        <v>63</v>
      </c>
      <c r="M850" s="13">
        <v>47</v>
      </c>
      <c r="N850" s="13">
        <v>2</v>
      </c>
      <c r="O850" s="13">
        <v>1</v>
      </c>
      <c r="P850" s="13" t="s">
        <v>76</v>
      </c>
      <c r="Q850" s="13">
        <v>4</v>
      </c>
      <c r="R850" s="13" t="s">
        <v>66</v>
      </c>
      <c r="S850" s="20">
        <v>2376</v>
      </c>
      <c r="T850" s="13">
        <v>26537</v>
      </c>
      <c r="U850" s="13">
        <v>1</v>
      </c>
      <c r="V850" s="13" t="s">
        <v>52</v>
      </c>
      <c r="W850" s="13" t="s">
        <v>59</v>
      </c>
      <c r="X850" s="13">
        <v>13</v>
      </c>
      <c r="Y850" s="13">
        <v>3</v>
      </c>
      <c r="Z850" s="13">
        <v>2</v>
      </c>
      <c r="AA850" s="13">
        <v>80</v>
      </c>
      <c r="AB850" s="13">
        <v>1</v>
      </c>
      <c r="AC850" s="13">
        <v>2</v>
      </c>
      <c r="AD850" s="13">
        <v>2</v>
      </c>
      <c r="AE850" s="13">
        <v>4</v>
      </c>
      <c r="AF850" s="14">
        <v>2</v>
      </c>
      <c r="AG850" s="13">
        <v>2</v>
      </c>
      <c r="AH850" s="13">
        <v>2</v>
      </c>
      <c r="AI850" s="13">
        <v>2</v>
      </c>
      <c r="AJ850" s="13" t="str">
        <f t="shared" si="13"/>
        <v>30-39</v>
      </c>
      <c r="AK850" s="13" t="str">
        <f>IF(tblCleanData[[#This Row],[MonthlyIncome]]&lt;5000, "Low Income", IF(tblCleanData[[#This Row],[MonthlyIncome]]&lt;15000, "Medium Income", "High Income"))</f>
        <v>Low Income</v>
      </c>
      <c r="AL850" s="13">
        <f>IF(tblCleanData[[#This Row],[Attrition]]="No", 0,1)</f>
        <v>0</v>
      </c>
      <c r="AM850" s="13">
        <f>IF(tblCleanData[[#This Row],[OverTime]] = "No", 0, 1)</f>
        <v>0</v>
      </c>
      <c r="AN850" s="13" t="str">
        <f>CHOOSE(tblCleanData[[#This Row],[Education]], "Below College","College","Bachelor","Master","Doctor")</f>
        <v>Master</v>
      </c>
      <c r="AO850" s="13" t="str">
        <f>VLOOKUP(tblCleanData[[#This Row],[EmployeeNumber]],tblHelpers[],15,TRUE)</f>
        <v>High Risk</v>
      </c>
      <c r="AP850" s="13">
        <f>VLOOKUP(tblCleanData[[#This Row],[EmployeeNumber]],tblHelpers[],14,0)</f>
        <v>56</v>
      </c>
    </row>
    <row r="851" spans="1:42" x14ac:dyDescent="0.25">
      <c r="A851" s="13">
        <v>43</v>
      </c>
      <c r="B851" s="13" t="s">
        <v>36</v>
      </c>
      <c r="C851" s="13" t="s">
        <v>37</v>
      </c>
      <c r="D851" s="13">
        <v>1372</v>
      </c>
      <c r="E851" s="13" t="s">
        <v>39</v>
      </c>
      <c r="F851" s="13">
        <v>9</v>
      </c>
      <c r="G851" s="13">
        <v>3</v>
      </c>
      <c r="H851" s="13" t="s">
        <v>206</v>
      </c>
      <c r="I851" s="13">
        <v>1</v>
      </c>
      <c r="J851" s="13">
        <v>1188</v>
      </c>
      <c r="K851" s="13">
        <v>1</v>
      </c>
      <c r="L851" s="13" t="s">
        <v>43</v>
      </c>
      <c r="M851" s="13">
        <v>85</v>
      </c>
      <c r="N851" s="13">
        <v>1</v>
      </c>
      <c r="O851" s="13">
        <v>2</v>
      </c>
      <c r="P851" s="13" t="s">
        <v>46</v>
      </c>
      <c r="Q851" s="13">
        <v>3</v>
      </c>
      <c r="R851" s="13" t="s">
        <v>48</v>
      </c>
      <c r="S851" s="20">
        <v>5346</v>
      </c>
      <c r="T851" s="13">
        <v>9489</v>
      </c>
      <c r="U851" s="13">
        <v>8</v>
      </c>
      <c r="V851" s="13" t="s">
        <v>52</v>
      </c>
      <c r="W851" s="13" t="s">
        <v>59</v>
      </c>
      <c r="X851" s="13">
        <v>13</v>
      </c>
      <c r="Y851" s="13">
        <v>3</v>
      </c>
      <c r="Z851" s="13">
        <v>2</v>
      </c>
      <c r="AA851" s="13">
        <v>80</v>
      </c>
      <c r="AB851" s="13">
        <v>0</v>
      </c>
      <c r="AC851" s="13">
        <v>7</v>
      </c>
      <c r="AD851" s="13">
        <v>2</v>
      </c>
      <c r="AE851" s="13">
        <v>2</v>
      </c>
      <c r="AF851" s="14">
        <v>4</v>
      </c>
      <c r="AG851" s="13">
        <v>3</v>
      </c>
      <c r="AH851" s="13">
        <v>1</v>
      </c>
      <c r="AI851" s="13">
        <v>3</v>
      </c>
      <c r="AJ851" s="13" t="str">
        <f t="shared" si="13"/>
        <v>40-49</v>
      </c>
      <c r="AK851" s="13" t="str">
        <f>IF(tblCleanData[[#This Row],[MonthlyIncome]]&lt;5000, "Low Income", IF(tblCleanData[[#This Row],[MonthlyIncome]]&lt;15000, "Medium Income", "High Income"))</f>
        <v>Medium Income</v>
      </c>
      <c r="AL851" s="13">
        <f>IF(tblCleanData[[#This Row],[Attrition]]="No", 0,1)</f>
        <v>1</v>
      </c>
      <c r="AM851" s="13">
        <f>IF(tblCleanData[[#This Row],[OverTime]] = "No", 0, 1)</f>
        <v>0</v>
      </c>
      <c r="AN851" s="13" t="str">
        <f>CHOOSE(tblCleanData[[#This Row],[Education]], "Below College","College","Bachelor","Master","Doctor")</f>
        <v>Bachelor</v>
      </c>
      <c r="AO851" s="13" t="str">
        <f>VLOOKUP(tblCleanData[[#This Row],[EmployeeNumber]],tblHelpers[],15,TRUE)</f>
        <v>Medium Risk</v>
      </c>
      <c r="AP851" s="13">
        <f>VLOOKUP(tblCleanData[[#This Row],[EmployeeNumber]],tblHelpers[],14,0)</f>
        <v>43</v>
      </c>
    </row>
    <row r="852" spans="1:42" x14ac:dyDescent="0.25">
      <c r="A852" s="13">
        <v>32</v>
      </c>
      <c r="B852" s="13" t="s">
        <v>59</v>
      </c>
      <c r="C852" s="13" t="s">
        <v>161</v>
      </c>
      <c r="D852" s="13">
        <v>862</v>
      </c>
      <c r="E852" s="13" t="s">
        <v>39</v>
      </c>
      <c r="F852" s="13">
        <v>2</v>
      </c>
      <c r="G852" s="13">
        <v>1</v>
      </c>
      <c r="H852" s="13" t="s">
        <v>42</v>
      </c>
      <c r="I852" s="13">
        <v>1</v>
      </c>
      <c r="J852" s="13">
        <v>1190</v>
      </c>
      <c r="K852" s="13">
        <v>3</v>
      </c>
      <c r="L852" s="13" t="s">
        <v>43</v>
      </c>
      <c r="M852" s="13">
        <v>76</v>
      </c>
      <c r="N852" s="13">
        <v>3</v>
      </c>
      <c r="O852" s="13">
        <v>1</v>
      </c>
      <c r="P852" s="13" t="s">
        <v>182</v>
      </c>
      <c r="Q852" s="13">
        <v>1</v>
      </c>
      <c r="R852" s="13" t="s">
        <v>109</v>
      </c>
      <c r="S852" s="20">
        <v>2827</v>
      </c>
      <c r="T852" s="13">
        <v>14947</v>
      </c>
      <c r="U852" s="13">
        <v>1</v>
      </c>
      <c r="V852" s="13" t="s">
        <v>52</v>
      </c>
      <c r="W852" s="13" t="s">
        <v>59</v>
      </c>
      <c r="X852" s="13">
        <v>12</v>
      </c>
      <c r="Y852" s="13">
        <v>3</v>
      </c>
      <c r="Z852" s="13">
        <v>3</v>
      </c>
      <c r="AA852" s="13">
        <v>80</v>
      </c>
      <c r="AB852" s="13">
        <v>3</v>
      </c>
      <c r="AC852" s="13">
        <v>1</v>
      </c>
      <c r="AD852" s="13">
        <v>3</v>
      </c>
      <c r="AE852" s="13">
        <v>3</v>
      </c>
      <c r="AF852" s="14">
        <v>1</v>
      </c>
      <c r="AG852" s="13">
        <v>0</v>
      </c>
      <c r="AH852" s="13">
        <v>0</v>
      </c>
      <c r="AI852" s="13">
        <v>0</v>
      </c>
      <c r="AJ852" s="13" t="str">
        <f t="shared" si="13"/>
        <v>30-39</v>
      </c>
      <c r="AK852" s="13" t="str">
        <f>IF(tblCleanData[[#This Row],[MonthlyIncome]]&lt;5000, "Low Income", IF(tblCleanData[[#This Row],[MonthlyIncome]]&lt;15000, "Medium Income", "High Income"))</f>
        <v>Low Income</v>
      </c>
      <c r="AL852" s="13">
        <f>IF(tblCleanData[[#This Row],[Attrition]]="No", 0,1)</f>
        <v>0</v>
      </c>
      <c r="AM852" s="13">
        <f>IF(tblCleanData[[#This Row],[OverTime]] = "No", 0, 1)</f>
        <v>0</v>
      </c>
      <c r="AN852" s="13" t="str">
        <f>CHOOSE(tblCleanData[[#This Row],[Education]], "Below College","College","Bachelor","Master","Doctor")</f>
        <v>Below College</v>
      </c>
      <c r="AO852" s="13" t="str">
        <f>VLOOKUP(tblCleanData[[#This Row],[EmployeeNumber]],tblHelpers[],15,TRUE)</f>
        <v>High Risk</v>
      </c>
      <c r="AP852" s="13">
        <f>VLOOKUP(tblCleanData[[#This Row],[EmployeeNumber]],tblHelpers[],14,0)</f>
        <v>75</v>
      </c>
    </row>
    <row r="853" spans="1:42" x14ac:dyDescent="0.25">
      <c r="A853" s="13">
        <v>56</v>
      </c>
      <c r="B853" s="13" t="s">
        <v>59</v>
      </c>
      <c r="C853" s="13" t="s">
        <v>37</v>
      </c>
      <c r="D853" s="13">
        <v>718</v>
      </c>
      <c r="E853" s="13" t="s">
        <v>62</v>
      </c>
      <c r="F853" s="13">
        <v>4</v>
      </c>
      <c r="G853" s="13">
        <v>4</v>
      </c>
      <c r="H853" s="13" t="s">
        <v>228</v>
      </c>
      <c r="I853" s="13">
        <v>1</v>
      </c>
      <c r="J853" s="13">
        <v>1191</v>
      </c>
      <c r="K853" s="13">
        <v>4</v>
      </c>
      <c r="L853" s="13" t="s">
        <v>43</v>
      </c>
      <c r="M853" s="13">
        <v>92</v>
      </c>
      <c r="N853" s="13">
        <v>3</v>
      </c>
      <c r="O853" s="13">
        <v>5</v>
      </c>
      <c r="P853" s="13" t="s">
        <v>169</v>
      </c>
      <c r="Q853" s="13">
        <v>1</v>
      </c>
      <c r="R853" s="13" t="s">
        <v>109</v>
      </c>
      <c r="S853" s="20">
        <v>19943</v>
      </c>
      <c r="T853" s="13">
        <v>18575</v>
      </c>
      <c r="U853" s="13">
        <v>4</v>
      </c>
      <c r="V853" s="13" t="s">
        <v>52</v>
      </c>
      <c r="W853" s="13" t="s">
        <v>59</v>
      </c>
      <c r="X853" s="13">
        <v>13</v>
      </c>
      <c r="Y853" s="13">
        <v>3</v>
      </c>
      <c r="Z853" s="13">
        <v>4</v>
      </c>
      <c r="AA853" s="13">
        <v>80</v>
      </c>
      <c r="AB853" s="13">
        <v>1</v>
      </c>
      <c r="AC853" s="13">
        <v>28</v>
      </c>
      <c r="AD853" s="13">
        <v>2</v>
      </c>
      <c r="AE853" s="13">
        <v>3</v>
      </c>
      <c r="AF853" s="14">
        <v>5</v>
      </c>
      <c r="AG853" s="13">
        <v>2</v>
      </c>
      <c r="AH853" s="13">
        <v>4</v>
      </c>
      <c r="AI853" s="13">
        <v>2</v>
      </c>
      <c r="AJ853" s="13" t="str">
        <f t="shared" si="13"/>
        <v>50+</v>
      </c>
      <c r="AK853" s="13" t="str">
        <f>IF(tblCleanData[[#This Row],[MonthlyIncome]]&lt;5000, "Low Income", IF(tblCleanData[[#This Row],[MonthlyIncome]]&lt;15000, "Medium Income", "High Income"))</f>
        <v>High Income</v>
      </c>
      <c r="AL853" s="13">
        <f>IF(tblCleanData[[#This Row],[Attrition]]="No", 0,1)</f>
        <v>0</v>
      </c>
      <c r="AM853" s="13">
        <f>IF(tblCleanData[[#This Row],[OverTime]] = "No", 0, 1)</f>
        <v>0</v>
      </c>
      <c r="AN853" s="13" t="str">
        <f>CHOOSE(tblCleanData[[#This Row],[Education]], "Below College","College","Bachelor","Master","Doctor")</f>
        <v>Master</v>
      </c>
      <c r="AO853" s="13" t="str">
        <f>VLOOKUP(tblCleanData[[#This Row],[EmployeeNumber]],tblHelpers[],15,TRUE)</f>
        <v>High Risk</v>
      </c>
      <c r="AP853" s="13">
        <f>VLOOKUP(tblCleanData[[#This Row],[EmployeeNumber]],tblHelpers[],14,0)</f>
        <v>60</v>
      </c>
    </row>
    <row r="854" spans="1:42" x14ac:dyDescent="0.25">
      <c r="A854" s="13">
        <v>29</v>
      </c>
      <c r="B854" s="13" t="s">
        <v>59</v>
      </c>
      <c r="C854" s="13" t="s">
        <v>37</v>
      </c>
      <c r="D854" s="13">
        <v>1401</v>
      </c>
      <c r="E854" s="13" t="s">
        <v>62</v>
      </c>
      <c r="F854" s="13">
        <v>6</v>
      </c>
      <c r="G854" s="13">
        <v>1</v>
      </c>
      <c r="H854" s="13" t="s">
        <v>87</v>
      </c>
      <c r="I854" s="13">
        <v>1</v>
      </c>
      <c r="J854" s="13">
        <v>1192</v>
      </c>
      <c r="K854" s="13">
        <v>2</v>
      </c>
      <c r="L854" s="13" t="s">
        <v>43</v>
      </c>
      <c r="M854" s="13">
        <v>54</v>
      </c>
      <c r="N854" s="13">
        <v>3</v>
      </c>
      <c r="O854" s="13">
        <v>1</v>
      </c>
      <c r="P854" s="13" t="s">
        <v>76</v>
      </c>
      <c r="Q854" s="13">
        <v>4</v>
      </c>
      <c r="R854" s="13" t="s">
        <v>66</v>
      </c>
      <c r="S854" s="20">
        <v>3131</v>
      </c>
      <c r="T854" s="13">
        <v>26342</v>
      </c>
      <c r="U854" s="13">
        <v>1</v>
      </c>
      <c r="V854" s="13" t="s">
        <v>52</v>
      </c>
      <c r="W854" s="13" t="s">
        <v>59</v>
      </c>
      <c r="X854" s="13">
        <v>13</v>
      </c>
      <c r="Y854" s="13">
        <v>3</v>
      </c>
      <c r="Z854" s="13">
        <v>1</v>
      </c>
      <c r="AA854" s="13">
        <v>80</v>
      </c>
      <c r="AB854" s="13">
        <v>1</v>
      </c>
      <c r="AC854" s="13">
        <v>10</v>
      </c>
      <c r="AD854" s="13">
        <v>5</v>
      </c>
      <c r="AE854" s="13">
        <v>3</v>
      </c>
      <c r="AF854" s="14">
        <v>10</v>
      </c>
      <c r="AG854" s="13">
        <v>8</v>
      </c>
      <c r="AH854" s="13">
        <v>0</v>
      </c>
      <c r="AI854" s="13">
        <v>8</v>
      </c>
      <c r="AJ854" s="13" t="str">
        <f t="shared" si="13"/>
        <v>Under 30</v>
      </c>
      <c r="AK854" s="13" t="str">
        <f>IF(tblCleanData[[#This Row],[MonthlyIncome]]&lt;5000, "Low Income", IF(tblCleanData[[#This Row],[MonthlyIncome]]&lt;15000, "Medium Income", "High Income"))</f>
        <v>Low Income</v>
      </c>
      <c r="AL854" s="13">
        <f>IF(tblCleanData[[#This Row],[Attrition]]="No", 0,1)</f>
        <v>0</v>
      </c>
      <c r="AM854" s="13">
        <f>IF(tblCleanData[[#This Row],[OverTime]] = "No", 0, 1)</f>
        <v>0</v>
      </c>
      <c r="AN854" s="13" t="str">
        <f>CHOOSE(tblCleanData[[#This Row],[Education]], "Below College","College","Bachelor","Master","Doctor")</f>
        <v>Below College</v>
      </c>
      <c r="AO854" s="13" t="str">
        <f>VLOOKUP(tblCleanData[[#This Row],[EmployeeNumber]],tblHelpers[],15,TRUE)</f>
        <v>Medium Risk</v>
      </c>
      <c r="AP854" s="13">
        <f>VLOOKUP(tblCleanData[[#This Row],[EmployeeNumber]],tblHelpers[],14,0)</f>
        <v>49</v>
      </c>
    </row>
    <row r="855" spans="1:42" x14ac:dyDescent="0.25">
      <c r="A855" s="13">
        <v>19</v>
      </c>
      <c r="B855" s="13" t="s">
        <v>59</v>
      </c>
      <c r="C855" s="13" t="s">
        <v>37</v>
      </c>
      <c r="D855" s="13">
        <v>645</v>
      </c>
      <c r="E855" s="13" t="s">
        <v>62</v>
      </c>
      <c r="F855" s="13">
        <v>9</v>
      </c>
      <c r="G855" s="13">
        <v>2</v>
      </c>
      <c r="H855" s="13" t="s">
        <v>42</v>
      </c>
      <c r="I855" s="13">
        <v>1</v>
      </c>
      <c r="J855" s="13">
        <v>1193</v>
      </c>
      <c r="K855" s="13">
        <v>3</v>
      </c>
      <c r="L855" s="13" t="s">
        <v>63</v>
      </c>
      <c r="M855" s="13">
        <v>54</v>
      </c>
      <c r="N855" s="13">
        <v>3</v>
      </c>
      <c r="O855" s="13">
        <v>1</v>
      </c>
      <c r="P855" s="13" t="s">
        <v>65</v>
      </c>
      <c r="Q855" s="13">
        <v>1</v>
      </c>
      <c r="R855" s="13" t="s">
        <v>48</v>
      </c>
      <c r="S855" s="20">
        <v>2552</v>
      </c>
      <c r="T855" s="13">
        <v>7172</v>
      </c>
      <c r="U855" s="13">
        <v>1</v>
      </c>
      <c r="V855" s="13" t="s">
        <v>52</v>
      </c>
      <c r="W855" s="13" t="s">
        <v>59</v>
      </c>
      <c r="X855" s="13">
        <v>25</v>
      </c>
      <c r="Y855" s="13">
        <v>4</v>
      </c>
      <c r="Z855" s="13">
        <v>3</v>
      </c>
      <c r="AA855" s="13">
        <v>80</v>
      </c>
      <c r="AB855" s="13">
        <v>0</v>
      </c>
      <c r="AC855" s="13">
        <v>1</v>
      </c>
      <c r="AD855" s="13">
        <v>4</v>
      </c>
      <c r="AE855" s="13">
        <v>3</v>
      </c>
      <c r="AF855" s="14">
        <v>1</v>
      </c>
      <c r="AG855" s="13">
        <v>1</v>
      </c>
      <c r="AH855" s="13">
        <v>0</v>
      </c>
      <c r="AI855" s="13">
        <v>0</v>
      </c>
      <c r="AJ855" s="13" t="str">
        <f t="shared" si="13"/>
        <v>Under 30</v>
      </c>
      <c r="AK855" s="13" t="str">
        <f>IF(tblCleanData[[#This Row],[MonthlyIncome]]&lt;5000, "Low Income", IF(tblCleanData[[#This Row],[MonthlyIncome]]&lt;15000, "Medium Income", "High Income"))</f>
        <v>Low Income</v>
      </c>
      <c r="AL855" s="13">
        <f>IF(tblCleanData[[#This Row],[Attrition]]="No", 0,1)</f>
        <v>0</v>
      </c>
      <c r="AM855" s="13">
        <f>IF(tblCleanData[[#This Row],[OverTime]] = "No", 0, 1)</f>
        <v>0</v>
      </c>
      <c r="AN855" s="13" t="str">
        <f>CHOOSE(tblCleanData[[#This Row],[Education]], "Below College","College","Bachelor","Master","Doctor")</f>
        <v>College</v>
      </c>
      <c r="AO855" s="13" t="str">
        <f>VLOOKUP(tblCleanData[[#This Row],[EmployeeNumber]],tblHelpers[],15,TRUE)</f>
        <v>High Risk</v>
      </c>
      <c r="AP855" s="13">
        <f>VLOOKUP(tblCleanData[[#This Row],[EmployeeNumber]],tblHelpers[],14,0)</f>
        <v>85</v>
      </c>
    </row>
    <row r="856" spans="1:42" x14ac:dyDescent="0.25">
      <c r="A856" s="13">
        <v>45</v>
      </c>
      <c r="B856" s="13" t="s">
        <v>59</v>
      </c>
      <c r="C856" s="13" t="s">
        <v>37</v>
      </c>
      <c r="D856" s="13">
        <v>1457</v>
      </c>
      <c r="E856" s="13" t="s">
        <v>62</v>
      </c>
      <c r="F856" s="13">
        <v>7</v>
      </c>
      <c r="G856" s="13">
        <v>3</v>
      </c>
      <c r="H856" s="13" t="s">
        <v>87</v>
      </c>
      <c r="I856" s="13">
        <v>1</v>
      </c>
      <c r="J856" s="13">
        <v>1195</v>
      </c>
      <c r="K856" s="13">
        <v>1</v>
      </c>
      <c r="L856" s="13" t="s">
        <v>43</v>
      </c>
      <c r="M856" s="13">
        <v>83</v>
      </c>
      <c r="N856" s="13">
        <v>3</v>
      </c>
      <c r="O856" s="13">
        <v>1</v>
      </c>
      <c r="P856" s="13" t="s">
        <v>65</v>
      </c>
      <c r="Q856" s="13">
        <v>3</v>
      </c>
      <c r="R856" s="13" t="s">
        <v>66</v>
      </c>
      <c r="S856" s="20">
        <v>4477</v>
      </c>
      <c r="T856" s="13">
        <v>20100</v>
      </c>
      <c r="U856" s="13">
        <v>4</v>
      </c>
      <c r="V856" s="13" t="s">
        <v>52</v>
      </c>
      <c r="W856" s="13" t="s">
        <v>36</v>
      </c>
      <c r="X856" s="13">
        <v>19</v>
      </c>
      <c r="Y856" s="13">
        <v>3</v>
      </c>
      <c r="Z856" s="13">
        <v>3</v>
      </c>
      <c r="AA856" s="13">
        <v>80</v>
      </c>
      <c r="AB856" s="13">
        <v>1</v>
      </c>
      <c r="AC856" s="13">
        <v>7</v>
      </c>
      <c r="AD856" s="13">
        <v>2</v>
      </c>
      <c r="AE856" s="13">
        <v>2</v>
      </c>
      <c r="AF856" s="14">
        <v>3</v>
      </c>
      <c r="AG856" s="13">
        <v>2</v>
      </c>
      <c r="AH856" s="13">
        <v>0</v>
      </c>
      <c r="AI856" s="13">
        <v>2</v>
      </c>
      <c r="AJ856" s="13" t="str">
        <f t="shared" si="13"/>
        <v>40-49</v>
      </c>
      <c r="AK856" s="13" t="str">
        <f>IF(tblCleanData[[#This Row],[MonthlyIncome]]&lt;5000, "Low Income", IF(tblCleanData[[#This Row],[MonthlyIncome]]&lt;15000, "Medium Income", "High Income"))</f>
        <v>Low Income</v>
      </c>
      <c r="AL856" s="13">
        <f>IF(tblCleanData[[#This Row],[Attrition]]="No", 0,1)</f>
        <v>0</v>
      </c>
      <c r="AM856" s="13">
        <f>IF(tblCleanData[[#This Row],[OverTime]] = "No", 0, 1)</f>
        <v>1</v>
      </c>
      <c r="AN856" s="13" t="str">
        <f>CHOOSE(tblCleanData[[#This Row],[Education]], "Below College","College","Bachelor","Master","Doctor")</f>
        <v>Bachelor</v>
      </c>
      <c r="AO856" s="13" t="str">
        <f>VLOOKUP(tblCleanData[[#This Row],[EmployeeNumber]],tblHelpers[],15,TRUE)</f>
        <v>High Risk</v>
      </c>
      <c r="AP856" s="13">
        <f>VLOOKUP(tblCleanData[[#This Row],[EmployeeNumber]],tblHelpers[],14,0)</f>
        <v>68</v>
      </c>
    </row>
    <row r="857" spans="1:42" x14ac:dyDescent="0.25">
      <c r="A857" s="13">
        <v>37</v>
      </c>
      <c r="B857" s="13" t="s">
        <v>59</v>
      </c>
      <c r="C857" s="13" t="s">
        <v>37</v>
      </c>
      <c r="D857" s="13">
        <v>977</v>
      </c>
      <c r="E857" s="13" t="s">
        <v>62</v>
      </c>
      <c r="F857" s="13">
        <v>1</v>
      </c>
      <c r="G857" s="13">
        <v>3</v>
      </c>
      <c r="H857" s="13" t="s">
        <v>42</v>
      </c>
      <c r="I857" s="13">
        <v>1</v>
      </c>
      <c r="J857" s="13">
        <v>1196</v>
      </c>
      <c r="K857" s="13">
        <v>4</v>
      </c>
      <c r="L857" s="13" t="s">
        <v>43</v>
      </c>
      <c r="M857" s="13">
        <v>56</v>
      </c>
      <c r="N857" s="13">
        <v>2</v>
      </c>
      <c r="O857" s="13">
        <v>2</v>
      </c>
      <c r="P857" s="13" t="s">
        <v>116</v>
      </c>
      <c r="Q857" s="13">
        <v>4</v>
      </c>
      <c r="R857" s="13" t="s">
        <v>66</v>
      </c>
      <c r="S857" s="20">
        <v>6474</v>
      </c>
      <c r="T857" s="13">
        <v>9961</v>
      </c>
      <c r="U857" s="13">
        <v>1</v>
      </c>
      <c r="V857" s="13" t="s">
        <v>52</v>
      </c>
      <c r="W857" s="13" t="s">
        <v>59</v>
      </c>
      <c r="X857" s="13">
        <v>13</v>
      </c>
      <c r="Y857" s="13">
        <v>3</v>
      </c>
      <c r="Z857" s="13">
        <v>2</v>
      </c>
      <c r="AA857" s="13">
        <v>80</v>
      </c>
      <c r="AB857" s="13">
        <v>1</v>
      </c>
      <c r="AC857" s="13">
        <v>14</v>
      </c>
      <c r="AD857" s="13">
        <v>2</v>
      </c>
      <c r="AE857" s="13">
        <v>2</v>
      </c>
      <c r="AF857" s="14">
        <v>14</v>
      </c>
      <c r="AG857" s="13">
        <v>8</v>
      </c>
      <c r="AH857" s="13">
        <v>3</v>
      </c>
      <c r="AI857" s="13">
        <v>11</v>
      </c>
      <c r="AJ857" s="13" t="str">
        <f t="shared" si="13"/>
        <v>30-39</v>
      </c>
      <c r="AK857" s="13" t="str">
        <f>IF(tblCleanData[[#This Row],[MonthlyIncome]]&lt;5000, "Low Income", IF(tblCleanData[[#This Row],[MonthlyIncome]]&lt;15000, "Medium Income", "High Income"))</f>
        <v>Medium Income</v>
      </c>
      <c r="AL857" s="13">
        <f>IF(tblCleanData[[#This Row],[Attrition]]="No", 0,1)</f>
        <v>0</v>
      </c>
      <c r="AM857" s="13">
        <f>IF(tblCleanData[[#This Row],[OverTime]] = "No", 0, 1)</f>
        <v>0</v>
      </c>
      <c r="AN857" s="13" t="str">
        <f>CHOOSE(tblCleanData[[#This Row],[Education]], "Below College","College","Bachelor","Master","Doctor")</f>
        <v>Bachelor</v>
      </c>
      <c r="AO857" s="13" t="str">
        <f>VLOOKUP(tblCleanData[[#This Row],[EmployeeNumber]],tblHelpers[],15,TRUE)</f>
        <v>Low Risk</v>
      </c>
      <c r="AP857" s="13">
        <f>VLOOKUP(tblCleanData[[#This Row],[EmployeeNumber]],tblHelpers[],14,0)</f>
        <v>34</v>
      </c>
    </row>
    <row r="858" spans="1:42" x14ac:dyDescent="0.25">
      <c r="A858" s="13">
        <v>20</v>
      </c>
      <c r="B858" s="13" t="s">
        <v>59</v>
      </c>
      <c r="C858" s="13" t="s">
        <v>37</v>
      </c>
      <c r="D858" s="13">
        <v>805</v>
      </c>
      <c r="E858" s="13" t="s">
        <v>62</v>
      </c>
      <c r="F858" s="13">
        <v>3</v>
      </c>
      <c r="G858" s="13">
        <v>3</v>
      </c>
      <c r="H858" s="13" t="s">
        <v>42</v>
      </c>
      <c r="I858" s="13">
        <v>1</v>
      </c>
      <c r="J858" s="13">
        <v>1198</v>
      </c>
      <c r="K858" s="13">
        <v>1</v>
      </c>
      <c r="L858" s="13" t="s">
        <v>63</v>
      </c>
      <c r="M858" s="13">
        <v>87</v>
      </c>
      <c r="N858" s="13">
        <v>2</v>
      </c>
      <c r="O858" s="13">
        <v>1</v>
      </c>
      <c r="P858" s="13" t="s">
        <v>76</v>
      </c>
      <c r="Q858" s="13">
        <v>3</v>
      </c>
      <c r="R858" s="13" t="s">
        <v>48</v>
      </c>
      <c r="S858" s="20">
        <v>3033</v>
      </c>
      <c r="T858" s="13">
        <v>12828</v>
      </c>
      <c r="U858" s="13">
        <v>1</v>
      </c>
      <c r="V858" s="13" t="s">
        <v>52</v>
      </c>
      <c r="W858" s="13" t="s">
        <v>59</v>
      </c>
      <c r="X858" s="13">
        <v>12</v>
      </c>
      <c r="Y858" s="13">
        <v>3</v>
      </c>
      <c r="Z858" s="13">
        <v>1</v>
      </c>
      <c r="AA858" s="13">
        <v>80</v>
      </c>
      <c r="AB858" s="13">
        <v>0</v>
      </c>
      <c r="AC858" s="13">
        <v>2</v>
      </c>
      <c r="AD858" s="13">
        <v>2</v>
      </c>
      <c r="AE858" s="13">
        <v>2</v>
      </c>
      <c r="AF858" s="14">
        <v>2</v>
      </c>
      <c r="AG858" s="13">
        <v>2</v>
      </c>
      <c r="AH858" s="13">
        <v>1</v>
      </c>
      <c r="AI858" s="13">
        <v>2</v>
      </c>
      <c r="AJ858" s="13" t="str">
        <f t="shared" si="13"/>
        <v>Under 30</v>
      </c>
      <c r="AK858" s="13" t="str">
        <f>IF(tblCleanData[[#This Row],[MonthlyIncome]]&lt;5000, "Low Income", IF(tblCleanData[[#This Row],[MonthlyIncome]]&lt;15000, "Medium Income", "High Income"))</f>
        <v>Low Income</v>
      </c>
      <c r="AL858" s="13">
        <f>IF(tblCleanData[[#This Row],[Attrition]]="No", 0,1)</f>
        <v>0</v>
      </c>
      <c r="AM858" s="13">
        <f>IF(tblCleanData[[#This Row],[OverTime]] = "No", 0, 1)</f>
        <v>0</v>
      </c>
      <c r="AN858" s="13" t="str">
        <f>CHOOSE(tblCleanData[[#This Row],[Education]], "Below College","College","Bachelor","Master","Doctor")</f>
        <v>Bachelor</v>
      </c>
      <c r="AO858" s="13" t="str">
        <f>VLOOKUP(tblCleanData[[#This Row],[EmployeeNumber]],tblHelpers[],15,TRUE)</f>
        <v>High Risk</v>
      </c>
      <c r="AP858" s="13">
        <f>VLOOKUP(tblCleanData[[#This Row],[EmployeeNumber]],tblHelpers[],14,0)</f>
        <v>73</v>
      </c>
    </row>
    <row r="859" spans="1:42" x14ac:dyDescent="0.25">
      <c r="A859" s="13">
        <v>44</v>
      </c>
      <c r="B859" s="13" t="s">
        <v>36</v>
      </c>
      <c r="C859" s="13" t="s">
        <v>37</v>
      </c>
      <c r="D859" s="13">
        <v>1097</v>
      </c>
      <c r="E859" s="13" t="s">
        <v>62</v>
      </c>
      <c r="F859" s="13">
        <v>10</v>
      </c>
      <c r="G859" s="13">
        <v>4</v>
      </c>
      <c r="H859" s="13" t="s">
        <v>42</v>
      </c>
      <c r="I859" s="13">
        <v>1</v>
      </c>
      <c r="J859" s="13">
        <v>1200</v>
      </c>
      <c r="K859" s="13">
        <v>3</v>
      </c>
      <c r="L859" s="13" t="s">
        <v>63</v>
      </c>
      <c r="M859" s="13">
        <v>96</v>
      </c>
      <c r="N859" s="13">
        <v>3</v>
      </c>
      <c r="O859" s="13">
        <v>1</v>
      </c>
      <c r="P859" s="13" t="s">
        <v>65</v>
      </c>
      <c r="Q859" s="13">
        <v>3</v>
      </c>
      <c r="R859" s="13" t="s">
        <v>48</v>
      </c>
      <c r="S859" s="20">
        <v>2936</v>
      </c>
      <c r="T859" s="13">
        <v>10826</v>
      </c>
      <c r="U859" s="13">
        <v>1</v>
      </c>
      <c r="V859" s="13" t="s">
        <v>52</v>
      </c>
      <c r="W859" s="13" t="s">
        <v>36</v>
      </c>
      <c r="X859" s="13">
        <v>11</v>
      </c>
      <c r="Y859" s="13">
        <v>3</v>
      </c>
      <c r="Z859" s="13">
        <v>3</v>
      </c>
      <c r="AA859" s="13">
        <v>80</v>
      </c>
      <c r="AB859" s="13">
        <v>0</v>
      </c>
      <c r="AC859" s="13">
        <v>6</v>
      </c>
      <c r="AD859" s="13">
        <v>4</v>
      </c>
      <c r="AE859" s="13">
        <v>3</v>
      </c>
      <c r="AF859" s="14">
        <v>6</v>
      </c>
      <c r="AG859" s="13">
        <v>4</v>
      </c>
      <c r="AH859" s="13">
        <v>0</v>
      </c>
      <c r="AI859" s="13">
        <v>2</v>
      </c>
      <c r="AJ859" s="13" t="str">
        <f t="shared" si="13"/>
        <v>40-49</v>
      </c>
      <c r="AK859" s="13" t="str">
        <f>IF(tblCleanData[[#This Row],[MonthlyIncome]]&lt;5000, "Low Income", IF(tblCleanData[[#This Row],[MonthlyIncome]]&lt;15000, "Medium Income", "High Income"))</f>
        <v>Low Income</v>
      </c>
      <c r="AL859" s="13">
        <f>IF(tblCleanData[[#This Row],[Attrition]]="No", 0,1)</f>
        <v>1</v>
      </c>
      <c r="AM859" s="13">
        <f>IF(tblCleanData[[#This Row],[OverTime]] = "No", 0, 1)</f>
        <v>1</v>
      </c>
      <c r="AN859" s="13" t="str">
        <f>CHOOSE(tblCleanData[[#This Row],[Education]], "Below College","College","Bachelor","Master","Doctor")</f>
        <v>Master</v>
      </c>
      <c r="AO859" s="13" t="str">
        <f>VLOOKUP(tblCleanData[[#This Row],[EmployeeNumber]],tblHelpers[],15,TRUE)</f>
        <v>High Risk</v>
      </c>
      <c r="AP859" s="13">
        <f>VLOOKUP(tblCleanData[[#This Row],[EmployeeNumber]],tblHelpers[],14,0)</f>
        <v>61</v>
      </c>
    </row>
    <row r="860" spans="1:42" x14ac:dyDescent="0.25">
      <c r="A860" s="13">
        <v>53</v>
      </c>
      <c r="B860" s="13" t="s">
        <v>59</v>
      </c>
      <c r="C860" s="13" t="s">
        <v>37</v>
      </c>
      <c r="D860" s="13">
        <v>1223</v>
      </c>
      <c r="E860" s="13" t="s">
        <v>62</v>
      </c>
      <c r="F860" s="13">
        <v>7</v>
      </c>
      <c r="G860" s="13">
        <v>2</v>
      </c>
      <c r="H860" s="13" t="s">
        <v>87</v>
      </c>
      <c r="I860" s="13">
        <v>1</v>
      </c>
      <c r="J860" s="13">
        <v>1201</v>
      </c>
      <c r="K860" s="13">
        <v>4</v>
      </c>
      <c r="L860" s="13" t="s">
        <v>43</v>
      </c>
      <c r="M860" s="13">
        <v>50</v>
      </c>
      <c r="N860" s="13">
        <v>3</v>
      </c>
      <c r="O860" s="13">
        <v>5</v>
      </c>
      <c r="P860" s="13" t="s">
        <v>169</v>
      </c>
      <c r="Q860" s="13">
        <v>3</v>
      </c>
      <c r="R860" s="13" t="s">
        <v>109</v>
      </c>
      <c r="S860" s="20">
        <v>18606</v>
      </c>
      <c r="T860" s="13">
        <v>18640</v>
      </c>
      <c r="U860" s="13">
        <v>3</v>
      </c>
      <c r="V860" s="13" t="s">
        <v>52</v>
      </c>
      <c r="W860" s="13" t="s">
        <v>59</v>
      </c>
      <c r="X860" s="13">
        <v>18</v>
      </c>
      <c r="Y860" s="13">
        <v>3</v>
      </c>
      <c r="Z860" s="13">
        <v>2</v>
      </c>
      <c r="AA860" s="13">
        <v>80</v>
      </c>
      <c r="AB860" s="13">
        <v>1</v>
      </c>
      <c r="AC860" s="13">
        <v>26</v>
      </c>
      <c r="AD860" s="13">
        <v>6</v>
      </c>
      <c r="AE860" s="13">
        <v>3</v>
      </c>
      <c r="AF860" s="14">
        <v>7</v>
      </c>
      <c r="AG860" s="13">
        <v>7</v>
      </c>
      <c r="AH860" s="13">
        <v>4</v>
      </c>
      <c r="AI860" s="13">
        <v>7</v>
      </c>
      <c r="AJ860" s="13" t="str">
        <f t="shared" si="13"/>
        <v>50+</v>
      </c>
      <c r="AK860" s="13" t="str">
        <f>IF(tblCleanData[[#This Row],[MonthlyIncome]]&lt;5000, "Low Income", IF(tblCleanData[[#This Row],[MonthlyIncome]]&lt;15000, "Medium Income", "High Income"))</f>
        <v>High Income</v>
      </c>
      <c r="AL860" s="13">
        <f>IF(tblCleanData[[#This Row],[Attrition]]="No", 0,1)</f>
        <v>0</v>
      </c>
      <c r="AM860" s="13">
        <f>IF(tblCleanData[[#This Row],[OverTime]] = "No", 0, 1)</f>
        <v>0</v>
      </c>
      <c r="AN860" s="13" t="str">
        <f>CHOOSE(tblCleanData[[#This Row],[Education]], "Below College","College","Bachelor","Master","Doctor")</f>
        <v>College</v>
      </c>
      <c r="AO860" s="13" t="str">
        <f>VLOOKUP(tblCleanData[[#This Row],[EmployeeNumber]],tblHelpers[],15,TRUE)</f>
        <v>Medium Risk</v>
      </c>
      <c r="AP860" s="13">
        <f>VLOOKUP(tblCleanData[[#This Row],[EmployeeNumber]],tblHelpers[],14,0)</f>
        <v>41</v>
      </c>
    </row>
    <row r="861" spans="1:42" x14ac:dyDescent="0.25">
      <c r="A861" s="13">
        <v>29</v>
      </c>
      <c r="B861" s="13" t="s">
        <v>59</v>
      </c>
      <c r="C861" s="13" t="s">
        <v>37</v>
      </c>
      <c r="D861" s="13">
        <v>942</v>
      </c>
      <c r="E861" s="13" t="s">
        <v>62</v>
      </c>
      <c r="F861" s="13">
        <v>15</v>
      </c>
      <c r="G861" s="13">
        <v>1</v>
      </c>
      <c r="H861" s="13" t="s">
        <v>42</v>
      </c>
      <c r="I861" s="13">
        <v>1</v>
      </c>
      <c r="J861" s="13">
        <v>1202</v>
      </c>
      <c r="K861" s="13">
        <v>2</v>
      </c>
      <c r="L861" s="13" t="s">
        <v>43</v>
      </c>
      <c r="M861" s="13">
        <v>69</v>
      </c>
      <c r="N861" s="13">
        <v>1</v>
      </c>
      <c r="O861" s="13">
        <v>1</v>
      </c>
      <c r="P861" s="13" t="s">
        <v>65</v>
      </c>
      <c r="Q861" s="13">
        <v>4</v>
      </c>
      <c r="R861" s="13" t="s">
        <v>66</v>
      </c>
      <c r="S861" s="20">
        <v>2168</v>
      </c>
      <c r="T861" s="13">
        <v>26933</v>
      </c>
      <c r="U861" s="13">
        <v>0</v>
      </c>
      <c r="V861" s="13" t="s">
        <v>52</v>
      </c>
      <c r="W861" s="13" t="s">
        <v>36</v>
      </c>
      <c r="X861" s="13">
        <v>18</v>
      </c>
      <c r="Y861" s="13">
        <v>3</v>
      </c>
      <c r="Z861" s="13">
        <v>1</v>
      </c>
      <c r="AA861" s="13">
        <v>80</v>
      </c>
      <c r="AB861" s="13">
        <v>1</v>
      </c>
      <c r="AC861" s="13">
        <v>6</v>
      </c>
      <c r="AD861" s="13">
        <v>2</v>
      </c>
      <c r="AE861" s="13">
        <v>2</v>
      </c>
      <c r="AF861" s="14">
        <v>5</v>
      </c>
      <c r="AG861" s="13">
        <v>4</v>
      </c>
      <c r="AH861" s="13">
        <v>1</v>
      </c>
      <c r="AI861" s="13">
        <v>3</v>
      </c>
      <c r="AJ861" s="13" t="str">
        <f t="shared" si="13"/>
        <v>Under 30</v>
      </c>
      <c r="AK861" s="13" t="str">
        <f>IF(tblCleanData[[#This Row],[MonthlyIncome]]&lt;5000, "Low Income", IF(tblCleanData[[#This Row],[MonthlyIncome]]&lt;15000, "Medium Income", "High Income"))</f>
        <v>Low Income</v>
      </c>
      <c r="AL861" s="13">
        <f>IF(tblCleanData[[#This Row],[Attrition]]="No", 0,1)</f>
        <v>0</v>
      </c>
      <c r="AM861" s="13">
        <f>IF(tblCleanData[[#This Row],[OverTime]] = "No", 0, 1)</f>
        <v>1</v>
      </c>
      <c r="AN861" s="13" t="str">
        <f>CHOOSE(tblCleanData[[#This Row],[Education]], "Below College","College","Bachelor","Master","Doctor")</f>
        <v>Below College</v>
      </c>
      <c r="AO861" s="13" t="str">
        <f>VLOOKUP(tblCleanData[[#This Row],[EmployeeNumber]],tblHelpers[],15,TRUE)</f>
        <v>High Risk</v>
      </c>
      <c r="AP861" s="13">
        <f>VLOOKUP(tblCleanData[[#This Row],[EmployeeNumber]],tblHelpers[],14,0)</f>
        <v>81</v>
      </c>
    </row>
    <row r="862" spans="1:42" x14ac:dyDescent="0.25">
      <c r="A862" s="13">
        <v>22</v>
      </c>
      <c r="B862" s="13" t="s">
        <v>36</v>
      </c>
      <c r="C862" s="13" t="s">
        <v>60</v>
      </c>
      <c r="D862" s="13">
        <v>1256</v>
      </c>
      <c r="E862" s="13" t="s">
        <v>62</v>
      </c>
      <c r="F862" s="13">
        <v>3</v>
      </c>
      <c r="G862" s="13">
        <v>4</v>
      </c>
      <c r="H862" s="13" t="s">
        <v>42</v>
      </c>
      <c r="I862" s="13">
        <v>1</v>
      </c>
      <c r="J862" s="13">
        <v>1203</v>
      </c>
      <c r="K862" s="13">
        <v>3</v>
      </c>
      <c r="L862" s="13" t="s">
        <v>63</v>
      </c>
      <c r="M862" s="13">
        <v>48</v>
      </c>
      <c r="N862" s="13">
        <v>2</v>
      </c>
      <c r="O862" s="13">
        <v>1</v>
      </c>
      <c r="P862" s="13" t="s">
        <v>65</v>
      </c>
      <c r="Q862" s="13">
        <v>4</v>
      </c>
      <c r="R862" s="13" t="s">
        <v>66</v>
      </c>
      <c r="S862" s="20">
        <v>2853</v>
      </c>
      <c r="T862" s="13">
        <v>4223</v>
      </c>
      <c r="U862" s="13">
        <v>0</v>
      </c>
      <c r="V862" s="13" t="s">
        <v>52</v>
      </c>
      <c r="W862" s="13" t="s">
        <v>36</v>
      </c>
      <c r="X862" s="13">
        <v>11</v>
      </c>
      <c r="Y862" s="13">
        <v>3</v>
      </c>
      <c r="Z862" s="13">
        <v>2</v>
      </c>
      <c r="AA862" s="13">
        <v>80</v>
      </c>
      <c r="AB862" s="13">
        <v>1</v>
      </c>
      <c r="AC862" s="13">
        <v>1</v>
      </c>
      <c r="AD862" s="13">
        <v>5</v>
      </c>
      <c r="AE862" s="13">
        <v>3</v>
      </c>
      <c r="AF862" s="14">
        <v>0</v>
      </c>
      <c r="AG862" s="13">
        <v>0</v>
      </c>
      <c r="AH862" s="13">
        <v>0</v>
      </c>
      <c r="AI862" s="13">
        <v>0</v>
      </c>
      <c r="AJ862" s="13" t="str">
        <f t="shared" si="13"/>
        <v>Under 30</v>
      </c>
      <c r="AK862" s="13" t="str">
        <f>IF(tblCleanData[[#This Row],[MonthlyIncome]]&lt;5000, "Low Income", IF(tblCleanData[[#This Row],[MonthlyIncome]]&lt;15000, "Medium Income", "High Income"))</f>
        <v>Low Income</v>
      </c>
      <c r="AL862" s="13">
        <f>IF(tblCleanData[[#This Row],[Attrition]]="No", 0,1)</f>
        <v>1</v>
      </c>
      <c r="AM862" s="13">
        <f>IF(tblCleanData[[#This Row],[OverTime]] = "No", 0, 1)</f>
        <v>1</v>
      </c>
      <c r="AN862" s="13" t="str">
        <f>CHOOSE(tblCleanData[[#This Row],[Education]], "Below College","College","Bachelor","Master","Doctor")</f>
        <v>Master</v>
      </c>
      <c r="AO862" s="13" t="str">
        <f>VLOOKUP(tblCleanData[[#This Row],[EmployeeNumber]],tblHelpers[],15,TRUE)</f>
        <v>High Risk</v>
      </c>
      <c r="AP862" s="13">
        <f>VLOOKUP(tblCleanData[[#This Row],[EmployeeNumber]],tblHelpers[],14,0)</f>
        <v>91</v>
      </c>
    </row>
    <row r="863" spans="1:42" x14ac:dyDescent="0.25">
      <c r="A863" s="13">
        <v>46</v>
      </c>
      <c r="B863" s="13" t="s">
        <v>59</v>
      </c>
      <c r="C863" s="13" t="s">
        <v>37</v>
      </c>
      <c r="D863" s="13">
        <v>1402</v>
      </c>
      <c r="E863" s="13" t="s">
        <v>39</v>
      </c>
      <c r="F863" s="13">
        <v>2</v>
      </c>
      <c r="G863" s="13">
        <v>3</v>
      </c>
      <c r="H863" s="13" t="s">
        <v>206</v>
      </c>
      <c r="I863" s="13">
        <v>1</v>
      </c>
      <c r="J863" s="13">
        <v>1204</v>
      </c>
      <c r="K863" s="13">
        <v>3</v>
      </c>
      <c r="L863" s="13" t="s">
        <v>43</v>
      </c>
      <c r="M863" s="13">
        <v>69</v>
      </c>
      <c r="N863" s="13">
        <v>3</v>
      </c>
      <c r="O863" s="13">
        <v>4</v>
      </c>
      <c r="P863" s="13" t="s">
        <v>169</v>
      </c>
      <c r="Q863" s="13">
        <v>1</v>
      </c>
      <c r="R863" s="13" t="s">
        <v>66</v>
      </c>
      <c r="S863" s="20">
        <v>17048</v>
      </c>
      <c r="T863" s="13">
        <v>24097</v>
      </c>
      <c r="U863" s="13">
        <v>8</v>
      </c>
      <c r="V863" s="13" t="s">
        <v>52</v>
      </c>
      <c r="W863" s="13" t="s">
        <v>59</v>
      </c>
      <c r="X863" s="13">
        <v>23</v>
      </c>
      <c r="Y863" s="13">
        <v>4</v>
      </c>
      <c r="Z863" s="13">
        <v>1</v>
      </c>
      <c r="AA863" s="13">
        <v>80</v>
      </c>
      <c r="AB863" s="13">
        <v>0</v>
      </c>
      <c r="AC863" s="13">
        <v>28</v>
      </c>
      <c r="AD863" s="13">
        <v>2</v>
      </c>
      <c r="AE863" s="13">
        <v>3</v>
      </c>
      <c r="AF863" s="14">
        <v>26</v>
      </c>
      <c r="AG863" s="13">
        <v>15</v>
      </c>
      <c r="AH863" s="13">
        <v>15</v>
      </c>
      <c r="AI863" s="13">
        <v>9</v>
      </c>
      <c r="AJ863" s="13" t="str">
        <f t="shared" si="13"/>
        <v>40-49</v>
      </c>
      <c r="AK863" s="13" t="str">
        <f>IF(tblCleanData[[#This Row],[MonthlyIncome]]&lt;5000, "Low Income", IF(tblCleanData[[#This Row],[MonthlyIncome]]&lt;15000, "Medium Income", "High Income"))</f>
        <v>High Income</v>
      </c>
      <c r="AL863" s="13">
        <f>IF(tblCleanData[[#This Row],[Attrition]]="No", 0,1)</f>
        <v>0</v>
      </c>
      <c r="AM863" s="13">
        <f>IF(tblCleanData[[#This Row],[OverTime]] = "No", 0, 1)</f>
        <v>0</v>
      </c>
      <c r="AN863" s="13" t="str">
        <f>CHOOSE(tblCleanData[[#This Row],[Education]], "Below College","College","Bachelor","Master","Doctor")</f>
        <v>Bachelor</v>
      </c>
      <c r="AO863" s="13" t="str">
        <f>VLOOKUP(tblCleanData[[#This Row],[EmployeeNumber]],tblHelpers[],15,TRUE)</f>
        <v>Medium Risk</v>
      </c>
      <c r="AP863" s="13">
        <f>VLOOKUP(tblCleanData[[#This Row],[EmployeeNumber]],tblHelpers[],14,0)</f>
        <v>43</v>
      </c>
    </row>
    <row r="864" spans="1:42" x14ac:dyDescent="0.25">
      <c r="A864" s="13">
        <v>44</v>
      </c>
      <c r="B864" s="13" t="s">
        <v>59</v>
      </c>
      <c r="C864" s="13" t="s">
        <v>161</v>
      </c>
      <c r="D864" s="13">
        <v>111</v>
      </c>
      <c r="E864" s="13" t="s">
        <v>62</v>
      </c>
      <c r="F864" s="13">
        <v>17</v>
      </c>
      <c r="G864" s="13">
        <v>3</v>
      </c>
      <c r="H864" s="13" t="s">
        <v>42</v>
      </c>
      <c r="I864" s="13">
        <v>1</v>
      </c>
      <c r="J864" s="13">
        <v>1206</v>
      </c>
      <c r="K864" s="13">
        <v>4</v>
      </c>
      <c r="L864" s="13" t="s">
        <v>63</v>
      </c>
      <c r="M864" s="13">
        <v>74</v>
      </c>
      <c r="N864" s="13">
        <v>1</v>
      </c>
      <c r="O864" s="13">
        <v>1</v>
      </c>
      <c r="P864" s="13" t="s">
        <v>65</v>
      </c>
      <c r="Q864" s="13">
        <v>3</v>
      </c>
      <c r="R864" s="13" t="s">
        <v>48</v>
      </c>
      <c r="S864" s="20">
        <v>2290</v>
      </c>
      <c r="T864" s="13">
        <v>4279</v>
      </c>
      <c r="U864" s="13">
        <v>2</v>
      </c>
      <c r="V864" s="13" t="s">
        <v>52</v>
      </c>
      <c r="W864" s="13" t="s">
        <v>59</v>
      </c>
      <c r="X864" s="13">
        <v>13</v>
      </c>
      <c r="Y864" s="13">
        <v>3</v>
      </c>
      <c r="Z864" s="13">
        <v>4</v>
      </c>
      <c r="AA864" s="13">
        <v>80</v>
      </c>
      <c r="AB864" s="13">
        <v>0</v>
      </c>
      <c r="AC864" s="13">
        <v>6</v>
      </c>
      <c r="AD864" s="13">
        <v>3</v>
      </c>
      <c r="AE864" s="13">
        <v>3</v>
      </c>
      <c r="AF864" s="14">
        <v>0</v>
      </c>
      <c r="AG864" s="13">
        <v>0</v>
      </c>
      <c r="AH864" s="13">
        <v>0</v>
      </c>
      <c r="AI864" s="13">
        <v>0</v>
      </c>
      <c r="AJ864" s="13" t="str">
        <f t="shared" si="13"/>
        <v>40-49</v>
      </c>
      <c r="AK864" s="13" t="str">
        <f>IF(tblCleanData[[#This Row],[MonthlyIncome]]&lt;5000, "Low Income", IF(tblCleanData[[#This Row],[MonthlyIncome]]&lt;15000, "Medium Income", "High Income"))</f>
        <v>Low Income</v>
      </c>
      <c r="AL864" s="13">
        <f>IF(tblCleanData[[#This Row],[Attrition]]="No", 0,1)</f>
        <v>0</v>
      </c>
      <c r="AM864" s="13">
        <f>IF(tblCleanData[[#This Row],[OverTime]] = "No", 0, 1)</f>
        <v>0</v>
      </c>
      <c r="AN864" s="13" t="str">
        <f>CHOOSE(tblCleanData[[#This Row],[Education]], "Below College","College","Bachelor","Master","Doctor")</f>
        <v>Bachelor</v>
      </c>
      <c r="AO864" s="13" t="str">
        <f>VLOOKUP(tblCleanData[[#This Row],[EmployeeNumber]],tblHelpers[],15,TRUE)</f>
        <v>Medium Risk</v>
      </c>
      <c r="AP864" s="13">
        <f>VLOOKUP(tblCleanData[[#This Row],[EmployeeNumber]],tblHelpers[],14,0)</f>
        <v>53</v>
      </c>
    </row>
    <row r="865" spans="1:42" x14ac:dyDescent="0.25">
      <c r="A865" s="13">
        <v>33</v>
      </c>
      <c r="B865" s="13" t="s">
        <v>59</v>
      </c>
      <c r="C865" s="13" t="s">
        <v>37</v>
      </c>
      <c r="D865" s="13">
        <v>147</v>
      </c>
      <c r="E865" s="13" t="s">
        <v>397</v>
      </c>
      <c r="F865" s="13">
        <v>2</v>
      </c>
      <c r="G865" s="13">
        <v>3</v>
      </c>
      <c r="H865" s="13" t="s">
        <v>397</v>
      </c>
      <c r="I865" s="13">
        <v>1</v>
      </c>
      <c r="J865" s="13">
        <v>1207</v>
      </c>
      <c r="K865" s="13">
        <v>2</v>
      </c>
      <c r="L865" s="13" t="s">
        <v>63</v>
      </c>
      <c r="M865" s="13">
        <v>99</v>
      </c>
      <c r="N865" s="13">
        <v>3</v>
      </c>
      <c r="O865" s="13">
        <v>1</v>
      </c>
      <c r="P865" s="13" t="s">
        <v>397</v>
      </c>
      <c r="Q865" s="13">
        <v>3</v>
      </c>
      <c r="R865" s="13" t="s">
        <v>66</v>
      </c>
      <c r="S865" s="20">
        <v>3600</v>
      </c>
      <c r="T865" s="13">
        <v>8429</v>
      </c>
      <c r="U865" s="13">
        <v>1</v>
      </c>
      <c r="V865" s="13" t="s">
        <v>52</v>
      </c>
      <c r="W865" s="13" t="s">
        <v>59</v>
      </c>
      <c r="X865" s="13">
        <v>13</v>
      </c>
      <c r="Y865" s="13">
        <v>3</v>
      </c>
      <c r="Z865" s="13">
        <v>4</v>
      </c>
      <c r="AA865" s="13">
        <v>80</v>
      </c>
      <c r="AB865" s="13">
        <v>1</v>
      </c>
      <c r="AC865" s="13">
        <v>5</v>
      </c>
      <c r="AD865" s="13">
        <v>2</v>
      </c>
      <c r="AE865" s="13">
        <v>3</v>
      </c>
      <c r="AF865" s="14">
        <v>5</v>
      </c>
      <c r="AG865" s="13">
        <v>4</v>
      </c>
      <c r="AH865" s="13">
        <v>1</v>
      </c>
      <c r="AI865" s="13">
        <v>4</v>
      </c>
      <c r="AJ865" s="13" t="str">
        <f t="shared" si="13"/>
        <v>30-39</v>
      </c>
      <c r="AK865" s="13" t="str">
        <f>IF(tblCleanData[[#This Row],[MonthlyIncome]]&lt;5000, "Low Income", IF(tblCleanData[[#This Row],[MonthlyIncome]]&lt;15000, "Medium Income", "High Income"))</f>
        <v>Low Income</v>
      </c>
      <c r="AL865" s="13">
        <f>IF(tblCleanData[[#This Row],[Attrition]]="No", 0,1)</f>
        <v>0</v>
      </c>
      <c r="AM865" s="13">
        <f>IF(tblCleanData[[#This Row],[OverTime]] = "No", 0, 1)</f>
        <v>0</v>
      </c>
      <c r="AN865" s="13" t="str">
        <f>CHOOSE(tblCleanData[[#This Row],[Education]], "Below College","College","Bachelor","Master","Doctor")</f>
        <v>Bachelor</v>
      </c>
      <c r="AO865" s="13" t="str">
        <f>VLOOKUP(tblCleanData[[#This Row],[EmployeeNumber]],tblHelpers[],15,TRUE)</f>
        <v>Medium Risk</v>
      </c>
      <c r="AP865" s="13">
        <f>VLOOKUP(tblCleanData[[#This Row],[EmployeeNumber]],tblHelpers[],14,0)</f>
        <v>53</v>
      </c>
    </row>
    <row r="866" spans="1:42" x14ac:dyDescent="0.25">
      <c r="A866" s="13">
        <v>41</v>
      </c>
      <c r="B866" s="13" t="s">
        <v>36</v>
      </c>
      <c r="C866" s="13" t="s">
        <v>161</v>
      </c>
      <c r="D866" s="13">
        <v>906</v>
      </c>
      <c r="E866" s="13" t="s">
        <v>62</v>
      </c>
      <c r="F866" s="13">
        <v>5</v>
      </c>
      <c r="G866" s="13">
        <v>2</v>
      </c>
      <c r="H866" s="13" t="s">
        <v>42</v>
      </c>
      <c r="I866" s="13">
        <v>1</v>
      </c>
      <c r="J866" s="13">
        <v>1210</v>
      </c>
      <c r="K866" s="13">
        <v>1</v>
      </c>
      <c r="L866" s="13" t="s">
        <v>63</v>
      </c>
      <c r="M866" s="13">
        <v>95</v>
      </c>
      <c r="N866" s="13">
        <v>2</v>
      </c>
      <c r="O866" s="13">
        <v>1</v>
      </c>
      <c r="P866" s="13" t="s">
        <v>65</v>
      </c>
      <c r="Q866" s="13">
        <v>1</v>
      </c>
      <c r="R866" s="13" t="s">
        <v>109</v>
      </c>
      <c r="S866" s="20">
        <v>2107</v>
      </c>
      <c r="T866" s="13">
        <v>20293</v>
      </c>
      <c r="U866" s="13">
        <v>6</v>
      </c>
      <c r="V866" s="13" t="s">
        <v>52</v>
      </c>
      <c r="W866" s="13" t="s">
        <v>59</v>
      </c>
      <c r="X866" s="13">
        <v>17</v>
      </c>
      <c r="Y866" s="13">
        <v>3</v>
      </c>
      <c r="Z866" s="13">
        <v>1</v>
      </c>
      <c r="AA866" s="13">
        <v>80</v>
      </c>
      <c r="AB866" s="13">
        <v>1</v>
      </c>
      <c r="AC866" s="13">
        <v>5</v>
      </c>
      <c r="AD866" s="13">
        <v>2</v>
      </c>
      <c r="AE866" s="13">
        <v>1</v>
      </c>
      <c r="AF866" s="14">
        <v>1</v>
      </c>
      <c r="AG866" s="13">
        <v>0</v>
      </c>
      <c r="AH866" s="13">
        <v>0</v>
      </c>
      <c r="AI866" s="13">
        <v>0</v>
      </c>
      <c r="AJ866" s="13" t="str">
        <f t="shared" si="13"/>
        <v>40-49</v>
      </c>
      <c r="AK866" s="13" t="str">
        <f>IF(tblCleanData[[#This Row],[MonthlyIncome]]&lt;5000, "Low Income", IF(tblCleanData[[#This Row],[MonthlyIncome]]&lt;15000, "Medium Income", "High Income"))</f>
        <v>Low Income</v>
      </c>
      <c r="AL866" s="13">
        <f>IF(tblCleanData[[#This Row],[Attrition]]="No", 0,1)</f>
        <v>1</v>
      </c>
      <c r="AM866" s="13">
        <f>IF(tblCleanData[[#This Row],[OverTime]] = "No", 0, 1)</f>
        <v>0</v>
      </c>
      <c r="AN866" s="13" t="str">
        <f>CHOOSE(tblCleanData[[#This Row],[Education]], "Below College","College","Bachelor","Master","Doctor")</f>
        <v>College</v>
      </c>
      <c r="AO866" s="13" t="str">
        <f>VLOOKUP(tblCleanData[[#This Row],[EmployeeNumber]],tblHelpers[],15,TRUE)</f>
        <v>High Risk</v>
      </c>
      <c r="AP866" s="13">
        <f>VLOOKUP(tblCleanData[[#This Row],[EmployeeNumber]],tblHelpers[],14,0)</f>
        <v>65</v>
      </c>
    </row>
    <row r="867" spans="1:42" x14ac:dyDescent="0.25">
      <c r="A867" s="13">
        <v>30</v>
      </c>
      <c r="B867" s="13" t="s">
        <v>59</v>
      </c>
      <c r="C867" s="13" t="s">
        <v>37</v>
      </c>
      <c r="D867" s="13">
        <v>1329</v>
      </c>
      <c r="E867" s="13" t="s">
        <v>39</v>
      </c>
      <c r="F867" s="13">
        <v>29</v>
      </c>
      <c r="G867" s="13">
        <v>4</v>
      </c>
      <c r="H867" s="13" t="s">
        <v>42</v>
      </c>
      <c r="I867" s="13">
        <v>1</v>
      </c>
      <c r="J867" s="13">
        <v>1211</v>
      </c>
      <c r="K867" s="13">
        <v>3</v>
      </c>
      <c r="L867" s="13" t="s">
        <v>63</v>
      </c>
      <c r="M867" s="13">
        <v>61</v>
      </c>
      <c r="N867" s="13">
        <v>3</v>
      </c>
      <c r="O867" s="13">
        <v>2</v>
      </c>
      <c r="P867" s="13" t="s">
        <v>46</v>
      </c>
      <c r="Q867" s="13">
        <v>1</v>
      </c>
      <c r="R867" s="13" t="s">
        <v>109</v>
      </c>
      <c r="S867" s="20">
        <v>4115</v>
      </c>
      <c r="T867" s="13">
        <v>13192</v>
      </c>
      <c r="U867" s="13">
        <v>8</v>
      </c>
      <c r="V867" s="13" t="s">
        <v>52</v>
      </c>
      <c r="W867" s="13" t="s">
        <v>59</v>
      </c>
      <c r="X867" s="13">
        <v>19</v>
      </c>
      <c r="Y867" s="13">
        <v>3</v>
      </c>
      <c r="Z867" s="13">
        <v>3</v>
      </c>
      <c r="AA867" s="13">
        <v>80</v>
      </c>
      <c r="AB867" s="13">
        <v>3</v>
      </c>
      <c r="AC867" s="13">
        <v>8</v>
      </c>
      <c r="AD867" s="13">
        <v>3</v>
      </c>
      <c r="AE867" s="13">
        <v>3</v>
      </c>
      <c r="AF867" s="14">
        <v>4</v>
      </c>
      <c r="AG867" s="13">
        <v>3</v>
      </c>
      <c r="AH867" s="13">
        <v>0</v>
      </c>
      <c r="AI867" s="13">
        <v>3</v>
      </c>
      <c r="AJ867" s="13" t="str">
        <f t="shared" si="13"/>
        <v>30-39</v>
      </c>
      <c r="AK867" s="13" t="str">
        <f>IF(tblCleanData[[#This Row],[MonthlyIncome]]&lt;5000, "Low Income", IF(tblCleanData[[#This Row],[MonthlyIncome]]&lt;15000, "Medium Income", "High Income"))</f>
        <v>Low Income</v>
      </c>
      <c r="AL867" s="13">
        <f>IF(tblCleanData[[#This Row],[Attrition]]="No", 0,1)</f>
        <v>0</v>
      </c>
      <c r="AM867" s="13">
        <f>IF(tblCleanData[[#This Row],[OverTime]] = "No", 0, 1)</f>
        <v>0</v>
      </c>
      <c r="AN867" s="13" t="str">
        <f>CHOOSE(tblCleanData[[#This Row],[Education]], "Below College","College","Bachelor","Master","Doctor")</f>
        <v>Master</v>
      </c>
      <c r="AO867" s="13" t="str">
        <f>VLOOKUP(tblCleanData[[#This Row],[EmployeeNumber]],tblHelpers[],15,TRUE)</f>
        <v>High Risk</v>
      </c>
      <c r="AP867" s="13">
        <f>VLOOKUP(tblCleanData[[#This Row],[EmployeeNumber]],tblHelpers[],14,0)</f>
        <v>65</v>
      </c>
    </row>
    <row r="868" spans="1:42" x14ac:dyDescent="0.25">
      <c r="A868" s="13">
        <v>40</v>
      </c>
      <c r="B868" s="13" t="s">
        <v>59</v>
      </c>
      <c r="C868" s="13" t="s">
        <v>60</v>
      </c>
      <c r="D868" s="13">
        <v>1184</v>
      </c>
      <c r="E868" s="13" t="s">
        <v>39</v>
      </c>
      <c r="F868" s="13">
        <v>2</v>
      </c>
      <c r="G868" s="13">
        <v>4</v>
      </c>
      <c r="H868" s="13" t="s">
        <v>87</v>
      </c>
      <c r="I868" s="13">
        <v>1</v>
      </c>
      <c r="J868" s="13">
        <v>1212</v>
      </c>
      <c r="K868" s="13">
        <v>2</v>
      </c>
      <c r="L868" s="13" t="s">
        <v>63</v>
      </c>
      <c r="M868" s="13">
        <v>62</v>
      </c>
      <c r="N868" s="13">
        <v>3</v>
      </c>
      <c r="O868" s="13">
        <v>2</v>
      </c>
      <c r="P868" s="13" t="s">
        <v>46</v>
      </c>
      <c r="Q868" s="13">
        <v>2</v>
      </c>
      <c r="R868" s="13" t="s">
        <v>66</v>
      </c>
      <c r="S868" s="20">
        <v>4327</v>
      </c>
      <c r="T868" s="13">
        <v>25440</v>
      </c>
      <c r="U868" s="13">
        <v>5</v>
      </c>
      <c r="V868" s="13" t="s">
        <v>52</v>
      </c>
      <c r="W868" s="13" t="s">
        <v>59</v>
      </c>
      <c r="X868" s="13">
        <v>12</v>
      </c>
      <c r="Y868" s="13">
        <v>3</v>
      </c>
      <c r="Z868" s="13">
        <v>4</v>
      </c>
      <c r="AA868" s="13">
        <v>80</v>
      </c>
      <c r="AB868" s="13">
        <v>3</v>
      </c>
      <c r="AC868" s="13">
        <v>5</v>
      </c>
      <c r="AD868" s="13">
        <v>2</v>
      </c>
      <c r="AE868" s="13">
        <v>3</v>
      </c>
      <c r="AF868" s="14">
        <v>0</v>
      </c>
      <c r="AG868" s="13">
        <v>0</v>
      </c>
      <c r="AH868" s="13">
        <v>0</v>
      </c>
      <c r="AI868" s="13">
        <v>0</v>
      </c>
      <c r="AJ868" s="13" t="str">
        <f t="shared" si="13"/>
        <v>40-49</v>
      </c>
      <c r="AK868" s="13" t="str">
        <f>IF(tblCleanData[[#This Row],[MonthlyIncome]]&lt;5000, "Low Income", IF(tblCleanData[[#This Row],[MonthlyIncome]]&lt;15000, "Medium Income", "High Income"))</f>
        <v>Low Income</v>
      </c>
      <c r="AL868" s="13">
        <f>IF(tblCleanData[[#This Row],[Attrition]]="No", 0,1)</f>
        <v>0</v>
      </c>
      <c r="AM868" s="13">
        <f>IF(tblCleanData[[#This Row],[OverTime]] = "No", 0, 1)</f>
        <v>0</v>
      </c>
      <c r="AN868" s="13" t="str">
        <f>CHOOSE(tblCleanData[[#This Row],[Education]], "Below College","College","Bachelor","Master","Doctor")</f>
        <v>Master</v>
      </c>
      <c r="AO868" s="13" t="str">
        <f>VLOOKUP(tblCleanData[[#This Row],[EmployeeNumber]],tblHelpers[],15,TRUE)</f>
        <v>High Risk</v>
      </c>
      <c r="AP868" s="13">
        <f>VLOOKUP(tblCleanData[[#This Row],[EmployeeNumber]],tblHelpers[],14,0)</f>
        <v>59</v>
      </c>
    </row>
    <row r="869" spans="1:42" x14ac:dyDescent="0.25">
      <c r="A869" s="13">
        <v>50</v>
      </c>
      <c r="B869" s="13" t="s">
        <v>59</v>
      </c>
      <c r="C869" s="13" t="s">
        <v>60</v>
      </c>
      <c r="D869" s="13">
        <v>1421</v>
      </c>
      <c r="E869" s="13" t="s">
        <v>62</v>
      </c>
      <c r="F869" s="13">
        <v>2</v>
      </c>
      <c r="G869" s="13">
        <v>3</v>
      </c>
      <c r="H869" s="13" t="s">
        <v>87</v>
      </c>
      <c r="I869" s="13">
        <v>1</v>
      </c>
      <c r="J869" s="13">
        <v>1215</v>
      </c>
      <c r="K869" s="13">
        <v>4</v>
      </c>
      <c r="L869" s="13" t="s">
        <v>43</v>
      </c>
      <c r="M869" s="13">
        <v>30</v>
      </c>
      <c r="N869" s="13">
        <v>3</v>
      </c>
      <c r="O869" s="13">
        <v>4</v>
      </c>
      <c r="P869" s="13" t="s">
        <v>169</v>
      </c>
      <c r="Q869" s="13">
        <v>1</v>
      </c>
      <c r="R869" s="13" t="s">
        <v>66</v>
      </c>
      <c r="S869" s="20">
        <v>17856</v>
      </c>
      <c r="T869" s="13">
        <v>9490</v>
      </c>
      <c r="U869" s="13">
        <v>2</v>
      </c>
      <c r="V869" s="13" t="s">
        <v>52</v>
      </c>
      <c r="W869" s="13" t="s">
        <v>59</v>
      </c>
      <c r="X869" s="13">
        <v>22</v>
      </c>
      <c r="Y869" s="13">
        <v>4</v>
      </c>
      <c r="Z869" s="13">
        <v>3</v>
      </c>
      <c r="AA869" s="13">
        <v>80</v>
      </c>
      <c r="AB869" s="13">
        <v>1</v>
      </c>
      <c r="AC869" s="13">
        <v>32</v>
      </c>
      <c r="AD869" s="13">
        <v>3</v>
      </c>
      <c r="AE869" s="13">
        <v>3</v>
      </c>
      <c r="AF869" s="14">
        <v>2</v>
      </c>
      <c r="AG869" s="13">
        <v>2</v>
      </c>
      <c r="AH869" s="13">
        <v>2</v>
      </c>
      <c r="AI869" s="13">
        <v>2</v>
      </c>
      <c r="AJ869" s="13" t="str">
        <f t="shared" si="13"/>
        <v>50+</v>
      </c>
      <c r="AK869" s="13" t="str">
        <f>IF(tblCleanData[[#This Row],[MonthlyIncome]]&lt;5000, "Low Income", IF(tblCleanData[[#This Row],[MonthlyIncome]]&lt;15000, "Medium Income", "High Income"))</f>
        <v>High Income</v>
      </c>
      <c r="AL869" s="13">
        <f>IF(tblCleanData[[#This Row],[Attrition]]="No", 0,1)</f>
        <v>0</v>
      </c>
      <c r="AM869" s="13">
        <f>IF(tblCleanData[[#This Row],[OverTime]] = "No", 0, 1)</f>
        <v>0</v>
      </c>
      <c r="AN869" s="13" t="str">
        <f>CHOOSE(tblCleanData[[#This Row],[Education]], "Below College","College","Bachelor","Master","Doctor")</f>
        <v>Bachelor</v>
      </c>
      <c r="AO869" s="13" t="str">
        <f>VLOOKUP(tblCleanData[[#This Row],[EmployeeNumber]],tblHelpers[],15,TRUE)</f>
        <v>High Risk</v>
      </c>
      <c r="AP869" s="13">
        <f>VLOOKUP(tblCleanData[[#This Row],[EmployeeNumber]],tblHelpers[],14,0)</f>
        <v>70</v>
      </c>
    </row>
    <row r="870" spans="1:42" x14ac:dyDescent="0.25">
      <c r="A870" s="13">
        <v>28</v>
      </c>
      <c r="B870" s="13" t="s">
        <v>59</v>
      </c>
      <c r="C870" s="13" t="s">
        <v>37</v>
      </c>
      <c r="D870" s="13">
        <v>1179</v>
      </c>
      <c r="E870" s="13" t="s">
        <v>62</v>
      </c>
      <c r="F870" s="13">
        <v>19</v>
      </c>
      <c r="G870" s="13">
        <v>4</v>
      </c>
      <c r="H870" s="13" t="s">
        <v>87</v>
      </c>
      <c r="I870" s="13">
        <v>1</v>
      </c>
      <c r="J870" s="13">
        <v>1216</v>
      </c>
      <c r="K870" s="13">
        <v>4</v>
      </c>
      <c r="L870" s="13" t="s">
        <v>63</v>
      </c>
      <c r="M870" s="13">
        <v>78</v>
      </c>
      <c r="N870" s="13">
        <v>2</v>
      </c>
      <c r="O870" s="13">
        <v>1</v>
      </c>
      <c r="P870" s="13" t="s">
        <v>76</v>
      </c>
      <c r="Q870" s="13">
        <v>1</v>
      </c>
      <c r="R870" s="13" t="s">
        <v>66</v>
      </c>
      <c r="S870" s="20">
        <v>3196</v>
      </c>
      <c r="T870" s="13">
        <v>12449</v>
      </c>
      <c r="U870" s="13">
        <v>1</v>
      </c>
      <c r="V870" s="13" t="s">
        <v>52</v>
      </c>
      <c r="W870" s="13" t="s">
        <v>59</v>
      </c>
      <c r="X870" s="13">
        <v>12</v>
      </c>
      <c r="Y870" s="13">
        <v>3</v>
      </c>
      <c r="Z870" s="13">
        <v>3</v>
      </c>
      <c r="AA870" s="13">
        <v>80</v>
      </c>
      <c r="AB870" s="13">
        <v>3</v>
      </c>
      <c r="AC870" s="13">
        <v>6</v>
      </c>
      <c r="AD870" s="13">
        <v>2</v>
      </c>
      <c r="AE870" s="13">
        <v>3</v>
      </c>
      <c r="AF870" s="14">
        <v>6</v>
      </c>
      <c r="AG870" s="13">
        <v>5</v>
      </c>
      <c r="AH870" s="13">
        <v>3</v>
      </c>
      <c r="AI870" s="13">
        <v>3</v>
      </c>
      <c r="AJ870" s="13" t="str">
        <f t="shared" si="13"/>
        <v>Under 30</v>
      </c>
      <c r="AK870" s="13" t="str">
        <f>IF(tblCleanData[[#This Row],[MonthlyIncome]]&lt;5000, "Low Income", IF(tblCleanData[[#This Row],[MonthlyIncome]]&lt;15000, "Medium Income", "High Income"))</f>
        <v>Low Income</v>
      </c>
      <c r="AL870" s="13">
        <f>IF(tblCleanData[[#This Row],[Attrition]]="No", 0,1)</f>
        <v>0</v>
      </c>
      <c r="AM870" s="13">
        <f>IF(tblCleanData[[#This Row],[OverTime]] = "No", 0, 1)</f>
        <v>0</v>
      </c>
      <c r="AN870" s="13" t="str">
        <f>CHOOSE(tblCleanData[[#This Row],[Education]], "Below College","College","Bachelor","Master","Doctor")</f>
        <v>Master</v>
      </c>
      <c r="AO870" s="13" t="str">
        <f>VLOOKUP(tblCleanData[[#This Row],[EmployeeNumber]],tblHelpers[],15,TRUE)</f>
        <v>High Risk</v>
      </c>
      <c r="AP870" s="13">
        <f>VLOOKUP(tblCleanData[[#This Row],[EmployeeNumber]],tblHelpers[],14,0)</f>
        <v>68</v>
      </c>
    </row>
    <row r="871" spans="1:42" x14ac:dyDescent="0.25">
      <c r="A871" s="13">
        <v>46</v>
      </c>
      <c r="B871" s="13" t="s">
        <v>59</v>
      </c>
      <c r="C871" s="13" t="s">
        <v>37</v>
      </c>
      <c r="D871" s="13">
        <v>1450</v>
      </c>
      <c r="E871" s="13" t="s">
        <v>62</v>
      </c>
      <c r="F871" s="13">
        <v>15</v>
      </c>
      <c r="G871" s="13">
        <v>2</v>
      </c>
      <c r="H871" s="13" t="s">
        <v>42</v>
      </c>
      <c r="I871" s="13">
        <v>1</v>
      </c>
      <c r="J871" s="13">
        <v>1217</v>
      </c>
      <c r="K871" s="13">
        <v>4</v>
      </c>
      <c r="L871" s="13" t="s">
        <v>63</v>
      </c>
      <c r="M871" s="13">
        <v>52</v>
      </c>
      <c r="N871" s="13">
        <v>3</v>
      </c>
      <c r="O871" s="13">
        <v>5</v>
      </c>
      <c r="P871" s="13" t="s">
        <v>186</v>
      </c>
      <c r="Q871" s="13">
        <v>2</v>
      </c>
      <c r="R871" s="13" t="s">
        <v>66</v>
      </c>
      <c r="S871" s="20">
        <v>19081</v>
      </c>
      <c r="T871" s="13">
        <v>10849</v>
      </c>
      <c r="U871" s="13">
        <v>5</v>
      </c>
      <c r="V871" s="13" t="s">
        <v>52</v>
      </c>
      <c r="W871" s="13" t="s">
        <v>59</v>
      </c>
      <c r="X871" s="13">
        <v>11</v>
      </c>
      <c r="Y871" s="13">
        <v>3</v>
      </c>
      <c r="Z871" s="13">
        <v>1</v>
      </c>
      <c r="AA871" s="13">
        <v>80</v>
      </c>
      <c r="AB871" s="13">
        <v>1</v>
      </c>
      <c r="AC871" s="13">
        <v>25</v>
      </c>
      <c r="AD871" s="13">
        <v>2</v>
      </c>
      <c r="AE871" s="13">
        <v>3</v>
      </c>
      <c r="AF871" s="14">
        <v>4</v>
      </c>
      <c r="AG871" s="13">
        <v>2</v>
      </c>
      <c r="AH871" s="13">
        <v>0</v>
      </c>
      <c r="AI871" s="13">
        <v>3</v>
      </c>
      <c r="AJ871" s="13" t="str">
        <f t="shared" si="13"/>
        <v>40-49</v>
      </c>
      <c r="AK871" s="13" t="str">
        <f>IF(tblCleanData[[#This Row],[MonthlyIncome]]&lt;5000, "Low Income", IF(tblCleanData[[#This Row],[MonthlyIncome]]&lt;15000, "Medium Income", "High Income"))</f>
        <v>High Income</v>
      </c>
      <c r="AL871" s="13">
        <f>IF(tblCleanData[[#This Row],[Attrition]]="No", 0,1)</f>
        <v>0</v>
      </c>
      <c r="AM871" s="13">
        <f>IF(tblCleanData[[#This Row],[OverTime]] = "No", 0, 1)</f>
        <v>0</v>
      </c>
      <c r="AN871" s="13" t="str">
        <f>CHOOSE(tblCleanData[[#This Row],[Education]], "Below College","College","Bachelor","Master","Doctor")</f>
        <v>College</v>
      </c>
      <c r="AO871" s="13" t="str">
        <f>VLOOKUP(tblCleanData[[#This Row],[EmployeeNumber]],tblHelpers[],15,TRUE)</f>
        <v>Medium Risk</v>
      </c>
      <c r="AP871" s="13">
        <f>VLOOKUP(tblCleanData[[#This Row],[EmployeeNumber]],tblHelpers[],14,0)</f>
        <v>49</v>
      </c>
    </row>
    <row r="872" spans="1:42" x14ac:dyDescent="0.25">
      <c r="A872" s="13">
        <v>35</v>
      </c>
      <c r="B872" s="13" t="s">
        <v>59</v>
      </c>
      <c r="C872" s="13" t="s">
        <v>37</v>
      </c>
      <c r="D872" s="13">
        <v>1361</v>
      </c>
      <c r="E872" s="13" t="s">
        <v>39</v>
      </c>
      <c r="F872" s="13">
        <v>17</v>
      </c>
      <c r="G872" s="13">
        <v>4</v>
      </c>
      <c r="H872" s="13" t="s">
        <v>42</v>
      </c>
      <c r="I872" s="13">
        <v>1</v>
      </c>
      <c r="J872" s="13">
        <v>1218</v>
      </c>
      <c r="K872" s="13">
        <v>3</v>
      </c>
      <c r="L872" s="13" t="s">
        <v>63</v>
      </c>
      <c r="M872" s="13">
        <v>94</v>
      </c>
      <c r="N872" s="13">
        <v>3</v>
      </c>
      <c r="O872" s="13">
        <v>2</v>
      </c>
      <c r="P872" s="13" t="s">
        <v>46</v>
      </c>
      <c r="Q872" s="13">
        <v>1</v>
      </c>
      <c r="R872" s="13" t="s">
        <v>66</v>
      </c>
      <c r="S872" s="20">
        <v>8966</v>
      </c>
      <c r="T872" s="13">
        <v>21026</v>
      </c>
      <c r="U872" s="13">
        <v>3</v>
      </c>
      <c r="V872" s="13" t="s">
        <v>52</v>
      </c>
      <c r="W872" s="13" t="s">
        <v>36</v>
      </c>
      <c r="X872" s="13">
        <v>15</v>
      </c>
      <c r="Y872" s="13">
        <v>3</v>
      </c>
      <c r="Z872" s="13">
        <v>4</v>
      </c>
      <c r="AA872" s="13">
        <v>80</v>
      </c>
      <c r="AB872" s="13">
        <v>3</v>
      </c>
      <c r="AC872" s="13">
        <v>15</v>
      </c>
      <c r="AD872" s="13">
        <v>2</v>
      </c>
      <c r="AE872" s="13">
        <v>3</v>
      </c>
      <c r="AF872" s="14">
        <v>7</v>
      </c>
      <c r="AG872" s="13">
        <v>7</v>
      </c>
      <c r="AH872" s="13">
        <v>1</v>
      </c>
      <c r="AI872" s="13">
        <v>7</v>
      </c>
      <c r="AJ872" s="13" t="str">
        <f t="shared" si="13"/>
        <v>30-39</v>
      </c>
      <c r="AK872" s="13" t="str">
        <f>IF(tblCleanData[[#This Row],[MonthlyIncome]]&lt;5000, "Low Income", IF(tblCleanData[[#This Row],[MonthlyIncome]]&lt;15000, "Medium Income", "High Income"))</f>
        <v>Medium Income</v>
      </c>
      <c r="AL872" s="13">
        <f>IF(tblCleanData[[#This Row],[Attrition]]="No", 0,1)</f>
        <v>0</v>
      </c>
      <c r="AM872" s="13">
        <f>IF(tblCleanData[[#This Row],[OverTime]] = "No", 0, 1)</f>
        <v>1</v>
      </c>
      <c r="AN872" s="13" t="str">
        <f>CHOOSE(tblCleanData[[#This Row],[Education]], "Below College","College","Bachelor","Master","Doctor")</f>
        <v>Master</v>
      </c>
      <c r="AO872" s="13" t="str">
        <f>VLOOKUP(tblCleanData[[#This Row],[EmployeeNumber]],tblHelpers[],15,TRUE)</f>
        <v>High Risk</v>
      </c>
      <c r="AP872" s="13">
        <f>VLOOKUP(tblCleanData[[#This Row],[EmployeeNumber]],tblHelpers[],14,0)</f>
        <v>83</v>
      </c>
    </row>
    <row r="873" spans="1:42" x14ac:dyDescent="0.25">
      <c r="A873" s="13">
        <v>24</v>
      </c>
      <c r="B873" s="13" t="s">
        <v>36</v>
      </c>
      <c r="C873" s="13" t="s">
        <v>37</v>
      </c>
      <c r="D873" s="13">
        <v>984</v>
      </c>
      <c r="E873" s="13" t="s">
        <v>62</v>
      </c>
      <c r="F873" s="13">
        <v>17</v>
      </c>
      <c r="G873" s="13">
        <v>2</v>
      </c>
      <c r="H873" s="13" t="s">
        <v>42</v>
      </c>
      <c r="I873" s="13">
        <v>1</v>
      </c>
      <c r="J873" s="13">
        <v>1219</v>
      </c>
      <c r="K873" s="13">
        <v>4</v>
      </c>
      <c r="L873" s="13" t="s">
        <v>43</v>
      </c>
      <c r="M873" s="13">
        <v>97</v>
      </c>
      <c r="N873" s="13">
        <v>3</v>
      </c>
      <c r="O873" s="13">
        <v>1</v>
      </c>
      <c r="P873" s="13" t="s">
        <v>76</v>
      </c>
      <c r="Q873" s="13">
        <v>2</v>
      </c>
      <c r="R873" s="13" t="s">
        <v>66</v>
      </c>
      <c r="S873" s="20">
        <v>2210</v>
      </c>
      <c r="T873" s="13">
        <v>3372</v>
      </c>
      <c r="U873" s="13">
        <v>1</v>
      </c>
      <c r="V873" s="13" t="s">
        <v>52</v>
      </c>
      <c r="W873" s="13" t="s">
        <v>59</v>
      </c>
      <c r="X873" s="13">
        <v>13</v>
      </c>
      <c r="Y873" s="13">
        <v>3</v>
      </c>
      <c r="Z873" s="13">
        <v>1</v>
      </c>
      <c r="AA873" s="13">
        <v>80</v>
      </c>
      <c r="AB873" s="13">
        <v>1</v>
      </c>
      <c r="AC873" s="13">
        <v>1</v>
      </c>
      <c r="AD873" s="13">
        <v>3</v>
      </c>
      <c r="AE873" s="13">
        <v>1</v>
      </c>
      <c r="AF873" s="14">
        <v>1</v>
      </c>
      <c r="AG873" s="13">
        <v>0</v>
      </c>
      <c r="AH873" s="13">
        <v>0</v>
      </c>
      <c r="AI873" s="13">
        <v>0</v>
      </c>
      <c r="AJ873" s="13" t="str">
        <f t="shared" si="13"/>
        <v>Under 30</v>
      </c>
      <c r="AK873" s="13" t="str">
        <f>IF(tblCleanData[[#This Row],[MonthlyIncome]]&lt;5000, "Low Income", IF(tblCleanData[[#This Row],[MonthlyIncome]]&lt;15000, "Medium Income", "High Income"))</f>
        <v>Low Income</v>
      </c>
      <c r="AL873" s="13">
        <f>IF(tblCleanData[[#This Row],[Attrition]]="No", 0,1)</f>
        <v>1</v>
      </c>
      <c r="AM873" s="13">
        <f>IF(tblCleanData[[#This Row],[OverTime]] = "No", 0, 1)</f>
        <v>0</v>
      </c>
      <c r="AN873" s="13" t="str">
        <f>CHOOSE(tblCleanData[[#This Row],[Education]], "Below College","College","Bachelor","Master","Doctor")</f>
        <v>College</v>
      </c>
      <c r="AO873" s="13" t="str">
        <f>VLOOKUP(tblCleanData[[#This Row],[EmployeeNumber]],tblHelpers[],15,TRUE)</f>
        <v>High Risk</v>
      </c>
      <c r="AP873" s="13">
        <f>VLOOKUP(tblCleanData[[#This Row],[EmployeeNumber]],tblHelpers[],14,0)</f>
        <v>79</v>
      </c>
    </row>
    <row r="874" spans="1:42" x14ac:dyDescent="0.25">
      <c r="A874" s="13">
        <v>33</v>
      </c>
      <c r="B874" s="13" t="s">
        <v>59</v>
      </c>
      <c r="C874" s="13" t="s">
        <v>60</v>
      </c>
      <c r="D874" s="13">
        <v>1146</v>
      </c>
      <c r="E874" s="13" t="s">
        <v>39</v>
      </c>
      <c r="F874" s="13">
        <v>25</v>
      </c>
      <c r="G874" s="13">
        <v>3</v>
      </c>
      <c r="H874" s="13" t="s">
        <v>87</v>
      </c>
      <c r="I874" s="13">
        <v>1</v>
      </c>
      <c r="J874" s="13">
        <v>1220</v>
      </c>
      <c r="K874" s="13">
        <v>2</v>
      </c>
      <c r="L874" s="13" t="s">
        <v>43</v>
      </c>
      <c r="M874" s="13">
        <v>82</v>
      </c>
      <c r="N874" s="13">
        <v>3</v>
      </c>
      <c r="O874" s="13">
        <v>2</v>
      </c>
      <c r="P874" s="13" t="s">
        <v>46</v>
      </c>
      <c r="Q874" s="13">
        <v>3</v>
      </c>
      <c r="R874" s="13" t="s">
        <v>66</v>
      </c>
      <c r="S874" s="20">
        <v>4539</v>
      </c>
      <c r="T874" s="13">
        <v>4905</v>
      </c>
      <c r="U874" s="13">
        <v>1</v>
      </c>
      <c r="V874" s="13" t="s">
        <v>52</v>
      </c>
      <c r="W874" s="13" t="s">
        <v>59</v>
      </c>
      <c r="X874" s="13">
        <v>12</v>
      </c>
      <c r="Y874" s="13">
        <v>3</v>
      </c>
      <c r="Z874" s="13">
        <v>1</v>
      </c>
      <c r="AA874" s="13">
        <v>80</v>
      </c>
      <c r="AB874" s="13">
        <v>1</v>
      </c>
      <c r="AC874" s="13">
        <v>10</v>
      </c>
      <c r="AD874" s="13">
        <v>3</v>
      </c>
      <c r="AE874" s="13">
        <v>2</v>
      </c>
      <c r="AF874" s="14">
        <v>10</v>
      </c>
      <c r="AG874" s="13">
        <v>7</v>
      </c>
      <c r="AH874" s="13">
        <v>0</v>
      </c>
      <c r="AI874" s="13">
        <v>1</v>
      </c>
      <c r="AJ874" s="13" t="str">
        <f t="shared" si="13"/>
        <v>30-39</v>
      </c>
      <c r="AK874" s="13" t="str">
        <f>IF(tblCleanData[[#This Row],[MonthlyIncome]]&lt;5000, "Low Income", IF(tblCleanData[[#This Row],[MonthlyIncome]]&lt;15000, "Medium Income", "High Income"))</f>
        <v>Low Income</v>
      </c>
      <c r="AL874" s="13">
        <f>IF(tblCleanData[[#This Row],[Attrition]]="No", 0,1)</f>
        <v>0</v>
      </c>
      <c r="AM874" s="13">
        <f>IF(tblCleanData[[#This Row],[OverTime]] = "No", 0, 1)</f>
        <v>0</v>
      </c>
      <c r="AN874" s="13" t="str">
        <f>CHOOSE(tblCleanData[[#This Row],[Education]], "Below College","College","Bachelor","Master","Doctor")</f>
        <v>Bachelor</v>
      </c>
      <c r="AO874" s="13" t="str">
        <f>VLOOKUP(tblCleanData[[#This Row],[EmployeeNumber]],tblHelpers[],15,TRUE)</f>
        <v>Medium Risk</v>
      </c>
      <c r="AP874" s="13">
        <f>VLOOKUP(tblCleanData[[#This Row],[EmployeeNumber]],tblHelpers[],14,0)</f>
        <v>46</v>
      </c>
    </row>
    <row r="875" spans="1:42" x14ac:dyDescent="0.25">
      <c r="A875" s="13">
        <v>36</v>
      </c>
      <c r="B875" s="13" t="s">
        <v>59</v>
      </c>
      <c r="C875" s="13" t="s">
        <v>37</v>
      </c>
      <c r="D875" s="13">
        <v>917</v>
      </c>
      <c r="E875" s="13" t="s">
        <v>62</v>
      </c>
      <c r="F875" s="13">
        <v>6</v>
      </c>
      <c r="G875" s="13">
        <v>4</v>
      </c>
      <c r="H875" s="13" t="s">
        <v>42</v>
      </c>
      <c r="I875" s="13">
        <v>1</v>
      </c>
      <c r="J875" s="13">
        <v>1221</v>
      </c>
      <c r="K875" s="13">
        <v>3</v>
      </c>
      <c r="L875" s="13" t="s">
        <v>63</v>
      </c>
      <c r="M875" s="13">
        <v>60</v>
      </c>
      <c r="N875" s="13">
        <v>1</v>
      </c>
      <c r="O875" s="13">
        <v>1</v>
      </c>
      <c r="P875" s="13" t="s">
        <v>76</v>
      </c>
      <c r="Q875" s="13">
        <v>3</v>
      </c>
      <c r="R875" s="13" t="s">
        <v>109</v>
      </c>
      <c r="S875" s="20">
        <v>2741</v>
      </c>
      <c r="T875" s="13">
        <v>6865</v>
      </c>
      <c r="U875" s="13">
        <v>1</v>
      </c>
      <c r="V875" s="13" t="s">
        <v>52</v>
      </c>
      <c r="W875" s="13" t="s">
        <v>59</v>
      </c>
      <c r="X875" s="13">
        <v>14</v>
      </c>
      <c r="Y875" s="13">
        <v>3</v>
      </c>
      <c r="Z875" s="13">
        <v>3</v>
      </c>
      <c r="AA875" s="13">
        <v>80</v>
      </c>
      <c r="AB875" s="13">
        <v>1</v>
      </c>
      <c r="AC875" s="13">
        <v>7</v>
      </c>
      <c r="AD875" s="13">
        <v>4</v>
      </c>
      <c r="AE875" s="13">
        <v>3</v>
      </c>
      <c r="AF875" s="14">
        <v>7</v>
      </c>
      <c r="AG875" s="13">
        <v>7</v>
      </c>
      <c r="AH875" s="13">
        <v>1</v>
      </c>
      <c r="AI875" s="13">
        <v>7</v>
      </c>
      <c r="AJ875" s="13" t="str">
        <f t="shared" si="13"/>
        <v>30-39</v>
      </c>
      <c r="AK875" s="13" t="str">
        <f>IF(tblCleanData[[#This Row],[MonthlyIncome]]&lt;5000, "Low Income", IF(tblCleanData[[#This Row],[MonthlyIncome]]&lt;15000, "Medium Income", "High Income"))</f>
        <v>Low Income</v>
      </c>
      <c r="AL875" s="13">
        <f>IF(tblCleanData[[#This Row],[Attrition]]="No", 0,1)</f>
        <v>0</v>
      </c>
      <c r="AM875" s="13">
        <f>IF(tblCleanData[[#This Row],[OverTime]] = "No", 0, 1)</f>
        <v>0</v>
      </c>
      <c r="AN875" s="13" t="str">
        <f>CHOOSE(tblCleanData[[#This Row],[Education]], "Below College","College","Bachelor","Master","Doctor")</f>
        <v>Master</v>
      </c>
      <c r="AO875" s="13" t="str">
        <f>VLOOKUP(tblCleanData[[#This Row],[EmployeeNumber]],tblHelpers[],15,TRUE)</f>
        <v>Medium Risk</v>
      </c>
      <c r="AP875" s="13">
        <f>VLOOKUP(tblCleanData[[#This Row],[EmployeeNumber]],tblHelpers[],14,0)</f>
        <v>46</v>
      </c>
    </row>
    <row r="876" spans="1:42" x14ac:dyDescent="0.25">
      <c r="A876" s="13">
        <v>30</v>
      </c>
      <c r="B876" s="13" t="s">
        <v>59</v>
      </c>
      <c r="C876" s="13" t="s">
        <v>37</v>
      </c>
      <c r="D876" s="13">
        <v>853</v>
      </c>
      <c r="E876" s="13" t="s">
        <v>62</v>
      </c>
      <c r="F876" s="13">
        <v>7</v>
      </c>
      <c r="G876" s="13">
        <v>4</v>
      </c>
      <c r="H876" s="13" t="s">
        <v>42</v>
      </c>
      <c r="I876" s="13">
        <v>1</v>
      </c>
      <c r="J876" s="13">
        <v>1224</v>
      </c>
      <c r="K876" s="13">
        <v>3</v>
      </c>
      <c r="L876" s="13" t="s">
        <v>63</v>
      </c>
      <c r="M876" s="13">
        <v>49</v>
      </c>
      <c r="N876" s="13">
        <v>3</v>
      </c>
      <c r="O876" s="13">
        <v>2</v>
      </c>
      <c r="P876" s="13" t="s">
        <v>76</v>
      </c>
      <c r="Q876" s="13">
        <v>3</v>
      </c>
      <c r="R876" s="13" t="s">
        <v>109</v>
      </c>
      <c r="S876" s="20">
        <v>3491</v>
      </c>
      <c r="T876" s="13">
        <v>11309</v>
      </c>
      <c r="U876" s="13">
        <v>1</v>
      </c>
      <c r="V876" s="13" t="s">
        <v>52</v>
      </c>
      <c r="W876" s="13" t="s">
        <v>59</v>
      </c>
      <c r="X876" s="13">
        <v>13</v>
      </c>
      <c r="Y876" s="13">
        <v>3</v>
      </c>
      <c r="Z876" s="13">
        <v>1</v>
      </c>
      <c r="AA876" s="13">
        <v>80</v>
      </c>
      <c r="AB876" s="13">
        <v>3</v>
      </c>
      <c r="AC876" s="13">
        <v>10</v>
      </c>
      <c r="AD876" s="13">
        <v>4</v>
      </c>
      <c r="AE876" s="13">
        <v>2</v>
      </c>
      <c r="AF876" s="14">
        <v>10</v>
      </c>
      <c r="AG876" s="13">
        <v>7</v>
      </c>
      <c r="AH876" s="13">
        <v>8</v>
      </c>
      <c r="AI876" s="13">
        <v>9</v>
      </c>
      <c r="AJ876" s="13" t="str">
        <f t="shared" si="13"/>
        <v>30-39</v>
      </c>
      <c r="AK876" s="13" t="str">
        <f>IF(tblCleanData[[#This Row],[MonthlyIncome]]&lt;5000, "Low Income", IF(tblCleanData[[#This Row],[MonthlyIncome]]&lt;15000, "Medium Income", "High Income"))</f>
        <v>Low Income</v>
      </c>
      <c r="AL876" s="13">
        <f>IF(tblCleanData[[#This Row],[Attrition]]="No", 0,1)</f>
        <v>0</v>
      </c>
      <c r="AM876" s="13">
        <f>IF(tblCleanData[[#This Row],[OverTime]] = "No", 0, 1)</f>
        <v>0</v>
      </c>
      <c r="AN876" s="13" t="str">
        <f>CHOOSE(tblCleanData[[#This Row],[Education]], "Below College","College","Bachelor","Master","Doctor")</f>
        <v>Master</v>
      </c>
      <c r="AO876" s="13" t="str">
        <f>VLOOKUP(tblCleanData[[#This Row],[EmployeeNumber]],tblHelpers[],15,TRUE)</f>
        <v>Medium Risk</v>
      </c>
      <c r="AP876" s="13">
        <f>VLOOKUP(tblCleanData[[#This Row],[EmployeeNumber]],tblHelpers[],14,0)</f>
        <v>46</v>
      </c>
    </row>
    <row r="877" spans="1:42" x14ac:dyDescent="0.25">
      <c r="A877" s="13">
        <v>44</v>
      </c>
      <c r="B877" s="13" t="s">
        <v>59</v>
      </c>
      <c r="C877" s="13" t="s">
        <v>37</v>
      </c>
      <c r="D877" s="13">
        <v>200</v>
      </c>
      <c r="E877" s="13" t="s">
        <v>62</v>
      </c>
      <c r="F877" s="13">
        <v>29</v>
      </c>
      <c r="G877" s="13">
        <v>4</v>
      </c>
      <c r="H877" s="13" t="s">
        <v>74</v>
      </c>
      <c r="I877" s="13">
        <v>1</v>
      </c>
      <c r="J877" s="13">
        <v>1225</v>
      </c>
      <c r="K877" s="13">
        <v>4</v>
      </c>
      <c r="L877" s="13" t="s">
        <v>63</v>
      </c>
      <c r="M877" s="13">
        <v>32</v>
      </c>
      <c r="N877" s="13">
        <v>3</v>
      </c>
      <c r="O877" s="13">
        <v>2</v>
      </c>
      <c r="P877" s="13" t="s">
        <v>65</v>
      </c>
      <c r="Q877" s="13">
        <v>4</v>
      </c>
      <c r="R877" s="13" t="s">
        <v>48</v>
      </c>
      <c r="S877" s="20">
        <v>4541</v>
      </c>
      <c r="T877" s="13">
        <v>7744</v>
      </c>
      <c r="U877" s="13">
        <v>1</v>
      </c>
      <c r="V877" s="13" t="s">
        <v>52</v>
      </c>
      <c r="W877" s="13" t="s">
        <v>59</v>
      </c>
      <c r="X877" s="13">
        <v>25</v>
      </c>
      <c r="Y877" s="13">
        <v>4</v>
      </c>
      <c r="Z877" s="13">
        <v>2</v>
      </c>
      <c r="AA877" s="13">
        <v>80</v>
      </c>
      <c r="AB877" s="13">
        <v>0</v>
      </c>
      <c r="AC877" s="13">
        <v>20</v>
      </c>
      <c r="AD877" s="13">
        <v>3</v>
      </c>
      <c r="AE877" s="13">
        <v>3</v>
      </c>
      <c r="AF877" s="14">
        <v>20</v>
      </c>
      <c r="AG877" s="13">
        <v>11</v>
      </c>
      <c r="AH877" s="13">
        <v>13</v>
      </c>
      <c r="AI877" s="13">
        <v>17</v>
      </c>
      <c r="AJ877" s="13" t="str">
        <f t="shared" si="13"/>
        <v>40-49</v>
      </c>
      <c r="AK877" s="13" t="str">
        <f>IF(tblCleanData[[#This Row],[MonthlyIncome]]&lt;5000, "Low Income", IF(tblCleanData[[#This Row],[MonthlyIncome]]&lt;15000, "Medium Income", "High Income"))</f>
        <v>Low Income</v>
      </c>
      <c r="AL877" s="13">
        <f>IF(tblCleanData[[#This Row],[Attrition]]="No", 0,1)</f>
        <v>0</v>
      </c>
      <c r="AM877" s="13">
        <f>IF(tblCleanData[[#This Row],[OverTime]] = "No", 0, 1)</f>
        <v>0</v>
      </c>
      <c r="AN877" s="13" t="str">
        <f>CHOOSE(tblCleanData[[#This Row],[Education]], "Below College","College","Bachelor","Master","Doctor")</f>
        <v>Master</v>
      </c>
      <c r="AO877" s="13" t="str">
        <f>VLOOKUP(tblCleanData[[#This Row],[EmployeeNumber]],tblHelpers[],15,TRUE)</f>
        <v>Low Risk</v>
      </c>
      <c r="AP877" s="13">
        <f>VLOOKUP(tblCleanData[[#This Row],[EmployeeNumber]],tblHelpers[],14,0)</f>
        <v>24</v>
      </c>
    </row>
    <row r="878" spans="1:42" x14ac:dyDescent="0.25">
      <c r="A878" s="13">
        <v>20</v>
      </c>
      <c r="B878" s="13" t="s">
        <v>59</v>
      </c>
      <c r="C878" s="13" t="s">
        <v>37</v>
      </c>
      <c r="D878" s="13">
        <v>654</v>
      </c>
      <c r="E878" s="13" t="s">
        <v>39</v>
      </c>
      <c r="F878" s="13">
        <v>21</v>
      </c>
      <c r="G878" s="13">
        <v>3</v>
      </c>
      <c r="H878" s="13" t="s">
        <v>206</v>
      </c>
      <c r="I878" s="13">
        <v>1</v>
      </c>
      <c r="J878" s="13">
        <v>1226</v>
      </c>
      <c r="K878" s="13">
        <v>3</v>
      </c>
      <c r="L878" s="13" t="s">
        <v>63</v>
      </c>
      <c r="M878" s="13">
        <v>43</v>
      </c>
      <c r="N878" s="13">
        <v>4</v>
      </c>
      <c r="O878" s="13">
        <v>1</v>
      </c>
      <c r="P878" s="13" t="s">
        <v>182</v>
      </c>
      <c r="Q878" s="13">
        <v>4</v>
      </c>
      <c r="R878" s="13" t="s">
        <v>48</v>
      </c>
      <c r="S878" s="20">
        <v>2678</v>
      </c>
      <c r="T878" s="13">
        <v>5050</v>
      </c>
      <c r="U878" s="13">
        <v>1</v>
      </c>
      <c r="V878" s="13" t="s">
        <v>52</v>
      </c>
      <c r="W878" s="13" t="s">
        <v>59</v>
      </c>
      <c r="X878" s="13">
        <v>17</v>
      </c>
      <c r="Y878" s="13">
        <v>3</v>
      </c>
      <c r="Z878" s="13">
        <v>4</v>
      </c>
      <c r="AA878" s="13">
        <v>80</v>
      </c>
      <c r="AB878" s="13">
        <v>0</v>
      </c>
      <c r="AC878" s="13">
        <v>2</v>
      </c>
      <c r="AD878" s="13">
        <v>2</v>
      </c>
      <c r="AE878" s="13">
        <v>3</v>
      </c>
      <c r="AF878" s="14">
        <v>2</v>
      </c>
      <c r="AG878" s="13">
        <v>1</v>
      </c>
      <c r="AH878" s="13">
        <v>2</v>
      </c>
      <c r="AI878" s="13">
        <v>2</v>
      </c>
      <c r="AJ878" s="13" t="str">
        <f t="shared" si="13"/>
        <v>Under 30</v>
      </c>
      <c r="AK878" s="13" t="str">
        <f>IF(tblCleanData[[#This Row],[MonthlyIncome]]&lt;5000, "Low Income", IF(tblCleanData[[#This Row],[MonthlyIncome]]&lt;15000, "Medium Income", "High Income"))</f>
        <v>Low Income</v>
      </c>
      <c r="AL878" s="13">
        <f>IF(tblCleanData[[#This Row],[Attrition]]="No", 0,1)</f>
        <v>0</v>
      </c>
      <c r="AM878" s="13">
        <f>IF(tblCleanData[[#This Row],[OverTime]] = "No", 0, 1)</f>
        <v>0</v>
      </c>
      <c r="AN878" s="13" t="str">
        <f>CHOOSE(tblCleanData[[#This Row],[Education]], "Below College","College","Bachelor","Master","Doctor")</f>
        <v>Bachelor</v>
      </c>
      <c r="AO878" s="13" t="str">
        <f>VLOOKUP(tblCleanData[[#This Row],[EmployeeNumber]],tblHelpers[],15,TRUE)</f>
        <v>High Risk</v>
      </c>
      <c r="AP878" s="13">
        <f>VLOOKUP(tblCleanData[[#This Row],[EmployeeNumber]],tblHelpers[],14,0)</f>
        <v>66</v>
      </c>
    </row>
    <row r="879" spans="1:42" x14ac:dyDescent="0.25">
      <c r="A879" s="13">
        <v>46</v>
      </c>
      <c r="B879" s="13" t="s">
        <v>59</v>
      </c>
      <c r="C879" s="13" t="s">
        <v>37</v>
      </c>
      <c r="D879" s="13">
        <v>150</v>
      </c>
      <c r="E879" s="13" t="s">
        <v>62</v>
      </c>
      <c r="F879" s="13">
        <v>2</v>
      </c>
      <c r="G879" s="13">
        <v>4</v>
      </c>
      <c r="H879" s="13" t="s">
        <v>228</v>
      </c>
      <c r="I879" s="13">
        <v>1</v>
      </c>
      <c r="J879" s="13">
        <v>1228</v>
      </c>
      <c r="K879" s="13">
        <v>4</v>
      </c>
      <c r="L879" s="13" t="s">
        <v>63</v>
      </c>
      <c r="M879" s="13">
        <v>60</v>
      </c>
      <c r="N879" s="13">
        <v>3</v>
      </c>
      <c r="O879" s="13">
        <v>2</v>
      </c>
      <c r="P879" s="13" t="s">
        <v>116</v>
      </c>
      <c r="Q879" s="13">
        <v>4</v>
      </c>
      <c r="R879" s="13" t="s">
        <v>109</v>
      </c>
      <c r="S879" s="20">
        <v>7379</v>
      </c>
      <c r="T879" s="13">
        <v>17433</v>
      </c>
      <c r="U879" s="13">
        <v>2</v>
      </c>
      <c r="V879" s="13" t="s">
        <v>52</v>
      </c>
      <c r="W879" s="13" t="s">
        <v>59</v>
      </c>
      <c r="X879" s="13">
        <v>11</v>
      </c>
      <c r="Y879" s="13">
        <v>3</v>
      </c>
      <c r="Z879" s="13">
        <v>3</v>
      </c>
      <c r="AA879" s="13">
        <v>80</v>
      </c>
      <c r="AB879" s="13">
        <v>1</v>
      </c>
      <c r="AC879" s="13">
        <v>12</v>
      </c>
      <c r="AD879" s="13">
        <v>3</v>
      </c>
      <c r="AE879" s="13">
        <v>2</v>
      </c>
      <c r="AF879" s="14">
        <v>6</v>
      </c>
      <c r="AG879" s="13">
        <v>3</v>
      </c>
      <c r="AH879" s="13">
        <v>1</v>
      </c>
      <c r="AI879" s="13">
        <v>4</v>
      </c>
      <c r="AJ879" s="13" t="str">
        <f t="shared" si="13"/>
        <v>40-49</v>
      </c>
      <c r="AK879" s="13" t="str">
        <f>IF(tblCleanData[[#This Row],[MonthlyIncome]]&lt;5000, "Low Income", IF(tblCleanData[[#This Row],[MonthlyIncome]]&lt;15000, "Medium Income", "High Income"))</f>
        <v>Medium Income</v>
      </c>
      <c r="AL879" s="13">
        <f>IF(tblCleanData[[#This Row],[Attrition]]="No", 0,1)</f>
        <v>0</v>
      </c>
      <c r="AM879" s="13">
        <f>IF(tblCleanData[[#This Row],[OverTime]] = "No", 0, 1)</f>
        <v>0</v>
      </c>
      <c r="AN879" s="13" t="str">
        <f>CHOOSE(tblCleanData[[#This Row],[Education]], "Below College","College","Bachelor","Master","Doctor")</f>
        <v>Master</v>
      </c>
      <c r="AO879" s="13" t="str">
        <f>VLOOKUP(tblCleanData[[#This Row],[EmployeeNumber]],tblHelpers[],15,TRUE)</f>
        <v>Low Risk</v>
      </c>
      <c r="AP879" s="13">
        <f>VLOOKUP(tblCleanData[[#This Row],[EmployeeNumber]],tblHelpers[],14,0)</f>
        <v>29</v>
      </c>
    </row>
    <row r="880" spans="1:42" x14ac:dyDescent="0.25">
      <c r="A880" s="13">
        <v>42</v>
      </c>
      <c r="B880" s="13" t="s">
        <v>59</v>
      </c>
      <c r="C880" s="13" t="s">
        <v>161</v>
      </c>
      <c r="D880" s="13">
        <v>179</v>
      </c>
      <c r="E880" s="13" t="s">
        <v>397</v>
      </c>
      <c r="F880" s="13">
        <v>2</v>
      </c>
      <c r="G880" s="13">
        <v>5</v>
      </c>
      <c r="H880" s="13" t="s">
        <v>87</v>
      </c>
      <c r="I880" s="13">
        <v>1</v>
      </c>
      <c r="J880" s="13">
        <v>1231</v>
      </c>
      <c r="K880" s="13">
        <v>4</v>
      </c>
      <c r="L880" s="13" t="s">
        <v>63</v>
      </c>
      <c r="M880" s="13">
        <v>79</v>
      </c>
      <c r="N880" s="13">
        <v>4</v>
      </c>
      <c r="O880" s="13">
        <v>2</v>
      </c>
      <c r="P880" s="13" t="s">
        <v>397</v>
      </c>
      <c r="Q880" s="13">
        <v>1</v>
      </c>
      <c r="R880" s="13" t="s">
        <v>66</v>
      </c>
      <c r="S880" s="20">
        <v>6272</v>
      </c>
      <c r="T880" s="13">
        <v>12858</v>
      </c>
      <c r="U880" s="13">
        <v>7</v>
      </c>
      <c r="V880" s="13" t="s">
        <v>52</v>
      </c>
      <c r="W880" s="13" t="s">
        <v>59</v>
      </c>
      <c r="X880" s="13">
        <v>16</v>
      </c>
      <c r="Y880" s="13">
        <v>3</v>
      </c>
      <c r="Z880" s="13">
        <v>1</v>
      </c>
      <c r="AA880" s="13">
        <v>80</v>
      </c>
      <c r="AB880" s="13">
        <v>1</v>
      </c>
      <c r="AC880" s="13">
        <v>10</v>
      </c>
      <c r="AD880" s="13">
        <v>3</v>
      </c>
      <c r="AE880" s="13">
        <v>4</v>
      </c>
      <c r="AF880" s="14">
        <v>4</v>
      </c>
      <c r="AG880" s="13">
        <v>3</v>
      </c>
      <c r="AH880" s="13">
        <v>0</v>
      </c>
      <c r="AI880" s="13">
        <v>3</v>
      </c>
      <c r="AJ880" s="13" t="str">
        <f t="shared" si="13"/>
        <v>40-49</v>
      </c>
      <c r="AK880" s="13" t="str">
        <f>IF(tblCleanData[[#This Row],[MonthlyIncome]]&lt;5000, "Low Income", IF(tblCleanData[[#This Row],[MonthlyIncome]]&lt;15000, "Medium Income", "High Income"))</f>
        <v>Medium Income</v>
      </c>
      <c r="AL880" s="13">
        <f>IF(tblCleanData[[#This Row],[Attrition]]="No", 0,1)</f>
        <v>0</v>
      </c>
      <c r="AM880" s="13">
        <f>IF(tblCleanData[[#This Row],[OverTime]] = "No", 0, 1)</f>
        <v>0</v>
      </c>
      <c r="AN880" s="13" t="str">
        <f>CHOOSE(tblCleanData[[#This Row],[Education]], "Below College","College","Bachelor","Master","Doctor")</f>
        <v>Doctor</v>
      </c>
      <c r="AO880" s="13" t="str">
        <f>VLOOKUP(tblCleanData[[#This Row],[EmployeeNumber]],tblHelpers[],15,TRUE)</f>
        <v>High Risk</v>
      </c>
      <c r="AP880" s="13">
        <f>VLOOKUP(tblCleanData[[#This Row],[EmployeeNumber]],tblHelpers[],14,0)</f>
        <v>55</v>
      </c>
    </row>
    <row r="881" spans="1:42" x14ac:dyDescent="0.25">
      <c r="A881" s="13">
        <v>60</v>
      </c>
      <c r="B881" s="13" t="s">
        <v>59</v>
      </c>
      <c r="C881" s="13" t="s">
        <v>37</v>
      </c>
      <c r="D881" s="13">
        <v>696</v>
      </c>
      <c r="E881" s="13" t="s">
        <v>39</v>
      </c>
      <c r="F881" s="13">
        <v>7</v>
      </c>
      <c r="G881" s="13">
        <v>4</v>
      </c>
      <c r="H881" s="13" t="s">
        <v>206</v>
      </c>
      <c r="I881" s="13">
        <v>1</v>
      </c>
      <c r="J881" s="13">
        <v>1233</v>
      </c>
      <c r="K881" s="13">
        <v>2</v>
      </c>
      <c r="L881" s="13" t="s">
        <v>63</v>
      </c>
      <c r="M881" s="13">
        <v>52</v>
      </c>
      <c r="N881" s="13">
        <v>4</v>
      </c>
      <c r="O881" s="13">
        <v>2</v>
      </c>
      <c r="P881" s="13" t="s">
        <v>46</v>
      </c>
      <c r="Q881" s="13">
        <v>4</v>
      </c>
      <c r="R881" s="13" t="s">
        <v>109</v>
      </c>
      <c r="S881" s="20">
        <v>5220</v>
      </c>
      <c r="T881" s="13">
        <v>10893</v>
      </c>
      <c r="U881" s="13">
        <v>0</v>
      </c>
      <c r="V881" s="13" t="s">
        <v>52</v>
      </c>
      <c r="W881" s="13" t="s">
        <v>36</v>
      </c>
      <c r="X881" s="13">
        <v>18</v>
      </c>
      <c r="Y881" s="13">
        <v>3</v>
      </c>
      <c r="Z881" s="13">
        <v>2</v>
      </c>
      <c r="AA881" s="13">
        <v>80</v>
      </c>
      <c r="AB881" s="13">
        <v>1</v>
      </c>
      <c r="AC881" s="13">
        <v>12</v>
      </c>
      <c r="AD881" s="13">
        <v>3</v>
      </c>
      <c r="AE881" s="13">
        <v>3</v>
      </c>
      <c r="AF881" s="14">
        <v>11</v>
      </c>
      <c r="AG881" s="13">
        <v>7</v>
      </c>
      <c r="AH881" s="13">
        <v>1</v>
      </c>
      <c r="AI881" s="13">
        <v>9</v>
      </c>
      <c r="AJ881" s="13" t="str">
        <f t="shared" si="13"/>
        <v>50+</v>
      </c>
      <c r="AK881" s="13" t="str">
        <f>IF(tblCleanData[[#This Row],[MonthlyIncome]]&lt;5000, "Low Income", IF(tblCleanData[[#This Row],[MonthlyIncome]]&lt;15000, "Medium Income", "High Income"))</f>
        <v>Medium Income</v>
      </c>
      <c r="AL881" s="13">
        <f>IF(tblCleanData[[#This Row],[Attrition]]="No", 0,1)</f>
        <v>0</v>
      </c>
      <c r="AM881" s="13">
        <f>IF(tblCleanData[[#This Row],[OverTime]] = "No", 0, 1)</f>
        <v>1</v>
      </c>
      <c r="AN881" s="13" t="str">
        <f>CHOOSE(tblCleanData[[#This Row],[Education]], "Below College","College","Bachelor","Master","Doctor")</f>
        <v>Master</v>
      </c>
      <c r="AO881" s="13" t="str">
        <f>VLOOKUP(tblCleanData[[#This Row],[EmployeeNumber]],tblHelpers[],15,TRUE)</f>
        <v>Medium Risk</v>
      </c>
      <c r="AP881" s="13">
        <f>VLOOKUP(tblCleanData[[#This Row],[EmployeeNumber]],tblHelpers[],14,0)</f>
        <v>54</v>
      </c>
    </row>
    <row r="882" spans="1:42" x14ac:dyDescent="0.25">
      <c r="A882" s="13">
        <v>32</v>
      </c>
      <c r="B882" s="13" t="s">
        <v>59</v>
      </c>
      <c r="C882" s="13" t="s">
        <v>60</v>
      </c>
      <c r="D882" s="13">
        <v>116</v>
      </c>
      <c r="E882" s="13" t="s">
        <v>62</v>
      </c>
      <c r="F882" s="13">
        <v>13</v>
      </c>
      <c r="G882" s="13">
        <v>3</v>
      </c>
      <c r="H882" s="13" t="s">
        <v>74</v>
      </c>
      <c r="I882" s="13">
        <v>1</v>
      </c>
      <c r="J882" s="13">
        <v>1234</v>
      </c>
      <c r="K882" s="13">
        <v>3</v>
      </c>
      <c r="L882" s="13" t="s">
        <v>43</v>
      </c>
      <c r="M882" s="13">
        <v>77</v>
      </c>
      <c r="N882" s="13">
        <v>2</v>
      </c>
      <c r="O882" s="13">
        <v>1</v>
      </c>
      <c r="P882" s="13" t="s">
        <v>76</v>
      </c>
      <c r="Q882" s="13">
        <v>2</v>
      </c>
      <c r="R882" s="13" t="s">
        <v>66</v>
      </c>
      <c r="S882" s="20">
        <v>2743</v>
      </c>
      <c r="T882" s="13">
        <v>7331</v>
      </c>
      <c r="U882" s="13">
        <v>1</v>
      </c>
      <c r="V882" s="13" t="s">
        <v>52</v>
      </c>
      <c r="W882" s="13" t="s">
        <v>59</v>
      </c>
      <c r="X882" s="13">
        <v>20</v>
      </c>
      <c r="Y882" s="13">
        <v>4</v>
      </c>
      <c r="Z882" s="13">
        <v>3</v>
      </c>
      <c r="AA882" s="13">
        <v>80</v>
      </c>
      <c r="AB882" s="13">
        <v>1</v>
      </c>
      <c r="AC882" s="13">
        <v>2</v>
      </c>
      <c r="AD882" s="13">
        <v>2</v>
      </c>
      <c r="AE882" s="13">
        <v>3</v>
      </c>
      <c r="AF882" s="14">
        <v>2</v>
      </c>
      <c r="AG882" s="13">
        <v>2</v>
      </c>
      <c r="AH882" s="13">
        <v>2</v>
      </c>
      <c r="AI882" s="13">
        <v>2</v>
      </c>
      <c r="AJ882" s="13" t="str">
        <f t="shared" si="13"/>
        <v>30-39</v>
      </c>
      <c r="AK882" s="13" t="str">
        <f>IF(tblCleanData[[#This Row],[MonthlyIncome]]&lt;5000, "Low Income", IF(tblCleanData[[#This Row],[MonthlyIncome]]&lt;15000, "Medium Income", "High Income"))</f>
        <v>Low Income</v>
      </c>
      <c r="AL882" s="13">
        <f>IF(tblCleanData[[#This Row],[Attrition]]="No", 0,1)</f>
        <v>0</v>
      </c>
      <c r="AM882" s="13">
        <f>IF(tblCleanData[[#This Row],[OverTime]] = "No", 0, 1)</f>
        <v>0</v>
      </c>
      <c r="AN882" s="13" t="str">
        <f>CHOOSE(tblCleanData[[#This Row],[Education]], "Below College","College","Bachelor","Master","Doctor")</f>
        <v>Bachelor</v>
      </c>
      <c r="AO882" s="13" t="str">
        <f>VLOOKUP(tblCleanData[[#This Row],[EmployeeNumber]],tblHelpers[],15,TRUE)</f>
        <v>High Risk</v>
      </c>
      <c r="AP882" s="13">
        <f>VLOOKUP(tblCleanData[[#This Row],[EmployeeNumber]],tblHelpers[],14,0)</f>
        <v>69</v>
      </c>
    </row>
    <row r="883" spans="1:42" x14ac:dyDescent="0.25">
      <c r="A883" s="13">
        <v>32</v>
      </c>
      <c r="B883" s="13" t="s">
        <v>59</v>
      </c>
      <c r="C883" s="13" t="s">
        <v>60</v>
      </c>
      <c r="D883" s="13">
        <v>1316</v>
      </c>
      <c r="E883" s="13" t="s">
        <v>62</v>
      </c>
      <c r="F883" s="13">
        <v>2</v>
      </c>
      <c r="G883" s="13">
        <v>2</v>
      </c>
      <c r="H883" s="13" t="s">
        <v>42</v>
      </c>
      <c r="I883" s="13">
        <v>1</v>
      </c>
      <c r="J883" s="13">
        <v>1235</v>
      </c>
      <c r="K883" s="13">
        <v>4</v>
      </c>
      <c r="L883" s="13" t="s">
        <v>43</v>
      </c>
      <c r="M883" s="13">
        <v>38</v>
      </c>
      <c r="N883" s="13">
        <v>3</v>
      </c>
      <c r="O883" s="13">
        <v>2</v>
      </c>
      <c r="P883" s="13" t="s">
        <v>65</v>
      </c>
      <c r="Q883" s="13">
        <v>3</v>
      </c>
      <c r="R883" s="13" t="s">
        <v>48</v>
      </c>
      <c r="S883" s="20">
        <v>4998</v>
      </c>
      <c r="T883" s="13">
        <v>2338</v>
      </c>
      <c r="U883" s="13">
        <v>4</v>
      </c>
      <c r="V883" s="13" t="s">
        <v>52</v>
      </c>
      <c r="W883" s="13" t="s">
        <v>36</v>
      </c>
      <c r="X883" s="13">
        <v>14</v>
      </c>
      <c r="Y883" s="13">
        <v>3</v>
      </c>
      <c r="Z883" s="13">
        <v>4</v>
      </c>
      <c r="AA883" s="13">
        <v>80</v>
      </c>
      <c r="AB883" s="13">
        <v>0</v>
      </c>
      <c r="AC883" s="13">
        <v>10</v>
      </c>
      <c r="AD883" s="13">
        <v>2</v>
      </c>
      <c r="AE883" s="13">
        <v>3</v>
      </c>
      <c r="AF883" s="14">
        <v>8</v>
      </c>
      <c r="AG883" s="13">
        <v>7</v>
      </c>
      <c r="AH883" s="13">
        <v>0</v>
      </c>
      <c r="AI883" s="13">
        <v>7</v>
      </c>
      <c r="AJ883" s="13" t="str">
        <f t="shared" si="13"/>
        <v>30-39</v>
      </c>
      <c r="AK883" s="13" t="str">
        <f>IF(tblCleanData[[#This Row],[MonthlyIncome]]&lt;5000, "Low Income", IF(tblCleanData[[#This Row],[MonthlyIncome]]&lt;15000, "Medium Income", "High Income"))</f>
        <v>Low Income</v>
      </c>
      <c r="AL883" s="13">
        <f>IF(tblCleanData[[#This Row],[Attrition]]="No", 0,1)</f>
        <v>0</v>
      </c>
      <c r="AM883" s="13">
        <f>IF(tblCleanData[[#This Row],[OverTime]] = "No", 0, 1)</f>
        <v>1</v>
      </c>
      <c r="AN883" s="13" t="str">
        <f>CHOOSE(tblCleanData[[#This Row],[Education]], "Below College","College","Bachelor","Master","Doctor")</f>
        <v>College</v>
      </c>
      <c r="AO883" s="13" t="str">
        <f>VLOOKUP(tblCleanData[[#This Row],[EmployeeNumber]],tblHelpers[],15,TRUE)</f>
        <v>High Risk</v>
      </c>
      <c r="AP883" s="13">
        <f>VLOOKUP(tblCleanData[[#This Row],[EmployeeNumber]],tblHelpers[],14,0)</f>
        <v>71</v>
      </c>
    </row>
    <row r="884" spans="1:42" x14ac:dyDescent="0.25">
      <c r="A884" s="13">
        <v>36</v>
      </c>
      <c r="B884" s="13" t="s">
        <v>59</v>
      </c>
      <c r="C884" s="13" t="s">
        <v>37</v>
      </c>
      <c r="D884" s="13">
        <v>363</v>
      </c>
      <c r="E884" s="13" t="s">
        <v>62</v>
      </c>
      <c r="F884" s="13">
        <v>1</v>
      </c>
      <c r="G884" s="13">
        <v>3</v>
      </c>
      <c r="H884" s="13" t="s">
        <v>228</v>
      </c>
      <c r="I884" s="13">
        <v>1</v>
      </c>
      <c r="J884" s="13">
        <v>1237</v>
      </c>
      <c r="K884" s="13">
        <v>3</v>
      </c>
      <c r="L884" s="13" t="s">
        <v>43</v>
      </c>
      <c r="M884" s="13">
        <v>77</v>
      </c>
      <c r="N884" s="13">
        <v>1</v>
      </c>
      <c r="O884" s="13">
        <v>3</v>
      </c>
      <c r="P884" s="13" t="s">
        <v>116</v>
      </c>
      <c r="Q884" s="13">
        <v>1</v>
      </c>
      <c r="R884" s="13" t="s">
        <v>109</v>
      </c>
      <c r="S884" s="20">
        <v>10252</v>
      </c>
      <c r="T884" s="13">
        <v>4235</v>
      </c>
      <c r="U884" s="13">
        <v>2</v>
      </c>
      <c r="V884" s="13" t="s">
        <v>52</v>
      </c>
      <c r="W884" s="13" t="s">
        <v>36</v>
      </c>
      <c r="X884" s="13">
        <v>21</v>
      </c>
      <c r="Y884" s="13">
        <v>4</v>
      </c>
      <c r="Z884" s="13">
        <v>3</v>
      </c>
      <c r="AA884" s="13">
        <v>80</v>
      </c>
      <c r="AB884" s="13">
        <v>1</v>
      </c>
      <c r="AC884" s="13">
        <v>17</v>
      </c>
      <c r="AD884" s="13">
        <v>2</v>
      </c>
      <c r="AE884" s="13">
        <v>3</v>
      </c>
      <c r="AF884" s="14">
        <v>7</v>
      </c>
      <c r="AG884" s="13">
        <v>7</v>
      </c>
      <c r="AH884" s="13">
        <v>7</v>
      </c>
      <c r="AI884" s="13">
        <v>7</v>
      </c>
      <c r="AJ884" s="13" t="str">
        <f t="shared" si="13"/>
        <v>30-39</v>
      </c>
      <c r="AK884" s="13" t="str">
        <f>IF(tblCleanData[[#This Row],[MonthlyIncome]]&lt;5000, "Low Income", IF(tblCleanData[[#This Row],[MonthlyIncome]]&lt;15000, "Medium Income", "High Income"))</f>
        <v>Medium Income</v>
      </c>
      <c r="AL884" s="13">
        <f>IF(tblCleanData[[#This Row],[Attrition]]="No", 0,1)</f>
        <v>0</v>
      </c>
      <c r="AM884" s="13">
        <f>IF(tblCleanData[[#This Row],[OverTime]] = "No", 0, 1)</f>
        <v>1</v>
      </c>
      <c r="AN884" s="13" t="str">
        <f>CHOOSE(tblCleanData[[#This Row],[Education]], "Below College","College","Bachelor","Master","Doctor")</f>
        <v>Bachelor</v>
      </c>
      <c r="AO884" s="13" t="str">
        <f>VLOOKUP(tblCleanData[[#This Row],[EmployeeNumber]],tblHelpers[],15,TRUE)</f>
        <v>High Risk</v>
      </c>
      <c r="AP884" s="13">
        <f>VLOOKUP(tblCleanData[[#This Row],[EmployeeNumber]],tblHelpers[],14,0)</f>
        <v>83</v>
      </c>
    </row>
    <row r="885" spans="1:42" x14ac:dyDescent="0.25">
      <c r="A885" s="13">
        <v>33</v>
      </c>
      <c r="B885" s="13" t="s">
        <v>59</v>
      </c>
      <c r="C885" s="13" t="s">
        <v>37</v>
      </c>
      <c r="D885" s="13">
        <v>117</v>
      </c>
      <c r="E885" s="13" t="s">
        <v>62</v>
      </c>
      <c r="F885" s="13">
        <v>9</v>
      </c>
      <c r="G885" s="13">
        <v>3</v>
      </c>
      <c r="H885" s="13" t="s">
        <v>87</v>
      </c>
      <c r="I885" s="13">
        <v>1</v>
      </c>
      <c r="J885" s="13">
        <v>1238</v>
      </c>
      <c r="K885" s="13">
        <v>1</v>
      </c>
      <c r="L885" s="13" t="s">
        <v>63</v>
      </c>
      <c r="M885" s="13">
        <v>60</v>
      </c>
      <c r="N885" s="13">
        <v>3</v>
      </c>
      <c r="O885" s="13">
        <v>1</v>
      </c>
      <c r="P885" s="13" t="s">
        <v>65</v>
      </c>
      <c r="Q885" s="13">
        <v>4</v>
      </c>
      <c r="R885" s="13" t="s">
        <v>66</v>
      </c>
      <c r="S885" s="20">
        <v>2781</v>
      </c>
      <c r="T885" s="13">
        <v>6311</v>
      </c>
      <c r="U885" s="13">
        <v>0</v>
      </c>
      <c r="V885" s="13" t="s">
        <v>52</v>
      </c>
      <c r="W885" s="13" t="s">
        <v>59</v>
      </c>
      <c r="X885" s="13">
        <v>13</v>
      </c>
      <c r="Y885" s="13">
        <v>3</v>
      </c>
      <c r="Z885" s="13">
        <v>2</v>
      </c>
      <c r="AA885" s="13">
        <v>80</v>
      </c>
      <c r="AB885" s="13">
        <v>1</v>
      </c>
      <c r="AC885" s="13">
        <v>15</v>
      </c>
      <c r="AD885" s="13">
        <v>5</v>
      </c>
      <c r="AE885" s="13">
        <v>3</v>
      </c>
      <c r="AF885" s="14">
        <v>14</v>
      </c>
      <c r="AG885" s="13">
        <v>10</v>
      </c>
      <c r="AH885" s="13">
        <v>4</v>
      </c>
      <c r="AI885" s="13">
        <v>10</v>
      </c>
      <c r="AJ885" s="13" t="str">
        <f t="shared" si="13"/>
        <v>30-39</v>
      </c>
      <c r="AK885" s="13" t="str">
        <f>IF(tblCleanData[[#This Row],[MonthlyIncome]]&lt;5000, "Low Income", IF(tblCleanData[[#This Row],[MonthlyIncome]]&lt;15000, "Medium Income", "High Income"))</f>
        <v>Low Income</v>
      </c>
      <c r="AL885" s="13">
        <f>IF(tblCleanData[[#This Row],[Attrition]]="No", 0,1)</f>
        <v>0</v>
      </c>
      <c r="AM885" s="13">
        <f>IF(tblCleanData[[#This Row],[OverTime]] = "No", 0, 1)</f>
        <v>0</v>
      </c>
      <c r="AN885" s="13" t="str">
        <f>CHOOSE(tblCleanData[[#This Row],[Education]], "Below College","College","Bachelor","Master","Doctor")</f>
        <v>Bachelor</v>
      </c>
      <c r="AO885" s="13" t="str">
        <f>VLOOKUP(tblCleanData[[#This Row],[EmployeeNumber]],tblHelpers[],15,TRUE)</f>
        <v>Low Risk</v>
      </c>
      <c r="AP885" s="13">
        <f>VLOOKUP(tblCleanData[[#This Row],[EmployeeNumber]],tblHelpers[],14,0)</f>
        <v>34</v>
      </c>
    </row>
    <row r="886" spans="1:42" x14ac:dyDescent="0.25">
      <c r="A886" s="13">
        <v>40</v>
      </c>
      <c r="B886" s="13" t="s">
        <v>59</v>
      </c>
      <c r="C886" s="13" t="s">
        <v>37</v>
      </c>
      <c r="D886" s="13">
        <v>107</v>
      </c>
      <c r="E886" s="13" t="s">
        <v>39</v>
      </c>
      <c r="F886" s="13">
        <v>10</v>
      </c>
      <c r="G886" s="13">
        <v>3</v>
      </c>
      <c r="H886" s="13" t="s">
        <v>228</v>
      </c>
      <c r="I886" s="13">
        <v>1</v>
      </c>
      <c r="J886" s="13">
        <v>1239</v>
      </c>
      <c r="K886" s="13">
        <v>2</v>
      </c>
      <c r="L886" s="13" t="s">
        <v>43</v>
      </c>
      <c r="M886" s="13">
        <v>84</v>
      </c>
      <c r="N886" s="13">
        <v>2</v>
      </c>
      <c r="O886" s="13">
        <v>2</v>
      </c>
      <c r="P886" s="13" t="s">
        <v>46</v>
      </c>
      <c r="Q886" s="13">
        <v>2</v>
      </c>
      <c r="R886" s="13" t="s">
        <v>109</v>
      </c>
      <c r="S886" s="20">
        <v>6852</v>
      </c>
      <c r="T886" s="13">
        <v>11591</v>
      </c>
      <c r="U886" s="13">
        <v>7</v>
      </c>
      <c r="V886" s="13" t="s">
        <v>52</v>
      </c>
      <c r="W886" s="13" t="s">
        <v>59</v>
      </c>
      <c r="X886" s="13">
        <v>12</v>
      </c>
      <c r="Y886" s="13">
        <v>3</v>
      </c>
      <c r="Z886" s="13">
        <v>2</v>
      </c>
      <c r="AA886" s="13">
        <v>80</v>
      </c>
      <c r="AB886" s="13">
        <v>1</v>
      </c>
      <c r="AC886" s="13">
        <v>7</v>
      </c>
      <c r="AD886" s="13">
        <v>2</v>
      </c>
      <c r="AE886" s="13">
        <v>4</v>
      </c>
      <c r="AF886" s="14">
        <v>5</v>
      </c>
      <c r="AG886" s="13">
        <v>1</v>
      </c>
      <c r="AH886" s="13">
        <v>1</v>
      </c>
      <c r="AI886" s="13">
        <v>3</v>
      </c>
      <c r="AJ886" s="13" t="str">
        <f t="shared" si="13"/>
        <v>40-49</v>
      </c>
      <c r="AK886" s="13" t="str">
        <f>IF(tblCleanData[[#This Row],[MonthlyIncome]]&lt;5000, "Low Income", IF(tblCleanData[[#This Row],[MonthlyIncome]]&lt;15000, "Medium Income", "High Income"))</f>
        <v>Medium Income</v>
      </c>
      <c r="AL886" s="13">
        <f>IF(tblCleanData[[#This Row],[Attrition]]="No", 0,1)</f>
        <v>0</v>
      </c>
      <c r="AM886" s="13">
        <f>IF(tblCleanData[[#This Row],[OverTime]] = "No", 0, 1)</f>
        <v>0</v>
      </c>
      <c r="AN886" s="13" t="str">
        <f>CHOOSE(tblCleanData[[#This Row],[Education]], "Below College","College","Bachelor","Master","Doctor")</f>
        <v>Bachelor</v>
      </c>
      <c r="AO886" s="13" t="str">
        <f>VLOOKUP(tblCleanData[[#This Row],[EmployeeNumber]],tblHelpers[],15,TRUE)</f>
        <v>Medium Risk</v>
      </c>
      <c r="AP886" s="13">
        <f>VLOOKUP(tblCleanData[[#This Row],[EmployeeNumber]],tblHelpers[],14,0)</f>
        <v>49</v>
      </c>
    </row>
    <row r="887" spans="1:42" x14ac:dyDescent="0.25">
      <c r="A887" s="13">
        <v>25</v>
      </c>
      <c r="B887" s="13" t="s">
        <v>59</v>
      </c>
      <c r="C887" s="13" t="s">
        <v>37</v>
      </c>
      <c r="D887" s="13">
        <v>1356</v>
      </c>
      <c r="E887" s="13" t="s">
        <v>39</v>
      </c>
      <c r="F887" s="13">
        <v>10</v>
      </c>
      <c r="G887" s="13">
        <v>4</v>
      </c>
      <c r="H887" s="13" t="s">
        <v>42</v>
      </c>
      <c r="I887" s="13">
        <v>1</v>
      </c>
      <c r="J887" s="13">
        <v>1240</v>
      </c>
      <c r="K887" s="13">
        <v>3</v>
      </c>
      <c r="L887" s="13" t="s">
        <v>63</v>
      </c>
      <c r="M887" s="13">
        <v>57</v>
      </c>
      <c r="N887" s="13">
        <v>3</v>
      </c>
      <c r="O887" s="13">
        <v>2</v>
      </c>
      <c r="P887" s="13" t="s">
        <v>46</v>
      </c>
      <c r="Q887" s="13">
        <v>4</v>
      </c>
      <c r="R887" s="13" t="s">
        <v>48</v>
      </c>
      <c r="S887" s="20">
        <v>4950</v>
      </c>
      <c r="T887" s="13">
        <v>20623</v>
      </c>
      <c r="U887" s="13">
        <v>0</v>
      </c>
      <c r="V887" s="13" t="s">
        <v>52</v>
      </c>
      <c r="W887" s="13" t="s">
        <v>59</v>
      </c>
      <c r="X887" s="13">
        <v>14</v>
      </c>
      <c r="Y887" s="13">
        <v>3</v>
      </c>
      <c r="Z887" s="13">
        <v>2</v>
      </c>
      <c r="AA887" s="13">
        <v>80</v>
      </c>
      <c r="AB887" s="13">
        <v>0</v>
      </c>
      <c r="AC887" s="13">
        <v>5</v>
      </c>
      <c r="AD887" s="13">
        <v>4</v>
      </c>
      <c r="AE887" s="13">
        <v>3</v>
      </c>
      <c r="AF887" s="14">
        <v>4</v>
      </c>
      <c r="AG887" s="13">
        <v>3</v>
      </c>
      <c r="AH887" s="13">
        <v>1</v>
      </c>
      <c r="AI887" s="13">
        <v>1</v>
      </c>
      <c r="AJ887" s="13" t="str">
        <f t="shared" si="13"/>
        <v>Under 30</v>
      </c>
      <c r="AK887" s="13" t="str">
        <f>IF(tblCleanData[[#This Row],[MonthlyIncome]]&lt;5000, "Low Income", IF(tblCleanData[[#This Row],[MonthlyIncome]]&lt;15000, "Medium Income", "High Income"))</f>
        <v>Low Income</v>
      </c>
      <c r="AL887" s="13">
        <f>IF(tblCleanData[[#This Row],[Attrition]]="No", 0,1)</f>
        <v>0</v>
      </c>
      <c r="AM887" s="13">
        <f>IF(tblCleanData[[#This Row],[OverTime]] = "No", 0, 1)</f>
        <v>0</v>
      </c>
      <c r="AN887" s="13" t="str">
        <f>CHOOSE(tblCleanData[[#This Row],[Education]], "Below College","College","Bachelor","Master","Doctor")</f>
        <v>Master</v>
      </c>
      <c r="AO887" s="13" t="str">
        <f>VLOOKUP(tblCleanData[[#This Row],[EmployeeNumber]],tblHelpers[],15,TRUE)</f>
        <v>High Risk</v>
      </c>
      <c r="AP887" s="13">
        <f>VLOOKUP(tblCleanData[[#This Row],[EmployeeNumber]],tblHelpers[],14,0)</f>
        <v>56</v>
      </c>
    </row>
    <row r="888" spans="1:42" x14ac:dyDescent="0.25">
      <c r="A888" s="13">
        <v>30</v>
      </c>
      <c r="B888" s="13" t="s">
        <v>59</v>
      </c>
      <c r="C888" s="13" t="s">
        <v>37</v>
      </c>
      <c r="D888" s="13">
        <v>1465</v>
      </c>
      <c r="E888" s="13" t="s">
        <v>62</v>
      </c>
      <c r="F888" s="13">
        <v>1</v>
      </c>
      <c r="G888" s="13">
        <v>3</v>
      </c>
      <c r="H888" s="13" t="s">
        <v>87</v>
      </c>
      <c r="I888" s="13">
        <v>1</v>
      </c>
      <c r="J888" s="13">
        <v>1241</v>
      </c>
      <c r="K888" s="13">
        <v>4</v>
      </c>
      <c r="L888" s="13" t="s">
        <v>63</v>
      </c>
      <c r="M888" s="13">
        <v>63</v>
      </c>
      <c r="N888" s="13">
        <v>3</v>
      </c>
      <c r="O888" s="13">
        <v>1</v>
      </c>
      <c r="P888" s="13" t="s">
        <v>65</v>
      </c>
      <c r="Q888" s="13">
        <v>2</v>
      </c>
      <c r="R888" s="13" t="s">
        <v>66</v>
      </c>
      <c r="S888" s="20">
        <v>3579</v>
      </c>
      <c r="T888" s="13">
        <v>9369</v>
      </c>
      <c r="U888" s="13">
        <v>0</v>
      </c>
      <c r="V888" s="13" t="s">
        <v>52</v>
      </c>
      <c r="W888" s="13" t="s">
        <v>36</v>
      </c>
      <c r="X888" s="13">
        <v>21</v>
      </c>
      <c r="Y888" s="13">
        <v>4</v>
      </c>
      <c r="Z888" s="13">
        <v>1</v>
      </c>
      <c r="AA888" s="13">
        <v>80</v>
      </c>
      <c r="AB888" s="13">
        <v>1</v>
      </c>
      <c r="AC888" s="13">
        <v>12</v>
      </c>
      <c r="AD888" s="13">
        <v>2</v>
      </c>
      <c r="AE888" s="13">
        <v>3</v>
      </c>
      <c r="AF888" s="14">
        <v>11</v>
      </c>
      <c r="AG888" s="13">
        <v>9</v>
      </c>
      <c r="AH888" s="13">
        <v>5</v>
      </c>
      <c r="AI888" s="13">
        <v>7</v>
      </c>
      <c r="AJ888" s="13" t="str">
        <f t="shared" si="13"/>
        <v>30-39</v>
      </c>
      <c r="AK888" s="13" t="str">
        <f>IF(tblCleanData[[#This Row],[MonthlyIncome]]&lt;5000, "Low Income", IF(tblCleanData[[#This Row],[MonthlyIncome]]&lt;15000, "Medium Income", "High Income"))</f>
        <v>Low Income</v>
      </c>
      <c r="AL888" s="13">
        <f>IF(tblCleanData[[#This Row],[Attrition]]="No", 0,1)</f>
        <v>0</v>
      </c>
      <c r="AM888" s="13">
        <f>IF(tblCleanData[[#This Row],[OverTime]] = "No", 0, 1)</f>
        <v>1</v>
      </c>
      <c r="AN888" s="13" t="str">
        <f>CHOOSE(tblCleanData[[#This Row],[Education]], "Below College","College","Bachelor","Master","Doctor")</f>
        <v>Bachelor</v>
      </c>
      <c r="AO888" s="13" t="str">
        <f>VLOOKUP(tblCleanData[[#This Row],[EmployeeNumber]],tblHelpers[],15,TRUE)</f>
        <v>High Risk</v>
      </c>
      <c r="AP888" s="13">
        <f>VLOOKUP(tblCleanData[[#This Row],[EmployeeNumber]],tblHelpers[],14,0)</f>
        <v>72</v>
      </c>
    </row>
    <row r="889" spans="1:42" x14ac:dyDescent="0.25">
      <c r="A889" s="13">
        <v>42</v>
      </c>
      <c r="B889" s="13" t="s">
        <v>59</v>
      </c>
      <c r="C889" s="13" t="s">
        <v>60</v>
      </c>
      <c r="D889" s="13">
        <v>458</v>
      </c>
      <c r="E889" s="13" t="s">
        <v>62</v>
      </c>
      <c r="F889" s="13">
        <v>26</v>
      </c>
      <c r="G889" s="13">
        <v>5</v>
      </c>
      <c r="H889" s="13" t="s">
        <v>87</v>
      </c>
      <c r="I889" s="13">
        <v>1</v>
      </c>
      <c r="J889" s="13">
        <v>1242</v>
      </c>
      <c r="K889" s="13">
        <v>1</v>
      </c>
      <c r="L889" s="13" t="s">
        <v>43</v>
      </c>
      <c r="M889" s="13">
        <v>60</v>
      </c>
      <c r="N889" s="13">
        <v>3</v>
      </c>
      <c r="O889" s="13">
        <v>3</v>
      </c>
      <c r="P889" s="13" t="s">
        <v>186</v>
      </c>
      <c r="Q889" s="13">
        <v>1</v>
      </c>
      <c r="R889" s="13" t="s">
        <v>66</v>
      </c>
      <c r="S889" s="20">
        <v>13191</v>
      </c>
      <c r="T889" s="13">
        <v>23281</v>
      </c>
      <c r="U889" s="13">
        <v>3</v>
      </c>
      <c r="V889" s="13" t="s">
        <v>52</v>
      </c>
      <c r="W889" s="13" t="s">
        <v>36</v>
      </c>
      <c r="X889" s="13">
        <v>17</v>
      </c>
      <c r="Y889" s="13">
        <v>3</v>
      </c>
      <c r="Z889" s="13">
        <v>3</v>
      </c>
      <c r="AA889" s="13">
        <v>80</v>
      </c>
      <c r="AB889" s="13">
        <v>0</v>
      </c>
      <c r="AC889" s="13">
        <v>20</v>
      </c>
      <c r="AD889" s="13">
        <v>6</v>
      </c>
      <c r="AE889" s="13">
        <v>3</v>
      </c>
      <c r="AF889" s="14">
        <v>1</v>
      </c>
      <c r="AG889" s="13">
        <v>0</v>
      </c>
      <c r="AH889" s="13">
        <v>0</v>
      </c>
      <c r="AI889" s="13">
        <v>0</v>
      </c>
      <c r="AJ889" s="13" t="str">
        <f t="shared" si="13"/>
        <v>40-49</v>
      </c>
      <c r="AK889" s="13" t="str">
        <f>IF(tblCleanData[[#This Row],[MonthlyIncome]]&lt;5000, "Low Income", IF(tblCleanData[[#This Row],[MonthlyIncome]]&lt;15000, "Medium Income", "High Income"))</f>
        <v>Medium Income</v>
      </c>
      <c r="AL889" s="13">
        <f>IF(tblCleanData[[#This Row],[Attrition]]="No", 0,1)</f>
        <v>0</v>
      </c>
      <c r="AM889" s="13">
        <f>IF(tblCleanData[[#This Row],[OverTime]] = "No", 0, 1)</f>
        <v>1</v>
      </c>
      <c r="AN889" s="13" t="str">
        <f>CHOOSE(tblCleanData[[#This Row],[Education]], "Below College","College","Bachelor","Master","Doctor")</f>
        <v>Doctor</v>
      </c>
      <c r="AO889" s="13" t="str">
        <f>VLOOKUP(tblCleanData[[#This Row],[EmployeeNumber]],tblHelpers[],15,TRUE)</f>
        <v>High Risk</v>
      </c>
      <c r="AP889" s="13">
        <f>VLOOKUP(tblCleanData[[#This Row],[EmployeeNumber]],tblHelpers[],14,0)</f>
        <v>90</v>
      </c>
    </row>
    <row r="890" spans="1:42" x14ac:dyDescent="0.25">
      <c r="A890" s="13">
        <v>35</v>
      </c>
      <c r="B890" s="13" t="s">
        <v>59</v>
      </c>
      <c r="C890" s="13" t="s">
        <v>161</v>
      </c>
      <c r="D890" s="13">
        <v>1212</v>
      </c>
      <c r="E890" s="13" t="s">
        <v>39</v>
      </c>
      <c r="F890" s="13">
        <v>8</v>
      </c>
      <c r="G890" s="13">
        <v>2</v>
      </c>
      <c r="H890" s="13" t="s">
        <v>206</v>
      </c>
      <c r="I890" s="13">
        <v>1</v>
      </c>
      <c r="J890" s="13">
        <v>1243</v>
      </c>
      <c r="K890" s="13">
        <v>3</v>
      </c>
      <c r="L890" s="13" t="s">
        <v>43</v>
      </c>
      <c r="M890" s="13">
        <v>78</v>
      </c>
      <c r="N890" s="13">
        <v>2</v>
      </c>
      <c r="O890" s="13">
        <v>3</v>
      </c>
      <c r="P890" s="13" t="s">
        <v>46</v>
      </c>
      <c r="Q890" s="13">
        <v>4</v>
      </c>
      <c r="R890" s="13" t="s">
        <v>66</v>
      </c>
      <c r="S890" s="20">
        <v>10377</v>
      </c>
      <c r="T890" s="13">
        <v>13755</v>
      </c>
      <c r="U890" s="13">
        <v>4</v>
      </c>
      <c r="V890" s="13" t="s">
        <v>52</v>
      </c>
      <c r="W890" s="13" t="s">
        <v>36</v>
      </c>
      <c r="X890" s="13">
        <v>11</v>
      </c>
      <c r="Y890" s="13">
        <v>3</v>
      </c>
      <c r="Z890" s="13">
        <v>2</v>
      </c>
      <c r="AA890" s="13">
        <v>80</v>
      </c>
      <c r="AB890" s="13">
        <v>1</v>
      </c>
      <c r="AC890" s="13">
        <v>16</v>
      </c>
      <c r="AD890" s="13">
        <v>6</v>
      </c>
      <c r="AE890" s="13">
        <v>2</v>
      </c>
      <c r="AF890" s="14">
        <v>13</v>
      </c>
      <c r="AG890" s="13">
        <v>2</v>
      </c>
      <c r="AH890" s="13">
        <v>4</v>
      </c>
      <c r="AI890" s="13">
        <v>12</v>
      </c>
      <c r="AJ890" s="13" t="str">
        <f t="shared" si="13"/>
        <v>30-39</v>
      </c>
      <c r="AK890" s="13" t="str">
        <f>IF(tblCleanData[[#This Row],[MonthlyIncome]]&lt;5000, "Low Income", IF(tblCleanData[[#This Row],[MonthlyIncome]]&lt;15000, "Medium Income", "High Income"))</f>
        <v>Medium Income</v>
      </c>
      <c r="AL890" s="13">
        <f>IF(tblCleanData[[#This Row],[Attrition]]="No", 0,1)</f>
        <v>0</v>
      </c>
      <c r="AM890" s="13">
        <f>IF(tblCleanData[[#This Row],[OverTime]] = "No", 0, 1)</f>
        <v>1</v>
      </c>
      <c r="AN890" s="13" t="str">
        <f>CHOOSE(tblCleanData[[#This Row],[Education]], "Below College","College","Bachelor","Master","Doctor")</f>
        <v>College</v>
      </c>
      <c r="AO890" s="13" t="str">
        <f>VLOOKUP(tblCleanData[[#This Row],[EmployeeNumber]],tblHelpers[],15,TRUE)</f>
        <v>High Risk</v>
      </c>
      <c r="AP890" s="13">
        <f>VLOOKUP(tblCleanData[[#This Row],[EmployeeNumber]],tblHelpers[],14,0)</f>
        <v>59</v>
      </c>
    </row>
    <row r="891" spans="1:42" x14ac:dyDescent="0.25">
      <c r="A891" s="13">
        <v>27</v>
      </c>
      <c r="B891" s="13" t="s">
        <v>59</v>
      </c>
      <c r="C891" s="13" t="s">
        <v>37</v>
      </c>
      <c r="D891" s="13">
        <v>1103</v>
      </c>
      <c r="E891" s="13" t="s">
        <v>62</v>
      </c>
      <c r="F891" s="13">
        <v>14</v>
      </c>
      <c r="G891" s="13">
        <v>3</v>
      </c>
      <c r="H891" s="13" t="s">
        <v>42</v>
      </c>
      <c r="I891" s="13">
        <v>1</v>
      </c>
      <c r="J891" s="13">
        <v>1244</v>
      </c>
      <c r="K891" s="13">
        <v>1</v>
      </c>
      <c r="L891" s="13" t="s">
        <v>63</v>
      </c>
      <c r="M891" s="13">
        <v>42</v>
      </c>
      <c r="N891" s="13">
        <v>3</v>
      </c>
      <c r="O891" s="13">
        <v>1</v>
      </c>
      <c r="P891" s="13" t="s">
        <v>65</v>
      </c>
      <c r="Q891" s="13">
        <v>1</v>
      </c>
      <c r="R891" s="13" t="s">
        <v>66</v>
      </c>
      <c r="S891" s="20">
        <v>2235</v>
      </c>
      <c r="T891" s="13">
        <v>14377</v>
      </c>
      <c r="U891" s="13">
        <v>1</v>
      </c>
      <c r="V891" s="13" t="s">
        <v>52</v>
      </c>
      <c r="W891" s="13" t="s">
        <v>36</v>
      </c>
      <c r="X891" s="13">
        <v>14</v>
      </c>
      <c r="Y891" s="13">
        <v>3</v>
      </c>
      <c r="Z891" s="13">
        <v>4</v>
      </c>
      <c r="AA891" s="13">
        <v>80</v>
      </c>
      <c r="AB891" s="13">
        <v>2</v>
      </c>
      <c r="AC891" s="13">
        <v>9</v>
      </c>
      <c r="AD891" s="13">
        <v>3</v>
      </c>
      <c r="AE891" s="13">
        <v>2</v>
      </c>
      <c r="AF891" s="14">
        <v>9</v>
      </c>
      <c r="AG891" s="13">
        <v>7</v>
      </c>
      <c r="AH891" s="13">
        <v>6</v>
      </c>
      <c r="AI891" s="13">
        <v>8</v>
      </c>
      <c r="AJ891" s="13" t="str">
        <f t="shared" si="13"/>
        <v>Under 30</v>
      </c>
      <c r="AK891" s="13" t="str">
        <f>IF(tblCleanData[[#This Row],[MonthlyIncome]]&lt;5000, "Low Income", IF(tblCleanData[[#This Row],[MonthlyIncome]]&lt;15000, "Medium Income", "High Income"))</f>
        <v>Low Income</v>
      </c>
      <c r="AL891" s="13">
        <f>IF(tblCleanData[[#This Row],[Attrition]]="No", 0,1)</f>
        <v>0</v>
      </c>
      <c r="AM891" s="13">
        <f>IF(tblCleanData[[#This Row],[OverTime]] = "No", 0, 1)</f>
        <v>1</v>
      </c>
      <c r="AN891" s="13" t="str">
        <f>CHOOSE(tblCleanData[[#This Row],[Education]], "Below College","College","Bachelor","Master","Doctor")</f>
        <v>Bachelor</v>
      </c>
      <c r="AO891" s="13" t="str">
        <f>VLOOKUP(tblCleanData[[#This Row],[EmployeeNumber]],tblHelpers[],15,TRUE)</f>
        <v>High Risk</v>
      </c>
      <c r="AP891" s="13">
        <f>VLOOKUP(tblCleanData[[#This Row],[EmployeeNumber]],tblHelpers[],14,0)</f>
        <v>93</v>
      </c>
    </row>
    <row r="892" spans="1:42" x14ac:dyDescent="0.25">
      <c r="A892" s="13">
        <v>54</v>
      </c>
      <c r="B892" s="13" t="s">
        <v>59</v>
      </c>
      <c r="C892" s="13" t="s">
        <v>60</v>
      </c>
      <c r="D892" s="13">
        <v>966</v>
      </c>
      <c r="E892" s="13" t="s">
        <v>62</v>
      </c>
      <c r="F892" s="13">
        <v>1</v>
      </c>
      <c r="G892" s="13">
        <v>4</v>
      </c>
      <c r="H892" s="13" t="s">
        <v>42</v>
      </c>
      <c r="I892" s="13">
        <v>1</v>
      </c>
      <c r="J892" s="13">
        <v>1245</v>
      </c>
      <c r="K892" s="13">
        <v>4</v>
      </c>
      <c r="L892" s="13" t="s">
        <v>43</v>
      </c>
      <c r="M892" s="13">
        <v>53</v>
      </c>
      <c r="N892" s="13">
        <v>3</v>
      </c>
      <c r="O892" s="13">
        <v>3</v>
      </c>
      <c r="P892" s="13" t="s">
        <v>116</v>
      </c>
      <c r="Q892" s="13">
        <v>3</v>
      </c>
      <c r="R892" s="13" t="s">
        <v>109</v>
      </c>
      <c r="S892" s="20">
        <v>10502</v>
      </c>
      <c r="T892" s="13">
        <v>9659</v>
      </c>
      <c r="U892" s="13">
        <v>7</v>
      </c>
      <c r="V892" s="13" t="s">
        <v>52</v>
      </c>
      <c r="W892" s="13" t="s">
        <v>59</v>
      </c>
      <c r="X892" s="13">
        <v>17</v>
      </c>
      <c r="Y892" s="13">
        <v>3</v>
      </c>
      <c r="Z892" s="13">
        <v>1</v>
      </c>
      <c r="AA892" s="13">
        <v>80</v>
      </c>
      <c r="AB892" s="13">
        <v>1</v>
      </c>
      <c r="AC892" s="13">
        <v>33</v>
      </c>
      <c r="AD892" s="13">
        <v>2</v>
      </c>
      <c r="AE892" s="13">
        <v>1</v>
      </c>
      <c r="AF892" s="14">
        <v>5</v>
      </c>
      <c r="AG892" s="13">
        <v>4</v>
      </c>
      <c r="AH892" s="13">
        <v>1</v>
      </c>
      <c r="AI892" s="13">
        <v>4</v>
      </c>
      <c r="AJ892" s="13" t="str">
        <f t="shared" si="13"/>
        <v>50+</v>
      </c>
      <c r="AK892" s="13" t="str">
        <f>IF(tblCleanData[[#This Row],[MonthlyIncome]]&lt;5000, "Low Income", IF(tblCleanData[[#This Row],[MonthlyIncome]]&lt;15000, "Medium Income", "High Income"))</f>
        <v>Medium Income</v>
      </c>
      <c r="AL892" s="13">
        <f>IF(tblCleanData[[#This Row],[Attrition]]="No", 0,1)</f>
        <v>0</v>
      </c>
      <c r="AM892" s="13">
        <f>IF(tblCleanData[[#This Row],[OverTime]] = "No", 0, 1)</f>
        <v>0</v>
      </c>
      <c r="AN892" s="13" t="str">
        <f>CHOOSE(tblCleanData[[#This Row],[Education]], "Below College","College","Bachelor","Master","Doctor")</f>
        <v>Master</v>
      </c>
      <c r="AO892" s="13" t="str">
        <f>VLOOKUP(tblCleanData[[#This Row],[EmployeeNumber]],tblHelpers[],15,TRUE)</f>
        <v>Medium Risk</v>
      </c>
      <c r="AP892" s="13">
        <f>VLOOKUP(tblCleanData[[#This Row],[EmployeeNumber]],tblHelpers[],14,0)</f>
        <v>48</v>
      </c>
    </row>
    <row r="893" spans="1:42" x14ac:dyDescent="0.25">
      <c r="A893" s="13">
        <v>44</v>
      </c>
      <c r="B893" s="13" t="s">
        <v>59</v>
      </c>
      <c r="C893" s="13" t="s">
        <v>37</v>
      </c>
      <c r="D893" s="13">
        <v>1117</v>
      </c>
      <c r="E893" s="13" t="s">
        <v>62</v>
      </c>
      <c r="F893" s="13">
        <v>2</v>
      </c>
      <c r="G893" s="13">
        <v>1</v>
      </c>
      <c r="H893" s="13" t="s">
        <v>42</v>
      </c>
      <c r="I893" s="13">
        <v>1</v>
      </c>
      <c r="J893" s="13">
        <v>1246</v>
      </c>
      <c r="K893" s="13">
        <v>1</v>
      </c>
      <c r="L893" s="13" t="s">
        <v>43</v>
      </c>
      <c r="M893" s="13">
        <v>72</v>
      </c>
      <c r="N893" s="13">
        <v>4</v>
      </c>
      <c r="O893" s="13">
        <v>1</v>
      </c>
      <c r="P893" s="13" t="s">
        <v>65</v>
      </c>
      <c r="Q893" s="13">
        <v>4</v>
      </c>
      <c r="R893" s="13" t="s">
        <v>66</v>
      </c>
      <c r="S893" s="20">
        <v>2011</v>
      </c>
      <c r="T893" s="13">
        <v>19982</v>
      </c>
      <c r="U893" s="13">
        <v>1</v>
      </c>
      <c r="V893" s="13" t="s">
        <v>52</v>
      </c>
      <c r="W893" s="13" t="s">
        <v>59</v>
      </c>
      <c r="X893" s="13">
        <v>13</v>
      </c>
      <c r="Y893" s="13">
        <v>3</v>
      </c>
      <c r="Z893" s="13">
        <v>4</v>
      </c>
      <c r="AA893" s="13">
        <v>80</v>
      </c>
      <c r="AB893" s="13">
        <v>1</v>
      </c>
      <c r="AC893" s="13">
        <v>10</v>
      </c>
      <c r="AD893" s="13">
        <v>5</v>
      </c>
      <c r="AE893" s="13">
        <v>3</v>
      </c>
      <c r="AF893" s="14">
        <v>10</v>
      </c>
      <c r="AG893" s="13">
        <v>5</v>
      </c>
      <c r="AH893" s="13">
        <v>7</v>
      </c>
      <c r="AI893" s="13">
        <v>7</v>
      </c>
      <c r="AJ893" s="13" t="str">
        <f t="shared" si="13"/>
        <v>40-49</v>
      </c>
      <c r="AK893" s="13" t="str">
        <f>IF(tblCleanData[[#This Row],[MonthlyIncome]]&lt;5000, "Low Income", IF(tblCleanData[[#This Row],[MonthlyIncome]]&lt;15000, "Medium Income", "High Income"))</f>
        <v>Low Income</v>
      </c>
      <c r="AL893" s="13">
        <f>IF(tblCleanData[[#This Row],[Attrition]]="No", 0,1)</f>
        <v>0</v>
      </c>
      <c r="AM893" s="13">
        <f>IF(tblCleanData[[#This Row],[OverTime]] = "No", 0, 1)</f>
        <v>0</v>
      </c>
      <c r="AN893" s="13" t="str">
        <f>CHOOSE(tblCleanData[[#This Row],[Education]], "Below College","College","Bachelor","Master","Doctor")</f>
        <v>Below College</v>
      </c>
      <c r="AO893" s="13" t="str">
        <f>VLOOKUP(tblCleanData[[#This Row],[EmployeeNumber]],tblHelpers[],15,TRUE)</f>
        <v>Low Risk</v>
      </c>
      <c r="AP893" s="13">
        <f>VLOOKUP(tblCleanData[[#This Row],[EmployeeNumber]],tblHelpers[],14,0)</f>
        <v>29</v>
      </c>
    </row>
    <row r="894" spans="1:42" x14ac:dyDescent="0.25">
      <c r="A894" s="13">
        <v>19</v>
      </c>
      <c r="B894" s="13" t="s">
        <v>36</v>
      </c>
      <c r="C894" s="13" t="s">
        <v>161</v>
      </c>
      <c r="D894" s="13">
        <v>504</v>
      </c>
      <c r="E894" s="13" t="s">
        <v>62</v>
      </c>
      <c r="F894" s="13">
        <v>10</v>
      </c>
      <c r="G894" s="13">
        <v>3</v>
      </c>
      <c r="H894" s="13" t="s">
        <v>87</v>
      </c>
      <c r="I894" s="13">
        <v>1</v>
      </c>
      <c r="J894" s="13">
        <v>1248</v>
      </c>
      <c r="K894" s="13">
        <v>1</v>
      </c>
      <c r="L894" s="13" t="s">
        <v>43</v>
      </c>
      <c r="M894" s="13">
        <v>96</v>
      </c>
      <c r="N894" s="13">
        <v>2</v>
      </c>
      <c r="O894" s="13">
        <v>1</v>
      </c>
      <c r="P894" s="13" t="s">
        <v>65</v>
      </c>
      <c r="Q894" s="13">
        <v>2</v>
      </c>
      <c r="R894" s="13" t="s">
        <v>48</v>
      </c>
      <c r="S894" s="20">
        <v>1859</v>
      </c>
      <c r="T894" s="13">
        <v>6148</v>
      </c>
      <c r="U894" s="13">
        <v>1</v>
      </c>
      <c r="V894" s="13" t="s">
        <v>52</v>
      </c>
      <c r="W894" s="13" t="s">
        <v>36</v>
      </c>
      <c r="X894" s="13">
        <v>25</v>
      </c>
      <c r="Y894" s="13">
        <v>4</v>
      </c>
      <c r="Z894" s="13">
        <v>2</v>
      </c>
      <c r="AA894" s="13">
        <v>80</v>
      </c>
      <c r="AB894" s="13">
        <v>0</v>
      </c>
      <c r="AC894" s="13">
        <v>1</v>
      </c>
      <c r="AD894" s="13">
        <v>2</v>
      </c>
      <c r="AE894" s="13">
        <v>4</v>
      </c>
      <c r="AF894" s="14">
        <v>1</v>
      </c>
      <c r="AG894" s="13">
        <v>1</v>
      </c>
      <c r="AH894" s="13">
        <v>0</v>
      </c>
      <c r="AI894" s="13">
        <v>0</v>
      </c>
      <c r="AJ894" s="13" t="str">
        <f t="shared" si="13"/>
        <v>Under 30</v>
      </c>
      <c r="AK894" s="13" t="str">
        <f>IF(tblCleanData[[#This Row],[MonthlyIncome]]&lt;5000, "Low Income", IF(tblCleanData[[#This Row],[MonthlyIncome]]&lt;15000, "Medium Income", "High Income"))</f>
        <v>Low Income</v>
      </c>
      <c r="AL894" s="13">
        <f>IF(tblCleanData[[#This Row],[Attrition]]="No", 0,1)</f>
        <v>1</v>
      </c>
      <c r="AM894" s="13">
        <f>IF(tblCleanData[[#This Row],[OverTime]] = "No", 0, 1)</f>
        <v>1</v>
      </c>
      <c r="AN894" s="13" t="str">
        <f>CHOOSE(tblCleanData[[#This Row],[Education]], "Below College","College","Bachelor","Master","Doctor")</f>
        <v>Bachelor</v>
      </c>
      <c r="AO894" s="13" t="str">
        <f>VLOOKUP(tblCleanData[[#This Row],[EmployeeNumber]],tblHelpers[],15,TRUE)</f>
        <v>High Risk</v>
      </c>
      <c r="AP894" s="13">
        <f>VLOOKUP(tblCleanData[[#This Row],[EmployeeNumber]],tblHelpers[],14,0)</f>
        <v>104</v>
      </c>
    </row>
    <row r="895" spans="1:42" x14ac:dyDescent="0.25">
      <c r="A895" s="13">
        <v>29</v>
      </c>
      <c r="B895" s="13" t="s">
        <v>59</v>
      </c>
      <c r="C895" s="13" t="s">
        <v>37</v>
      </c>
      <c r="D895" s="13">
        <v>1010</v>
      </c>
      <c r="E895" s="13" t="s">
        <v>62</v>
      </c>
      <c r="F895" s="13">
        <v>1</v>
      </c>
      <c r="G895" s="13">
        <v>3</v>
      </c>
      <c r="H895" s="13" t="s">
        <v>42</v>
      </c>
      <c r="I895" s="13">
        <v>1</v>
      </c>
      <c r="J895" s="13">
        <v>1249</v>
      </c>
      <c r="K895" s="13">
        <v>1</v>
      </c>
      <c r="L895" s="13" t="s">
        <v>43</v>
      </c>
      <c r="M895" s="13">
        <v>97</v>
      </c>
      <c r="N895" s="13">
        <v>3</v>
      </c>
      <c r="O895" s="13">
        <v>1</v>
      </c>
      <c r="P895" s="13" t="s">
        <v>65</v>
      </c>
      <c r="Q895" s="13">
        <v>4</v>
      </c>
      <c r="R895" s="13" t="s">
        <v>109</v>
      </c>
      <c r="S895" s="20">
        <v>3760</v>
      </c>
      <c r="T895" s="13">
        <v>5598</v>
      </c>
      <c r="U895" s="13">
        <v>1</v>
      </c>
      <c r="V895" s="13" t="s">
        <v>52</v>
      </c>
      <c r="W895" s="13" t="s">
        <v>59</v>
      </c>
      <c r="X895" s="13">
        <v>15</v>
      </c>
      <c r="Y895" s="13">
        <v>3</v>
      </c>
      <c r="Z895" s="13">
        <v>1</v>
      </c>
      <c r="AA895" s="13">
        <v>80</v>
      </c>
      <c r="AB895" s="13">
        <v>3</v>
      </c>
      <c r="AC895" s="13">
        <v>3</v>
      </c>
      <c r="AD895" s="13">
        <v>5</v>
      </c>
      <c r="AE895" s="13">
        <v>3</v>
      </c>
      <c r="AF895" s="14">
        <v>3</v>
      </c>
      <c r="AG895" s="13">
        <v>2</v>
      </c>
      <c r="AH895" s="13">
        <v>1</v>
      </c>
      <c r="AI895" s="13">
        <v>2</v>
      </c>
      <c r="AJ895" s="13" t="str">
        <f t="shared" si="13"/>
        <v>Under 30</v>
      </c>
      <c r="AK895" s="13" t="str">
        <f>IF(tblCleanData[[#This Row],[MonthlyIncome]]&lt;5000, "Low Income", IF(tblCleanData[[#This Row],[MonthlyIncome]]&lt;15000, "Medium Income", "High Income"))</f>
        <v>Low Income</v>
      </c>
      <c r="AL895" s="13">
        <f>IF(tblCleanData[[#This Row],[Attrition]]="No", 0,1)</f>
        <v>0</v>
      </c>
      <c r="AM895" s="13">
        <f>IF(tblCleanData[[#This Row],[OverTime]] = "No", 0, 1)</f>
        <v>0</v>
      </c>
      <c r="AN895" s="13" t="str">
        <f>CHOOSE(tblCleanData[[#This Row],[Education]], "Below College","College","Bachelor","Master","Doctor")</f>
        <v>Bachelor</v>
      </c>
      <c r="AO895" s="13" t="str">
        <f>VLOOKUP(tblCleanData[[#This Row],[EmployeeNumber]],tblHelpers[],15,TRUE)</f>
        <v>High Risk</v>
      </c>
      <c r="AP895" s="13">
        <f>VLOOKUP(tblCleanData[[#This Row],[EmployeeNumber]],tblHelpers[],14,0)</f>
        <v>56</v>
      </c>
    </row>
    <row r="896" spans="1:42" x14ac:dyDescent="0.25">
      <c r="A896" s="13">
        <v>54</v>
      </c>
      <c r="B896" s="13" t="s">
        <v>59</v>
      </c>
      <c r="C896" s="13" t="s">
        <v>37</v>
      </c>
      <c r="D896" s="13">
        <v>685</v>
      </c>
      <c r="E896" s="13" t="s">
        <v>62</v>
      </c>
      <c r="F896" s="13">
        <v>3</v>
      </c>
      <c r="G896" s="13">
        <v>3</v>
      </c>
      <c r="H896" s="13" t="s">
        <v>42</v>
      </c>
      <c r="I896" s="13">
        <v>1</v>
      </c>
      <c r="J896" s="13">
        <v>1250</v>
      </c>
      <c r="K896" s="13">
        <v>4</v>
      </c>
      <c r="L896" s="13" t="s">
        <v>63</v>
      </c>
      <c r="M896" s="13">
        <v>85</v>
      </c>
      <c r="N896" s="13">
        <v>3</v>
      </c>
      <c r="O896" s="13">
        <v>4</v>
      </c>
      <c r="P896" s="13" t="s">
        <v>186</v>
      </c>
      <c r="Q896" s="13">
        <v>4</v>
      </c>
      <c r="R896" s="13" t="s">
        <v>66</v>
      </c>
      <c r="S896" s="20">
        <v>17779</v>
      </c>
      <c r="T896" s="13">
        <v>23474</v>
      </c>
      <c r="U896" s="13">
        <v>3</v>
      </c>
      <c r="V896" s="13" t="s">
        <v>52</v>
      </c>
      <c r="W896" s="13" t="s">
        <v>59</v>
      </c>
      <c r="X896" s="13">
        <v>14</v>
      </c>
      <c r="Y896" s="13">
        <v>3</v>
      </c>
      <c r="Z896" s="13">
        <v>1</v>
      </c>
      <c r="AA896" s="13">
        <v>80</v>
      </c>
      <c r="AB896" s="13">
        <v>0</v>
      </c>
      <c r="AC896" s="13">
        <v>36</v>
      </c>
      <c r="AD896" s="13">
        <v>2</v>
      </c>
      <c r="AE896" s="13">
        <v>3</v>
      </c>
      <c r="AF896" s="14">
        <v>10</v>
      </c>
      <c r="AG896" s="13">
        <v>9</v>
      </c>
      <c r="AH896" s="13">
        <v>0</v>
      </c>
      <c r="AI896" s="13">
        <v>9</v>
      </c>
      <c r="AJ896" s="13" t="str">
        <f t="shared" si="13"/>
        <v>50+</v>
      </c>
      <c r="AK896" s="13" t="str">
        <f>IF(tblCleanData[[#This Row],[MonthlyIncome]]&lt;5000, "Low Income", IF(tblCleanData[[#This Row],[MonthlyIncome]]&lt;15000, "Medium Income", "High Income"))</f>
        <v>High Income</v>
      </c>
      <c r="AL896" s="13">
        <f>IF(tblCleanData[[#This Row],[Attrition]]="No", 0,1)</f>
        <v>0</v>
      </c>
      <c r="AM896" s="13">
        <f>IF(tblCleanData[[#This Row],[OverTime]] = "No", 0, 1)</f>
        <v>0</v>
      </c>
      <c r="AN896" s="13" t="str">
        <f>CHOOSE(tblCleanData[[#This Row],[Education]], "Below College","College","Bachelor","Master","Doctor")</f>
        <v>Bachelor</v>
      </c>
      <c r="AO896" s="13" t="str">
        <f>VLOOKUP(tblCleanData[[#This Row],[EmployeeNumber]],tblHelpers[],15,TRUE)</f>
        <v>Low Risk</v>
      </c>
      <c r="AP896" s="13">
        <f>VLOOKUP(tblCleanData[[#This Row],[EmployeeNumber]],tblHelpers[],14,0)</f>
        <v>34</v>
      </c>
    </row>
    <row r="897" spans="1:42" x14ac:dyDescent="0.25">
      <c r="A897" s="13">
        <v>31</v>
      </c>
      <c r="B897" s="13" t="s">
        <v>59</v>
      </c>
      <c r="C897" s="13" t="s">
        <v>37</v>
      </c>
      <c r="D897" s="13">
        <v>1332</v>
      </c>
      <c r="E897" s="13" t="s">
        <v>62</v>
      </c>
      <c r="F897" s="13">
        <v>11</v>
      </c>
      <c r="G897" s="13">
        <v>2</v>
      </c>
      <c r="H897" s="13" t="s">
        <v>87</v>
      </c>
      <c r="I897" s="13">
        <v>1</v>
      </c>
      <c r="J897" s="13">
        <v>1251</v>
      </c>
      <c r="K897" s="13">
        <v>3</v>
      </c>
      <c r="L897" s="13" t="s">
        <v>63</v>
      </c>
      <c r="M897" s="13">
        <v>80</v>
      </c>
      <c r="N897" s="13">
        <v>3</v>
      </c>
      <c r="O897" s="13">
        <v>2</v>
      </c>
      <c r="P897" s="13" t="s">
        <v>122</v>
      </c>
      <c r="Q897" s="13">
        <v>1</v>
      </c>
      <c r="R897" s="13" t="s">
        <v>66</v>
      </c>
      <c r="S897" s="20">
        <v>6833</v>
      </c>
      <c r="T897" s="13">
        <v>17089</v>
      </c>
      <c r="U897" s="13">
        <v>1</v>
      </c>
      <c r="V897" s="13" t="s">
        <v>52</v>
      </c>
      <c r="W897" s="13" t="s">
        <v>36</v>
      </c>
      <c r="X897" s="13">
        <v>12</v>
      </c>
      <c r="Y897" s="13">
        <v>3</v>
      </c>
      <c r="Z897" s="13">
        <v>4</v>
      </c>
      <c r="AA897" s="13">
        <v>80</v>
      </c>
      <c r="AB897" s="13">
        <v>0</v>
      </c>
      <c r="AC897" s="13">
        <v>6</v>
      </c>
      <c r="AD897" s="13">
        <v>2</v>
      </c>
      <c r="AE897" s="13">
        <v>2</v>
      </c>
      <c r="AF897" s="14">
        <v>6</v>
      </c>
      <c r="AG897" s="13">
        <v>5</v>
      </c>
      <c r="AH897" s="13">
        <v>0</v>
      </c>
      <c r="AI897" s="13">
        <v>1</v>
      </c>
      <c r="AJ897" s="13" t="str">
        <f t="shared" si="13"/>
        <v>30-39</v>
      </c>
      <c r="AK897" s="13" t="str">
        <f>IF(tblCleanData[[#This Row],[MonthlyIncome]]&lt;5000, "Low Income", IF(tblCleanData[[#This Row],[MonthlyIncome]]&lt;15000, "Medium Income", "High Income"))</f>
        <v>Medium Income</v>
      </c>
      <c r="AL897" s="13">
        <f>IF(tblCleanData[[#This Row],[Attrition]]="No", 0,1)</f>
        <v>0</v>
      </c>
      <c r="AM897" s="13">
        <f>IF(tblCleanData[[#This Row],[OverTime]] = "No", 0, 1)</f>
        <v>1</v>
      </c>
      <c r="AN897" s="13" t="str">
        <f>CHOOSE(tblCleanData[[#This Row],[Education]], "Below College","College","Bachelor","Master","Doctor")</f>
        <v>College</v>
      </c>
      <c r="AO897" s="13" t="str">
        <f>VLOOKUP(tblCleanData[[#This Row],[EmployeeNumber]],tblHelpers[],15,TRUE)</f>
        <v>High Risk</v>
      </c>
      <c r="AP897" s="13">
        <f>VLOOKUP(tblCleanData[[#This Row],[EmployeeNumber]],tblHelpers[],14,0)</f>
        <v>83</v>
      </c>
    </row>
    <row r="898" spans="1:42" x14ac:dyDescent="0.25">
      <c r="A898" s="13">
        <v>31</v>
      </c>
      <c r="B898" s="13" t="s">
        <v>59</v>
      </c>
      <c r="C898" s="13" t="s">
        <v>37</v>
      </c>
      <c r="D898" s="13">
        <v>1062</v>
      </c>
      <c r="E898" s="13" t="s">
        <v>62</v>
      </c>
      <c r="F898" s="13">
        <v>24</v>
      </c>
      <c r="G898" s="13">
        <v>3</v>
      </c>
      <c r="H898" s="13" t="s">
        <v>87</v>
      </c>
      <c r="I898" s="13">
        <v>1</v>
      </c>
      <c r="J898" s="13">
        <v>1252</v>
      </c>
      <c r="K898" s="13">
        <v>3</v>
      </c>
      <c r="L898" s="13" t="s">
        <v>43</v>
      </c>
      <c r="M898" s="13">
        <v>96</v>
      </c>
      <c r="N898" s="13">
        <v>2</v>
      </c>
      <c r="O898" s="13">
        <v>2</v>
      </c>
      <c r="P898" s="13" t="s">
        <v>122</v>
      </c>
      <c r="Q898" s="13">
        <v>1</v>
      </c>
      <c r="R898" s="13" t="s">
        <v>48</v>
      </c>
      <c r="S898" s="20">
        <v>6812</v>
      </c>
      <c r="T898" s="13">
        <v>17198</v>
      </c>
      <c r="U898" s="13">
        <v>1</v>
      </c>
      <c r="V898" s="13" t="s">
        <v>52</v>
      </c>
      <c r="W898" s="13" t="s">
        <v>59</v>
      </c>
      <c r="X898" s="13">
        <v>19</v>
      </c>
      <c r="Y898" s="13">
        <v>3</v>
      </c>
      <c r="Z898" s="13">
        <v>2</v>
      </c>
      <c r="AA898" s="13">
        <v>80</v>
      </c>
      <c r="AB898" s="13">
        <v>0</v>
      </c>
      <c r="AC898" s="13">
        <v>10</v>
      </c>
      <c r="AD898" s="13">
        <v>2</v>
      </c>
      <c r="AE898" s="13">
        <v>3</v>
      </c>
      <c r="AF898" s="14">
        <v>10</v>
      </c>
      <c r="AG898" s="13">
        <v>9</v>
      </c>
      <c r="AH898" s="13">
        <v>1</v>
      </c>
      <c r="AI898" s="13">
        <v>8</v>
      </c>
      <c r="AJ898" s="13" t="str">
        <f t="shared" ref="AJ898:AJ961" si="14">IF(A898&lt;30,"Under 30", IF(A898&lt;40,"30-39", IF(A898&lt;50,"40-49", "50+")))</f>
        <v>30-39</v>
      </c>
      <c r="AK898" s="13" t="str">
        <f>IF(tblCleanData[[#This Row],[MonthlyIncome]]&lt;5000, "Low Income", IF(tblCleanData[[#This Row],[MonthlyIncome]]&lt;15000, "Medium Income", "High Income"))</f>
        <v>Medium Income</v>
      </c>
      <c r="AL898" s="13">
        <f>IF(tblCleanData[[#This Row],[Attrition]]="No", 0,1)</f>
        <v>0</v>
      </c>
      <c r="AM898" s="13">
        <f>IF(tblCleanData[[#This Row],[OverTime]] = "No", 0, 1)</f>
        <v>0</v>
      </c>
      <c r="AN898" s="13" t="str">
        <f>CHOOSE(tblCleanData[[#This Row],[Education]], "Below College","College","Bachelor","Master","Doctor")</f>
        <v>Bachelor</v>
      </c>
      <c r="AO898" s="13" t="str">
        <f>VLOOKUP(tblCleanData[[#This Row],[EmployeeNumber]],tblHelpers[],15,TRUE)</f>
        <v>High Risk</v>
      </c>
      <c r="AP898" s="13">
        <f>VLOOKUP(tblCleanData[[#This Row],[EmployeeNumber]],tblHelpers[],14,0)</f>
        <v>58</v>
      </c>
    </row>
    <row r="899" spans="1:42" x14ac:dyDescent="0.25">
      <c r="A899" s="13">
        <v>59</v>
      </c>
      <c r="B899" s="13" t="s">
        <v>59</v>
      </c>
      <c r="C899" s="13" t="s">
        <v>37</v>
      </c>
      <c r="D899" s="13">
        <v>326</v>
      </c>
      <c r="E899" s="13" t="s">
        <v>39</v>
      </c>
      <c r="F899" s="13">
        <v>3</v>
      </c>
      <c r="G899" s="13">
        <v>3</v>
      </c>
      <c r="H899" s="13" t="s">
        <v>42</v>
      </c>
      <c r="I899" s="13">
        <v>1</v>
      </c>
      <c r="J899" s="13">
        <v>1254</v>
      </c>
      <c r="K899" s="13">
        <v>3</v>
      </c>
      <c r="L899" s="13" t="s">
        <v>43</v>
      </c>
      <c r="M899" s="13">
        <v>48</v>
      </c>
      <c r="N899" s="13">
        <v>2</v>
      </c>
      <c r="O899" s="13">
        <v>2</v>
      </c>
      <c r="P899" s="13" t="s">
        <v>46</v>
      </c>
      <c r="Q899" s="13">
        <v>4</v>
      </c>
      <c r="R899" s="13" t="s">
        <v>48</v>
      </c>
      <c r="S899" s="20">
        <v>5171</v>
      </c>
      <c r="T899" s="13">
        <v>16490</v>
      </c>
      <c r="U899" s="13">
        <v>5</v>
      </c>
      <c r="V899" s="13" t="s">
        <v>52</v>
      </c>
      <c r="W899" s="13" t="s">
        <v>59</v>
      </c>
      <c r="X899" s="13">
        <v>17</v>
      </c>
      <c r="Y899" s="13">
        <v>3</v>
      </c>
      <c r="Z899" s="13">
        <v>4</v>
      </c>
      <c r="AA899" s="13">
        <v>80</v>
      </c>
      <c r="AB899" s="13">
        <v>0</v>
      </c>
      <c r="AC899" s="13">
        <v>13</v>
      </c>
      <c r="AD899" s="13">
        <v>2</v>
      </c>
      <c r="AE899" s="13">
        <v>3</v>
      </c>
      <c r="AF899" s="14">
        <v>6</v>
      </c>
      <c r="AG899" s="13">
        <v>1</v>
      </c>
      <c r="AH899" s="13">
        <v>0</v>
      </c>
      <c r="AI899" s="13">
        <v>5</v>
      </c>
      <c r="AJ899" s="13" t="str">
        <f t="shared" si="14"/>
        <v>50+</v>
      </c>
      <c r="AK899" s="13" t="str">
        <f>IF(tblCleanData[[#This Row],[MonthlyIncome]]&lt;5000, "Low Income", IF(tblCleanData[[#This Row],[MonthlyIncome]]&lt;15000, "Medium Income", "High Income"))</f>
        <v>Medium Income</v>
      </c>
      <c r="AL899" s="13">
        <f>IF(tblCleanData[[#This Row],[Attrition]]="No", 0,1)</f>
        <v>0</v>
      </c>
      <c r="AM899" s="13">
        <f>IF(tblCleanData[[#This Row],[OverTime]] = "No", 0, 1)</f>
        <v>0</v>
      </c>
      <c r="AN899" s="13" t="str">
        <f>CHOOSE(tblCleanData[[#This Row],[Education]], "Below College","College","Bachelor","Master","Doctor")</f>
        <v>Bachelor</v>
      </c>
      <c r="AO899" s="13" t="str">
        <f>VLOOKUP(tblCleanData[[#This Row],[EmployeeNumber]],tblHelpers[],15,TRUE)</f>
        <v>Low Risk</v>
      </c>
      <c r="AP899" s="13">
        <f>VLOOKUP(tblCleanData[[#This Row],[EmployeeNumber]],tblHelpers[],14,0)</f>
        <v>34</v>
      </c>
    </row>
    <row r="900" spans="1:42" x14ac:dyDescent="0.25">
      <c r="A900" s="13">
        <v>43</v>
      </c>
      <c r="B900" s="13" t="s">
        <v>59</v>
      </c>
      <c r="C900" s="13" t="s">
        <v>37</v>
      </c>
      <c r="D900" s="13">
        <v>920</v>
      </c>
      <c r="E900" s="13" t="s">
        <v>62</v>
      </c>
      <c r="F900" s="13">
        <v>3</v>
      </c>
      <c r="G900" s="13">
        <v>3</v>
      </c>
      <c r="H900" s="13" t="s">
        <v>42</v>
      </c>
      <c r="I900" s="13">
        <v>1</v>
      </c>
      <c r="J900" s="13">
        <v>1255</v>
      </c>
      <c r="K900" s="13">
        <v>3</v>
      </c>
      <c r="L900" s="13" t="s">
        <v>63</v>
      </c>
      <c r="M900" s="13">
        <v>96</v>
      </c>
      <c r="N900" s="13">
        <v>1</v>
      </c>
      <c r="O900" s="13">
        <v>5</v>
      </c>
      <c r="P900" s="13" t="s">
        <v>186</v>
      </c>
      <c r="Q900" s="13">
        <v>4</v>
      </c>
      <c r="R900" s="13" t="s">
        <v>66</v>
      </c>
      <c r="S900" s="20">
        <v>19740</v>
      </c>
      <c r="T900" s="13">
        <v>18625</v>
      </c>
      <c r="U900" s="13">
        <v>3</v>
      </c>
      <c r="V900" s="13" t="s">
        <v>52</v>
      </c>
      <c r="W900" s="13" t="s">
        <v>59</v>
      </c>
      <c r="X900" s="13">
        <v>14</v>
      </c>
      <c r="Y900" s="13">
        <v>3</v>
      </c>
      <c r="Z900" s="13">
        <v>2</v>
      </c>
      <c r="AA900" s="13">
        <v>80</v>
      </c>
      <c r="AB900" s="13">
        <v>1</v>
      </c>
      <c r="AC900" s="13">
        <v>25</v>
      </c>
      <c r="AD900" s="13">
        <v>2</v>
      </c>
      <c r="AE900" s="13">
        <v>3</v>
      </c>
      <c r="AF900" s="14">
        <v>8</v>
      </c>
      <c r="AG900" s="13">
        <v>7</v>
      </c>
      <c r="AH900" s="13">
        <v>0</v>
      </c>
      <c r="AI900" s="13">
        <v>7</v>
      </c>
      <c r="AJ900" s="13" t="str">
        <f t="shared" si="14"/>
        <v>40-49</v>
      </c>
      <c r="AK900" s="13" t="str">
        <f>IF(tblCleanData[[#This Row],[MonthlyIncome]]&lt;5000, "Low Income", IF(tblCleanData[[#This Row],[MonthlyIncome]]&lt;15000, "Medium Income", "High Income"))</f>
        <v>High Income</v>
      </c>
      <c r="AL900" s="13">
        <f>IF(tblCleanData[[#This Row],[Attrition]]="No", 0,1)</f>
        <v>0</v>
      </c>
      <c r="AM900" s="13">
        <f>IF(tblCleanData[[#This Row],[OverTime]] = "No", 0, 1)</f>
        <v>0</v>
      </c>
      <c r="AN900" s="13" t="str">
        <f>CHOOSE(tblCleanData[[#This Row],[Education]], "Below College","College","Bachelor","Master","Doctor")</f>
        <v>Bachelor</v>
      </c>
      <c r="AO900" s="13" t="str">
        <f>VLOOKUP(tblCleanData[[#This Row],[EmployeeNumber]],tblHelpers[],15,TRUE)</f>
        <v>Low Risk</v>
      </c>
      <c r="AP900" s="13">
        <f>VLOOKUP(tblCleanData[[#This Row],[EmployeeNumber]],tblHelpers[],14,0)</f>
        <v>29</v>
      </c>
    </row>
    <row r="901" spans="1:42" x14ac:dyDescent="0.25">
      <c r="A901" s="13">
        <v>49</v>
      </c>
      <c r="B901" s="13" t="s">
        <v>59</v>
      </c>
      <c r="C901" s="13" t="s">
        <v>37</v>
      </c>
      <c r="D901" s="13">
        <v>1098</v>
      </c>
      <c r="E901" s="13" t="s">
        <v>62</v>
      </c>
      <c r="F901" s="13">
        <v>4</v>
      </c>
      <c r="G901" s="13">
        <v>2</v>
      </c>
      <c r="H901" s="13" t="s">
        <v>87</v>
      </c>
      <c r="I901" s="13">
        <v>1</v>
      </c>
      <c r="J901" s="13">
        <v>1256</v>
      </c>
      <c r="K901" s="13">
        <v>1</v>
      </c>
      <c r="L901" s="13" t="s">
        <v>63</v>
      </c>
      <c r="M901" s="13">
        <v>85</v>
      </c>
      <c r="N901" s="13">
        <v>2</v>
      </c>
      <c r="O901" s="13">
        <v>5</v>
      </c>
      <c r="P901" s="13" t="s">
        <v>169</v>
      </c>
      <c r="Q901" s="13">
        <v>3</v>
      </c>
      <c r="R901" s="13" t="s">
        <v>66</v>
      </c>
      <c r="S901" s="20">
        <v>18711</v>
      </c>
      <c r="T901" s="13">
        <v>12124</v>
      </c>
      <c r="U901" s="13">
        <v>2</v>
      </c>
      <c r="V901" s="13" t="s">
        <v>52</v>
      </c>
      <c r="W901" s="13" t="s">
        <v>59</v>
      </c>
      <c r="X901" s="13">
        <v>13</v>
      </c>
      <c r="Y901" s="13">
        <v>3</v>
      </c>
      <c r="Z901" s="13">
        <v>3</v>
      </c>
      <c r="AA901" s="13">
        <v>80</v>
      </c>
      <c r="AB901" s="13">
        <v>1</v>
      </c>
      <c r="AC901" s="13">
        <v>23</v>
      </c>
      <c r="AD901" s="13">
        <v>2</v>
      </c>
      <c r="AE901" s="13">
        <v>4</v>
      </c>
      <c r="AF901" s="14">
        <v>1</v>
      </c>
      <c r="AG901" s="13">
        <v>0</v>
      </c>
      <c r="AH901" s="13">
        <v>0</v>
      </c>
      <c r="AI901" s="13">
        <v>0</v>
      </c>
      <c r="AJ901" s="13" t="str">
        <f t="shared" si="14"/>
        <v>40-49</v>
      </c>
      <c r="AK901" s="13" t="str">
        <f>IF(tblCleanData[[#This Row],[MonthlyIncome]]&lt;5000, "Low Income", IF(tblCleanData[[#This Row],[MonthlyIncome]]&lt;15000, "Medium Income", "High Income"))</f>
        <v>High Income</v>
      </c>
      <c r="AL901" s="13">
        <f>IF(tblCleanData[[#This Row],[Attrition]]="No", 0,1)</f>
        <v>0</v>
      </c>
      <c r="AM901" s="13">
        <f>IF(tblCleanData[[#This Row],[OverTime]] = "No", 0, 1)</f>
        <v>0</v>
      </c>
      <c r="AN901" s="13" t="str">
        <f>CHOOSE(tblCleanData[[#This Row],[Education]], "Below College","College","Bachelor","Master","Doctor")</f>
        <v>College</v>
      </c>
      <c r="AO901" s="13" t="str">
        <f>VLOOKUP(tblCleanData[[#This Row],[EmployeeNumber]],tblHelpers[],15,TRUE)</f>
        <v>Medium Risk</v>
      </c>
      <c r="AP901" s="13">
        <f>VLOOKUP(tblCleanData[[#This Row],[EmployeeNumber]],tblHelpers[],14,0)</f>
        <v>53</v>
      </c>
    </row>
    <row r="902" spans="1:42" x14ac:dyDescent="0.25">
      <c r="A902" s="13">
        <v>36</v>
      </c>
      <c r="B902" s="13" t="s">
        <v>59</v>
      </c>
      <c r="C902" s="13" t="s">
        <v>60</v>
      </c>
      <c r="D902" s="13">
        <v>469</v>
      </c>
      <c r="E902" s="13" t="s">
        <v>62</v>
      </c>
      <c r="F902" s="13">
        <v>3</v>
      </c>
      <c r="G902" s="13">
        <v>3</v>
      </c>
      <c r="H902" s="13" t="s">
        <v>228</v>
      </c>
      <c r="I902" s="13">
        <v>1</v>
      </c>
      <c r="J902" s="13">
        <v>1257</v>
      </c>
      <c r="K902" s="13">
        <v>3</v>
      </c>
      <c r="L902" s="13" t="s">
        <v>63</v>
      </c>
      <c r="M902" s="13">
        <v>46</v>
      </c>
      <c r="N902" s="13">
        <v>3</v>
      </c>
      <c r="O902" s="13">
        <v>1</v>
      </c>
      <c r="P902" s="13" t="s">
        <v>65</v>
      </c>
      <c r="Q902" s="13">
        <v>2</v>
      </c>
      <c r="R902" s="13" t="s">
        <v>66</v>
      </c>
      <c r="S902" s="20">
        <v>3692</v>
      </c>
      <c r="T902" s="13">
        <v>9256</v>
      </c>
      <c r="U902" s="13">
        <v>1</v>
      </c>
      <c r="V902" s="13" t="s">
        <v>52</v>
      </c>
      <c r="W902" s="13" t="s">
        <v>59</v>
      </c>
      <c r="X902" s="13">
        <v>12</v>
      </c>
      <c r="Y902" s="13">
        <v>3</v>
      </c>
      <c r="Z902" s="13">
        <v>3</v>
      </c>
      <c r="AA902" s="13">
        <v>80</v>
      </c>
      <c r="AB902" s="13">
        <v>0</v>
      </c>
      <c r="AC902" s="13">
        <v>12</v>
      </c>
      <c r="AD902" s="13">
        <v>2</v>
      </c>
      <c r="AE902" s="13">
        <v>2</v>
      </c>
      <c r="AF902" s="14">
        <v>11</v>
      </c>
      <c r="AG902" s="13">
        <v>10</v>
      </c>
      <c r="AH902" s="13">
        <v>0</v>
      </c>
      <c r="AI902" s="13">
        <v>7</v>
      </c>
      <c r="AJ902" s="13" t="str">
        <f t="shared" si="14"/>
        <v>30-39</v>
      </c>
      <c r="AK902" s="13" t="str">
        <f>IF(tblCleanData[[#This Row],[MonthlyIncome]]&lt;5000, "Low Income", IF(tblCleanData[[#This Row],[MonthlyIncome]]&lt;15000, "Medium Income", "High Income"))</f>
        <v>Low Income</v>
      </c>
      <c r="AL902" s="13">
        <f>IF(tblCleanData[[#This Row],[Attrition]]="No", 0,1)</f>
        <v>0</v>
      </c>
      <c r="AM902" s="13">
        <f>IF(tblCleanData[[#This Row],[OverTime]] = "No", 0, 1)</f>
        <v>0</v>
      </c>
      <c r="AN902" s="13" t="str">
        <f>CHOOSE(tblCleanData[[#This Row],[Education]], "Below College","College","Bachelor","Master","Doctor")</f>
        <v>Bachelor</v>
      </c>
      <c r="AO902" s="13" t="str">
        <f>VLOOKUP(tblCleanData[[#This Row],[EmployeeNumber]],tblHelpers[],15,TRUE)</f>
        <v>Medium Risk</v>
      </c>
      <c r="AP902" s="13">
        <f>VLOOKUP(tblCleanData[[#This Row],[EmployeeNumber]],tblHelpers[],14,0)</f>
        <v>47</v>
      </c>
    </row>
    <row r="903" spans="1:42" x14ac:dyDescent="0.25">
      <c r="A903" s="13">
        <v>48</v>
      </c>
      <c r="B903" s="13" t="s">
        <v>59</v>
      </c>
      <c r="C903" s="13" t="s">
        <v>37</v>
      </c>
      <c r="D903" s="13">
        <v>969</v>
      </c>
      <c r="E903" s="13" t="s">
        <v>62</v>
      </c>
      <c r="F903" s="13">
        <v>2</v>
      </c>
      <c r="G903" s="13">
        <v>2</v>
      </c>
      <c r="H903" s="13" t="s">
        <v>228</v>
      </c>
      <c r="I903" s="13">
        <v>1</v>
      </c>
      <c r="J903" s="13">
        <v>1258</v>
      </c>
      <c r="K903" s="13">
        <v>4</v>
      </c>
      <c r="L903" s="13" t="s">
        <v>63</v>
      </c>
      <c r="M903" s="13">
        <v>76</v>
      </c>
      <c r="N903" s="13">
        <v>4</v>
      </c>
      <c r="O903" s="13">
        <v>1</v>
      </c>
      <c r="P903" s="13" t="s">
        <v>76</v>
      </c>
      <c r="Q903" s="13">
        <v>2</v>
      </c>
      <c r="R903" s="13" t="s">
        <v>48</v>
      </c>
      <c r="S903" s="20">
        <v>2559</v>
      </c>
      <c r="T903" s="13">
        <v>16620</v>
      </c>
      <c r="U903" s="13">
        <v>5</v>
      </c>
      <c r="V903" s="13" t="s">
        <v>52</v>
      </c>
      <c r="W903" s="13" t="s">
        <v>59</v>
      </c>
      <c r="X903" s="13">
        <v>11</v>
      </c>
      <c r="Y903" s="13">
        <v>3</v>
      </c>
      <c r="Z903" s="13">
        <v>3</v>
      </c>
      <c r="AA903" s="13">
        <v>80</v>
      </c>
      <c r="AB903" s="13">
        <v>0</v>
      </c>
      <c r="AC903" s="13">
        <v>7</v>
      </c>
      <c r="AD903" s="13">
        <v>4</v>
      </c>
      <c r="AE903" s="13">
        <v>2</v>
      </c>
      <c r="AF903" s="14">
        <v>1</v>
      </c>
      <c r="AG903" s="13">
        <v>0</v>
      </c>
      <c r="AH903" s="13">
        <v>0</v>
      </c>
      <c r="AI903" s="13">
        <v>0</v>
      </c>
      <c r="AJ903" s="13" t="str">
        <f t="shared" si="14"/>
        <v>40-49</v>
      </c>
      <c r="AK903" s="13" t="str">
        <f>IF(tblCleanData[[#This Row],[MonthlyIncome]]&lt;5000, "Low Income", IF(tblCleanData[[#This Row],[MonthlyIncome]]&lt;15000, "Medium Income", "High Income"))</f>
        <v>Low Income</v>
      </c>
      <c r="AL903" s="13">
        <f>IF(tblCleanData[[#This Row],[Attrition]]="No", 0,1)</f>
        <v>0</v>
      </c>
      <c r="AM903" s="13">
        <f>IF(tblCleanData[[#This Row],[OverTime]] = "No", 0, 1)</f>
        <v>0</v>
      </c>
      <c r="AN903" s="13" t="str">
        <f>CHOOSE(tblCleanData[[#This Row],[Education]], "Below College","College","Bachelor","Master","Doctor")</f>
        <v>College</v>
      </c>
      <c r="AO903" s="13" t="str">
        <f>VLOOKUP(tblCleanData[[#This Row],[EmployeeNumber]],tblHelpers[],15,TRUE)</f>
        <v>High Risk</v>
      </c>
      <c r="AP903" s="13">
        <f>VLOOKUP(tblCleanData[[#This Row],[EmployeeNumber]],tblHelpers[],14,0)</f>
        <v>59</v>
      </c>
    </row>
    <row r="904" spans="1:42" x14ac:dyDescent="0.25">
      <c r="A904" s="13">
        <v>27</v>
      </c>
      <c r="B904" s="13" t="s">
        <v>59</v>
      </c>
      <c r="C904" s="13" t="s">
        <v>37</v>
      </c>
      <c r="D904" s="13">
        <v>1167</v>
      </c>
      <c r="E904" s="13" t="s">
        <v>62</v>
      </c>
      <c r="F904" s="13">
        <v>4</v>
      </c>
      <c r="G904" s="13">
        <v>2</v>
      </c>
      <c r="H904" s="13" t="s">
        <v>42</v>
      </c>
      <c r="I904" s="13">
        <v>1</v>
      </c>
      <c r="J904" s="13">
        <v>1259</v>
      </c>
      <c r="K904" s="13">
        <v>1</v>
      </c>
      <c r="L904" s="13" t="s">
        <v>63</v>
      </c>
      <c r="M904" s="13">
        <v>76</v>
      </c>
      <c r="N904" s="13">
        <v>3</v>
      </c>
      <c r="O904" s="13">
        <v>1</v>
      </c>
      <c r="P904" s="13" t="s">
        <v>65</v>
      </c>
      <c r="Q904" s="13">
        <v>3</v>
      </c>
      <c r="R904" s="13" t="s">
        <v>109</v>
      </c>
      <c r="S904" s="20">
        <v>2517</v>
      </c>
      <c r="T904" s="13">
        <v>3208</v>
      </c>
      <c r="U904" s="13">
        <v>1</v>
      </c>
      <c r="V904" s="13" t="s">
        <v>52</v>
      </c>
      <c r="W904" s="13" t="s">
        <v>59</v>
      </c>
      <c r="X904" s="13">
        <v>11</v>
      </c>
      <c r="Y904" s="13">
        <v>3</v>
      </c>
      <c r="Z904" s="13">
        <v>2</v>
      </c>
      <c r="AA904" s="13">
        <v>80</v>
      </c>
      <c r="AB904" s="13">
        <v>3</v>
      </c>
      <c r="AC904" s="13">
        <v>5</v>
      </c>
      <c r="AD904" s="13">
        <v>2</v>
      </c>
      <c r="AE904" s="13">
        <v>3</v>
      </c>
      <c r="AF904" s="14">
        <v>5</v>
      </c>
      <c r="AG904" s="13">
        <v>3</v>
      </c>
      <c r="AH904" s="13">
        <v>0</v>
      </c>
      <c r="AI904" s="13">
        <v>3</v>
      </c>
      <c r="AJ904" s="13" t="str">
        <f t="shared" si="14"/>
        <v>Under 30</v>
      </c>
      <c r="AK904" s="13" t="str">
        <f>IF(tblCleanData[[#This Row],[MonthlyIncome]]&lt;5000, "Low Income", IF(tblCleanData[[#This Row],[MonthlyIncome]]&lt;15000, "Medium Income", "High Income"))</f>
        <v>Low Income</v>
      </c>
      <c r="AL904" s="13">
        <f>IF(tblCleanData[[#This Row],[Attrition]]="No", 0,1)</f>
        <v>0</v>
      </c>
      <c r="AM904" s="13">
        <f>IF(tblCleanData[[#This Row],[OverTime]] = "No", 0, 1)</f>
        <v>0</v>
      </c>
      <c r="AN904" s="13" t="str">
        <f>CHOOSE(tblCleanData[[#This Row],[Education]], "Below College","College","Bachelor","Master","Doctor")</f>
        <v>College</v>
      </c>
      <c r="AO904" s="13" t="str">
        <f>VLOOKUP(tblCleanData[[#This Row],[EmployeeNumber]],tblHelpers[],15,TRUE)</f>
        <v>High Risk</v>
      </c>
      <c r="AP904" s="13">
        <f>VLOOKUP(tblCleanData[[#This Row],[EmployeeNumber]],tblHelpers[],14,0)</f>
        <v>63</v>
      </c>
    </row>
    <row r="905" spans="1:42" x14ac:dyDescent="0.25">
      <c r="A905" s="13">
        <v>29</v>
      </c>
      <c r="B905" s="13" t="s">
        <v>59</v>
      </c>
      <c r="C905" s="13" t="s">
        <v>37</v>
      </c>
      <c r="D905" s="13">
        <v>1329</v>
      </c>
      <c r="E905" s="13" t="s">
        <v>62</v>
      </c>
      <c r="F905" s="13">
        <v>7</v>
      </c>
      <c r="G905" s="13">
        <v>3</v>
      </c>
      <c r="H905" s="13" t="s">
        <v>42</v>
      </c>
      <c r="I905" s="13">
        <v>1</v>
      </c>
      <c r="J905" s="13">
        <v>1260</v>
      </c>
      <c r="K905" s="13">
        <v>3</v>
      </c>
      <c r="L905" s="13" t="s">
        <v>63</v>
      </c>
      <c r="M905" s="13">
        <v>82</v>
      </c>
      <c r="N905" s="13">
        <v>3</v>
      </c>
      <c r="O905" s="13">
        <v>2</v>
      </c>
      <c r="P905" s="13" t="s">
        <v>122</v>
      </c>
      <c r="Q905" s="13">
        <v>4</v>
      </c>
      <c r="R905" s="13" t="s">
        <v>109</v>
      </c>
      <c r="S905" s="20">
        <v>6623</v>
      </c>
      <c r="T905" s="13">
        <v>4204</v>
      </c>
      <c r="U905" s="13">
        <v>1</v>
      </c>
      <c r="V905" s="13" t="s">
        <v>52</v>
      </c>
      <c r="W905" s="13" t="s">
        <v>36</v>
      </c>
      <c r="X905" s="13">
        <v>11</v>
      </c>
      <c r="Y905" s="13">
        <v>3</v>
      </c>
      <c r="Z905" s="13">
        <v>2</v>
      </c>
      <c r="AA905" s="13">
        <v>80</v>
      </c>
      <c r="AB905" s="13">
        <v>2</v>
      </c>
      <c r="AC905" s="13">
        <v>6</v>
      </c>
      <c r="AD905" s="13">
        <v>2</v>
      </c>
      <c r="AE905" s="13">
        <v>3</v>
      </c>
      <c r="AF905" s="14">
        <v>6</v>
      </c>
      <c r="AG905" s="13">
        <v>0</v>
      </c>
      <c r="AH905" s="13">
        <v>1</v>
      </c>
      <c r="AI905" s="13">
        <v>0</v>
      </c>
      <c r="AJ905" s="13" t="str">
        <f t="shared" si="14"/>
        <v>Under 30</v>
      </c>
      <c r="AK905" s="13" t="str">
        <f>IF(tblCleanData[[#This Row],[MonthlyIncome]]&lt;5000, "Low Income", IF(tblCleanData[[#This Row],[MonthlyIncome]]&lt;15000, "Medium Income", "High Income"))</f>
        <v>Medium Income</v>
      </c>
      <c r="AL905" s="13">
        <f>IF(tblCleanData[[#This Row],[Attrition]]="No", 0,1)</f>
        <v>0</v>
      </c>
      <c r="AM905" s="13">
        <f>IF(tblCleanData[[#This Row],[OverTime]] = "No", 0, 1)</f>
        <v>1</v>
      </c>
      <c r="AN905" s="13" t="str">
        <f>CHOOSE(tblCleanData[[#This Row],[Education]], "Below College","College","Bachelor","Master","Doctor")</f>
        <v>Bachelor</v>
      </c>
      <c r="AO905" s="13" t="str">
        <f>VLOOKUP(tblCleanData[[#This Row],[EmployeeNumber]],tblHelpers[],15,TRUE)</f>
        <v>High Risk</v>
      </c>
      <c r="AP905" s="13">
        <f>VLOOKUP(tblCleanData[[#This Row],[EmployeeNumber]],tblHelpers[],14,0)</f>
        <v>74</v>
      </c>
    </row>
    <row r="906" spans="1:42" x14ac:dyDescent="0.25">
      <c r="A906" s="13">
        <v>48</v>
      </c>
      <c r="B906" s="13" t="s">
        <v>59</v>
      </c>
      <c r="C906" s="13" t="s">
        <v>37</v>
      </c>
      <c r="D906" s="13">
        <v>715</v>
      </c>
      <c r="E906" s="13" t="s">
        <v>62</v>
      </c>
      <c r="F906" s="13">
        <v>1</v>
      </c>
      <c r="G906" s="13">
        <v>3</v>
      </c>
      <c r="H906" s="13" t="s">
        <v>42</v>
      </c>
      <c r="I906" s="13">
        <v>1</v>
      </c>
      <c r="J906" s="13">
        <v>1263</v>
      </c>
      <c r="K906" s="13">
        <v>4</v>
      </c>
      <c r="L906" s="13" t="s">
        <v>63</v>
      </c>
      <c r="M906" s="13">
        <v>76</v>
      </c>
      <c r="N906" s="13">
        <v>2</v>
      </c>
      <c r="O906" s="13">
        <v>5</v>
      </c>
      <c r="P906" s="13" t="s">
        <v>186</v>
      </c>
      <c r="Q906" s="13">
        <v>4</v>
      </c>
      <c r="R906" s="13" t="s">
        <v>48</v>
      </c>
      <c r="S906" s="20">
        <v>18265</v>
      </c>
      <c r="T906" s="13">
        <v>8733</v>
      </c>
      <c r="U906" s="13">
        <v>6</v>
      </c>
      <c r="V906" s="13" t="s">
        <v>52</v>
      </c>
      <c r="W906" s="13" t="s">
        <v>59</v>
      </c>
      <c r="X906" s="13">
        <v>12</v>
      </c>
      <c r="Y906" s="13">
        <v>3</v>
      </c>
      <c r="Z906" s="13">
        <v>3</v>
      </c>
      <c r="AA906" s="13">
        <v>80</v>
      </c>
      <c r="AB906" s="13">
        <v>0</v>
      </c>
      <c r="AC906" s="13">
        <v>25</v>
      </c>
      <c r="AD906" s="13">
        <v>3</v>
      </c>
      <c r="AE906" s="13">
        <v>4</v>
      </c>
      <c r="AF906" s="14">
        <v>1</v>
      </c>
      <c r="AG906" s="13">
        <v>0</v>
      </c>
      <c r="AH906" s="13">
        <v>0</v>
      </c>
      <c r="AI906" s="13">
        <v>0</v>
      </c>
      <c r="AJ906" s="13" t="str">
        <f t="shared" si="14"/>
        <v>40-49</v>
      </c>
      <c r="AK906" s="13" t="str">
        <f>IF(tblCleanData[[#This Row],[MonthlyIncome]]&lt;5000, "Low Income", IF(tblCleanData[[#This Row],[MonthlyIncome]]&lt;15000, "Medium Income", "High Income"))</f>
        <v>High Income</v>
      </c>
      <c r="AL906" s="13">
        <f>IF(tblCleanData[[#This Row],[Attrition]]="No", 0,1)</f>
        <v>0</v>
      </c>
      <c r="AM906" s="13">
        <f>IF(tblCleanData[[#This Row],[OverTime]] = "No", 0, 1)</f>
        <v>0</v>
      </c>
      <c r="AN906" s="13" t="str">
        <f>CHOOSE(tblCleanData[[#This Row],[Education]], "Below College","College","Bachelor","Master","Doctor")</f>
        <v>Bachelor</v>
      </c>
      <c r="AO906" s="13" t="str">
        <f>VLOOKUP(tblCleanData[[#This Row],[EmployeeNumber]],tblHelpers[],15,TRUE)</f>
        <v>Medium Risk</v>
      </c>
      <c r="AP906" s="13">
        <f>VLOOKUP(tblCleanData[[#This Row],[EmployeeNumber]],tblHelpers[],14,0)</f>
        <v>46</v>
      </c>
    </row>
    <row r="907" spans="1:42" x14ac:dyDescent="0.25">
      <c r="A907" s="13">
        <v>29</v>
      </c>
      <c r="B907" s="13" t="s">
        <v>59</v>
      </c>
      <c r="C907" s="13" t="s">
        <v>37</v>
      </c>
      <c r="D907" s="13">
        <v>694</v>
      </c>
      <c r="E907" s="13" t="s">
        <v>62</v>
      </c>
      <c r="F907" s="13">
        <v>1</v>
      </c>
      <c r="G907" s="13">
        <v>3</v>
      </c>
      <c r="H907" s="13" t="s">
        <v>42</v>
      </c>
      <c r="I907" s="13">
        <v>1</v>
      </c>
      <c r="J907" s="13">
        <v>1264</v>
      </c>
      <c r="K907" s="13">
        <v>4</v>
      </c>
      <c r="L907" s="13" t="s">
        <v>43</v>
      </c>
      <c r="M907" s="13">
        <v>87</v>
      </c>
      <c r="N907" s="13">
        <v>2</v>
      </c>
      <c r="O907" s="13">
        <v>4</v>
      </c>
      <c r="P907" s="13" t="s">
        <v>186</v>
      </c>
      <c r="Q907" s="13">
        <v>4</v>
      </c>
      <c r="R907" s="13" t="s">
        <v>109</v>
      </c>
      <c r="S907" s="20">
        <v>16124</v>
      </c>
      <c r="T907" s="13">
        <v>3423</v>
      </c>
      <c r="U907" s="13">
        <v>3</v>
      </c>
      <c r="V907" s="13" t="s">
        <v>52</v>
      </c>
      <c r="W907" s="13" t="s">
        <v>59</v>
      </c>
      <c r="X907" s="13">
        <v>14</v>
      </c>
      <c r="Y907" s="13">
        <v>3</v>
      </c>
      <c r="Z907" s="13">
        <v>2</v>
      </c>
      <c r="AA907" s="13">
        <v>80</v>
      </c>
      <c r="AB907" s="13">
        <v>2</v>
      </c>
      <c r="AC907" s="13">
        <v>9</v>
      </c>
      <c r="AD907" s="13">
        <v>2</v>
      </c>
      <c r="AE907" s="13">
        <v>2</v>
      </c>
      <c r="AF907" s="14">
        <v>7</v>
      </c>
      <c r="AG907" s="13">
        <v>7</v>
      </c>
      <c r="AH907" s="13">
        <v>1</v>
      </c>
      <c r="AI907" s="13">
        <v>7</v>
      </c>
      <c r="AJ907" s="13" t="str">
        <f t="shared" si="14"/>
        <v>Under 30</v>
      </c>
      <c r="AK907" s="13" t="str">
        <f>IF(tblCleanData[[#This Row],[MonthlyIncome]]&lt;5000, "Low Income", IF(tblCleanData[[#This Row],[MonthlyIncome]]&lt;15000, "Medium Income", "High Income"))</f>
        <v>High Income</v>
      </c>
      <c r="AL907" s="13">
        <f>IF(tblCleanData[[#This Row],[Attrition]]="No", 0,1)</f>
        <v>0</v>
      </c>
      <c r="AM907" s="13">
        <f>IF(tblCleanData[[#This Row],[OverTime]] = "No", 0, 1)</f>
        <v>0</v>
      </c>
      <c r="AN907" s="13" t="str">
        <f>CHOOSE(tblCleanData[[#This Row],[Education]], "Below College","College","Bachelor","Master","Doctor")</f>
        <v>Bachelor</v>
      </c>
      <c r="AO907" s="13" t="str">
        <f>VLOOKUP(tblCleanData[[#This Row],[EmployeeNumber]],tblHelpers[],15,TRUE)</f>
        <v>Medium Risk</v>
      </c>
      <c r="AP907" s="13">
        <f>VLOOKUP(tblCleanData[[#This Row],[EmployeeNumber]],tblHelpers[],14,0)</f>
        <v>49</v>
      </c>
    </row>
    <row r="908" spans="1:42" x14ac:dyDescent="0.25">
      <c r="A908" s="13">
        <v>34</v>
      </c>
      <c r="B908" s="13" t="s">
        <v>59</v>
      </c>
      <c r="C908" s="13" t="s">
        <v>37</v>
      </c>
      <c r="D908" s="13">
        <v>1320</v>
      </c>
      <c r="E908" s="13" t="s">
        <v>62</v>
      </c>
      <c r="F908" s="13">
        <v>20</v>
      </c>
      <c r="G908" s="13">
        <v>3</v>
      </c>
      <c r="H908" s="13" t="s">
        <v>228</v>
      </c>
      <c r="I908" s="13">
        <v>1</v>
      </c>
      <c r="J908" s="13">
        <v>1265</v>
      </c>
      <c r="K908" s="13">
        <v>3</v>
      </c>
      <c r="L908" s="13" t="s">
        <v>43</v>
      </c>
      <c r="M908" s="13">
        <v>89</v>
      </c>
      <c r="N908" s="13">
        <v>4</v>
      </c>
      <c r="O908" s="13">
        <v>1</v>
      </c>
      <c r="P908" s="13" t="s">
        <v>65</v>
      </c>
      <c r="Q908" s="13">
        <v>3</v>
      </c>
      <c r="R908" s="13" t="s">
        <v>66</v>
      </c>
      <c r="S908" s="20">
        <v>2585</v>
      </c>
      <c r="T908" s="13">
        <v>21643</v>
      </c>
      <c r="U908" s="13">
        <v>0</v>
      </c>
      <c r="V908" s="13" t="s">
        <v>52</v>
      </c>
      <c r="W908" s="13" t="s">
        <v>59</v>
      </c>
      <c r="X908" s="13">
        <v>17</v>
      </c>
      <c r="Y908" s="13">
        <v>3</v>
      </c>
      <c r="Z908" s="13">
        <v>4</v>
      </c>
      <c r="AA908" s="13">
        <v>80</v>
      </c>
      <c r="AB908" s="13">
        <v>0</v>
      </c>
      <c r="AC908" s="13">
        <v>2</v>
      </c>
      <c r="AD908" s="13">
        <v>5</v>
      </c>
      <c r="AE908" s="13">
        <v>2</v>
      </c>
      <c r="AF908" s="14">
        <v>1</v>
      </c>
      <c r="AG908" s="13">
        <v>0</v>
      </c>
      <c r="AH908" s="13">
        <v>0</v>
      </c>
      <c r="AI908" s="13">
        <v>0</v>
      </c>
      <c r="AJ908" s="13" t="str">
        <f t="shared" si="14"/>
        <v>30-39</v>
      </c>
      <c r="AK908" s="13" t="str">
        <f>IF(tblCleanData[[#This Row],[MonthlyIncome]]&lt;5000, "Low Income", IF(tblCleanData[[#This Row],[MonthlyIncome]]&lt;15000, "Medium Income", "High Income"))</f>
        <v>Low Income</v>
      </c>
      <c r="AL908" s="13">
        <f>IF(tblCleanData[[#This Row],[Attrition]]="No", 0,1)</f>
        <v>0</v>
      </c>
      <c r="AM908" s="13">
        <f>IF(tblCleanData[[#This Row],[OverTime]] = "No", 0, 1)</f>
        <v>0</v>
      </c>
      <c r="AN908" s="13" t="str">
        <f>CHOOSE(tblCleanData[[#This Row],[Education]], "Below College","College","Bachelor","Master","Doctor")</f>
        <v>Bachelor</v>
      </c>
      <c r="AO908" s="13" t="str">
        <f>VLOOKUP(tblCleanData[[#This Row],[EmployeeNumber]],tblHelpers[],15,TRUE)</f>
        <v>High Risk</v>
      </c>
      <c r="AP908" s="13">
        <f>VLOOKUP(tblCleanData[[#This Row],[EmployeeNumber]],tblHelpers[],14,0)</f>
        <v>63</v>
      </c>
    </row>
    <row r="909" spans="1:42" x14ac:dyDescent="0.25">
      <c r="A909" s="13">
        <v>44</v>
      </c>
      <c r="B909" s="13" t="s">
        <v>59</v>
      </c>
      <c r="C909" s="13" t="s">
        <v>37</v>
      </c>
      <c r="D909" s="13">
        <v>1099</v>
      </c>
      <c r="E909" s="13" t="s">
        <v>39</v>
      </c>
      <c r="F909" s="13">
        <v>5</v>
      </c>
      <c r="G909" s="13">
        <v>3</v>
      </c>
      <c r="H909" s="13" t="s">
        <v>206</v>
      </c>
      <c r="I909" s="13">
        <v>1</v>
      </c>
      <c r="J909" s="13">
        <v>1267</v>
      </c>
      <c r="K909" s="13">
        <v>2</v>
      </c>
      <c r="L909" s="13" t="s">
        <v>63</v>
      </c>
      <c r="M909" s="13">
        <v>88</v>
      </c>
      <c r="N909" s="13">
        <v>3</v>
      </c>
      <c r="O909" s="13">
        <v>5</v>
      </c>
      <c r="P909" s="13" t="s">
        <v>169</v>
      </c>
      <c r="Q909" s="13">
        <v>2</v>
      </c>
      <c r="R909" s="13" t="s">
        <v>66</v>
      </c>
      <c r="S909" s="20">
        <v>18213</v>
      </c>
      <c r="T909" s="13">
        <v>8751</v>
      </c>
      <c r="U909" s="13">
        <v>7</v>
      </c>
      <c r="V909" s="13" t="s">
        <v>52</v>
      </c>
      <c r="W909" s="13" t="s">
        <v>59</v>
      </c>
      <c r="X909" s="13">
        <v>11</v>
      </c>
      <c r="Y909" s="13">
        <v>3</v>
      </c>
      <c r="Z909" s="13">
        <v>3</v>
      </c>
      <c r="AA909" s="13">
        <v>80</v>
      </c>
      <c r="AB909" s="13">
        <v>1</v>
      </c>
      <c r="AC909" s="13">
        <v>26</v>
      </c>
      <c r="AD909" s="13">
        <v>5</v>
      </c>
      <c r="AE909" s="13">
        <v>3</v>
      </c>
      <c r="AF909" s="14">
        <v>22</v>
      </c>
      <c r="AG909" s="13">
        <v>9</v>
      </c>
      <c r="AH909" s="13">
        <v>3</v>
      </c>
      <c r="AI909" s="13">
        <v>10</v>
      </c>
      <c r="AJ909" s="13" t="str">
        <f t="shared" si="14"/>
        <v>40-49</v>
      </c>
      <c r="AK909" s="13" t="str">
        <f>IF(tblCleanData[[#This Row],[MonthlyIncome]]&lt;5000, "Low Income", IF(tblCleanData[[#This Row],[MonthlyIncome]]&lt;15000, "Medium Income", "High Income"))</f>
        <v>High Income</v>
      </c>
      <c r="AL909" s="13">
        <f>IF(tblCleanData[[#This Row],[Attrition]]="No", 0,1)</f>
        <v>0</v>
      </c>
      <c r="AM909" s="13">
        <f>IF(tblCleanData[[#This Row],[OverTime]] = "No", 0, 1)</f>
        <v>0</v>
      </c>
      <c r="AN909" s="13" t="str">
        <f>CHOOSE(tblCleanData[[#This Row],[Education]], "Below College","College","Bachelor","Master","Doctor")</f>
        <v>Bachelor</v>
      </c>
      <c r="AO909" s="13" t="str">
        <f>VLOOKUP(tblCleanData[[#This Row],[EmployeeNumber]],tblHelpers[],15,TRUE)</f>
        <v>Medium Risk</v>
      </c>
      <c r="AP909" s="13">
        <f>VLOOKUP(tblCleanData[[#This Row],[EmployeeNumber]],tblHelpers[],14,0)</f>
        <v>37</v>
      </c>
    </row>
    <row r="910" spans="1:42" x14ac:dyDescent="0.25">
      <c r="A910" s="13">
        <v>33</v>
      </c>
      <c r="B910" s="13" t="s">
        <v>59</v>
      </c>
      <c r="C910" s="13" t="s">
        <v>37</v>
      </c>
      <c r="D910" s="13">
        <v>536</v>
      </c>
      <c r="E910" s="13" t="s">
        <v>39</v>
      </c>
      <c r="F910" s="13">
        <v>10</v>
      </c>
      <c r="G910" s="13">
        <v>5</v>
      </c>
      <c r="H910" s="13" t="s">
        <v>206</v>
      </c>
      <c r="I910" s="13">
        <v>1</v>
      </c>
      <c r="J910" s="13">
        <v>1268</v>
      </c>
      <c r="K910" s="13">
        <v>4</v>
      </c>
      <c r="L910" s="13" t="s">
        <v>63</v>
      </c>
      <c r="M910" s="13">
        <v>82</v>
      </c>
      <c r="N910" s="13">
        <v>4</v>
      </c>
      <c r="O910" s="13">
        <v>3</v>
      </c>
      <c r="P910" s="13" t="s">
        <v>46</v>
      </c>
      <c r="Q910" s="13">
        <v>3</v>
      </c>
      <c r="R910" s="13" t="s">
        <v>109</v>
      </c>
      <c r="S910" s="20">
        <v>8380</v>
      </c>
      <c r="T910" s="13">
        <v>21708</v>
      </c>
      <c r="U910" s="13">
        <v>0</v>
      </c>
      <c r="V910" s="13" t="s">
        <v>52</v>
      </c>
      <c r="W910" s="13" t="s">
        <v>36</v>
      </c>
      <c r="X910" s="13">
        <v>14</v>
      </c>
      <c r="Y910" s="13">
        <v>3</v>
      </c>
      <c r="Z910" s="13">
        <v>4</v>
      </c>
      <c r="AA910" s="13">
        <v>80</v>
      </c>
      <c r="AB910" s="13">
        <v>2</v>
      </c>
      <c r="AC910" s="13">
        <v>10</v>
      </c>
      <c r="AD910" s="13">
        <v>3</v>
      </c>
      <c r="AE910" s="13">
        <v>3</v>
      </c>
      <c r="AF910" s="14">
        <v>9</v>
      </c>
      <c r="AG910" s="13">
        <v>8</v>
      </c>
      <c r="AH910" s="13">
        <v>0</v>
      </c>
      <c r="AI910" s="13">
        <v>8</v>
      </c>
      <c r="AJ910" s="13" t="str">
        <f t="shared" si="14"/>
        <v>30-39</v>
      </c>
      <c r="AK910" s="13" t="str">
        <f>IF(tblCleanData[[#This Row],[MonthlyIncome]]&lt;5000, "Low Income", IF(tblCleanData[[#This Row],[MonthlyIncome]]&lt;15000, "Medium Income", "High Income"))</f>
        <v>Medium Income</v>
      </c>
      <c r="AL910" s="13">
        <f>IF(tblCleanData[[#This Row],[Attrition]]="No", 0,1)</f>
        <v>0</v>
      </c>
      <c r="AM910" s="13">
        <f>IF(tblCleanData[[#This Row],[OverTime]] = "No", 0, 1)</f>
        <v>1</v>
      </c>
      <c r="AN910" s="13" t="str">
        <f>CHOOSE(tblCleanData[[#This Row],[Education]], "Below College","College","Bachelor","Master","Doctor")</f>
        <v>Doctor</v>
      </c>
      <c r="AO910" s="13" t="str">
        <f>VLOOKUP(tblCleanData[[#This Row],[EmployeeNumber]],tblHelpers[],15,TRUE)</f>
        <v>High Risk</v>
      </c>
      <c r="AP910" s="13">
        <f>VLOOKUP(tblCleanData[[#This Row],[EmployeeNumber]],tblHelpers[],14,0)</f>
        <v>71</v>
      </c>
    </row>
    <row r="911" spans="1:42" x14ac:dyDescent="0.25">
      <c r="A911" s="13">
        <v>19</v>
      </c>
      <c r="B911" s="13" t="s">
        <v>59</v>
      </c>
      <c r="C911" s="13" t="s">
        <v>37</v>
      </c>
      <c r="D911" s="13">
        <v>265</v>
      </c>
      <c r="E911" s="13" t="s">
        <v>62</v>
      </c>
      <c r="F911" s="13">
        <v>25</v>
      </c>
      <c r="G911" s="13">
        <v>3</v>
      </c>
      <c r="H911" s="13" t="s">
        <v>42</v>
      </c>
      <c r="I911" s="13">
        <v>1</v>
      </c>
      <c r="J911" s="13">
        <v>1269</v>
      </c>
      <c r="K911" s="13">
        <v>2</v>
      </c>
      <c r="L911" s="13" t="s">
        <v>43</v>
      </c>
      <c r="M911" s="13">
        <v>57</v>
      </c>
      <c r="N911" s="13">
        <v>4</v>
      </c>
      <c r="O911" s="13">
        <v>1</v>
      </c>
      <c r="P911" s="13" t="s">
        <v>65</v>
      </c>
      <c r="Q911" s="13">
        <v>4</v>
      </c>
      <c r="R911" s="13" t="s">
        <v>48</v>
      </c>
      <c r="S911" s="20">
        <v>2994</v>
      </c>
      <c r="T911" s="13">
        <v>21221</v>
      </c>
      <c r="U911" s="13">
        <v>1</v>
      </c>
      <c r="V911" s="13" t="s">
        <v>52</v>
      </c>
      <c r="W911" s="13" t="s">
        <v>36</v>
      </c>
      <c r="X911" s="13">
        <v>12</v>
      </c>
      <c r="Y911" s="13">
        <v>3</v>
      </c>
      <c r="Z911" s="13">
        <v>4</v>
      </c>
      <c r="AA911" s="13">
        <v>80</v>
      </c>
      <c r="AB911" s="13">
        <v>0</v>
      </c>
      <c r="AC911" s="13">
        <v>1</v>
      </c>
      <c r="AD911" s="13">
        <v>2</v>
      </c>
      <c r="AE911" s="13">
        <v>3</v>
      </c>
      <c r="AF911" s="14">
        <v>1</v>
      </c>
      <c r="AG911" s="13">
        <v>0</v>
      </c>
      <c r="AH911" s="13">
        <v>0</v>
      </c>
      <c r="AI911" s="13">
        <v>1</v>
      </c>
      <c r="AJ911" s="13" t="str">
        <f t="shared" si="14"/>
        <v>Under 30</v>
      </c>
      <c r="AK911" s="13" t="str">
        <f>IF(tblCleanData[[#This Row],[MonthlyIncome]]&lt;5000, "Low Income", IF(tblCleanData[[#This Row],[MonthlyIncome]]&lt;15000, "Medium Income", "High Income"))</f>
        <v>Low Income</v>
      </c>
      <c r="AL911" s="13">
        <f>IF(tblCleanData[[#This Row],[Attrition]]="No", 0,1)</f>
        <v>0</v>
      </c>
      <c r="AM911" s="13">
        <f>IF(tblCleanData[[#This Row],[OverTime]] = "No", 0, 1)</f>
        <v>1</v>
      </c>
      <c r="AN911" s="13" t="str">
        <f>CHOOSE(tblCleanData[[#This Row],[Education]], "Below College","College","Bachelor","Master","Doctor")</f>
        <v>Bachelor</v>
      </c>
      <c r="AO911" s="13" t="str">
        <f>VLOOKUP(tblCleanData[[#This Row],[EmployeeNumber]],tblHelpers[],15,TRUE)</f>
        <v>High Risk</v>
      </c>
      <c r="AP911" s="13">
        <f>VLOOKUP(tblCleanData[[#This Row],[EmployeeNumber]],tblHelpers[],14,0)</f>
        <v>91</v>
      </c>
    </row>
    <row r="912" spans="1:42" x14ac:dyDescent="0.25">
      <c r="A912" s="13">
        <v>23</v>
      </c>
      <c r="B912" s="13" t="s">
        <v>59</v>
      </c>
      <c r="C912" s="13" t="s">
        <v>37</v>
      </c>
      <c r="D912" s="13">
        <v>373</v>
      </c>
      <c r="E912" s="13" t="s">
        <v>62</v>
      </c>
      <c r="F912" s="13">
        <v>1</v>
      </c>
      <c r="G912" s="13">
        <v>2</v>
      </c>
      <c r="H912" s="13" t="s">
        <v>42</v>
      </c>
      <c r="I912" s="13">
        <v>1</v>
      </c>
      <c r="J912" s="13">
        <v>1270</v>
      </c>
      <c r="K912" s="13">
        <v>4</v>
      </c>
      <c r="L912" s="13" t="s">
        <v>63</v>
      </c>
      <c r="M912" s="13">
        <v>47</v>
      </c>
      <c r="N912" s="13">
        <v>3</v>
      </c>
      <c r="O912" s="13">
        <v>1</v>
      </c>
      <c r="P912" s="13" t="s">
        <v>65</v>
      </c>
      <c r="Q912" s="13">
        <v>3</v>
      </c>
      <c r="R912" s="13" t="s">
        <v>66</v>
      </c>
      <c r="S912" s="20">
        <v>1223</v>
      </c>
      <c r="T912" s="13">
        <v>16901</v>
      </c>
      <c r="U912" s="13">
        <v>1</v>
      </c>
      <c r="V912" s="13" t="s">
        <v>52</v>
      </c>
      <c r="W912" s="13" t="s">
        <v>59</v>
      </c>
      <c r="X912" s="13">
        <v>22</v>
      </c>
      <c r="Y912" s="13">
        <v>4</v>
      </c>
      <c r="Z912" s="13">
        <v>4</v>
      </c>
      <c r="AA912" s="13">
        <v>80</v>
      </c>
      <c r="AB912" s="13">
        <v>1</v>
      </c>
      <c r="AC912" s="13">
        <v>1</v>
      </c>
      <c r="AD912" s="13">
        <v>2</v>
      </c>
      <c r="AE912" s="13">
        <v>3</v>
      </c>
      <c r="AF912" s="14">
        <v>1</v>
      </c>
      <c r="AG912" s="13">
        <v>0</v>
      </c>
      <c r="AH912" s="13">
        <v>0</v>
      </c>
      <c r="AI912" s="13">
        <v>1</v>
      </c>
      <c r="AJ912" s="13" t="str">
        <f t="shared" si="14"/>
        <v>Under 30</v>
      </c>
      <c r="AK912" s="13" t="str">
        <f>IF(tblCleanData[[#This Row],[MonthlyIncome]]&lt;5000, "Low Income", IF(tblCleanData[[#This Row],[MonthlyIncome]]&lt;15000, "Medium Income", "High Income"))</f>
        <v>Low Income</v>
      </c>
      <c r="AL912" s="13">
        <f>IF(tblCleanData[[#This Row],[Attrition]]="No", 0,1)</f>
        <v>0</v>
      </c>
      <c r="AM912" s="13">
        <f>IF(tblCleanData[[#This Row],[OverTime]] = "No", 0, 1)</f>
        <v>0</v>
      </c>
      <c r="AN912" s="13" t="str">
        <f>CHOOSE(tblCleanData[[#This Row],[Education]], "Below College","College","Bachelor","Master","Doctor")</f>
        <v>College</v>
      </c>
      <c r="AO912" s="13" t="str">
        <f>VLOOKUP(tblCleanData[[#This Row],[EmployeeNumber]],tblHelpers[],15,TRUE)</f>
        <v>High Risk</v>
      </c>
      <c r="AP912" s="13">
        <f>VLOOKUP(tblCleanData[[#This Row],[EmployeeNumber]],tblHelpers[],14,0)</f>
        <v>73</v>
      </c>
    </row>
    <row r="913" spans="1:42" x14ac:dyDescent="0.25">
      <c r="A913" s="13">
        <v>25</v>
      </c>
      <c r="B913" s="13" t="s">
        <v>36</v>
      </c>
      <c r="C913" s="13" t="s">
        <v>60</v>
      </c>
      <c r="D913" s="13">
        <v>599</v>
      </c>
      <c r="E913" s="13" t="s">
        <v>39</v>
      </c>
      <c r="F913" s="13">
        <v>24</v>
      </c>
      <c r="G913" s="13">
        <v>1</v>
      </c>
      <c r="H913" s="13" t="s">
        <v>42</v>
      </c>
      <c r="I913" s="13">
        <v>1</v>
      </c>
      <c r="J913" s="13">
        <v>1273</v>
      </c>
      <c r="K913" s="13">
        <v>3</v>
      </c>
      <c r="L913" s="13" t="s">
        <v>63</v>
      </c>
      <c r="M913" s="13">
        <v>73</v>
      </c>
      <c r="N913" s="13">
        <v>1</v>
      </c>
      <c r="O913" s="13">
        <v>1</v>
      </c>
      <c r="P913" s="13" t="s">
        <v>182</v>
      </c>
      <c r="Q913" s="13">
        <v>4</v>
      </c>
      <c r="R913" s="13" t="s">
        <v>48</v>
      </c>
      <c r="S913" s="20">
        <v>1118</v>
      </c>
      <c r="T913" s="13">
        <v>8040</v>
      </c>
      <c r="U913" s="13">
        <v>1</v>
      </c>
      <c r="V913" s="13" t="s">
        <v>52</v>
      </c>
      <c r="W913" s="13" t="s">
        <v>36</v>
      </c>
      <c r="X913" s="13">
        <v>14</v>
      </c>
      <c r="Y913" s="13">
        <v>3</v>
      </c>
      <c r="Z913" s="13">
        <v>4</v>
      </c>
      <c r="AA913" s="13">
        <v>80</v>
      </c>
      <c r="AB913" s="13">
        <v>0</v>
      </c>
      <c r="AC913" s="13">
        <v>1</v>
      </c>
      <c r="AD913" s="13">
        <v>4</v>
      </c>
      <c r="AE913" s="13">
        <v>3</v>
      </c>
      <c r="AF913" s="14">
        <v>1</v>
      </c>
      <c r="AG913" s="13">
        <v>0</v>
      </c>
      <c r="AH913" s="13">
        <v>1</v>
      </c>
      <c r="AI913" s="13">
        <v>0</v>
      </c>
      <c r="AJ913" s="13" t="str">
        <f t="shared" si="14"/>
        <v>Under 30</v>
      </c>
      <c r="AK913" s="13" t="str">
        <f>IF(tblCleanData[[#This Row],[MonthlyIncome]]&lt;5000, "Low Income", IF(tblCleanData[[#This Row],[MonthlyIncome]]&lt;15000, "Medium Income", "High Income"))</f>
        <v>Low Income</v>
      </c>
      <c r="AL913" s="13">
        <f>IF(tblCleanData[[#This Row],[Attrition]]="No", 0,1)</f>
        <v>1</v>
      </c>
      <c r="AM913" s="13">
        <f>IF(tblCleanData[[#This Row],[OverTime]] = "No", 0, 1)</f>
        <v>1</v>
      </c>
      <c r="AN913" s="13" t="str">
        <f>CHOOSE(tblCleanData[[#This Row],[Education]], "Below College","College","Bachelor","Master","Doctor")</f>
        <v>Below College</v>
      </c>
      <c r="AO913" s="13" t="str">
        <f>VLOOKUP(tblCleanData[[#This Row],[EmployeeNumber]],tblHelpers[],15,TRUE)</f>
        <v>High Risk</v>
      </c>
      <c r="AP913" s="13">
        <f>VLOOKUP(tblCleanData[[#This Row],[EmployeeNumber]],tblHelpers[],14,0)</f>
        <v>91</v>
      </c>
    </row>
    <row r="914" spans="1:42" x14ac:dyDescent="0.25">
      <c r="A914" s="13">
        <v>26</v>
      </c>
      <c r="B914" s="13" t="s">
        <v>59</v>
      </c>
      <c r="C914" s="13" t="s">
        <v>37</v>
      </c>
      <c r="D914" s="13">
        <v>583</v>
      </c>
      <c r="E914" s="13" t="s">
        <v>62</v>
      </c>
      <c r="F914" s="13">
        <v>4</v>
      </c>
      <c r="G914" s="13">
        <v>2</v>
      </c>
      <c r="H914" s="13" t="s">
        <v>42</v>
      </c>
      <c r="I914" s="13">
        <v>1</v>
      </c>
      <c r="J914" s="13">
        <v>1275</v>
      </c>
      <c r="K914" s="13">
        <v>3</v>
      </c>
      <c r="L914" s="13" t="s">
        <v>63</v>
      </c>
      <c r="M914" s="13">
        <v>53</v>
      </c>
      <c r="N914" s="13">
        <v>3</v>
      </c>
      <c r="O914" s="13">
        <v>1</v>
      </c>
      <c r="P914" s="13" t="s">
        <v>65</v>
      </c>
      <c r="Q914" s="13">
        <v>4</v>
      </c>
      <c r="R914" s="13" t="s">
        <v>48</v>
      </c>
      <c r="S914" s="20">
        <v>2875</v>
      </c>
      <c r="T914" s="13">
        <v>9973</v>
      </c>
      <c r="U914" s="13">
        <v>1</v>
      </c>
      <c r="V914" s="13" t="s">
        <v>52</v>
      </c>
      <c r="W914" s="13" t="s">
        <v>36</v>
      </c>
      <c r="X914" s="13">
        <v>20</v>
      </c>
      <c r="Y914" s="13">
        <v>4</v>
      </c>
      <c r="Z914" s="13">
        <v>2</v>
      </c>
      <c r="AA914" s="13">
        <v>80</v>
      </c>
      <c r="AB914" s="13">
        <v>0</v>
      </c>
      <c r="AC914" s="13">
        <v>8</v>
      </c>
      <c r="AD914" s="13">
        <v>2</v>
      </c>
      <c r="AE914" s="13">
        <v>2</v>
      </c>
      <c r="AF914" s="14">
        <v>8</v>
      </c>
      <c r="AG914" s="13">
        <v>5</v>
      </c>
      <c r="AH914" s="13">
        <v>2</v>
      </c>
      <c r="AI914" s="13">
        <v>2</v>
      </c>
      <c r="AJ914" s="13" t="str">
        <f t="shared" si="14"/>
        <v>Under 30</v>
      </c>
      <c r="AK914" s="13" t="str">
        <f>IF(tblCleanData[[#This Row],[MonthlyIncome]]&lt;5000, "Low Income", IF(tblCleanData[[#This Row],[MonthlyIncome]]&lt;15000, "Medium Income", "High Income"))</f>
        <v>Low Income</v>
      </c>
      <c r="AL914" s="13">
        <f>IF(tblCleanData[[#This Row],[Attrition]]="No", 0,1)</f>
        <v>0</v>
      </c>
      <c r="AM914" s="13">
        <f>IF(tblCleanData[[#This Row],[OverTime]] = "No", 0, 1)</f>
        <v>1</v>
      </c>
      <c r="AN914" s="13" t="str">
        <f>CHOOSE(tblCleanData[[#This Row],[Education]], "Below College","College","Bachelor","Master","Doctor")</f>
        <v>College</v>
      </c>
      <c r="AO914" s="13" t="str">
        <f>VLOOKUP(tblCleanData[[#This Row],[EmployeeNumber]],tblHelpers[],15,TRUE)</f>
        <v>High Risk</v>
      </c>
      <c r="AP914" s="13">
        <f>VLOOKUP(tblCleanData[[#This Row],[EmployeeNumber]],tblHelpers[],14,0)</f>
        <v>74</v>
      </c>
    </row>
    <row r="915" spans="1:42" x14ac:dyDescent="0.25">
      <c r="A915" s="13">
        <v>45</v>
      </c>
      <c r="B915" s="13" t="s">
        <v>36</v>
      </c>
      <c r="C915" s="13" t="s">
        <v>37</v>
      </c>
      <c r="D915" s="13">
        <v>1449</v>
      </c>
      <c r="E915" s="13" t="s">
        <v>39</v>
      </c>
      <c r="F915" s="13">
        <v>2</v>
      </c>
      <c r="G915" s="13">
        <v>3</v>
      </c>
      <c r="H915" s="13" t="s">
        <v>206</v>
      </c>
      <c r="I915" s="13">
        <v>1</v>
      </c>
      <c r="J915" s="13">
        <v>1277</v>
      </c>
      <c r="K915" s="13">
        <v>1</v>
      </c>
      <c r="L915" s="13" t="s">
        <v>43</v>
      </c>
      <c r="M915" s="13">
        <v>94</v>
      </c>
      <c r="N915" s="13">
        <v>1</v>
      </c>
      <c r="O915" s="13">
        <v>5</v>
      </c>
      <c r="P915" s="13" t="s">
        <v>169</v>
      </c>
      <c r="Q915" s="13">
        <v>2</v>
      </c>
      <c r="R915" s="13" t="s">
        <v>48</v>
      </c>
      <c r="S915" s="20">
        <v>18824</v>
      </c>
      <c r="T915" s="13">
        <v>2493</v>
      </c>
      <c r="U915" s="13">
        <v>2</v>
      </c>
      <c r="V915" s="13" t="s">
        <v>52</v>
      </c>
      <c r="W915" s="13" t="s">
        <v>36</v>
      </c>
      <c r="X915" s="13">
        <v>16</v>
      </c>
      <c r="Y915" s="13">
        <v>3</v>
      </c>
      <c r="Z915" s="13">
        <v>1</v>
      </c>
      <c r="AA915" s="13">
        <v>80</v>
      </c>
      <c r="AB915" s="13">
        <v>0</v>
      </c>
      <c r="AC915" s="13">
        <v>26</v>
      </c>
      <c r="AD915" s="13">
        <v>2</v>
      </c>
      <c r="AE915" s="13">
        <v>3</v>
      </c>
      <c r="AF915" s="14">
        <v>24</v>
      </c>
      <c r="AG915" s="13">
        <v>10</v>
      </c>
      <c r="AH915" s="13">
        <v>1</v>
      </c>
      <c r="AI915" s="13">
        <v>11</v>
      </c>
      <c r="AJ915" s="13" t="str">
        <f t="shared" si="14"/>
        <v>40-49</v>
      </c>
      <c r="AK915" s="13" t="str">
        <f>IF(tblCleanData[[#This Row],[MonthlyIncome]]&lt;5000, "Low Income", IF(tblCleanData[[#This Row],[MonthlyIncome]]&lt;15000, "Medium Income", "High Income"))</f>
        <v>High Income</v>
      </c>
      <c r="AL915" s="13">
        <f>IF(tblCleanData[[#This Row],[Attrition]]="No", 0,1)</f>
        <v>1</v>
      </c>
      <c r="AM915" s="13">
        <f>IF(tblCleanData[[#This Row],[OverTime]] = "No", 0, 1)</f>
        <v>1</v>
      </c>
      <c r="AN915" s="13" t="str">
        <f>CHOOSE(tblCleanData[[#This Row],[Education]], "Below College","College","Bachelor","Master","Doctor")</f>
        <v>Bachelor</v>
      </c>
      <c r="AO915" s="13" t="str">
        <f>VLOOKUP(tblCleanData[[#This Row],[EmployeeNumber]],tblHelpers[],15,TRUE)</f>
        <v>High Risk</v>
      </c>
      <c r="AP915" s="13">
        <f>VLOOKUP(tblCleanData[[#This Row],[EmployeeNumber]],tblHelpers[],14,0)</f>
        <v>62</v>
      </c>
    </row>
    <row r="916" spans="1:42" x14ac:dyDescent="0.25">
      <c r="A916" s="13">
        <v>55</v>
      </c>
      <c r="B916" s="13" t="s">
        <v>59</v>
      </c>
      <c r="C916" s="13" t="s">
        <v>161</v>
      </c>
      <c r="D916" s="13">
        <v>177</v>
      </c>
      <c r="E916" s="13" t="s">
        <v>62</v>
      </c>
      <c r="F916" s="13">
        <v>8</v>
      </c>
      <c r="G916" s="13">
        <v>1</v>
      </c>
      <c r="H916" s="13" t="s">
        <v>87</v>
      </c>
      <c r="I916" s="13">
        <v>1</v>
      </c>
      <c r="J916" s="13">
        <v>1278</v>
      </c>
      <c r="K916" s="13">
        <v>4</v>
      </c>
      <c r="L916" s="13" t="s">
        <v>63</v>
      </c>
      <c r="M916" s="13">
        <v>37</v>
      </c>
      <c r="N916" s="13">
        <v>2</v>
      </c>
      <c r="O916" s="13">
        <v>4</v>
      </c>
      <c r="P916" s="13" t="s">
        <v>122</v>
      </c>
      <c r="Q916" s="13">
        <v>2</v>
      </c>
      <c r="R916" s="13" t="s">
        <v>109</v>
      </c>
      <c r="S916" s="20">
        <v>13577</v>
      </c>
      <c r="T916" s="13">
        <v>25592</v>
      </c>
      <c r="U916" s="13">
        <v>1</v>
      </c>
      <c r="V916" s="13" t="s">
        <v>52</v>
      </c>
      <c r="W916" s="13" t="s">
        <v>36</v>
      </c>
      <c r="X916" s="13">
        <v>15</v>
      </c>
      <c r="Y916" s="13">
        <v>3</v>
      </c>
      <c r="Z916" s="13">
        <v>4</v>
      </c>
      <c r="AA916" s="13">
        <v>80</v>
      </c>
      <c r="AB916" s="13">
        <v>1</v>
      </c>
      <c r="AC916" s="13">
        <v>34</v>
      </c>
      <c r="AD916" s="13">
        <v>3</v>
      </c>
      <c r="AE916" s="13">
        <v>3</v>
      </c>
      <c r="AF916" s="14">
        <v>33</v>
      </c>
      <c r="AG916" s="13">
        <v>9</v>
      </c>
      <c r="AH916" s="13">
        <v>15</v>
      </c>
      <c r="AI916" s="13">
        <v>0</v>
      </c>
      <c r="AJ916" s="13" t="str">
        <f t="shared" si="14"/>
        <v>50+</v>
      </c>
      <c r="AK916" s="13" t="str">
        <f>IF(tblCleanData[[#This Row],[MonthlyIncome]]&lt;5000, "Low Income", IF(tblCleanData[[#This Row],[MonthlyIncome]]&lt;15000, "Medium Income", "High Income"))</f>
        <v>Medium Income</v>
      </c>
      <c r="AL916" s="13">
        <f>IF(tblCleanData[[#This Row],[Attrition]]="No", 0,1)</f>
        <v>0</v>
      </c>
      <c r="AM916" s="13">
        <f>IF(tblCleanData[[#This Row],[OverTime]] = "No", 0, 1)</f>
        <v>1</v>
      </c>
      <c r="AN916" s="13" t="str">
        <f>CHOOSE(tblCleanData[[#This Row],[Education]], "Below College","College","Bachelor","Master","Doctor")</f>
        <v>Below College</v>
      </c>
      <c r="AO916" s="13" t="str">
        <f>VLOOKUP(tblCleanData[[#This Row],[EmployeeNumber]],tblHelpers[],15,TRUE)</f>
        <v>High Risk</v>
      </c>
      <c r="AP916" s="13">
        <f>VLOOKUP(tblCleanData[[#This Row],[EmployeeNumber]],tblHelpers[],14,0)</f>
        <v>67</v>
      </c>
    </row>
    <row r="917" spans="1:42" x14ac:dyDescent="0.25">
      <c r="A917" s="13">
        <v>21</v>
      </c>
      <c r="B917" s="13" t="s">
        <v>36</v>
      </c>
      <c r="C917" s="13" t="s">
        <v>60</v>
      </c>
      <c r="D917" s="13">
        <v>251</v>
      </c>
      <c r="E917" s="13" t="s">
        <v>62</v>
      </c>
      <c r="F917" s="13">
        <v>10</v>
      </c>
      <c r="G917" s="13">
        <v>2</v>
      </c>
      <c r="H917" s="13" t="s">
        <v>42</v>
      </c>
      <c r="I917" s="13">
        <v>1</v>
      </c>
      <c r="J917" s="13">
        <v>1279</v>
      </c>
      <c r="K917" s="13">
        <v>1</v>
      </c>
      <c r="L917" s="13" t="s">
        <v>43</v>
      </c>
      <c r="M917" s="13">
        <v>45</v>
      </c>
      <c r="N917" s="13">
        <v>2</v>
      </c>
      <c r="O917" s="13">
        <v>1</v>
      </c>
      <c r="P917" s="13" t="s">
        <v>76</v>
      </c>
      <c r="Q917" s="13">
        <v>3</v>
      </c>
      <c r="R917" s="13" t="s">
        <v>48</v>
      </c>
      <c r="S917" s="20">
        <v>2625</v>
      </c>
      <c r="T917" s="13">
        <v>25308</v>
      </c>
      <c r="U917" s="13">
        <v>1</v>
      </c>
      <c r="V917" s="13" t="s">
        <v>52</v>
      </c>
      <c r="W917" s="13" t="s">
        <v>59</v>
      </c>
      <c r="X917" s="13">
        <v>20</v>
      </c>
      <c r="Y917" s="13">
        <v>4</v>
      </c>
      <c r="Z917" s="13">
        <v>3</v>
      </c>
      <c r="AA917" s="13">
        <v>80</v>
      </c>
      <c r="AB917" s="13">
        <v>0</v>
      </c>
      <c r="AC917" s="13">
        <v>2</v>
      </c>
      <c r="AD917" s="13">
        <v>2</v>
      </c>
      <c r="AE917" s="13">
        <v>1</v>
      </c>
      <c r="AF917" s="14">
        <v>2</v>
      </c>
      <c r="AG917" s="13">
        <v>2</v>
      </c>
      <c r="AH917" s="13">
        <v>2</v>
      </c>
      <c r="AI917" s="13">
        <v>2</v>
      </c>
      <c r="AJ917" s="13" t="str">
        <f t="shared" si="14"/>
        <v>Under 30</v>
      </c>
      <c r="AK917" s="13" t="str">
        <f>IF(tblCleanData[[#This Row],[MonthlyIncome]]&lt;5000, "Low Income", IF(tblCleanData[[#This Row],[MonthlyIncome]]&lt;15000, "Medium Income", "High Income"))</f>
        <v>Low Income</v>
      </c>
      <c r="AL917" s="13">
        <f>IF(tblCleanData[[#This Row],[Attrition]]="No", 0,1)</f>
        <v>1</v>
      </c>
      <c r="AM917" s="13">
        <f>IF(tblCleanData[[#This Row],[OverTime]] = "No", 0, 1)</f>
        <v>0</v>
      </c>
      <c r="AN917" s="13" t="str">
        <f>CHOOSE(tblCleanData[[#This Row],[Education]], "Below College","College","Bachelor","Master","Doctor")</f>
        <v>College</v>
      </c>
      <c r="AO917" s="13" t="str">
        <f>VLOOKUP(tblCleanData[[#This Row],[EmployeeNumber]],tblHelpers[],15,TRUE)</f>
        <v>High Risk</v>
      </c>
      <c r="AP917" s="13">
        <f>VLOOKUP(tblCleanData[[#This Row],[EmployeeNumber]],tblHelpers[],14,0)</f>
        <v>73</v>
      </c>
    </row>
    <row r="918" spans="1:42" x14ac:dyDescent="0.25">
      <c r="A918" s="13">
        <v>46</v>
      </c>
      <c r="B918" s="13" t="s">
        <v>59</v>
      </c>
      <c r="C918" s="13" t="s">
        <v>37</v>
      </c>
      <c r="D918" s="13">
        <v>168</v>
      </c>
      <c r="E918" s="13" t="s">
        <v>39</v>
      </c>
      <c r="F918" s="13">
        <v>4</v>
      </c>
      <c r="G918" s="13">
        <v>2</v>
      </c>
      <c r="H918" s="13" t="s">
        <v>206</v>
      </c>
      <c r="I918" s="13">
        <v>1</v>
      </c>
      <c r="J918" s="13">
        <v>1280</v>
      </c>
      <c r="K918" s="13">
        <v>4</v>
      </c>
      <c r="L918" s="13" t="s">
        <v>43</v>
      </c>
      <c r="M918" s="13">
        <v>33</v>
      </c>
      <c r="N918" s="13">
        <v>2</v>
      </c>
      <c r="O918" s="13">
        <v>5</v>
      </c>
      <c r="P918" s="13" t="s">
        <v>169</v>
      </c>
      <c r="Q918" s="13">
        <v>2</v>
      </c>
      <c r="R918" s="13" t="s">
        <v>66</v>
      </c>
      <c r="S918" s="20">
        <v>18789</v>
      </c>
      <c r="T918" s="13">
        <v>9946</v>
      </c>
      <c r="U918" s="13">
        <v>2</v>
      </c>
      <c r="V918" s="13" t="s">
        <v>52</v>
      </c>
      <c r="W918" s="13" t="s">
        <v>59</v>
      </c>
      <c r="X918" s="13">
        <v>14</v>
      </c>
      <c r="Y918" s="13">
        <v>3</v>
      </c>
      <c r="Z918" s="13">
        <v>3</v>
      </c>
      <c r="AA918" s="13">
        <v>80</v>
      </c>
      <c r="AB918" s="13">
        <v>1</v>
      </c>
      <c r="AC918" s="13">
        <v>26</v>
      </c>
      <c r="AD918" s="13">
        <v>2</v>
      </c>
      <c r="AE918" s="13">
        <v>3</v>
      </c>
      <c r="AF918" s="14">
        <v>11</v>
      </c>
      <c r="AG918" s="13">
        <v>4</v>
      </c>
      <c r="AH918" s="13">
        <v>0</v>
      </c>
      <c r="AI918" s="13">
        <v>8</v>
      </c>
      <c r="AJ918" s="13" t="str">
        <f t="shared" si="14"/>
        <v>40-49</v>
      </c>
      <c r="AK918" s="13" t="str">
        <f>IF(tblCleanData[[#This Row],[MonthlyIncome]]&lt;5000, "Low Income", IF(tblCleanData[[#This Row],[MonthlyIncome]]&lt;15000, "Medium Income", "High Income"))</f>
        <v>High Income</v>
      </c>
      <c r="AL918" s="13">
        <f>IF(tblCleanData[[#This Row],[Attrition]]="No", 0,1)</f>
        <v>0</v>
      </c>
      <c r="AM918" s="13">
        <f>IF(tblCleanData[[#This Row],[OverTime]] = "No", 0, 1)</f>
        <v>0</v>
      </c>
      <c r="AN918" s="13" t="str">
        <f>CHOOSE(tblCleanData[[#This Row],[Education]], "Below College","College","Bachelor","Master","Doctor")</f>
        <v>College</v>
      </c>
      <c r="AO918" s="13" t="str">
        <f>VLOOKUP(tblCleanData[[#This Row],[EmployeeNumber]],tblHelpers[],15,TRUE)</f>
        <v>Medium Risk</v>
      </c>
      <c r="AP918" s="13">
        <f>VLOOKUP(tblCleanData[[#This Row],[EmployeeNumber]],tblHelpers[],14,0)</f>
        <v>37</v>
      </c>
    </row>
    <row r="919" spans="1:42" x14ac:dyDescent="0.25">
      <c r="A919" s="13">
        <v>34</v>
      </c>
      <c r="B919" s="13" t="s">
        <v>59</v>
      </c>
      <c r="C919" s="13" t="s">
        <v>37</v>
      </c>
      <c r="D919" s="13">
        <v>131</v>
      </c>
      <c r="E919" s="13" t="s">
        <v>39</v>
      </c>
      <c r="F919" s="13">
        <v>2</v>
      </c>
      <c r="G919" s="13">
        <v>3</v>
      </c>
      <c r="H919" s="13" t="s">
        <v>206</v>
      </c>
      <c r="I919" s="13">
        <v>1</v>
      </c>
      <c r="J919" s="13">
        <v>1281</v>
      </c>
      <c r="K919" s="13">
        <v>3</v>
      </c>
      <c r="L919" s="13" t="s">
        <v>43</v>
      </c>
      <c r="M919" s="13">
        <v>86</v>
      </c>
      <c r="N919" s="13">
        <v>3</v>
      </c>
      <c r="O919" s="13">
        <v>2</v>
      </c>
      <c r="P919" s="13" t="s">
        <v>46</v>
      </c>
      <c r="Q919" s="13">
        <v>1</v>
      </c>
      <c r="R919" s="13" t="s">
        <v>48</v>
      </c>
      <c r="S919" s="20">
        <v>4538</v>
      </c>
      <c r="T919" s="13">
        <v>6039</v>
      </c>
      <c r="U919" s="13">
        <v>0</v>
      </c>
      <c r="V919" s="13" t="s">
        <v>52</v>
      </c>
      <c r="W919" s="13" t="s">
        <v>36</v>
      </c>
      <c r="X919" s="13">
        <v>12</v>
      </c>
      <c r="Y919" s="13">
        <v>3</v>
      </c>
      <c r="Z919" s="13">
        <v>4</v>
      </c>
      <c r="AA919" s="13">
        <v>80</v>
      </c>
      <c r="AB919" s="13">
        <v>0</v>
      </c>
      <c r="AC919" s="13">
        <v>4</v>
      </c>
      <c r="AD919" s="13">
        <v>3</v>
      </c>
      <c r="AE919" s="13">
        <v>3</v>
      </c>
      <c r="AF919" s="14">
        <v>3</v>
      </c>
      <c r="AG919" s="13">
        <v>2</v>
      </c>
      <c r="AH919" s="13">
        <v>0</v>
      </c>
      <c r="AI919" s="13">
        <v>2</v>
      </c>
      <c r="AJ919" s="13" t="str">
        <f t="shared" si="14"/>
        <v>30-39</v>
      </c>
      <c r="AK919" s="13" t="str">
        <f>IF(tblCleanData[[#This Row],[MonthlyIncome]]&lt;5000, "Low Income", IF(tblCleanData[[#This Row],[MonthlyIncome]]&lt;15000, "Medium Income", "High Income"))</f>
        <v>Low Income</v>
      </c>
      <c r="AL919" s="13">
        <f>IF(tblCleanData[[#This Row],[Attrition]]="No", 0,1)</f>
        <v>0</v>
      </c>
      <c r="AM919" s="13">
        <f>IF(tblCleanData[[#This Row],[OverTime]] = "No", 0, 1)</f>
        <v>1</v>
      </c>
      <c r="AN919" s="13" t="str">
        <f>CHOOSE(tblCleanData[[#This Row],[Education]], "Below College","College","Bachelor","Master","Doctor")</f>
        <v>Bachelor</v>
      </c>
      <c r="AO919" s="13" t="str">
        <f>VLOOKUP(tblCleanData[[#This Row],[EmployeeNumber]],tblHelpers[],15,TRUE)</f>
        <v>High Risk</v>
      </c>
      <c r="AP919" s="13">
        <f>VLOOKUP(tblCleanData[[#This Row],[EmployeeNumber]],tblHelpers[],14,0)</f>
        <v>90</v>
      </c>
    </row>
    <row r="920" spans="1:42" x14ac:dyDescent="0.25">
      <c r="A920" s="13">
        <v>51</v>
      </c>
      <c r="B920" s="13" t="s">
        <v>59</v>
      </c>
      <c r="C920" s="13" t="s">
        <v>60</v>
      </c>
      <c r="D920" s="13">
        <v>237</v>
      </c>
      <c r="E920" s="13" t="s">
        <v>39</v>
      </c>
      <c r="F920" s="13">
        <v>9</v>
      </c>
      <c r="G920" s="13">
        <v>3</v>
      </c>
      <c r="H920" s="13" t="s">
        <v>42</v>
      </c>
      <c r="I920" s="13">
        <v>1</v>
      </c>
      <c r="J920" s="13">
        <v>1282</v>
      </c>
      <c r="K920" s="13">
        <v>4</v>
      </c>
      <c r="L920" s="13" t="s">
        <v>63</v>
      </c>
      <c r="M920" s="13">
        <v>83</v>
      </c>
      <c r="N920" s="13">
        <v>3</v>
      </c>
      <c r="O920" s="13">
        <v>5</v>
      </c>
      <c r="P920" s="13" t="s">
        <v>169</v>
      </c>
      <c r="Q920" s="13">
        <v>2</v>
      </c>
      <c r="R920" s="13" t="s">
        <v>109</v>
      </c>
      <c r="S920" s="20">
        <v>19847</v>
      </c>
      <c r="T920" s="13">
        <v>19196</v>
      </c>
      <c r="U920" s="13">
        <v>4</v>
      </c>
      <c r="V920" s="13" t="s">
        <v>52</v>
      </c>
      <c r="W920" s="13" t="s">
        <v>36</v>
      </c>
      <c r="X920" s="13">
        <v>24</v>
      </c>
      <c r="Y920" s="13">
        <v>4</v>
      </c>
      <c r="Z920" s="13">
        <v>1</v>
      </c>
      <c r="AA920" s="13">
        <v>80</v>
      </c>
      <c r="AB920" s="13">
        <v>1</v>
      </c>
      <c r="AC920" s="13">
        <v>31</v>
      </c>
      <c r="AD920" s="13">
        <v>5</v>
      </c>
      <c r="AE920" s="13">
        <v>2</v>
      </c>
      <c r="AF920" s="14">
        <v>29</v>
      </c>
      <c r="AG920" s="13">
        <v>10</v>
      </c>
      <c r="AH920" s="13">
        <v>11</v>
      </c>
      <c r="AI920" s="13">
        <v>10</v>
      </c>
      <c r="AJ920" s="13" t="str">
        <f t="shared" si="14"/>
        <v>50+</v>
      </c>
      <c r="AK920" s="13" t="str">
        <f>IF(tblCleanData[[#This Row],[MonthlyIncome]]&lt;5000, "Low Income", IF(tblCleanData[[#This Row],[MonthlyIncome]]&lt;15000, "Medium Income", "High Income"))</f>
        <v>High Income</v>
      </c>
      <c r="AL920" s="13">
        <f>IF(tblCleanData[[#This Row],[Attrition]]="No", 0,1)</f>
        <v>0</v>
      </c>
      <c r="AM920" s="13">
        <f>IF(tblCleanData[[#This Row],[OverTime]] = "No", 0, 1)</f>
        <v>1</v>
      </c>
      <c r="AN920" s="13" t="str">
        <f>CHOOSE(tblCleanData[[#This Row],[Education]], "Below College","College","Bachelor","Master","Doctor")</f>
        <v>Bachelor</v>
      </c>
      <c r="AO920" s="13" t="str">
        <f>VLOOKUP(tblCleanData[[#This Row],[EmployeeNumber]],tblHelpers[],15,TRUE)</f>
        <v>High Risk</v>
      </c>
      <c r="AP920" s="13">
        <f>VLOOKUP(tblCleanData[[#This Row],[EmployeeNumber]],tblHelpers[],14,0)</f>
        <v>67</v>
      </c>
    </row>
    <row r="921" spans="1:42" x14ac:dyDescent="0.25">
      <c r="A921" s="13">
        <v>59</v>
      </c>
      <c r="B921" s="13" t="s">
        <v>59</v>
      </c>
      <c r="C921" s="13" t="s">
        <v>37</v>
      </c>
      <c r="D921" s="13">
        <v>1429</v>
      </c>
      <c r="E921" s="13" t="s">
        <v>62</v>
      </c>
      <c r="F921" s="13">
        <v>18</v>
      </c>
      <c r="G921" s="13">
        <v>4</v>
      </c>
      <c r="H921" s="13" t="s">
        <v>87</v>
      </c>
      <c r="I921" s="13">
        <v>1</v>
      </c>
      <c r="J921" s="13">
        <v>1283</v>
      </c>
      <c r="K921" s="13">
        <v>4</v>
      </c>
      <c r="L921" s="13" t="s">
        <v>63</v>
      </c>
      <c r="M921" s="13">
        <v>67</v>
      </c>
      <c r="N921" s="13">
        <v>3</v>
      </c>
      <c r="O921" s="13">
        <v>3</v>
      </c>
      <c r="P921" s="13" t="s">
        <v>116</v>
      </c>
      <c r="Q921" s="13">
        <v>4</v>
      </c>
      <c r="R921" s="13" t="s">
        <v>48</v>
      </c>
      <c r="S921" s="20">
        <v>10512</v>
      </c>
      <c r="T921" s="13">
        <v>20002</v>
      </c>
      <c r="U921" s="13">
        <v>6</v>
      </c>
      <c r="V921" s="13" t="s">
        <v>52</v>
      </c>
      <c r="W921" s="13" t="s">
        <v>59</v>
      </c>
      <c r="X921" s="13">
        <v>12</v>
      </c>
      <c r="Y921" s="13">
        <v>3</v>
      </c>
      <c r="Z921" s="13">
        <v>4</v>
      </c>
      <c r="AA921" s="13">
        <v>80</v>
      </c>
      <c r="AB921" s="13">
        <v>0</v>
      </c>
      <c r="AC921" s="13">
        <v>25</v>
      </c>
      <c r="AD921" s="13">
        <v>6</v>
      </c>
      <c r="AE921" s="13">
        <v>2</v>
      </c>
      <c r="AF921" s="14">
        <v>9</v>
      </c>
      <c r="AG921" s="13">
        <v>7</v>
      </c>
      <c r="AH921" s="13">
        <v>5</v>
      </c>
      <c r="AI921" s="13">
        <v>4</v>
      </c>
      <c r="AJ921" s="13" t="str">
        <f t="shared" si="14"/>
        <v>50+</v>
      </c>
      <c r="AK921" s="13" t="str">
        <f>IF(tblCleanData[[#This Row],[MonthlyIncome]]&lt;5000, "Low Income", IF(tblCleanData[[#This Row],[MonthlyIncome]]&lt;15000, "Medium Income", "High Income"))</f>
        <v>Medium Income</v>
      </c>
      <c r="AL921" s="13">
        <f>IF(tblCleanData[[#This Row],[Attrition]]="No", 0,1)</f>
        <v>0</v>
      </c>
      <c r="AM921" s="13">
        <f>IF(tblCleanData[[#This Row],[OverTime]] = "No", 0, 1)</f>
        <v>0</v>
      </c>
      <c r="AN921" s="13" t="str">
        <f>CHOOSE(tblCleanData[[#This Row],[Education]], "Below College","College","Bachelor","Master","Doctor")</f>
        <v>Master</v>
      </c>
      <c r="AO921" s="13" t="str">
        <f>VLOOKUP(tblCleanData[[#This Row],[EmployeeNumber]],tblHelpers[],15,TRUE)</f>
        <v>Low Risk</v>
      </c>
      <c r="AP921" s="13">
        <f>VLOOKUP(tblCleanData[[#This Row],[EmployeeNumber]],tblHelpers[],14,0)</f>
        <v>34</v>
      </c>
    </row>
    <row r="922" spans="1:42" x14ac:dyDescent="0.25">
      <c r="A922" s="13">
        <v>34</v>
      </c>
      <c r="B922" s="13" t="s">
        <v>59</v>
      </c>
      <c r="C922" s="13" t="s">
        <v>60</v>
      </c>
      <c r="D922" s="13">
        <v>135</v>
      </c>
      <c r="E922" s="13" t="s">
        <v>62</v>
      </c>
      <c r="F922" s="13">
        <v>19</v>
      </c>
      <c r="G922" s="13">
        <v>3</v>
      </c>
      <c r="H922" s="13" t="s">
        <v>87</v>
      </c>
      <c r="I922" s="13">
        <v>1</v>
      </c>
      <c r="J922" s="13">
        <v>1285</v>
      </c>
      <c r="K922" s="13">
        <v>3</v>
      </c>
      <c r="L922" s="13" t="s">
        <v>43</v>
      </c>
      <c r="M922" s="13">
        <v>46</v>
      </c>
      <c r="N922" s="13">
        <v>3</v>
      </c>
      <c r="O922" s="13">
        <v>2</v>
      </c>
      <c r="P922" s="13" t="s">
        <v>76</v>
      </c>
      <c r="Q922" s="13">
        <v>2</v>
      </c>
      <c r="R922" s="13" t="s">
        <v>109</v>
      </c>
      <c r="S922" s="20">
        <v>4444</v>
      </c>
      <c r="T922" s="13">
        <v>22534</v>
      </c>
      <c r="U922" s="13">
        <v>4</v>
      </c>
      <c r="V922" s="13" t="s">
        <v>52</v>
      </c>
      <c r="W922" s="13" t="s">
        <v>59</v>
      </c>
      <c r="X922" s="13">
        <v>13</v>
      </c>
      <c r="Y922" s="13">
        <v>3</v>
      </c>
      <c r="Z922" s="13">
        <v>3</v>
      </c>
      <c r="AA922" s="13">
        <v>80</v>
      </c>
      <c r="AB922" s="13">
        <v>2</v>
      </c>
      <c r="AC922" s="13">
        <v>15</v>
      </c>
      <c r="AD922" s="13">
        <v>2</v>
      </c>
      <c r="AE922" s="13">
        <v>4</v>
      </c>
      <c r="AF922" s="14">
        <v>11</v>
      </c>
      <c r="AG922" s="13">
        <v>8</v>
      </c>
      <c r="AH922" s="13">
        <v>5</v>
      </c>
      <c r="AI922" s="13">
        <v>10</v>
      </c>
      <c r="AJ922" s="13" t="str">
        <f t="shared" si="14"/>
        <v>30-39</v>
      </c>
      <c r="AK922" s="13" t="str">
        <f>IF(tblCleanData[[#This Row],[MonthlyIncome]]&lt;5000, "Low Income", IF(tblCleanData[[#This Row],[MonthlyIncome]]&lt;15000, "Medium Income", "High Income"))</f>
        <v>Low Income</v>
      </c>
      <c r="AL922" s="13">
        <f>IF(tblCleanData[[#This Row],[Attrition]]="No", 0,1)</f>
        <v>0</v>
      </c>
      <c r="AM922" s="13">
        <f>IF(tblCleanData[[#This Row],[OverTime]] = "No", 0, 1)</f>
        <v>0</v>
      </c>
      <c r="AN922" s="13" t="str">
        <f>CHOOSE(tblCleanData[[#This Row],[Education]], "Below College","College","Bachelor","Master","Doctor")</f>
        <v>Bachelor</v>
      </c>
      <c r="AO922" s="13" t="str">
        <f>VLOOKUP(tblCleanData[[#This Row],[EmployeeNumber]],tblHelpers[],15,TRUE)</f>
        <v>Medium Risk</v>
      </c>
      <c r="AP922" s="13">
        <f>VLOOKUP(tblCleanData[[#This Row],[EmployeeNumber]],tblHelpers[],14,0)</f>
        <v>47</v>
      </c>
    </row>
    <row r="923" spans="1:42" x14ac:dyDescent="0.25">
      <c r="A923" s="13">
        <v>28</v>
      </c>
      <c r="B923" s="13" t="s">
        <v>59</v>
      </c>
      <c r="C923" s="13" t="s">
        <v>60</v>
      </c>
      <c r="D923" s="13">
        <v>791</v>
      </c>
      <c r="E923" s="13" t="s">
        <v>62</v>
      </c>
      <c r="F923" s="13">
        <v>1</v>
      </c>
      <c r="G923" s="13">
        <v>4</v>
      </c>
      <c r="H923" s="13" t="s">
        <v>87</v>
      </c>
      <c r="I923" s="13">
        <v>1</v>
      </c>
      <c r="J923" s="13">
        <v>1286</v>
      </c>
      <c r="K923" s="13">
        <v>4</v>
      </c>
      <c r="L923" s="13" t="s">
        <v>63</v>
      </c>
      <c r="M923" s="13">
        <v>44</v>
      </c>
      <c r="N923" s="13">
        <v>3</v>
      </c>
      <c r="O923" s="13">
        <v>1</v>
      </c>
      <c r="P923" s="13" t="s">
        <v>76</v>
      </c>
      <c r="Q923" s="13">
        <v>3</v>
      </c>
      <c r="R923" s="13" t="s">
        <v>48</v>
      </c>
      <c r="S923" s="20">
        <v>2154</v>
      </c>
      <c r="T923" s="13">
        <v>6842</v>
      </c>
      <c r="U923" s="13">
        <v>0</v>
      </c>
      <c r="V923" s="13" t="s">
        <v>52</v>
      </c>
      <c r="W923" s="13" t="s">
        <v>36</v>
      </c>
      <c r="X923" s="13">
        <v>11</v>
      </c>
      <c r="Y923" s="13">
        <v>3</v>
      </c>
      <c r="Z923" s="13">
        <v>3</v>
      </c>
      <c r="AA923" s="13">
        <v>80</v>
      </c>
      <c r="AB923" s="13">
        <v>0</v>
      </c>
      <c r="AC923" s="13">
        <v>5</v>
      </c>
      <c r="AD923" s="13">
        <v>2</v>
      </c>
      <c r="AE923" s="13">
        <v>2</v>
      </c>
      <c r="AF923" s="14">
        <v>4</v>
      </c>
      <c r="AG923" s="13">
        <v>2</v>
      </c>
      <c r="AH923" s="13">
        <v>0</v>
      </c>
      <c r="AI923" s="13">
        <v>2</v>
      </c>
      <c r="AJ923" s="13" t="str">
        <f t="shared" si="14"/>
        <v>Under 30</v>
      </c>
      <c r="AK923" s="13" t="str">
        <f>IF(tblCleanData[[#This Row],[MonthlyIncome]]&lt;5000, "Low Income", IF(tblCleanData[[#This Row],[MonthlyIncome]]&lt;15000, "Medium Income", "High Income"))</f>
        <v>Low Income</v>
      </c>
      <c r="AL923" s="13">
        <f>IF(tblCleanData[[#This Row],[Attrition]]="No", 0,1)</f>
        <v>0</v>
      </c>
      <c r="AM923" s="13">
        <f>IF(tblCleanData[[#This Row],[OverTime]] = "No", 0, 1)</f>
        <v>1</v>
      </c>
      <c r="AN923" s="13" t="str">
        <f>CHOOSE(tblCleanData[[#This Row],[Education]], "Below College","College","Bachelor","Master","Doctor")</f>
        <v>Master</v>
      </c>
      <c r="AO923" s="13" t="str">
        <f>VLOOKUP(tblCleanData[[#This Row],[EmployeeNumber]],tblHelpers[],15,TRUE)</f>
        <v>High Risk</v>
      </c>
      <c r="AP923" s="13">
        <f>VLOOKUP(tblCleanData[[#This Row],[EmployeeNumber]],tblHelpers[],14,0)</f>
        <v>88</v>
      </c>
    </row>
    <row r="924" spans="1:42" x14ac:dyDescent="0.25">
      <c r="A924" s="13">
        <v>44</v>
      </c>
      <c r="B924" s="13" t="s">
        <v>59</v>
      </c>
      <c r="C924" s="13" t="s">
        <v>37</v>
      </c>
      <c r="D924" s="13">
        <v>1199</v>
      </c>
      <c r="E924" s="13" t="s">
        <v>62</v>
      </c>
      <c r="F924" s="13">
        <v>4</v>
      </c>
      <c r="G924" s="13">
        <v>2</v>
      </c>
      <c r="H924" s="13" t="s">
        <v>42</v>
      </c>
      <c r="I924" s="13">
        <v>1</v>
      </c>
      <c r="J924" s="13">
        <v>1288</v>
      </c>
      <c r="K924" s="13">
        <v>3</v>
      </c>
      <c r="L924" s="13" t="s">
        <v>63</v>
      </c>
      <c r="M924" s="13">
        <v>92</v>
      </c>
      <c r="N924" s="13">
        <v>4</v>
      </c>
      <c r="O924" s="13">
        <v>5</v>
      </c>
      <c r="P924" s="13" t="s">
        <v>169</v>
      </c>
      <c r="Q924" s="13">
        <v>1</v>
      </c>
      <c r="R924" s="13" t="s">
        <v>109</v>
      </c>
      <c r="S924" s="20">
        <v>19190</v>
      </c>
      <c r="T924" s="13">
        <v>17477</v>
      </c>
      <c r="U924" s="13">
        <v>1</v>
      </c>
      <c r="V924" s="13" t="s">
        <v>52</v>
      </c>
      <c r="W924" s="13" t="s">
        <v>59</v>
      </c>
      <c r="X924" s="13">
        <v>14</v>
      </c>
      <c r="Y924" s="13">
        <v>3</v>
      </c>
      <c r="Z924" s="13">
        <v>4</v>
      </c>
      <c r="AA924" s="13">
        <v>80</v>
      </c>
      <c r="AB924" s="13">
        <v>2</v>
      </c>
      <c r="AC924" s="13">
        <v>26</v>
      </c>
      <c r="AD924" s="13">
        <v>4</v>
      </c>
      <c r="AE924" s="13">
        <v>2</v>
      </c>
      <c r="AF924" s="14">
        <v>25</v>
      </c>
      <c r="AG924" s="13">
        <v>9</v>
      </c>
      <c r="AH924" s="13">
        <v>14</v>
      </c>
      <c r="AI924" s="13">
        <v>13</v>
      </c>
      <c r="AJ924" s="13" t="str">
        <f t="shared" si="14"/>
        <v>40-49</v>
      </c>
      <c r="AK924" s="13" t="str">
        <f>IF(tblCleanData[[#This Row],[MonthlyIncome]]&lt;5000, "Low Income", IF(tblCleanData[[#This Row],[MonthlyIncome]]&lt;15000, "Medium Income", "High Income"))</f>
        <v>High Income</v>
      </c>
      <c r="AL924" s="13">
        <f>IF(tblCleanData[[#This Row],[Attrition]]="No", 0,1)</f>
        <v>0</v>
      </c>
      <c r="AM924" s="13">
        <f>IF(tblCleanData[[#This Row],[OverTime]] = "No", 0, 1)</f>
        <v>0</v>
      </c>
      <c r="AN924" s="13" t="str">
        <f>CHOOSE(tblCleanData[[#This Row],[Education]], "Below College","College","Bachelor","Master","Doctor")</f>
        <v>College</v>
      </c>
      <c r="AO924" s="13" t="str">
        <f>VLOOKUP(tblCleanData[[#This Row],[EmployeeNumber]],tblHelpers[],15,TRUE)</f>
        <v>Medium Risk</v>
      </c>
      <c r="AP924" s="13">
        <f>VLOOKUP(tblCleanData[[#This Row],[EmployeeNumber]],tblHelpers[],14,0)</f>
        <v>43</v>
      </c>
    </row>
    <row r="925" spans="1:42" x14ac:dyDescent="0.25">
      <c r="A925" s="13">
        <v>34</v>
      </c>
      <c r="B925" s="13" t="s">
        <v>59</v>
      </c>
      <c r="C925" s="13" t="s">
        <v>60</v>
      </c>
      <c r="D925" s="13">
        <v>648</v>
      </c>
      <c r="E925" s="13" t="s">
        <v>397</v>
      </c>
      <c r="F925" s="13">
        <v>11</v>
      </c>
      <c r="G925" s="13">
        <v>3</v>
      </c>
      <c r="H925" s="13" t="s">
        <v>42</v>
      </c>
      <c r="I925" s="13">
        <v>1</v>
      </c>
      <c r="J925" s="13">
        <v>1289</v>
      </c>
      <c r="K925" s="13">
        <v>3</v>
      </c>
      <c r="L925" s="13" t="s">
        <v>63</v>
      </c>
      <c r="M925" s="13">
        <v>56</v>
      </c>
      <c r="N925" s="13">
        <v>2</v>
      </c>
      <c r="O925" s="13">
        <v>2</v>
      </c>
      <c r="P925" s="13" t="s">
        <v>397</v>
      </c>
      <c r="Q925" s="13">
        <v>2</v>
      </c>
      <c r="R925" s="13" t="s">
        <v>66</v>
      </c>
      <c r="S925" s="20">
        <v>4490</v>
      </c>
      <c r="T925" s="13">
        <v>21833</v>
      </c>
      <c r="U925" s="13">
        <v>4</v>
      </c>
      <c r="V925" s="13" t="s">
        <v>52</v>
      </c>
      <c r="W925" s="13" t="s">
        <v>59</v>
      </c>
      <c r="X925" s="13">
        <v>11</v>
      </c>
      <c r="Y925" s="13">
        <v>3</v>
      </c>
      <c r="Z925" s="13">
        <v>4</v>
      </c>
      <c r="AA925" s="13">
        <v>80</v>
      </c>
      <c r="AB925" s="13">
        <v>2</v>
      </c>
      <c r="AC925" s="13">
        <v>14</v>
      </c>
      <c r="AD925" s="13">
        <v>5</v>
      </c>
      <c r="AE925" s="13">
        <v>4</v>
      </c>
      <c r="AF925" s="14">
        <v>10</v>
      </c>
      <c r="AG925" s="13">
        <v>9</v>
      </c>
      <c r="AH925" s="13">
        <v>1</v>
      </c>
      <c r="AI925" s="13">
        <v>8</v>
      </c>
      <c r="AJ925" s="13" t="str">
        <f t="shared" si="14"/>
        <v>30-39</v>
      </c>
      <c r="AK925" s="13" t="str">
        <f>IF(tblCleanData[[#This Row],[MonthlyIncome]]&lt;5000, "Low Income", IF(tblCleanData[[#This Row],[MonthlyIncome]]&lt;15000, "Medium Income", "High Income"))</f>
        <v>Low Income</v>
      </c>
      <c r="AL925" s="13">
        <f>IF(tblCleanData[[#This Row],[Attrition]]="No", 0,1)</f>
        <v>0</v>
      </c>
      <c r="AM925" s="13">
        <f>IF(tblCleanData[[#This Row],[OverTime]] = "No", 0, 1)</f>
        <v>0</v>
      </c>
      <c r="AN925" s="13" t="str">
        <f>CHOOSE(tblCleanData[[#This Row],[Education]], "Below College","College","Bachelor","Master","Doctor")</f>
        <v>Bachelor</v>
      </c>
      <c r="AO925" s="13" t="str">
        <f>VLOOKUP(tblCleanData[[#This Row],[EmployeeNumber]],tblHelpers[],15,TRUE)</f>
        <v>Medium Risk</v>
      </c>
      <c r="AP925" s="13">
        <f>VLOOKUP(tblCleanData[[#This Row],[EmployeeNumber]],tblHelpers[],14,0)</f>
        <v>52</v>
      </c>
    </row>
    <row r="926" spans="1:42" x14ac:dyDescent="0.25">
      <c r="A926" s="13">
        <v>35</v>
      </c>
      <c r="B926" s="13" t="s">
        <v>59</v>
      </c>
      <c r="C926" s="13" t="s">
        <v>37</v>
      </c>
      <c r="D926" s="13">
        <v>735</v>
      </c>
      <c r="E926" s="13" t="s">
        <v>62</v>
      </c>
      <c r="F926" s="13">
        <v>6</v>
      </c>
      <c r="G926" s="13">
        <v>1</v>
      </c>
      <c r="H926" s="13" t="s">
        <v>42</v>
      </c>
      <c r="I926" s="13">
        <v>1</v>
      </c>
      <c r="J926" s="13">
        <v>1291</v>
      </c>
      <c r="K926" s="13">
        <v>3</v>
      </c>
      <c r="L926" s="13" t="s">
        <v>63</v>
      </c>
      <c r="M926" s="13">
        <v>66</v>
      </c>
      <c r="N926" s="13">
        <v>3</v>
      </c>
      <c r="O926" s="13">
        <v>1</v>
      </c>
      <c r="P926" s="13" t="s">
        <v>65</v>
      </c>
      <c r="Q926" s="13">
        <v>3</v>
      </c>
      <c r="R926" s="13" t="s">
        <v>66</v>
      </c>
      <c r="S926" s="20">
        <v>3506</v>
      </c>
      <c r="T926" s="13">
        <v>6020</v>
      </c>
      <c r="U926" s="13">
        <v>0</v>
      </c>
      <c r="V926" s="13" t="s">
        <v>52</v>
      </c>
      <c r="W926" s="13" t="s">
        <v>36</v>
      </c>
      <c r="X926" s="13">
        <v>14</v>
      </c>
      <c r="Y926" s="13">
        <v>3</v>
      </c>
      <c r="Z926" s="13">
        <v>4</v>
      </c>
      <c r="AA926" s="13">
        <v>80</v>
      </c>
      <c r="AB926" s="13">
        <v>0</v>
      </c>
      <c r="AC926" s="13">
        <v>4</v>
      </c>
      <c r="AD926" s="13">
        <v>3</v>
      </c>
      <c r="AE926" s="13">
        <v>3</v>
      </c>
      <c r="AF926" s="14">
        <v>3</v>
      </c>
      <c r="AG926" s="13">
        <v>2</v>
      </c>
      <c r="AH926" s="13">
        <v>2</v>
      </c>
      <c r="AI926" s="13">
        <v>2</v>
      </c>
      <c r="AJ926" s="13" t="str">
        <f t="shared" si="14"/>
        <v>30-39</v>
      </c>
      <c r="AK926" s="13" t="str">
        <f>IF(tblCleanData[[#This Row],[MonthlyIncome]]&lt;5000, "Low Income", IF(tblCleanData[[#This Row],[MonthlyIncome]]&lt;15000, "Medium Income", "High Income"))</f>
        <v>Low Income</v>
      </c>
      <c r="AL926" s="13">
        <f>IF(tblCleanData[[#This Row],[Attrition]]="No", 0,1)</f>
        <v>0</v>
      </c>
      <c r="AM926" s="13">
        <f>IF(tblCleanData[[#This Row],[OverTime]] = "No", 0, 1)</f>
        <v>1</v>
      </c>
      <c r="AN926" s="13" t="str">
        <f>CHOOSE(tblCleanData[[#This Row],[Education]], "Below College","College","Bachelor","Master","Doctor")</f>
        <v>Below College</v>
      </c>
      <c r="AO926" s="13" t="str">
        <f>VLOOKUP(tblCleanData[[#This Row],[EmployeeNumber]],tblHelpers[],15,TRUE)</f>
        <v>High Risk</v>
      </c>
      <c r="AP926" s="13">
        <f>VLOOKUP(tblCleanData[[#This Row],[EmployeeNumber]],tblHelpers[],14,0)</f>
        <v>78</v>
      </c>
    </row>
    <row r="927" spans="1:42" x14ac:dyDescent="0.25">
      <c r="A927" s="13">
        <v>42</v>
      </c>
      <c r="B927" s="13" t="s">
        <v>59</v>
      </c>
      <c r="C927" s="13" t="s">
        <v>37</v>
      </c>
      <c r="D927" s="13">
        <v>603</v>
      </c>
      <c r="E927" s="13" t="s">
        <v>62</v>
      </c>
      <c r="F927" s="13">
        <v>7</v>
      </c>
      <c r="G927" s="13">
        <v>4</v>
      </c>
      <c r="H927" s="13" t="s">
        <v>87</v>
      </c>
      <c r="I927" s="13">
        <v>1</v>
      </c>
      <c r="J927" s="13">
        <v>1292</v>
      </c>
      <c r="K927" s="13">
        <v>2</v>
      </c>
      <c r="L927" s="13" t="s">
        <v>43</v>
      </c>
      <c r="M927" s="13">
        <v>78</v>
      </c>
      <c r="N927" s="13">
        <v>4</v>
      </c>
      <c r="O927" s="13">
        <v>2</v>
      </c>
      <c r="P927" s="13" t="s">
        <v>65</v>
      </c>
      <c r="Q927" s="13">
        <v>2</v>
      </c>
      <c r="R927" s="13" t="s">
        <v>66</v>
      </c>
      <c r="S927" s="20">
        <v>2372</v>
      </c>
      <c r="T927" s="13">
        <v>5628</v>
      </c>
      <c r="U927" s="13">
        <v>6</v>
      </c>
      <c r="V927" s="13" t="s">
        <v>52</v>
      </c>
      <c r="W927" s="13" t="s">
        <v>36</v>
      </c>
      <c r="X927" s="13">
        <v>16</v>
      </c>
      <c r="Y927" s="13">
        <v>3</v>
      </c>
      <c r="Z927" s="13">
        <v>4</v>
      </c>
      <c r="AA927" s="13">
        <v>80</v>
      </c>
      <c r="AB927" s="13">
        <v>0</v>
      </c>
      <c r="AC927" s="13">
        <v>18</v>
      </c>
      <c r="AD927" s="13">
        <v>2</v>
      </c>
      <c r="AE927" s="13">
        <v>3</v>
      </c>
      <c r="AF927" s="14">
        <v>1</v>
      </c>
      <c r="AG927" s="13">
        <v>0</v>
      </c>
      <c r="AH927" s="13">
        <v>0</v>
      </c>
      <c r="AI927" s="13">
        <v>0</v>
      </c>
      <c r="AJ927" s="13" t="str">
        <f t="shared" si="14"/>
        <v>40-49</v>
      </c>
      <c r="AK927" s="13" t="str">
        <f>IF(tblCleanData[[#This Row],[MonthlyIncome]]&lt;5000, "Low Income", IF(tblCleanData[[#This Row],[MonthlyIncome]]&lt;15000, "Medium Income", "High Income"))</f>
        <v>Low Income</v>
      </c>
      <c r="AL927" s="13">
        <f>IF(tblCleanData[[#This Row],[Attrition]]="No", 0,1)</f>
        <v>0</v>
      </c>
      <c r="AM927" s="13">
        <f>IF(tblCleanData[[#This Row],[OverTime]] = "No", 0, 1)</f>
        <v>1</v>
      </c>
      <c r="AN927" s="13" t="str">
        <f>CHOOSE(tblCleanData[[#This Row],[Education]], "Below College","College","Bachelor","Master","Doctor")</f>
        <v>Master</v>
      </c>
      <c r="AO927" s="13" t="str">
        <f>VLOOKUP(tblCleanData[[#This Row],[EmployeeNumber]],tblHelpers[],15,TRUE)</f>
        <v>High Risk</v>
      </c>
      <c r="AP927" s="13">
        <f>VLOOKUP(tblCleanData[[#This Row],[EmployeeNumber]],tblHelpers[],14,0)</f>
        <v>84</v>
      </c>
    </row>
    <row r="928" spans="1:42" x14ac:dyDescent="0.25">
      <c r="A928" s="13">
        <v>43</v>
      </c>
      <c r="B928" s="13" t="s">
        <v>59</v>
      </c>
      <c r="C928" s="13" t="s">
        <v>37</v>
      </c>
      <c r="D928" s="13">
        <v>531</v>
      </c>
      <c r="E928" s="13" t="s">
        <v>39</v>
      </c>
      <c r="F928" s="13">
        <v>4</v>
      </c>
      <c r="G928" s="13">
        <v>4</v>
      </c>
      <c r="H928" s="13" t="s">
        <v>206</v>
      </c>
      <c r="I928" s="13">
        <v>1</v>
      </c>
      <c r="J928" s="13">
        <v>1293</v>
      </c>
      <c r="K928" s="13">
        <v>4</v>
      </c>
      <c r="L928" s="13" t="s">
        <v>43</v>
      </c>
      <c r="M928" s="13">
        <v>56</v>
      </c>
      <c r="N928" s="13">
        <v>2</v>
      </c>
      <c r="O928" s="13">
        <v>3</v>
      </c>
      <c r="P928" s="13" t="s">
        <v>46</v>
      </c>
      <c r="Q928" s="13">
        <v>4</v>
      </c>
      <c r="R928" s="13" t="s">
        <v>48</v>
      </c>
      <c r="S928" s="20">
        <v>10231</v>
      </c>
      <c r="T928" s="13">
        <v>20364</v>
      </c>
      <c r="U928" s="13">
        <v>3</v>
      </c>
      <c r="V928" s="13" t="s">
        <v>52</v>
      </c>
      <c r="W928" s="13" t="s">
        <v>59</v>
      </c>
      <c r="X928" s="13">
        <v>14</v>
      </c>
      <c r="Y928" s="13">
        <v>3</v>
      </c>
      <c r="Z928" s="13">
        <v>4</v>
      </c>
      <c r="AA928" s="13">
        <v>80</v>
      </c>
      <c r="AB928" s="13">
        <v>0</v>
      </c>
      <c r="AC928" s="13">
        <v>23</v>
      </c>
      <c r="AD928" s="13">
        <v>3</v>
      </c>
      <c r="AE928" s="13">
        <v>4</v>
      </c>
      <c r="AF928" s="14">
        <v>21</v>
      </c>
      <c r="AG928" s="13">
        <v>7</v>
      </c>
      <c r="AH928" s="13">
        <v>15</v>
      </c>
      <c r="AI928" s="13">
        <v>17</v>
      </c>
      <c r="AJ928" s="13" t="str">
        <f t="shared" si="14"/>
        <v>40-49</v>
      </c>
      <c r="AK928" s="13" t="str">
        <f>IF(tblCleanData[[#This Row],[MonthlyIncome]]&lt;5000, "Low Income", IF(tblCleanData[[#This Row],[MonthlyIncome]]&lt;15000, "Medium Income", "High Income"))</f>
        <v>Medium Income</v>
      </c>
      <c r="AL928" s="13">
        <f>IF(tblCleanData[[#This Row],[Attrition]]="No", 0,1)</f>
        <v>0</v>
      </c>
      <c r="AM928" s="13">
        <f>IF(tblCleanData[[#This Row],[OverTime]] = "No", 0, 1)</f>
        <v>0</v>
      </c>
      <c r="AN928" s="13" t="str">
        <f>CHOOSE(tblCleanData[[#This Row],[Education]], "Below College","College","Bachelor","Master","Doctor")</f>
        <v>Master</v>
      </c>
      <c r="AO928" s="13" t="str">
        <f>VLOOKUP(tblCleanData[[#This Row],[EmployeeNumber]],tblHelpers[],15,TRUE)</f>
        <v>Low Risk</v>
      </c>
      <c r="AP928" s="13">
        <f>VLOOKUP(tblCleanData[[#This Row],[EmployeeNumber]],tblHelpers[],14,0)</f>
        <v>24</v>
      </c>
    </row>
    <row r="929" spans="1:42" x14ac:dyDescent="0.25">
      <c r="A929" s="13">
        <v>36</v>
      </c>
      <c r="B929" s="13" t="s">
        <v>59</v>
      </c>
      <c r="C929" s="13" t="s">
        <v>37</v>
      </c>
      <c r="D929" s="13">
        <v>429</v>
      </c>
      <c r="E929" s="13" t="s">
        <v>62</v>
      </c>
      <c r="F929" s="13">
        <v>2</v>
      </c>
      <c r="G929" s="13">
        <v>4</v>
      </c>
      <c r="H929" s="13" t="s">
        <v>42</v>
      </c>
      <c r="I929" s="13">
        <v>1</v>
      </c>
      <c r="J929" s="13">
        <v>1294</v>
      </c>
      <c r="K929" s="13">
        <v>3</v>
      </c>
      <c r="L929" s="13" t="s">
        <v>43</v>
      </c>
      <c r="M929" s="13">
        <v>53</v>
      </c>
      <c r="N929" s="13">
        <v>3</v>
      </c>
      <c r="O929" s="13">
        <v>2</v>
      </c>
      <c r="P929" s="13" t="s">
        <v>116</v>
      </c>
      <c r="Q929" s="13">
        <v>2</v>
      </c>
      <c r="R929" s="13" t="s">
        <v>48</v>
      </c>
      <c r="S929" s="20">
        <v>5410</v>
      </c>
      <c r="T929" s="13">
        <v>2323</v>
      </c>
      <c r="U929" s="13">
        <v>9</v>
      </c>
      <c r="V929" s="13" t="s">
        <v>52</v>
      </c>
      <c r="W929" s="13" t="s">
        <v>36</v>
      </c>
      <c r="X929" s="13">
        <v>11</v>
      </c>
      <c r="Y929" s="13">
        <v>3</v>
      </c>
      <c r="Z929" s="13">
        <v>4</v>
      </c>
      <c r="AA929" s="13">
        <v>80</v>
      </c>
      <c r="AB929" s="13">
        <v>0</v>
      </c>
      <c r="AC929" s="13">
        <v>18</v>
      </c>
      <c r="AD929" s="13">
        <v>2</v>
      </c>
      <c r="AE929" s="13">
        <v>3</v>
      </c>
      <c r="AF929" s="14">
        <v>16</v>
      </c>
      <c r="AG929" s="13">
        <v>14</v>
      </c>
      <c r="AH929" s="13">
        <v>5</v>
      </c>
      <c r="AI929" s="13">
        <v>12</v>
      </c>
      <c r="AJ929" s="13" t="str">
        <f t="shared" si="14"/>
        <v>30-39</v>
      </c>
      <c r="AK929" s="13" t="str">
        <f>IF(tblCleanData[[#This Row],[MonthlyIncome]]&lt;5000, "Low Income", IF(tblCleanData[[#This Row],[MonthlyIncome]]&lt;15000, "Medium Income", "High Income"))</f>
        <v>Medium Income</v>
      </c>
      <c r="AL929" s="13">
        <f>IF(tblCleanData[[#This Row],[Attrition]]="No", 0,1)</f>
        <v>0</v>
      </c>
      <c r="AM929" s="13">
        <f>IF(tblCleanData[[#This Row],[OverTime]] = "No", 0, 1)</f>
        <v>1</v>
      </c>
      <c r="AN929" s="13" t="str">
        <f>CHOOSE(tblCleanData[[#This Row],[Education]], "Below College","College","Bachelor","Master","Doctor")</f>
        <v>Master</v>
      </c>
      <c r="AO929" s="13" t="str">
        <f>VLOOKUP(tblCleanData[[#This Row],[EmployeeNumber]],tblHelpers[],15,TRUE)</f>
        <v>High Risk</v>
      </c>
      <c r="AP929" s="13">
        <f>VLOOKUP(tblCleanData[[#This Row],[EmployeeNumber]],tblHelpers[],14,0)</f>
        <v>72</v>
      </c>
    </row>
    <row r="930" spans="1:42" x14ac:dyDescent="0.25">
      <c r="A930" s="13">
        <v>44</v>
      </c>
      <c r="B930" s="13" t="s">
        <v>36</v>
      </c>
      <c r="C930" s="13" t="s">
        <v>37</v>
      </c>
      <c r="D930" s="13">
        <v>621</v>
      </c>
      <c r="E930" s="13" t="s">
        <v>62</v>
      </c>
      <c r="F930" s="13">
        <v>15</v>
      </c>
      <c r="G930" s="13">
        <v>3</v>
      </c>
      <c r="H930" s="13" t="s">
        <v>87</v>
      </c>
      <c r="I930" s="13">
        <v>1</v>
      </c>
      <c r="J930" s="13">
        <v>1295</v>
      </c>
      <c r="K930" s="13">
        <v>1</v>
      </c>
      <c r="L930" s="13" t="s">
        <v>43</v>
      </c>
      <c r="M930" s="13">
        <v>73</v>
      </c>
      <c r="N930" s="13">
        <v>3</v>
      </c>
      <c r="O930" s="13">
        <v>3</v>
      </c>
      <c r="P930" s="13" t="s">
        <v>122</v>
      </c>
      <c r="Q930" s="13">
        <v>4</v>
      </c>
      <c r="R930" s="13" t="s">
        <v>66</v>
      </c>
      <c r="S930" s="20">
        <v>7978</v>
      </c>
      <c r="T930" s="13">
        <v>14075</v>
      </c>
      <c r="U930" s="13">
        <v>1</v>
      </c>
      <c r="V930" s="13" t="s">
        <v>52</v>
      </c>
      <c r="W930" s="13" t="s">
        <v>59</v>
      </c>
      <c r="X930" s="13">
        <v>11</v>
      </c>
      <c r="Y930" s="13">
        <v>3</v>
      </c>
      <c r="Z930" s="13">
        <v>4</v>
      </c>
      <c r="AA930" s="13">
        <v>80</v>
      </c>
      <c r="AB930" s="13">
        <v>1</v>
      </c>
      <c r="AC930" s="13">
        <v>10</v>
      </c>
      <c r="AD930" s="13">
        <v>2</v>
      </c>
      <c r="AE930" s="13">
        <v>3</v>
      </c>
      <c r="AF930" s="14">
        <v>10</v>
      </c>
      <c r="AG930" s="13">
        <v>7</v>
      </c>
      <c r="AH930" s="13">
        <v>0</v>
      </c>
      <c r="AI930" s="13">
        <v>5</v>
      </c>
      <c r="AJ930" s="13" t="str">
        <f t="shared" si="14"/>
        <v>40-49</v>
      </c>
      <c r="AK930" s="13" t="str">
        <f>IF(tblCleanData[[#This Row],[MonthlyIncome]]&lt;5000, "Low Income", IF(tblCleanData[[#This Row],[MonthlyIncome]]&lt;15000, "Medium Income", "High Income"))</f>
        <v>Medium Income</v>
      </c>
      <c r="AL930" s="13">
        <f>IF(tblCleanData[[#This Row],[Attrition]]="No", 0,1)</f>
        <v>1</v>
      </c>
      <c r="AM930" s="13">
        <f>IF(tblCleanData[[#This Row],[OverTime]] = "No", 0, 1)</f>
        <v>0</v>
      </c>
      <c r="AN930" s="13" t="str">
        <f>CHOOSE(tblCleanData[[#This Row],[Education]], "Below College","College","Bachelor","Master","Doctor")</f>
        <v>Bachelor</v>
      </c>
      <c r="AO930" s="13" t="str">
        <f>VLOOKUP(tblCleanData[[#This Row],[EmployeeNumber]],tblHelpers[],15,TRUE)</f>
        <v>Low Risk</v>
      </c>
      <c r="AP930" s="13">
        <f>VLOOKUP(tblCleanData[[#This Row],[EmployeeNumber]],tblHelpers[],14,0)</f>
        <v>29</v>
      </c>
    </row>
    <row r="931" spans="1:42" x14ac:dyDescent="0.25">
      <c r="A931" s="13">
        <v>28</v>
      </c>
      <c r="B931" s="13" t="s">
        <v>59</v>
      </c>
      <c r="C931" s="13" t="s">
        <v>60</v>
      </c>
      <c r="D931" s="13">
        <v>193</v>
      </c>
      <c r="E931" s="13" t="s">
        <v>62</v>
      </c>
      <c r="F931" s="13">
        <v>2</v>
      </c>
      <c r="G931" s="13">
        <v>3</v>
      </c>
      <c r="H931" s="13" t="s">
        <v>42</v>
      </c>
      <c r="I931" s="13">
        <v>1</v>
      </c>
      <c r="J931" s="13">
        <v>1296</v>
      </c>
      <c r="K931" s="13">
        <v>4</v>
      </c>
      <c r="L931" s="13" t="s">
        <v>63</v>
      </c>
      <c r="M931" s="13">
        <v>52</v>
      </c>
      <c r="N931" s="13">
        <v>2</v>
      </c>
      <c r="O931" s="13">
        <v>1</v>
      </c>
      <c r="P931" s="13" t="s">
        <v>76</v>
      </c>
      <c r="Q931" s="13">
        <v>4</v>
      </c>
      <c r="R931" s="13" t="s">
        <v>66</v>
      </c>
      <c r="S931" s="20">
        <v>3867</v>
      </c>
      <c r="T931" s="13">
        <v>14222</v>
      </c>
      <c r="U931" s="13">
        <v>1</v>
      </c>
      <c r="V931" s="13" t="s">
        <v>52</v>
      </c>
      <c r="W931" s="13" t="s">
        <v>36</v>
      </c>
      <c r="X931" s="13">
        <v>12</v>
      </c>
      <c r="Y931" s="13">
        <v>3</v>
      </c>
      <c r="Z931" s="13">
        <v>2</v>
      </c>
      <c r="AA931" s="13">
        <v>80</v>
      </c>
      <c r="AB931" s="13">
        <v>1</v>
      </c>
      <c r="AC931" s="13">
        <v>2</v>
      </c>
      <c r="AD931" s="13">
        <v>2</v>
      </c>
      <c r="AE931" s="13">
        <v>3</v>
      </c>
      <c r="AF931" s="14">
        <v>2</v>
      </c>
      <c r="AG931" s="13">
        <v>2</v>
      </c>
      <c r="AH931" s="13">
        <v>2</v>
      </c>
      <c r="AI931" s="13">
        <v>2</v>
      </c>
      <c r="AJ931" s="13" t="str">
        <f t="shared" si="14"/>
        <v>Under 30</v>
      </c>
      <c r="AK931" s="13" t="str">
        <f>IF(tblCleanData[[#This Row],[MonthlyIncome]]&lt;5000, "Low Income", IF(tblCleanData[[#This Row],[MonthlyIncome]]&lt;15000, "Medium Income", "High Income"))</f>
        <v>Low Income</v>
      </c>
      <c r="AL931" s="13">
        <f>IF(tblCleanData[[#This Row],[Attrition]]="No", 0,1)</f>
        <v>0</v>
      </c>
      <c r="AM931" s="13">
        <f>IF(tblCleanData[[#This Row],[OverTime]] = "No", 0, 1)</f>
        <v>1</v>
      </c>
      <c r="AN931" s="13" t="str">
        <f>CHOOSE(tblCleanData[[#This Row],[Education]], "Below College","College","Bachelor","Master","Doctor")</f>
        <v>Bachelor</v>
      </c>
      <c r="AO931" s="13" t="str">
        <f>VLOOKUP(tblCleanData[[#This Row],[EmployeeNumber]],tblHelpers[],15,TRUE)</f>
        <v>High Risk</v>
      </c>
      <c r="AP931" s="13">
        <f>VLOOKUP(tblCleanData[[#This Row],[EmployeeNumber]],tblHelpers[],14,0)</f>
        <v>91</v>
      </c>
    </row>
    <row r="932" spans="1:42" x14ac:dyDescent="0.25">
      <c r="A932" s="13">
        <v>51</v>
      </c>
      <c r="B932" s="13" t="s">
        <v>59</v>
      </c>
      <c r="C932" s="13" t="s">
        <v>60</v>
      </c>
      <c r="D932" s="13">
        <v>968</v>
      </c>
      <c r="E932" s="13" t="s">
        <v>62</v>
      </c>
      <c r="F932" s="13">
        <v>6</v>
      </c>
      <c r="G932" s="13">
        <v>2</v>
      </c>
      <c r="H932" s="13" t="s">
        <v>87</v>
      </c>
      <c r="I932" s="13">
        <v>1</v>
      </c>
      <c r="J932" s="13">
        <v>1297</v>
      </c>
      <c r="K932" s="13">
        <v>2</v>
      </c>
      <c r="L932" s="13" t="s">
        <v>43</v>
      </c>
      <c r="M932" s="13">
        <v>40</v>
      </c>
      <c r="N932" s="13">
        <v>2</v>
      </c>
      <c r="O932" s="13">
        <v>1</v>
      </c>
      <c r="P932" s="13" t="s">
        <v>76</v>
      </c>
      <c r="Q932" s="13">
        <v>3</v>
      </c>
      <c r="R932" s="13" t="s">
        <v>48</v>
      </c>
      <c r="S932" s="20">
        <v>2838</v>
      </c>
      <c r="T932" s="13">
        <v>4257</v>
      </c>
      <c r="U932" s="13">
        <v>0</v>
      </c>
      <c r="V932" s="13" t="s">
        <v>52</v>
      </c>
      <c r="W932" s="13" t="s">
        <v>59</v>
      </c>
      <c r="X932" s="13">
        <v>14</v>
      </c>
      <c r="Y932" s="13">
        <v>3</v>
      </c>
      <c r="Z932" s="13">
        <v>2</v>
      </c>
      <c r="AA932" s="13">
        <v>80</v>
      </c>
      <c r="AB932" s="13">
        <v>0</v>
      </c>
      <c r="AC932" s="13">
        <v>8</v>
      </c>
      <c r="AD932" s="13">
        <v>6</v>
      </c>
      <c r="AE932" s="13">
        <v>2</v>
      </c>
      <c r="AF932" s="14">
        <v>7</v>
      </c>
      <c r="AG932" s="13">
        <v>0</v>
      </c>
      <c r="AH932" s="13">
        <v>7</v>
      </c>
      <c r="AI932" s="13">
        <v>7</v>
      </c>
      <c r="AJ932" s="13" t="str">
        <f t="shared" si="14"/>
        <v>50+</v>
      </c>
      <c r="AK932" s="13" t="str">
        <f>IF(tblCleanData[[#This Row],[MonthlyIncome]]&lt;5000, "Low Income", IF(tblCleanData[[#This Row],[MonthlyIncome]]&lt;15000, "Medium Income", "High Income"))</f>
        <v>Low Income</v>
      </c>
      <c r="AL932" s="13">
        <f>IF(tblCleanData[[#This Row],[Attrition]]="No", 0,1)</f>
        <v>0</v>
      </c>
      <c r="AM932" s="13">
        <f>IF(tblCleanData[[#This Row],[OverTime]] = "No", 0, 1)</f>
        <v>0</v>
      </c>
      <c r="AN932" s="13" t="str">
        <f>CHOOSE(tblCleanData[[#This Row],[Education]], "Below College","College","Bachelor","Master","Doctor")</f>
        <v>College</v>
      </c>
      <c r="AO932" s="13" t="str">
        <f>VLOOKUP(tblCleanData[[#This Row],[EmployeeNumber]],tblHelpers[],15,TRUE)</f>
        <v>Medium Risk</v>
      </c>
      <c r="AP932" s="13">
        <f>VLOOKUP(tblCleanData[[#This Row],[EmployeeNumber]],tblHelpers[],14,0)</f>
        <v>41</v>
      </c>
    </row>
    <row r="933" spans="1:42" x14ac:dyDescent="0.25">
      <c r="A933" s="13">
        <v>30</v>
      </c>
      <c r="B933" s="13" t="s">
        <v>59</v>
      </c>
      <c r="C933" s="13" t="s">
        <v>161</v>
      </c>
      <c r="D933" s="13">
        <v>879</v>
      </c>
      <c r="E933" s="13" t="s">
        <v>62</v>
      </c>
      <c r="F933" s="13">
        <v>9</v>
      </c>
      <c r="G933" s="13">
        <v>2</v>
      </c>
      <c r="H933" s="13" t="s">
        <v>87</v>
      </c>
      <c r="I933" s="13">
        <v>1</v>
      </c>
      <c r="J933" s="13">
        <v>1298</v>
      </c>
      <c r="K933" s="13">
        <v>3</v>
      </c>
      <c r="L933" s="13" t="s">
        <v>43</v>
      </c>
      <c r="M933" s="13">
        <v>72</v>
      </c>
      <c r="N933" s="13">
        <v>3</v>
      </c>
      <c r="O933" s="13">
        <v>2</v>
      </c>
      <c r="P933" s="13" t="s">
        <v>116</v>
      </c>
      <c r="Q933" s="13">
        <v>3</v>
      </c>
      <c r="R933" s="13" t="s">
        <v>48</v>
      </c>
      <c r="S933" s="20">
        <v>4695</v>
      </c>
      <c r="T933" s="13">
        <v>12858</v>
      </c>
      <c r="U933" s="13">
        <v>7</v>
      </c>
      <c r="V933" s="13" t="s">
        <v>52</v>
      </c>
      <c r="W933" s="13" t="s">
        <v>36</v>
      </c>
      <c r="X933" s="13">
        <v>18</v>
      </c>
      <c r="Y933" s="13">
        <v>3</v>
      </c>
      <c r="Z933" s="13">
        <v>3</v>
      </c>
      <c r="AA933" s="13">
        <v>80</v>
      </c>
      <c r="AB933" s="13">
        <v>0</v>
      </c>
      <c r="AC933" s="13">
        <v>10</v>
      </c>
      <c r="AD933" s="13">
        <v>3</v>
      </c>
      <c r="AE933" s="13">
        <v>3</v>
      </c>
      <c r="AF933" s="14">
        <v>8</v>
      </c>
      <c r="AG933" s="13">
        <v>4</v>
      </c>
      <c r="AH933" s="13">
        <v>1</v>
      </c>
      <c r="AI933" s="13">
        <v>7</v>
      </c>
      <c r="AJ933" s="13" t="str">
        <f t="shared" si="14"/>
        <v>30-39</v>
      </c>
      <c r="AK933" s="13" t="str">
        <f>IF(tblCleanData[[#This Row],[MonthlyIncome]]&lt;5000, "Low Income", IF(tblCleanData[[#This Row],[MonthlyIncome]]&lt;15000, "Medium Income", "High Income"))</f>
        <v>Low Income</v>
      </c>
      <c r="AL933" s="13">
        <f>IF(tblCleanData[[#This Row],[Attrition]]="No", 0,1)</f>
        <v>0</v>
      </c>
      <c r="AM933" s="13">
        <f>IF(tblCleanData[[#This Row],[OverTime]] = "No", 0, 1)</f>
        <v>1</v>
      </c>
      <c r="AN933" s="13" t="str">
        <f>CHOOSE(tblCleanData[[#This Row],[Education]], "Below College","College","Bachelor","Master","Doctor")</f>
        <v>College</v>
      </c>
      <c r="AO933" s="13" t="str">
        <f>VLOOKUP(tblCleanData[[#This Row],[EmployeeNumber]],tblHelpers[],15,TRUE)</f>
        <v>High Risk</v>
      </c>
      <c r="AP933" s="13">
        <f>VLOOKUP(tblCleanData[[#This Row],[EmployeeNumber]],tblHelpers[],14,0)</f>
        <v>71</v>
      </c>
    </row>
    <row r="934" spans="1:42" x14ac:dyDescent="0.25">
      <c r="A934" s="13">
        <v>29</v>
      </c>
      <c r="B934" s="13" t="s">
        <v>36</v>
      </c>
      <c r="C934" s="13" t="s">
        <v>37</v>
      </c>
      <c r="D934" s="13">
        <v>806</v>
      </c>
      <c r="E934" s="13" t="s">
        <v>62</v>
      </c>
      <c r="F934" s="13">
        <v>7</v>
      </c>
      <c r="G934" s="13">
        <v>3</v>
      </c>
      <c r="H934" s="13" t="s">
        <v>228</v>
      </c>
      <c r="I934" s="13">
        <v>1</v>
      </c>
      <c r="J934" s="13">
        <v>1299</v>
      </c>
      <c r="K934" s="13">
        <v>2</v>
      </c>
      <c r="L934" s="13" t="s">
        <v>43</v>
      </c>
      <c r="M934" s="13">
        <v>39</v>
      </c>
      <c r="N934" s="13">
        <v>3</v>
      </c>
      <c r="O934" s="13">
        <v>1</v>
      </c>
      <c r="P934" s="13" t="s">
        <v>76</v>
      </c>
      <c r="Q934" s="13">
        <v>3</v>
      </c>
      <c r="R934" s="13" t="s">
        <v>109</v>
      </c>
      <c r="S934" s="20">
        <v>3339</v>
      </c>
      <c r="T934" s="13">
        <v>17285</v>
      </c>
      <c r="U934" s="13">
        <v>3</v>
      </c>
      <c r="V934" s="13" t="s">
        <v>52</v>
      </c>
      <c r="W934" s="13" t="s">
        <v>36</v>
      </c>
      <c r="X934" s="13">
        <v>13</v>
      </c>
      <c r="Y934" s="13">
        <v>3</v>
      </c>
      <c r="Z934" s="13">
        <v>1</v>
      </c>
      <c r="AA934" s="13">
        <v>80</v>
      </c>
      <c r="AB934" s="13">
        <v>2</v>
      </c>
      <c r="AC934" s="13">
        <v>10</v>
      </c>
      <c r="AD934" s="13">
        <v>2</v>
      </c>
      <c r="AE934" s="13">
        <v>3</v>
      </c>
      <c r="AF934" s="14">
        <v>7</v>
      </c>
      <c r="AG934" s="13">
        <v>7</v>
      </c>
      <c r="AH934" s="13">
        <v>7</v>
      </c>
      <c r="AI934" s="13">
        <v>7</v>
      </c>
      <c r="AJ934" s="13" t="str">
        <f t="shared" si="14"/>
        <v>Under 30</v>
      </c>
      <c r="AK934" s="13" t="str">
        <f>IF(tblCleanData[[#This Row],[MonthlyIncome]]&lt;5000, "Low Income", IF(tblCleanData[[#This Row],[MonthlyIncome]]&lt;15000, "Medium Income", "High Income"))</f>
        <v>Low Income</v>
      </c>
      <c r="AL934" s="13">
        <f>IF(tblCleanData[[#This Row],[Attrition]]="No", 0,1)</f>
        <v>1</v>
      </c>
      <c r="AM934" s="13">
        <f>IF(tblCleanData[[#This Row],[OverTime]] = "No", 0, 1)</f>
        <v>1</v>
      </c>
      <c r="AN934" s="13" t="str">
        <f>CHOOSE(tblCleanData[[#This Row],[Education]], "Below College","College","Bachelor","Master","Doctor")</f>
        <v>Bachelor</v>
      </c>
      <c r="AO934" s="13" t="str">
        <f>VLOOKUP(tblCleanData[[#This Row],[EmployeeNumber]],tblHelpers[],15,TRUE)</f>
        <v>High Risk</v>
      </c>
      <c r="AP934" s="13">
        <f>VLOOKUP(tblCleanData[[#This Row],[EmployeeNumber]],tblHelpers[],14,0)</f>
        <v>81</v>
      </c>
    </row>
    <row r="935" spans="1:42" x14ac:dyDescent="0.25">
      <c r="A935" s="13">
        <v>28</v>
      </c>
      <c r="B935" s="13" t="s">
        <v>59</v>
      </c>
      <c r="C935" s="13" t="s">
        <v>37</v>
      </c>
      <c r="D935" s="13">
        <v>640</v>
      </c>
      <c r="E935" s="13" t="s">
        <v>62</v>
      </c>
      <c r="F935" s="13">
        <v>1</v>
      </c>
      <c r="G935" s="13">
        <v>3</v>
      </c>
      <c r="H935" s="13" t="s">
        <v>228</v>
      </c>
      <c r="I935" s="13">
        <v>1</v>
      </c>
      <c r="J935" s="13">
        <v>1301</v>
      </c>
      <c r="K935" s="13">
        <v>4</v>
      </c>
      <c r="L935" s="13" t="s">
        <v>63</v>
      </c>
      <c r="M935" s="13">
        <v>84</v>
      </c>
      <c r="N935" s="13">
        <v>3</v>
      </c>
      <c r="O935" s="13">
        <v>1</v>
      </c>
      <c r="P935" s="13" t="s">
        <v>65</v>
      </c>
      <c r="Q935" s="13">
        <v>1</v>
      </c>
      <c r="R935" s="13" t="s">
        <v>48</v>
      </c>
      <c r="S935" s="20">
        <v>2080</v>
      </c>
      <c r="T935" s="13">
        <v>4732</v>
      </c>
      <c r="U935" s="13">
        <v>2</v>
      </c>
      <c r="V935" s="13" t="s">
        <v>52</v>
      </c>
      <c r="W935" s="13" t="s">
        <v>59</v>
      </c>
      <c r="X935" s="13">
        <v>11</v>
      </c>
      <c r="Y935" s="13">
        <v>3</v>
      </c>
      <c r="Z935" s="13">
        <v>2</v>
      </c>
      <c r="AA935" s="13">
        <v>80</v>
      </c>
      <c r="AB935" s="13">
        <v>0</v>
      </c>
      <c r="AC935" s="13">
        <v>5</v>
      </c>
      <c r="AD935" s="13">
        <v>2</v>
      </c>
      <c r="AE935" s="13">
        <v>2</v>
      </c>
      <c r="AF935" s="14">
        <v>3</v>
      </c>
      <c r="AG935" s="13">
        <v>2</v>
      </c>
      <c r="AH935" s="13">
        <v>1</v>
      </c>
      <c r="AI935" s="13">
        <v>2</v>
      </c>
      <c r="AJ935" s="13" t="str">
        <f t="shared" si="14"/>
        <v>Under 30</v>
      </c>
      <c r="AK935" s="13" t="str">
        <f>IF(tblCleanData[[#This Row],[MonthlyIncome]]&lt;5000, "Low Income", IF(tblCleanData[[#This Row],[MonthlyIncome]]&lt;15000, "Medium Income", "High Income"))</f>
        <v>Low Income</v>
      </c>
      <c r="AL935" s="13">
        <f>IF(tblCleanData[[#This Row],[Attrition]]="No", 0,1)</f>
        <v>0</v>
      </c>
      <c r="AM935" s="13">
        <f>IF(tblCleanData[[#This Row],[OverTime]] = "No", 0, 1)</f>
        <v>0</v>
      </c>
      <c r="AN935" s="13" t="str">
        <f>CHOOSE(tblCleanData[[#This Row],[Education]], "Below College","College","Bachelor","Master","Doctor")</f>
        <v>Bachelor</v>
      </c>
      <c r="AO935" s="13" t="str">
        <f>VLOOKUP(tblCleanData[[#This Row],[EmployeeNumber]],tblHelpers[],15,TRUE)</f>
        <v>High Risk</v>
      </c>
      <c r="AP935" s="13">
        <f>VLOOKUP(tblCleanData[[#This Row],[EmployeeNumber]],tblHelpers[],14,0)</f>
        <v>75</v>
      </c>
    </row>
    <row r="936" spans="1:42" x14ac:dyDescent="0.25">
      <c r="A936" s="13">
        <v>25</v>
      </c>
      <c r="B936" s="13" t="s">
        <v>59</v>
      </c>
      <c r="C936" s="13" t="s">
        <v>37</v>
      </c>
      <c r="D936" s="13">
        <v>266</v>
      </c>
      <c r="E936" s="13" t="s">
        <v>62</v>
      </c>
      <c r="F936" s="13">
        <v>1</v>
      </c>
      <c r="G936" s="13">
        <v>3</v>
      </c>
      <c r="H936" s="13" t="s">
        <v>87</v>
      </c>
      <c r="I936" s="13">
        <v>1</v>
      </c>
      <c r="J936" s="13">
        <v>1303</v>
      </c>
      <c r="K936" s="13">
        <v>4</v>
      </c>
      <c r="L936" s="13" t="s">
        <v>43</v>
      </c>
      <c r="M936" s="13">
        <v>40</v>
      </c>
      <c r="N936" s="13">
        <v>3</v>
      </c>
      <c r="O936" s="13">
        <v>1</v>
      </c>
      <c r="P936" s="13" t="s">
        <v>65</v>
      </c>
      <c r="Q936" s="13">
        <v>2</v>
      </c>
      <c r="R936" s="13" t="s">
        <v>48</v>
      </c>
      <c r="S936" s="20">
        <v>2096</v>
      </c>
      <c r="T936" s="13">
        <v>18830</v>
      </c>
      <c r="U936" s="13">
        <v>1</v>
      </c>
      <c r="V936" s="13" t="s">
        <v>52</v>
      </c>
      <c r="W936" s="13" t="s">
        <v>59</v>
      </c>
      <c r="X936" s="13">
        <v>18</v>
      </c>
      <c r="Y936" s="13">
        <v>3</v>
      </c>
      <c r="Z936" s="13">
        <v>4</v>
      </c>
      <c r="AA936" s="13">
        <v>80</v>
      </c>
      <c r="AB936" s="13">
        <v>0</v>
      </c>
      <c r="AC936" s="13">
        <v>2</v>
      </c>
      <c r="AD936" s="13">
        <v>3</v>
      </c>
      <c r="AE936" s="13">
        <v>2</v>
      </c>
      <c r="AF936" s="14">
        <v>2</v>
      </c>
      <c r="AG936" s="13">
        <v>2</v>
      </c>
      <c r="AH936" s="13">
        <v>2</v>
      </c>
      <c r="AI936" s="13">
        <v>1</v>
      </c>
      <c r="AJ936" s="13" t="str">
        <f t="shared" si="14"/>
        <v>Under 30</v>
      </c>
      <c r="AK936" s="13" t="str">
        <f>IF(tblCleanData[[#This Row],[MonthlyIncome]]&lt;5000, "Low Income", IF(tblCleanData[[#This Row],[MonthlyIncome]]&lt;15000, "Medium Income", "High Income"))</f>
        <v>Low Income</v>
      </c>
      <c r="AL936" s="13">
        <f>IF(tblCleanData[[#This Row],[Attrition]]="No", 0,1)</f>
        <v>0</v>
      </c>
      <c r="AM936" s="13">
        <f>IF(tblCleanData[[#This Row],[OverTime]] = "No", 0, 1)</f>
        <v>0</v>
      </c>
      <c r="AN936" s="13" t="str">
        <f>CHOOSE(tblCleanData[[#This Row],[Education]], "Below College","College","Bachelor","Master","Doctor")</f>
        <v>Bachelor</v>
      </c>
      <c r="AO936" s="13" t="str">
        <f>VLOOKUP(tblCleanData[[#This Row],[EmployeeNumber]],tblHelpers[],15,TRUE)</f>
        <v>High Risk</v>
      </c>
      <c r="AP936" s="13">
        <f>VLOOKUP(tblCleanData[[#This Row],[EmployeeNumber]],tblHelpers[],14,0)</f>
        <v>79</v>
      </c>
    </row>
    <row r="937" spans="1:42" x14ac:dyDescent="0.25">
      <c r="A937" s="13">
        <v>32</v>
      </c>
      <c r="B937" s="13" t="s">
        <v>59</v>
      </c>
      <c r="C937" s="13" t="s">
        <v>37</v>
      </c>
      <c r="D937" s="13">
        <v>604</v>
      </c>
      <c r="E937" s="13" t="s">
        <v>39</v>
      </c>
      <c r="F937" s="13">
        <v>8</v>
      </c>
      <c r="G937" s="13">
        <v>3</v>
      </c>
      <c r="H937" s="13" t="s">
        <v>87</v>
      </c>
      <c r="I937" s="13">
        <v>1</v>
      </c>
      <c r="J937" s="13">
        <v>1304</v>
      </c>
      <c r="K937" s="13">
        <v>3</v>
      </c>
      <c r="L937" s="13" t="s">
        <v>63</v>
      </c>
      <c r="M937" s="13">
        <v>56</v>
      </c>
      <c r="N937" s="13">
        <v>4</v>
      </c>
      <c r="O937" s="13">
        <v>2</v>
      </c>
      <c r="P937" s="13" t="s">
        <v>46</v>
      </c>
      <c r="Q937" s="13">
        <v>4</v>
      </c>
      <c r="R937" s="13" t="s">
        <v>66</v>
      </c>
      <c r="S937" s="20">
        <v>6209</v>
      </c>
      <c r="T937" s="13">
        <v>11693</v>
      </c>
      <c r="U937" s="13">
        <v>1</v>
      </c>
      <c r="V937" s="13" t="s">
        <v>52</v>
      </c>
      <c r="W937" s="13" t="s">
        <v>59</v>
      </c>
      <c r="X937" s="13">
        <v>15</v>
      </c>
      <c r="Y937" s="13">
        <v>3</v>
      </c>
      <c r="Z937" s="13">
        <v>3</v>
      </c>
      <c r="AA937" s="13">
        <v>80</v>
      </c>
      <c r="AB937" s="13">
        <v>2</v>
      </c>
      <c r="AC937" s="13">
        <v>10</v>
      </c>
      <c r="AD937" s="13">
        <v>4</v>
      </c>
      <c r="AE937" s="13">
        <v>4</v>
      </c>
      <c r="AF937" s="14">
        <v>10</v>
      </c>
      <c r="AG937" s="13">
        <v>7</v>
      </c>
      <c r="AH937" s="13">
        <v>0</v>
      </c>
      <c r="AI937" s="13">
        <v>8</v>
      </c>
      <c r="AJ937" s="13" t="str">
        <f t="shared" si="14"/>
        <v>30-39</v>
      </c>
      <c r="AK937" s="13" t="str">
        <f>IF(tblCleanData[[#This Row],[MonthlyIncome]]&lt;5000, "Low Income", IF(tblCleanData[[#This Row],[MonthlyIncome]]&lt;15000, "Medium Income", "High Income"))</f>
        <v>Medium Income</v>
      </c>
      <c r="AL937" s="13">
        <f>IF(tblCleanData[[#This Row],[Attrition]]="No", 0,1)</f>
        <v>0</v>
      </c>
      <c r="AM937" s="13">
        <f>IF(tblCleanData[[#This Row],[OverTime]] = "No", 0, 1)</f>
        <v>0</v>
      </c>
      <c r="AN937" s="13" t="str">
        <f>CHOOSE(tblCleanData[[#This Row],[Education]], "Below College","College","Bachelor","Master","Doctor")</f>
        <v>Bachelor</v>
      </c>
      <c r="AO937" s="13" t="str">
        <f>VLOOKUP(tblCleanData[[#This Row],[EmployeeNumber]],tblHelpers[],15,TRUE)</f>
        <v>Medium Risk</v>
      </c>
      <c r="AP937" s="13">
        <f>VLOOKUP(tblCleanData[[#This Row],[EmployeeNumber]],tblHelpers[],14,0)</f>
        <v>39</v>
      </c>
    </row>
    <row r="938" spans="1:42" x14ac:dyDescent="0.25">
      <c r="A938" s="13">
        <v>45</v>
      </c>
      <c r="B938" s="13" t="s">
        <v>59</v>
      </c>
      <c r="C938" s="13" t="s">
        <v>60</v>
      </c>
      <c r="D938" s="13">
        <v>364</v>
      </c>
      <c r="E938" s="13" t="s">
        <v>62</v>
      </c>
      <c r="F938" s="13">
        <v>25</v>
      </c>
      <c r="G938" s="13">
        <v>3</v>
      </c>
      <c r="H938" s="13" t="s">
        <v>87</v>
      </c>
      <c r="I938" s="13">
        <v>1</v>
      </c>
      <c r="J938" s="13">
        <v>1306</v>
      </c>
      <c r="K938" s="13">
        <v>2</v>
      </c>
      <c r="L938" s="13" t="s">
        <v>43</v>
      </c>
      <c r="M938" s="13">
        <v>83</v>
      </c>
      <c r="N938" s="13">
        <v>3</v>
      </c>
      <c r="O938" s="13">
        <v>5</v>
      </c>
      <c r="P938" s="13" t="s">
        <v>169</v>
      </c>
      <c r="Q938" s="13">
        <v>2</v>
      </c>
      <c r="R938" s="13" t="s">
        <v>48</v>
      </c>
      <c r="S938" s="20">
        <v>18061</v>
      </c>
      <c r="T938" s="13">
        <v>13035</v>
      </c>
      <c r="U938" s="13">
        <v>3</v>
      </c>
      <c r="V938" s="13" t="s">
        <v>52</v>
      </c>
      <c r="W938" s="13" t="s">
        <v>59</v>
      </c>
      <c r="X938" s="13">
        <v>22</v>
      </c>
      <c r="Y938" s="13">
        <v>4</v>
      </c>
      <c r="Z938" s="13">
        <v>3</v>
      </c>
      <c r="AA938" s="13">
        <v>80</v>
      </c>
      <c r="AB938" s="13">
        <v>0</v>
      </c>
      <c r="AC938" s="13">
        <v>22</v>
      </c>
      <c r="AD938" s="13">
        <v>4</v>
      </c>
      <c r="AE938" s="13">
        <v>3</v>
      </c>
      <c r="AF938" s="14">
        <v>0</v>
      </c>
      <c r="AG938" s="13">
        <v>0</v>
      </c>
      <c r="AH938" s="13">
        <v>0</v>
      </c>
      <c r="AI938" s="13">
        <v>0</v>
      </c>
      <c r="AJ938" s="13" t="str">
        <f t="shared" si="14"/>
        <v>40-49</v>
      </c>
      <c r="AK938" s="13" t="str">
        <f>IF(tblCleanData[[#This Row],[MonthlyIncome]]&lt;5000, "Low Income", IF(tblCleanData[[#This Row],[MonthlyIncome]]&lt;15000, "Medium Income", "High Income"))</f>
        <v>High Income</v>
      </c>
      <c r="AL938" s="13">
        <f>IF(tblCleanData[[#This Row],[Attrition]]="No", 0,1)</f>
        <v>0</v>
      </c>
      <c r="AM938" s="13">
        <f>IF(tblCleanData[[#This Row],[OverTime]] = "No", 0, 1)</f>
        <v>0</v>
      </c>
      <c r="AN938" s="13" t="str">
        <f>CHOOSE(tblCleanData[[#This Row],[Education]], "Below College","College","Bachelor","Master","Doctor")</f>
        <v>Bachelor</v>
      </c>
      <c r="AO938" s="13" t="str">
        <f>VLOOKUP(tblCleanData[[#This Row],[EmployeeNumber]],tblHelpers[],15,TRUE)</f>
        <v>High Risk</v>
      </c>
      <c r="AP938" s="13">
        <f>VLOOKUP(tblCleanData[[#This Row],[EmployeeNumber]],tblHelpers[],14,0)</f>
        <v>59</v>
      </c>
    </row>
    <row r="939" spans="1:42" x14ac:dyDescent="0.25">
      <c r="A939" s="13">
        <v>39</v>
      </c>
      <c r="B939" s="13" t="s">
        <v>59</v>
      </c>
      <c r="C939" s="13" t="s">
        <v>37</v>
      </c>
      <c r="D939" s="13">
        <v>412</v>
      </c>
      <c r="E939" s="13" t="s">
        <v>62</v>
      </c>
      <c r="F939" s="13">
        <v>13</v>
      </c>
      <c r="G939" s="13">
        <v>4</v>
      </c>
      <c r="H939" s="13" t="s">
        <v>87</v>
      </c>
      <c r="I939" s="13">
        <v>1</v>
      </c>
      <c r="J939" s="13">
        <v>1307</v>
      </c>
      <c r="K939" s="13">
        <v>3</v>
      </c>
      <c r="L939" s="13" t="s">
        <v>43</v>
      </c>
      <c r="M939" s="13">
        <v>94</v>
      </c>
      <c r="N939" s="13">
        <v>2</v>
      </c>
      <c r="O939" s="13">
        <v>4</v>
      </c>
      <c r="P939" s="13" t="s">
        <v>169</v>
      </c>
      <c r="Q939" s="13">
        <v>2</v>
      </c>
      <c r="R939" s="13" t="s">
        <v>109</v>
      </c>
      <c r="S939" s="20">
        <v>17123</v>
      </c>
      <c r="T939" s="13">
        <v>17334</v>
      </c>
      <c r="U939" s="13">
        <v>6</v>
      </c>
      <c r="V939" s="13" t="s">
        <v>52</v>
      </c>
      <c r="W939" s="13" t="s">
        <v>36</v>
      </c>
      <c r="X939" s="13">
        <v>13</v>
      </c>
      <c r="Y939" s="13">
        <v>3</v>
      </c>
      <c r="Z939" s="13">
        <v>4</v>
      </c>
      <c r="AA939" s="13">
        <v>80</v>
      </c>
      <c r="AB939" s="13">
        <v>2</v>
      </c>
      <c r="AC939" s="13">
        <v>21</v>
      </c>
      <c r="AD939" s="13">
        <v>4</v>
      </c>
      <c r="AE939" s="13">
        <v>3</v>
      </c>
      <c r="AF939" s="14">
        <v>19</v>
      </c>
      <c r="AG939" s="13">
        <v>9</v>
      </c>
      <c r="AH939" s="13">
        <v>15</v>
      </c>
      <c r="AI939" s="13">
        <v>2</v>
      </c>
      <c r="AJ939" s="13" t="str">
        <f t="shared" si="14"/>
        <v>30-39</v>
      </c>
      <c r="AK939" s="13" t="str">
        <f>IF(tblCleanData[[#This Row],[MonthlyIncome]]&lt;5000, "Low Income", IF(tblCleanData[[#This Row],[MonthlyIncome]]&lt;15000, "Medium Income", "High Income"))</f>
        <v>High Income</v>
      </c>
      <c r="AL939" s="13">
        <f>IF(tblCleanData[[#This Row],[Attrition]]="No", 0,1)</f>
        <v>0</v>
      </c>
      <c r="AM939" s="13">
        <f>IF(tblCleanData[[#This Row],[OverTime]] = "No", 0, 1)</f>
        <v>1</v>
      </c>
      <c r="AN939" s="13" t="str">
        <f>CHOOSE(tblCleanData[[#This Row],[Education]], "Below College","College","Bachelor","Master","Doctor")</f>
        <v>Master</v>
      </c>
      <c r="AO939" s="13" t="str">
        <f>VLOOKUP(tblCleanData[[#This Row],[EmployeeNumber]],tblHelpers[],15,TRUE)</f>
        <v>High Risk</v>
      </c>
      <c r="AP939" s="13">
        <f>VLOOKUP(tblCleanData[[#This Row],[EmployeeNumber]],tblHelpers[],14,0)</f>
        <v>72</v>
      </c>
    </row>
    <row r="940" spans="1:42" x14ac:dyDescent="0.25">
      <c r="A940" s="13">
        <v>58</v>
      </c>
      <c r="B940" s="13" t="s">
        <v>59</v>
      </c>
      <c r="C940" s="13" t="s">
        <v>37</v>
      </c>
      <c r="D940" s="13">
        <v>848</v>
      </c>
      <c r="E940" s="13" t="s">
        <v>62</v>
      </c>
      <c r="F940" s="13">
        <v>23</v>
      </c>
      <c r="G940" s="13">
        <v>4</v>
      </c>
      <c r="H940" s="13" t="s">
        <v>42</v>
      </c>
      <c r="I940" s="13">
        <v>1</v>
      </c>
      <c r="J940" s="13">
        <v>1308</v>
      </c>
      <c r="K940" s="13">
        <v>1</v>
      </c>
      <c r="L940" s="13" t="s">
        <v>63</v>
      </c>
      <c r="M940" s="13">
        <v>88</v>
      </c>
      <c r="N940" s="13">
        <v>3</v>
      </c>
      <c r="O940" s="13">
        <v>1</v>
      </c>
      <c r="P940" s="13" t="s">
        <v>65</v>
      </c>
      <c r="Q940" s="13">
        <v>3</v>
      </c>
      <c r="R940" s="13" t="s">
        <v>109</v>
      </c>
      <c r="S940" s="20">
        <v>2372</v>
      </c>
      <c r="T940" s="13">
        <v>26076</v>
      </c>
      <c r="U940" s="13">
        <v>1</v>
      </c>
      <c r="V940" s="13" t="s">
        <v>52</v>
      </c>
      <c r="W940" s="13" t="s">
        <v>59</v>
      </c>
      <c r="X940" s="13">
        <v>12</v>
      </c>
      <c r="Y940" s="13">
        <v>3</v>
      </c>
      <c r="Z940" s="13">
        <v>4</v>
      </c>
      <c r="AA940" s="13">
        <v>80</v>
      </c>
      <c r="AB940" s="13">
        <v>2</v>
      </c>
      <c r="AC940" s="13">
        <v>2</v>
      </c>
      <c r="AD940" s="13">
        <v>3</v>
      </c>
      <c r="AE940" s="13">
        <v>3</v>
      </c>
      <c r="AF940" s="14">
        <v>2</v>
      </c>
      <c r="AG940" s="13">
        <v>2</v>
      </c>
      <c r="AH940" s="13">
        <v>2</v>
      </c>
      <c r="AI940" s="13">
        <v>2</v>
      </c>
      <c r="AJ940" s="13" t="str">
        <f t="shared" si="14"/>
        <v>50+</v>
      </c>
      <c r="AK940" s="13" t="str">
        <f>IF(tblCleanData[[#This Row],[MonthlyIncome]]&lt;5000, "Low Income", IF(tblCleanData[[#This Row],[MonthlyIncome]]&lt;15000, "Medium Income", "High Income"))</f>
        <v>Low Income</v>
      </c>
      <c r="AL940" s="13">
        <f>IF(tblCleanData[[#This Row],[Attrition]]="No", 0,1)</f>
        <v>0</v>
      </c>
      <c r="AM940" s="13">
        <f>IF(tblCleanData[[#This Row],[OverTime]] = "No", 0, 1)</f>
        <v>0</v>
      </c>
      <c r="AN940" s="13" t="str">
        <f>CHOOSE(tblCleanData[[#This Row],[Education]], "Below College","College","Bachelor","Master","Doctor")</f>
        <v>Master</v>
      </c>
      <c r="AO940" s="13" t="str">
        <f>VLOOKUP(tblCleanData[[#This Row],[EmployeeNumber]],tblHelpers[],15,TRUE)</f>
        <v>High Risk</v>
      </c>
      <c r="AP940" s="13">
        <f>VLOOKUP(tblCleanData[[#This Row],[EmployeeNumber]],tblHelpers[],14,0)</f>
        <v>58</v>
      </c>
    </row>
    <row r="941" spans="1:42" x14ac:dyDescent="0.25">
      <c r="A941" s="13">
        <v>32</v>
      </c>
      <c r="B941" s="13" t="s">
        <v>36</v>
      </c>
      <c r="C941" s="13" t="s">
        <v>37</v>
      </c>
      <c r="D941" s="13">
        <v>1089</v>
      </c>
      <c r="E941" s="13" t="s">
        <v>62</v>
      </c>
      <c r="F941" s="13">
        <v>7</v>
      </c>
      <c r="G941" s="13">
        <v>2</v>
      </c>
      <c r="H941" s="13" t="s">
        <v>42</v>
      </c>
      <c r="I941" s="13">
        <v>1</v>
      </c>
      <c r="J941" s="13">
        <v>1309</v>
      </c>
      <c r="K941" s="13">
        <v>4</v>
      </c>
      <c r="L941" s="13" t="s">
        <v>63</v>
      </c>
      <c r="M941" s="13">
        <v>79</v>
      </c>
      <c r="N941" s="13">
        <v>3</v>
      </c>
      <c r="O941" s="13">
        <v>2</v>
      </c>
      <c r="P941" s="13" t="s">
        <v>76</v>
      </c>
      <c r="Q941" s="13">
        <v>3</v>
      </c>
      <c r="R941" s="13" t="s">
        <v>66</v>
      </c>
      <c r="S941" s="20">
        <v>4883</v>
      </c>
      <c r="T941" s="13">
        <v>22845</v>
      </c>
      <c r="U941" s="13">
        <v>1</v>
      </c>
      <c r="V941" s="13" t="s">
        <v>52</v>
      </c>
      <c r="W941" s="13" t="s">
        <v>59</v>
      </c>
      <c r="X941" s="13">
        <v>18</v>
      </c>
      <c r="Y941" s="13">
        <v>3</v>
      </c>
      <c r="Z941" s="13">
        <v>1</v>
      </c>
      <c r="AA941" s="13">
        <v>80</v>
      </c>
      <c r="AB941" s="13">
        <v>1</v>
      </c>
      <c r="AC941" s="13">
        <v>10</v>
      </c>
      <c r="AD941" s="13">
        <v>3</v>
      </c>
      <c r="AE941" s="13">
        <v>3</v>
      </c>
      <c r="AF941" s="14">
        <v>10</v>
      </c>
      <c r="AG941" s="13">
        <v>4</v>
      </c>
      <c r="AH941" s="13">
        <v>1</v>
      </c>
      <c r="AI941" s="13">
        <v>1</v>
      </c>
      <c r="AJ941" s="13" t="str">
        <f t="shared" si="14"/>
        <v>30-39</v>
      </c>
      <c r="AK941" s="13" t="str">
        <f>IF(tblCleanData[[#This Row],[MonthlyIncome]]&lt;5000, "Low Income", IF(tblCleanData[[#This Row],[MonthlyIncome]]&lt;15000, "Medium Income", "High Income"))</f>
        <v>Low Income</v>
      </c>
      <c r="AL941" s="13">
        <f>IF(tblCleanData[[#This Row],[Attrition]]="No", 0,1)</f>
        <v>1</v>
      </c>
      <c r="AM941" s="13">
        <f>IF(tblCleanData[[#This Row],[OverTime]] = "No", 0, 1)</f>
        <v>0</v>
      </c>
      <c r="AN941" s="13" t="str">
        <f>CHOOSE(tblCleanData[[#This Row],[Education]], "Below College","College","Bachelor","Master","Doctor")</f>
        <v>College</v>
      </c>
      <c r="AO941" s="13" t="str">
        <f>VLOOKUP(tblCleanData[[#This Row],[EmployeeNumber]],tblHelpers[],15,TRUE)</f>
        <v>Medium Risk</v>
      </c>
      <c r="AP941" s="13">
        <f>VLOOKUP(tblCleanData[[#This Row],[EmployeeNumber]],tblHelpers[],14,0)</f>
        <v>46</v>
      </c>
    </row>
    <row r="942" spans="1:42" x14ac:dyDescent="0.25">
      <c r="A942" s="13">
        <v>39</v>
      </c>
      <c r="B942" s="13" t="s">
        <v>36</v>
      </c>
      <c r="C942" s="13" t="s">
        <v>37</v>
      </c>
      <c r="D942" s="13">
        <v>360</v>
      </c>
      <c r="E942" s="13" t="s">
        <v>62</v>
      </c>
      <c r="F942" s="13">
        <v>23</v>
      </c>
      <c r="G942" s="13">
        <v>3</v>
      </c>
      <c r="H942" s="13" t="s">
        <v>87</v>
      </c>
      <c r="I942" s="13">
        <v>1</v>
      </c>
      <c r="J942" s="13">
        <v>1310</v>
      </c>
      <c r="K942" s="13">
        <v>3</v>
      </c>
      <c r="L942" s="13" t="s">
        <v>63</v>
      </c>
      <c r="M942" s="13">
        <v>93</v>
      </c>
      <c r="N942" s="13">
        <v>3</v>
      </c>
      <c r="O942" s="13">
        <v>1</v>
      </c>
      <c r="P942" s="13" t="s">
        <v>65</v>
      </c>
      <c r="Q942" s="13">
        <v>1</v>
      </c>
      <c r="R942" s="13" t="s">
        <v>48</v>
      </c>
      <c r="S942" s="20">
        <v>3904</v>
      </c>
      <c r="T942" s="13">
        <v>22154</v>
      </c>
      <c r="U942" s="13">
        <v>0</v>
      </c>
      <c r="V942" s="13" t="s">
        <v>52</v>
      </c>
      <c r="W942" s="13" t="s">
        <v>59</v>
      </c>
      <c r="X942" s="13">
        <v>13</v>
      </c>
      <c r="Y942" s="13">
        <v>3</v>
      </c>
      <c r="Z942" s="13">
        <v>1</v>
      </c>
      <c r="AA942" s="13">
        <v>80</v>
      </c>
      <c r="AB942" s="13">
        <v>0</v>
      </c>
      <c r="AC942" s="13">
        <v>6</v>
      </c>
      <c r="AD942" s="13">
        <v>2</v>
      </c>
      <c r="AE942" s="13">
        <v>3</v>
      </c>
      <c r="AF942" s="14">
        <v>5</v>
      </c>
      <c r="AG942" s="13">
        <v>2</v>
      </c>
      <c r="AH942" s="13">
        <v>0</v>
      </c>
      <c r="AI942" s="13">
        <v>3</v>
      </c>
      <c r="AJ942" s="13" t="str">
        <f t="shared" si="14"/>
        <v>30-39</v>
      </c>
      <c r="AK942" s="13" t="str">
        <f>IF(tblCleanData[[#This Row],[MonthlyIncome]]&lt;5000, "Low Income", IF(tblCleanData[[#This Row],[MonthlyIncome]]&lt;15000, "Medium Income", "High Income"))</f>
        <v>Low Income</v>
      </c>
      <c r="AL942" s="13">
        <f>IF(tblCleanData[[#This Row],[Attrition]]="No", 0,1)</f>
        <v>1</v>
      </c>
      <c r="AM942" s="13">
        <f>IF(tblCleanData[[#This Row],[OverTime]] = "No", 0, 1)</f>
        <v>0</v>
      </c>
      <c r="AN942" s="13" t="str">
        <f>CHOOSE(tblCleanData[[#This Row],[Education]], "Below College","College","Bachelor","Master","Doctor")</f>
        <v>Bachelor</v>
      </c>
      <c r="AO942" s="13" t="str">
        <f>VLOOKUP(tblCleanData[[#This Row],[EmployeeNumber]],tblHelpers[],15,TRUE)</f>
        <v>High Risk</v>
      </c>
      <c r="AP942" s="13">
        <f>VLOOKUP(tblCleanData[[#This Row],[EmployeeNumber]],tblHelpers[],14,0)</f>
        <v>65</v>
      </c>
    </row>
    <row r="943" spans="1:42" x14ac:dyDescent="0.25">
      <c r="A943" s="13">
        <v>30</v>
      </c>
      <c r="B943" s="13" t="s">
        <v>59</v>
      </c>
      <c r="C943" s="13" t="s">
        <v>37</v>
      </c>
      <c r="D943" s="13">
        <v>1138</v>
      </c>
      <c r="E943" s="13" t="s">
        <v>62</v>
      </c>
      <c r="F943" s="13">
        <v>6</v>
      </c>
      <c r="G943" s="13">
        <v>3</v>
      </c>
      <c r="H943" s="13" t="s">
        <v>228</v>
      </c>
      <c r="I943" s="13">
        <v>1</v>
      </c>
      <c r="J943" s="13">
        <v>1311</v>
      </c>
      <c r="K943" s="13">
        <v>1</v>
      </c>
      <c r="L943" s="13" t="s">
        <v>43</v>
      </c>
      <c r="M943" s="13">
        <v>48</v>
      </c>
      <c r="N943" s="13">
        <v>2</v>
      </c>
      <c r="O943" s="13">
        <v>2</v>
      </c>
      <c r="P943" s="13" t="s">
        <v>76</v>
      </c>
      <c r="Q943" s="13">
        <v>4</v>
      </c>
      <c r="R943" s="13" t="s">
        <v>66</v>
      </c>
      <c r="S943" s="20">
        <v>4627</v>
      </c>
      <c r="T943" s="13">
        <v>23631</v>
      </c>
      <c r="U943" s="13">
        <v>0</v>
      </c>
      <c r="V943" s="13" t="s">
        <v>52</v>
      </c>
      <c r="W943" s="13" t="s">
        <v>59</v>
      </c>
      <c r="X943" s="13">
        <v>12</v>
      </c>
      <c r="Y943" s="13">
        <v>3</v>
      </c>
      <c r="Z943" s="13">
        <v>1</v>
      </c>
      <c r="AA943" s="13">
        <v>80</v>
      </c>
      <c r="AB943" s="13">
        <v>1</v>
      </c>
      <c r="AC943" s="13">
        <v>10</v>
      </c>
      <c r="AD943" s="13">
        <v>6</v>
      </c>
      <c r="AE943" s="13">
        <v>3</v>
      </c>
      <c r="AF943" s="14">
        <v>9</v>
      </c>
      <c r="AG943" s="13">
        <v>2</v>
      </c>
      <c r="AH943" s="13">
        <v>6</v>
      </c>
      <c r="AI943" s="13">
        <v>7</v>
      </c>
      <c r="AJ943" s="13" t="str">
        <f t="shared" si="14"/>
        <v>30-39</v>
      </c>
      <c r="AK943" s="13" t="str">
        <f>IF(tblCleanData[[#This Row],[MonthlyIncome]]&lt;5000, "Low Income", IF(tblCleanData[[#This Row],[MonthlyIncome]]&lt;15000, "Medium Income", "High Income"))</f>
        <v>Low Income</v>
      </c>
      <c r="AL943" s="13">
        <f>IF(tblCleanData[[#This Row],[Attrition]]="No", 0,1)</f>
        <v>0</v>
      </c>
      <c r="AM943" s="13">
        <f>IF(tblCleanData[[#This Row],[OverTime]] = "No", 0, 1)</f>
        <v>0</v>
      </c>
      <c r="AN943" s="13" t="str">
        <f>CHOOSE(tblCleanData[[#This Row],[Education]], "Below College","College","Bachelor","Master","Doctor")</f>
        <v>Bachelor</v>
      </c>
      <c r="AO943" s="13" t="str">
        <f>VLOOKUP(tblCleanData[[#This Row],[EmployeeNumber]],tblHelpers[],15,TRUE)</f>
        <v>Medium Risk</v>
      </c>
      <c r="AP943" s="13">
        <f>VLOOKUP(tblCleanData[[#This Row],[EmployeeNumber]],tblHelpers[],14,0)</f>
        <v>39</v>
      </c>
    </row>
    <row r="944" spans="1:42" x14ac:dyDescent="0.25">
      <c r="A944" s="13">
        <v>36</v>
      </c>
      <c r="B944" s="13" t="s">
        <v>59</v>
      </c>
      <c r="C944" s="13" t="s">
        <v>37</v>
      </c>
      <c r="D944" s="13">
        <v>325</v>
      </c>
      <c r="E944" s="13" t="s">
        <v>62</v>
      </c>
      <c r="F944" s="13">
        <v>10</v>
      </c>
      <c r="G944" s="13">
        <v>4</v>
      </c>
      <c r="H944" s="13" t="s">
        <v>228</v>
      </c>
      <c r="I944" s="13">
        <v>1</v>
      </c>
      <c r="J944" s="13">
        <v>1312</v>
      </c>
      <c r="K944" s="13">
        <v>4</v>
      </c>
      <c r="L944" s="13" t="s">
        <v>43</v>
      </c>
      <c r="M944" s="13">
        <v>63</v>
      </c>
      <c r="N944" s="13">
        <v>3</v>
      </c>
      <c r="O944" s="13">
        <v>3</v>
      </c>
      <c r="P944" s="13" t="s">
        <v>122</v>
      </c>
      <c r="Q944" s="13">
        <v>3</v>
      </c>
      <c r="R944" s="13" t="s">
        <v>66</v>
      </c>
      <c r="S944" s="20">
        <v>7094</v>
      </c>
      <c r="T944" s="13">
        <v>5747</v>
      </c>
      <c r="U944" s="13">
        <v>3</v>
      </c>
      <c r="V944" s="13" t="s">
        <v>52</v>
      </c>
      <c r="W944" s="13" t="s">
        <v>59</v>
      </c>
      <c r="X944" s="13">
        <v>12</v>
      </c>
      <c r="Y944" s="13">
        <v>3</v>
      </c>
      <c r="Z944" s="13">
        <v>1</v>
      </c>
      <c r="AA944" s="13">
        <v>80</v>
      </c>
      <c r="AB944" s="13">
        <v>0</v>
      </c>
      <c r="AC944" s="13">
        <v>10</v>
      </c>
      <c r="AD944" s="13">
        <v>0</v>
      </c>
      <c r="AE944" s="13">
        <v>3</v>
      </c>
      <c r="AF944" s="14">
        <v>7</v>
      </c>
      <c r="AG944" s="13">
        <v>7</v>
      </c>
      <c r="AH944" s="13">
        <v>1</v>
      </c>
      <c r="AI944" s="13">
        <v>7</v>
      </c>
      <c r="AJ944" s="13" t="str">
        <f t="shared" si="14"/>
        <v>30-39</v>
      </c>
      <c r="AK944" s="13" t="str">
        <f>IF(tblCleanData[[#This Row],[MonthlyIncome]]&lt;5000, "Low Income", IF(tblCleanData[[#This Row],[MonthlyIncome]]&lt;15000, "Medium Income", "High Income"))</f>
        <v>Medium Income</v>
      </c>
      <c r="AL944" s="13">
        <f>IF(tblCleanData[[#This Row],[Attrition]]="No", 0,1)</f>
        <v>0</v>
      </c>
      <c r="AM944" s="13">
        <f>IF(tblCleanData[[#This Row],[OverTime]] = "No", 0, 1)</f>
        <v>0</v>
      </c>
      <c r="AN944" s="13" t="str">
        <f>CHOOSE(tblCleanData[[#This Row],[Education]], "Below College","College","Bachelor","Master","Doctor")</f>
        <v>Master</v>
      </c>
      <c r="AO944" s="13" t="str">
        <f>VLOOKUP(tblCleanData[[#This Row],[EmployeeNumber]],tblHelpers[],15,TRUE)</f>
        <v>Medium Risk</v>
      </c>
      <c r="AP944" s="13">
        <f>VLOOKUP(tblCleanData[[#This Row],[EmployeeNumber]],tblHelpers[],14,0)</f>
        <v>46</v>
      </c>
    </row>
    <row r="945" spans="1:42" x14ac:dyDescent="0.25">
      <c r="A945" s="13">
        <v>46</v>
      </c>
      <c r="B945" s="13" t="s">
        <v>59</v>
      </c>
      <c r="C945" s="13" t="s">
        <v>37</v>
      </c>
      <c r="D945" s="13">
        <v>991</v>
      </c>
      <c r="E945" s="13" t="s">
        <v>397</v>
      </c>
      <c r="F945" s="13">
        <v>1</v>
      </c>
      <c r="G945" s="13">
        <v>2</v>
      </c>
      <c r="H945" s="13" t="s">
        <v>42</v>
      </c>
      <c r="I945" s="13">
        <v>1</v>
      </c>
      <c r="J945" s="13">
        <v>1314</v>
      </c>
      <c r="K945" s="13">
        <v>4</v>
      </c>
      <c r="L945" s="13" t="s">
        <v>43</v>
      </c>
      <c r="M945" s="13">
        <v>44</v>
      </c>
      <c r="N945" s="13">
        <v>3</v>
      </c>
      <c r="O945" s="13">
        <v>1</v>
      </c>
      <c r="P945" s="13" t="s">
        <v>397</v>
      </c>
      <c r="Q945" s="13">
        <v>1</v>
      </c>
      <c r="R945" s="13" t="s">
        <v>48</v>
      </c>
      <c r="S945" s="20">
        <v>3423</v>
      </c>
      <c r="T945" s="13">
        <v>22957</v>
      </c>
      <c r="U945" s="13">
        <v>6</v>
      </c>
      <c r="V945" s="13" t="s">
        <v>52</v>
      </c>
      <c r="W945" s="13" t="s">
        <v>59</v>
      </c>
      <c r="X945" s="13">
        <v>12</v>
      </c>
      <c r="Y945" s="13">
        <v>3</v>
      </c>
      <c r="Z945" s="13">
        <v>3</v>
      </c>
      <c r="AA945" s="13">
        <v>80</v>
      </c>
      <c r="AB945" s="13">
        <v>0</v>
      </c>
      <c r="AC945" s="13">
        <v>10</v>
      </c>
      <c r="AD945" s="13">
        <v>3</v>
      </c>
      <c r="AE945" s="13">
        <v>4</v>
      </c>
      <c r="AF945" s="14">
        <v>7</v>
      </c>
      <c r="AG945" s="13">
        <v>6</v>
      </c>
      <c r="AH945" s="13">
        <v>5</v>
      </c>
      <c r="AI945" s="13">
        <v>7</v>
      </c>
      <c r="AJ945" s="13" t="str">
        <f t="shared" si="14"/>
        <v>40-49</v>
      </c>
      <c r="AK945" s="13" t="str">
        <f>IF(tblCleanData[[#This Row],[MonthlyIncome]]&lt;5000, "Low Income", IF(tblCleanData[[#This Row],[MonthlyIncome]]&lt;15000, "Medium Income", "High Income"))</f>
        <v>Low Income</v>
      </c>
      <c r="AL945" s="13">
        <f>IF(tblCleanData[[#This Row],[Attrition]]="No", 0,1)</f>
        <v>0</v>
      </c>
      <c r="AM945" s="13">
        <f>IF(tblCleanData[[#This Row],[OverTime]] = "No", 0, 1)</f>
        <v>0</v>
      </c>
      <c r="AN945" s="13" t="str">
        <f>CHOOSE(tblCleanData[[#This Row],[Education]], "Below College","College","Bachelor","Master","Doctor")</f>
        <v>College</v>
      </c>
      <c r="AO945" s="13" t="str">
        <f>VLOOKUP(tblCleanData[[#This Row],[EmployeeNumber]],tblHelpers[],15,TRUE)</f>
        <v>Medium Risk</v>
      </c>
      <c r="AP945" s="13">
        <f>VLOOKUP(tblCleanData[[#This Row],[EmployeeNumber]],tblHelpers[],14,0)</f>
        <v>48</v>
      </c>
    </row>
    <row r="946" spans="1:42" x14ac:dyDescent="0.25">
      <c r="A946" s="13">
        <v>28</v>
      </c>
      <c r="B946" s="13" t="s">
        <v>59</v>
      </c>
      <c r="C946" s="13" t="s">
        <v>161</v>
      </c>
      <c r="D946" s="13">
        <v>1476</v>
      </c>
      <c r="E946" s="13" t="s">
        <v>62</v>
      </c>
      <c r="F946" s="13">
        <v>1</v>
      </c>
      <c r="G946" s="13">
        <v>3</v>
      </c>
      <c r="H946" s="13" t="s">
        <v>42</v>
      </c>
      <c r="I946" s="13">
        <v>1</v>
      </c>
      <c r="J946" s="13">
        <v>1315</v>
      </c>
      <c r="K946" s="13">
        <v>3</v>
      </c>
      <c r="L946" s="13" t="s">
        <v>43</v>
      </c>
      <c r="M946" s="13">
        <v>55</v>
      </c>
      <c r="N946" s="13">
        <v>1</v>
      </c>
      <c r="O946" s="13">
        <v>2</v>
      </c>
      <c r="P946" s="13" t="s">
        <v>76</v>
      </c>
      <c r="Q946" s="13">
        <v>4</v>
      </c>
      <c r="R946" s="13" t="s">
        <v>66</v>
      </c>
      <c r="S946" s="20">
        <v>6674</v>
      </c>
      <c r="T946" s="13">
        <v>16392</v>
      </c>
      <c r="U946" s="13">
        <v>0</v>
      </c>
      <c r="V946" s="13" t="s">
        <v>52</v>
      </c>
      <c r="W946" s="13" t="s">
        <v>59</v>
      </c>
      <c r="X946" s="13">
        <v>11</v>
      </c>
      <c r="Y946" s="13">
        <v>3</v>
      </c>
      <c r="Z946" s="13">
        <v>1</v>
      </c>
      <c r="AA946" s="13">
        <v>80</v>
      </c>
      <c r="AB946" s="13">
        <v>3</v>
      </c>
      <c r="AC946" s="13">
        <v>10</v>
      </c>
      <c r="AD946" s="13">
        <v>6</v>
      </c>
      <c r="AE946" s="13">
        <v>3</v>
      </c>
      <c r="AF946" s="14">
        <v>9</v>
      </c>
      <c r="AG946" s="13">
        <v>8</v>
      </c>
      <c r="AH946" s="13">
        <v>7</v>
      </c>
      <c r="AI946" s="13">
        <v>5</v>
      </c>
      <c r="AJ946" s="13" t="str">
        <f t="shared" si="14"/>
        <v>Under 30</v>
      </c>
      <c r="AK946" s="13" t="str">
        <f>IF(tblCleanData[[#This Row],[MonthlyIncome]]&lt;5000, "Low Income", IF(tblCleanData[[#This Row],[MonthlyIncome]]&lt;15000, "Medium Income", "High Income"))</f>
        <v>Medium Income</v>
      </c>
      <c r="AL946" s="13">
        <f>IF(tblCleanData[[#This Row],[Attrition]]="No", 0,1)</f>
        <v>0</v>
      </c>
      <c r="AM946" s="13">
        <f>IF(tblCleanData[[#This Row],[OverTime]] = "No", 0, 1)</f>
        <v>0</v>
      </c>
      <c r="AN946" s="13" t="str">
        <f>CHOOSE(tblCleanData[[#This Row],[Education]], "Below College","College","Bachelor","Master","Doctor")</f>
        <v>Bachelor</v>
      </c>
      <c r="AO946" s="13" t="str">
        <f>VLOOKUP(tblCleanData[[#This Row],[EmployeeNumber]],tblHelpers[],15,TRUE)</f>
        <v>Medium Risk</v>
      </c>
      <c r="AP946" s="13">
        <f>VLOOKUP(tblCleanData[[#This Row],[EmployeeNumber]],tblHelpers[],14,0)</f>
        <v>49</v>
      </c>
    </row>
    <row r="947" spans="1:42" x14ac:dyDescent="0.25">
      <c r="A947" s="13">
        <v>50</v>
      </c>
      <c r="B947" s="13" t="s">
        <v>59</v>
      </c>
      <c r="C947" s="13" t="s">
        <v>37</v>
      </c>
      <c r="D947" s="13">
        <v>1322</v>
      </c>
      <c r="E947" s="13" t="s">
        <v>62</v>
      </c>
      <c r="F947" s="13">
        <v>28</v>
      </c>
      <c r="G947" s="13">
        <v>3</v>
      </c>
      <c r="H947" s="13" t="s">
        <v>42</v>
      </c>
      <c r="I947" s="13">
        <v>1</v>
      </c>
      <c r="J947" s="13">
        <v>1317</v>
      </c>
      <c r="K947" s="13">
        <v>4</v>
      </c>
      <c r="L947" s="13" t="s">
        <v>43</v>
      </c>
      <c r="M947" s="13">
        <v>43</v>
      </c>
      <c r="N947" s="13">
        <v>3</v>
      </c>
      <c r="O947" s="13">
        <v>4</v>
      </c>
      <c r="P947" s="13" t="s">
        <v>186</v>
      </c>
      <c r="Q947" s="13">
        <v>1</v>
      </c>
      <c r="R947" s="13" t="s">
        <v>66</v>
      </c>
      <c r="S947" s="20">
        <v>16880</v>
      </c>
      <c r="T947" s="13">
        <v>22422</v>
      </c>
      <c r="U947" s="13">
        <v>4</v>
      </c>
      <c r="V947" s="13" t="s">
        <v>52</v>
      </c>
      <c r="W947" s="13" t="s">
        <v>36</v>
      </c>
      <c r="X947" s="13">
        <v>11</v>
      </c>
      <c r="Y947" s="13">
        <v>3</v>
      </c>
      <c r="Z947" s="13">
        <v>2</v>
      </c>
      <c r="AA947" s="13">
        <v>80</v>
      </c>
      <c r="AB947" s="13">
        <v>0</v>
      </c>
      <c r="AC947" s="13">
        <v>25</v>
      </c>
      <c r="AD947" s="13">
        <v>2</v>
      </c>
      <c r="AE947" s="13">
        <v>3</v>
      </c>
      <c r="AF947" s="14">
        <v>3</v>
      </c>
      <c r="AG947" s="13">
        <v>2</v>
      </c>
      <c r="AH947" s="13">
        <v>1</v>
      </c>
      <c r="AI947" s="13">
        <v>2</v>
      </c>
      <c r="AJ947" s="13" t="str">
        <f t="shared" si="14"/>
        <v>50+</v>
      </c>
      <c r="AK947" s="13" t="str">
        <f>IF(tblCleanData[[#This Row],[MonthlyIncome]]&lt;5000, "Low Income", IF(tblCleanData[[#This Row],[MonthlyIncome]]&lt;15000, "Medium Income", "High Income"))</f>
        <v>High Income</v>
      </c>
      <c r="AL947" s="13">
        <f>IF(tblCleanData[[#This Row],[Attrition]]="No", 0,1)</f>
        <v>0</v>
      </c>
      <c r="AM947" s="13">
        <f>IF(tblCleanData[[#This Row],[OverTime]] = "No", 0, 1)</f>
        <v>1</v>
      </c>
      <c r="AN947" s="13" t="str">
        <f>CHOOSE(tblCleanData[[#This Row],[Education]], "Below College","College","Bachelor","Master","Doctor")</f>
        <v>Bachelor</v>
      </c>
      <c r="AO947" s="13" t="str">
        <f>VLOOKUP(tblCleanData[[#This Row],[EmployeeNumber]],tblHelpers[],15,TRUE)</f>
        <v>High Risk</v>
      </c>
      <c r="AP947" s="13">
        <f>VLOOKUP(tblCleanData[[#This Row],[EmployeeNumber]],tblHelpers[],14,0)</f>
        <v>85</v>
      </c>
    </row>
    <row r="948" spans="1:42" x14ac:dyDescent="0.25">
      <c r="A948" s="13">
        <v>40</v>
      </c>
      <c r="B948" s="13" t="s">
        <v>36</v>
      </c>
      <c r="C948" s="13" t="s">
        <v>37</v>
      </c>
      <c r="D948" s="13">
        <v>299</v>
      </c>
      <c r="E948" s="13" t="s">
        <v>39</v>
      </c>
      <c r="F948" s="13">
        <v>25</v>
      </c>
      <c r="G948" s="13">
        <v>4</v>
      </c>
      <c r="H948" s="13" t="s">
        <v>206</v>
      </c>
      <c r="I948" s="13">
        <v>1</v>
      </c>
      <c r="J948" s="13">
        <v>1318</v>
      </c>
      <c r="K948" s="13">
        <v>4</v>
      </c>
      <c r="L948" s="13" t="s">
        <v>63</v>
      </c>
      <c r="M948" s="13">
        <v>57</v>
      </c>
      <c r="N948" s="13">
        <v>2</v>
      </c>
      <c r="O948" s="13">
        <v>3</v>
      </c>
      <c r="P948" s="13" t="s">
        <v>46</v>
      </c>
      <c r="Q948" s="13">
        <v>2</v>
      </c>
      <c r="R948" s="13" t="s">
        <v>48</v>
      </c>
      <c r="S948" s="20">
        <v>9094</v>
      </c>
      <c r="T948" s="13">
        <v>17235</v>
      </c>
      <c r="U948" s="13">
        <v>2</v>
      </c>
      <c r="V948" s="13" t="s">
        <v>52</v>
      </c>
      <c r="W948" s="13" t="s">
        <v>36</v>
      </c>
      <c r="X948" s="13">
        <v>12</v>
      </c>
      <c r="Y948" s="13">
        <v>3</v>
      </c>
      <c r="Z948" s="13">
        <v>3</v>
      </c>
      <c r="AA948" s="13">
        <v>80</v>
      </c>
      <c r="AB948" s="13">
        <v>0</v>
      </c>
      <c r="AC948" s="13">
        <v>9</v>
      </c>
      <c r="AD948" s="13">
        <v>2</v>
      </c>
      <c r="AE948" s="13">
        <v>3</v>
      </c>
      <c r="AF948" s="14">
        <v>5</v>
      </c>
      <c r="AG948" s="13">
        <v>4</v>
      </c>
      <c r="AH948" s="13">
        <v>1</v>
      </c>
      <c r="AI948" s="13">
        <v>0</v>
      </c>
      <c r="AJ948" s="13" t="str">
        <f t="shared" si="14"/>
        <v>40-49</v>
      </c>
      <c r="AK948" s="13" t="str">
        <f>IF(tblCleanData[[#This Row],[MonthlyIncome]]&lt;5000, "Low Income", IF(tblCleanData[[#This Row],[MonthlyIncome]]&lt;15000, "Medium Income", "High Income"))</f>
        <v>Medium Income</v>
      </c>
      <c r="AL948" s="13">
        <f>IF(tblCleanData[[#This Row],[Attrition]]="No", 0,1)</f>
        <v>1</v>
      </c>
      <c r="AM948" s="13">
        <f>IF(tblCleanData[[#This Row],[OverTime]] = "No", 0, 1)</f>
        <v>1</v>
      </c>
      <c r="AN948" s="13" t="str">
        <f>CHOOSE(tblCleanData[[#This Row],[Education]], "Below College","College","Bachelor","Master","Doctor")</f>
        <v>Master</v>
      </c>
      <c r="AO948" s="13" t="str">
        <f>VLOOKUP(tblCleanData[[#This Row],[EmployeeNumber]],tblHelpers[],15,TRUE)</f>
        <v>High Risk</v>
      </c>
      <c r="AP948" s="13">
        <f>VLOOKUP(tblCleanData[[#This Row],[EmployeeNumber]],tblHelpers[],14,0)</f>
        <v>74</v>
      </c>
    </row>
    <row r="949" spans="1:42" x14ac:dyDescent="0.25">
      <c r="A949" s="13">
        <v>52</v>
      </c>
      <c r="B949" s="13" t="s">
        <v>36</v>
      </c>
      <c r="C949" s="13" t="s">
        <v>37</v>
      </c>
      <c r="D949" s="13">
        <v>1030</v>
      </c>
      <c r="E949" s="13" t="s">
        <v>39</v>
      </c>
      <c r="F949" s="13">
        <v>5</v>
      </c>
      <c r="G949" s="13">
        <v>3</v>
      </c>
      <c r="H949" s="13" t="s">
        <v>42</v>
      </c>
      <c r="I949" s="13">
        <v>1</v>
      </c>
      <c r="J949" s="13">
        <v>1319</v>
      </c>
      <c r="K949" s="13">
        <v>2</v>
      </c>
      <c r="L949" s="13" t="s">
        <v>63</v>
      </c>
      <c r="M949" s="13">
        <v>64</v>
      </c>
      <c r="N949" s="13">
        <v>3</v>
      </c>
      <c r="O949" s="13">
        <v>3</v>
      </c>
      <c r="P949" s="13" t="s">
        <v>46</v>
      </c>
      <c r="Q949" s="13">
        <v>2</v>
      </c>
      <c r="R949" s="13" t="s">
        <v>48</v>
      </c>
      <c r="S949" s="20">
        <v>8446</v>
      </c>
      <c r="T949" s="13">
        <v>21534</v>
      </c>
      <c r="U949" s="13">
        <v>9</v>
      </c>
      <c r="V949" s="13" t="s">
        <v>52</v>
      </c>
      <c r="W949" s="13" t="s">
        <v>36</v>
      </c>
      <c r="X949" s="13">
        <v>19</v>
      </c>
      <c r="Y949" s="13">
        <v>3</v>
      </c>
      <c r="Z949" s="13">
        <v>3</v>
      </c>
      <c r="AA949" s="13">
        <v>80</v>
      </c>
      <c r="AB949" s="13">
        <v>0</v>
      </c>
      <c r="AC949" s="13">
        <v>10</v>
      </c>
      <c r="AD949" s="13">
        <v>2</v>
      </c>
      <c r="AE949" s="13">
        <v>2</v>
      </c>
      <c r="AF949" s="14">
        <v>8</v>
      </c>
      <c r="AG949" s="13">
        <v>7</v>
      </c>
      <c r="AH949" s="13">
        <v>7</v>
      </c>
      <c r="AI949" s="13">
        <v>7</v>
      </c>
      <c r="AJ949" s="13" t="str">
        <f t="shared" si="14"/>
        <v>50+</v>
      </c>
      <c r="AK949" s="13" t="str">
        <f>IF(tblCleanData[[#This Row],[MonthlyIncome]]&lt;5000, "Low Income", IF(tblCleanData[[#This Row],[MonthlyIncome]]&lt;15000, "Medium Income", "High Income"))</f>
        <v>Medium Income</v>
      </c>
      <c r="AL949" s="13">
        <f>IF(tblCleanData[[#This Row],[Attrition]]="No", 0,1)</f>
        <v>1</v>
      </c>
      <c r="AM949" s="13">
        <f>IF(tblCleanData[[#This Row],[OverTime]] = "No", 0, 1)</f>
        <v>1</v>
      </c>
      <c r="AN949" s="13" t="str">
        <f>CHOOSE(tblCleanData[[#This Row],[Education]], "Below College","College","Bachelor","Master","Doctor")</f>
        <v>Bachelor</v>
      </c>
      <c r="AO949" s="13" t="str">
        <f>VLOOKUP(tblCleanData[[#This Row],[EmployeeNumber]],tblHelpers[],15,TRUE)</f>
        <v>High Risk</v>
      </c>
      <c r="AP949" s="13">
        <f>VLOOKUP(tblCleanData[[#This Row],[EmployeeNumber]],tblHelpers[],14,0)</f>
        <v>72</v>
      </c>
    </row>
    <row r="950" spans="1:42" x14ac:dyDescent="0.25">
      <c r="A950" s="13">
        <v>30</v>
      </c>
      <c r="B950" s="13" t="s">
        <v>59</v>
      </c>
      <c r="C950" s="13" t="s">
        <v>37</v>
      </c>
      <c r="D950" s="13">
        <v>634</v>
      </c>
      <c r="E950" s="13" t="s">
        <v>62</v>
      </c>
      <c r="F950" s="13">
        <v>17</v>
      </c>
      <c r="G950" s="13">
        <v>4</v>
      </c>
      <c r="H950" s="13" t="s">
        <v>87</v>
      </c>
      <c r="I950" s="13">
        <v>1</v>
      </c>
      <c r="J950" s="13">
        <v>1321</v>
      </c>
      <c r="K950" s="13">
        <v>2</v>
      </c>
      <c r="L950" s="13" t="s">
        <v>43</v>
      </c>
      <c r="M950" s="13">
        <v>95</v>
      </c>
      <c r="N950" s="13">
        <v>3</v>
      </c>
      <c r="O950" s="13">
        <v>3</v>
      </c>
      <c r="P950" s="13" t="s">
        <v>169</v>
      </c>
      <c r="Q950" s="13">
        <v>1</v>
      </c>
      <c r="R950" s="13" t="s">
        <v>66</v>
      </c>
      <c r="S950" s="20">
        <v>11916</v>
      </c>
      <c r="T950" s="13">
        <v>25927</v>
      </c>
      <c r="U950" s="13">
        <v>1</v>
      </c>
      <c r="V950" s="13" t="s">
        <v>52</v>
      </c>
      <c r="W950" s="13" t="s">
        <v>36</v>
      </c>
      <c r="X950" s="13">
        <v>23</v>
      </c>
      <c r="Y950" s="13">
        <v>4</v>
      </c>
      <c r="Z950" s="13">
        <v>4</v>
      </c>
      <c r="AA950" s="13">
        <v>80</v>
      </c>
      <c r="AB950" s="13">
        <v>2</v>
      </c>
      <c r="AC950" s="13">
        <v>9</v>
      </c>
      <c r="AD950" s="13">
        <v>2</v>
      </c>
      <c r="AE950" s="13">
        <v>3</v>
      </c>
      <c r="AF950" s="14">
        <v>9</v>
      </c>
      <c r="AG950" s="13">
        <v>1</v>
      </c>
      <c r="AH950" s="13">
        <v>0</v>
      </c>
      <c r="AI950" s="13">
        <v>8</v>
      </c>
      <c r="AJ950" s="13" t="str">
        <f t="shared" si="14"/>
        <v>30-39</v>
      </c>
      <c r="AK950" s="13" t="str">
        <f>IF(tblCleanData[[#This Row],[MonthlyIncome]]&lt;5000, "Low Income", IF(tblCleanData[[#This Row],[MonthlyIncome]]&lt;15000, "Medium Income", "High Income"))</f>
        <v>Medium Income</v>
      </c>
      <c r="AL950" s="13">
        <f>IF(tblCleanData[[#This Row],[Attrition]]="No", 0,1)</f>
        <v>0</v>
      </c>
      <c r="AM950" s="13">
        <f>IF(tblCleanData[[#This Row],[OverTime]] = "No", 0, 1)</f>
        <v>1</v>
      </c>
      <c r="AN950" s="13" t="str">
        <f>CHOOSE(tblCleanData[[#This Row],[Education]], "Below College","College","Bachelor","Master","Doctor")</f>
        <v>Master</v>
      </c>
      <c r="AO950" s="13" t="str">
        <f>VLOOKUP(tblCleanData[[#This Row],[EmployeeNumber]],tblHelpers[],15,TRUE)</f>
        <v>High Risk</v>
      </c>
      <c r="AP950" s="13">
        <f>VLOOKUP(tblCleanData[[#This Row],[EmployeeNumber]],tblHelpers[],14,0)</f>
        <v>83</v>
      </c>
    </row>
    <row r="951" spans="1:42" x14ac:dyDescent="0.25">
      <c r="A951" s="13">
        <v>39</v>
      </c>
      <c r="B951" s="13" t="s">
        <v>59</v>
      </c>
      <c r="C951" s="13" t="s">
        <v>37</v>
      </c>
      <c r="D951" s="13">
        <v>524</v>
      </c>
      <c r="E951" s="13" t="s">
        <v>62</v>
      </c>
      <c r="F951" s="13">
        <v>18</v>
      </c>
      <c r="G951" s="13">
        <v>2</v>
      </c>
      <c r="H951" s="13" t="s">
        <v>42</v>
      </c>
      <c r="I951" s="13">
        <v>1</v>
      </c>
      <c r="J951" s="13">
        <v>1322</v>
      </c>
      <c r="K951" s="13">
        <v>1</v>
      </c>
      <c r="L951" s="13" t="s">
        <v>63</v>
      </c>
      <c r="M951" s="13">
        <v>32</v>
      </c>
      <c r="N951" s="13">
        <v>3</v>
      </c>
      <c r="O951" s="13">
        <v>2</v>
      </c>
      <c r="P951" s="13" t="s">
        <v>116</v>
      </c>
      <c r="Q951" s="13">
        <v>3</v>
      </c>
      <c r="R951" s="13" t="s">
        <v>48</v>
      </c>
      <c r="S951" s="20">
        <v>4534</v>
      </c>
      <c r="T951" s="13">
        <v>13352</v>
      </c>
      <c r="U951" s="13">
        <v>0</v>
      </c>
      <c r="V951" s="13" t="s">
        <v>52</v>
      </c>
      <c r="W951" s="13" t="s">
        <v>59</v>
      </c>
      <c r="X951" s="13">
        <v>11</v>
      </c>
      <c r="Y951" s="13">
        <v>3</v>
      </c>
      <c r="Z951" s="13">
        <v>1</v>
      </c>
      <c r="AA951" s="13">
        <v>80</v>
      </c>
      <c r="AB951" s="13">
        <v>0</v>
      </c>
      <c r="AC951" s="13">
        <v>9</v>
      </c>
      <c r="AD951" s="13">
        <v>6</v>
      </c>
      <c r="AE951" s="13">
        <v>3</v>
      </c>
      <c r="AF951" s="14">
        <v>8</v>
      </c>
      <c r="AG951" s="13">
        <v>7</v>
      </c>
      <c r="AH951" s="13">
        <v>1</v>
      </c>
      <c r="AI951" s="13">
        <v>7</v>
      </c>
      <c r="AJ951" s="13" t="str">
        <f t="shared" si="14"/>
        <v>30-39</v>
      </c>
      <c r="AK951" s="13" t="str">
        <f>IF(tblCleanData[[#This Row],[MonthlyIncome]]&lt;5000, "Low Income", IF(tblCleanData[[#This Row],[MonthlyIncome]]&lt;15000, "Medium Income", "High Income"))</f>
        <v>Low Income</v>
      </c>
      <c r="AL951" s="13">
        <f>IF(tblCleanData[[#This Row],[Attrition]]="No", 0,1)</f>
        <v>0</v>
      </c>
      <c r="AM951" s="13">
        <f>IF(tblCleanData[[#This Row],[OverTime]] = "No", 0, 1)</f>
        <v>0</v>
      </c>
      <c r="AN951" s="13" t="str">
        <f>CHOOSE(tblCleanData[[#This Row],[Education]], "Below College","College","Bachelor","Master","Doctor")</f>
        <v>College</v>
      </c>
      <c r="AO951" s="13" t="str">
        <f>VLOOKUP(tblCleanData[[#This Row],[EmployeeNumber]],tblHelpers[],15,TRUE)</f>
        <v>Medium Risk</v>
      </c>
      <c r="AP951" s="13">
        <f>VLOOKUP(tblCleanData[[#This Row],[EmployeeNumber]],tblHelpers[],14,0)</f>
        <v>46</v>
      </c>
    </row>
    <row r="952" spans="1:42" x14ac:dyDescent="0.25">
      <c r="A952" s="13">
        <v>31</v>
      </c>
      <c r="B952" s="13" t="s">
        <v>59</v>
      </c>
      <c r="C952" s="13" t="s">
        <v>161</v>
      </c>
      <c r="D952" s="13">
        <v>587</v>
      </c>
      <c r="E952" s="13" t="s">
        <v>39</v>
      </c>
      <c r="F952" s="13">
        <v>2</v>
      </c>
      <c r="G952" s="13">
        <v>4</v>
      </c>
      <c r="H952" s="13" t="s">
        <v>42</v>
      </c>
      <c r="I952" s="13">
        <v>1</v>
      </c>
      <c r="J952" s="13">
        <v>1324</v>
      </c>
      <c r="K952" s="13">
        <v>4</v>
      </c>
      <c r="L952" s="13" t="s">
        <v>43</v>
      </c>
      <c r="M952" s="13">
        <v>57</v>
      </c>
      <c r="N952" s="13">
        <v>3</v>
      </c>
      <c r="O952" s="13">
        <v>3</v>
      </c>
      <c r="P952" s="13" t="s">
        <v>46</v>
      </c>
      <c r="Q952" s="13">
        <v>3</v>
      </c>
      <c r="R952" s="13" t="s">
        <v>109</v>
      </c>
      <c r="S952" s="20">
        <v>9852</v>
      </c>
      <c r="T952" s="13">
        <v>8935</v>
      </c>
      <c r="U952" s="13">
        <v>1</v>
      </c>
      <c r="V952" s="13" t="s">
        <v>52</v>
      </c>
      <c r="W952" s="13" t="s">
        <v>36</v>
      </c>
      <c r="X952" s="13">
        <v>19</v>
      </c>
      <c r="Y952" s="13">
        <v>3</v>
      </c>
      <c r="Z952" s="13">
        <v>1</v>
      </c>
      <c r="AA952" s="13">
        <v>80</v>
      </c>
      <c r="AB952" s="13">
        <v>1</v>
      </c>
      <c r="AC952" s="13">
        <v>10</v>
      </c>
      <c r="AD952" s="13">
        <v>5</v>
      </c>
      <c r="AE952" s="13">
        <v>2</v>
      </c>
      <c r="AF952" s="14">
        <v>10</v>
      </c>
      <c r="AG952" s="13">
        <v>8</v>
      </c>
      <c r="AH952" s="13">
        <v>9</v>
      </c>
      <c r="AI952" s="13">
        <v>6</v>
      </c>
      <c r="AJ952" s="13" t="str">
        <f t="shared" si="14"/>
        <v>30-39</v>
      </c>
      <c r="AK952" s="13" t="str">
        <f>IF(tblCleanData[[#This Row],[MonthlyIncome]]&lt;5000, "Low Income", IF(tblCleanData[[#This Row],[MonthlyIncome]]&lt;15000, "Medium Income", "High Income"))</f>
        <v>Medium Income</v>
      </c>
      <c r="AL952" s="13">
        <f>IF(tblCleanData[[#This Row],[Attrition]]="No", 0,1)</f>
        <v>0</v>
      </c>
      <c r="AM952" s="13">
        <f>IF(tblCleanData[[#This Row],[OverTime]] = "No", 0, 1)</f>
        <v>1</v>
      </c>
      <c r="AN952" s="13" t="str">
        <f>CHOOSE(tblCleanData[[#This Row],[Education]], "Below College","College","Bachelor","Master","Doctor")</f>
        <v>Master</v>
      </c>
      <c r="AO952" s="13" t="str">
        <f>VLOOKUP(tblCleanData[[#This Row],[EmployeeNumber]],tblHelpers[],15,TRUE)</f>
        <v>High Risk</v>
      </c>
      <c r="AP952" s="13">
        <f>VLOOKUP(tblCleanData[[#This Row],[EmployeeNumber]],tblHelpers[],14,0)</f>
        <v>71</v>
      </c>
    </row>
    <row r="953" spans="1:42" x14ac:dyDescent="0.25">
      <c r="A953" s="13">
        <v>41</v>
      </c>
      <c r="B953" s="13" t="s">
        <v>59</v>
      </c>
      <c r="C953" s="13" t="s">
        <v>161</v>
      </c>
      <c r="D953" s="13">
        <v>256</v>
      </c>
      <c r="E953" s="13" t="s">
        <v>39</v>
      </c>
      <c r="F953" s="13">
        <v>10</v>
      </c>
      <c r="G953" s="13">
        <v>2</v>
      </c>
      <c r="H953" s="13" t="s">
        <v>87</v>
      </c>
      <c r="I953" s="13">
        <v>1</v>
      </c>
      <c r="J953" s="13">
        <v>1329</v>
      </c>
      <c r="K953" s="13">
        <v>3</v>
      </c>
      <c r="L953" s="13" t="s">
        <v>63</v>
      </c>
      <c r="M953" s="13">
        <v>40</v>
      </c>
      <c r="N953" s="13">
        <v>1</v>
      </c>
      <c r="O953" s="13">
        <v>2</v>
      </c>
      <c r="P953" s="13" t="s">
        <v>46</v>
      </c>
      <c r="Q953" s="13">
        <v>2</v>
      </c>
      <c r="R953" s="13" t="s">
        <v>48</v>
      </c>
      <c r="S953" s="20">
        <v>6151</v>
      </c>
      <c r="T953" s="13">
        <v>22074</v>
      </c>
      <c r="U953" s="13">
        <v>1</v>
      </c>
      <c r="V953" s="13" t="s">
        <v>52</v>
      </c>
      <c r="W953" s="13" t="s">
        <v>59</v>
      </c>
      <c r="X953" s="13">
        <v>13</v>
      </c>
      <c r="Y953" s="13">
        <v>3</v>
      </c>
      <c r="Z953" s="13">
        <v>1</v>
      </c>
      <c r="AA953" s="13">
        <v>80</v>
      </c>
      <c r="AB953" s="13">
        <v>0</v>
      </c>
      <c r="AC953" s="13">
        <v>19</v>
      </c>
      <c r="AD953" s="13">
        <v>4</v>
      </c>
      <c r="AE953" s="13">
        <v>3</v>
      </c>
      <c r="AF953" s="14">
        <v>19</v>
      </c>
      <c r="AG953" s="13">
        <v>2</v>
      </c>
      <c r="AH953" s="13">
        <v>11</v>
      </c>
      <c r="AI953" s="13">
        <v>9</v>
      </c>
      <c r="AJ953" s="13" t="str">
        <f t="shared" si="14"/>
        <v>40-49</v>
      </c>
      <c r="AK953" s="13" t="str">
        <f>IF(tblCleanData[[#This Row],[MonthlyIncome]]&lt;5000, "Low Income", IF(tblCleanData[[#This Row],[MonthlyIncome]]&lt;15000, "Medium Income", "High Income"))</f>
        <v>Medium Income</v>
      </c>
      <c r="AL953" s="13">
        <f>IF(tblCleanData[[#This Row],[Attrition]]="No", 0,1)</f>
        <v>0</v>
      </c>
      <c r="AM953" s="13">
        <f>IF(tblCleanData[[#This Row],[OverTime]] = "No", 0, 1)</f>
        <v>0</v>
      </c>
      <c r="AN953" s="13" t="str">
        <f>CHOOSE(tblCleanData[[#This Row],[Education]], "Below College","College","Bachelor","Master","Doctor")</f>
        <v>College</v>
      </c>
      <c r="AO953" s="13" t="str">
        <f>VLOOKUP(tblCleanData[[#This Row],[EmployeeNumber]],tblHelpers[],15,TRUE)</f>
        <v>Medium Risk</v>
      </c>
      <c r="AP953" s="13">
        <f>VLOOKUP(tblCleanData[[#This Row],[EmployeeNumber]],tblHelpers[],14,0)</f>
        <v>37</v>
      </c>
    </row>
    <row r="954" spans="1:42" x14ac:dyDescent="0.25">
      <c r="A954" s="13">
        <v>31</v>
      </c>
      <c r="B954" s="13" t="s">
        <v>36</v>
      </c>
      <c r="C954" s="13" t="s">
        <v>60</v>
      </c>
      <c r="D954" s="13">
        <v>1060</v>
      </c>
      <c r="E954" s="13" t="s">
        <v>39</v>
      </c>
      <c r="F954" s="13">
        <v>1</v>
      </c>
      <c r="G954" s="13">
        <v>3</v>
      </c>
      <c r="H954" s="13" t="s">
        <v>42</v>
      </c>
      <c r="I954" s="13">
        <v>1</v>
      </c>
      <c r="J954" s="13">
        <v>1331</v>
      </c>
      <c r="K954" s="13">
        <v>4</v>
      </c>
      <c r="L954" s="13" t="s">
        <v>43</v>
      </c>
      <c r="M954" s="13">
        <v>54</v>
      </c>
      <c r="N954" s="13">
        <v>3</v>
      </c>
      <c r="O954" s="13">
        <v>1</v>
      </c>
      <c r="P954" s="13" t="s">
        <v>182</v>
      </c>
      <c r="Q954" s="13">
        <v>2</v>
      </c>
      <c r="R954" s="13" t="s">
        <v>48</v>
      </c>
      <c r="S954" s="20">
        <v>2302</v>
      </c>
      <c r="T954" s="13">
        <v>8319</v>
      </c>
      <c r="U954" s="13">
        <v>1</v>
      </c>
      <c r="V954" s="13" t="s">
        <v>52</v>
      </c>
      <c r="W954" s="13" t="s">
        <v>36</v>
      </c>
      <c r="X954" s="13">
        <v>11</v>
      </c>
      <c r="Y954" s="13">
        <v>3</v>
      </c>
      <c r="Z954" s="13">
        <v>1</v>
      </c>
      <c r="AA954" s="13">
        <v>80</v>
      </c>
      <c r="AB954" s="13">
        <v>0</v>
      </c>
      <c r="AC954" s="13">
        <v>3</v>
      </c>
      <c r="AD954" s="13">
        <v>2</v>
      </c>
      <c r="AE954" s="13">
        <v>4</v>
      </c>
      <c r="AF954" s="14">
        <v>3</v>
      </c>
      <c r="AG954" s="13">
        <v>2</v>
      </c>
      <c r="AH954" s="13">
        <v>2</v>
      </c>
      <c r="AI954" s="13">
        <v>2</v>
      </c>
      <c r="AJ954" s="13" t="str">
        <f t="shared" si="14"/>
        <v>30-39</v>
      </c>
      <c r="AK954" s="13" t="str">
        <f>IF(tblCleanData[[#This Row],[MonthlyIncome]]&lt;5000, "Low Income", IF(tblCleanData[[#This Row],[MonthlyIncome]]&lt;15000, "Medium Income", "High Income"))</f>
        <v>Low Income</v>
      </c>
      <c r="AL954" s="13">
        <f>IF(tblCleanData[[#This Row],[Attrition]]="No", 0,1)</f>
        <v>1</v>
      </c>
      <c r="AM954" s="13">
        <f>IF(tblCleanData[[#This Row],[OverTime]] = "No", 0, 1)</f>
        <v>1</v>
      </c>
      <c r="AN954" s="13" t="str">
        <f>CHOOSE(tblCleanData[[#This Row],[Education]], "Below College","College","Bachelor","Master","Doctor")</f>
        <v>Bachelor</v>
      </c>
      <c r="AO954" s="13" t="str">
        <f>VLOOKUP(tblCleanData[[#This Row],[EmployeeNumber]],tblHelpers[],15,TRUE)</f>
        <v>High Risk</v>
      </c>
      <c r="AP954" s="13">
        <f>VLOOKUP(tblCleanData[[#This Row],[EmployeeNumber]],tblHelpers[],14,0)</f>
        <v>84</v>
      </c>
    </row>
    <row r="955" spans="1:42" x14ac:dyDescent="0.25">
      <c r="A955" s="13">
        <v>44</v>
      </c>
      <c r="B955" s="13" t="s">
        <v>36</v>
      </c>
      <c r="C955" s="13" t="s">
        <v>37</v>
      </c>
      <c r="D955" s="13">
        <v>935</v>
      </c>
      <c r="E955" s="13" t="s">
        <v>62</v>
      </c>
      <c r="F955" s="13">
        <v>3</v>
      </c>
      <c r="G955" s="13">
        <v>3</v>
      </c>
      <c r="H955" s="13" t="s">
        <v>42</v>
      </c>
      <c r="I955" s="13">
        <v>1</v>
      </c>
      <c r="J955" s="13">
        <v>1333</v>
      </c>
      <c r="K955" s="13">
        <v>1</v>
      </c>
      <c r="L955" s="13" t="s">
        <v>63</v>
      </c>
      <c r="M955" s="13">
        <v>89</v>
      </c>
      <c r="N955" s="13">
        <v>3</v>
      </c>
      <c r="O955" s="13">
        <v>1</v>
      </c>
      <c r="P955" s="13" t="s">
        <v>76</v>
      </c>
      <c r="Q955" s="13">
        <v>1</v>
      </c>
      <c r="R955" s="13" t="s">
        <v>66</v>
      </c>
      <c r="S955" s="20">
        <v>2362</v>
      </c>
      <c r="T955" s="13">
        <v>14669</v>
      </c>
      <c r="U955" s="13">
        <v>4</v>
      </c>
      <c r="V955" s="13" t="s">
        <v>52</v>
      </c>
      <c r="W955" s="13" t="s">
        <v>59</v>
      </c>
      <c r="X955" s="13">
        <v>12</v>
      </c>
      <c r="Y955" s="13">
        <v>3</v>
      </c>
      <c r="Z955" s="13">
        <v>3</v>
      </c>
      <c r="AA955" s="13">
        <v>80</v>
      </c>
      <c r="AB955" s="13">
        <v>0</v>
      </c>
      <c r="AC955" s="13">
        <v>10</v>
      </c>
      <c r="AD955" s="13">
        <v>4</v>
      </c>
      <c r="AE955" s="13">
        <v>4</v>
      </c>
      <c r="AF955" s="14">
        <v>3</v>
      </c>
      <c r="AG955" s="13">
        <v>2</v>
      </c>
      <c r="AH955" s="13">
        <v>1</v>
      </c>
      <c r="AI955" s="13">
        <v>2</v>
      </c>
      <c r="AJ955" s="13" t="str">
        <f t="shared" si="14"/>
        <v>40-49</v>
      </c>
      <c r="AK955" s="13" t="str">
        <f>IF(tblCleanData[[#This Row],[MonthlyIncome]]&lt;5000, "Low Income", IF(tblCleanData[[#This Row],[MonthlyIncome]]&lt;15000, "Medium Income", "High Income"))</f>
        <v>Low Income</v>
      </c>
      <c r="AL955" s="13">
        <f>IF(tblCleanData[[#This Row],[Attrition]]="No", 0,1)</f>
        <v>1</v>
      </c>
      <c r="AM955" s="13">
        <f>IF(tblCleanData[[#This Row],[OverTime]] = "No", 0, 1)</f>
        <v>0</v>
      </c>
      <c r="AN955" s="13" t="str">
        <f>CHOOSE(tblCleanData[[#This Row],[Education]], "Below College","College","Bachelor","Master","Doctor")</f>
        <v>Bachelor</v>
      </c>
      <c r="AO955" s="13" t="str">
        <f>VLOOKUP(tblCleanData[[#This Row],[EmployeeNumber]],tblHelpers[],15,TRUE)</f>
        <v>High Risk</v>
      </c>
      <c r="AP955" s="13">
        <f>VLOOKUP(tblCleanData[[#This Row],[EmployeeNumber]],tblHelpers[],14,0)</f>
        <v>55</v>
      </c>
    </row>
    <row r="956" spans="1:42" x14ac:dyDescent="0.25">
      <c r="A956" s="13">
        <v>42</v>
      </c>
      <c r="B956" s="13" t="s">
        <v>59</v>
      </c>
      <c r="C956" s="13" t="s">
        <v>161</v>
      </c>
      <c r="D956" s="13">
        <v>495</v>
      </c>
      <c r="E956" s="13" t="s">
        <v>62</v>
      </c>
      <c r="F956" s="13">
        <v>2</v>
      </c>
      <c r="G956" s="13">
        <v>1</v>
      </c>
      <c r="H956" s="13" t="s">
        <v>42</v>
      </c>
      <c r="I956" s="13">
        <v>1</v>
      </c>
      <c r="J956" s="13">
        <v>1334</v>
      </c>
      <c r="K956" s="13">
        <v>3</v>
      </c>
      <c r="L956" s="13" t="s">
        <v>63</v>
      </c>
      <c r="M956" s="13">
        <v>37</v>
      </c>
      <c r="N956" s="13">
        <v>3</v>
      </c>
      <c r="O956" s="13">
        <v>4</v>
      </c>
      <c r="P956" s="13" t="s">
        <v>169</v>
      </c>
      <c r="Q956" s="13">
        <v>3</v>
      </c>
      <c r="R956" s="13" t="s">
        <v>66</v>
      </c>
      <c r="S956" s="20">
        <v>17861</v>
      </c>
      <c r="T956" s="13">
        <v>26582</v>
      </c>
      <c r="U956" s="13">
        <v>0</v>
      </c>
      <c r="V956" s="13" t="s">
        <v>52</v>
      </c>
      <c r="W956" s="13" t="s">
        <v>36</v>
      </c>
      <c r="X956" s="13">
        <v>13</v>
      </c>
      <c r="Y956" s="13">
        <v>3</v>
      </c>
      <c r="Z956" s="13">
        <v>4</v>
      </c>
      <c r="AA956" s="13">
        <v>80</v>
      </c>
      <c r="AB956" s="13">
        <v>0</v>
      </c>
      <c r="AC956" s="13">
        <v>21</v>
      </c>
      <c r="AD956" s="13">
        <v>3</v>
      </c>
      <c r="AE956" s="13">
        <v>2</v>
      </c>
      <c r="AF956" s="14">
        <v>20</v>
      </c>
      <c r="AG956" s="13">
        <v>8</v>
      </c>
      <c r="AH956" s="13">
        <v>2</v>
      </c>
      <c r="AI956" s="13">
        <v>10</v>
      </c>
      <c r="AJ956" s="13" t="str">
        <f t="shared" si="14"/>
        <v>40-49</v>
      </c>
      <c r="AK956" s="13" t="str">
        <f>IF(tblCleanData[[#This Row],[MonthlyIncome]]&lt;5000, "Low Income", IF(tblCleanData[[#This Row],[MonthlyIncome]]&lt;15000, "Medium Income", "High Income"))</f>
        <v>High Income</v>
      </c>
      <c r="AL956" s="13">
        <f>IF(tblCleanData[[#This Row],[Attrition]]="No", 0,1)</f>
        <v>0</v>
      </c>
      <c r="AM956" s="13">
        <f>IF(tblCleanData[[#This Row],[OverTime]] = "No", 0, 1)</f>
        <v>1</v>
      </c>
      <c r="AN956" s="13" t="str">
        <f>CHOOSE(tblCleanData[[#This Row],[Education]], "Below College","College","Bachelor","Master","Doctor")</f>
        <v>Below College</v>
      </c>
      <c r="AO956" s="13" t="str">
        <f>VLOOKUP(tblCleanData[[#This Row],[EmployeeNumber]],tblHelpers[],15,TRUE)</f>
        <v>High Risk</v>
      </c>
      <c r="AP956" s="13">
        <f>VLOOKUP(tblCleanData[[#This Row],[EmployeeNumber]],tblHelpers[],14,0)</f>
        <v>56</v>
      </c>
    </row>
    <row r="957" spans="1:42" x14ac:dyDescent="0.25">
      <c r="A957" s="13">
        <v>55</v>
      </c>
      <c r="B957" s="13" t="s">
        <v>59</v>
      </c>
      <c r="C957" s="13" t="s">
        <v>37</v>
      </c>
      <c r="D957" s="13">
        <v>282</v>
      </c>
      <c r="E957" s="13" t="s">
        <v>62</v>
      </c>
      <c r="F957" s="13">
        <v>2</v>
      </c>
      <c r="G957" s="13">
        <v>2</v>
      </c>
      <c r="H957" s="13" t="s">
        <v>87</v>
      </c>
      <c r="I957" s="13">
        <v>1</v>
      </c>
      <c r="J957" s="13">
        <v>1336</v>
      </c>
      <c r="K957" s="13">
        <v>4</v>
      </c>
      <c r="L957" s="13" t="s">
        <v>43</v>
      </c>
      <c r="M957" s="13">
        <v>58</v>
      </c>
      <c r="N957" s="13">
        <v>1</v>
      </c>
      <c r="O957" s="13">
        <v>5</v>
      </c>
      <c r="P957" s="13" t="s">
        <v>169</v>
      </c>
      <c r="Q957" s="13">
        <v>3</v>
      </c>
      <c r="R957" s="13" t="s">
        <v>66</v>
      </c>
      <c r="S957" s="20">
        <v>19187</v>
      </c>
      <c r="T957" s="13">
        <v>6992</v>
      </c>
      <c r="U957" s="13">
        <v>4</v>
      </c>
      <c r="V957" s="13" t="s">
        <v>52</v>
      </c>
      <c r="W957" s="13" t="s">
        <v>59</v>
      </c>
      <c r="X957" s="13">
        <v>14</v>
      </c>
      <c r="Y957" s="13">
        <v>3</v>
      </c>
      <c r="Z957" s="13">
        <v>4</v>
      </c>
      <c r="AA957" s="13">
        <v>80</v>
      </c>
      <c r="AB957" s="13">
        <v>1</v>
      </c>
      <c r="AC957" s="13">
        <v>23</v>
      </c>
      <c r="AD957" s="13">
        <v>5</v>
      </c>
      <c r="AE957" s="13">
        <v>3</v>
      </c>
      <c r="AF957" s="14">
        <v>19</v>
      </c>
      <c r="AG957" s="13">
        <v>9</v>
      </c>
      <c r="AH957" s="13">
        <v>9</v>
      </c>
      <c r="AI957" s="13">
        <v>11</v>
      </c>
      <c r="AJ957" s="13" t="str">
        <f t="shared" si="14"/>
        <v>50+</v>
      </c>
      <c r="AK957" s="13" t="str">
        <f>IF(tblCleanData[[#This Row],[MonthlyIncome]]&lt;5000, "Low Income", IF(tblCleanData[[#This Row],[MonthlyIncome]]&lt;15000, "Medium Income", "High Income"))</f>
        <v>High Income</v>
      </c>
      <c r="AL957" s="13">
        <f>IF(tblCleanData[[#This Row],[Attrition]]="No", 0,1)</f>
        <v>0</v>
      </c>
      <c r="AM957" s="13">
        <f>IF(tblCleanData[[#This Row],[OverTime]] = "No", 0, 1)</f>
        <v>0</v>
      </c>
      <c r="AN957" s="13" t="str">
        <f>CHOOSE(tblCleanData[[#This Row],[Education]], "Below College","College","Bachelor","Master","Doctor")</f>
        <v>College</v>
      </c>
      <c r="AO957" s="13" t="str">
        <f>VLOOKUP(tblCleanData[[#This Row],[EmployeeNumber]],tblHelpers[],15,TRUE)</f>
        <v>Medium Risk</v>
      </c>
      <c r="AP957" s="13">
        <f>VLOOKUP(tblCleanData[[#This Row],[EmployeeNumber]],tblHelpers[],14,0)</f>
        <v>36</v>
      </c>
    </row>
    <row r="958" spans="1:42" x14ac:dyDescent="0.25">
      <c r="A958" s="13">
        <v>56</v>
      </c>
      <c r="B958" s="13" t="s">
        <v>59</v>
      </c>
      <c r="C958" s="13" t="s">
        <v>37</v>
      </c>
      <c r="D958" s="13">
        <v>206</v>
      </c>
      <c r="E958" s="13" t="s">
        <v>397</v>
      </c>
      <c r="F958" s="13">
        <v>8</v>
      </c>
      <c r="G958" s="13">
        <v>4</v>
      </c>
      <c r="H958" s="13" t="s">
        <v>42</v>
      </c>
      <c r="I958" s="13">
        <v>1</v>
      </c>
      <c r="J958" s="13">
        <v>1338</v>
      </c>
      <c r="K958" s="13">
        <v>4</v>
      </c>
      <c r="L958" s="13" t="s">
        <v>63</v>
      </c>
      <c r="M958" s="13">
        <v>99</v>
      </c>
      <c r="N958" s="13">
        <v>3</v>
      </c>
      <c r="O958" s="13">
        <v>5</v>
      </c>
      <c r="P958" s="13" t="s">
        <v>169</v>
      </c>
      <c r="Q958" s="13">
        <v>2</v>
      </c>
      <c r="R958" s="13" t="s">
        <v>48</v>
      </c>
      <c r="S958" s="20">
        <v>19717</v>
      </c>
      <c r="T958" s="13">
        <v>4022</v>
      </c>
      <c r="U958" s="13">
        <v>6</v>
      </c>
      <c r="V958" s="13" t="s">
        <v>52</v>
      </c>
      <c r="W958" s="13" t="s">
        <v>59</v>
      </c>
      <c r="X958" s="13">
        <v>14</v>
      </c>
      <c r="Y958" s="13">
        <v>3</v>
      </c>
      <c r="Z958" s="13">
        <v>1</v>
      </c>
      <c r="AA958" s="13">
        <v>80</v>
      </c>
      <c r="AB958" s="13">
        <v>0</v>
      </c>
      <c r="AC958" s="13">
        <v>36</v>
      </c>
      <c r="AD958" s="13">
        <v>4</v>
      </c>
      <c r="AE958" s="13">
        <v>3</v>
      </c>
      <c r="AF958" s="14">
        <v>7</v>
      </c>
      <c r="AG958" s="13">
        <v>3</v>
      </c>
      <c r="AH958" s="13">
        <v>7</v>
      </c>
      <c r="AI958" s="13">
        <v>7</v>
      </c>
      <c r="AJ958" s="13" t="str">
        <f t="shared" si="14"/>
        <v>50+</v>
      </c>
      <c r="AK958" s="13" t="str">
        <f>IF(tblCleanData[[#This Row],[MonthlyIncome]]&lt;5000, "Low Income", IF(tblCleanData[[#This Row],[MonthlyIncome]]&lt;15000, "Medium Income", "High Income"))</f>
        <v>High Income</v>
      </c>
      <c r="AL958" s="13">
        <f>IF(tblCleanData[[#This Row],[Attrition]]="No", 0,1)</f>
        <v>0</v>
      </c>
      <c r="AM958" s="13">
        <f>IF(tblCleanData[[#This Row],[OverTime]] = "No", 0, 1)</f>
        <v>0</v>
      </c>
      <c r="AN958" s="13" t="str">
        <f>CHOOSE(tblCleanData[[#This Row],[Education]], "Below College","College","Bachelor","Master","Doctor")</f>
        <v>Master</v>
      </c>
      <c r="AO958" s="13" t="str">
        <f>VLOOKUP(tblCleanData[[#This Row],[EmployeeNumber]],tblHelpers[],15,TRUE)</f>
        <v>Medium Risk</v>
      </c>
      <c r="AP958" s="13">
        <f>VLOOKUP(tblCleanData[[#This Row],[EmployeeNumber]],tblHelpers[],14,0)</f>
        <v>47</v>
      </c>
    </row>
    <row r="959" spans="1:42" x14ac:dyDescent="0.25">
      <c r="A959" s="13">
        <v>40</v>
      </c>
      <c r="B959" s="13" t="s">
        <v>59</v>
      </c>
      <c r="C959" s="13" t="s">
        <v>161</v>
      </c>
      <c r="D959" s="13">
        <v>458</v>
      </c>
      <c r="E959" s="13" t="s">
        <v>62</v>
      </c>
      <c r="F959" s="13">
        <v>16</v>
      </c>
      <c r="G959" s="13">
        <v>2</v>
      </c>
      <c r="H959" s="13" t="s">
        <v>42</v>
      </c>
      <c r="I959" s="13">
        <v>1</v>
      </c>
      <c r="J959" s="13">
        <v>1340</v>
      </c>
      <c r="K959" s="13">
        <v>3</v>
      </c>
      <c r="L959" s="13" t="s">
        <v>63</v>
      </c>
      <c r="M959" s="13">
        <v>74</v>
      </c>
      <c r="N959" s="13">
        <v>3</v>
      </c>
      <c r="O959" s="13">
        <v>1</v>
      </c>
      <c r="P959" s="13" t="s">
        <v>65</v>
      </c>
      <c r="Q959" s="13">
        <v>3</v>
      </c>
      <c r="R959" s="13" t="s">
        <v>109</v>
      </c>
      <c r="S959" s="20">
        <v>3544</v>
      </c>
      <c r="T959" s="13">
        <v>8532</v>
      </c>
      <c r="U959" s="13">
        <v>9</v>
      </c>
      <c r="V959" s="13" t="s">
        <v>52</v>
      </c>
      <c r="W959" s="13" t="s">
        <v>59</v>
      </c>
      <c r="X959" s="13">
        <v>16</v>
      </c>
      <c r="Y959" s="13">
        <v>3</v>
      </c>
      <c r="Z959" s="13">
        <v>2</v>
      </c>
      <c r="AA959" s="13">
        <v>80</v>
      </c>
      <c r="AB959" s="13">
        <v>1</v>
      </c>
      <c r="AC959" s="13">
        <v>6</v>
      </c>
      <c r="AD959" s="13">
        <v>0</v>
      </c>
      <c r="AE959" s="13">
        <v>3</v>
      </c>
      <c r="AF959" s="14">
        <v>4</v>
      </c>
      <c r="AG959" s="13">
        <v>2</v>
      </c>
      <c r="AH959" s="13">
        <v>0</v>
      </c>
      <c r="AI959" s="13">
        <v>0</v>
      </c>
      <c r="AJ959" s="13" t="str">
        <f t="shared" si="14"/>
        <v>40-49</v>
      </c>
      <c r="AK959" s="13" t="str">
        <f>IF(tblCleanData[[#This Row],[MonthlyIncome]]&lt;5000, "Low Income", IF(tblCleanData[[#This Row],[MonthlyIncome]]&lt;15000, "Medium Income", "High Income"))</f>
        <v>Low Income</v>
      </c>
      <c r="AL959" s="13">
        <f>IF(tblCleanData[[#This Row],[Attrition]]="No", 0,1)</f>
        <v>0</v>
      </c>
      <c r="AM959" s="13">
        <f>IF(tblCleanData[[#This Row],[OverTime]] = "No", 0, 1)</f>
        <v>0</v>
      </c>
      <c r="AN959" s="13" t="str">
        <f>CHOOSE(tblCleanData[[#This Row],[Education]], "Below College","College","Bachelor","Master","Doctor")</f>
        <v>College</v>
      </c>
      <c r="AO959" s="13" t="str">
        <f>VLOOKUP(tblCleanData[[#This Row],[EmployeeNumber]],tblHelpers[],15,TRUE)</f>
        <v>Medium Risk</v>
      </c>
      <c r="AP959" s="13">
        <f>VLOOKUP(tblCleanData[[#This Row],[EmployeeNumber]],tblHelpers[],14,0)</f>
        <v>43</v>
      </c>
    </row>
    <row r="960" spans="1:42" x14ac:dyDescent="0.25">
      <c r="A960" s="13">
        <v>34</v>
      </c>
      <c r="B960" s="13" t="s">
        <v>59</v>
      </c>
      <c r="C960" s="13" t="s">
        <v>37</v>
      </c>
      <c r="D960" s="13">
        <v>943</v>
      </c>
      <c r="E960" s="13" t="s">
        <v>62</v>
      </c>
      <c r="F960" s="13">
        <v>9</v>
      </c>
      <c r="G960" s="13">
        <v>3</v>
      </c>
      <c r="H960" s="13" t="s">
        <v>42</v>
      </c>
      <c r="I960" s="13">
        <v>1</v>
      </c>
      <c r="J960" s="13">
        <v>1344</v>
      </c>
      <c r="K960" s="13">
        <v>4</v>
      </c>
      <c r="L960" s="13" t="s">
        <v>63</v>
      </c>
      <c r="M960" s="13">
        <v>86</v>
      </c>
      <c r="N960" s="13">
        <v>3</v>
      </c>
      <c r="O960" s="13">
        <v>3</v>
      </c>
      <c r="P960" s="13" t="s">
        <v>122</v>
      </c>
      <c r="Q960" s="13">
        <v>4</v>
      </c>
      <c r="R960" s="13" t="s">
        <v>109</v>
      </c>
      <c r="S960" s="20">
        <v>8500</v>
      </c>
      <c r="T960" s="13">
        <v>5494</v>
      </c>
      <c r="U960" s="13">
        <v>0</v>
      </c>
      <c r="V960" s="13" t="s">
        <v>52</v>
      </c>
      <c r="W960" s="13" t="s">
        <v>59</v>
      </c>
      <c r="X960" s="13">
        <v>11</v>
      </c>
      <c r="Y960" s="13">
        <v>3</v>
      </c>
      <c r="Z960" s="13">
        <v>4</v>
      </c>
      <c r="AA960" s="13">
        <v>80</v>
      </c>
      <c r="AB960" s="13">
        <v>1</v>
      </c>
      <c r="AC960" s="13">
        <v>10</v>
      </c>
      <c r="AD960" s="13">
        <v>0</v>
      </c>
      <c r="AE960" s="13">
        <v>2</v>
      </c>
      <c r="AF960" s="14">
        <v>9</v>
      </c>
      <c r="AG960" s="13">
        <v>7</v>
      </c>
      <c r="AH960" s="13">
        <v>1</v>
      </c>
      <c r="AI960" s="13">
        <v>6</v>
      </c>
      <c r="AJ960" s="13" t="str">
        <f t="shared" si="14"/>
        <v>30-39</v>
      </c>
      <c r="AK960" s="13" t="str">
        <f>IF(tblCleanData[[#This Row],[MonthlyIncome]]&lt;5000, "Low Income", IF(tblCleanData[[#This Row],[MonthlyIncome]]&lt;15000, "Medium Income", "High Income"))</f>
        <v>Medium Income</v>
      </c>
      <c r="AL960" s="13">
        <f>IF(tblCleanData[[#This Row],[Attrition]]="No", 0,1)</f>
        <v>0</v>
      </c>
      <c r="AM960" s="13">
        <f>IF(tblCleanData[[#This Row],[OverTime]] = "No", 0, 1)</f>
        <v>0</v>
      </c>
      <c r="AN960" s="13" t="str">
        <f>CHOOSE(tblCleanData[[#This Row],[Education]], "Below College","College","Bachelor","Master","Doctor")</f>
        <v>Bachelor</v>
      </c>
      <c r="AO960" s="13" t="str">
        <f>VLOOKUP(tblCleanData[[#This Row],[EmployeeNumber]],tblHelpers[],15,TRUE)</f>
        <v>Medium Risk</v>
      </c>
      <c r="AP960" s="13">
        <f>VLOOKUP(tblCleanData[[#This Row],[EmployeeNumber]],tblHelpers[],14,0)</f>
        <v>39</v>
      </c>
    </row>
    <row r="961" spans="1:42" x14ac:dyDescent="0.25">
      <c r="A961" s="13">
        <v>40</v>
      </c>
      <c r="B961" s="13" t="s">
        <v>59</v>
      </c>
      <c r="C961" s="13" t="s">
        <v>37</v>
      </c>
      <c r="D961" s="13">
        <v>523</v>
      </c>
      <c r="E961" s="13" t="s">
        <v>62</v>
      </c>
      <c r="F961" s="13">
        <v>2</v>
      </c>
      <c r="G961" s="13">
        <v>3</v>
      </c>
      <c r="H961" s="13" t="s">
        <v>42</v>
      </c>
      <c r="I961" s="13">
        <v>1</v>
      </c>
      <c r="J961" s="13">
        <v>1346</v>
      </c>
      <c r="K961" s="13">
        <v>3</v>
      </c>
      <c r="L961" s="13" t="s">
        <v>63</v>
      </c>
      <c r="M961" s="13">
        <v>98</v>
      </c>
      <c r="N961" s="13">
        <v>3</v>
      </c>
      <c r="O961" s="13">
        <v>2</v>
      </c>
      <c r="P961" s="13" t="s">
        <v>65</v>
      </c>
      <c r="Q961" s="13">
        <v>4</v>
      </c>
      <c r="R961" s="13" t="s">
        <v>48</v>
      </c>
      <c r="S961" s="20">
        <v>4661</v>
      </c>
      <c r="T961" s="13">
        <v>22455</v>
      </c>
      <c r="U961" s="13">
        <v>1</v>
      </c>
      <c r="V961" s="13" t="s">
        <v>52</v>
      </c>
      <c r="W961" s="13" t="s">
        <v>59</v>
      </c>
      <c r="X961" s="13">
        <v>13</v>
      </c>
      <c r="Y961" s="13">
        <v>3</v>
      </c>
      <c r="Z961" s="13">
        <v>3</v>
      </c>
      <c r="AA961" s="13">
        <v>80</v>
      </c>
      <c r="AB961" s="13">
        <v>0</v>
      </c>
      <c r="AC961" s="13">
        <v>9</v>
      </c>
      <c r="AD961" s="13">
        <v>4</v>
      </c>
      <c r="AE961" s="13">
        <v>3</v>
      </c>
      <c r="AF961" s="14">
        <v>9</v>
      </c>
      <c r="AG961" s="13">
        <v>8</v>
      </c>
      <c r="AH961" s="13">
        <v>8</v>
      </c>
      <c r="AI961" s="13">
        <v>8</v>
      </c>
      <c r="AJ961" s="13" t="str">
        <f t="shared" si="14"/>
        <v>40-49</v>
      </c>
      <c r="AK961" s="13" t="str">
        <f>IF(tblCleanData[[#This Row],[MonthlyIncome]]&lt;5000, "Low Income", IF(tblCleanData[[#This Row],[MonthlyIncome]]&lt;15000, "Medium Income", "High Income"))</f>
        <v>Low Income</v>
      </c>
      <c r="AL961" s="13">
        <f>IF(tblCleanData[[#This Row],[Attrition]]="No", 0,1)</f>
        <v>0</v>
      </c>
      <c r="AM961" s="13">
        <f>IF(tblCleanData[[#This Row],[OverTime]] = "No", 0, 1)</f>
        <v>0</v>
      </c>
      <c r="AN961" s="13" t="str">
        <f>CHOOSE(tblCleanData[[#This Row],[Education]], "Below College","College","Bachelor","Master","Doctor")</f>
        <v>Bachelor</v>
      </c>
      <c r="AO961" s="13" t="str">
        <f>VLOOKUP(tblCleanData[[#This Row],[EmployeeNumber]],tblHelpers[],15,TRUE)</f>
        <v>Low Risk</v>
      </c>
      <c r="AP961" s="13">
        <f>VLOOKUP(tblCleanData[[#This Row],[EmployeeNumber]],tblHelpers[],14,0)</f>
        <v>29</v>
      </c>
    </row>
    <row r="962" spans="1:42" x14ac:dyDescent="0.25">
      <c r="A962" s="13">
        <v>41</v>
      </c>
      <c r="B962" s="13" t="s">
        <v>59</v>
      </c>
      <c r="C962" s="13" t="s">
        <v>60</v>
      </c>
      <c r="D962" s="13">
        <v>1018</v>
      </c>
      <c r="E962" s="13" t="s">
        <v>39</v>
      </c>
      <c r="F962" s="13">
        <v>1</v>
      </c>
      <c r="G962" s="13">
        <v>3</v>
      </c>
      <c r="H962" s="13" t="s">
        <v>206</v>
      </c>
      <c r="I962" s="13">
        <v>1</v>
      </c>
      <c r="J962" s="13">
        <v>1349</v>
      </c>
      <c r="K962" s="13">
        <v>3</v>
      </c>
      <c r="L962" s="13" t="s">
        <v>43</v>
      </c>
      <c r="M962" s="13">
        <v>66</v>
      </c>
      <c r="N962" s="13">
        <v>3</v>
      </c>
      <c r="O962" s="13">
        <v>2</v>
      </c>
      <c r="P962" s="13" t="s">
        <v>46</v>
      </c>
      <c r="Q962" s="13">
        <v>1</v>
      </c>
      <c r="R962" s="13" t="s">
        <v>109</v>
      </c>
      <c r="S962" s="20">
        <v>4103</v>
      </c>
      <c r="T962" s="13">
        <v>4297</v>
      </c>
      <c r="U962" s="13">
        <v>0</v>
      </c>
      <c r="V962" s="13" t="s">
        <v>52</v>
      </c>
      <c r="W962" s="13" t="s">
        <v>59</v>
      </c>
      <c r="X962" s="13">
        <v>17</v>
      </c>
      <c r="Y962" s="13">
        <v>3</v>
      </c>
      <c r="Z962" s="13">
        <v>4</v>
      </c>
      <c r="AA962" s="13">
        <v>80</v>
      </c>
      <c r="AB962" s="13">
        <v>1</v>
      </c>
      <c r="AC962" s="13">
        <v>10</v>
      </c>
      <c r="AD962" s="13">
        <v>2</v>
      </c>
      <c r="AE962" s="13">
        <v>3</v>
      </c>
      <c r="AF962" s="14">
        <v>9</v>
      </c>
      <c r="AG962" s="13">
        <v>3</v>
      </c>
      <c r="AH962" s="13">
        <v>1</v>
      </c>
      <c r="AI962" s="13">
        <v>7</v>
      </c>
      <c r="AJ962" s="13" t="str">
        <f t="shared" ref="AJ962:AJ1025" si="15">IF(A962&lt;30,"Under 30", IF(A962&lt;40,"30-39", IF(A962&lt;50,"40-49", "50+")))</f>
        <v>40-49</v>
      </c>
      <c r="AK962" s="13" t="str">
        <f>IF(tblCleanData[[#This Row],[MonthlyIncome]]&lt;5000, "Low Income", IF(tblCleanData[[#This Row],[MonthlyIncome]]&lt;15000, "Medium Income", "High Income"))</f>
        <v>Low Income</v>
      </c>
      <c r="AL962" s="13">
        <f>IF(tblCleanData[[#This Row],[Attrition]]="No", 0,1)</f>
        <v>0</v>
      </c>
      <c r="AM962" s="13">
        <f>IF(tblCleanData[[#This Row],[OverTime]] = "No", 0, 1)</f>
        <v>0</v>
      </c>
      <c r="AN962" s="13" t="str">
        <f>CHOOSE(tblCleanData[[#This Row],[Education]], "Below College","College","Bachelor","Master","Doctor")</f>
        <v>Bachelor</v>
      </c>
      <c r="AO962" s="13" t="str">
        <f>VLOOKUP(tblCleanData[[#This Row],[EmployeeNumber]],tblHelpers[],15,TRUE)</f>
        <v>Medium Risk</v>
      </c>
      <c r="AP962" s="13">
        <f>VLOOKUP(tblCleanData[[#This Row],[EmployeeNumber]],tblHelpers[],14,0)</f>
        <v>48</v>
      </c>
    </row>
    <row r="963" spans="1:42" x14ac:dyDescent="0.25">
      <c r="A963" s="13">
        <v>35</v>
      </c>
      <c r="B963" s="13" t="s">
        <v>59</v>
      </c>
      <c r="C963" s="13" t="s">
        <v>60</v>
      </c>
      <c r="D963" s="13">
        <v>482</v>
      </c>
      <c r="E963" s="13" t="s">
        <v>62</v>
      </c>
      <c r="F963" s="13">
        <v>4</v>
      </c>
      <c r="G963" s="13">
        <v>4</v>
      </c>
      <c r="H963" s="13" t="s">
        <v>42</v>
      </c>
      <c r="I963" s="13">
        <v>1</v>
      </c>
      <c r="J963" s="13">
        <v>1350</v>
      </c>
      <c r="K963" s="13">
        <v>3</v>
      </c>
      <c r="L963" s="13" t="s">
        <v>63</v>
      </c>
      <c r="M963" s="13">
        <v>87</v>
      </c>
      <c r="N963" s="13">
        <v>3</v>
      </c>
      <c r="O963" s="13">
        <v>2</v>
      </c>
      <c r="P963" s="13" t="s">
        <v>65</v>
      </c>
      <c r="Q963" s="13">
        <v>3</v>
      </c>
      <c r="R963" s="13" t="s">
        <v>48</v>
      </c>
      <c r="S963" s="20">
        <v>4249</v>
      </c>
      <c r="T963" s="13">
        <v>2690</v>
      </c>
      <c r="U963" s="13">
        <v>1</v>
      </c>
      <c r="V963" s="13" t="s">
        <v>52</v>
      </c>
      <c r="W963" s="13" t="s">
        <v>36</v>
      </c>
      <c r="X963" s="13">
        <v>11</v>
      </c>
      <c r="Y963" s="13">
        <v>3</v>
      </c>
      <c r="Z963" s="13">
        <v>2</v>
      </c>
      <c r="AA963" s="13">
        <v>80</v>
      </c>
      <c r="AB963" s="13">
        <v>0</v>
      </c>
      <c r="AC963" s="13">
        <v>9</v>
      </c>
      <c r="AD963" s="13">
        <v>3</v>
      </c>
      <c r="AE963" s="13">
        <v>3</v>
      </c>
      <c r="AF963" s="14">
        <v>9</v>
      </c>
      <c r="AG963" s="13">
        <v>6</v>
      </c>
      <c r="AH963" s="13">
        <v>1</v>
      </c>
      <c r="AI963" s="13">
        <v>1</v>
      </c>
      <c r="AJ963" s="13" t="str">
        <f t="shared" si="15"/>
        <v>30-39</v>
      </c>
      <c r="AK963" s="13" t="str">
        <f>IF(tblCleanData[[#This Row],[MonthlyIncome]]&lt;5000, "Low Income", IF(tblCleanData[[#This Row],[MonthlyIncome]]&lt;15000, "Medium Income", "High Income"))</f>
        <v>Low Income</v>
      </c>
      <c r="AL963" s="13">
        <f>IF(tblCleanData[[#This Row],[Attrition]]="No", 0,1)</f>
        <v>0</v>
      </c>
      <c r="AM963" s="13">
        <f>IF(tblCleanData[[#This Row],[OverTime]] = "No", 0, 1)</f>
        <v>1</v>
      </c>
      <c r="AN963" s="13" t="str">
        <f>CHOOSE(tblCleanData[[#This Row],[Education]], "Below College","College","Bachelor","Master","Doctor")</f>
        <v>Master</v>
      </c>
      <c r="AO963" s="13" t="str">
        <f>VLOOKUP(tblCleanData[[#This Row],[EmployeeNumber]],tblHelpers[],15,TRUE)</f>
        <v>High Risk</v>
      </c>
      <c r="AP963" s="13">
        <f>VLOOKUP(tblCleanData[[#This Row],[EmployeeNumber]],tblHelpers[],14,0)</f>
        <v>71</v>
      </c>
    </row>
    <row r="964" spans="1:42" x14ac:dyDescent="0.25">
      <c r="A964" s="13">
        <v>51</v>
      </c>
      <c r="B964" s="13" t="s">
        <v>59</v>
      </c>
      <c r="C964" s="13" t="s">
        <v>37</v>
      </c>
      <c r="D964" s="13">
        <v>770</v>
      </c>
      <c r="E964" s="13" t="s">
        <v>397</v>
      </c>
      <c r="F964" s="13">
        <v>5</v>
      </c>
      <c r="G964" s="13">
        <v>3</v>
      </c>
      <c r="H964" s="13" t="s">
        <v>42</v>
      </c>
      <c r="I964" s="13">
        <v>1</v>
      </c>
      <c r="J964" s="13">
        <v>1352</v>
      </c>
      <c r="K964" s="13">
        <v>3</v>
      </c>
      <c r="L964" s="13" t="s">
        <v>63</v>
      </c>
      <c r="M964" s="13">
        <v>84</v>
      </c>
      <c r="N964" s="13">
        <v>3</v>
      </c>
      <c r="O964" s="13">
        <v>4</v>
      </c>
      <c r="P964" s="13" t="s">
        <v>169</v>
      </c>
      <c r="Q964" s="13">
        <v>2</v>
      </c>
      <c r="R964" s="13" t="s">
        <v>109</v>
      </c>
      <c r="S964" s="20">
        <v>14026</v>
      </c>
      <c r="T964" s="13">
        <v>17588</v>
      </c>
      <c r="U964" s="13">
        <v>1</v>
      </c>
      <c r="V964" s="13" t="s">
        <v>52</v>
      </c>
      <c r="W964" s="13" t="s">
        <v>36</v>
      </c>
      <c r="X964" s="13">
        <v>11</v>
      </c>
      <c r="Y964" s="13">
        <v>3</v>
      </c>
      <c r="Z964" s="13">
        <v>2</v>
      </c>
      <c r="AA964" s="13">
        <v>80</v>
      </c>
      <c r="AB964" s="13">
        <v>1</v>
      </c>
      <c r="AC964" s="13">
        <v>33</v>
      </c>
      <c r="AD964" s="13">
        <v>2</v>
      </c>
      <c r="AE964" s="13">
        <v>3</v>
      </c>
      <c r="AF964" s="14">
        <v>33</v>
      </c>
      <c r="AG964" s="13">
        <v>9</v>
      </c>
      <c r="AH964" s="13">
        <v>0</v>
      </c>
      <c r="AI964" s="13">
        <v>10</v>
      </c>
      <c r="AJ964" s="13" t="str">
        <f t="shared" si="15"/>
        <v>50+</v>
      </c>
      <c r="AK964" s="13" t="str">
        <f>IF(tblCleanData[[#This Row],[MonthlyIncome]]&lt;5000, "Low Income", IF(tblCleanData[[#This Row],[MonthlyIncome]]&lt;15000, "Medium Income", "High Income"))</f>
        <v>Medium Income</v>
      </c>
      <c r="AL964" s="13">
        <f>IF(tblCleanData[[#This Row],[Attrition]]="No", 0,1)</f>
        <v>0</v>
      </c>
      <c r="AM964" s="13">
        <f>IF(tblCleanData[[#This Row],[OverTime]] = "No", 0, 1)</f>
        <v>1</v>
      </c>
      <c r="AN964" s="13" t="str">
        <f>CHOOSE(tblCleanData[[#This Row],[Education]], "Below College","College","Bachelor","Master","Doctor")</f>
        <v>Bachelor</v>
      </c>
      <c r="AO964" s="13" t="str">
        <f>VLOOKUP(tblCleanData[[#This Row],[EmployeeNumber]],tblHelpers[],15,TRUE)</f>
        <v>High Risk</v>
      </c>
      <c r="AP964" s="13">
        <f>VLOOKUP(tblCleanData[[#This Row],[EmployeeNumber]],tblHelpers[],14,0)</f>
        <v>67</v>
      </c>
    </row>
    <row r="965" spans="1:42" x14ac:dyDescent="0.25">
      <c r="A965" s="13">
        <v>38</v>
      </c>
      <c r="B965" s="13" t="s">
        <v>59</v>
      </c>
      <c r="C965" s="13" t="s">
        <v>37</v>
      </c>
      <c r="D965" s="13">
        <v>1009</v>
      </c>
      <c r="E965" s="13" t="s">
        <v>39</v>
      </c>
      <c r="F965" s="13">
        <v>2</v>
      </c>
      <c r="G965" s="13">
        <v>2</v>
      </c>
      <c r="H965" s="13" t="s">
        <v>42</v>
      </c>
      <c r="I965" s="13">
        <v>1</v>
      </c>
      <c r="J965" s="13">
        <v>1355</v>
      </c>
      <c r="K965" s="13">
        <v>2</v>
      </c>
      <c r="L965" s="13" t="s">
        <v>43</v>
      </c>
      <c r="M965" s="13">
        <v>31</v>
      </c>
      <c r="N965" s="13">
        <v>3</v>
      </c>
      <c r="O965" s="13">
        <v>2</v>
      </c>
      <c r="P965" s="13" t="s">
        <v>46</v>
      </c>
      <c r="Q965" s="13">
        <v>1</v>
      </c>
      <c r="R965" s="13" t="s">
        <v>109</v>
      </c>
      <c r="S965" s="20">
        <v>6893</v>
      </c>
      <c r="T965" s="13">
        <v>19461</v>
      </c>
      <c r="U965" s="13">
        <v>3</v>
      </c>
      <c r="V965" s="13" t="s">
        <v>52</v>
      </c>
      <c r="W965" s="13" t="s">
        <v>59</v>
      </c>
      <c r="X965" s="13">
        <v>15</v>
      </c>
      <c r="Y965" s="13">
        <v>3</v>
      </c>
      <c r="Z965" s="13">
        <v>4</v>
      </c>
      <c r="AA965" s="13">
        <v>80</v>
      </c>
      <c r="AB965" s="13">
        <v>1</v>
      </c>
      <c r="AC965" s="13">
        <v>11</v>
      </c>
      <c r="AD965" s="13">
        <v>3</v>
      </c>
      <c r="AE965" s="13">
        <v>3</v>
      </c>
      <c r="AF965" s="14">
        <v>7</v>
      </c>
      <c r="AG965" s="13">
        <v>7</v>
      </c>
      <c r="AH965" s="13">
        <v>1</v>
      </c>
      <c r="AI965" s="13">
        <v>7</v>
      </c>
      <c r="AJ965" s="13" t="str">
        <f t="shared" si="15"/>
        <v>30-39</v>
      </c>
      <c r="AK965" s="13" t="str">
        <f>IF(tblCleanData[[#This Row],[MonthlyIncome]]&lt;5000, "Low Income", IF(tblCleanData[[#This Row],[MonthlyIncome]]&lt;15000, "Medium Income", "High Income"))</f>
        <v>Medium Income</v>
      </c>
      <c r="AL965" s="13">
        <f>IF(tblCleanData[[#This Row],[Attrition]]="No", 0,1)</f>
        <v>0</v>
      </c>
      <c r="AM965" s="13">
        <f>IF(tblCleanData[[#This Row],[OverTime]] = "No", 0, 1)</f>
        <v>0</v>
      </c>
      <c r="AN965" s="13" t="str">
        <f>CHOOSE(tblCleanData[[#This Row],[Education]], "Below College","College","Bachelor","Master","Doctor")</f>
        <v>College</v>
      </c>
      <c r="AO965" s="13" t="str">
        <f>VLOOKUP(tblCleanData[[#This Row],[EmployeeNumber]],tblHelpers[],15,TRUE)</f>
        <v>High Risk</v>
      </c>
      <c r="AP965" s="13">
        <f>VLOOKUP(tblCleanData[[#This Row],[EmployeeNumber]],tblHelpers[],14,0)</f>
        <v>58</v>
      </c>
    </row>
    <row r="966" spans="1:42" x14ac:dyDescent="0.25">
      <c r="A966" s="13">
        <v>34</v>
      </c>
      <c r="B966" s="13" t="s">
        <v>59</v>
      </c>
      <c r="C966" s="13" t="s">
        <v>37</v>
      </c>
      <c r="D966" s="13">
        <v>507</v>
      </c>
      <c r="E966" s="13" t="s">
        <v>39</v>
      </c>
      <c r="F966" s="13">
        <v>15</v>
      </c>
      <c r="G966" s="13">
        <v>2</v>
      </c>
      <c r="H966" s="13" t="s">
        <v>87</v>
      </c>
      <c r="I966" s="13">
        <v>1</v>
      </c>
      <c r="J966" s="13">
        <v>1356</v>
      </c>
      <c r="K966" s="13">
        <v>3</v>
      </c>
      <c r="L966" s="13" t="s">
        <v>43</v>
      </c>
      <c r="M966" s="13">
        <v>66</v>
      </c>
      <c r="N966" s="13">
        <v>3</v>
      </c>
      <c r="O966" s="13">
        <v>2</v>
      </c>
      <c r="P966" s="13" t="s">
        <v>46</v>
      </c>
      <c r="Q966" s="13">
        <v>1</v>
      </c>
      <c r="R966" s="13" t="s">
        <v>48</v>
      </c>
      <c r="S966" s="20">
        <v>6125</v>
      </c>
      <c r="T966" s="13">
        <v>23553</v>
      </c>
      <c r="U966" s="13">
        <v>1</v>
      </c>
      <c r="V966" s="13" t="s">
        <v>52</v>
      </c>
      <c r="W966" s="13" t="s">
        <v>59</v>
      </c>
      <c r="X966" s="13">
        <v>12</v>
      </c>
      <c r="Y966" s="13">
        <v>3</v>
      </c>
      <c r="Z966" s="13">
        <v>4</v>
      </c>
      <c r="AA966" s="13">
        <v>80</v>
      </c>
      <c r="AB966" s="13">
        <v>0</v>
      </c>
      <c r="AC966" s="13">
        <v>10</v>
      </c>
      <c r="AD966" s="13">
        <v>6</v>
      </c>
      <c r="AE966" s="13">
        <v>4</v>
      </c>
      <c r="AF966" s="14">
        <v>10</v>
      </c>
      <c r="AG966" s="13">
        <v>8</v>
      </c>
      <c r="AH966" s="13">
        <v>9</v>
      </c>
      <c r="AI966" s="13">
        <v>6</v>
      </c>
      <c r="AJ966" s="13" t="str">
        <f t="shared" si="15"/>
        <v>30-39</v>
      </c>
      <c r="AK966" s="13" t="str">
        <f>IF(tblCleanData[[#This Row],[MonthlyIncome]]&lt;5000, "Low Income", IF(tblCleanData[[#This Row],[MonthlyIncome]]&lt;15000, "Medium Income", "High Income"))</f>
        <v>Medium Income</v>
      </c>
      <c r="AL966" s="13">
        <f>IF(tblCleanData[[#This Row],[Attrition]]="No", 0,1)</f>
        <v>0</v>
      </c>
      <c r="AM966" s="13">
        <f>IF(tblCleanData[[#This Row],[OverTime]] = "No", 0, 1)</f>
        <v>0</v>
      </c>
      <c r="AN966" s="13" t="str">
        <f>CHOOSE(tblCleanData[[#This Row],[Education]], "Below College","College","Bachelor","Master","Doctor")</f>
        <v>College</v>
      </c>
      <c r="AO966" s="13" t="str">
        <f>VLOOKUP(tblCleanData[[#This Row],[EmployeeNumber]],tblHelpers[],15,TRUE)</f>
        <v>High Risk</v>
      </c>
      <c r="AP966" s="13">
        <f>VLOOKUP(tblCleanData[[#This Row],[EmployeeNumber]],tblHelpers[],14,0)</f>
        <v>58</v>
      </c>
    </row>
    <row r="967" spans="1:42" x14ac:dyDescent="0.25">
      <c r="A967" s="13">
        <v>25</v>
      </c>
      <c r="B967" s="13" t="s">
        <v>59</v>
      </c>
      <c r="C967" s="13" t="s">
        <v>37</v>
      </c>
      <c r="D967" s="13">
        <v>882</v>
      </c>
      <c r="E967" s="13" t="s">
        <v>62</v>
      </c>
      <c r="F967" s="13">
        <v>19</v>
      </c>
      <c r="G967" s="13">
        <v>1</v>
      </c>
      <c r="H967" s="13" t="s">
        <v>87</v>
      </c>
      <c r="I967" s="13">
        <v>1</v>
      </c>
      <c r="J967" s="13">
        <v>1358</v>
      </c>
      <c r="K967" s="13">
        <v>4</v>
      </c>
      <c r="L967" s="13" t="s">
        <v>63</v>
      </c>
      <c r="M967" s="13">
        <v>67</v>
      </c>
      <c r="N967" s="13">
        <v>3</v>
      </c>
      <c r="O967" s="13">
        <v>1</v>
      </c>
      <c r="P967" s="13" t="s">
        <v>76</v>
      </c>
      <c r="Q967" s="13">
        <v>4</v>
      </c>
      <c r="R967" s="13" t="s">
        <v>66</v>
      </c>
      <c r="S967" s="20">
        <v>3669</v>
      </c>
      <c r="T967" s="13">
        <v>9075</v>
      </c>
      <c r="U967" s="13">
        <v>3</v>
      </c>
      <c r="V967" s="13" t="s">
        <v>52</v>
      </c>
      <c r="W967" s="13" t="s">
        <v>59</v>
      </c>
      <c r="X967" s="13">
        <v>11</v>
      </c>
      <c r="Y967" s="13">
        <v>3</v>
      </c>
      <c r="Z967" s="13">
        <v>3</v>
      </c>
      <c r="AA967" s="13">
        <v>80</v>
      </c>
      <c r="AB967" s="13">
        <v>3</v>
      </c>
      <c r="AC967" s="13">
        <v>7</v>
      </c>
      <c r="AD967" s="13">
        <v>6</v>
      </c>
      <c r="AE967" s="13">
        <v>2</v>
      </c>
      <c r="AF967" s="14">
        <v>3</v>
      </c>
      <c r="AG967" s="13">
        <v>2</v>
      </c>
      <c r="AH967" s="13">
        <v>1</v>
      </c>
      <c r="AI967" s="13">
        <v>2</v>
      </c>
      <c r="AJ967" s="13" t="str">
        <f t="shared" si="15"/>
        <v>Under 30</v>
      </c>
      <c r="AK967" s="13" t="str">
        <f>IF(tblCleanData[[#This Row],[MonthlyIncome]]&lt;5000, "Low Income", IF(tblCleanData[[#This Row],[MonthlyIncome]]&lt;15000, "Medium Income", "High Income"))</f>
        <v>Low Income</v>
      </c>
      <c r="AL967" s="13">
        <f>IF(tblCleanData[[#This Row],[Attrition]]="No", 0,1)</f>
        <v>0</v>
      </c>
      <c r="AM967" s="13">
        <f>IF(tblCleanData[[#This Row],[OverTime]] = "No", 0, 1)</f>
        <v>0</v>
      </c>
      <c r="AN967" s="13" t="str">
        <f>CHOOSE(tblCleanData[[#This Row],[Education]], "Below College","College","Bachelor","Master","Doctor")</f>
        <v>Below College</v>
      </c>
      <c r="AO967" s="13" t="str">
        <f>VLOOKUP(tblCleanData[[#This Row],[EmployeeNumber]],tblHelpers[],15,TRUE)</f>
        <v>High Risk</v>
      </c>
      <c r="AP967" s="13">
        <f>VLOOKUP(tblCleanData[[#This Row],[EmployeeNumber]],tblHelpers[],14,0)</f>
        <v>56</v>
      </c>
    </row>
    <row r="968" spans="1:42" x14ac:dyDescent="0.25">
      <c r="A968" s="13">
        <v>58</v>
      </c>
      <c r="B968" s="13" t="s">
        <v>36</v>
      </c>
      <c r="C968" s="13" t="s">
        <v>37</v>
      </c>
      <c r="D968" s="13">
        <v>601</v>
      </c>
      <c r="E968" s="13" t="s">
        <v>62</v>
      </c>
      <c r="F968" s="13">
        <v>7</v>
      </c>
      <c r="G968" s="13">
        <v>4</v>
      </c>
      <c r="H968" s="13" t="s">
        <v>87</v>
      </c>
      <c r="I968" s="13">
        <v>1</v>
      </c>
      <c r="J968" s="13">
        <v>1360</v>
      </c>
      <c r="K968" s="13">
        <v>3</v>
      </c>
      <c r="L968" s="13" t="s">
        <v>43</v>
      </c>
      <c r="M968" s="13">
        <v>53</v>
      </c>
      <c r="N968" s="13">
        <v>2</v>
      </c>
      <c r="O968" s="13">
        <v>3</v>
      </c>
      <c r="P968" s="13" t="s">
        <v>116</v>
      </c>
      <c r="Q968" s="13">
        <v>1</v>
      </c>
      <c r="R968" s="13" t="s">
        <v>66</v>
      </c>
      <c r="S968" s="20">
        <v>10008</v>
      </c>
      <c r="T968" s="13">
        <v>12023</v>
      </c>
      <c r="U968" s="13">
        <v>7</v>
      </c>
      <c r="V968" s="13" t="s">
        <v>52</v>
      </c>
      <c r="W968" s="13" t="s">
        <v>36</v>
      </c>
      <c r="X968" s="13">
        <v>14</v>
      </c>
      <c r="Y968" s="13">
        <v>3</v>
      </c>
      <c r="Z968" s="13">
        <v>4</v>
      </c>
      <c r="AA968" s="13">
        <v>80</v>
      </c>
      <c r="AB968" s="13">
        <v>0</v>
      </c>
      <c r="AC968" s="13">
        <v>31</v>
      </c>
      <c r="AD968" s="13">
        <v>0</v>
      </c>
      <c r="AE968" s="13">
        <v>2</v>
      </c>
      <c r="AF968" s="14">
        <v>10</v>
      </c>
      <c r="AG968" s="13">
        <v>9</v>
      </c>
      <c r="AH968" s="13">
        <v>5</v>
      </c>
      <c r="AI968" s="13">
        <v>9</v>
      </c>
      <c r="AJ968" s="13" t="str">
        <f t="shared" si="15"/>
        <v>50+</v>
      </c>
      <c r="AK968" s="13" t="str">
        <f>IF(tblCleanData[[#This Row],[MonthlyIncome]]&lt;5000, "Low Income", IF(tblCleanData[[#This Row],[MonthlyIncome]]&lt;15000, "Medium Income", "High Income"))</f>
        <v>Medium Income</v>
      </c>
      <c r="AL968" s="13">
        <f>IF(tblCleanData[[#This Row],[Attrition]]="No", 0,1)</f>
        <v>1</v>
      </c>
      <c r="AM968" s="13">
        <f>IF(tblCleanData[[#This Row],[OverTime]] = "No", 0, 1)</f>
        <v>1</v>
      </c>
      <c r="AN968" s="13" t="str">
        <f>CHOOSE(tblCleanData[[#This Row],[Education]], "Below College","College","Bachelor","Master","Doctor")</f>
        <v>Master</v>
      </c>
      <c r="AO968" s="13" t="str">
        <f>VLOOKUP(tblCleanData[[#This Row],[EmployeeNumber]],tblHelpers[],15,TRUE)</f>
        <v>High Risk</v>
      </c>
      <c r="AP968" s="13">
        <f>VLOOKUP(tblCleanData[[#This Row],[EmployeeNumber]],tblHelpers[],14,0)</f>
        <v>78</v>
      </c>
    </row>
    <row r="969" spans="1:42" x14ac:dyDescent="0.25">
      <c r="A969" s="13">
        <v>40</v>
      </c>
      <c r="B969" s="13" t="s">
        <v>59</v>
      </c>
      <c r="C969" s="13" t="s">
        <v>37</v>
      </c>
      <c r="D969" s="13">
        <v>329</v>
      </c>
      <c r="E969" s="13" t="s">
        <v>62</v>
      </c>
      <c r="F969" s="13">
        <v>1</v>
      </c>
      <c r="G969" s="13">
        <v>4</v>
      </c>
      <c r="H969" s="13" t="s">
        <v>42</v>
      </c>
      <c r="I969" s="13">
        <v>1</v>
      </c>
      <c r="J969" s="13">
        <v>1361</v>
      </c>
      <c r="K969" s="13">
        <v>2</v>
      </c>
      <c r="L969" s="13" t="s">
        <v>63</v>
      </c>
      <c r="M969" s="13">
        <v>88</v>
      </c>
      <c r="N969" s="13">
        <v>3</v>
      </c>
      <c r="O969" s="13">
        <v>1</v>
      </c>
      <c r="P969" s="13" t="s">
        <v>76</v>
      </c>
      <c r="Q969" s="13">
        <v>2</v>
      </c>
      <c r="R969" s="13" t="s">
        <v>66</v>
      </c>
      <c r="S969" s="20">
        <v>2387</v>
      </c>
      <c r="T969" s="13">
        <v>6762</v>
      </c>
      <c r="U969" s="13">
        <v>3</v>
      </c>
      <c r="V969" s="13" t="s">
        <v>52</v>
      </c>
      <c r="W969" s="13" t="s">
        <v>59</v>
      </c>
      <c r="X969" s="13">
        <v>22</v>
      </c>
      <c r="Y969" s="13">
        <v>4</v>
      </c>
      <c r="Z969" s="13">
        <v>3</v>
      </c>
      <c r="AA969" s="13">
        <v>80</v>
      </c>
      <c r="AB969" s="13">
        <v>1</v>
      </c>
      <c r="AC969" s="13">
        <v>7</v>
      </c>
      <c r="AD969" s="13">
        <v>3</v>
      </c>
      <c r="AE969" s="13">
        <v>3</v>
      </c>
      <c r="AF969" s="14">
        <v>4</v>
      </c>
      <c r="AG969" s="13">
        <v>2</v>
      </c>
      <c r="AH969" s="13">
        <v>0</v>
      </c>
      <c r="AI969" s="13">
        <v>3</v>
      </c>
      <c r="AJ969" s="13" t="str">
        <f t="shared" si="15"/>
        <v>40-49</v>
      </c>
      <c r="AK969" s="13" t="str">
        <f>IF(tblCleanData[[#This Row],[MonthlyIncome]]&lt;5000, "Low Income", IF(tblCleanData[[#This Row],[MonthlyIncome]]&lt;15000, "Medium Income", "High Income"))</f>
        <v>Low Income</v>
      </c>
      <c r="AL969" s="13">
        <f>IF(tblCleanData[[#This Row],[Attrition]]="No", 0,1)</f>
        <v>0</v>
      </c>
      <c r="AM969" s="13">
        <f>IF(tblCleanData[[#This Row],[OverTime]] = "No", 0, 1)</f>
        <v>0</v>
      </c>
      <c r="AN969" s="13" t="str">
        <f>CHOOSE(tblCleanData[[#This Row],[Education]], "Below College","College","Bachelor","Master","Doctor")</f>
        <v>Master</v>
      </c>
      <c r="AO969" s="13" t="str">
        <f>VLOOKUP(tblCleanData[[#This Row],[EmployeeNumber]],tblHelpers[],15,TRUE)</f>
        <v>Medium Risk</v>
      </c>
      <c r="AP969" s="13">
        <f>VLOOKUP(tblCleanData[[#This Row],[EmployeeNumber]],tblHelpers[],14,0)</f>
        <v>49</v>
      </c>
    </row>
    <row r="970" spans="1:42" x14ac:dyDescent="0.25">
      <c r="A970" s="13">
        <v>36</v>
      </c>
      <c r="B970" s="13" t="s">
        <v>59</v>
      </c>
      <c r="C970" s="13" t="s">
        <v>60</v>
      </c>
      <c r="D970" s="13">
        <v>607</v>
      </c>
      <c r="E970" s="13" t="s">
        <v>39</v>
      </c>
      <c r="F970" s="13">
        <v>7</v>
      </c>
      <c r="G970" s="13">
        <v>3</v>
      </c>
      <c r="H970" s="13" t="s">
        <v>206</v>
      </c>
      <c r="I970" s="13">
        <v>1</v>
      </c>
      <c r="J970" s="13">
        <v>1362</v>
      </c>
      <c r="K970" s="13">
        <v>1</v>
      </c>
      <c r="L970" s="13" t="s">
        <v>43</v>
      </c>
      <c r="M970" s="13">
        <v>83</v>
      </c>
      <c r="N970" s="13">
        <v>4</v>
      </c>
      <c r="O970" s="13">
        <v>2</v>
      </c>
      <c r="P970" s="13" t="s">
        <v>46</v>
      </c>
      <c r="Q970" s="13">
        <v>1</v>
      </c>
      <c r="R970" s="13" t="s">
        <v>66</v>
      </c>
      <c r="S970" s="20">
        <v>4639</v>
      </c>
      <c r="T970" s="13">
        <v>2261</v>
      </c>
      <c r="U970" s="13">
        <v>2</v>
      </c>
      <c r="V970" s="13" t="s">
        <v>52</v>
      </c>
      <c r="W970" s="13" t="s">
        <v>59</v>
      </c>
      <c r="X970" s="13">
        <v>16</v>
      </c>
      <c r="Y970" s="13">
        <v>3</v>
      </c>
      <c r="Z970" s="13">
        <v>4</v>
      </c>
      <c r="AA970" s="13">
        <v>80</v>
      </c>
      <c r="AB970" s="13">
        <v>1</v>
      </c>
      <c r="AC970" s="13">
        <v>17</v>
      </c>
      <c r="AD970" s="13">
        <v>2</v>
      </c>
      <c r="AE970" s="13">
        <v>2</v>
      </c>
      <c r="AF970" s="14">
        <v>15</v>
      </c>
      <c r="AG970" s="13">
        <v>7</v>
      </c>
      <c r="AH970" s="13">
        <v>6</v>
      </c>
      <c r="AI970" s="13">
        <v>13</v>
      </c>
      <c r="AJ970" s="13" t="str">
        <f t="shared" si="15"/>
        <v>30-39</v>
      </c>
      <c r="AK970" s="13" t="str">
        <f>IF(tblCleanData[[#This Row],[MonthlyIncome]]&lt;5000, "Low Income", IF(tblCleanData[[#This Row],[MonthlyIncome]]&lt;15000, "Medium Income", "High Income"))</f>
        <v>Low Income</v>
      </c>
      <c r="AL970" s="13">
        <f>IF(tblCleanData[[#This Row],[Attrition]]="No", 0,1)</f>
        <v>0</v>
      </c>
      <c r="AM970" s="13">
        <f>IF(tblCleanData[[#This Row],[OverTime]] = "No", 0, 1)</f>
        <v>0</v>
      </c>
      <c r="AN970" s="13" t="str">
        <f>CHOOSE(tblCleanData[[#This Row],[Education]], "Below College","College","Bachelor","Master","Doctor")</f>
        <v>Bachelor</v>
      </c>
      <c r="AO970" s="13" t="str">
        <f>VLOOKUP(tblCleanData[[#This Row],[EmployeeNumber]],tblHelpers[],15,TRUE)</f>
        <v>Medium Risk</v>
      </c>
      <c r="AP970" s="13">
        <f>VLOOKUP(tblCleanData[[#This Row],[EmployeeNumber]],tblHelpers[],14,0)</f>
        <v>53</v>
      </c>
    </row>
    <row r="971" spans="1:42" x14ac:dyDescent="0.25">
      <c r="A971" s="13">
        <v>48</v>
      </c>
      <c r="B971" s="13" t="s">
        <v>59</v>
      </c>
      <c r="C971" s="13" t="s">
        <v>37</v>
      </c>
      <c r="D971" s="13">
        <v>855</v>
      </c>
      <c r="E971" s="13" t="s">
        <v>62</v>
      </c>
      <c r="F971" s="13">
        <v>4</v>
      </c>
      <c r="G971" s="13">
        <v>3</v>
      </c>
      <c r="H971" s="13" t="s">
        <v>42</v>
      </c>
      <c r="I971" s="13">
        <v>1</v>
      </c>
      <c r="J971" s="13">
        <v>1363</v>
      </c>
      <c r="K971" s="13">
        <v>4</v>
      </c>
      <c r="L971" s="13" t="s">
        <v>63</v>
      </c>
      <c r="M971" s="13">
        <v>54</v>
      </c>
      <c r="N971" s="13">
        <v>3</v>
      </c>
      <c r="O971" s="13">
        <v>3</v>
      </c>
      <c r="P971" s="13" t="s">
        <v>116</v>
      </c>
      <c r="Q971" s="13">
        <v>4</v>
      </c>
      <c r="R971" s="13" t="s">
        <v>48</v>
      </c>
      <c r="S971" s="20">
        <v>7898</v>
      </c>
      <c r="T971" s="13">
        <v>18706</v>
      </c>
      <c r="U971" s="13">
        <v>1</v>
      </c>
      <c r="V971" s="13" t="s">
        <v>52</v>
      </c>
      <c r="W971" s="13" t="s">
        <v>59</v>
      </c>
      <c r="X971" s="13">
        <v>11</v>
      </c>
      <c r="Y971" s="13">
        <v>3</v>
      </c>
      <c r="Z971" s="13">
        <v>3</v>
      </c>
      <c r="AA971" s="13">
        <v>80</v>
      </c>
      <c r="AB971" s="13">
        <v>0</v>
      </c>
      <c r="AC971" s="13">
        <v>11</v>
      </c>
      <c r="AD971" s="13">
        <v>2</v>
      </c>
      <c r="AE971" s="13">
        <v>3</v>
      </c>
      <c r="AF971" s="14">
        <v>10</v>
      </c>
      <c r="AG971" s="13">
        <v>9</v>
      </c>
      <c r="AH971" s="13">
        <v>0</v>
      </c>
      <c r="AI971" s="13">
        <v>8</v>
      </c>
      <c r="AJ971" s="13" t="str">
        <f t="shared" si="15"/>
        <v>40-49</v>
      </c>
      <c r="AK971" s="13" t="str">
        <f>IF(tblCleanData[[#This Row],[MonthlyIncome]]&lt;5000, "Low Income", IF(tblCleanData[[#This Row],[MonthlyIncome]]&lt;15000, "Medium Income", "High Income"))</f>
        <v>Medium Income</v>
      </c>
      <c r="AL971" s="13">
        <f>IF(tblCleanData[[#This Row],[Attrition]]="No", 0,1)</f>
        <v>0</v>
      </c>
      <c r="AM971" s="13">
        <f>IF(tblCleanData[[#This Row],[OverTime]] = "No", 0, 1)</f>
        <v>0</v>
      </c>
      <c r="AN971" s="13" t="str">
        <f>CHOOSE(tblCleanData[[#This Row],[Education]], "Below College","College","Bachelor","Master","Doctor")</f>
        <v>Bachelor</v>
      </c>
      <c r="AO971" s="13" t="str">
        <f>VLOOKUP(tblCleanData[[#This Row],[EmployeeNumber]],tblHelpers[],15,TRUE)</f>
        <v>Low Risk</v>
      </c>
      <c r="AP971" s="13">
        <f>VLOOKUP(tblCleanData[[#This Row],[EmployeeNumber]],tblHelpers[],14,0)</f>
        <v>29</v>
      </c>
    </row>
    <row r="972" spans="1:42" x14ac:dyDescent="0.25">
      <c r="A972" s="13">
        <v>27</v>
      </c>
      <c r="B972" s="13" t="s">
        <v>59</v>
      </c>
      <c r="C972" s="13" t="s">
        <v>37</v>
      </c>
      <c r="D972" s="13">
        <v>1291</v>
      </c>
      <c r="E972" s="13" t="s">
        <v>39</v>
      </c>
      <c r="F972" s="13">
        <v>11</v>
      </c>
      <c r="G972" s="13">
        <v>3</v>
      </c>
      <c r="H972" s="13" t="s">
        <v>87</v>
      </c>
      <c r="I972" s="13">
        <v>1</v>
      </c>
      <c r="J972" s="13">
        <v>1364</v>
      </c>
      <c r="K972" s="13">
        <v>3</v>
      </c>
      <c r="L972" s="13" t="s">
        <v>43</v>
      </c>
      <c r="M972" s="13">
        <v>98</v>
      </c>
      <c r="N972" s="13">
        <v>4</v>
      </c>
      <c r="O972" s="13">
        <v>1</v>
      </c>
      <c r="P972" s="13" t="s">
        <v>182</v>
      </c>
      <c r="Q972" s="13">
        <v>4</v>
      </c>
      <c r="R972" s="13" t="s">
        <v>66</v>
      </c>
      <c r="S972" s="20">
        <v>2534</v>
      </c>
      <c r="T972" s="13">
        <v>6527</v>
      </c>
      <c r="U972" s="13">
        <v>8</v>
      </c>
      <c r="V972" s="13" t="s">
        <v>52</v>
      </c>
      <c r="W972" s="13" t="s">
        <v>59</v>
      </c>
      <c r="X972" s="13">
        <v>14</v>
      </c>
      <c r="Y972" s="13">
        <v>3</v>
      </c>
      <c r="Z972" s="13">
        <v>2</v>
      </c>
      <c r="AA972" s="13">
        <v>80</v>
      </c>
      <c r="AB972" s="13">
        <v>1</v>
      </c>
      <c r="AC972" s="13">
        <v>5</v>
      </c>
      <c r="AD972" s="13">
        <v>4</v>
      </c>
      <c r="AE972" s="13">
        <v>3</v>
      </c>
      <c r="AF972" s="14">
        <v>1</v>
      </c>
      <c r="AG972" s="13">
        <v>0</v>
      </c>
      <c r="AH972" s="13">
        <v>0</v>
      </c>
      <c r="AI972" s="13">
        <v>0</v>
      </c>
      <c r="AJ972" s="13" t="str">
        <f t="shared" si="15"/>
        <v>Under 30</v>
      </c>
      <c r="AK972" s="13" t="str">
        <f>IF(tblCleanData[[#This Row],[MonthlyIncome]]&lt;5000, "Low Income", IF(tblCleanData[[#This Row],[MonthlyIncome]]&lt;15000, "Medium Income", "High Income"))</f>
        <v>Low Income</v>
      </c>
      <c r="AL972" s="13">
        <f>IF(tblCleanData[[#This Row],[Attrition]]="No", 0,1)</f>
        <v>0</v>
      </c>
      <c r="AM972" s="13">
        <f>IF(tblCleanData[[#This Row],[OverTime]] = "No", 0, 1)</f>
        <v>0</v>
      </c>
      <c r="AN972" s="13" t="str">
        <f>CHOOSE(tblCleanData[[#This Row],[Education]], "Below College","College","Bachelor","Master","Doctor")</f>
        <v>Bachelor</v>
      </c>
      <c r="AO972" s="13" t="str">
        <f>VLOOKUP(tblCleanData[[#This Row],[EmployeeNumber]],tblHelpers[],15,TRUE)</f>
        <v>High Risk</v>
      </c>
      <c r="AP972" s="13">
        <f>VLOOKUP(tblCleanData[[#This Row],[EmployeeNumber]],tblHelpers[],14,0)</f>
        <v>66</v>
      </c>
    </row>
    <row r="973" spans="1:42" x14ac:dyDescent="0.25">
      <c r="A973" s="13">
        <v>51</v>
      </c>
      <c r="B973" s="13" t="s">
        <v>59</v>
      </c>
      <c r="C973" s="13" t="s">
        <v>37</v>
      </c>
      <c r="D973" s="13">
        <v>1405</v>
      </c>
      <c r="E973" s="13" t="s">
        <v>62</v>
      </c>
      <c r="F973" s="13">
        <v>11</v>
      </c>
      <c r="G973" s="13">
        <v>2</v>
      </c>
      <c r="H973" s="13" t="s">
        <v>228</v>
      </c>
      <c r="I973" s="13">
        <v>1</v>
      </c>
      <c r="J973" s="13">
        <v>1367</v>
      </c>
      <c r="K973" s="13">
        <v>4</v>
      </c>
      <c r="L973" s="13" t="s">
        <v>43</v>
      </c>
      <c r="M973" s="13">
        <v>82</v>
      </c>
      <c r="N973" s="13">
        <v>2</v>
      </c>
      <c r="O973" s="13">
        <v>4</v>
      </c>
      <c r="P973" s="13" t="s">
        <v>116</v>
      </c>
      <c r="Q973" s="13">
        <v>2</v>
      </c>
      <c r="R973" s="13" t="s">
        <v>48</v>
      </c>
      <c r="S973" s="20">
        <v>13142</v>
      </c>
      <c r="T973" s="13">
        <v>24439</v>
      </c>
      <c r="U973" s="13">
        <v>3</v>
      </c>
      <c r="V973" s="13" t="s">
        <v>52</v>
      </c>
      <c r="W973" s="13" t="s">
        <v>59</v>
      </c>
      <c r="X973" s="13">
        <v>16</v>
      </c>
      <c r="Y973" s="13">
        <v>3</v>
      </c>
      <c r="Z973" s="13">
        <v>2</v>
      </c>
      <c r="AA973" s="13">
        <v>80</v>
      </c>
      <c r="AB973" s="13">
        <v>0</v>
      </c>
      <c r="AC973" s="13">
        <v>29</v>
      </c>
      <c r="AD973" s="13">
        <v>1</v>
      </c>
      <c r="AE973" s="13">
        <v>2</v>
      </c>
      <c r="AF973" s="14">
        <v>5</v>
      </c>
      <c r="AG973" s="13">
        <v>2</v>
      </c>
      <c r="AH973" s="13">
        <v>0</v>
      </c>
      <c r="AI973" s="13">
        <v>3</v>
      </c>
      <c r="AJ973" s="13" t="str">
        <f t="shared" si="15"/>
        <v>50+</v>
      </c>
      <c r="AK973" s="13" t="str">
        <f>IF(tblCleanData[[#This Row],[MonthlyIncome]]&lt;5000, "Low Income", IF(tblCleanData[[#This Row],[MonthlyIncome]]&lt;15000, "Medium Income", "High Income"))</f>
        <v>Medium Income</v>
      </c>
      <c r="AL973" s="13">
        <f>IF(tblCleanData[[#This Row],[Attrition]]="No", 0,1)</f>
        <v>0</v>
      </c>
      <c r="AM973" s="13">
        <f>IF(tblCleanData[[#This Row],[OverTime]] = "No", 0, 1)</f>
        <v>0</v>
      </c>
      <c r="AN973" s="13" t="str">
        <f>CHOOSE(tblCleanData[[#This Row],[Education]], "Below College","College","Bachelor","Master","Doctor")</f>
        <v>College</v>
      </c>
      <c r="AO973" s="13" t="str">
        <f>VLOOKUP(tblCleanData[[#This Row],[EmployeeNumber]],tblHelpers[],15,TRUE)</f>
        <v>Medium Risk</v>
      </c>
      <c r="AP973" s="13">
        <f>VLOOKUP(tblCleanData[[#This Row],[EmployeeNumber]],tblHelpers[],14,0)</f>
        <v>54</v>
      </c>
    </row>
    <row r="974" spans="1:42" x14ac:dyDescent="0.25">
      <c r="A974" s="13">
        <v>18</v>
      </c>
      <c r="B974" s="13" t="s">
        <v>59</v>
      </c>
      <c r="C974" s="13" t="s">
        <v>161</v>
      </c>
      <c r="D974" s="13">
        <v>1124</v>
      </c>
      <c r="E974" s="13" t="s">
        <v>62</v>
      </c>
      <c r="F974" s="13">
        <v>1</v>
      </c>
      <c r="G974" s="13">
        <v>3</v>
      </c>
      <c r="H974" s="13" t="s">
        <v>42</v>
      </c>
      <c r="I974" s="13">
        <v>1</v>
      </c>
      <c r="J974" s="13">
        <v>1368</v>
      </c>
      <c r="K974" s="13">
        <v>4</v>
      </c>
      <c r="L974" s="13" t="s">
        <v>43</v>
      </c>
      <c r="M974" s="13">
        <v>97</v>
      </c>
      <c r="N974" s="13">
        <v>3</v>
      </c>
      <c r="O974" s="13">
        <v>1</v>
      </c>
      <c r="P974" s="13" t="s">
        <v>76</v>
      </c>
      <c r="Q974" s="13">
        <v>4</v>
      </c>
      <c r="R974" s="13" t="s">
        <v>48</v>
      </c>
      <c r="S974" s="20">
        <v>1611</v>
      </c>
      <c r="T974" s="13">
        <v>19305</v>
      </c>
      <c r="U974" s="13">
        <v>1</v>
      </c>
      <c r="V974" s="13" t="s">
        <v>52</v>
      </c>
      <c r="W974" s="13" t="s">
        <v>59</v>
      </c>
      <c r="X974" s="13">
        <v>15</v>
      </c>
      <c r="Y974" s="13">
        <v>3</v>
      </c>
      <c r="Z974" s="13">
        <v>3</v>
      </c>
      <c r="AA974" s="13">
        <v>80</v>
      </c>
      <c r="AB974" s="13">
        <v>0</v>
      </c>
      <c r="AC974" s="13">
        <v>0</v>
      </c>
      <c r="AD974" s="13">
        <v>5</v>
      </c>
      <c r="AE974" s="13">
        <v>4</v>
      </c>
      <c r="AF974" s="14">
        <v>0</v>
      </c>
      <c r="AG974" s="13">
        <v>0</v>
      </c>
      <c r="AH974" s="13">
        <v>0</v>
      </c>
      <c r="AI974" s="13">
        <v>0</v>
      </c>
      <c r="AJ974" s="13" t="str">
        <f t="shared" si="15"/>
        <v>Under 30</v>
      </c>
      <c r="AK974" s="13" t="str">
        <f>IF(tblCleanData[[#This Row],[MonthlyIncome]]&lt;5000, "Low Income", IF(tblCleanData[[#This Row],[MonthlyIncome]]&lt;15000, "Medium Income", "High Income"))</f>
        <v>Low Income</v>
      </c>
      <c r="AL974" s="13">
        <f>IF(tblCleanData[[#This Row],[Attrition]]="No", 0,1)</f>
        <v>0</v>
      </c>
      <c r="AM974" s="13">
        <f>IF(tblCleanData[[#This Row],[OverTime]] = "No", 0, 1)</f>
        <v>0</v>
      </c>
      <c r="AN974" s="13" t="str">
        <f>CHOOSE(tblCleanData[[#This Row],[Education]], "Below College","College","Bachelor","Master","Doctor")</f>
        <v>Bachelor</v>
      </c>
      <c r="AO974" s="13" t="str">
        <f>VLOOKUP(tblCleanData[[#This Row],[EmployeeNumber]],tblHelpers[],15,TRUE)</f>
        <v>High Risk</v>
      </c>
      <c r="AP974" s="13">
        <f>VLOOKUP(tblCleanData[[#This Row],[EmployeeNumber]],tblHelpers[],14,0)</f>
        <v>66</v>
      </c>
    </row>
    <row r="975" spans="1:42" x14ac:dyDescent="0.25">
      <c r="A975" s="13">
        <v>35</v>
      </c>
      <c r="B975" s="13" t="s">
        <v>59</v>
      </c>
      <c r="C975" s="13" t="s">
        <v>37</v>
      </c>
      <c r="D975" s="13">
        <v>817</v>
      </c>
      <c r="E975" s="13" t="s">
        <v>62</v>
      </c>
      <c r="F975" s="13">
        <v>1</v>
      </c>
      <c r="G975" s="13">
        <v>3</v>
      </c>
      <c r="H975" s="13" t="s">
        <v>87</v>
      </c>
      <c r="I975" s="13">
        <v>1</v>
      </c>
      <c r="J975" s="13">
        <v>1369</v>
      </c>
      <c r="K975" s="13">
        <v>4</v>
      </c>
      <c r="L975" s="13" t="s">
        <v>43</v>
      </c>
      <c r="M975" s="13">
        <v>60</v>
      </c>
      <c r="N975" s="13">
        <v>2</v>
      </c>
      <c r="O975" s="13">
        <v>2</v>
      </c>
      <c r="P975" s="13" t="s">
        <v>76</v>
      </c>
      <c r="Q975" s="13">
        <v>4</v>
      </c>
      <c r="R975" s="13" t="s">
        <v>66</v>
      </c>
      <c r="S975" s="20">
        <v>5363</v>
      </c>
      <c r="T975" s="13">
        <v>10846</v>
      </c>
      <c r="U975" s="13">
        <v>0</v>
      </c>
      <c r="V975" s="13" t="s">
        <v>52</v>
      </c>
      <c r="W975" s="13" t="s">
        <v>59</v>
      </c>
      <c r="X975" s="13">
        <v>12</v>
      </c>
      <c r="Y975" s="13">
        <v>3</v>
      </c>
      <c r="Z975" s="13">
        <v>2</v>
      </c>
      <c r="AA975" s="13">
        <v>80</v>
      </c>
      <c r="AB975" s="13">
        <v>1</v>
      </c>
      <c r="AC975" s="13">
        <v>10</v>
      </c>
      <c r="AD975" s="13">
        <v>0</v>
      </c>
      <c r="AE975" s="13">
        <v>3</v>
      </c>
      <c r="AF975" s="14">
        <v>9</v>
      </c>
      <c r="AG975" s="13">
        <v>7</v>
      </c>
      <c r="AH975" s="13">
        <v>0</v>
      </c>
      <c r="AI975" s="13">
        <v>0</v>
      </c>
      <c r="AJ975" s="13" t="str">
        <f t="shared" si="15"/>
        <v>30-39</v>
      </c>
      <c r="AK975" s="13" t="str">
        <f>IF(tblCleanData[[#This Row],[MonthlyIncome]]&lt;5000, "Low Income", IF(tblCleanData[[#This Row],[MonthlyIncome]]&lt;15000, "Medium Income", "High Income"))</f>
        <v>Medium Income</v>
      </c>
      <c r="AL975" s="13">
        <f>IF(tblCleanData[[#This Row],[Attrition]]="No", 0,1)</f>
        <v>0</v>
      </c>
      <c r="AM975" s="13">
        <f>IF(tblCleanData[[#This Row],[OverTime]] = "No", 0, 1)</f>
        <v>0</v>
      </c>
      <c r="AN975" s="13" t="str">
        <f>CHOOSE(tblCleanData[[#This Row],[Education]], "Below College","College","Bachelor","Master","Doctor")</f>
        <v>Bachelor</v>
      </c>
      <c r="AO975" s="13" t="str">
        <f>VLOOKUP(tblCleanData[[#This Row],[EmployeeNumber]],tblHelpers[],15,TRUE)</f>
        <v>Medium Risk</v>
      </c>
      <c r="AP975" s="13">
        <f>VLOOKUP(tblCleanData[[#This Row],[EmployeeNumber]],tblHelpers[],14,0)</f>
        <v>39</v>
      </c>
    </row>
    <row r="976" spans="1:42" x14ac:dyDescent="0.25">
      <c r="A976" s="13">
        <v>27</v>
      </c>
      <c r="B976" s="13" t="s">
        <v>59</v>
      </c>
      <c r="C976" s="13" t="s">
        <v>60</v>
      </c>
      <c r="D976" s="13">
        <v>793</v>
      </c>
      <c r="E976" s="13" t="s">
        <v>39</v>
      </c>
      <c r="F976" s="13">
        <v>2</v>
      </c>
      <c r="G976" s="13">
        <v>1</v>
      </c>
      <c r="H976" s="13" t="s">
        <v>42</v>
      </c>
      <c r="I976" s="13">
        <v>1</v>
      </c>
      <c r="J976" s="13">
        <v>1371</v>
      </c>
      <c r="K976" s="13">
        <v>4</v>
      </c>
      <c r="L976" s="13" t="s">
        <v>63</v>
      </c>
      <c r="M976" s="13">
        <v>43</v>
      </c>
      <c r="N976" s="13">
        <v>1</v>
      </c>
      <c r="O976" s="13">
        <v>2</v>
      </c>
      <c r="P976" s="13" t="s">
        <v>46</v>
      </c>
      <c r="Q976" s="13">
        <v>4</v>
      </c>
      <c r="R976" s="13" t="s">
        <v>48</v>
      </c>
      <c r="S976" s="20">
        <v>5071</v>
      </c>
      <c r="T976" s="13">
        <v>20392</v>
      </c>
      <c r="U976" s="13">
        <v>3</v>
      </c>
      <c r="V976" s="13" t="s">
        <v>52</v>
      </c>
      <c r="W976" s="13" t="s">
        <v>59</v>
      </c>
      <c r="X976" s="13">
        <v>20</v>
      </c>
      <c r="Y976" s="13">
        <v>4</v>
      </c>
      <c r="Z976" s="13">
        <v>2</v>
      </c>
      <c r="AA976" s="13">
        <v>80</v>
      </c>
      <c r="AB976" s="13">
        <v>0</v>
      </c>
      <c r="AC976" s="13">
        <v>8</v>
      </c>
      <c r="AD976" s="13">
        <v>3</v>
      </c>
      <c r="AE976" s="13">
        <v>3</v>
      </c>
      <c r="AF976" s="14">
        <v>6</v>
      </c>
      <c r="AG976" s="13">
        <v>2</v>
      </c>
      <c r="AH976" s="13">
        <v>0</v>
      </c>
      <c r="AI976" s="13">
        <v>0</v>
      </c>
      <c r="AJ976" s="13" t="str">
        <f t="shared" si="15"/>
        <v>Under 30</v>
      </c>
      <c r="AK976" s="13" t="str">
        <f>IF(tblCleanData[[#This Row],[MonthlyIncome]]&lt;5000, "Low Income", IF(tblCleanData[[#This Row],[MonthlyIncome]]&lt;15000, "Medium Income", "High Income"))</f>
        <v>Medium Income</v>
      </c>
      <c r="AL976" s="13">
        <f>IF(tblCleanData[[#This Row],[Attrition]]="No", 0,1)</f>
        <v>0</v>
      </c>
      <c r="AM976" s="13">
        <f>IF(tblCleanData[[#This Row],[OverTime]] = "No", 0, 1)</f>
        <v>0</v>
      </c>
      <c r="AN976" s="13" t="str">
        <f>CHOOSE(tblCleanData[[#This Row],[Education]], "Below College","College","Bachelor","Master","Doctor")</f>
        <v>Below College</v>
      </c>
      <c r="AO976" s="13" t="str">
        <f>VLOOKUP(tblCleanData[[#This Row],[EmployeeNumber]],tblHelpers[],15,TRUE)</f>
        <v>Medium Risk</v>
      </c>
      <c r="AP976" s="13">
        <f>VLOOKUP(tblCleanData[[#This Row],[EmployeeNumber]],tblHelpers[],14,0)</f>
        <v>49</v>
      </c>
    </row>
    <row r="977" spans="1:42" x14ac:dyDescent="0.25">
      <c r="A977" s="13">
        <v>55</v>
      </c>
      <c r="B977" s="13" t="s">
        <v>36</v>
      </c>
      <c r="C977" s="13" t="s">
        <v>37</v>
      </c>
      <c r="D977" s="13">
        <v>267</v>
      </c>
      <c r="E977" s="13" t="s">
        <v>39</v>
      </c>
      <c r="F977" s="13">
        <v>13</v>
      </c>
      <c r="G977" s="13">
        <v>4</v>
      </c>
      <c r="H977" s="13" t="s">
        <v>206</v>
      </c>
      <c r="I977" s="13">
        <v>1</v>
      </c>
      <c r="J977" s="13">
        <v>1372</v>
      </c>
      <c r="K977" s="13">
        <v>1</v>
      </c>
      <c r="L977" s="13" t="s">
        <v>63</v>
      </c>
      <c r="M977" s="13">
        <v>85</v>
      </c>
      <c r="N977" s="13">
        <v>4</v>
      </c>
      <c r="O977" s="13">
        <v>4</v>
      </c>
      <c r="P977" s="13" t="s">
        <v>46</v>
      </c>
      <c r="Q977" s="13">
        <v>3</v>
      </c>
      <c r="R977" s="13" t="s">
        <v>48</v>
      </c>
      <c r="S977" s="20">
        <v>13695</v>
      </c>
      <c r="T977" s="13">
        <v>9277</v>
      </c>
      <c r="U977" s="13">
        <v>6</v>
      </c>
      <c r="V977" s="13" t="s">
        <v>52</v>
      </c>
      <c r="W977" s="13" t="s">
        <v>36</v>
      </c>
      <c r="X977" s="13">
        <v>17</v>
      </c>
      <c r="Y977" s="13">
        <v>3</v>
      </c>
      <c r="Z977" s="13">
        <v>3</v>
      </c>
      <c r="AA977" s="13">
        <v>80</v>
      </c>
      <c r="AB977" s="13">
        <v>0</v>
      </c>
      <c r="AC977" s="13">
        <v>24</v>
      </c>
      <c r="AD977" s="13">
        <v>2</v>
      </c>
      <c r="AE977" s="13">
        <v>2</v>
      </c>
      <c r="AF977" s="14">
        <v>19</v>
      </c>
      <c r="AG977" s="13">
        <v>7</v>
      </c>
      <c r="AH977" s="13">
        <v>3</v>
      </c>
      <c r="AI977" s="13">
        <v>8</v>
      </c>
      <c r="AJ977" s="13" t="str">
        <f t="shared" si="15"/>
        <v>50+</v>
      </c>
      <c r="AK977" s="13" t="str">
        <f>IF(tblCleanData[[#This Row],[MonthlyIncome]]&lt;5000, "Low Income", IF(tblCleanData[[#This Row],[MonthlyIncome]]&lt;15000, "Medium Income", "High Income"))</f>
        <v>Medium Income</v>
      </c>
      <c r="AL977" s="13">
        <f>IF(tblCleanData[[#This Row],[Attrition]]="No", 0,1)</f>
        <v>1</v>
      </c>
      <c r="AM977" s="13">
        <f>IF(tblCleanData[[#This Row],[OverTime]] = "No", 0, 1)</f>
        <v>1</v>
      </c>
      <c r="AN977" s="13" t="str">
        <f>CHOOSE(tblCleanData[[#This Row],[Education]], "Below College","College","Bachelor","Master","Doctor")</f>
        <v>Master</v>
      </c>
      <c r="AO977" s="13" t="str">
        <f>VLOOKUP(tblCleanData[[#This Row],[EmployeeNumber]],tblHelpers[],15,TRUE)</f>
        <v>High Risk</v>
      </c>
      <c r="AP977" s="13">
        <f>VLOOKUP(tblCleanData[[#This Row],[EmployeeNumber]],tblHelpers[],14,0)</f>
        <v>61</v>
      </c>
    </row>
    <row r="978" spans="1:42" x14ac:dyDescent="0.25">
      <c r="A978" s="13">
        <v>56</v>
      </c>
      <c r="B978" s="13" t="s">
        <v>59</v>
      </c>
      <c r="C978" s="13" t="s">
        <v>37</v>
      </c>
      <c r="D978" s="13">
        <v>1369</v>
      </c>
      <c r="E978" s="13" t="s">
        <v>62</v>
      </c>
      <c r="F978" s="13">
        <v>23</v>
      </c>
      <c r="G978" s="13">
        <v>3</v>
      </c>
      <c r="H978" s="13" t="s">
        <v>42</v>
      </c>
      <c r="I978" s="13">
        <v>1</v>
      </c>
      <c r="J978" s="13">
        <v>1373</v>
      </c>
      <c r="K978" s="13">
        <v>4</v>
      </c>
      <c r="L978" s="13" t="s">
        <v>63</v>
      </c>
      <c r="M978" s="13">
        <v>68</v>
      </c>
      <c r="N978" s="13">
        <v>3</v>
      </c>
      <c r="O978" s="13">
        <v>4</v>
      </c>
      <c r="P978" s="13" t="s">
        <v>116</v>
      </c>
      <c r="Q978" s="13">
        <v>2</v>
      </c>
      <c r="R978" s="13" t="s">
        <v>66</v>
      </c>
      <c r="S978" s="20">
        <v>13402</v>
      </c>
      <c r="T978" s="13">
        <v>18235</v>
      </c>
      <c r="U978" s="13">
        <v>4</v>
      </c>
      <c r="V978" s="13" t="s">
        <v>52</v>
      </c>
      <c r="W978" s="13" t="s">
        <v>36</v>
      </c>
      <c r="X978" s="13">
        <v>12</v>
      </c>
      <c r="Y978" s="13">
        <v>3</v>
      </c>
      <c r="Z978" s="13">
        <v>1</v>
      </c>
      <c r="AA978" s="13">
        <v>80</v>
      </c>
      <c r="AB978" s="13">
        <v>1</v>
      </c>
      <c r="AC978" s="13">
        <v>33</v>
      </c>
      <c r="AD978" s="13">
        <v>0</v>
      </c>
      <c r="AE978" s="13">
        <v>3</v>
      </c>
      <c r="AF978" s="14">
        <v>19</v>
      </c>
      <c r="AG978" s="13">
        <v>16</v>
      </c>
      <c r="AH978" s="13">
        <v>15</v>
      </c>
      <c r="AI978" s="13">
        <v>9</v>
      </c>
      <c r="AJ978" s="13" t="str">
        <f t="shared" si="15"/>
        <v>50+</v>
      </c>
      <c r="AK978" s="13" t="str">
        <f>IF(tblCleanData[[#This Row],[MonthlyIncome]]&lt;5000, "Low Income", IF(tblCleanData[[#This Row],[MonthlyIncome]]&lt;15000, "Medium Income", "High Income"))</f>
        <v>Medium Income</v>
      </c>
      <c r="AL978" s="13">
        <f>IF(tblCleanData[[#This Row],[Attrition]]="No", 0,1)</f>
        <v>0</v>
      </c>
      <c r="AM978" s="13">
        <f>IF(tblCleanData[[#This Row],[OverTime]] = "No", 0, 1)</f>
        <v>1</v>
      </c>
      <c r="AN978" s="13" t="str">
        <f>CHOOSE(tblCleanData[[#This Row],[Education]], "Below College","College","Bachelor","Master","Doctor")</f>
        <v>Bachelor</v>
      </c>
      <c r="AO978" s="13" t="str">
        <f>VLOOKUP(tblCleanData[[#This Row],[EmployeeNumber]],tblHelpers[],15,TRUE)</f>
        <v>High Risk</v>
      </c>
      <c r="AP978" s="13">
        <f>VLOOKUP(tblCleanData[[#This Row],[EmployeeNumber]],tblHelpers[],14,0)</f>
        <v>67</v>
      </c>
    </row>
    <row r="979" spans="1:42" x14ac:dyDescent="0.25">
      <c r="A979" s="13">
        <v>34</v>
      </c>
      <c r="B979" s="13" t="s">
        <v>59</v>
      </c>
      <c r="C979" s="13" t="s">
        <v>161</v>
      </c>
      <c r="D979" s="13">
        <v>999</v>
      </c>
      <c r="E979" s="13" t="s">
        <v>62</v>
      </c>
      <c r="F979" s="13">
        <v>26</v>
      </c>
      <c r="G979" s="13">
        <v>1</v>
      </c>
      <c r="H979" s="13" t="s">
        <v>228</v>
      </c>
      <c r="I979" s="13">
        <v>1</v>
      </c>
      <c r="J979" s="13">
        <v>1374</v>
      </c>
      <c r="K979" s="13">
        <v>1</v>
      </c>
      <c r="L979" s="13" t="s">
        <v>43</v>
      </c>
      <c r="M979" s="13">
        <v>92</v>
      </c>
      <c r="N979" s="13">
        <v>2</v>
      </c>
      <c r="O979" s="13">
        <v>1</v>
      </c>
      <c r="P979" s="13" t="s">
        <v>65</v>
      </c>
      <c r="Q979" s="13">
        <v>3</v>
      </c>
      <c r="R979" s="13" t="s">
        <v>109</v>
      </c>
      <c r="S979" s="20">
        <v>2029</v>
      </c>
      <c r="T979" s="13">
        <v>15891</v>
      </c>
      <c r="U979" s="13">
        <v>1</v>
      </c>
      <c r="V979" s="13" t="s">
        <v>52</v>
      </c>
      <c r="W979" s="13" t="s">
        <v>59</v>
      </c>
      <c r="X979" s="13">
        <v>20</v>
      </c>
      <c r="Y979" s="13">
        <v>4</v>
      </c>
      <c r="Z979" s="13">
        <v>3</v>
      </c>
      <c r="AA979" s="13">
        <v>80</v>
      </c>
      <c r="AB979" s="13">
        <v>3</v>
      </c>
      <c r="AC979" s="13">
        <v>5</v>
      </c>
      <c r="AD979" s="13">
        <v>2</v>
      </c>
      <c r="AE979" s="13">
        <v>3</v>
      </c>
      <c r="AF979" s="14">
        <v>5</v>
      </c>
      <c r="AG979" s="13">
        <v>4</v>
      </c>
      <c r="AH979" s="13">
        <v>0</v>
      </c>
      <c r="AI979" s="13">
        <v>0</v>
      </c>
      <c r="AJ979" s="13" t="str">
        <f t="shared" si="15"/>
        <v>30-39</v>
      </c>
      <c r="AK979" s="13" t="str">
        <f>IF(tblCleanData[[#This Row],[MonthlyIncome]]&lt;5000, "Low Income", IF(tblCleanData[[#This Row],[MonthlyIncome]]&lt;15000, "Medium Income", "High Income"))</f>
        <v>Low Income</v>
      </c>
      <c r="AL979" s="13">
        <f>IF(tblCleanData[[#This Row],[Attrition]]="No", 0,1)</f>
        <v>0</v>
      </c>
      <c r="AM979" s="13">
        <f>IF(tblCleanData[[#This Row],[OverTime]] = "No", 0, 1)</f>
        <v>0</v>
      </c>
      <c r="AN979" s="13" t="str">
        <f>CHOOSE(tblCleanData[[#This Row],[Education]], "Below College","College","Bachelor","Master","Doctor")</f>
        <v>Below College</v>
      </c>
      <c r="AO979" s="13" t="str">
        <f>VLOOKUP(tblCleanData[[#This Row],[EmployeeNumber]],tblHelpers[],15,TRUE)</f>
        <v>Medium Risk</v>
      </c>
      <c r="AP979" s="13">
        <f>VLOOKUP(tblCleanData[[#This Row],[EmployeeNumber]],tblHelpers[],14,0)</f>
        <v>53</v>
      </c>
    </row>
    <row r="980" spans="1:42" x14ac:dyDescent="0.25">
      <c r="A980" s="13">
        <v>40</v>
      </c>
      <c r="B980" s="13" t="s">
        <v>59</v>
      </c>
      <c r="C980" s="13" t="s">
        <v>37</v>
      </c>
      <c r="D980" s="13">
        <v>1202</v>
      </c>
      <c r="E980" s="13" t="s">
        <v>62</v>
      </c>
      <c r="F980" s="13">
        <v>2</v>
      </c>
      <c r="G980" s="13">
        <v>1</v>
      </c>
      <c r="H980" s="13" t="s">
        <v>87</v>
      </c>
      <c r="I980" s="13">
        <v>1</v>
      </c>
      <c r="J980" s="13">
        <v>1375</v>
      </c>
      <c r="K980" s="13">
        <v>2</v>
      </c>
      <c r="L980" s="13" t="s">
        <v>43</v>
      </c>
      <c r="M980" s="13">
        <v>89</v>
      </c>
      <c r="N980" s="13">
        <v>4</v>
      </c>
      <c r="O980" s="13">
        <v>2</v>
      </c>
      <c r="P980" s="13" t="s">
        <v>122</v>
      </c>
      <c r="Q980" s="13">
        <v>3</v>
      </c>
      <c r="R980" s="13" t="s">
        <v>109</v>
      </c>
      <c r="S980" s="20">
        <v>6377</v>
      </c>
      <c r="T980" s="13">
        <v>13888</v>
      </c>
      <c r="U980" s="13">
        <v>5</v>
      </c>
      <c r="V980" s="13" t="s">
        <v>52</v>
      </c>
      <c r="W980" s="13" t="s">
        <v>59</v>
      </c>
      <c r="X980" s="13">
        <v>20</v>
      </c>
      <c r="Y980" s="13">
        <v>4</v>
      </c>
      <c r="Z980" s="13">
        <v>2</v>
      </c>
      <c r="AA980" s="13">
        <v>80</v>
      </c>
      <c r="AB980" s="13">
        <v>3</v>
      </c>
      <c r="AC980" s="13">
        <v>15</v>
      </c>
      <c r="AD980" s="13">
        <v>0</v>
      </c>
      <c r="AE980" s="13">
        <v>3</v>
      </c>
      <c r="AF980" s="14">
        <v>12</v>
      </c>
      <c r="AG980" s="13">
        <v>11</v>
      </c>
      <c r="AH980" s="13">
        <v>11</v>
      </c>
      <c r="AI980" s="13">
        <v>8</v>
      </c>
      <c r="AJ980" s="13" t="str">
        <f t="shared" si="15"/>
        <v>40-49</v>
      </c>
      <c r="AK980" s="13" t="str">
        <f>IF(tblCleanData[[#This Row],[MonthlyIncome]]&lt;5000, "Low Income", IF(tblCleanData[[#This Row],[MonthlyIncome]]&lt;15000, "Medium Income", "High Income"))</f>
        <v>Medium Income</v>
      </c>
      <c r="AL980" s="13">
        <f>IF(tblCleanData[[#This Row],[Attrition]]="No", 0,1)</f>
        <v>0</v>
      </c>
      <c r="AM980" s="13">
        <f>IF(tblCleanData[[#This Row],[OverTime]] = "No", 0, 1)</f>
        <v>0</v>
      </c>
      <c r="AN980" s="13" t="str">
        <f>CHOOSE(tblCleanData[[#This Row],[Education]], "Below College","College","Bachelor","Master","Doctor")</f>
        <v>Below College</v>
      </c>
      <c r="AO980" s="13" t="str">
        <f>VLOOKUP(tblCleanData[[#This Row],[EmployeeNumber]],tblHelpers[],15,TRUE)</f>
        <v>Low Risk</v>
      </c>
      <c r="AP980" s="13">
        <f>VLOOKUP(tblCleanData[[#This Row],[EmployeeNumber]],tblHelpers[],14,0)</f>
        <v>31</v>
      </c>
    </row>
    <row r="981" spans="1:42" x14ac:dyDescent="0.25">
      <c r="A981" s="13">
        <v>34</v>
      </c>
      <c r="B981" s="13" t="s">
        <v>59</v>
      </c>
      <c r="C981" s="13" t="s">
        <v>37</v>
      </c>
      <c r="D981" s="13">
        <v>285</v>
      </c>
      <c r="E981" s="13" t="s">
        <v>62</v>
      </c>
      <c r="F981" s="13">
        <v>29</v>
      </c>
      <c r="G981" s="13">
        <v>3</v>
      </c>
      <c r="H981" s="13" t="s">
        <v>87</v>
      </c>
      <c r="I981" s="13">
        <v>1</v>
      </c>
      <c r="J981" s="13">
        <v>1377</v>
      </c>
      <c r="K981" s="13">
        <v>2</v>
      </c>
      <c r="L981" s="13" t="s">
        <v>63</v>
      </c>
      <c r="M981" s="13">
        <v>86</v>
      </c>
      <c r="N981" s="13">
        <v>3</v>
      </c>
      <c r="O981" s="13">
        <v>2</v>
      </c>
      <c r="P981" s="13" t="s">
        <v>76</v>
      </c>
      <c r="Q981" s="13">
        <v>3</v>
      </c>
      <c r="R981" s="13" t="s">
        <v>66</v>
      </c>
      <c r="S981" s="20">
        <v>5429</v>
      </c>
      <c r="T981" s="13">
        <v>17491</v>
      </c>
      <c r="U981" s="13">
        <v>4</v>
      </c>
      <c r="V981" s="13" t="s">
        <v>52</v>
      </c>
      <c r="W981" s="13" t="s">
        <v>59</v>
      </c>
      <c r="X981" s="13">
        <v>13</v>
      </c>
      <c r="Y981" s="13">
        <v>3</v>
      </c>
      <c r="Z981" s="13">
        <v>1</v>
      </c>
      <c r="AA981" s="13">
        <v>80</v>
      </c>
      <c r="AB981" s="13">
        <v>2</v>
      </c>
      <c r="AC981" s="13">
        <v>10</v>
      </c>
      <c r="AD981" s="13">
        <v>1</v>
      </c>
      <c r="AE981" s="13">
        <v>3</v>
      </c>
      <c r="AF981" s="14">
        <v>8</v>
      </c>
      <c r="AG981" s="13">
        <v>7</v>
      </c>
      <c r="AH981" s="13">
        <v>7</v>
      </c>
      <c r="AI981" s="13">
        <v>7</v>
      </c>
      <c r="AJ981" s="13" t="str">
        <f t="shared" si="15"/>
        <v>30-39</v>
      </c>
      <c r="AK981" s="13" t="str">
        <f>IF(tblCleanData[[#This Row],[MonthlyIncome]]&lt;5000, "Low Income", IF(tblCleanData[[#This Row],[MonthlyIncome]]&lt;15000, "Medium Income", "High Income"))</f>
        <v>Medium Income</v>
      </c>
      <c r="AL981" s="13">
        <f>IF(tblCleanData[[#This Row],[Attrition]]="No", 0,1)</f>
        <v>0</v>
      </c>
      <c r="AM981" s="13">
        <f>IF(tblCleanData[[#This Row],[OverTime]] = "No", 0, 1)</f>
        <v>0</v>
      </c>
      <c r="AN981" s="13" t="str">
        <f>CHOOSE(tblCleanData[[#This Row],[Education]], "Below College","College","Bachelor","Master","Doctor")</f>
        <v>Bachelor</v>
      </c>
      <c r="AO981" s="13" t="str">
        <f>VLOOKUP(tblCleanData[[#This Row],[EmployeeNumber]],tblHelpers[],15,TRUE)</f>
        <v>Medium Risk</v>
      </c>
      <c r="AP981" s="13">
        <f>VLOOKUP(tblCleanData[[#This Row],[EmployeeNumber]],tblHelpers[],14,0)</f>
        <v>46</v>
      </c>
    </row>
    <row r="982" spans="1:42" x14ac:dyDescent="0.25">
      <c r="A982" s="13">
        <v>31</v>
      </c>
      <c r="B982" s="13" t="s">
        <v>36</v>
      </c>
      <c r="C982" s="13" t="s">
        <v>60</v>
      </c>
      <c r="D982" s="13">
        <v>703</v>
      </c>
      <c r="E982" s="13" t="s">
        <v>39</v>
      </c>
      <c r="F982" s="13">
        <v>2</v>
      </c>
      <c r="G982" s="13">
        <v>3</v>
      </c>
      <c r="H982" s="13" t="s">
        <v>42</v>
      </c>
      <c r="I982" s="13">
        <v>1</v>
      </c>
      <c r="J982" s="13">
        <v>1379</v>
      </c>
      <c r="K982" s="13">
        <v>3</v>
      </c>
      <c r="L982" s="13" t="s">
        <v>43</v>
      </c>
      <c r="M982" s="13">
        <v>90</v>
      </c>
      <c r="N982" s="13">
        <v>2</v>
      </c>
      <c r="O982" s="13">
        <v>1</v>
      </c>
      <c r="P982" s="13" t="s">
        <v>182</v>
      </c>
      <c r="Q982" s="13">
        <v>4</v>
      </c>
      <c r="R982" s="13" t="s">
        <v>48</v>
      </c>
      <c r="S982" s="20">
        <v>2785</v>
      </c>
      <c r="T982" s="13">
        <v>11882</v>
      </c>
      <c r="U982" s="13">
        <v>7</v>
      </c>
      <c r="V982" s="13" t="s">
        <v>52</v>
      </c>
      <c r="W982" s="13" t="s">
        <v>59</v>
      </c>
      <c r="X982" s="13">
        <v>14</v>
      </c>
      <c r="Y982" s="13">
        <v>3</v>
      </c>
      <c r="Z982" s="13">
        <v>3</v>
      </c>
      <c r="AA982" s="13">
        <v>80</v>
      </c>
      <c r="AB982" s="13">
        <v>0</v>
      </c>
      <c r="AC982" s="13">
        <v>3</v>
      </c>
      <c r="AD982" s="13">
        <v>3</v>
      </c>
      <c r="AE982" s="13">
        <v>4</v>
      </c>
      <c r="AF982" s="14">
        <v>1</v>
      </c>
      <c r="AG982" s="13">
        <v>0</v>
      </c>
      <c r="AH982" s="13">
        <v>0</v>
      </c>
      <c r="AI982" s="13">
        <v>0</v>
      </c>
      <c r="AJ982" s="13" t="str">
        <f t="shared" si="15"/>
        <v>30-39</v>
      </c>
      <c r="AK982" s="13" t="str">
        <f>IF(tblCleanData[[#This Row],[MonthlyIncome]]&lt;5000, "Low Income", IF(tblCleanData[[#This Row],[MonthlyIncome]]&lt;15000, "Medium Income", "High Income"))</f>
        <v>Low Income</v>
      </c>
      <c r="AL982" s="13">
        <f>IF(tblCleanData[[#This Row],[Attrition]]="No", 0,1)</f>
        <v>1</v>
      </c>
      <c r="AM982" s="13">
        <f>IF(tblCleanData[[#This Row],[OverTime]] = "No", 0, 1)</f>
        <v>0</v>
      </c>
      <c r="AN982" s="13" t="str">
        <f>CHOOSE(tblCleanData[[#This Row],[Education]], "Below College","College","Bachelor","Master","Doctor")</f>
        <v>Bachelor</v>
      </c>
      <c r="AO982" s="13" t="str">
        <f>VLOOKUP(tblCleanData[[#This Row],[EmployeeNumber]],tblHelpers[],15,TRUE)</f>
        <v>High Risk</v>
      </c>
      <c r="AP982" s="13">
        <f>VLOOKUP(tblCleanData[[#This Row],[EmployeeNumber]],tblHelpers[],14,0)</f>
        <v>56</v>
      </c>
    </row>
    <row r="983" spans="1:42" x14ac:dyDescent="0.25">
      <c r="A983" s="13">
        <v>35</v>
      </c>
      <c r="B983" s="13" t="s">
        <v>36</v>
      </c>
      <c r="C983" s="13" t="s">
        <v>60</v>
      </c>
      <c r="D983" s="13">
        <v>662</v>
      </c>
      <c r="E983" s="13" t="s">
        <v>39</v>
      </c>
      <c r="F983" s="13">
        <v>18</v>
      </c>
      <c r="G983" s="13">
        <v>4</v>
      </c>
      <c r="H983" s="13" t="s">
        <v>206</v>
      </c>
      <c r="I983" s="13">
        <v>1</v>
      </c>
      <c r="J983" s="13">
        <v>1380</v>
      </c>
      <c r="K983" s="13">
        <v>4</v>
      </c>
      <c r="L983" s="13" t="s">
        <v>43</v>
      </c>
      <c r="M983" s="13">
        <v>67</v>
      </c>
      <c r="N983" s="13">
        <v>3</v>
      </c>
      <c r="O983" s="13">
        <v>2</v>
      </c>
      <c r="P983" s="13" t="s">
        <v>46</v>
      </c>
      <c r="Q983" s="13">
        <v>3</v>
      </c>
      <c r="R983" s="13" t="s">
        <v>66</v>
      </c>
      <c r="S983" s="20">
        <v>4614</v>
      </c>
      <c r="T983" s="13">
        <v>23288</v>
      </c>
      <c r="U983" s="13">
        <v>0</v>
      </c>
      <c r="V983" s="13" t="s">
        <v>52</v>
      </c>
      <c r="W983" s="13" t="s">
        <v>36</v>
      </c>
      <c r="X983" s="13">
        <v>18</v>
      </c>
      <c r="Y983" s="13">
        <v>3</v>
      </c>
      <c r="Z983" s="13">
        <v>3</v>
      </c>
      <c r="AA983" s="13">
        <v>80</v>
      </c>
      <c r="AB983" s="13">
        <v>1</v>
      </c>
      <c r="AC983" s="13">
        <v>5</v>
      </c>
      <c r="AD983" s="13">
        <v>0</v>
      </c>
      <c r="AE983" s="13">
        <v>2</v>
      </c>
      <c r="AF983" s="14">
        <v>4</v>
      </c>
      <c r="AG983" s="13">
        <v>2</v>
      </c>
      <c r="AH983" s="13">
        <v>3</v>
      </c>
      <c r="AI983" s="13">
        <v>2</v>
      </c>
      <c r="AJ983" s="13" t="str">
        <f t="shared" si="15"/>
        <v>30-39</v>
      </c>
      <c r="AK983" s="13" t="str">
        <f>IF(tblCleanData[[#This Row],[MonthlyIncome]]&lt;5000, "Low Income", IF(tblCleanData[[#This Row],[MonthlyIncome]]&lt;15000, "Medium Income", "High Income"))</f>
        <v>Low Income</v>
      </c>
      <c r="AL983" s="13">
        <f>IF(tblCleanData[[#This Row],[Attrition]]="No", 0,1)</f>
        <v>1</v>
      </c>
      <c r="AM983" s="13">
        <f>IF(tblCleanData[[#This Row],[OverTime]] = "No", 0, 1)</f>
        <v>1</v>
      </c>
      <c r="AN983" s="13" t="str">
        <f>CHOOSE(tblCleanData[[#This Row],[Education]], "Below College","College","Bachelor","Master","Doctor")</f>
        <v>Master</v>
      </c>
      <c r="AO983" s="13" t="str">
        <f>VLOOKUP(tblCleanData[[#This Row],[EmployeeNumber]],tblHelpers[],15,TRUE)</f>
        <v>High Risk</v>
      </c>
      <c r="AP983" s="13">
        <f>VLOOKUP(tblCleanData[[#This Row],[EmployeeNumber]],tblHelpers[],14,0)</f>
        <v>78</v>
      </c>
    </row>
    <row r="984" spans="1:42" x14ac:dyDescent="0.25">
      <c r="A984" s="13">
        <v>38</v>
      </c>
      <c r="B984" s="13" t="s">
        <v>59</v>
      </c>
      <c r="C984" s="13" t="s">
        <v>60</v>
      </c>
      <c r="D984" s="13">
        <v>693</v>
      </c>
      <c r="E984" s="13" t="s">
        <v>62</v>
      </c>
      <c r="F984" s="13">
        <v>7</v>
      </c>
      <c r="G984" s="13">
        <v>3</v>
      </c>
      <c r="H984" s="13" t="s">
        <v>42</v>
      </c>
      <c r="I984" s="13">
        <v>1</v>
      </c>
      <c r="J984" s="13">
        <v>1382</v>
      </c>
      <c r="K984" s="13">
        <v>4</v>
      </c>
      <c r="L984" s="13" t="s">
        <v>63</v>
      </c>
      <c r="M984" s="13">
        <v>57</v>
      </c>
      <c r="N984" s="13">
        <v>4</v>
      </c>
      <c r="O984" s="13">
        <v>1</v>
      </c>
      <c r="P984" s="13" t="s">
        <v>65</v>
      </c>
      <c r="Q984" s="13">
        <v>3</v>
      </c>
      <c r="R984" s="13" t="s">
        <v>109</v>
      </c>
      <c r="S984" s="20">
        <v>2610</v>
      </c>
      <c r="T984" s="13">
        <v>15748</v>
      </c>
      <c r="U984" s="13">
        <v>1</v>
      </c>
      <c r="V984" s="13" t="s">
        <v>52</v>
      </c>
      <c r="W984" s="13" t="s">
        <v>59</v>
      </c>
      <c r="X984" s="13">
        <v>11</v>
      </c>
      <c r="Y984" s="13">
        <v>3</v>
      </c>
      <c r="Z984" s="13">
        <v>4</v>
      </c>
      <c r="AA984" s="13">
        <v>80</v>
      </c>
      <c r="AB984" s="13">
        <v>3</v>
      </c>
      <c r="AC984" s="13">
        <v>4</v>
      </c>
      <c r="AD984" s="13">
        <v>2</v>
      </c>
      <c r="AE984" s="13">
        <v>3</v>
      </c>
      <c r="AF984" s="14">
        <v>4</v>
      </c>
      <c r="AG984" s="13">
        <v>2</v>
      </c>
      <c r="AH984" s="13">
        <v>0</v>
      </c>
      <c r="AI984" s="13">
        <v>3</v>
      </c>
      <c r="AJ984" s="13" t="str">
        <f t="shared" si="15"/>
        <v>30-39</v>
      </c>
      <c r="AK984" s="13" t="str">
        <f>IF(tblCleanData[[#This Row],[MonthlyIncome]]&lt;5000, "Low Income", IF(tblCleanData[[#This Row],[MonthlyIncome]]&lt;15000, "Medium Income", "High Income"))</f>
        <v>Low Income</v>
      </c>
      <c r="AL984" s="13">
        <f>IF(tblCleanData[[#This Row],[Attrition]]="No", 0,1)</f>
        <v>0</v>
      </c>
      <c r="AM984" s="13">
        <f>IF(tblCleanData[[#This Row],[OverTime]] = "No", 0, 1)</f>
        <v>0</v>
      </c>
      <c r="AN984" s="13" t="str">
        <f>CHOOSE(tblCleanData[[#This Row],[Education]], "Below College","College","Bachelor","Master","Doctor")</f>
        <v>Bachelor</v>
      </c>
      <c r="AO984" s="13" t="str">
        <f>VLOOKUP(tblCleanData[[#This Row],[EmployeeNumber]],tblHelpers[],15,TRUE)</f>
        <v>Medium Risk</v>
      </c>
      <c r="AP984" s="13">
        <f>VLOOKUP(tblCleanData[[#This Row],[EmployeeNumber]],tblHelpers[],14,0)</f>
        <v>53</v>
      </c>
    </row>
    <row r="985" spans="1:42" x14ac:dyDescent="0.25">
      <c r="A985" s="13">
        <v>34</v>
      </c>
      <c r="B985" s="13" t="s">
        <v>59</v>
      </c>
      <c r="C985" s="13" t="s">
        <v>37</v>
      </c>
      <c r="D985" s="13">
        <v>404</v>
      </c>
      <c r="E985" s="13" t="s">
        <v>62</v>
      </c>
      <c r="F985" s="13">
        <v>2</v>
      </c>
      <c r="G985" s="13">
        <v>4</v>
      </c>
      <c r="H985" s="13" t="s">
        <v>228</v>
      </c>
      <c r="I985" s="13">
        <v>1</v>
      </c>
      <c r="J985" s="13">
        <v>1383</v>
      </c>
      <c r="K985" s="13">
        <v>3</v>
      </c>
      <c r="L985" s="13" t="s">
        <v>43</v>
      </c>
      <c r="M985" s="13">
        <v>98</v>
      </c>
      <c r="N985" s="13">
        <v>3</v>
      </c>
      <c r="O985" s="13">
        <v>2</v>
      </c>
      <c r="P985" s="13" t="s">
        <v>122</v>
      </c>
      <c r="Q985" s="13">
        <v>4</v>
      </c>
      <c r="R985" s="13" t="s">
        <v>48</v>
      </c>
      <c r="S985" s="20">
        <v>6687</v>
      </c>
      <c r="T985" s="13">
        <v>6163</v>
      </c>
      <c r="U985" s="13">
        <v>1</v>
      </c>
      <c r="V985" s="13" t="s">
        <v>52</v>
      </c>
      <c r="W985" s="13" t="s">
        <v>59</v>
      </c>
      <c r="X985" s="13">
        <v>11</v>
      </c>
      <c r="Y985" s="13">
        <v>3</v>
      </c>
      <c r="Z985" s="13">
        <v>4</v>
      </c>
      <c r="AA985" s="13">
        <v>80</v>
      </c>
      <c r="AB985" s="13">
        <v>0</v>
      </c>
      <c r="AC985" s="13">
        <v>14</v>
      </c>
      <c r="AD985" s="13">
        <v>2</v>
      </c>
      <c r="AE985" s="13">
        <v>4</v>
      </c>
      <c r="AF985" s="14">
        <v>14</v>
      </c>
      <c r="AG985" s="13">
        <v>11</v>
      </c>
      <c r="AH985" s="13">
        <v>4</v>
      </c>
      <c r="AI985" s="13">
        <v>11</v>
      </c>
      <c r="AJ985" s="13" t="str">
        <f t="shared" si="15"/>
        <v>30-39</v>
      </c>
      <c r="AK985" s="13" t="str">
        <f>IF(tblCleanData[[#This Row],[MonthlyIncome]]&lt;5000, "Low Income", IF(tblCleanData[[#This Row],[MonthlyIncome]]&lt;15000, "Medium Income", "High Income"))</f>
        <v>Medium Income</v>
      </c>
      <c r="AL985" s="13">
        <f>IF(tblCleanData[[#This Row],[Attrition]]="No", 0,1)</f>
        <v>0</v>
      </c>
      <c r="AM985" s="13">
        <f>IF(tblCleanData[[#This Row],[OverTime]] = "No", 0, 1)</f>
        <v>0</v>
      </c>
      <c r="AN985" s="13" t="str">
        <f>CHOOSE(tblCleanData[[#This Row],[Education]], "Below College","College","Bachelor","Master","Doctor")</f>
        <v>Master</v>
      </c>
      <c r="AO985" s="13" t="str">
        <f>VLOOKUP(tblCleanData[[#This Row],[EmployeeNumber]],tblHelpers[],15,TRUE)</f>
        <v>Low Risk</v>
      </c>
      <c r="AP985" s="13">
        <f>VLOOKUP(tblCleanData[[#This Row],[EmployeeNumber]],tblHelpers[],14,0)</f>
        <v>34</v>
      </c>
    </row>
    <row r="986" spans="1:42" x14ac:dyDescent="0.25">
      <c r="A986" s="13">
        <v>28</v>
      </c>
      <c r="B986" s="13" t="s">
        <v>59</v>
      </c>
      <c r="C986" s="13" t="s">
        <v>37</v>
      </c>
      <c r="D986" s="13">
        <v>736</v>
      </c>
      <c r="E986" s="13" t="s">
        <v>39</v>
      </c>
      <c r="F986" s="13">
        <v>26</v>
      </c>
      <c r="G986" s="13">
        <v>3</v>
      </c>
      <c r="H986" s="13" t="s">
        <v>42</v>
      </c>
      <c r="I986" s="13">
        <v>1</v>
      </c>
      <c r="J986" s="13">
        <v>1387</v>
      </c>
      <c r="K986" s="13">
        <v>3</v>
      </c>
      <c r="L986" s="13" t="s">
        <v>63</v>
      </c>
      <c r="M986" s="13">
        <v>48</v>
      </c>
      <c r="N986" s="13">
        <v>2</v>
      </c>
      <c r="O986" s="13">
        <v>2</v>
      </c>
      <c r="P986" s="13" t="s">
        <v>46</v>
      </c>
      <c r="Q986" s="13">
        <v>1</v>
      </c>
      <c r="R986" s="13" t="s">
        <v>66</v>
      </c>
      <c r="S986" s="20">
        <v>4724</v>
      </c>
      <c r="T986" s="13">
        <v>24232</v>
      </c>
      <c r="U986" s="13">
        <v>1</v>
      </c>
      <c r="V986" s="13" t="s">
        <v>52</v>
      </c>
      <c r="W986" s="13" t="s">
        <v>59</v>
      </c>
      <c r="X986" s="13">
        <v>11</v>
      </c>
      <c r="Y986" s="13">
        <v>3</v>
      </c>
      <c r="Z986" s="13">
        <v>3</v>
      </c>
      <c r="AA986" s="13">
        <v>80</v>
      </c>
      <c r="AB986" s="13">
        <v>1</v>
      </c>
      <c r="AC986" s="13">
        <v>5</v>
      </c>
      <c r="AD986" s="13">
        <v>0</v>
      </c>
      <c r="AE986" s="13">
        <v>3</v>
      </c>
      <c r="AF986" s="14">
        <v>5</v>
      </c>
      <c r="AG986" s="13">
        <v>3</v>
      </c>
      <c r="AH986" s="13">
        <v>0</v>
      </c>
      <c r="AI986" s="13">
        <v>4</v>
      </c>
      <c r="AJ986" s="13" t="str">
        <f t="shared" si="15"/>
        <v>Under 30</v>
      </c>
      <c r="AK986" s="13" t="str">
        <f>IF(tblCleanData[[#This Row],[MonthlyIncome]]&lt;5000, "Low Income", IF(tblCleanData[[#This Row],[MonthlyIncome]]&lt;15000, "Medium Income", "High Income"))</f>
        <v>Low Income</v>
      </c>
      <c r="AL986" s="13">
        <f>IF(tblCleanData[[#This Row],[Attrition]]="No", 0,1)</f>
        <v>0</v>
      </c>
      <c r="AM986" s="13">
        <f>IF(tblCleanData[[#This Row],[OverTime]] = "No", 0, 1)</f>
        <v>0</v>
      </c>
      <c r="AN986" s="13" t="str">
        <f>CHOOSE(tblCleanData[[#This Row],[Education]], "Below College","College","Bachelor","Master","Doctor")</f>
        <v>Bachelor</v>
      </c>
      <c r="AO986" s="13" t="str">
        <f>VLOOKUP(tblCleanData[[#This Row],[EmployeeNumber]],tblHelpers[],15,TRUE)</f>
        <v>High Risk</v>
      </c>
      <c r="AP986" s="13">
        <f>VLOOKUP(tblCleanData[[#This Row],[EmployeeNumber]],tblHelpers[],14,0)</f>
        <v>75</v>
      </c>
    </row>
    <row r="987" spans="1:42" x14ac:dyDescent="0.25">
      <c r="A987" s="13">
        <v>31</v>
      </c>
      <c r="B987" s="13" t="s">
        <v>36</v>
      </c>
      <c r="C987" s="13" t="s">
        <v>37</v>
      </c>
      <c r="D987" s="13">
        <v>330</v>
      </c>
      <c r="E987" s="13" t="s">
        <v>62</v>
      </c>
      <c r="F987" s="13">
        <v>22</v>
      </c>
      <c r="G987" s="13">
        <v>4</v>
      </c>
      <c r="H987" s="13" t="s">
        <v>87</v>
      </c>
      <c r="I987" s="13">
        <v>1</v>
      </c>
      <c r="J987" s="13">
        <v>1389</v>
      </c>
      <c r="K987" s="13">
        <v>4</v>
      </c>
      <c r="L987" s="13" t="s">
        <v>63</v>
      </c>
      <c r="M987" s="13">
        <v>98</v>
      </c>
      <c r="N987" s="13">
        <v>3</v>
      </c>
      <c r="O987" s="13">
        <v>2</v>
      </c>
      <c r="P987" s="13" t="s">
        <v>116</v>
      </c>
      <c r="Q987" s="13">
        <v>3</v>
      </c>
      <c r="R987" s="13" t="s">
        <v>66</v>
      </c>
      <c r="S987" s="20">
        <v>6179</v>
      </c>
      <c r="T987" s="13">
        <v>21057</v>
      </c>
      <c r="U987" s="13">
        <v>1</v>
      </c>
      <c r="V987" s="13" t="s">
        <v>52</v>
      </c>
      <c r="W987" s="13" t="s">
        <v>36</v>
      </c>
      <c r="X987" s="13">
        <v>15</v>
      </c>
      <c r="Y987" s="13">
        <v>3</v>
      </c>
      <c r="Z987" s="13">
        <v>4</v>
      </c>
      <c r="AA987" s="13">
        <v>80</v>
      </c>
      <c r="AB987" s="13">
        <v>2</v>
      </c>
      <c r="AC987" s="13">
        <v>10</v>
      </c>
      <c r="AD987" s="13">
        <v>3</v>
      </c>
      <c r="AE987" s="13">
        <v>2</v>
      </c>
      <c r="AF987" s="14">
        <v>10</v>
      </c>
      <c r="AG987" s="13">
        <v>2</v>
      </c>
      <c r="AH987" s="13">
        <v>6</v>
      </c>
      <c r="AI987" s="13">
        <v>7</v>
      </c>
      <c r="AJ987" s="13" t="str">
        <f t="shared" si="15"/>
        <v>30-39</v>
      </c>
      <c r="AK987" s="13" t="str">
        <f>IF(tblCleanData[[#This Row],[MonthlyIncome]]&lt;5000, "Low Income", IF(tblCleanData[[#This Row],[MonthlyIncome]]&lt;15000, "Medium Income", "High Income"))</f>
        <v>Medium Income</v>
      </c>
      <c r="AL987" s="13">
        <f>IF(tblCleanData[[#This Row],[Attrition]]="No", 0,1)</f>
        <v>1</v>
      </c>
      <c r="AM987" s="13">
        <f>IF(tblCleanData[[#This Row],[OverTime]] = "No", 0, 1)</f>
        <v>1</v>
      </c>
      <c r="AN987" s="13" t="str">
        <f>CHOOSE(tblCleanData[[#This Row],[Education]], "Below College","College","Bachelor","Master","Doctor")</f>
        <v>Master</v>
      </c>
      <c r="AO987" s="13" t="str">
        <f>VLOOKUP(tblCleanData[[#This Row],[EmployeeNumber]],tblHelpers[],15,TRUE)</f>
        <v>High Risk</v>
      </c>
      <c r="AP987" s="13">
        <f>VLOOKUP(tblCleanData[[#This Row],[EmployeeNumber]],tblHelpers[],14,0)</f>
        <v>71</v>
      </c>
    </row>
    <row r="988" spans="1:42" x14ac:dyDescent="0.25">
      <c r="A988" s="13">
        <v>39</v>
      </c>
      <c r="B988" s="13" t="s">
        <v>59</v>
      </c>
      <c r="C988" s="13" t="s">
        <v>37</v>
      </c>
      <c r="D988" s="13">
        <v>1498</v>
      </c>
      <c r="E988" s="13" t="s">
        <v>39</v>
      </c>
      <c r="F988" s="13">
        <v>21</v>
      </c>
      <c r="G988" s="13">
        <v>4</v>
      </c>
      <c r="H988" s="13" t="s">
        <v>42</v>
      </c>
      <c r="I988" s="13">
        <v>1</v>
      </c>
      <c r="J988" s="13">
        <v>1390</v>
      </c>
      <c r="K988" s="13">
        <v>1</v>
      </c>
      <c r="L988" s="13" t="s">
        <v>63</v>
      </c>
      <c r="M988" s="13">
        <v>44</v>
      </c>
      <c r="N988" s="13">
        <v>2</v>
      </c>
      <c r="O988" s="13">
        <v>2</v>
      </c>
      <c r="P988" s="13" t="s">
        <v>46</v>
      </c>
      <c r="Q988" s="13">
        <v>4</v>
      </c>
      <c r="R988" s="13" t="s">
        <v>66</v>
      </c>
      <c r="S988" s="20">
        <v>6120</v>
      </c>
      <c r="T988" s="13">
        <v>3567</v>
      </c>
      <c r="U988" s="13">
        <v>3</v>
      </c>
      <c r="V988" s="13" t="s">
        <v>52</v>
      </c>
      <c r="W988" s="13" t="s">
        <v>36</v>
      </c>
      <c r="X988" s="13">
        <v>12</v>
      </c>
      <c r="Y988" s="13">
        <v>3</v>
      </c>
      <c r="Z988" s="13">
        <v>4</v>
      </c>
      <c r="AA988" s="13">
        <v>80</v>
      </c>
      <c r="AB988" s="13">
        <v>2</v>
      </c>
      <c r="AC988" s="13">
        <v>8</v>
      </c>
      <c r="AD988" s="13">
        <v>2</v>
      </c>
      <c r="AE988" s="13">
        <v>4</v>
      </c>
      <c r="AF988" s="14">
        <v>5</v>
      </c>
      <c r="AG988" s="13">
        <v>4</v>
      </c>
      <c r="AH988" s="13">
        <v>1</v>
      </c>
      <c r="AI988" s="13">
        <v>4</v>
      </c>
      <c r="AJ988" s="13" t="str">
        <f t="shared" si="15"/>
        <v>30-39</v>
      </c>
      <c r="AK988" s="13" t="str">
        <f>IF(tblCleanData[[#This Row],[MonthlyIncome]]&lt;5000, "Low Income", IF(tblCleanData[[#This Row],[MonthlyIncome]]&lt;15000, "Medium Income", "High Income"))</f>
        <v>Medium Income</v>
      </c>
      <c r="AL988" s="13">
        <f>IF(tblCleanData[[#This Row],[Attrition]]="No", 0,1)</f>
        <v>0</v>
      </c>
      <c r="AM988" s="13">
        <f>IF(tblCleanData[[#This Row],[OverTime]] = "No", 0, 1)</f>
        <v>1</v>
      </c>
      <c r="AN988" s="13" t="str">
        <f>CHOOSE(tblCleanData[[#This Row],[Education]], "Below College","College","Bachelor","Master","Doctor")</f>
        <v>Master</v>
      </c>
      <c r="AO988" s="13" t="str">
        <f>VLOOKUP(tblCleanData[[#This Row],[EmployeeNumber]],tblHelpers[],15,TRUE)</f>
        <v>High Risk</v>
      </c>
      <c r="AP988" s="13">
        <f>VLOOKUP(tblCleanData[[#This Row],[EmployeeNumber]],tblHelpers[],14,0)</f>
        <v>71</v>
      </c>
    </row>
    <row r="989" spans="1:42" x14ac:dyDescent="0.25">
      <c r="A989" s="13">
        <v>51</v>
      </c>
      <c r="B989" s="13" t="s">
        <v>59</v>
      </c>
      <c r="C989" s="13" t="s">
        <v>60</v>
      </c>
      <c r="D989" s="13">
        <v>541</v>
      </c>
      <c r="E989" s="13" t="s">
        <v>39</v>
      </c>
      <c r="F989" s="13">
        <v>2</v>
      </c>
      <c r="G989" s="13">
        <v>3</v>
      </c>
      <c r="H989" s="13" t="s">
        <v>206</v>
      </c>
      <c r="I989" s="13">
        <v>1</v>
      </c>
      <c r="J989" s="13">
        <v>1391</v>
      </c>
      <c r="K989" s="13">
        <v>2</v>
      </c>
      <c r="L989" s="13" t="s">
        <v>63</v>
      </c>
      <c r="M989" s="13">
        <v>52</v>
      </c>
      <c r="N989" s="13">
        <v>3</v>
      </c>
      <c r="O989" s="13">
        <v>3</v>
      </c>
      <c r="P989" s="13" t="s">
        <v>46</v>
      </c>
      <c r="Q989" s="13">
        <v>2</v>
      </c>
      <c r="R989" s="13" t="s">
        <v>66</v>
      </c>
      <c r="S989" s="20">
        <v>10596</v>
      </c>
      <c r="T989" s="13">
        <v>15395</v>
      </c>
      <c r="U989" s="13">
        <v>2</v>
      </c>
      <c r="V989" s="13" t="s">
        <v>52</v>
      </c>
      <c r="W989" s="13" t="s">
        <v>59</v>
      </c>
      <c r="X989" s="13">
        <v>11</v>
      </c>
      <c r="Y989" s="13">
        <v>3</v>
      </c>
      <c r="Z989" s="13">
        <v>2</v>
      </c>
      <c r="AA989" s="13">
        <v>80</v>
      </c>
      <c r="AB989" s="13">
        <v>0</v>
      </c>
      <c r="AC989" s="13">
        <v>14</v>
      </c>
      <c r="AD989" s="13">
        <v>5</v>
      </c>
      <c r="AE989" s="13">
        <v>3</v>
      </c>
      <c r="AF989" s="14">
        <v>4</v>
      </c>
      <c r="AG989" s="13">
        <v>2</v>
      </c>
      <c r="AH989" s="13">
        <v>3</v>
      </c>
      <c r="AI989" s="13">
        <v>2</v>
      </c>
      <c r="AJ989" s="13" t="str">
        <f t="shared" si="15"/>
        <v>50+</v>
      </c>
      <c r="AK989" s="13" t="str">
        <f>IF(tblCleanData[[#This Row],[MonthlyIncome]]&lt;5000, "Low Income", IF(tblCleanData[[#This Row],[MonthlyIncome]]&lt;15000, "Medium Income", "High Income"))</f>
        <v>Medium Income</v>
      </c>
      <c r="AL989" s="13">
        <f>IF(tblCleanData[[#This Row],[Attrition]]="No", 0,1)</f>
        <v>0</v>
      </c>
      <c r="AM989" s="13">
        <f>IF(tblCleanData[[#This Row],[OverTime]] = "No", 0, 1)</f>
        <v>0</v>
      </c>
      <c r="AN989" s="13" t="str">
        <f>CHOOSE(tblCleanData[[#This Row],[Education]], "Below College","College","Bachelor","Master","Doctor")</f>
        <v>Bachelor</v>
      </c>
      <c r="AO989" s="13" t="str">
        <f>VLOOKUP(tblCleanData[[#This Row],[EmployeeNumber]],tblHelpers[],15,TRUE)</f>
        <v>Medium Risk</v>
      </c>
      <c r="AP989" s="13">
        <f>VLOOKUP(tblCleanData[[#This Row],[EmployeeNumber]],tblHelpers[],14,0)</f>
        <v>54</v>
      </c>
    </row>
    <row r="990" spans="1:42" x14ac:dyDescent="0.25">
      <c r="A990" s="13">
        <v>41</v>
      </c>
      <c r="B990" s="13" t="s">
        <v>59</v>
      </c>
      <c r="C990" s="13" t="s">
        <v>60</v>
      </c>
      <c r="D990" s="13">
        <v>1200</v>
      </c>
      <c r="E990" s="13" t="s">
        <v>62</v>
      </c>
      <c r="F990" s="13">
        <v>22</v>
      </c>
      <c r="G990" s="13">
        <v>3</v>
      </c>
      <c r="H990" s="13" t="s">
        <v>42</v>
      </c>
      <c r="I990" s="13">
        <v>1</v>
      </c>
      <c r="J990" s="13">
        <v>1392</v>
      </c>
      <c r="K990" s="13">
        <v>4</v>
      </c>
      <c r="L990" s="13" t="s">
        <v>43</v>
      </c>
      <c r="M990" s="13">
        <v>75</v>
      </c>
      <c r="N990" s="13">
        <v>3</v>
      </c>
      <c r="O990" s="13">
        <v>2</v>
      </c>
      <c r="P990" s="13" t="s">
        <v>65</v>
      </c>
      <c r="Q990" s="13">
        <v>4</v>
      </c>
      <c r="R990" s="13" t="s">
        <v>109</v>
      </c>
      <c r="S990" s="20">
        <v>5467</v>
      </c>
      <c r="T990" s="13">
        <v>13953</v>
      </c>
      <c r="U990" s="13">
        <v>3</v>
      </c>
      <c r="V990" s="13" t="s">
        <v>52</v>
      </c>
      <c r="W990" s="13" t="s">
        <v>36</v>
      </c>
      <c r="X990" s="13">
        <v>14</v>
      </c>
      <c r="Y990" s="13">
        <v>3</v>
      </c>
      <c r="Z990" s="13">
        <v>1</v>
      </c>
      <c r="AA990" s="13">
        <v>80</v>
      </c>
      <c r="AB990" s="13">
        <v>2</v>
      </c>
      <c r="AC990" s="13">
        <v>12</v>
      </c>
      <c r="AD990" s="13">
        <v>4</v>
      </c>
      <c r="AE990" s="13">
        <v>2</v>
      </c>
      <c r="AF990" s="14">
        <v>6</v>
      </c>
      <c r="AG990" s="13">
        <v>2</v>
      </c>
      <c r="AH990" s="13">
        <v>3</v>
      </c>
      <c r="AI990" s="13">
        <v>3</v>
      </c>
      <c r="AJ990" s="13" t="str">
        <f t="shared" si="15"/>
        <v>40-49</v>
      </c>
      <c r="AK990" s="13" t="str">
        <f>IF(tblCleanData[[#This Row],[MonthlyIncome]]&lt;5000, "Low Income", IF(tblCleanData[[#This Row],[MonthlyIncome]]&lt;15000, "Medium Income", "High Income"))</f>
        <v>Medium Income</v>
      </c>
      <c r="AL990" s="13">
        <f>IF(tblCleanData[[#This Row],[Attrition]]="No", 0,1)</f>
        <v>0</v>
      </c>
      <c r="AM990" s="13">
        <f>IF(tblCleanData[[#This Row],[OverTime]] = "No", 0, 1)</f>
        <v>1</v>
      </c>
      <c r="AN990" s="13" t="str">
        <f>CHOOSE(tblCleanData[[#This Row],[Education]], "Below College","College","Bachelor","Master","Doctor")</f>
        <v>Bachelor</v>
      </c>
      <c r="AO990" s="13" t="str">
        <f>VLOOKUP(tblCleanData[[#This Row],[EmployeeNumber]],tblHelpers[],15,TRUE)</f>
        <v>Medium Risk</v>
      </c>
      <c r="AP990" s="13">
        <f>VLOOKUP(tblCleanData[[#This Row],[EmployeeNumber]],tblHelpers[],14,0)</f>
        <v>54</v>
      </c>
    </row>
    <row r="991" spans="1:42" x14ac:dyDescent="0.25">
      <c r="A991" s="13">
        <v>37</v>
      </c>
      <c r="B991" s="13" t="s">
        <v>59</v>
      </c>
      <c r="C991" s="13" t="s">
        <v>37</v>
      </c>
      <c r="D991" s="13">
        <v>1439</v>
      </c>
      <c r="E991" s="13" t="s">
        <v>62</v>
      </c>
      <c r="F991" s="13">
        <v>4</v>
      </c>
      <c r="G991" s="13">
        <v>1</v>
      </c>
      <c r="H991" s="13" t="s">
        <v>42</v>
      </c>
      <c r="I991" s="13">
        <v>1</v>
      </c>
      <c r="J991" s="13">
        <v>1394</v>
      </c>
      <c r="K991" s="13">
        <v>3</v>
      </c>
      <c r="L991" s="13" t="s">
        <v>63</v>
      </c>
      <c r="M991" s="13">
        <v>54</v>
      </c>
      <c r="N991" s="13">
        <v>3</v>
      </c>
      <c r="O991" s="13">
        <v>1</v>
      </c>
      <c r="P991" s="13" t="s">
        <v>65</v>
      </c>
      <c r="Q991" s="13">
        <v>3</v>
      </c>
      <c r="R991" s="13" t="s">
        <v>66</v>
      </c>
      <c r="S991" s="20">
        <v>2996</v>
      </c>
      <c r="T991" s="13">
        <v>5182</v>
      </c>
      <c r="U991" s="13">
        <v>7</v>
      </c>
      <c r="V991" s="13" t="s">
        <v>52</v>
      </c>
      <c r="W991" s="13" t="s">
        <v>36</v>
      </c>
      <c r="X991" s="13">
        <v>15</v>
      </c>
      <c r="Y991" s="13">
        <v>3</v>
      </c>
      <c r="Z991" s="13">
        <v>4</v>
      </c>
      <c r="AA991" s="13">
        <v>80</v>
      </c>
      <c r="AB991" s="13">
        <v>0</v>
      </c>
      <c r="AC991" s="13">
        <v>8</v>
      </c>
      <c r="AD991" s="13">
        <v>2</v>
      </c>
      <c r="AE991" s="13">
        <v>3</v>
      </c>
      <c r="AF991" s="14">
        <v>6</v>
      </c>
      <c r="AG991" s="13">
        <v>4</v>
      </c>
      <c r="AH991" s="13">
        <v>1</v>
      </c>
      <c r="AI991" s="13">
        <v>3</v>
      </c>
      <c r="AJ991" s="13" t="str">
        <f t="shared" si="15"/>
        <v>30-39</v>
      </c>
      <c r="AK991" s="13" t="str">
        <f>IF(tblCleanData[[#This Row],[MonthlyIncome]]&lt;5000, "Low Income", IF(tblCleanData[[#This Row],[MonthlyIncome]]&lt;15000, "Medium Income", "High Income"))</f>
        <v>Low Income</v>
      </c>
      <c r="AL991" s="13">
        <f>IF(tblCleanData[[#This Row],[Attrition]]="No", 0,1)</f>
        <v>0</v>
      </c>
      <c r="AM991" s="13">
        <f>IF(tblCleanData[[#This Row],[OverTime]] = "No", 0, 1)</f>
        <v>1</v>
      </c>
      <c r="AN991" s="13" t="str">
        <f>CHOOSE(tblCleanData[[#This Row],[Education]], "Below College","College","Bachelor","Master","Doctor")</f>
        <v>Below College</v>
      </c>
      <c r="AO991" s="13" t="str">
        <f>VLOOKUP(tblCleanData[[#This Row],[EmployeeNumber]],tblHelpers[],15,TRUE)</f>
        <v>High Risk</v>
      </c>
      <c r="AP991" s="13">
        <f>VLOOKUP(tblCleanData[[#This Row],[EmployeeNumber]],tblHelpers[],14,0)</f>
        <v>71</v>
      </c>
    </row>
    <row r="992" spans="1:42" x14ac:dyDescent="0.25">
      <c r="A992" s="13">
        <v>33</v>
      </c>
      <c r="B992" s="13" t="s">
        <v>59</v>
      </c>
      <c r="C992" s="13" t="s">
        <v>60</v>
      </c>
      <c r="D992" s="13">
        <v>1111</v>
      </c>
      <c r="E992" s="13" t="s">
        <v>39</v>
      </c>
      <c r="F992" s="13">
        <v>5</v>
      </c>
      <c r="G992" s="13">
        <v>1</v>
      </c>
      <c r="H992" s="13" t="s">
        <v>42</v>
      </c>
      <c r="I992" s="13">
        <v>1</v>
      </c>
      <c r="J992" s="13">
        <v>1395</v>
      </c>
      <c r="K992" s="13">
        <v>2</v>
      </c>
      <c r="L992" s="13" t="s">
        <v>63</v>
      </c>
      <c r="M992" s="13">
        <v>61</v>
      </c>
      <c r="N992" s="13">
        <v>3</v>
      </c>
      <c r="O992" s="13">
        <v>2</v>
      </c>
      <c r="P992" s="13" t="s">
        <v>46</v>
      </c>
      <c r="Q992" s="13">
        <v>4</v>
      </c>
      <c r="R992" s="13" t="s">
        <v>66</v>
      </c>
      <c r="S992" s="20">
        <v>9998</v>
      </c>
      <c r="T992" s="13">
        <v>19293</v>
      </c>
      <c r="U992" s="13">
        <v>6</v>
      </c>
      <c r="V992" s="13" t="s">
        <v>52</v>
      </c>
      <c r="W992" s="13" t="s">
        <v>59</v>
      </c>
      <c r="X992" s="13">
        <v>13</v>
      </c>
      <c r="Y992" s="13">
        <v>3</v>
      </c>
      <c r="Z992" s="13">
        <v>1</v>
      </c>
      <c r="AA992" s="13">
        <v>80</v>
      </c>
      <c r="AB992" s="13">
        <v>0</v>
      </c>
      <c r="AC992" s="13">
        <v>8</v>
      </c>
      <c r="AD992" s="13">
        <v>2</v>
      </c>
      <c r="AE992" s="13">
        <v>4</v>
      </c>
      <c r="AF992" s="14">
        <v>5</v>
      </c>
      <c r="AG992" s="13">
        <v>4</v>
      </c>
      <c r="AH992" s="13">
        <v>1</v>
      </c>
      <c r="AI992" s="13">
        <v>2</v>
      </c>
      <c r="AJ992" s="13" t="str">
        <f t="shared" si="15"/>
        <v>30-39</v>
      </c>
      <c r="AK992" s="13" t="str">
        <f>IF(tblCleanData[[#This Row],[MonthlyIncome]]&lt;5000, "Low Income", IF(tblCleanData[[#This Row],[MonthlyIncome]]&lt;15000, "Medium Income", "High Income"))</f>
        <v>Medium Income</v>
      </c>
      <c r="AL992" s="13">
        <f>IF(tblCleanData[[#This Row],[Attrition]]="No", 0,1)</f>
        <v>0</v>
      </c>
      <c r="AM992" s="13">
        <f>IF(tblCleanData[[#This Row],[OverTime]] = "No", 0, 1)</f>
        <v>0</v>
      </c>
      <c r="AN992" s="13" t="str">
        <f>CHOOSE(tblCleanData[[#This Row],[Education]], "Below College","College","Bachelor","Master","Doctor")</f>
        <v>Below College</v>
      </c>
      <c r="AO992" s="13" t="str">
        <f>VLOOKUP(tblCleanData[[#This Row],[EmployeeNumber]],tblHelpers[],15,TRUE)</f>
        <v>Medium Risk</v>
      </c>
      <c r="AP992" s="13">
        <f>VLOOKUP(tblCleanData[[#This Row],[EmployeeNumber]],tblHelpers[],14,0)</f>
        <v>46</v>
      </c>
    </row>
    <row r="993" spans="1:42" x14ac:dyDescent="0.25">
      <c r="A993" s="13">
        <v>32</v>
      </c>
      <c r="B993" s="13" t="s">
        <v>59</v>
      </c>
      <c r="C993" s="13" t="s">
        <v>37</v>
      </c>
      <c r="D993" s="13">
        <v>499</v>
      </c>
      <c r="E993" s="13" t="s">
        <v>39</v>
      </c>
      <c r="F993" s="13">
        <v>2</v>
      </c>
      <c r="G993" s="13">
        <v>1</v>
      </c>
      <c r="H993" s="13" t="s">
        <v>206</v>
      </c>
      <c r="I993" s="13">
        <v>1</v>
      </c>
      <c r="J993" s="13">
        <v>1396</v>
      </c>
      <c r="K993" s="13">
        <v>3</v>
      </c>
      <c r="L993" s="13" t="s">
        <v>63</v>
      </c>
      <c r="M993" s="13">
        <v>36</v>
      </c>
      <c r="N993" s="13">
        <v>3</v>
      </c>
      <c r="O993" s="13">
        <v>2</v>
      </c>
      <c r="P993" s="13" t="s">
        <v>46</v>
      </c>
      <c r="Q993" s="13">
        <v>2</v>
      </c>
      <c r="R993" s="13" t="s">
        <v>66</v>
      </c>
      <c r="S993" s="20">
        <v>4078</v>
      </c>
      <c r="T993" s="13">
        <v>20497</v>
      </c>
      <c r="U993" s="13">
        <v>0</v>
      </c>
      <c r="V993" s="13" t="s">
        <v>52</v>
      </c>
      <c r="W993" s="13" t="s">
        <v>36</v>
      </c>
      <c r="X993" s="13">
        <v>13</v>
      </c>
      <c r="Y993" s="13">
        <v>3</v>
      </c>
      <c r="Z993" s="13">
        <v>1</v>
      </c>
      <c r="AA993" s="13">
        <v>80</v>
      </c>
      <c r="AB993" s="13">
        <v>3</v>
      </c>
      <c r="AC993" s="13">
        <v>4</v>
      </c>
      <c r="AD993" s="13">
        <v>3</v>
      </c>
      <c r="AE993" s="13">
        <v>2</v>
      </c>
      <c r="AF993" s="14">
        <v>3</v>
      </c>
      <c r="AG993" s="13">
        <v>2</v>
      </c>
      <c r="AH993" s="13">
        <v>1</v>
      </c>
      <c r="AI993" s="13">
        <v>2</v>
      </c>
      <c r="AJ993" s="13" t="str">
        <f t="shared" si="15"/>
        <v>30-39</v>
      </c>
      <c r="AK993" s="13" t="str">
        <f>IF(tblCleanData[[#This Row],[MonthlyIncome]]&lt;5000, "Low Income", IF(tblCleanData[[#This Row],[MonthlyIncome]]&lt;15000, "Medium Income", "High Income"))</f>
        <v>Low Income</v>
      </c>
      <c r="AL993" s="13">
        <f>IF(tblCleanData[[#This Row],[Attrition]]="No", 0,1)</f>
        <v>0</v>
      </c>
      <c r="AM993" s="13">
        <f>IF(tblCleanData[[#This Row],[OverTime]] = "No", 0, 1)</f>
        <v>1</v>
      </c>
      <c r="AN993" s="13" t="str">
        <f>CHOOSE(tblCleanData[[#This Row],[Education]], "Below College","College","Bachelor","Master","Doctor")</f>
        <v>Below College</v>
      </c>
      <c r="AO993" s="13" t="str">
        <f>VLOOKUP(tblCleanData[[#This Row],[EmployeeNumber]],tblHelpers[],15,TRUE)</f>
        <v>High Risk</v>
      </c>
      <c r="AP993" s="13">
        <f>VLOOKUP(tblCleanData[[#This Row],[EmployeeNumber]],tblHelpers[],14,0)</f>
        <v>84</v>
      </c>
    </row>
    <row r="994" spans="1:42" x14ac:dyDescent="0.25">
      <c r="A994" s="13">
        <v>39</v>
      </c>
      <c r="B994" s="13" t="s">
        <v>59</v>
      </c>
      <c r="C994" s="13" t="s">
        <v>161</v>
      </c>
      <c r="D994" s="13">
        <v>1485</v>
      </c>
      <c r="E994" s="13" t="s">
        <v>62</v>
      </c>
      <c r="F994" s="13">
        <v>25</v>
      </c>
      <c r="G994" s="13">
        <v>2</v>
      </c>
      <c r="H994" s="13" t="s">
        <v>42</v>
      </c>
      <c r="I994" s="13">
        <v>1</v>
      </c>
      <c r="J994" s="13">
        <v>1397</v>
      </c>
      <c r="K994" s="13">
        <v>3</v>
      </c>
      <c r="L994" s="13" t="s">
        <v>63</v>
      </c>
      <c r="M994" s="13">
        <v>71</v>
      </c>
      <c r="N994" s="13">
        <v>3</v>
      </c>
      <c r="O994" s="13">
        <v>3</v>
      </c>
      <c r="P994" s="13" t="s">
        <v>122</v>
      </c>
      <c r="Q994" s="13">
        <v>3</v>
      </c>
      <c r="R994" s="13" t="s">
        <v>66</v>
      </c>
      <c r="S994" s="20">
        <v>10920</v>
      </c>
      <c r="T994" s="13">
        <v>3449</v>
      </c>
      <c r="U994" s="13">
        <v>3</v>
      </c>
      <c r="V994" s="13" t="s">
        <v>52</v>
      </c>
      <c r="W994" s="13" t="s">
        <v>59</v>
      </c>
      <c r="X994" s="13">
        <v>21</v>
      </c>
      <c r="Y994" s="13">
        <v>4</v>
      </c>
      <c r="Z994" s="13">
        <v>2</v>
      </c>
      <c r="AA994" s="13">
        <v>80</v>
      </c>
      <c r="AB994" s="13">
        <v>1</v>
      </c>
      <c r="AC994" s="13">
        <v>13</v>
      </c>
      <c r="AD994" s="13">
        <v>2</v>
      </c>
      <c r="AE994" s="13">
        <v>3</v>
      </c>
      <c r="AF994" s="14">
        <v>6</v>
      </c>
      <c r="AG994" s="13">
        <v>4</v>
      </c>
      <c r="AH994" s="13">
        <v>0</v>
      </c>
      <c r="AI994" s="13">
        <v>5</v>
      </c>
      <c r="AJ994" s="13" t="str">
        <f t="shared" si="15"/>
        <v>30-39</v>
      </c>
      <c r="AK994" s="13" t="str">
        <f>IF(tblCleanData[[#This Row],[MonthlyIncome]]&lt;5000, "Low Income", IF(tblCleanData[[#This Row],[MonthlyIncome]]&lt;15000, "Medium Income", "High Income"))</f>
        <v>Medium Income</v>
      </c>
      <c r="AL994" s="13">
        <f>IF(tblCleanData[[#This Row],[Attrition]]="No", 0,1)</f>
        <v>0</v>
      </c>
      <c r="AM994" s="13">
        <f>IF(tblCleanData[[#This Row],[OverTime]] = "No", 0, 1)</f>
        <v>0</v>
      </c>
      <c r="AN994" s="13" t="str">
        <f>CHOOSE(tblCleanData[[#This Row],[Education]], "Below College","College","Bachelor","Master","Doctor")</f>
        <v>College</v>
      </c>
      <c r="AO994" s="13" t="str">
        <f>VLOOKUP(tblCleanData[[#This Row],[EmployeeNumber]],tblHelpers[],15,TRUE)</f>
        <v>Medium Risk</v>
      </c>
      <c r="AP994" s="13">
        <f>VLOOKUP(tblCleanData[[#This Row],[EmployeeNumber]],tblHelpers[],14,0)</f>
        <v>46</v>
      </c>
    </row>
    <row r="995" spans="1:42" x14ac:dyDescent="0.25">
      <c r="A995" s="13">
        <v>25</v>
      </c>
      <c r="B995" s="13" t="s">
        <v>59</v>
      </c>
      <c r="C995" s="13" t="s">
        <v>37</v>
      </c>
      <c r="D995" s="13">
        <v>1372</v>
      </c>
      <c r="E995" s="13" t="s">
        <v>39</v>
      </c>
      <c r="F995" s="13">
        <v>18</v>
      </c>
      <c r="G995" s="13">
        <v>1</v>
      </c>
      <c r="H995" s="13" t="s">
        <v>42</v>
      </c>
      <c r="I995" s="13">
        <v>1</v>
      </c>
      <c r="J995" s="13">
        <v>1399</v>
      </c>
      <c r="K995" s="13">
        <v>1</v>
      </c>
      <c r="L995" s="13" t="s">
        <v>63</v>
      </c>
      <c r="M995" s="13">
        <v>93</v>
      </c>
      <c r="N995" s="13">
        <v>4</v>
      </c>
      <c r="O995" s="13">
        <v>2</v>
      </c>
      <c r="P995" s="13" t="s">
        <v>46</v>
      </c>
      <c r="Q995" s="13">
        <v>3</v>
      </c>
      <c r="R995" s="13" t="s">
        <v>66</v>
      </c>
      <c r="S995" s="20">
        <v>6232</v>
      </c>
      <c r="T995" s="13">
        <v>12477</v>
      </c>
      <c r="U995" s="13">
        <v>2</v>
      </c>
      <c r="V995" s="13" t="s">
        <v>52</v>
      </c>
      <c r="W995" s="13" t="s">
        <v>59</v>
      </c>
      <c r="X995" s="13">
        <v>11</v>
      </c>
      <c r="Y995" s="13">
        <v>3</v>
      </c>
      <c r="Z995" s="13">
        <v>2</v>
      </c>
      <c r="AA995" s="13">
        <v>80</v>
      </c>
      <c r="AB995" s="13">
        <v>0</v>
      </c>
      <c r="AC995" s="13">
        <v>6</v>
      </c>
      <c r="AD995" s="13">
        <v>3</v>
      </c>
      <c r="AE995" s="13">
        <v>2</v>
      </c>
      <c r="AF995" s="14">
        <v>3</v>
      </c>
      <c r="AG995" s="13">
        <v>2</v>
      </c>
      <c r="AH995" s="13">
        <v>1</v>
      </c>
      <c r="AI995" s="13">
        <v>2</v>
      </c>
      <c r="AJ995" s="13" t="str">
        <f t="shared" si="15"/>
        <v>Under 30</v>
      </c>
      <c r="AK995" s="13" t="str">
        <f>IF(tblCleanData[[#This Row],[MonthlyIncome]]&lt;5000, "Low Income", IF(tblCleanData[[#This Row],[MonthlyIncome]]&lt;15000, "Medium Income", "High Income"))</f>
        <v>Medium Income</v>
      </c>
      <c r="AL995" s="13">
        <f>IF(tblCleanData[[#This Row],[Attrition]]="No", 0,1)</f>
        <v>0</v>
      </c>
      <c r="AM995" s="13">
        <f>IF(tblCleanData[[#This Row],[OverTime]] = "No", 0, 1)</f>
        <v>0</v>
      </c>
      <c r="AN995" s="13" t="str">
        <f>CHOOSE(tblCleanData[[#This Row],[Education]], "Below College","College","Bachelor","Master","Doctor")</f>
        <v>Below College</v>
      </c>
      <c r="AO995" s="13" t="str">
        <f>VLOOKUP(tblCleanData[[#This Row],[EmployeeNumber]],tblHelpers[],15,TRUE)</f>
        <v>High Risk</v>
      </c>
      <c r="AP995" s="13">
        <f>VLOOKUP(tblCleanData[[#This Row],[EmployeeNumber]],tblHelpers[],14,0)</f>
        <v>63</v>
      </c>
    </row>
    <row r="996" spans="1:42" x14ac:dyDescent="0.25">
      <c r="A996" s="13">
        <v>52</v>
      </c>
      <c r="B996" s="13" t="s">
        <v>59</v>
      </c>
      <c r="C996" s="13" t="s">
        <v>60</v>
      </c>
      <c r="D996" s="13">
        <v>322</v>
      </c>
      <c r="E996" s="13" t="s">
        <v>62</v>
      </c>
      <c r="F996" s="13">
        <v>28</v>
      </c>
      <c r="G996" s="13">
        <v>2</v>
      </c>
      <c r="H996" s="13" t="s">
        <v>87</v>
      </c>
      <c r="I996" s="13">
        <v>1</v>
      </c>
      <c r="J996" s="13">
        <v>1401</v>
      </c>
      <c r="K996" s="13">
        <v>4</v>
      </c>
      <c r="L996" s="13" t="s">
        <v>43</v>
      </c>
      <c r="M996" s="13">
        <v>59</v>
      </c>
      <c r="N996" s="13">
        <v>4</v>
      </c>
      <c r="O996" s="13">
        <v>4</v>
      </c>
      <c r="P996" s="13" t="s">
        <v>116</v>
      </c>
      <c r="Q996" s="13">
        <v>3</v>
      </c>
      <c r="R996" s="13" t="s">
        <v>66</v>
      </c>
      <c r="S996" s="20">
        <v>13247</v>
      </c>
      <c r="T996" s="13">
        <v>9731</v>
      </c>
      <c r="U996" s="13">
        <v>2</v>
      </c>
      <c r="V996" s="13" t="s">
        <v>52</v>
      </c>
      <c r="W996" s="13" t="s">
        <v>36</v>
      </c>
      <c r="X996" s="13">
        <v>11</v>
      </c>
      <c r="Y996" s="13">
        <v>3</v>
      </c>
      <c r="Z996" s="13">
        <v>2</v>
      </c>
      <c r="AA996" s="13">
        <v>80</v>
      </c>
      <c r="AB996" s="13">
        <v>1</v>
      </c>
      <c r="AC996" s="13">
        <v>24</v>
      </c>
      <c r="AD996" s="13">
        <v>3</v>
      </c>
      <c r="AE996" s="13">
        <v>2</v>
      </c>
      <c r="AF996" s="14">
        <v>5</v>
      </c>
      <c r="AG996" s="13">
        <v>3</v>
      </c>
      <c r="AH996" s="13">
        <v>0</v>
      </c>
      <c r="AI996" s="13">
        <v>2</v>
      </c>
      <c r="AJ996" s="13" t="str">
        <f t="shared" si="15"/>
        <v>50+</v>
      </c>
      <c r="AK996" s="13" t="str">
        <f>IF(tblCleanData[[#This Row],[MonthlyIncome]]&lt;5000, "Low Income", IF(tblCleanData[[#This Row],[MonthlyIncome]]&lt;15000, "Medium Income", "High Income"))</f>
        <v>Medium Income</v>
      </c>
      <c r="AL996" s="13">
        <f>IF(tblCleanData[[#This Row],[Attrition]]="No", 0,1)</f>
        <v>0</v>
      </c>
      <c r="AM996" s="13">
        <f>IF(tblCleanData[[#This Row],[OverTime]] = "No", 0, 1)</f>
        <v>1</v>
      </c>
      <c r="AN996" s="13" t="str">
        <f>CHOOSE(tblCleanData[[#This Row],[Education]], "Below College","College","Bachelor","Master","Doctor")</f>
        <v>College</v>
      </c>
      <c r="AO996" s="13" t="str">
        <f>VLOOKUP(tblCleanData[[#This Row],[EmployeeNumber]],tblHelpers[],15,TRUE)</f>
        <v>High Risk</v>
      </c>
      <c r="AP996" s="13">
        <f>VLOOKUP(tblCleanData[[#This Row],[EmployeeNumber]],tblHelpers[],14,0)</f>
        <v>73</v>
      </c>
    </row>
    <row r="997" spans="1:42" x14ac:dyDescent="0.25">
      <c r="A997" s="13">
        <v>43</v>
      </c>
      <c r="B997" s="13" t="s">
        <v>59</v>
      </c>
      <c r="C997" s="13" t="s">
        <v>37</v>
      </c>
      <c r="D997" s="13">
        <v>930</v>
      </c>
      <c r="E997" s="13" t="s">
        <v>62</v>
      </c>
      <c r="F997" s="13">
        <v>6</v>
      </c>
      <c r="G997" s="13">
        <v>3</v>
      </c>
      <c r="H997" s="13" t="s">
        <v>87</v>
      </c>
      <c r="I997" s="13">
        <v>1</v>
      </c>
      <c r="J997" s="13">
        <v>1402</v>
      </c>
      <c r="K997" s="13">
        <v>1</v>
      </c>
      <c r="L997" s="13" t="s">
        <v>43</v>
      </c>
      <c r="M997" s="13">
        <v>73</v>
      </c>
      <c r="N997" s="13">
        <v>2</v>
      </c>
      <c r="O997" s="13">
        <v>2</v>
      </c>
      <c r="P997" s="13" t="s">
        <v>65</v>
      </c>
      <c r="Q997" s="13">
        <v>3</v>
      </c>
      <c r="R997" s="13" t="s">
        <v>48</v>
      </c>
      <c r="S997" s="20">
        <v>4081</v>
      </c>
      <c r="T997" s="13">
        <v>20003</v>
      </c>
      <c r="U997" s="13">
        <v>1</v>
      </c>
      <c r="V997" s="13" t="s">
        <v>52</v>
      </c>
      <c r="W997" s="13" t="s">
        <v>36</v>
      </c>
      <c r="X997" s="13">
        <v>14</v>
      </c>
      <c r="Y997" s="13">
        <v>3</v>
      </c>
      <c r="Z997" s="13">
        <v>1</v>
      </c>
      <c r="AA997" s="13">
        <v>80</v>
      </c>
      <c r="AB997" s="13">
        <v>0</v>
      </c>
      <c r="AC997" s="13">
        <v>20</v>
      </c>
      <c r="AD997" s="13">
        <v>3</v>
      </c>
      <c r="AE997" s="13">
        <v>1</v>
      </c>
      <c r="AF997" s="14">
        <v>20</v>
      </c>
      <c r="AG997" s="13">
        <v>7</v>
      </c>
      <c r="AH997" s="13">
        <v>1</v>
      </c>
      <c r="AI997" s="13">
        <v>8</v>
      </c>
      <c r="AJ997" s="13" t="str">
        <f t="shared" si="15"/>
        <v>40-49</v>
      </c>
      <c r="AK997" s="13" t="str">
        <f>IF(tblCleanData[[#This Row],[MonthlyIncome]]&lt;5000, "Low Income", IF(tblCleanData[[#This Row],[MonthlyIncome]]&lt;15000, "Medium Income", "High Income"))</f>
        <v>Low Income</v>
      </c>
      <c r="AL997" s="13">
        <f>IF(tblCleanData[[#This Row],[Attrition]]="No", 0,1)</f>
        <v>0</v>
      </c>
      <c r="AM997" s="13">
        <f>IF(tblCleanData[[#This Row],[OverTime]] = "No", 0, 1)</f>
        <v>1</v>
      </c>
      <c r="AN997" s="13" t="str">
        <f>CHOOSE(tblCleanData[[#This Row],[Education]], "Below College","College","Bachelor","Master","Doctor")</f>
        <v>Bachelor</v>
      </c>
      <c r="AO997" s="13" t="str">
        <f>VLOOKUP(tblCleanData[[#This Row],[EmployeeNumber]],tblHelpers[],15,TRUE)</f>
        <v>High Risk</v>
      </c>
      <c r="AP997" s="13">
        <f>VLOOKUP(tblCleanData[[#This Row],[EmployeeNumber]],tblHelpers[],14,0)</f>
        <v>56</v>
      </c>
    </row>
    <row r="998" spans="1:42" x14ac:dyDescent="0.25">
      <c r="A998" s="13">
        <v>27</v>
      </c>
      <c r="B998" s="13" t="s">
        <v>59</v>
      </c>
      <c r="C998" s="13" t="s">
        <v>37</v>
      </c>
      <c r="D998" s="13">
        <v>205</v>
      </c>
      <c r="E998" s="13" t="s">
        <v>39</v>
      </c>
      <c r="F998" s="13">
        <v>10</v>
      </c>
      <c r="G998" s="13">
        <v>3</v>
      </c>
      <c r="H998" s="13" t="s">
        <v>206</v>
      </c>
      <c r="I998" s="13">
        <v>1</v>
      </c>
      <c r="J998" s="13">
        <v>1403</v>
      </c>
      <c r="K998" s="13">
        <v>4</v>
      </c>
      <c r="L998" s="13" t="s">
        <v>43</v>
      </c>
      <c r="M998" s="13">
        <v>98</v>
      </c>
      <c r="N998" s="13">
        <v>2</v>
      </c>
      <c r="O998" s="13">
        <v>2</v>
      </c>
      <c r="P998" s="13" t="s">
        <v>46</v>
      </c>
      <c r="Q998" s="13">
        <v>4</v>
      </c>
      <c r="R998" s="13" t="s">
        <v>66</v>
      </c>
      <c r="S998" s="20">
        <v>5769</v>
      </c>
      <c r="T998" s="13">
        <v>7100</v>
      </c>
      <c r="U998" s="13">
        <v>1</v>
      </c>
      <c r="V998" s="13" t="s">
        <v>52</v>
      </c>
      <c r="W998" s="13" t="s">
        <v>36</v>
      </c>
      <c r="X998" s="13">
        <v>11</v>
      </c>
      <c r="Y998" s="13">
        <v>3</v>
      </c>
      <c r="Z998" s="13">
        <v>4</v>
      </c>
      <c r="AA998" s="13">
        <v>80</v>
      </c>
      <c r="AB998" s="13">
        <v>0</v>
      </c>
      <c r="AC998" s="13">
        <v>6</v>
      </c>
      <c r="AD998" s="13">
        <v>3</v>
      </c>
      <c r="AE998" s="13">
        <v>3</v>
      </c>
      <c r="AF998" s="14">
        <v>6</v>
      </c>
      <c r="AG998" s="13">
        <v>2</v>
      </c>
      <c r="AH998" s="13">
        <v>4</v>
      </c>
      <c r="AI998" s="13">
        <v>4</v>
      </c>
      <c r="AJ998" s="13" t="str">
        <f t="shared" si="15"/>
        <v>Under 30</v>
      </c>
      <c r="AK998" s="13" t="str">
        <f>IF(tblCleanData[[#This Row],[MonthlyIncome]]&lt;5000, "Low Income", IF(tblCleanData[[#This Row],[MonthlyIncome]]&lt;15000, "Medium Income", "High Income"))</f>
        <v>Medium Income</v>
      </c>
      <c r="AL998" s="13">
        <f>IF(tblCleanData[[#This Row],[Attrition]]="No", 0,1)</f>
        <v>0</v>
      </c>
      <c r="AM998" s="13">
        <f>IF(tblCleanData[[#This Row],[OverTime]] = "No", 0, 1)</f>
        <v>1</v>
      </c>
      <c r="AN998" s="13" t="str">
        <f>CHOOSE(tblCleanData[[#This Row],[Education]], "Below College","College","Bachelor","Master","Doctor")</f>
        <v>Bachelor</v>
      </c>
      <c r="AO998" s="13" t="str">
        <f>VLOOKUP(tblCleanData[[#This Row],[EmployeeNumber]],tblHelpers[],15,TRUE)</f>
        <v>High Risk</v>
      </c>
      <c r="AP998" s="13">
        <f>VLOOKUP(tblCleanData[[#This Row],[EmployeeNumber]],tblHelpers[],14,0)</f>
        <v>74</v>
      </c>
    </row>
    <row r="999" spans="1:42" x14ac:dyDescent="0.25">
      <c r="A999" s="13">
        <v>27</v>
      </c>
      <c r="B999" s="13" t="s">
        <v>36</v>
      </c>
      <c r="C999" s="13" t="s">
        <v>37</v>
      </c>
      <c r="D999" s="13">
        <v>135</v>
      </c>
      <c r="E999" s="13" t="s">
        <v>62</v>
      </c>
      <c r="F999" s="13">
        <v>17</v>
      </c>
      <c r="G999" s="13">
        <v>4</v>
      </c>
      <c r="H999" s="13" t="s">
        <v>42</v>
      </c>
      <c r="I999" s="13">
        <v>1</v>
      </c>
      <c r="J999" s="13">
        <v>1405</v>
      </c>
      <c r="K999" s="13">
        <v>4</v>
      </c>
      <c r="L999" s="13" t="s">
        <v>43</v>
      </c>
      <c r="M999" s="13">
        <v>51</v>
      </c>
      <c r="N999" s="13">
        <v>3</v>
      </c>
      <c r="O999" s="13">
        <v>1</v>
      </c>
      <c r="P999" s="13" t="s">
        <v>65</v>
      </c>
      <c r="Q999" s="13">
        <v>3</v>
      </c>
      <c r="R999" s="13" t="s">
        <v>48</v>
      </c>
      <c r="S999" s="20">
        <v>2394</v>
      </c>
      <c r="T999" s="13">
        <v>25681</v>
      </c>
      <c r="U999" s="13">
        <v>1</v>
      </c>
      <c r="V999" s="13" t="s">
        <v>52</v>
      </c>
      <c r="W999" s="13" t="s">
        <v>36</v>
      </c>
      <c r="X999" s="13">
        <v>13</v>
      </c>
      <c r="Y999" s="13">
        <v>3</v>
      </c>
      <c r="Z999" s="13">
        <v>4</v>
      </c>
      <c r="AA999" s="13">
        <v>80</v>
      </c>
      <c r="AB999" s="13">
        <v>0</v>
      </c>
      <c r="AC999" s="13">
        <v>8</v>
      </c>
      <c r="AD999" s="13">
        <v>2</v>
      </c>
      <c r="AE999" s="13">
        <v>3</v>
      </c>
      <c r="AF999" s="14">
        <v>8</v>
      </c>
      <c r="AG999" s="13">
        <v>2</v>
      </c>
      <c r="AH999" s="13">
        <v>7</v>
      </c>
      <c r="AI999" s="13">
        <v>7</v>
      </c>
      <c r="AJ999" s="13" t="str">
        <f t="shared" si="15"/>
        <v>Under 30</v>
      </c>
      <c r="AK999" s="13" t="str">
        <f>IF(tblCleanData[[#This Row],[MonthlyIncome]]&lt;5000, "Low Income", IF(tblCleanData[[#This Row],[MonthlyIncome]]&lt;15000, "Medium Income", "High Income"))</f>
        <v>Low Income</v>
      </c>
      <c r="AL999" s="13">
        <f>IF(tblCleanData[[#This Row],[Attrition]]="No", 0,1)</f>
        <v>1</v>
      </c>
      <c r="AM999" s="13">
        <f>IF(tblCleanData[[#This Row],[OverTime]] = "No", 0, 1)</f>
        <v>1</v>
      </c>
      <c r="AN999" s="13" t="str">
        <f>CHOOSE(tblCleanData[[#This Row],[Education]], "Below College","College","Bachelor","Master","Doctor")</f>
        <v>Master</v>
      </c>
      <c r="AO999" s="13" t="str">
        <f>VLOOKUP(tblCleanData[[#This Row],[EmployeeNumber]],tblHelpers[],15,TRUE)</f>
        <v>High Risk</v>
      </c>
      <c r="AP999" s="13">
        <f>VLOOKUP(tblCleanData[[#This Row],[EmployeeNumber]],tblHelpers[],14,0)</f>
        <v>81</v>
      </c>
    </row>
    <row r="1000" spans="1:42" x14ac:dyDescent="0.25">
      <c r="A1000" s="13">
        <v>26</v>
      </c>
      <c r="B1000" s="13" t="s">
        <v>59</v>
      </c>
      <c r="C1000" s="13" t="s">
        <v>37</v>
      </c>
      <c r="D1000" s="13">
        <v>683</v>
      </c>
      <c r="E1000" s="13" t="s">
        <v>62</v>
      </c>
      <c r="F1000" s="13">
        <v>2</v>
      </c>
      <c r="G1000" s="13">
        <v>1</v>
      </c>
      <c r="H1000" s="13" t="s">
        <v>87</v>
      </c>
      <c r="I1000" s="13">
        <v>1</v>
      </c>
      <c r="J1000" s="13">
        <v>1407</v>
      </c>
      <c r="K1000" s="13">
        <v>1</v>
      </c>
      <c r="L1000" s="13" t="s">
        <v>63</v>
      </c>
      <c r="M1000" s="13">
        <v>36</v>
      </c>
      <c r="N1000" s="13">
        <v>2</v>
      </c>
      <c r="O1000" s="13">
        <v>1</v>
      </c>
      <c r="P1000" s="13" t="s">
        <v>65</v>
      </c>
      <c r="Q1000" s="13">
        <v>4</v>
      </c>
      <c r="R1000" s="13" t="s">
        <v>48</v>
      </c>
      <c r="S1000" s="20">
        <v>3904</v>
      </c>
      <c r="T1000" s="13">
        <v>4050</v>
      </c>
      <c r="U1000" s="13">
        <v>0</v>
      </c>
      <c r="V1000" s="13" t="s">
        <v>52</v>
      </c>
      <c r="W1000" s="13" t="s">
        <v>59</v>
      </c>
      <c r="X1000" s="13">
        <v>12</v>
      </c>
      <c r="Y1000" s="13">
        <v>3</v>
      </c>
      <c r="Z1000" s="13">
        <v>4</v>
      </c>
      <c r="AA1000" s="13">
        <v>80</v>
      </c>
      <c r="AB1000" s="13">
        <v>0</v>
      </c>
      <c r="AC1000" s="13">
        <v>5</v>
      </c>
      <c r="AD1000" s="13">
        <v>2</v>
      </c>
      <c r="AE1000" s="13">
        <v>3</v>
      </c>
      <c r="AF1000" s="14">
        <v>4</v>
      </c>
      <c r="AG1000" s="13">
        <v>3</v>
      </c>
      <c r="AH1000" s="13">
        <v>1</v>
      </c>
      <c r="AI1000" s="13">
        <v>1</v>
      </c>
      <c r="AJ1000" s="13" t="str">
        <f t="shared" si="15"/>
        <v>Under 30</v>
      </c>
      <c r="AK1000" s="13" t="str">
        <f>IF(tblCleanData[[#This Row],[MonthlyIncome]]&lt;5000, "Low Income", IF(tblCleanData[[#This Row],[MonthlyIncome]]&lt;15000, "Medium Income", "High Income"))</f>
        <v>Low Income</v>
      </c>
      <c r="AL1000" s="13">
        <f>IF(tblCleanData[[#This Row],[Attrition]]="No", 0,1)</f>
        <v>0</v>
      </c>
      <c r="AM1000" s="13">
        <f>IF(tblCleanData[[#This Row],[OverTime]] = "No", 0, 1)</f>
        <v>0</v>
      </c>
      <c r="AN1000" s="13" t="str">
        <f>CHOOSE(tblCleanData[[#This Row],[Education]], "Below College","College","Bachelor","Master","Doctor")</f>
        <v>Below College</v>
      </c>
      <c r="AO1000" s="13" t="str">
        <f>VLOOKUP(tblCleanData[[#This Row],[EmployeeNumber]],tblHelpers[],15,TRUE)</f>
        <v>High Risk</v>
      </c>
      <c r="AP1000" s="13">
        <f>VLOOKUP(tblCleanData[[#This Row],[EmployeeNumber]],tblHelpers[],14,0)</f>
        <v>56</v>
      </c>
    </row>
    <row r="1001" spans="1:42" x14ac:dyDescent="0.25">
      <c r="A1001" s="13">
        <v>42</v>
      </c>
      <c r="B1001" s="13" t="s">
        <v>59</v>
      </c>
      <c r="C1001" s="13" t="s">
        <v>37</v>
      </c>
      <c r="D1001" s="13">
        <v>1147</v>
      </c>
      <c r="E1001" s="13" t="s">
        <v>397</v>
      </c>
      <c r="F1001" s="13">
        <v>10</v>
      </c>
      <c r="G1001" s="13">
        <v>3</v>
      </c>
      <c r="H1001" s="13" t="s">
        <v>397</v>
      </c>
      <c r="I1001" s="13">
        <v>1</v>
      </c>
      <c r="J1001" s="13">
        <v>1408</v>
      </c>
      <c r="K1001" s="13">
        <v>3</v>
      </c>
      <c r="L1001" s="13" t="s">
        <v>43</v>
      </c>
      <c r="M1001" s="13">
        <v>31</v>
      </c>
      <c r="N1001" s="13">
        <v>3</v>
      </c>
      <c r="O1001" s="13">
        <v>4</v>
      </c>
      <c r="P1001" s="13" t="s">
        <v>169</v>
      </c>
      <c r="Q1001" s="13">
        <v>1</v>
      </c>
      <c r="R1001" s="13" t="s">
        <v>66</v>
      </c>
      <c r="S1001" s="20">
        <v>16799</v>
      </c>
      <c r="T1001" s="13">
        <v>16616</v>
      </c>
      <c r="U1001" s="13">
        <v>0</v>
      </c>
      <c r="V1001" s="13" t="s">
        <v>52</v>
      </c>
      <c r="W1001" s="13" t="s">
        <v>59</v>
      </c>
      <c r="X1001" s="13">
        <v>14</v>
      </c>
      <c r="Y1001" s="13">
        <v>3</v>
      </c>
      <c r="Z1001" s="13">
        <v>3</v>
      </c>
      <c r="AA1001" s="13">
        <v>80</v>
      </c>
      <c r="AB1001" s="13">
        <v>1</v>
      </c>
      <c r="AC1001" s="13">
        <v>21</v>
      </c>
      <c r="AD1001" s="13">
        <v>5</v>
      </c>
      <c r="AE1001" s="13">
        <v>3</v>
      </c>
      <c r="AF1001" s="14">
        <v>20</v>
      </c>
      <c r="AG1001" s="13">
        <v>7</v>
      </c>
      <c r="AH1001" s="13">
        <v>0</v>
      </c>
      <c r="AI1001" s="13">
        <v>9</v>
      </c>
      <c r="AJ1001" s="13" t="str">
        <f t="shared" si="15"/>
        <v>40-49</v>
      </c>
      <c r="AK1001" s="13" t="str">
        <f>IF(tblCleanData[[#This Row],[MonthlyIncome]]&lt;5000, "Low Income", IF(tblCleanData[[#This Row],[MonthlyIncome]]&lt;15000, "Medium Income", "High Income"))</f>
        <v>High Income</v>
      </c>
      <c r="AL1001" s="13">
        <f>IF(tblCleanData[[#This Row],[Attrition]]="No", 0,1)</f>
        <v>0</v>
      </c>
      <c r="AM1001" s="13">
        <f>IF(tblCleanData[[#This Row],[OverTime]] = "No", 0, 1)</f>
        <v>0</v>
      </c>
      <c r="AN1001" s="13" t="str">
        <f>CHOOSE(tblCleanData[[#This Row],[Education]], "Below College","College","Bachelor","Master","Doctor")</f>
        <v>Bachelor</v>
      </c>
      <c r="AO1001" s="13" t="str">
        <f>VLOOKUP(tblCleanData[[#This Row],[EmployeeNumber]],tblHelpers[],15,TRUE)</f>
        <v>Medium Risk</v>
      </c>
      <c r="AP1001" s="13">
        <f>VLOOKUP(tblCleanData[[#This Row],[EmployeeNumber]],tblHelpers[],14,0)</f>
        <v>43</v>
      </c>
    </row>
    <row r="1002" spans="1:42" x14ac:dyDescent="0.25">
      <c r="A1002" s="13">
        <v>52</v>
      </c>
      <c r="B1002" s="13" t="s">
        <v>59</v>
      </c>
      <c r="C1002" s="13" t="s">
        <v>37</v>
      </c>
      <c r="D1002" s="13">
        <v>258</v>
      </c>
      <c r="E1002" s="13" t="s">
        <v>62</v>
      </c>
      <c r="F1002" s="13">
        <v>8</v>
      </c>
      <c r="G1002" s="13">
        <v>4</v>
      </c>
      <c r="H1002" s="13" t="s">
        <v>74</v>
      </c>
      <c r="I1002" s="13">
        <v>1</v>
      </c>
      <c r="J1002" s="13">
        <v>1409</v>
      </c>
      <c r="K1002" s="13">
        <v>3</v>
      </c>
      <c r="L1002" s="13" t="s">
        <v>43</v>
      </c>
      <c r="M1002" s="13">
        <v>54</v>
      </c>
      <c r="N1002" s="13">
        <v>3</v>
      </c>
      <c r="O1002" s="13">
        <v>1</v>
      </c>
      <c r="P1002" s="13" t="s">
        <v>76</v>
      </c>
      <c r="Q1002" s="13">
        <v>1</v>
      </c>
      <c r="R1002" s="13" t="s">
        <v>66</v>
      </c>
      <c r="S1002" s="20">
        <v>2950</v>
      </c>
      <c r="T1002" s="13">
        <v>17363</v>
      </c>
      <c r="U1002" s="13">
        <v>9</v>
      </c>
      <c r="V1002" s="13" t="s">
        <v>52</v>
      </c>
      <c r="W1002" s="13" t="s">
        <v>59</v>
      </c>
      <c r="X1002" s="13">
        <v>13</v>
      </c>
      <c r="Y1002" s="13">
        <v>3</v>
      </c>
      <c r="Z1002" s="13">
        <v>3</v>
      </c>
      <c r="AA1002" s="13">
        <v>80</v>
      </c>
      <c r="AB1002" s="13">
        <v>0</v>
      </c>
      <c r="AC1002" s="13">
        <v>12</v>
      </c>
      <c r="AD1002" s="13">
        <v>2</v>
      </c>
      <c r="AE1002" s="13">
        <v>1</v>
      </c>
      <c r="AF1002" s="14">
        <v>5</v>
      </c>
      <c r="AG1002" s="13">
        <v>4</v>
      </c>
      <c r="AH1002" s="13">
        <v>0</v>
      </c>
      <c r="AI1002" s="13">
        <v>4</v>
      </c>
      <c r="AJ1002" s="13" t="str">
        <f t="shared" si="15"/>
        <v>50+</v>
      </c>
      <c r="AK1002" s="13" t="str">
        <f>IF(tblCleanData[[#This Row],[MonthlyIncome]]&lt;5000, "Low Income", IF(tblCleanData[[#This Row],[MonthlyIncome]]&lt;15000, "Medium Income", "High Income"))</f>
        <v>Low Income</v>
      </c>
      <c r="AL1002" s="13">
        <f>IF(tblCleanData[[#This Row],[Attrition]]="No", 0,1)</f>
        <v>0</v>
      </c>
      <c r="AM1002" s="13">
        <f>IF(tblCleanData[[#This Row],[OverTime]] = "No", 0, 1)</f>
        <v>0</v>
      </c>
      <c r="AN1002" s="13" t="str">
        <f>CHOOSE(tblCleanData[[#This Row],[Education]], "Below College","College","Bachelor","Master","Doctor")</f>
        <v>Master</v>
      </c>
      <c r="AO1002" s="13" t="str">
        <f>VLOOKUP(tblCleanData[[#This Row],[EmployeeNumber]],tblHelpers[],15,TRUE)</f>
        <v>High Risk</v>
      </c>
      <c r="AP1002" s="13">
        <f>VLOOKUP(tblCleanData[[#This Row],[EmployeeNumber]],tblHelpers[],14,0)</f>
        <v>60</v>
      </c>
    </row>
    <row r="1003" spans="1:42" x14ac:dyDescent="0.25">
      <c r="A1003" s="13">
        <v>37</v>
      </c>
      <c r="B1003" s="13" t="s">
        <v>59</v>
      </c>
      <c r="C1003" s="13" t="s">
        <v>37</v>
      </c>
      <c r="D1003" s="13">
        <v>1462</v>
      </c>
      <c r="E1003" s="13" t="s">
        <v>62</v>
      </c>
      <c r="F1003" s="13">
        <v>11</v>
      </c>
      <c r="G1003" s="13">
        <v>3</v>
      </c>
      <c r="H1003" s="13" t="s">
        <v>87</v>
      </c>
      <c r="I1003" s="13">
        <v>1</v>
      </c>
      <c r="J1003" s="13">
        <v>1411</v>
      </c>
      <c r="K1003" s="13">
        <v>1</v>
      </c>
      <c r="L1003" s="13" t="s">
        <v>43</v>
      </c>
      <c r="M1003" s="13">
        <v>94</v>
      </c>
      <c r="N1003" s="13">
        <v>3</v>
      </c>
      <c r="O1003" s="13">
        <v>1</v>
      </c>
      <c r="P1003" s="13" t="s">
        <v>76</v>
      </c>
      <c r="Q1003" s="13">
        <v>3</v>
      </c>
      <c r="R1003" s="13" t="s">
        <v>48</v>
      </c>
      <c r="S1003" s="20">
        <v>3629</v>
      </c>
      <c r="T1003" s="13">
        <v>19106</v>
      </c>
      <c r="U1003" s="13">
        <v>4</v>
      </c>
      <c r="V1003" s="13" t="s">
        <v>52</v>
      </c>
      <c r="W1003" s="13" t="s">
        <v>59</v>
      </c>
      <c r="X1003" s="13">
        <v>18</v>
      </c>
      <c r="Y1003" s="13">
        <v>3</v>
      </c>
      <c r="Z1003" s="13">
        <v>1</v>
      </c>
      <c r="AA1003" s="13">
        <v>80</v>
      </c>
      <c r="AB1003" s="13">
        <v>0</v>
      </c>
      <c r="AC1003" s="13">
        <v>8</v>
      </c>
      <c r="AD1003" s="13">
        <v>6</v>
      </c>
      <c r="AE1003" s="13">
        <v>3</v>
      </c>
      <c r="AF1003" s="14">
        <v>3</v>
      </c>
      <c r="AG1003" s="13">
        <v>2</v>
      </c>
      <c r="AH1003" s="13">
        <v>0</v>
      </c>
      <c r="AI1003" s="13">
        <v>2</v>
      </c>
      <c r="AJ1003" s="13" t="str">
        <f t="shared" si="15"/>
        <v>30-39</v>
      </c>
      <c r="AK1003" s="13" t="str">
        <f>IF(tblCleanData[[#This Row],[MonthlyIncome]]&lt;5000, "Low Income", IF(tblCleanData[[#This Row],[MonthlyIncome]]&lt;15000, "Medium Income", "High Income"))</f>
        <v>Low Income</v>
      </c>
      <c r="AL1003" s="13">
        <f>IF(tblCleanData[[#This Row],[Attrition]]="No", 0,1)</f>
        <v>0</v>
      </c>
      <c r="AM1003" s="13">
        <f>IF(tblCleanData[[#This Row],[OverTime]] = "No", 0, 1)</f>
        <v>0</v>
      </c>
      <c r="AN1003" s="13" t="str">
        <f>CHOOSE(tblCleanData[[#This Row],[Education]], "Below College","College","Bachelor","Master","Doctor")</f>
        <v>Bachelor</v>
      </c>
      <c r="AO1003" s="13" t="str">
        <f>VLOOKUP(tblCleanData[[#This Row],[EmployeeNumber]],tblHelpers[],15,TRUE)</f>
        <v>Medium Risk</v>
      </c>
      <c r="AP1003" s="13">
        <f>VLOOKUP(tblCleanData[[#This Row],[EmployeeNumber]],tblHelpers[],14,0)</f>
        <v>53</v>
      </c>
    </row>
    <row r="1004" spans="1:42" x14ac:dyDescent="0.25">
      <c r="A1004" s="13">
        <v>35</v>
      </c>
      <c r="B1004" s="13" t="s">
        <v>59</v>
      </c>
      <c r="C1004" s="13" t="s">
        <v>60</v>
      </c>
      <c r="D1004" s="13">
        <v>200</v>
      </c>
      <c r="E1004" s="13" t="s">
        <v>62</v>
      </c>
      <c r="F1004" s="13">
        <v>18</v>
      </c>
      <c r="G1004" s="13">
        <v>2</v>
      </c>
      <c r="H1004" s="13" t="s">
        <v>42</v>
      </c>
      <c r="I1004" s="13">
        <v>1</v>
      </c>
      <c r="J1004" s="13">
        <v>1412</v>
      </c>
      <c r="K1004" s="13">
        <v>3</v>
      </c>
      <c r="L1004" s="13" t="s">
        <v>63</v>
      </c>
      <c r="M1004" s="13">
        <v>60</v>
      </c>
      <c r="N1004" s="13">
        <v>3</v>
      </c>
      <c r="O1004" s="13">
        <v>3</v>
      </c>
      <c r="P1004" s="13" t="s">
        <v>116</v>
      </c>
      <c r="Q1004" s="13">
        <v>4</v>
      </c>
      <c r="R1004" s="13" t="s">
        <v>48</v>
      </c>
      <c r="S1004" s="20">
        <v>9362</v>
      </c>
      <c r="T1004" s="13">
        <v>19944</v>
      </c>
      <c r="U1004" s="13">
        <v>2</v>
      </c>
      <c r="V1004" s="13" t="s">
        <v>52</v>
      </c>
      <c r="W1004" s="13" t="s">
        <v>59</v>
      </c>
      <c r="X1004" s="13">
        <v>11</v>
      </c>
      <c r="Y1004" s="13">
        <v>3</v>
      </c>
      <c r="Z1004" s="13">
        <v>3</v>
      </c>
      <c r="AA1004" s="13">
        <v>80</v>
      </c>
      <c r="AB1004" s="13">
        <v>0</v>
      </c>
      <c r="AC1004" s="13">
        <v>10</v>
      </c>
      <c r="AD1004" s="13">
        <v>2</v>
      </c>
      <c r="AE1004" s="13">
        <v>3</v>
      </c>
      <c r="AF1004" s="14">
        <v>2</v>
      </c>
      <c r="AG1004" s="13">
        <v>2</v>
      </c>
      <c r="AH1004" s="13">
        <v>2</v>
      </c>
      <c r="AI1004" s="13">
        <v>2</v>
      </c>
      <c r="AJ1004" s="13" t="str">
        <f t="shared" si="15"/>
        <v>30-39</v>
      </c>
      <c r="AK1004" s="13" t="str">
        <f>IF(tblCleanData[[#This Row],[MonthlyIncome]]&lt;5000, "Low Income", IF(tblCleanData[[#This Row],[MonthlyIncome]]&lt;15000, "Medium Income", "High Income"))</f>
        <v>Medium Income</v>
      </c>
      <c r="AL1004" s="13">
        <f>IF(tblCleanData[[#This Row],[Attrition]]="No", 0,1)</f>
        <v>0</v>
      </c>
      <c r="AM1004" s="13">
        <f>IF(tblCleanData[[#This Row],[OverTime]] = "No", 0, 1)</f>
        <v>0</v>
      </c>
      <c r="AN1004" s="13" t="str">
        <f>CHOOSE(tblCleanData[[#This Row],[Education]], "Below College","College","Bachelor","Master","Doctor")</f>
        <v>College</v>
      </c>
      <c r="AO1004" s="13" t="str">
        <f>VLOOKUP(tblCleanData[[#This Row],[EmployeeNumber]],tblHelpers[],15,TRUE)</f>
        <v>High Risk</v>
      </c>
      <c r="AP1004" s="13">
        <f>VLOOKUP(tblCleanData[[#This Row],[EmployeeNumber]],tblHelpers[],14,0)</f>
        <v>56</v>
      </c>
    </row>
    <row r="1005" spans="1:42" x14ac:dyDescent="0.25">
      <c r="A1005" s="13">
        <v>25</v>
      </c>
      <c r="B1005" s="13" t="s">
        <v>59</v>
      </c>
      <c r="C1005" s="13" t="s">
        <v>37</v>
      </c>
      <c r="D1005" s="13">
        <v>949</v>
      </c>
      <c r="E1005" s="13" t="s">
        <v>62</v>
      </c>
      <c r="F1005" s="13">
        <v>1</v>
      </c>
      <c r="G1005" s="13">
        <v>3</v>
      </c>
      <c r="H1005" s="13" t="s">
        <v>228</v>
      </c>
      <c r="I1005" s="13">
        <v>1</v>
      </c>
      <c r="J1005" s="13">
        <v>1415</v>
      </c>
      <c r="K1005" s="13">
        <v>1</v>
      </c>
      <c r="L1005" s="13" t="s">
        <v>63</v>
      </c>
      <c r="M1005" s="13">
        <v>81</v>
      </c>
      <c r="N1005" s="13">
        <v>3</v>
      </c>
      <c r="O1005" s="13">
        <v>1</v>
      </c>
      <c r="P1005" s="13" t="s">
        <v>76</v>
      </c>
      <c r="Q1005" s="13">
        <v>4</v>
      </c>
      <c r="R1005" s="13" t="s">
        <v>66</v>
      </c>
      <c r="S1005" s="20">
        <v>3229</v>
      </c>
      <c r="T1005" s="13">
        <v>4910</v>
      </c>
      <c r="U1005" s="13">
        <v>4</v>
      </c>
      <c r="V1005" s="13" t="s">
        <v>52</v>
      </c>
      <c r="W1005" s="13" t="s">
        <v>59</v>
      </c>
      <c r="X1005" s="13">
        <v>11</v>
      </c>
      <c r="Y1005" s="13">
        <v>3</v>
      </c>
      <c r="Z1005" s="13">
        <v>2</v>
      </c>
      <c r="AA1005" s="13">
        <v>80</v>
      </c>
      <c r="AB1005" s="13">
        <v>1</v>
      </c>
      <c r="AC1005" s="13">
        <v>7</v>
      </c>
      <c r="AD1005" s="13">
        <v>2</v>
      </c>
      <c r="AE1005" s="13">
        <v>2</v>
      </c>
      <c r="AF1005" s="14">
        <v>3</v>
      </c>
      <c r="AG1005" s="13">
        <v>2</v>
      </c>
      <c r="AH1005" s="13">
        <v>0</v>
      </c>
      <c r="AI1005" s="13">
        <v>2</v>
      </c>
      <c r="AJ1005" s="13" t="str">
        <f t="shared" si="15"/>
        <v>Under 30</v>
      </c>
      <c r="AK1005" s="13" t="str">
        <f>IF(tblCleanData[[#This Row],[MonthlyIncome]]&lt;5000, "Low Income", IF(tblCleanData[[#This Row],[MonthlyIncome]]&lt;15000, "Medium Income", "High Income"))</f>
        <v>Low Income</v>
      </c>
      <c r="AL1005" s="13">
        <f>IF(tblCleanData[[#This Row],[Attrition]]="No", 0,1)</f>
        <v>0</v>
      </c>
      <c r="AM1005" s="13">
        <f>IF(tblCleanData[[#This Row],[OverTime]] = "No", 0, 1)</f>
        <v>0</v>
      </c>
      <c r="AN1005" s="13" t="str">
        <f>CHOOSE(tblCleanData[[#This Row],[Education]], "Below College","College","Bachelor","Master","Doctor")</f>
        <v>Bachelor</v>
      </c>
      <c r="AO1005" s="13" t="str">
        <f>VLOOKUP(tblCleanData[[#This Row],[EmployeeNumber]],tblHelpers[],15,TRUE)</f>
        <v>High Risk</v>
      </c>
      <c r="AP1005" s="13">
        <f>VLOOKUP(tblCleanData[[#This Row],[EmployeeNumber]],tblHelpers[],14,0)</f>
        <v>56</v>
      </c>
    </row>
    <row r="1006" spans="1:42" x14ac:dyDescent="0.25">
      <c r="A1006" s="13">
        <v>26</v>
      </c>
      <c r="B1006" s="13" t="s">
        <v>59</v>
      </c>
      <c r="C1006" s="13" t="s">
        <v>37</v>
      </c>
      <c r="D1006" s="13">
        <v>652</v>
      </c>
      <c r="E1006" s="13" t="s">
        <v>62</v>
      </c>
      <c r="F1006" s="13">
        <v>7</v>
      </c>
      <c r="G1006" s="13">
        <v>3</v>
      </c>
      <c r="H1006" s="13" t="s">
        <v>74</v>
      </c>
      <c r="I1006" s="13">
        <v>1</v>
      </c>
      <c r="J1006" s="13">
        <v>1417</v>
      </c>
      <c r="K1006" s="13">
        <v>3</v>
      </c>
      <c r="L1006" s="13" t="s">
        <v>63</v>
      </c>
      <c r="M1006" s="13">
        <v>100</v>
      </c>
      <c r="N1006" s="13">
        <v>4</v>
      </c>
      <c r="O1006" s="13">
        <v>1</v>
      </c>
      <c r="P1006" s="13" t="s">
        <v>76</v>
      </c>
      <c r="Q1006" s="13">
        <v>1</v>
      </c>
      <c r="R1006" s="13" t="s">
        <v>48</v>
      </c>
      <c r="S1006" s="20">
        <v>3578</v>
      </c>
      <c r="T1006" s="13">
        <v>23577</v>
      </c>
      <c r="U1006" s="13">
        <v>0</v>
      </c>
      <c r="V1006" s="13" t="s">
        <v>52</v>
      </c>
      <c r="W1006" s="13" t="s">
        <v>59</v>
      </c>
      <c r="X1006" s="13">
        <v>12</v>
      </c>
      <c r="Y1006" s="13">
        <v>3</v>
      </c>
      <c r="Z1006" s="13">
        <v>4</v>
      </c>
      <c r="AA1006" s="13">
        <v>80</v>
      </c>
      <c r="AB1006" s="13">
        <v>0</v>
      </c>
      <c r="AC1006" s="13">
        <v>8</v>
      </c>
      <c r="AD1006" s="13">
        <v>2</v>
      </c>
      <c r="AE1006" s="13">
        <v>3</v>
      </c>
      <c r="AF1006" s="14">
        <v>7</v>
      </c>
      <c r="AG1006" s="13">
        <v>7</v>
      </c>
      <c r="AH1006" s="13">
        <v>0</v>
      </c>
      <c r="AI1006" s="13">
        <v>7</v>
      </c>
      <c r="AJ1006" s="13" t="str">
        <f t="shared" si="15"/>
        <v>Under 30</v>
      </c>
      <c r="AK1006" s="13" t="str">
        <f>IF(tblCleanData[[#This Row],[MonthlyIncome]]&lt;5000, "Low Income", IF(tblCleanData[[#This Row],[MonthlyIncome]]&lt;15000, "Medium Income", "High Income"))</f>
        <v>Low Income</v>
      </c>
      <c r="AL1006" s="13">
        <f>IF(tblCleanData[[#This Row],[Attrition]]="No", 0,1)</f>
        <v>0</v>
      </c>
      <c r="AM1006" s="13">
        <f>IF(tblCleanData[[#This Row],[OverTime]] = "No", 0, 1)</f>
        <v>0</v>
      </c>
      <c r="AN1006" s="13" t="str">
        <f>CHOOSE(tblCleanData[[#This Row],[Education]], "Below College","College","Bachelor","Master","Doctor")</f>
        <v>Bachelor</v>
      </c>
      <c r="AO1006" s="13" t="str">
        <f>VLOOKUP(tblCleanData[[#This Row],[EmployeeNumber]],tblHelpers[],15,TRUE)</f>
        <v>High Risk</v>
      </c>
      <c r="AP1006" s="13">
        <f>VLOOKUP(tblCleanData[[#This Row],[EmployeeNumber]],tblHelpers[],14,0)</f>
        <v>68</v>
      </c>
    </row>
    <row r="1007" spans="1:42" x14ac:dyDescent="0.25">
      <c r="A1007" s="13">
        <v>29</v>
      </c>
      <c r="B1007" s="13" t="s">
        <v>59</v>
      </c>
      <c r="C1007" s="13" t="s">
        <v>37</v>
      </c>
      <c r="D1007" s="13">
        <v>332</v>
      </c>
      <c r="E1007" s="13" t="s">
        <v>397</v>
      </c>
      <c r="F1007" s="13">
        <v>17</v>
      </c>
      <c r="G1007" s="13">
        <v>3</v>
      </c>
      <c r="H1007" s="13" t="s">
        <v>74</v>
      </c>
      <c r="I1007" s="13">
        <v>1</v>
      </c>
      <c r="J1007" s="13">
        <v>1419</v>
      </c>
      <c r="K1007" s="13">
        <v>2</v>
      </c>
      <c r="L1007" s="13" t="s">
        <v>63</v>
      </c>
      <c r="M1007" s="13">
        <v>51</v>
      </c>
      <c r="N1007" s="13">
        <v>2</v>
      </c>
      <c r="O1007" s="13">
        <v>3</v>
      </c>
      <c r="P1007" s="13" t="s">
        <v>397</v>
      </c>
      <c r="Q1007" s="13">
        <v>1</v>
      </c>
      <c r="R1007" s="13" t="s">
        <v>48</v>
      </c>
      <c r="S1007" s="20">
        <v>7988</v>
      </c>
      <c r="T1007" s="13">
        <v>9769</v>
      </c>
      <c r="U1007" s="13">
        <v>1</v>
      </c>
      <c r="V1007" s="13" t="s">
        <v>52</v>
      </c>
      <c r="W1007" s="13" t="s">
        <v>59</v>
      </c>
      <c r="X1007" s="13">
        <v>13</v>
      </c>
      <c r="Y1007" s="13">
        <v>3</v>
      </c>
      <c r="Z1007" s="13">
        <v>1</v>
      </c>
      <c r="AA1007" s="13">
        <v>80</v>
      </c>
      <c r="AB1007" s="13">
        <v>0</v>
      </c>
      <c r="AC1007" s="13">
        <v>10</v>
      </c>
      <c r="AD1007" s="13">
        <v>3</v>
      </c>
      <c r="AE1007" s="13">
        <v>2</v>
      </c>
      <c r="AF1007" s="14">
        <v>10</v>
      </c>
      <c r="AG1007" s="13">
        <v>9</v>
      </c>
      <c r="AH1007" s="13">
        <v>0</v>
      </c>
      <c r="AI1007" s="13">
        <v>9</v>
      </c>
      <c r="AJ1007" s="13" t="str">
        <f t="shared" si="15"/>
        <v>Under 30</v>
      </c>
      <c r="AK1007" s="13" t="str">
        <f>IF(tblCleanData[[#This Row],[MonthlyIncome]]&lt;5000, "Low Income", IF(tblCleanData[[#This Row],[MonthlyIncome]]&lt;15000, "Medium Income", "High Income"))</f>
        <v>Medium Income</v>
      </c>
      <c r="AL1007" s="13">
        <f>IF(tblCleanData[[#This Row],[Attrition]]="No", 0,1)</f>
        <v>0</v>
      </c>
      <c r="AM1007" s="13">
        <f>IF(tblCleanData[[#This Row],[OverTime]] = "No", 0, 1)</f>
        <v>0</v>
      </c>
      <c r="AN1007" s="13" t="str">
        <f>CHOOSE(tblCleanData[[#This Row],[Education]], "Below College","College","Bachelor","Master","Doctor")</f>
        <v>Bachelor</v>
      </c>
      <c r="AO1007" s="13" t="str">
        <f>VLOOKUP(tblCleanData[[#This Row],[EmployeeNumber]],tblHelpers[],15,TRUE)</f>
        <v>High Risk</v>
      </c>
      <c r="AP1007" s="13">
        <f>VLOOKUP(tblCleanData[[#This Row],[EmployeeNumber]],tblHelpers[],14,0)</f>
        <v>68</v>
      </c>
    </row>
    <row r="1008" spans="1:42" x14ac:dyDescent="0.25">
      <c r="A1008" s="13">
        <v>49</v>
      </c>
      <c r="B1008" s="13" t="s">
        <v>36</v>
      </c>
      <c r="C1008" s="13" t="s">
        <v>60</v>
      </c>
      <c r="D1008" s="13">
        <v>1475</v>
      </c>
      <c r="E1008" s="13" t="s">
        <v>62</v>
      </c>
      <c r="F1008" s="13">
        <v>28</v>
      </c>
      <c r="G1008" s="13">
        <v>2</v>
      </c>
      <c r="H1008" s="13" t="s">
        <v>42</v>
      </c>
      <c r="I1008" s="13">
        <v>1</v>
      </c>
      <c r="J1008" s="13">
        <v>1420</v>
      </c>
      <c r="K1008" s="13">
        <v>1</v>
      </c>
      <c r="L1008" s="13" t="s">
        <v>63</v>
      </c>
      <c r="M1008" s="13">
        <v>97</v>
      </c>
      <c r="N1008" s="13">
        <v>2</v>
      </c>
      <c r="O1008" s="13">
        <v>2</v>
      </c>
      <c r="P1008" s="13" t="s">
        <v>76</v>
      </c>
      <c r="Q1008" s="13">
        <v>1</v>
      </c>
      <c r="R1008" s="13" t="s">
        <v>48</v>
      </c>
      <c r="S1008" s="20">
        <v>4284</v>
      </c>
      <c r="T1008" s="13">
        <v>22710</v>
      </c>
      <c r="U1008" s="13">
        <v>3</v>
      </c>
      <c r="V1008" s="13" t="s">
        <v>52</v>
      </c>
      <c r="W1008" s="13" t="s">
        <v>59</v>
      </c>
      <c r="X1008" s="13">
        <v>20</v>
      </c>
      <c r="Y1008" s="13">
        <v>4</v>
      </c>
      <c r="Z1008" s="13">
        <v>1</v>
      </c>
      <c r="AA1008" s="13">
        <v>80</v>
      </c>
      <c r="AB1008" s="13">
        <v>0</v>
      </c>
      <c r="AC1008" s="13">
        <v>20</v>
      </c>
      <c r="AD1008" s="13">
        <v>2</v>
      </c>
      <c r="AE1008" s="13">
        <v>3</v>
      </c>
      <c r="AF1008" s="14">
        <v>4</v>
      </c>
      <c r="AG1008" s="13">
        <v>3</v>
      </c>
      <c r="AH1008" s="13">
        <v>1</v>
      </c>
      <c r="AI1008" s="13">
        <v>3</v>
      </c>
      <c r="AJ1008" s="13" t="str">
        <f t="shared" si="15"/>
        <v>40-49</v>
      </c>
      <c r="AK1008" s="13" t="str">
        <f>IF(tblCleanData[[#This Row],[MonthlyIncome]]&lt;5000, "Low Income", IF(tblCleanData[[#This Row],[MonthlyIncome]]&lt;15000, "Medium Income", "High Income"))</f>
        <v>Low Income</v>
      </c>
      <c r="AL1008" s="13">
        <f>IF(tblCleanData[[#This Row],[Attrition]]="No", 0,1)</f>
        <v>1</v>
      </c>
      <c r="AM1008" s="13">
        <f>IF(tblCleanData[[#This Row],[OverTime]] = "No", 0, 1)</f>
        <v>0</v>
      </c>
      <c r="AN1008" s="13" t="str">
        <f>CHOOSE(tblCleanData[[#This Row],[Education]], "Below College","College","Bachelor","Master","Doctor")</f>
        <v>College</v>
      </c>
      <c r="AO1008" s="13" t="str">
        <f>VLOOKUP(tblCleanData[[#This Row],[EmployeeNumber]],tblHelpers[],15,TRUE)</f>
        <v>High Risk</v>
      </c>
      <c r="AP1008" s="13">
        <f>VLOOKUP(tblCleanData[[#This Row],[EmployeeNumber]],tblHelpers[],14,0)</f>
        <v>55</v>
      </c>
    </row>
    <row r="1009" spans="1:42" x14ac:dyDescent="0.25">
      <c r="A1009" s="13">
        <v>29</v>
      </c>
      <c r="B1009" s="13" t="s">
        <v>36</v>
      </c>
      <c r="C1009" s="13" t="s">
        <v>60</v>
      </c>
      <c r="D1009" s="13">
        <v>337</v>
      </c>
      <c r="E1009" s="13" t="s">
        <v>62</v>
      </c>
      <c r="F1009" s="13">
        <v>14</v>
      </c>
      <c r="G1009" s="13">
        <v>1</v>
      </c>
      <c r="H1009" s="13" t="s">
        <v>74</v>
      </c>
      <c r="I1009" s="13">
        <v>1</v>
      </c>
      <c r="J1009" s="13">
        <v>1421</v>
      </c>
      <c r="K1009" s="13">
        <v>3</v>
      </c>
      <c r="L1009" s="13" t="s">
        <v>43</v>
      </c>
      <c r="M1009" s="13">
        <v>84</v>
      </c>
      <c r="N1009" s="13">
        <v>3</v>
      </c>
      <c r="O1009" s="13">
        <v>3</v>
      </c>
      <c r="P1009" s="13" t="s">
        <v>122</v>
      </c>
      <c r="Q1009" s="13">
        <v>4</v>
      </c>
      <c r="R1009" s="13" t="s">
        <v>48</v>
      </c>
      <c r="S1009" s="20">
        <v>7553</v>
      </c>
      <c r="T1009" s="13">
        <v>22930</v>
      </c>
      <c r="U1009" s="13">
        <v>0</v>
      </c>
      <c r="V1009" s="13" t="s">
        <v>52</v>
      </c>
      <c r="W1009" s="13" t="s">
        <v>36</v>
      </c>
      <c r="X1009" s="13">
        <v>12</v>
      </c>
      <c r="Y1009" s="13">
        <v>3</v>
      </c>
      <c r="Z1009" s="13">
        <v>1</v>
      </c>
      <c r="AA1009" s="13">
        <v>80</v>
      </c>
      <c r="AB1009" s="13">
        <v>0</v>
      </c>
      <c r="AC1009" s="13">
        <v>9</v>
      </c>
      <c r="AD1009" s="13">
        <v>1</v>
      </c>
      <c r="AE1009" s="13">
        <v>3</v>
      </c>
      <c r="AF1009" s="14">
        <v>8</v>
      </c>
      <c r="AG1009" s="13">
        <v>7</v>
      </c>
      <c r="AH1009" s="13">
        <v>7</v>
      </c>
      <c r="AI1009" s="13">
        <v>7</v>
      </c>
      <c r="AJ1009" s="13" t="str">
        <f t="shared" si="15"/>
        <v>Under 30</v>
      </c>
      <c r="AK1009" s="13" t="str">
        <f>IF(tblCleanData[[#This Row],[MonthlyIncome]]&lt;5000, "Low Income", IF(tblCleanData[[#This Row],[MonthlyIncome]]&lt;15000, "Medium Income", "High Income"))</f>
        <v>Medium Income</v>
      </c>
      <c r="AL1009" s="13">
        <f>IF(tblCleanData[[#This Row],[Attrition]]="No", 0,1)</f>
        <v>1</v>
      </c>
      <c r="AM1009" s="13">
        <f>IF(tblCleanData[[#This Row],[OverTime]] = "No", 0, 1)</f>
        <v>1</v>
      </c>
      <c r="AN1009" s="13" t="str">
        <f>CHOOSE(tblCleanData[[#This Row],[Education]], "Below College","College","Bachelor","Master","Doctor")</f>
        <v>Below College</v>
      </c>
      <c r="AO1009" s="13" t="str">
        <f>VLOOKUP(tblCleanData[[#This Row],[EmployeeNumber]],tblHelpers[],15,TRUE)</f>
        <v>High Risk</v>
      </c>
      <c r="AP1009" s="13">
        <f>VLOOKUP(tblCleanData[[#This Row],[EmployeeNumber]],tblHelpers[],14,0)</f>
        <v>74</v>
      </c>
    </row>
    <row r="1010" spans="1:42" x14ac:dyDescent="0.25">
      <c r="A1010" s="13">
        <v>54</v>
      </c>
      <c r="B1010" s="13" t="s">
        <v>59</v>
      </c>
      <c r="C1010" s="13" t="s">
        <v>37</v>
      </c>
      <c r="D1010" s="13">
        <v>971</v>
      </c>
      <c r="E1010" s="13" t="s">
        <v>62</v>
      </c>
      <c r="F1010" s="13">
        <v>1</v>
      </c>
      <c r="G1010" s="13">
        <v>3</v>
      </c>
      <c r="H1010" s="13" t="s">
        <v>87</v>
      </c>
      <c r="I1010" s="13">
        <v>1</v>
      </c>
      <c r="J1010" s="13">
        <v>1422</v>
      </c>
      <c r="K1010" s="13">
        <v>4</v>
      </c>
      <c r="L1010" s="13" t="s">
        <v>43</v>
      </c>
      <c r="M1010" s="13">
        <v>54</v>
      </c>
      <c r="N1010" s="13">
        <v>3</v>
      </c>
      <c r="O1010" s="13">
        <v>4</v>
      </c>
      <c r="P1010" s="13" t="s">
        <v>186</v>
      </c>
      <c r="Q1010" s="13">
        <v>4</v>
      </c>
      <c r="R1010" s="13" t="s">
        <v>48</v>
      </c>
      <c r="S1010" s="20">
        <v>17328</v>
      </c>
      <c r="T1010" s="13">
        <v>5652</v>
      </c>
      <c r="U1010" s="13">
        <v>6</v>
      </c>
      <c r="V1010" s="13" t="s">
        <v>52</v>
      </c>
      <c r="W1010" s="13" t="s">
        <v>59</v>
      </c>
      <c r="X1010" s="13">
        <v>19</v>
      </c>
      <c r="Y1010" s="13">
        <v>3</v>
      </c>
      <c r="Z1010" s="13">
        <v>4</v>
      </c>
      <c r="AA1010" s="13">
        <v>80</v>
      </c>
      <c r="AB1010" s="13">
        <v>0</v>
      </c>
      <c r="AC1010" s="13">
        <v>29</v>
      </c>
      <c r="AD1010" s="13">
        <v>3</v>
      </c>
      <c r="AE1010" s="13">
        <v>2</v>
      </c>
      <c r="AF1010" s="14">
        <v>20</v>
      </c>
      <c r="AG1010" s="13">
        <v>7</v>
      </c>
      <c r="AH1010" s="13">
        <v>12</v>
      </c>
      <c r="AI1010" s="13">
        <v>7</v>
      </c>
      <c r="AJ1010" s="13" t="str">
        <f t="shared" si="15"/>
        <v>50+</v>
      </c>
      <c r="AK1010" s="13" t="str">
        <f>IF(tblCleanData[[#This Row],[MonthlyIncome]]&lt;5000, "Low Income", IF(tblCleanData[[#This Row],[MonthlyIncome]]&lt;15000, "Medium Income", "High Income"))</f>
        <v>High Income</v>
      </c>
      <c r="AL1010" s="13">
        <f>IF(tblCleanData[[#This Row],[Attrition]]="No", 0,1)</f>
        <v>0</v>
      </c>
      <c r="AM1010" s="13">
        <f>IF(tblCleanData[[#This Row],[OverTime]] = "No", 0, 1)</f>
        <v>0</v>
      </c>
      <c r="AN1010" s="13" t="str">
        <f>CHOOSE(tblCleanData[[#This Row],[Education]], "Below College","College","Bachelor","Master","Doctor")</f>
        <v>Bachelor</v>
      </c>
      <c r="AO1010" s="13" t="str">
        <f>VLOOKUP(tblCleanData[[#This Row],[EmployeeNumber]],tblHelpers[],15,TRUE)</f>
        <v>Low Risk</v>
      </c>
      <c r="AP1010" s="13">
        <f>VLOOKUP(tblCleanData[[#This Row],[EmployeeNumber]],tblHelpers[],14,0)</f>
        <v>29</v>
      </c>
    </row>
    <row r="1011" spans="1:42" x14ac:dyDescent="0.25">
      <c r="A1011" s="13">
        <v>58</v>
      </c>
      <c r="B1011" s="13" t="s">
        <v>59</v>
      </c>
      <c r="C1011" s="13" t="s">
        <v>37</v>
      </c>
      <c r="D1011" s="13">
        <v>1055</v>
      </c>
      <c r="E1011" s="13" t="s">
        <v>62</v>
      </c>
      <c r="F1011" s="13">
        <v>1</v>
      </c>
      <c r="G1011" s="13">
        <v>3</v>
      </c>
      <c r="H1011" s="13" t="s">
        <v>87</v>
      </c>
      <c r="I1011" s="13">
        <v>1</v>
      </c>
      <c r="J1011" s="13">
        <v>1423</v>
      </c>
      <c r="K1011" s="13">
        <v>4</v>
      </c>
      <c r="L1011" s="13" t="s">
        <v>43</v>
      </c>
      <c r="M1011" s="13">
        <v>76</v>
      </c>
      <c r="N1011" s="13">
        <v>3</v>
      </c>
      <c r="O1011" s="13">
        <v>5</v>
      </c>
      <c r="P1011" s="13" t="s">
        <v>186</v>
      </c>
      <c r="Q1011" s="13">
        <v>1</v>
      </c>
      <c r="R1011" s="13" t="s">
        <v>66</v>
      </c>
      <c r="S1011" s="20">
        <v>19701</v>
      </c>
      <c r="T1011" s="13">
        <v>22456</v>
      </c>
      <c r="U1011" s="13">
        <v>3</v>
      </c>
      <c r="V1011" s="13" t="s">
        <v>52</v>
      </c>
      <c r="W1011" s="13" t="s">
        <v>36</v>
      </c>
      <c r="X1011" s="13">
        <v>21</v>
      </c>
      <c r="Y1011" s="13">
        <v>4</v>
      </c>
      <c r="Z1011" s="13">
        <v>3</v>
      </c>
      <c r="AA1011" s="13">
        <v>80</v>
      </c>
      <c r="AB1011" s="13">
        <v>1</v>
      </c>
      <c r="AC1011" s="13">
        <v>32</v>
      </c>
      <c r="AD1011" s="13">
        <v>3</v>
      </c>
      <c r="AE1011" s="13">
        <v>3</v>
      </c>
      <c r="AF1011" s="14">
        <v>9</v>
      </c>
      <c r="AG1011" s="13">
        <v>8</v>
      </c>
      <c r="AH1011" s="13">
        <v>1</v>
      </c>
      <c r="AI1011" s="13">
        <v>5</v>
      </c>
      <c r="AJ1011" s="13" t="str">
        <f t="shared" si="15"/>
        <v>50+</v>
      </c>
      <c r="AK1011" s="13" t="str">
        <f>IF(tblCleanData[[#This Row],[MonthlyIncome]]&lt;5000, "Low Income", IF(tblCleanData[[#This Row],[MonthlyIncome]]&lt;15000, "Medium Income", "High Income"))</f>
        <v>High Income</v>
      </c>
      <c r="AL1011" s="13">
        <f>IF(tblCleanData[[#This Row],[Attrition]]="No", 0,1)</f>
        <v>0</v>
      </c>
      <c r="AM1011" s="13">
        <f>IF(tblCleanData[[#This Row],[OverTime]] = "No", 0, 1)</f>
        <v>1</v>
      </c>
      <c r="AN1011" s="13" t="str">
        <f>CHOOSE(tblCleanData[[#This Row],[Education]], "Below College","College","Bachelor","Master","Doctor")</f>
        <v>Bachelor</v>
      </c>
      <c r="AO1011" s="13" t="str">
        <f>VLOOKUP(tblCleanData[[#This Row],[EmployeeNumber]],tblHelpers[],15,TRUE)</f>
        <v>High Risk</v>
      </c>
      <c r="AP1011" s="13">
        <f>VLOOKUP(tblCleanData[[#This Row],[EmployeeNumber]],tblHelpers[],14,0)</f>
        <v>78</v>
      </c>
    </row>
    <row r="1012" spans="1:42" x14ac:dyDescent="0.25">
      <c r="A1012" s="13">
        <v>55</v>
      </c>
      <c r="B1012" s="13" t="s">
        <v>59</v>
      </c>
      <c r="C1012" s="13" t="s">
        <v>37</v>
      </c>
      <c r="D1012" s="13">
        <v>1136</v>
      </c>
      <c r="E1012" s="13" t="s">
        <v>62</v>
      </c>
      <c r="F1012" s="13">
        <v>1</v>
      </c>
      <c r="G1012" s="13">
        <v>4</v>
      </c>
      <c r="H1012" s="13" t="s">
        <v>87</v>
      </c>
      <c r="I1012" s="13">
        <v>1</v>
      </c>
      <c r="J1012" s="13">
        <v>1424</v>
      </c>
      <c r="K1012" s="13">
        <v>2</v>
      </c>
      <c r="L1012" s="13" t="s">
        <v>63</v>
      </c>
      <c r="M1012" s="13">
        <v>81</v>
      </c>
      <c r="N1012" s="13">
        <v>4</v>
      </c>
      <c r="O1012" s="13">
        <v>4</v>
      </c>
      <c r="P1012" s="13" t="s">
        <v>186</v>
      </c>
      <c r="Q1012" s="13">
        <v>4</v>
      </c>
      <c r="R1012" s="13" t="s">
        <v>109</v>
      </c>
      <c r="S1012" s="20">
        <v>14732</v>
      </c>
      <c r="T1012" s="13">
        <v>12414</v>
      </c>
      <c r="U1012" s="13">
        <v>2</v>
      </c>
      <c r="V1012" s="13" t="s">
        <v>52</v>
      </c>
      <c r="W1012" s="13" t="s">
        <v>59</v>
      </c>
      <c r="X1012" s="13">
        <v>13</v>
      </c>
      <c r="Y1012" s="13">
        <v>3</v>
      </c>
      <c r="Z1012" s="13">
        <v>4</v>
      </c>
      <c r="AA1012" s="13">
        <v>80</v>
      </c>
      <c r="AB1012" s="13">
        <v>2</v>
      </c>
      <c r="AC1012" s="13">
        <v>31</v>
      </c>
      <c r="AD1012" s="13">
        <v>4</v>
      </c>
      <c r="AE1012" s="13">
        <v>4</v>
      </c>
      <c r="AF1012" s="14">
        <v>7</v>
      </c>
      <c r="AG1012" s="13">
        <v>7</v>
      </c>
      <c r="AH1012" s="13">
        <v>0</v>
      </c>
      <c r="AI1012" s="13">
        <v>0</v>
      </c>
      <c r="AJ1012" s="13" t="str">
        <f t="shared" si="15"/>
        <v>50+</v>
      </c>
      <c r="AK1012" s="13" t="str">
        <f>IF(tblCleanData[[#This Row],[MonthlyIncome]]&lt;5000, "Low Income", IF(tblCleanData[[#This Row],[MonthlyIncome]]&lt;15000, "Medium Income", "High Income"))</f>
        <v>Medium Income</v>
      </c>
      <c r="AL1012" s="13">
        <f>IF(tblCleanData[[#This Row],[Attrition]]="No", 0,1)</f>
        <v>0</v>
      </c>
      <c r="AM1012" s="13">
        <f>IF(tblCleanData[[#This Row],[OverTime]] = "No", 0, 1)</f>
        <v>0</v>
      </c>
      <c r="AN1012" s="13" t="str">
        <f>CHOOSE(tblCleanData[[#This Row],[Education]], "Below College","College","Bachelor","Master","Doctor")</f>
        <v>Master</v>
      </c>
      <c r="AO1012" s="13" t="str">
        <f>VLOOKUP(tblCleanData[[#This Row],[EmployeeNumber]],tblHelpers[],15,TRUE)</f>
        <v>Low Risk</v>
      </c>
      <c r="AP1012" s="13">
        <f>VLOOKUP(tblCleanData[[#This Row],[EmployeeNumber]],tblHelpers[],14,0)</f>
        <v>34</v>
      </c>
    </row>
    <row r="1013" spans="1:42" x14ac:dyDescent="0.25">
      <c r="A1013" s="13">
        <v>36</v>
      </c>
      <c r="B1013" s="13" t="s">
        <v>59</v>
      </c>
      <c r="C1013" s="13" t="s">
        <v>37</v>
      </c>
      <c r="D1013" s="13">
        <v>1174</v>
      </c>
      <c r="E1013" s="13" t="s">
        <v>39</v>
      </c>
      <c r="F1013" s="13">
        <v>3</v>
      </c>
      <c r="G1013" s="13">
        <v>4</v>
      </c>
      <c r="H1013" s="13" t="s">
        <v>206</v>
      </c>
      <c r="I1013" s="13">
        <v>1</v>
      </c>
      <c r="J1013" s="13">
        <v>1425</v>
      </c>
      <c r="K1013" s="13">
        <v>1</v>
      </c>
      <c r="L1013" s="13" t="s">
        <v>43</v>
      </c>
      <c r="M1013" s="13">
        <v>99</v>
      </c>
      <c r="N1013" s="13">
        <v>3</v>
      </c>
      <c r="O1013" s="13">
        <v>2</v>
      </c>
      <c r="P1013" s="13" t="s">
        <v>46</v>
      </c>
      <c r="Q1013" s="13">
        <v>2</v>
      </c>
      <c r="R1013" s="13" t="s">
        <v>48</v>
      </c>
      <c r="S1013" s="20">
        <v>9278</v>
      </c>
      <c r="T1013" s="13">
        <v>20763</v>
      </c>
      <c r="U1013" s="13">
        <v>3</v>
      </c>
      <c r="V1013" s="13" t="s">
        <v>52</v>
      </c>
      <c r="W1013" s="13" t="s">
        <v>36</v>
      </c>
      <c r="X1013" s="13">
        <v>16</v>
      </c>
      <c r="Y1013" s="13">
        <v>3</v>
      </c>
      <c r="Z1013" s="13">
        <v>4</v>
      </c>
      <c r="AA1013" s="13">
        <v>80</v>
      </c>
      <c r="AB1013" s="13">
        <v>0</v>
      </c>
      <c r="AC1013" s="13">
        <v>15</v>
      </c>
      <c r="AD1013" s="13">
        <v>3</v>
      </c>
      <c r="AE1013" s="13">
        <v>3</v>
      </c>
      <c r="AF1013" s="14">
        <v>5</v>
      </c>
      <c r="AG1013" s="13">
        <v>4</v>
      </c>
      <c r="AH1013" s="13">
        <v>0</v>
      </c>
      <c r="AI1013" s="13">
        <v>1</v>
      </c>
      <c r="AJ1013" s="13" t="str">
        <f t="shared" si="15"/>
        <v>30-39</v>
      </c>
      <c r="AK1013" s="13" t="str">
        <f>IF(tblCleanData[[#This Row],[MonthlyIncome]]&lt;5000, "Low Income", IF(tblCleanData[[#This Row],[MonthlyIncome]]&lt;15000, "Medium Income", "High Income"))</f>
        <v>Medium Income</v>
      </c>
      <c r="AL1013" s="13">
        <f>IF(tblCleanData[[#This Row],[Attrition]]="No", 0,1)</f>
        <v>0</v>
      </c>
      <c r="AM1013" s="13">
        <f>IF(tblCleanData[[#This Row],[OverTime]] = "No", 0, 1)</f>
        <v>1</v>
      </c>
      <c r="AN1013" s="13" t="str">
        <f>CHOOSE(tblCleanData[[#This Row],[Education]], "Below College","College","Bachelor","Master","Doctor")</f>
        <v>Master</v>
      </c>
      <c r="AO1013" s="13" t="str">
        <f>VLOOKUP(tblCleanData[[#This Row],[EmployeeNumber]],tblHelpers[],15,TRUE)</f>
        <v>High Risk</v>
      </c>
      <c r="AP1013" s="13">
        <f>VLOOKUP(tblCleanData[[#This Row],[EmployeeNumber]],tblHelpers[],14,0)</f>
        <v>84</v>
      </c>
    </row>
    <row r="1014" spans="1:42" x14ac:dyDescent="0.25">
      <c r="A1014" s="13">
        <v>31</v>
      </c>
      <c r="B1014" s="13" t="s">
        <v>36</v>
      </c>
      <c r="C1014" s="13" t="s">
        <v>60</v>
      </c>
      <c r="D1014" s="13">
        <v>667</v>
      </c>
      <c r="E1014" s="13" t="s">
        <v>39</v>
      </c>
      <c r="F1014" s="13">
        <v>1</v>
      </c>
      <c r="G1014" s="13">
        <v>4</v>
      </c>
      <c r="H1014" s="13" t="s">
        <v>42</v>
      </c>
      <c r="I1014" s="13">
        <v>1</v>
      </c>
      <c r="J1014" s="13">
        <v>1427</v>
      </c>
      <c r="K1014" s="13">
        <v>2</v>
      </c>
      <c r="L1014" s="13" t="s">
        <v>43</v>
      </c>
      <c r="M1014" s="13">
        <v>50</v>
      </c>
      <c r="N1014" s="13">
        <v>1</v>
      </c>
      <c r="O1014" s="13">
        <v>1</v>
      </c>
      <c r="P1014" s="13" t="s">
        <v>182</v>
      </c>
      <c r="Q1014" s="13">
        <v>3</v>
      </c>
      <c r="R1014" s="13" t="s">
        <v>48</v>
      </c>
      <c r="S1014" s="20">
        <v>1359</v>
      </c>
      <c r="T1014" s="13">
        <v>16154</v>
      </c>
      <c r="U1014" s="13">
        <v>1</v>
      </c>
      <c r="V1014" s="13" t="s">
        <v>52</v>
      </c>
      <c r="W1014" s="13" t="s">
        <v>59</v>
      </c>
      <c r="X1014" s="13">
        <v>12</v>
      </c>
      <c r="Y1014" s="13">
        <v>3</v>
      </c>
      <c r="Z1014" s="13">
        <v>2</v>
      </c>
      <c r="AA1014" s="13">
        <v>80</v>
      </c>
      <c r="AB1014" s="13">
        <v>0</v>
      </c>
      <c r="AC1014" s="13">
        <v>1</v>
      </c>
      <c r="AD1014" s="13">
        <v>3</v>
      </c>
      <c r="AE1014" s="13">
        <v>3</v>
      </c>
      <c r="AF1014" s="14">
        <v>1</v>
      </c>
      <c r="AG1014" s="13">
        <v>0</v>
      </c>
      <c r="AH1014" s="13">
        <v>0</v>
      </c>
      <c r="AI1014" s="13">
        <v>0</v>
      </c>
      <c r="AJ1014" s="13" t="str">
        <f t="shared" si="15"/>
        <v>30-39</v>
      </c>
      <c r="AK1014" s="13" t="str">
        <f>IF(tblCleanData[[#This Row],[MonthlyIncome]]&lt;5000, "Low Income", IF(tblCleanData[[#This Row],[MonthlyIncome]]&lt;15000, "Medium Income", "High Income"))</f>
        <v>Low Income</v>
      </c>
      <c r="AL1014" s="13">
        <f>IF(tblCleanData[[#This Row],[Attrition]]="No", 0,1)</f>
        <v>1</v>
      </c>
      <c r="AM1014" s="13">
        <f>IF(tblCleanData[[#This Row],[OverTime]] = "No", 0, 1)</f>
        <v>0</v>
      </c>
      <c r="AN1014" s="13" t="str">
        <f>CHOOSE(tblCleanData[[#This Row],[Education]], "Below College","College","Bachelor","Master","Doctor")</f>
        <v>Master</v>
      </c>
      <c r="AO1014" s="13" t="str">
        <f>VLOOKUP(tblCleanData[[#This Row],[EmployeeNumber]],tblHelpers[],15,TRUE)</f>
        <v>High Risk</v>
      </c>
      <c r="AP1014" s="13">
        <f>VLOOKUP(tblCleanData[[#This Row],[EmployeeNumber]],tblHelpers[],14,0)</f>
        <v>63</v>
      </c>
    </row>
    <row r="1015" spans="1:42" x14ac:dyDescent="0.25">
      <c r="A1015" s="13">
        <v>30</v>
      </c>
      <c r="B1015" s="13" t="s">
        <v>59</v>
      </c>
      <c r="C1015" s="13" t="s">
        <v>37</v>
      </c>
      <c r="D1015" s="13">
        <v>855</v>
      </c>
      <c r="E1015" s="13" t="s">
        <v>39</v>
      </c>
      <c r="F1015" s="13">
        <v>7</v>
      </c>
      <c r="G1015" s="13">
        <v>4</v>
      </c>
      <c r="H1015" s="13" t="s">
        <v>206</v>
      </c>
      <c r="I1015" s="13">
        <v>1</v>
      </c>
      <c r="J1015" s="13">
        <v>1428</v>
      </c>
      <c r="K1015" s="13">
        <v>4</v>
      </c>
      <c r="L1015" s="13" t="s">
        <v>43</v>
      </c>
      <c r="M1015" s="13">
        <v>73</v>
      </c>
      <c r="N1015" s="13">
        <v>3</v>
      </c>
      <c r="O1015" s="13">
        <v>2</v>
      </c>
      <c r="P1015" s="13" t="s">
        <v>46</v>
      </c>
      <c r="Q1015" s="13">
        <v>1</v>
      </c>
      <c r="R1015" s="13" t="s">
        <v>109</v>
      </c>
      <c r="S1015" s="20">
        <v>4779</v>
      </c>
      <c r="T1015" s="13">
        <v>12761</v>
      </c>
      <c r="U1015" s="13">
        <v>7</v>
      </c>
      <c r="V1015" s="13" t="s">
        <v>52</v>
      </c>
      <c r="W1015" s="13" t="s">
        <v>59</v>
      </c>
      <c r="X1015" s="13">
        <v>14</v>
      </c>
      <c r="Y1015" s="13">
        <v>3</v>
      </c>
      <c r="Z1015" s="13">
        <v>2</v>
      </c>
      <c r="AA1015" s="13">
        <v>80</v>
      </c>
      <c r="AB1015" s="13">
        <v>2</v>
      </c>
      <c r="AC1015" s="13">
        <v>8</v>
      </c>
      <c r="AD1015" s="13">
        <v>3</v>
      </c>
      <c r="AE1015" s="13">
        <v>3</v>
      </c>
      <c r="AF1015" s="14">
        <v>3</v>
      </c>
      <c r="AG1015" s="13">
        <v>2</v>
      </c>
      <c r="AH1015" s="13">
        <v>0</v>
      </c>
      <c r="AI1015" s="13">
        <v>2</v>
      </c>
      <c r="AJ1015" s="13" t="str">
        <f t="shared" si="15"/>
        <v>30-39</v>
      </c>
      <c r="AK1015" s="13" t="str">
        <f>IF(tblCleanData[[#This Row],[MonthlyIncome]]&lt;5000, "Low Income", IF(tblCleanData[[#This Row],[MonthlyIncome]]&lt;15000, "Medium Income", "High Income"))</f>
        <v>Low Income</v>
      </c>
      <c r="AL1015" s="13">
        <f>IF(tblCleanData[[#This Row],[Attrition]]="No", 0,1)</f>
        <v>0</v>
      </c>
      <c r="AM1015" s="13">
        <f>IF(tblCleanData[[#This Row],[OverTime]] = "No", 0, 1)</f>
        <v>0</v>
      </c>
      <c r="AN1015" s="13" t="str">
        <f>CHOOSE(tblCleanData[[#This Row],[Education]], "Below College","College","Bachelor","Master","Doctor")</f>
        <v>Master</v>
      </c>
      <c r="AO1015" s="13" t="str">
        <f>VLOOKUP(tblCleanData[[#This Row],[EmployeeNumber]],tblHelpers[],15,TRUE)</f>
        <v>High Risk</v>
      </c>
      <c r="AP1015" s="13">
        <f>VLOOKUP(tblCleanData[[#This Row],[EmployeeNumber]],tblHelpers[],14,0)</f>
        <v>65</v>
      </c>
    </row>
    <row r="1016" spans="1:42" x14ac:dyDescent="0.25">
      <c r="A1016" s="13">
        <v>31</v>
      </c>
      <c r="B1016" s="13" t="s">
        <v>59</v>
      </c>
      <c r="C1016" s="13" t="s">
        <v>37</v>
      </c>
      <c r="D1016" s="13">
        <v>182</v>
      </c>
      <c r="E1016" s="13" t="s">
        <v>62</v>
      </c>
      <c r="F1016" s="13">
        <v>8</v>
      </c>
      <c r="G1016" s="13">
        <v>5</v>
      </c>
      <c r="H1016" s="13" t="s">
        <v>42</v>
      </c>
      <c r="I1016" s="13">
        <v>1</v>
      </c>
      <c r="J1016" s="13">
        <v>1430</v>
      </c>
      <c r="K1016" s="13">
        <v>1</v>
      </c>
      <c r="L1016" s="13" t="s">
        <v>43</v>
      </c>
      <c r="M1016" s="13">
        <v>93</v>
      </c>
      <c r="N1016" s="13">
        <v>3</v>
      </c>
      <c r="O1016" s="13">
        <v>4</v>
      </c>
      <c r="P1016" s="13" t="s">
        <v>186</v>
      </c>
      <c r="Q1016" s="13">
        <v>2</v>
      </c>
      <c r="R1016" s="13" t="s">
        <v>48</v>
      </c>
      <c r="S1016" s="20">
        <v>16422</v>
      </c>
      <c r="T1016" s="13">
        <v>8847</v>
      </c>
      <c r="U1016" s="13">
        <v>3</v>
      </c>
      <c r="V1016" s="13" t="s">
        <v>52</v>
      </c>
      <c r="W1016" s="13" t="s">
        <v>59</v>
      </c>
      <c r="X1016" s="13">
        <v>11</v>
      </c>
      <c r="Y1016" s="13">
        <v>3</v>
      </c>
      <c r="Z1016" s="13">
        <v>3</v>
      </c>
      <c r="AA1016" s="13">
        <v>80</v>
      </c>
      <c r="AB1016" s="13">
        <v>0</v>
      </c>
      <c r="AC1016" s="13">
        <v>9</v>
      </c>
      <c r="AD1016" s="13">
        <v>3</v>
      </c>
      <c r="AE1016" s="13">
        <v>4</v>
      </c>
      <c r="AF1016" s="14">
        <v>3</v>
      </c>
      <c r="AG1016" s="13">
        <v>2</v>
      </c>
      <c r="AH1016" s="13">
        <v>1</v>
      </c>
      <c r="AI1016" s="13">
        <v>0</v>
      </c>
      <c r="AJ1016" s="13" t="str">
        <f t="shared" si="15"/>
        <v>30-39</v>
      </c>
      <c r="AK1016" s="13" t="str">
        <f>IF(tblCleanData[[#This Row],[MonthlyIncome]]&lt;5000, "Low Income", IF(tblCleanData[[#This Row],[MonthlyIncome]]&lt;15000, "Medium Income", "High Income"))</f>
        <v>High Income</v>
      </c>
      <c r="AL1016" s="13">
        <f>IF(tblCleanData[[#This Row],[Attrition]]="No", 0,1)</f>
        <v>0</v>
      </c>
      <c r="AM1016" s="13">
        <f>IF(tblCleanData[[#This Row],[OverTime]] = "No", 0, 1)</f>
        <v>0</v>
      </c>
      <c r="AN1016" s="13" t="str">
        <f>CHOOSE(tblCleanData[[#This Row],[Education]], "Below College","College","Bachelor","Master","Doctor")</f>
        <v>Doctor</v>
      </c>
      <c r="AO1016" s="13" t="str">
        <f>VLOOKUP(tblCleanData[[#This Row],[EmployeeNumber]],tblHelpers[],15,TRUE)</f>
        <v>High Risk</v>
      </c>
      <c r="AP1016" s="13">
        <f>VLOOKUP(tblCleanData[[#This Row],[EmployeeNumber]],tblHelpers[],14,0)</f>
        <v>59</v>
      </c>
    </row>
    <row r="1017" spans="1:42" x14ac:dyDescent="0.25">
      <c r="A1017" s="13">
        <v>34</v>
      </c>
      <c r="B1017" s="13" t="s">
        <v>59</v>
      </c>
      <c r="C1017" s="13" t="s">
        <v>60</v>
      </c>
      <c r="D1017" s="13">
        <v>560</v>
      </c>
      <c r="E1017" s="13" t="s">
        <v>62</v>
      </c>
      <c r="F1017" s="13">
        <v>1</v>
      </c>
      <c r="G1017" s="13">
        <v>4</v>
      </c>
      <c r="H1017" s="13" t="s">
        <v>74</v>
      </c>
      <c r="I1017" s="13">
        <v>1</v>
      </c>
      <c r="J1017" s="13">
        <v>1431</v>
      </c>
      <c r="K1017" s="13">
        <v>4</v>
      </c>
      <c r="L1017" s="13" t="s">
        <v>63</v>
      </c>
      <c r="M1017" s="13">
        <v>91</v>
      </c>
      <c r="N1017" s="13">
        <v>3</v>
      </c>
      <c r="O1017" s="13">
        <v>1</v>
      </c>
      <c r="P1017" s="13" t="s">
        <v>65</v>
      </c>
      <c r="Q1017" s="13">
        <v>1</v>
      </c>
      <c r="R1017" s="13" t="s">
        <v>109</v>
      </c>
      <c r="S1017" s="20">
        <v>2996</v>
      </c>
      <c r="T1017" s="13">
        <v>20284</v>
      </c>
      <c r="U1017" s="13">
        <v>5</v>
      </c>
      <c r="V1017" s="13" t="s">
        <v>52</v>
      </c>
      <c r="W1017" s="13" t="s">
        <v>59</v>
      </c>
      <c r="X1017" s="13">
        <v>14</v>
      </c>
      <c r="Y1017" s="13">
        <v>3</v>
      </c>
      <c r="Z1017" s="13">
        <v>3</v>
      </c>
      <c r="AA1017" s="13">
        <v>80</v>
      </c>
      <c r="AB1017" s="13">
        <v>2</v>
      </c>
      <c r="AC1017" s="13">
        <v>10</v>
      </c>
      <c r="AD1017" s="13">
        <v>2</v>
      </c>
      <c r="AE1017" s="13">
        <v>3</v>
      </c>
      <c r="AF1017" s="14">
        <v>4</v>
      </c>
      <c r="AG1017" s="13">
        <v>3</v>
      </c>
      <c r="AH1017" s="13">
        <v>1</v>
      </c>
      <c r="AI1017" s="13">
        <v>3</v>
      </c>
      <c r="AJ1017" s="13" t="str">
        <f t="shared" si="15"/>
        <v>30-39</v>
      </c>
      <c r="AK1017" s="13" t="str">
        <f>IF(tblCleanData[[#This Row],[MonthlyIncome]]&lt;5000, "Low Income", IF(tblCleanData[[#This Row],[MonthlyIncome]]&lt;15000, "Medium Income", "High Income"))</f>
        <v>Low Income</v>
      </c>
      <c r="AL1017" s="13">
        <f>IF(tblCleanData[[#This Row],[Attrition]]="No", 0,1)</f>
        <v>0</v>
      </c>
      <c r="AM1017" s="13">
        <f>IF(tblCleanData[[#This Row],[OverTime]] = "No", 0, 1)</f>
        <v>0</v>
      </c>
      <c r="AN1017" s="13" t="str">
        <f>CHOOSE(tblCleanData[[#This Row],[Education]], "Below College","College","Bachelor","Master","Doctor")</f>
        <v>Master</v>
      </c>
      <c r="AO1017" s="13" t="str">
        <f>VLOOKUP(tblCleanData[[#This Row],[EmployeeNumber]],tblHelpers[],15,TRUE)</f>
        <v>High Risk</v>
      </c>
      <c r="AP1017" s="13">
        <f>VLOOKUP(tblCleanData[[#This Row],[EmployeeNumber]],tblHelpers[],14,0)</f>
        <v>65</v>
      </c>
    </row>
    <row r="1018" spans="1:42" x14ac:dyDescent="0.25">
      <c r="A1018" s="13">
        <v>31</v>
      </c>
      <c r="B1018" s="13" t="s">
        <v>36</v>
      </c>
      <c r="C1018" s="13" t="s">
        <v>37</v>
      </c>
      <c r="D1018" s="13">
        <v>202</v>
      </c>
      <c r="E1018" s="13" t="s">
        <v>62</v>
      </c>
      <c r="F1018" s="13">
        <v>8</v>
      </c>
      <c r="G1018" s="13">
        <v>3</v>
      </c>
      <c r="H1018" s="13" t="s">
        <v>42</v>
      </c>
      <c r="I1018" s="13">
        <v>1</v>
      </c>
      <c r="J1018" s="13">
        <v>1433</v>
      </c>
      <c r="K1018" s="13">
        <v>1</v>
      </c>
      <c r="L1018" s="13" t="s">
        <v>43</v>
      </c>
      <c r="M1018" s="13">
        <v>34</v>
      </c>
      <c r="N1018" s="13">
        <v>2</v>
      </c>
      <c r="O1018" s="13">
        <v>1</v>
      </c>
      <c r="P1018" s="13" t="s">
        <v>65</v>
      </c>
      <c r="Q1018" s="13">
        <v>2</v>
      </c>
      <c r="R1018" s="13" t="s">
        <v>48</v>
      </c>
      <c r="S1018" s="20">
        <v>1261</v>
      </c>
      <c r="T1018" s="13">
        <v>22262</v>
      </c>
      <c r="U1018" s="13">
        <v>1</v>
      </c>
      <c r="V1018" s="13" t="s">
        <v>52</v>
      </c>
      <c r="W1018" s="13" t="s">
        <v>59</v>
      </c>
      <c r="X1018" s="13">
        <v>12</v>
      </c>
      <c r="Y1018" s="13">
        <v>3</v>
      </c>
      <c r="Z1018" s="13">
        <v>3</v>
      </c>
      <c r="AA1018" s="13">
        <v>80</v>
      </c>
      <c r="AB1018" s="13">
        <v>0</v>
      </c>
      <c r="AC1018" s="13">
        <v>1</v>
      </c>
      <c r="AD1018" s="13">
        <v>3</v>
      </c>
      <c r="AE1018" s="13">
        <v>4</v>
      </c>
      <c r="AF1018" s="14">
        <v>1</v>
      </c>
      <c r="AG1018" s="13">
        <v>0</v>
      </c>
      <c r="AH1018" s="13">
        <v>0</v>
      </c>
      <c r="AI1018" s="13">
        <v>0</v>
      </c>
      <c r="AJ1018" s="13" t="str">
        <f t="shared" si="15"/>
        <v>30-39</v>
      </c>
      <c r="AK1018" s="13" t="str">
        <f>IF(tblCleanData[[#This Row],[MonthlyIncome]]&lt;5000, "Low Income", IF(tblCleanData[[#This Row],[MonthlyIncome]]&lt;15000, "Medium Income", "High Income"))</f>
        <v>Low Income</v>
      </c>
      <c r="AL1018" s="13">
        <f>IF(tblCleanData[[#This Row],[Attrition]]="No", 0,1)</f>
        <v>1</v>
      </c>
      <c r="AM1018" s="13">
        <f>IF(tblCleanData[[#This Row],[OverTime]] = "No", 0, 1)</f>
        <v>0</v>
      </c>
      <c r="AN1018" s="13" t="str">
        <f>CHOOSE(tblCleanData[[#This Row],[Education]], "Below College","College","Bachelor","Master","Doctor")</f>
        <v>Bachelor</v>
      </c>
      <c r="AO1018" s="13" t="str">
        <f>VLOOKUP(tblCleanData[[#This Row],[EmployeeNumber]],tblHelpers[],15,TRUE)</f>
        <v>High Risk</v>
      </c>
      <c r="AP1018" s="13">
        <f>VLOOKUP(tblCleanData[[#This Row],[EmployeeNumber]],tblHelpers[],14,0)</f>
        <v>69</v>
      </c>
    </row>
    <row r="1019" spans="1:42" x14ac:dyDescent="0.25">
      <c r="A1019" s="13">
        <v>27</v>
      </c>
      <c r="B1019" s="13" t="s">
        <v>59</v>
      </c>
      <c r="C1019" s="13" t="s">
        <v>37</v>
      </c>
      <c r="D1019" s="13">
        <v>1377</v>
      </c>
      <c r="E1019" s="13" t="s">
        <v>62</v>
      </c>
      <c r="F1019" s="13">
        <v>11</v>
      </c>
      <c r="G1019" s="13">
        <v>1</v>
      </c>
      <c r="H1019" s="13" t="s">
        <v>42</v>
      </c>
      <c r="I1019" s="13">
        <v>1</v>
      </c>
      <c r="J1019" s="13">
        <v>1434</v>
      </c>
      <c r="K1019" s="13">
        <v>2</v>
      </c>
      <c r="L1019" s="13" t="s">
        <v>63</v>
      </c>
      <c r="M1019" s="13">
        <v>91</v>
      </c>
      <c r="N1019" s="13">
        <v>3</v>
      </c>
      <c r="O1019" s="13">
        <v>1</v>
      </c>
      <c r="P1019" s="13" t="s">
        <v>76</v>
      </c>
      <c r="Q1019" s="13">
        <v>1</v>
      </c>
      <c r="R1019" s="13" t="s">
        <v>66</v>
      </c>
      <c r="S1019" s="20">
        <v>2099</v>
      </c>
      <c r="T1019" s="13">
        <v>7679</v>
      </c>
      <c r="U1019" s="13">
        <v>0</v>
      </c>
      <c r="V1019" s="13" t="s">
        <v>52</v>
      </c>
      <c r="W1019" s="13" t="s">
        <v>59</v>
      </c>
      <c r="X1019" s="13">
        <v>14</v>
      </c>
      <c r="Y1019" s="13">
        <v>3</v>
      </c>
      <c r="Z1019" s="13">
        <v>2</v>
      </c>
      <c r="AA1019" s="13">
        <v>80</v>
      </c>
      <c r="AB1019" s="13">
        <v>0</v>
      </c>
      <c r="AC1019" s="13">
        <v>6</v>
      </c>
      <c r="AD1019" s="13">
        <v>3</v>
      </c>
      <c r="AE1019" s="13">
        <v>4</v>
      </c>
      <c r="AF1019" s="14">
        <v>5</v>
      </c>
      <c r="AG1019" s="13">
        <v>0</v>
      </c>
      <c r="AH1019" s="13">
        <v>1</v>
      </c>
      <c r="AI1019" s="13">
        <v>4</v>
      </c>
      <c r="AJ1019" s="13" t="str">
        <f t="shared" si="15"/>
        <v>Under 30</v>
      </c>
      <c r="AK1019" s="13" t="str">
        <f>IF(tblCleanData[[#This Row],[MonthlyIncome]]&lt;5000, "Low Income", IF(tblCleanData[[#This Row],[MonthlyIncome]]&lt;15000, "Medium Income", "High Income"))</f>
        <v>Low Income</v>
      </c>
      <c r="AL1019" s="13">
        <f>IF(tblCleanData[[#This Row],[Attrition]]="No", 0,1)</f>
        <v>0</v>
      </c>
      <c r="AM1019" s="13">
        <f>IF(tblCleanData[[#This Row],[OverTime]] = "No", 0, 1)</f>
        <v>0</v>
      </c>
      <c r="AN1019" s="13" t="str">
        <f>CHOOSE(tblCleanData[[#This Row],[Education]], "Below College","College","Bachelor","Master","Doctor")</f>
        <v>Below College</v>
      </c>
      <c r="AO1019" s="13" t="str">
        <f>VLOOKUP(tblCleanData[[#This Row],[EmployeeNumber]],tblHelpers[],15,TRUE)</f>
        <v>High Risk</v>
      </c>
      <c r="AP1019" s="13">
        <f>VLOOKUP(tblCleanData[[#This Row],[EmployeeNumber]],tblHelpers[],14,0)</f>
        <v>75</v>
      </c>
    </row>
    <row r="1020" spans="1:42" x14ac:dyDescent="0.25">
      <c r="A1020" s="13">
        <v>36</v>
      </c>
      <c r="B1020" s="13" t="s">
        <v>59</v>
      </c>
      <c r="C1020" s="13" t="s">
        <v>37</v>
      </c>
      <c r="D1020" s="13">
        <v>172</v>
      </c>
      <c r="E1020" s="13" t="s">
        <v>62</v>
      </c>
      <c r="F1020" s="13">
        <v>4</v>
      </c>
      <c r="G1020" s="13">
        <v>4</v>
      </c>
      <c r="H1020" s="13" t="s">
        <v>42</v>
      </c>
      <c r="I1020" s="13">
        <v>1</v>
      </c>
      <c r="J1020" s="13">
        <v>1435</v>
      </c>
      <c r="K1020" s="13">
        <v>1</v>
      </c>
      <c r="L1020" s="13" t="s">
        <v>63</v>
      </c>
      <c r="M1020" s="13">
        <v>37</v>
      </c>
      <c r="N1020" s="13">
        <v>2</v>
      </c>
      <c r="O1020" s="13">
        <v>2</v>
      </c>
      <c r="P1020" s="13" t="s">
        <v>76</v>
      </c>
      <c r="Q1020" s="13">
        <v>4</v>
      </c>
      <c r="R1020" s="13" t="s">
        <v>48</v>
      </c>
      <c r="S1020" s="20">
        <v>5810</v>
      </c>
      <c r="T1020" s="13">
        <v>22604</v>
      </c>
      <c r="U1020" s="13">
        <v>1</v>
      </c>
      <c r="V1020" s="13" t="s">
        <v>52</v>
      </c>
      <c r="W1020" s="13" t="s">
        <v>59</v>
      </c>
      <c r="X1020" s="13">
        <v>16</v>
      </c>
      <c r="Y1020" s="13">
        <v>3</v>
      </c>
      <c r="Z1020" s="13">
        <v>3</v>
      </c>
      <c r="AA1020" s="13">
        <v>80</v>
      </c>
      <c r="AB1020" s="13">
        <v>0</v>
      </c>
      <c r="AC1020" s="13">
        <v>10</v>
      </c>
      <c r="AD1020" s="13">
        <v>2</v>
      </c>
      <c r="AE1020" s="13">
        <v>2</v>
      </c>
      <c r="AF1020" s="14">
        <v>10</v>
      </c>
      <c r="AG1020" s="13">
        <v>4</v>
      </c>
      <c r="AH1020" s="13">
        <v>1</v>
      </c>
      <c r="AI1020" s="13">
        <v>8</v>
      </c>
      <c r="AJ1020" s="13" t="str">
        <f t="shared" si="15"/>
        <v>30-39</v>
      </c>
      <c r="AK1020" s="13" t="str">
        <f>IF(tblCleanData[[#This Row],[MonthlyIncome]]&lt;5000, "Low Income", IF(tblCleanData[[#This Row],[MonthlyIncome]]&lt;15000, "Medium Income", "High Income"))</f>
        <v>Medium Income</v>
      </c>
      <c r="AL1020" s="13">
        <f>IF(tblCleanData[[#This Row],[Attrition]]="No", 0,1)</f>
        <v>0</v>
      </c>
      <c r="AM1020" s="13">
        <f>IF(tblCleanData[[#This Row],[OverTime]] = "No", 0, 1)</f>
        <v>0</v>
      </c>
      <c r="AN1020" s="13" t="str">
        <f>CHOOSE(tblCleanData[[#This Row],[Education]], "Below College","College","Bachelor","Master","Doctor")</f>
        <v>Master</v>
      </c>
      <c r="AO1020" s="13" t="str">
        <f>VLOOKUP(tblCleanData[[#This Row],[EmployeeNumber]],tblHelpers[],15,TRUE)</f>
        <v>Medium Risk</v>
      </c>
      <c r="AP1020" s="13">
        <f>VLOOKUP(tblCleanData[[#This Row],[EmployeeNumber]],tblHelpers[],14,0)</f>
        <v>39</v>
      </c>
    </row>
    <row r="1021" spans="1:42" x14ac:dyDescent="0.25">
      <c r="A1021" s="13">
        <v>36</v>
      </c>
      <c r="B1021" s="13" t="s">
        <v>59</v>
      </c>
      <c r="C1021" s="13" t="s">
        <v>37</v>
      </c>
      <c r="D1021" s="13">
        <v>329</v>
      </c>
      <c r="E1021" s="13" t="s">
        <v>39</v>
      </c>
      <c r="F1021" s="13">
        <v>16</v>
      </c>
      <c r="G1021" s="13">
        <v>4</v>
      </c>
      <c r="H1021" s="13" t="s">
        <v>206</v>
      </c>
      <c r="I1021" s="13">
        <v>1</v>
      </c>
      <c r="J1021" s="13">
        <v>1436</v>
      </c>
      <c r="K1021" s="13">
        <v>3</v>
      </c>
      <c r="L1021" s="13" t="s">
        <v>43</v>
      </c>
      <c r="M1021" s="13">
        <v>98</v>
      </c>
      <c r="N1021" s="13">
        <v>2</v>
      </c>
      <c r="O1021" s="13">
        <v>2</v>
      </c>
      <c r="P1021" s="13" t="s">
        <v>46</v>
      </c>
      <c r="Q1021" s="13">
        <v>1</v>
      </c>
      <c r="R1021" s="13" t="s">
        <v>66</v>
      </c>
      <c r="S1021" s="20">
        <v>5647</v>
      </c>
      <c r="T1021" s="13">
        <v>13494</v>
      </c>
      <c r="U1021" s="13">
        <v>4</v>
      </c>
      <c r="V1021" s="13" t="s">
        <v>52</v>
      </c>
      <c r="W1021" s="13" t="s">
        <v>59</v>
      </c>
      <c r="X1021" s="13">
        <v>13</v>
      </c>
      <c r="Y1021" s="13">
        <v>3</v>
      </c>
      <c r="Z1021" s="13">
        <v>1</v>
      </c>
      <c r="AA1021" s="13">
        <v>80</v>
      </c>
      <c r="AB1021" s="13">
        <v>2</v>
      </c>
      <c r="AC1021" s="13">
        <v>11</v>
      </c>
      <c r="AD1021" s="13">
        <v>3</v>
      </c>
      <c r="AE1021" s="13">
        <v>2</v>
      </c>
      <c r="AF1021" s="14">
        <v>3</v>
      </c>
      <c r="AG1021" s="13">
        <v>2</v>
      </c>
      <c r="AH1021" s="13">
        <v>0</v>
      </c>
      <c r="AI1021" s="13">
        <v>2</v>
      </c>
      <c r="AJ1021" s="13" t="str">
        <f t="shared" si="15"/>
        <v>30-39</v>
      </c>
      <c r="AK1021" s="13" t="str">
        <f>IF(tblCleanData[[#This Row],[MonthlyIncome]]&lt;5000, "Low Income", IF(tblCleanData[[#This Row],[MonthlyIncome]]&lt;15000, "Medium Income", "High Income"))</f>
        <v>Medium Income</v>
      </c>
      <c r="AL1021" s="13">
        <f>IF(tblCleanData[[#This Row],[Attrition]]="No", 0,1)</f>
        <v>0</v>
      </c>
      <c r="AM1021" s="13">
        <f>IF(tblCleanData[[#This Row],[OverTime]] = "No", 0, 1)</f>
        <v>0</v>
      </c>
      <c r="AN1021" s="13" t="str">
        <f>CHOOSE(tblCleanData[[#This Row],[Education]], "Below College","College","Bachelor","Master","Doctor")</f>
        <v>Master</v>
      </c>
      <c r="AO1021" s="13" t="str">
        <f>VLOOKUP(tblCleanData[[#This Row],[EmployeeNumber]],tblHelpers[],15,TRUE)</f>
        <v>High Risk</v>
      </c>
      <c r="AP1021" s="13">
        <f>VLOOKUP(tblCleanData[[#This Row],[EmployeeNumber]],tblHelpers[],14,0)</f>
        <v>65</v>
      </c>
    </row>
    <row r="1022" spans="1:42" x14ac:dyDescent="0.25">
      <c r="A1022" s="13">
        <v>47</v>
      </c>
      <c r="B1022" s="13" t="s">
        <v>59</v>
      </c>
      <c r="C1022" s="13" t="s">
        <v>37</v>
      </c>
      <c r="D1022" s="13">
        <v>465</v>
      </c>
      <c r="E1022" s="13" t="s">
        <v>62</v>
      </c>
      <c r="F1022" s="13">
        <v>1</v>
      </c>
      <c r="G1022" s="13">
        <v>3</v>
      </c>
      <c r="H1022" s="13" t="s">
        <v>228</v>
      </c>
      <c r="I1022" s="13">
        <v>1</v>
      </c>
      <c r="J1022" s="13">
        <v>1438</v>
      </c>
      <c r="K1022" s="13">
        <v>1</v>
      </c>
      <c r="L1022" s="13" t="s">
        <v>63</v>
      </c>
      <c r="M1022" s="13">
        <v>74</v>
      </c>
      <c r="N1022" s="13">
        <v>3</v>
      </c>
      <c r="O1022" s="13">
        <v>1</v>
      </c>
      <c r="P1022" s="13" t="s">
        <v>65</v>
      </c>
      <c r="Q1022" s="13">
        <v>4</v>
      </c>
      <c r="R1022" s="13" t="s">
        <v>66</v>
      </c>
      <c r="S1022" s="20">
        <v>3420</v>
      </c>
      <c r="T1022" s="13">
        <v>10205</v>
      </c>
      <c r="U1022" s="13">
        <v>7</v>
      </c>
      <c r="V1022" s="13" t="s">
        <v>52</v>
      </c>
      <c r="W1022" s="13" t="s">
        <v>59</v>
      </c>
      <c r="X1022" s="13">
        <v>12</v>
      </c>
      <c r="Y1022" s="13">
        <v>3</v>
      </c>
      <c r="Z1022" s="13">
        <v>3</v>
      </c>
      <c r="AA1022" s="13">
        <v>80</v>
      </c>
      <c r="AB1022" s="13">
        <v>1</v>
      </c>
      <c r="AC1022" s="13">
        <v>17</v>
      </c>
      <c r="AD1022" s="13">
        <v>2</v>
      </c>
      <c r="AE1022" s="13">
        <v>2</v>
      </c>
      <c r="AF1022" s="14">
        <v>6</v>
      </c>
      <c r="AG1022" s="13">
        <v>5</v>
      </c>
      <c r="AH1022" s="13">
        <v>1</v>
      </c>
      <c r="AI1022" s="13">
        <v>2</v>
      </c>
      <c r="AJ1022" s="13" t="str">
        <f t="shared" si="15"/>
        <v>40-49</v>
      </c>
      <c r="AK1022" s="13" t="str">
        <f>IF(tblCleanData[[#This Row],[MonthlyIncome]]&lt;5000, "Low Income", IF(tblCleanData[[#This Row],[MonthlyIncome]]&lt;15000, "Medium Income", "High Income"))</f>
        <v>Low Income</v>
      </c>
      <c r="AL1022" s="13">
        <f>IF(tblCleanData[[#This Row],[Attrition]]="No", 0,1)</f>
        <v>0</v>
      </c>
      <c r="AM1022" s="13">
        <f>IF(tblCleanData[[#This Row],[OverTime]] = "No", 0, 1)</f>
        <v>0</v>
      </c>
      <c r="AN1022" s="13" t="str">
        <f>CHOOSE(tblCleanData[[#This Row],[Education]], "Below College","College","Bachelor","Master","Doctor")</f>
        <v>Bachelor</v>
      </c>
      <c r="AO1022" s="13" t="str">
        <f>VLOOKUP(tblCleanData[[#This Row],[EmployeeNumber]],tblHelpers[],15,TRUE)</f>
        <v>Low Risk</v>
      </c>
      <c r="AP1022" s="13">
        <f>VLOOKUP(tblCleanData[[#This Row],[EmployeeNumber]],tblHelpers[],14,0)</f>
        <v>29</v>
      </c>
    </row>
    <row r="1023" spans="1:42" x14ac:dyDescent="0.25">
      <c r="A1023" s="13">
        <v>25</v>
      </c>
      <c r="B1023" s="13" t="s">
        <v>36</v>
      </c>
      <c r="C1023" s="13" t="s">
        <v>37</v>
      </c>
      <c r="D1023" s="13">
        <v>383</v>
      </c>
      <c r="E1023" s="13" t="s">
        <v>39</v>
      </c>
      <c r="F1023" s="13">
        <v>9</v>
      </c>
      <c r="G1023" s="13">
        <v>2</v>
      </c>
      <c r="H1023" s="13" t="s">
        <v>42</v>
      </c>
      <c r="I1023" s="13">
        <v>1</v>
      </c>
      <c r="J1023" s="13">
        <v>1439</v>
      </c>
      <c r="K1023" s="13">
        <v>1</v>
      </c>
      <c r="L1023" s="13" t="s">
        <v>63</v>
      </c>
      <c r="M1023" s="13">
        <v>68</v>
      </c>
      <c r="N1023" s="13">
        <v>2</v>
      </c>
      <c r="O1023" s="13">
        <v>1</v>
      </c>
      <c r="P1023" s="13" t="s">
        <v>182</v>
      </c>
      <c r="Q1023" s="13">
        <v>1</v>
      </c>
      <c r="R1023" s="13" t="s">
        <v>66</v>
      </c>
      <c r="S1023" s="20">
        <v>4400</v>
      </c>
      <c r="T1023" s="13">
        <v>15182</v>
      </c>
      <c r="U1023" s="13">
        <v>3</v>
      </c>
      <c r="V1023" s="13" t="s">
        <v>52</v>
      </c>
      <c r="W1023" s="13" t="s">
        <v>59</v>
      </c>
      <c r="X1023" s="13">
        <v>12</v>
      </c>
      <c r="Y1023" s="13">
        <v>3</v>
      </c>
      <c r="Z1023" s="13">
        <v>1</v>
      </c>
      <c r="AA1023" s="13">
        <v>80</v>
      </c>
      <c r="AB1023" s="13">
        <v>0</v>
      </c>
      <c r="AC1023" s="13">
        <v>6</v>
      </c>
      <c r="AD1023" s="13">
        <v>2</v>
      </c>
      <c r="AE1023" s="13">
        <v>3</v>
      </c>
      <c r="AF1023" s="14">
        <v>3</v>
      </c>
      <c r="AG1023" s="13">
        <v>2</v>
      </c>
      <c r="AH1023" s="13">
        <v>2</v>
      </c>
      <c r="AI1023" s="13">
        <v>2</v>
      </c>
      <c r="AJ1023" s="13" t="str">
        <f t="shared" si="15"/>
        <v>Under 30</v>
      </c>
      <c r="AK1023" s="13" t="str">
        <f>IF(tblCleanData[[#This Row],[MonthlyIncome]]&lt;5000, "Low Income", IF(tblCleanData[[#This Row],[MonthlyIncome]]&lt;15000, "Medium Income", "High Income"))</f>
        <v>Low Income</v>
      </c>
      <c r="AL1023" s="13">
        <f>IF(tblCleanData[[#This Row],[Attrition]]="No", 0,1)</f>
        <v>1</v>
      </c>
      <c r="AM1023" s="13">
        <f>IF(tblCleanData[[#This Row],[OverTime]] = "No", 0, 1)</f>
        <v>0</v>
      </c>
      <c r="AN1023" s="13" t="str">
        <f>CHOOSE(tblCleanData[[#This Row],[Education]], "Below College","College","Bachelor","Master","Doctor")</f>
        <v>College</v>
      </c>
      <c r="AO1023" s="13" t="str">
        <f>VLOOKUP(tblCleanData[[#This Row],[EmployeeNumber]],tblHelpers[],15,TRUE)</f>
        <v>High Risk</v>
      </c>
      <c r="AP1023" s="13">
        <f>VLOOKUP(tblCleanData[[#This Row],[EmployeeNumber]],tblHelpers[],14,0)</f>
        <v>75</v>
      </c>
    </row>
    <row r="1024" spans="1:42" x14ac:dyDescent="0.25">
      <c r="A1024" s="13">
        <v>37</v>
      </c>
      <c r="B1024" s="13" t="s">
        <v>59</v>
      </c>
      <c r="C1024" s="13" t="s">
        <v>161</v>
      </c>
      <c r="D1024" s="13">
        <v>1413</v>
      </c>
      <c r="E1024" s="13" t="s">
        <v>62</v>
      </c>
      <c r="F1024" s="13">
        <v>5</v>
      </c>
      <c r="G1024" s="13">
        <v>2</v>
      </c>
      <c r="H1024" s="13" t="s">
        <v>228</v>
      </c>
      <c r="I1024" s="13">
        <v>1</v>
      </c>
      <c r="J1024" s="13">
        <v>1440</v>
      </c>
      <c r="K1024" s="13">
        <v>3</v>
      </c>
      <c r="L1024" s="13" t="s">
        <v>63</v>
      </c>
      <c r="M1024" s="13">
        <v>84</v>
      </c>
      <c r="N1024" s="13">
        <v>4</v>
      </c>
      <c r="O1024" s="13">
        <v>1</v>
      </c>
      <c r="P1024" s="13" t="s">
        <v>76</v>
      </c>
      <c r="Q1024" s="13">
        <v>3</v>
      </c>
      <c r="R1024" s="13" t="s">
        <v>48</v>
      </c>
      <c r="S1024" s="20">
        <v>3500</v>
      </c>
      <c r="T1024" s="13">
        <v>25470</v>
      </c>
      <c r="U1024" s="13">
        <v>0</v>
      </c>
      <c r="V1024" s="13" t="s">
        <v>52</v>
      </c>
      <c r="W1024" s="13" t="s">
        <v>59</v>
      </c>
      <c r="X1024" s="13">
        <v>14</v>
      </c>
      <c r="Y1024" s="13">
        <v>3</v>
      </c>
      <c r="Z1024" s="13">
        <v>1</v>
      </c>
      <c r="AA1024" s="13">
        <v>80</v>
      </c>
      <c r="AB1024" s="13">
        <v>0</v>
      </c>
      <c r="AC1024" s="13">
        <v>7</v>
      </c>
      <c r="AD1024" s="13">
        <v>2</v>
      </c>
      <c r="AE1024" s="13">
        <v>1</v>
      </c>
      <c r="AF1024" s="14">
        <v>6</v>
      </c>
      <c r="AG1024" s="13">
        <v>5</v>
      </c>
      <c r="AH1024" s="13">
        <v>1</v>
      </c>
      <c r="AI1024" s="13">
        <v>3</v>
      </c>
      <c r="AJ1024" s="13" t="str">
        <f t="shared" si="15"/>
        <v>30-39</v>
      </c>
      <c r="AK1024" s="13" t="str">
        <f>IF(tblCleanData[[#This Row],[MonthlyIncome]]&lt;5000, "Low Income", IF(tblCleanData[[#This Row],[MonthlyIncome]]&lt;15000, "Medium Income", "High Income"))</f>
        <v>Low Income</v>
      </c>
      <c r="AL1024" s="13">
        <f>IF(tblCleanData[[#This Row],[Attrition]]="No", 0,1)</f>
        <v>0</v>
      </c>
      <c r="AM1024" s="13">
        <f>IF(tblCleanData[[#This Row],[OverTime]] = "No", 0, 1)</f>
        <v>0</v>
      </c>
      <c r="AN1024" s="13" t="str">
        <f>CHOOSE(tblCleanData[[#This Row],[Education]], "Below College","College","Bachelor","Master","Doctor")</f>
        <v>College</v>
      </c>
      <c r="AO1024" s="13" t="str">
        <f>VLOOKUP(tblCleanData[[#This Row],[EmployeeNumber]],tblHelpers[],15,TRUE)</f>
        <v>Medium Risk</v>
      </c>
      <c r="AP1024" s="13">
        <f>VLOOKUP(tblCleanData[[#This Row],[EmployeeNumber]],tblHelpers[],14,0)</f>
        <v>46</v>
      </c>
    </row>
    <row r="1025" spans="1:42" x14ac:dyDescent="0.25">
      <c r="A1025" s="13">
        <v>56</v>
      </c>
      <c r="B1025" s="13" t="s">
        <v>59</v>
      </c>
      <c r="C1025" s="13" t="s">
        <v>37</v>
      </c>
      <c r="D1025" s="13">
        <v>1255</v>
      </c>
      <c r="E1025" s="13" t="s">
        <v>62</v>
      </c>
      <c r="F1025" s="13">
        <v>1</v>
      </c>
      <c r="G1025" s="13">
        <v>2</v>
      </c>
      <c r="H1025" s="13" t="s">
        <v>42</v>
      </c>
      <c r="I1025" s="13">
        <v>1</v>
      </c>
      <c r="J1025" s="13">
        <v>1441</v>
      </c>
      <c r="K1025" s="13">
        <v>1</v>
      </c>
      <c r="L1025" s="13" t="s">
        <v>43</v>
      </c>
      <c r="M1025" s="13">
        <v>90</v>
      </c>
      <c r="N1025" s="13">
        <v>3</v>
      </c>
      <c r="O1025" s="13">
        <v>1</v>
      </c>
      <c r="P1025" s="13" t="s">
        <v>65</v>
      </c>
      <c r="Q1025" s="13">
        <v>1</v>
      </c>
      <c r="R1025" s="13" t="s">
        <v>66</v>
      </c>
      <c r="S1025" s="20">
        <v>2066</v>
      </c>
      <c r="T1025" s="13">
        <v>10494</v>
      </c>
      <c r="U1025" s="13">
        <v>2</v>
      </c>
      <c r="V1025" s="13" t="s">
        <v>52</v>
      </c>
      <c r="W1025" s="13" t="s">
        <v>59</v>
      </c>
      <c r="X1025" s="13">
        <v>22</v>
      </c>
      <c r="Y1025" s="13">
        <v>4</v>
      </c>
      <c r="Z1025" s="13">
        <v>4</v>
      </c>
      <c r="AA1025" s="13">
        <v>80</v>
      </c>
      <c r="AB1025" s="13">
        <v>1</v>
      </c>
      <c r="AC1025" s="13">
        <v>5</v>
      </c>
      <c r="AD1025" s="13">
        <v>3</v>
      </c>
      <c r="AE1025" s="13">
        <v>4</v>
      </c>
      <c r="AF1025" s="14">
        <v>3</v>
      </c>
      <c r="AG1025" s="13">
        <v>2</v>
      </c>
      <c r="AH1025" s="13">
        <v>1</v>
      </c>
      <c r="AI1025" s="13">
        <v>0</v>
      </c>
      <c r="AJ1025" s="13" t="str">
        <f t="shared" si="15"/>
        <v>50+</v>
      </c>
      <c r="AK1025" s="13" t="str">
        <f>IF(tblCleanData[[#This Row],[MonthlyIncome]]&lt;5000, "Low Income", IF(tblCleanData[[#This Row],[MonthlyIncome]]&lt;15000, "Medium Income", "High Income"))</f>
        <v>Low Income</v>
      </c>
      <c r="AL1025" s="13">
        <f>IF(tblCleanData[[#This Row],[Attrition]]="No", 0,1)</f>
        <v>0</v>
      </c>
      <c r="AM1025" s="13">
        <f>IF(tblCleanData[[#This Row],[OverTime]] = "No", 0, 1)</f>
        <v>0</v>
      </c>
      <c r="AN1025" s="13" t="str">
        <f>CHOOSE(tblCleanData[[#This Row],[Education]], "Below College","College","Bachelor","Master","Doctor")</f>
        <v>College</v>
      </c>
      <c r="AO1025" s="13" t="str">
        <f>VLOOKUP(tblCleanData[[#This Row],[EmployeeNumber]],tblHelpers[],15,TRUE)</f>
        <v>High Risk</v>
      </c>
      <c r="AP1025" s="13">
        <f>VLOOKUP(tblCleanData[[#This Row],[EmployeeNumber]],tblHelpers[],14,0)</f>
        <v>60</v>
      </c>
    </row>
    <row r="1026" spans="1:42" x14ac:dyDescent="0.25">
      <c r="A1026" s="13">
        <v>47</v>
      </c>
      <c r="B1026" s="13" t="s">
        <v>59</v>
      </c>
      <c r="C1026" s="13" t="s">
        <v>37</v>
      </c>
      <c r="D1026" s="13">
        <v>359</v>
      </c>
      <c r="E1026" s="13" t="s">
        <v>62</v>
      </c>
      <c r="F1026" s="13">
        <v>2</v>
      </c>
      <c r="G1026" s="13">
        <v>4</v>
      </c>
      <c r="H1026" s="13" t="s">
        <v>87</v>
      </c>
      <c r="I1026" s="13">
        <v>1</v>
      </c>
      <c r="J1026" s="13">
        <v>1443</v>
      </c>
      <c r="K1026" s="13">
        <v>1</v>
      </c>
      <c r="L1026" s="13" t="s">
        <v>43</v>
      </c>
      <c r="M1026" s="13">
        <v>82</v>
      </c>
      <c r="N1026" s="13">
        <v>3</v>
      </c>
      <c r="O1026" s="13">
        <v>4</v>
      </c>
      <c r="P1026" s="13" t="s">
        <v>186</v>
      </c>
      <c r="Q1026" s="13">
        <v>3</v>
      </c>
      <c r="R1026" s="13" t="s">
        <v>66</v>
      </c>
      <c r="S1026" s="20">
        <v>17169</v>
      </c>
      <c r="T1026" s="13">
        <v>26703</v>
      </c>
      <c r="U1026" s="13">
        <v>3</v>
      </c>
      <c r="V1026" s="13" t="s">
        <v>52</v>
      </c>
      <c r="W1026" s="13" t="s">
        <v>59</v>
      </c>
      <c r="X1026" s="13">
        <v>19</v>
      </c>
      <c r="Y1026" s="13">
        <v>3</v>
      </c>
      <c r="Z1026" s="13">
        <v>2</v>
      </c>
      <c r="AA1026" s="13">
        <v>80</v>
      </c>
      <c r="AB1026" s="13">
        <v>2</v>
      </c>
      <c r="AC1026" s="13">
        <v>26</v>
      </c>
      <c r="AD1026" s="13">
        <v>2</v>
      </c>
      <c r="AE1026" s="13">
        <v>4</v>
      </c>
      <c r="AF1026" s="14">
        <v>20</v>
      </c>
      <c r="AG1026" s="13">
        <v>17</v>
      </c>
      <c r="AH1026" s="13">
        <v>5</v>
      </c>
      <c r="AI1026" s="13">
        <v>6</v>
      </c>
      <c r="AJ1026" s="13" t="str">
        <f t="shared" ref="AJ1026:AJ1089" si="16">IF(A1026&lt;30,"Under 30", IF(A1026&lt;40,"30-39", IF(A1026&lt;50,"40-49", "50+")))</f>
        <v>40-49</v>
      </c>
      <c r="AK1026" s="13" t="str">
        <f>IF(tblCleanData[[#This Row],[MonthlyIncome]]&lt;5000, "Low Income", IF(tblCleanData[[#This Row],[MonthlyIncome]]&lt;15000, "Medium Income", "High Income"))</f>
        <v>High Income</v>
      </c>
      <c r="AL1026" s="13">
        <f>IF(tblCleanData[[#This Row],[Attrition]]="No", 0,1)</f>
        <v>0</v>
      </c>
      <c r="AM1026" s="13">
        <f>IF(tblCleanData[[#This Row],[OverTime]] = "No", 0, 1)</f>
        <v>0</v>
      </c>
      <c r="AN1026" s="13" t="str">
        <f>CHOOSE(tblCleanData[[#This Row],[Education]], "Below College","College","Bachelor","Master","Doctor")</f>
        <v>Master</v>
      </c>
      <c r="AO1026" s="13" t="str">
        <f>VLOOKUP(tblCleanData[[#This Row],[EmployeeNumber]],tblHelpers[],15,TRUE)</f>
        <v>Low Risk</v>
      </c>
      <c r="AP1026" s="13">
        <f>VLOOKUP(tblCleanData[[#This Row],[EmployeeNumber]],tblHelpers[],14,0)</f>
        <v>31</v>
      </c>
    </row>
    <row r="1027" spans="1:42" x14ac:dyDescent="0.25">
      <c r="A1027" s="13">
        <v>24</v>
      </c>
      <c r="B1027" s="13" t="s">
        <v>59</v>
      </c>
      <c r="C1027" s="13" t="s">
        <v>37</v>
      </c>
      <c r="D1027" s="13">
        <v>1476</v>
      </c>
      <c r="E1027" s="13" t="s">
        <v>39</v>
      </c>
      <c r="F1027" s="13">
        <v>4</v>
      </c>
      <c r="G1027" s="13">
        <v>1</v>
      </c>
      <c r="H1027" s="13" t="s">
        <v>87</v>
      </c>
      <c r="I1027" s="13">
        <v>1</v>
      </c>
      <c r="J1027" s="13">
        <v>1445</v>
      </c>
      <c r="K1027" s="13">
        <v>4</v>
      </c>
      <c r="L1027" s="13" t="s">
        <v>43</v>
      </c>
      <c r="M1027" s="13">
        <v>42</v>
      </c>
      <c r="N1027" s="13">
        <v>3</v>
      </c>
      <c r="O1027" s="13">
        <v>2</v>
      </c>
      <c r="P1027" s="13" t="s">
        <v>46</v>
      </c>
      <c r="Q1027" s="13">
        <v>3</v>
      </c>
      <c r="R1027" s="13" t="s">
        <v>66</v>
      </c>
      <c r="S1027" s="20">
        <v>4162</v>
      </c>
      <c r="T1027" s="13">
        <v>15211</v>
      </c>
      <c r="U1027" s="13">
        <v>1</v>
      </c>
      <c r="V1027" s="13" t="s">
        <v>52</v>
      </c>
      <c r="W1027" s="13" t="s">
        <v>36</v>
      </c>
      <c r="X1027" s="13">
        <v>12</v>
      </c>
      <c r="Y1027" s="13">
        <v>3</v>
      </c>
      <c r="Z1027" s="13">
        <v>3</v>
      </c>
      <c r="AA1027" s="13">
        <v>80</v>
      </c>
      <c r="AB1027" s="13">
        <v>2</v>
      </c>
      <c r="AC1027" s="13">
        <v>5</v>
      </c>
      <c r="AD1027" s="13">
        <v>3</v>
      </c>
      <c r="AE1027" s="13">
        <v>3</v>
      </c>
      <c r="AF1027" s="14">
        <v>5</v>
      </c>
      <c r="AG1027" s="13">
        <v>4</v>
      </c>
      <c r="AH1027" s="13">
        <v>0</v>
      </c>
      <c r="AI1027" s="13">
        <v>3</v>
      </c>
      <c r="AJ1027" s="13" t="str">
        <f t="shared" si="16"/>
        <v>Under 30</v>
      </c>
      <c r="AK1027" s="13" t="str">
        <f>IF(tblCleanData[[#This Row],[MonthlyIncome]]&lt;5000, "Low Income", IF(tblCleanData[[#This Row],[MonthlyIncome]]&lt;15000, "Medium Income", "High Income"))</f>
        <v>Low Income</v>
      </c>
      <c r="AL1027" s="13">
        <f>IF(tblCleanData[[#This Row],[Attrition]]="No", 0,1)</f>
        <v>0</v>
      </c>
      <c r="AM1027" s="13">
        <f>IF(tblCleanData[[#This Row],[OverTime]] = "No", 0, 1)</f>
        <v>1</v>
      </c>
      <c r="AN1027" s="13" t="str">
        <f>CHOOSE(tblCleanData[[#This Row],[Education]], "Below College","College","Bachelor","Master","Doctor")</f>
        <v>Below College</v>
      </c>
      <c r="AO1027" s="13" t="str">
        <f>VLOOKUP(tblCleanData[[#This Row],[EmployeeNumber]],tblHelpers[],15,TRUE)</f>
        <v>High Risk</v>
      </c>
      <c r="AP1027" s="13">
        <f>VLOOKUP(tblCleanData[[#This Row],[EmployeeNumber]],tblHelpers[],14,0)</f>
        <v>88</v>
      </c>
    </row>
    <row r="1028" spans="1:42" x14ac:dyDescent="0.25">
      <c r="A1028" s="13">
        <v>32</v>
      </c>
      <c r="B1028" s="13" t="s">
        <v>59</v>
      </c>
      <c r="C1028" s="13" t="s">
        <v>37</v>
      </c>
      <c r="D1028" s="13">
        <v>601</v>
      </c>
      <c r="E1028" s="13" t="s">
        <v>39</v>
      </c>
      <c r="F1028" s="13">
        <v>7</v>
      </c>
      <c r="G1028" s="13">
        <v>5</v>
      </c>
      <c r="H1028" s="13" t="s">
        <v>206</v>
      </c>
      <c r="I1028" s="13">
        <v>1</v>
      </c>
      <c r="J1028" s="13">
        <v>1446</v>
      </c>
      <c r="K1028" s="13">
        <v>4</v>
      </c>
      <c r="L1028" s="13" t="s">
        <v>63</v>
      </c>
      <c r="M1028" s="13">
        <v>97</v>
      </c>
      <c r="N1028" s="13">
        <v>3</v>
      </c>
      <c r="O1028" s="13">
        <v>2</v>
      </c>
      <c r="P1028" s="13" t="s">
        <v>46</v>
      </c>
      <c r="Q1028" s="13">
        <v>4</v>
      </c>
      <c r="R1028" s="13" t="s">
        <v>66</v>
      </c>
      <c r="S1028" s="20">
        <v>9204</v>
      </c>
      <c r="T1028" s="13">
        <v>23343</v>
      </c>
      <c r="U1028" s="13">
        <v>4</v>
      </c>
      <c r="V1028" s="13" t="s">
        <v>52</v>
      </c>
      <c r="W1028" s="13" t="s">
        <v>59</v>
      </c>
      <c r="X1028" s="13">
        <v>12</v>
      </c>
      <c r="Y1028" s="13">
        <v>3</v>
      </c>
      <c r="Z1028" s="13">
        <v>3</v>
      </c>
      <c r="AA1028" s="13">
        <v>80</v>
      </c>
      <c r="AB1028" s="13">
        <v>1</v>
      </c>
      <c r="AC1028" s="13">
        <v>7</v>
      </c>
      <c r="AD1028" s="13">
        <v>3</v>
      </c>
      <c r="AE1028" s="13">
        <v>2</v>
      </c>
      <c r="AF1028" s="14">
        <v>4</v>
      </c>
      <c r="AG1028" s="13">
        <v>3</v>
      </c>
      <c r="AH1028" s="13">
        <v>0</v>
      </c>
      <c r="AI1028" s="13">
        <v>3</v>
      </c>
      <c r="AJ1028" s="13" t="str">
        <f t="shared" si="16"/>
        <v>30-39</v>
      </c>
      <c r="AK1028" s="13" t="str">
        <f>IF(tblCleanData[[#This Row],[MonthlyIncome]]&lt;5000, "Low Income", IF(tblCleanData[[#This Row],[MonthlyIncome]]&lt;15000, "Medium Income", "High Income"))</f>
        <v>Medium Income</v>
      </c>
      <c r="AL1028" s="13">
        <f>IF(tblCleanData[[#This Row],[Attrition]]="No", 0,1)</f>
        <v>0</v>
      </c>
      <c r="AM1028" s="13">
        <f>IF(tblCleanData[[#This Row],[OverTime]] = "No", 0, 1)</f>
        <v>0</v>
      </c>
      <c r="AN1028" s="13" t="str">
        <f>CHOOSE(tblCleanData[[#This Row],[Education]], "Below College","College","Bachelor","Master","Doctor")</f>
        <v>Doctor</v>
      </c>
      <c r="AO1028" s="13" t="str">
        <f>VLOOKUP(tblCleanData[[#This Row],[EmployeeNumber]],tblHelpers[],15,TRUE)</f>
        <v>Medium Risk</v>
      </c>
      <c r="AP1028" s="13">
        <f>VLOOKUP(tblCleanData[[#This Row],[EmployeeNumber]],tblHelpers[],14,0)</f>
        <v>46</v>
      </c>
    </row>
    <row r="1029" spans="1:42" x14ac:dyDescent="0.25">
      <c r="A1029" s="13">
        <v>34</v>
      </c>
      <c r="B1029" s="13" t="s">
        <v>59</v>
      </c>
      <c r="C1029" s="13" t="s">
        <v>37</v>
      </c>
      <c r="D1029" s="13">
        <v>401</v>
      </c>
      <c r="E1029" s="13" t="s">
        <v>62</v>
      </c>
      <c r="F1029" s="13">
        <v>1</v>
      </c>
      <c r="G1029" s="13">
        <v>3</v>
      </c>
      <c r="H1029" s="13" t="s">
        <v>42</v>
      </c>
      <c r="I1029" s="13">
        <v>1</v>
      </c>
      <c r="J1029" s="13">
        <v>1447</v>
      </c>
      <c r="K1029" s="13">
        <v>4</v>
      </c>
      <c r="L1029" s="13" t="s">
        <v>43</v>
      </c>
      <c r="M1029" s="13">
        <v>86</v>
      </c>
      <c r="N1029" s="13">
        <v>2</v>
      </c>
      <c r="O1029" s="13">
        <v>1</v>
      </c>
      <c r="P1029" s="13" t="s">
        <v>76</v>
      </c>
      <c r="Q1029" s="13">
        <v>2</v>
      </c>
      <c r="R1029" s="13" t="s">
        <v>66</v>
      </c>
      <c r="S1029" s="20">
        <v>3294</v>
      </c>
      <c r="T1029" s="13">
        <v>3708</v>
      </c>
      <c r="U1029" s="13">
        <v>5</v>
      </c>
      <c r="V1029" s="13" t="s">
        <v>52</v>
      </c>
      <c r="W1029" s="13" t="s">
        <v>59</v>
      </c>
      <c r="X1029" s="13">
        <v>17</v>
      </c>
      <c r="Y1029" s="13">
        <v>3</v>
      </c>
      <c r="Z1029" s="13">
        <v>1</v>
      </c>
      <c r="AA1029" s="13">
        <v>80</v>
      </c>
      <c r="AB1029" s="13">
        <v>1</v>
      </c>
      <c r="AC1029" s="13">
        <v>7</v>
      </c>
      <c r="AD1029" s="13">
        <v>2</v>
      </c>
      <c r="AE1029" s="13">
        <v>2</v>
      </c>
      <c r="AF1029" s="14">
        <v>5</v>
      </c>
      <c r="AG1029" s="13">
        <v>4</v>
      </c>
      <c r="AH1029" s="13">
        <v>0</v>
      </c>
      <c r="AI1029" s="13">
        <v>2</v>
      </c>
      <c r="AJ1029" s="13" t="str">
        <f t="shared" si="16"/>
        <v>30-39</v>
      </c>
      <c r="AK1029" s="13" t="str">
        <f>IF(tblCleanData[[#This Row],[MonthlyIncome]]&lt;5000, "Low Income", IF(tblCleanData[[#This Row],[MonthlyIncome]]&lt;15000, "Medium Income", "High Income"))</f>
        <v>Low Income</v>
      </c>
      <c r="AL1029" s="13">
        <f>IF(tblCleanData[[#This Row],[Attrition]]="No", 0,1)</f>
        <v>0</v>
      </c>
      <c r="AM1029" s="13">
        <f>IF(tblCleanData[[#This Row],[OverTime]] = "No", 0, 1)</f>
        <v>0</v>
      </c>
      <c r="AN1029" s="13" t="str">
        <f>CHOOSE(tblCleanData[[#This Row],[Education]], "Below College","College","Bachelor","Master","Doctor")</f>
        <v>Bachelor</v>
      </c>
      <c r="AO1029" s="13" t="str">
        <f>VLOOKUP(tblCleanData[[#This Row],[EmployeeNumber]],tblHelpers[],15,TRUE)</f>
        <v>High Risk</v>
      </c>
      <c r="AP1029" s="13">
        <f>VLOOKUP(tblCleanData[[#This Row],[EmployeeNumber]],tblHelpers[],14,0)</f>
        <v>59</v>
      </c>
    </row>
    <row r="1030" spans="1:42" x14ac:dyDescent="0.25">
      <c r="A1030" s="13">
        <v>41</v>
      </c>
      <c r="B1030" s="13" t="s">
        <v>59</v>
      </c>
      <c r="C1030" s="13" t="s">
        <v>37</v>
      </c>
      <c r="D1030" s="13">
        <v>1283</v>
      </c>
      <c r="E1030" s="13" t="s">
        <v>62</v>
      </c>
      <c r="F1030" s="13">
        <v>5</v>
      </c>
      <c r="G1030" s="13">
        <v>5</v>
      </c>
      <c r="H1030" s="13" t="s">
        <v>87</v>
      </c>
      <c r="I1030" s="13">
        <v>1</v>
      </c>
      <c r="J1030" s="13">
        <v>1448</v>
      </c>
      <c r="K1030" s="13">
        <v>2</v>
      </c>
      <c r="L1030" s="13" t="s">
        <v>63</v>
      </c>
      <c r="M1030" s="13">
        <v>90</v>
      </c>
      <c r="N1030" s="13">
        <v>4</v>
      </c>
      <c r="O1030" s="13">
        <v>1</v>
      </c>
      <c r="P1030" s="13" t="s">
        <v>65</v>
      </c>
      <c r="Q1030" s="13">
        <v>3</v>
      </c>
      <c r="R1030" s="13" t="s">
        <v>66</v>
      </c>
      <c r="S1030" s="20">
        <v>2127</v>
      </c>
      <c r="T1030" s="13">
        <v>5561</v>
      </c>
      <c r="U1030" s="13">
        <v>2</v>
      </c>
      <c r="V1030" s="13" t="s">
        <v>52</v>
      </c>
      <c r="W1030" s="13" t="s">
        <v>36</v>
      </c>
      <c r="X1030" s="13">
        <v>12</v>
      </c>
      <c r="Y1030" s="13">
        <v>3</v>
      </c>
      <c r="Z1030" s="13">
        <v>1</v>
      </c>
      <c r="AA1030" s="13">
        <v>80</v>
      </c>
      <c r="AB1030" s="13">
        <v>0</v>
      </c>
      <c r="AC1030" s="13">
        <v>7</v>
      </c>
      <c r="AD1030" s="13">
        <v>5</v>
      </c>
      <c r="AE1030" s="13">
        <v>2</v>
      </c>
      <c r="AF1030" s="14">
        <v>4</v>
      </c>
      <c r="AG1030" s="13">
        <v>2</v>
      </c>
      <c r="AH1030" s="13">
        <v>0</v>
      </c>
      <c r="AI1030" s="13">
        <v>3</v>
      </c>
      <c r="AJ1030" s="13" t="str">
        <f t="shared" si="16"/>
        <v>40-49</v>
      </c>
      <c r="AK1030" s="13" t="str">
        <f>IF(tblCleanData[[#This Row],[MonthlyIncome]]&lt;5000, "Low Income", IF(tblCleanData[[#This Row],[MonthlyIncome]]&lt;15000, "Medium Income", "High Income"))</f>
        <v>Low Income</v>
      </c>
      <c r="AL1030" s="13">
        <f>IF(tblCleanData[[#This Row],[Attrition]]="No", 0,1)</f>
        <v>0</v>
      </c>
      <c r="AM1030" s="13">
        <f>IF(tblCleanData[[#This Row],[OverTime]] = "No", 0, 1)</f>
        <v>1</v>
      </c>
      <c r="AN1030" s="13" t="str">
        <f>CHOOSE(tblCleanData[[#This Row],[Education]], "Below College","College","Bachelor","Master","Doctor")</f>
        <v>Doctor</v>
      </c>
      <c r="AO1030" s="13" t="str">
        <f>VLOOKUP(tblCleanData[[#This Row],[EmployeeNumber]],tblHelpers[],15,TRUE)</f>
        <v>High Risk</v>
      </c>
      <c r="AP1030" s="13">
        <f>VLOOKUP(tblCleanData[[#This Row],[EmployeeNumber]],tblHelpers[],14,0)</f>
        <v>68</v>
      </c>
    </row>
    <row r="1031" spans="1:42" x14ac:dyDescent="0.25">
      <c r="A1031" s="13">
        <v>40</v>
      </c>
      <c r="B1031" s="13" t="s">
        <v>59</v>
      </c>
      <c r="C1031" s="13" t="s">
        <v>161</v>
      </c>
      <c r="D1031" s="13">
        <v>663</v>
      </c>
      <c r="E1031" s="13" t="s">
        <v>62</v>
      </c>
      <c r="F1031" s="13">
        <v>9</v>
      </c>
      <c r="G1031" s="13">
        <v>4</v>
      </c>
      <c r="H1031" s="13" t="s">
        <v>74</v>
      </c>
      <c r="I1031" s="13">
        <v>1</v>
      </c>
      <c r="J1031" s="13">
        <v>1449</v>
      </c>
      <c r="K1031" s="13">
        <v>3</v>
      </c>
      <c r="L1031" s="13" t="s">
        <v>63</v>
      </c>
      <c r="M1031" s="13">
        <v>81</v>
      </c>
      <c r="N1031" s="13">
        <v>3</v>
      </c>
      <c r="O1031" s="13">
        <v>2</v>
      </c>
      <c r="P1031" s="13" t="s">
        <v>76</v>
      </c>
      <c r="Q1031" s="13">
        <v>3</v>
      </c>
      <c r="R1031" s="13" t="s">
        <v>109</v>
      </c>
      <c r="S1031" s="20">
        <v>3975</v>
      </c>
      <c r="T1031" s="13">
        <v>23099</v>
      </c>
      <c r="U1031" s="13">
        <v>3</v>
      </c>
      <c r="V1031" s="13" t="s">
        <v>52</v>
      </c>
      <c r="W1031" s="13" t="s">
        <v>59</v>
      </c>
      <c r="X1031" s="13">
        <v>11</v>
      </c>
      <c r="Y1031" s="13">
        <v>3</v>
      </c>
      <c r="Z1031" s="13">
        <v>3</v>
      </c>
      <c r="AA1031" s="13">
        <v>80</v>
      </c>
      <c r="AB1031" s="13">
        <v>2</v>
      </c>
      <c r="AC1031" s="13">
        <v>11</v>
      </c>
      <c r="AD1031" s="13">
        <v>2</v>
      </c>
      <c r="AE1031" s="13">
        <v>4</v>
      </c>
      <c r="AF1031" s="14">
        <v>8</v>
      </c>
      <c r="AG1031" s="13">
        <v>7</v>
      </c>
      <c r="AH1031" s="13">
        <v>0</v>
      </c>
      <c r="AI1031" s="13">
        <v>7</v>
      </c>
      <c r="AJ1031" s="13" t="str">
        <f t="shared" si="16"/>
        <v>40-49</v>
      </c>
      <c r="AK1031" s="13" t="str">
        <f>IF(tblCleanData[[#This Row],[MonthlyIncome]]&lt;5000, "Low Income", IF(tblCleanData[[#This Row],[MonthlyIncome]]&lt;15000, "Medium Income", "High Income"))</f>
        <v>Low Income</v>
      </c>
      <c r="AL1031" s="13">
        <f>IF(tblCleanData[[#This Row],[Attrition]]="No", 0,1)</f>
        <v>0</v>
      </c>
      <c r="AM1031" s="13">
        <f>IF(tblCleanData[[#This Row],[OverTime]] = "No", 0, 1)</f>
        <v>0</v>
      </c>
      <c r="AN1031" s="13" t="str">
        <f>CHOOSE(tblCleanData[[#This Row],[Education]], "Below College","College","Bachelor","Master","Doctor")</f>
        <v>Master</v>
      </c>
      <c r="AO1031" s="13" t="str">
        <f>VLOOKUP(tblCleanData[[#This Row],[EmployeeNumber]],tblHelpers[],15,TRUE)</f>
        <v>Medium Risk</v>
      </c>
      <c r="AP1031" s="13">
        <f>VLOOKUP(tblCleanData[[#This Row],[EmployeeNumber]],tblHelpers[],14,0)</f>
        <v>36</v>
      </c>
    </row>
    <row r="1032" spans="1:42" x14ac:dyDescent="0.25">
      <c r="A1032" s="13">
        <v>31</v>
      </c>
      <c r="B1032" s="13" t="s">
        <v>59</v>
      </c>
      <c r="C1032" s="13" t="s">
        <v>37</v>
      </c>
      <c r="D1032" s="13">
        <v>326</v>
      </c>
      <c r="E1032" s="13" t="s">
        <v>39</v>
      </c>
      <c r="F1032" s="13">
        <v>8</v>
      </c>
      <c r="G1032" s="13">
        <v>2</v>
      </c>
      <c r="H1032" s="13" t="s">
        <v>42</v>
      </c>
      <c r="I1032" s="13">
        <v>1</v>
      </c>
      <c r="J1032" s="13">
        <v>1453</v>
      </c>
      <c r="K1032" s="13">
        <v>1</v>
      </c>
      <c r="L1032" s="13" t="s">
        <v>63</v>
      </c>
      <c r="M1032" s="13">
        <v>31</v>
      </c>
      <c r="N1032" s="13">
        <v>3</v>
      </c>
      <c r="O1032" s="13">
        <v>3</v>
      </c>
      <c r="P1032" s="13" t="s">
        <v>46</v>
      </c>
      <c r="Q1032" s="13">
        <v>4</v>
      </c>
      <c r="R1032" s="13" t="s">
        <v>109</v>
      </c>
      <c r="S1032" s="20">
        <v>10793</v>
      </c>
      <c r="T1032" s="13">
        <v>8386</v>
      </c>
      <c r="U1032" s="13">
        <v>1</v>
      </c>
      <c r="V1032" s="13" t="s">
        <v>52</v>
      </c>
      <c r="W1032" s="13" t="s">
        <v>59</v>
      </c>
      <c r="X1032" s="13">
        <v>18</v>
      </c>
      <c r="Y1032" s="13">
        <v>3</v>
      </c>
      <c r="Z1032" s="13">
        <v>1</v>
      </c>
      <c r="AA1032" s="13">
        <v>80</v>
      </c>
      <c r="AB1032" s="13">
        <v>1</v>
      </c>
      <c r="AC1032" s="13">
        <v>13</v>
      </c>
      <c r="AD1032" s="13">
        <v>5</v>
      </c>
      <c r="AE1032" s="13">
        <v>3</v>
      </c>
      <c r="AF1032" s="14">
        <v>13</v>
      </c>
      <c r="AG1032" s="13">
        <v>7</v>
      </c>
      <c r="AH1032" s="13">
        <v>9</v>
      </c>
      <c r="AI1032" s="13">
        <v>9</v>
      </c>
      <c r="AJ1032" s="13" t="str">
        <f t="shared" si="16"/>
        <v>30-39</v>
      </c>
      <c r="AK1032" s="13" t="str">
        <f>IF(tblCleanData[[#This Row],[MonthlyIncome]]&lt;5000, "Low Income", IF(tblCleanData[[#This Row],[MonthlyIncome]]&lt;15000, "Medium Income", "High Income"))</f>
        <v>Medium Income</v>
      </c>
      <c r="AL1032" s="13">
        <f>IF(tblCleanData[[#This Row],[Attrition]]="No", 0,1)</f>
        <v>0</v>
      </c>
      <c r="AM1032" s="13">
        <f>IF(tblCleanData[[#This Row],[OverTime]] = "No", 0, 1)</f>
        <v>0</v>
      </c>
      <c r="AN1032" s="13" t="str">
        <f>CHOOSE(tblCleanData[[#This Row],[Education]], "Below College","College","Bachelor","Master","Doctor")</f>
        <v>College</v>
      </c>
      <c r="AO1032" s="13" t="str">
        <f>VLOOKUP(tblCleanData[[#This Row],[EmployeeNumber]],tblHelpers[],15,TRUE)</f>
        <v>Low Risk</v>
      </c>
      <c r="AP1032" s="13">
        <f>VLOOKUP(tblCleanData[[#This Row],[EmployeeNumber]],tblHelpers[],14,0)</f>
        <v>34</v>
      </c>
    </row>
    <row r="1033" spans="1:42" x14ac:dyDescent="0.25">
      <c r="A1033" s="13">
        <v>46</v>
      </c>
      <c r="B1033" s="13" t="s">
        <v>36</v>
      </c>
      <c r="C1033" s="13" t="s">
        <v>37</v>
      </c>
      <c r="D1033" s="13">
        <v>377</v>
      </c>
      <c r="E1033" s="13" t="s">
        <v>39</v>
      </c>
      <c r="F1033" s="13">
        <v>9</v>
      </c>
      <c r="G1033" s="13">
        <v>3</v>
      </c>
      <c r="H1033" s="13" t="s">
        <v>206</v>
      </c>
      <c r="I1033" s="13">
        <v>1</v>
      </c>
      <c r="J1033" s="13">
        <v>1457</v>
      </c>
      <c r="K1033" s="13">
        <v>1</v>
      </c>
      <c r="L1033" s="13" t="s">
        <v>63</v>
      </c>
      <c r="M1033" s="13">
        <v>52</v>
      </c>
      <c r="N1033" s="13">
        <v>3</v>
      </c>
      <c r="O1033" s="13">
        <v>3</v>
      </c>
      <c r="P1033" s="13" t="s">
        <v>46</v>
      </c>
      <c r="Q1033" s="13">
        <v>4</v>
      </c>
      <c r="R1033" s="13" t="s">
        <v>109</v>
      </c>
      <c r="S1033" s="20">
        <v>10096</v>
      </c>
      <c r="T1033" s="13">
        <v>15986</v>
      </c>
      <c r="U1033" s="13">
        <v>4</v>
      </c>
      <c r="V1033" s="13" t="s">
        <v>52</v>
      </c>
      <c r="W1033" s="13" t="s">
        <v>59</v>
      </c>
      <c r="X1033" s="13">
        <v>11</v>
      </c>
      <c r="Y1033" s="13">
        <v>3</v>
      </c>
      <c r="Z1033" s="13">
        <v>1</v>
      </c>
      <c r="AA1033" s="13">
        <v>80</v>
      </c>
      <c r="AB1033" s="13">
        <v>1</v>
      </c>
      <c r="AC1033" s="13">
        <v>28</v>
      </c>
      <c r="AD1033" s="13">
        <v>1</v>
      </c>
      <c r="AE1033" s="13">
        <v>4</v>
      </c>
      <c r="AF1033" s="14">
        <v>7</v>
      </c>
      <c r="AG1033" s="13">
        <v>7</v>
      </c>
      <c r="AH1033" s="13">
        <v>4</v>
      </c>
      <c r="AI1033" s="13">
        <v>3</v>
      </c>
      <c r="AJ1033" s="13" t="str">
        <f t="shared" si="16"/>
        <v>40-49</v>
      </c>
      <c r="AK1033" s="13" t="str">
        <f>IF(tblCleanData[[#This Row],[MonthlyIncome]]&lt;5000, "Low Income", IF(tblCleanData[[#This Row],[MonthlyIncome]]&lt;15000, "Medium Income", "High Income"))</f>
        <v>Medium Income</v>
      </c>
      <c r="AL1033" s="13">
        <f>IF(tblCleanData[[#This Row],[Attrition]]="No", 0,1)</f>
        <v>1</v>
      </c>
      <c r="AM1033" s="13">
        <f>IF(tblCleanData[[#This Row],[OverTime]] = "No", 0, 1)</f>
        <v>0</v>
      </c>
      <c r="AN1033" s="13" t="str">
        <f>CHOOSE(tblCleanData[[#This Row],[Education]], "Below College","College","Bachelor","Master","Doctor")</f>
        <v>Bachelor</v>
      </c>
      <c r="AO1033" s="13" t="str">
        <f>VLOOKUP(tblCleanData[[#This Row],[EmployeeNumber]],tblHelpers[],15,TRUE)</f>
        <v>Low Risk</v>
      </c>
      <c r="AP1033" s="13">
        <f>VLOOKUP(tblCleanData[[#This Row],[EmployeeNumber]],tblHelpers[],14,0)</f>
        <v>29</v>
      </c>
    </row>
    <row r="1034" spans="1:42" x14ac:dyDescent="0.25">
      <c r="A1034" s="13">
        <v>39</v>
      </c>
      <c r="B1034" s="13" t="s">
        <v>36</v>
      </c>
      <c r="C1034" s="13" t="s">
        <v>161</v>
      </c>
      <c r="D1034" s="13">
        <v>592</v>
      </c>
      <c r="E1034" s="13" t="s">
        <v>62</v>
      </c>
      <c r="F1034" s="13">
        <v>2</v>
      </c>
      <c r="G1034" s="13">
        <v>3</v>
      </c>
      <c r="H1034" s="13" t="s">
        <v>42</v>
      </c>
      <c r="I1034" s="13">
        <v>1</v>
      </c>
      <c r="J1034" s="13">
        <v>1458</v>
      </c>
      <c r="K1034" s="13">
        <v>1</v>
      </c>
      <c r="L1034" s="13" t="s">
        <v>43</v>
      </c>
      <c r="M1034" s="13">
        <v>54</v>
      </c>
      <c r="N1034" s="13">
        <v>2</v>
      </c>
      <c r="O1034" s="13">
        <v>1</v>
      </c>
      <c r="P1034" s="13" t="s">
        <v>76</v>
      </c>
      <c r="Q1034" s="13">
        <v>1</v>
      </c>
      <c r="R1034" s="13" t="s">
        <v>48</v>
      </c>
      <c r="S1034" s="20">
        <v>3646</v>
      </c>
      <c r="T1034" s="13">
        <v>17181</v>
      </c>
      <c r="U1034" s="13">
        <v>2</v>
      </c>
      <c r="V1034" s="13" t="s">
        <v>52</v>
      </c>
      <c r="W1034" s="13" t="s">
        <v>36</v>
      </c>
      <c r="X1034" s="13">
        <v>23</v>
      </c>
      <c r="Y1034" s="13">
        <v>4</v>
      </c>
      <c r="Z1034" s="13">
        <v>2</v>
      </c>
      <c r="AA1034" s="13">
        <v>80</v>
      </c>
      <c r="AB1034" s="13">
        <v>0</v>
      </c>
      <c r="AC1034" s="13">
        <v>11</v>
      </c>
      <c r="AD1034" s="13">
        <v>2</v>
      </c>
      <c r="AE1034" s="13">
        <v>4</v>
      </c>
      <c r="AF1034" s="14">
        <v>1</v>
      </c>
      <c r="AG1034" s="13">
        <v>0</v>
      </c>
      <c r="AH1034" s="13">
        <v>0</v>
      </c>
      <c r="AI1034" s="13">
        <v>0</v>
      </c>
      <c r="AJ1034" s="13" t="str">
        <f t="shared" si="16"/>
        <v>30-39</v>
      </c>
      <c r="AK1034" s="13" t="str">
        <f>IF(tblCleanData[[#This Row],[MonthlyIncome]]&lt;5000, "Low Income", IF(tblCleanData[[#This Row],[MonthlyIncome]]&lt;15000, "Medium Income", "High Income"))</f>
        <v>Low Income</v>
      </c>
      <c r="AL1034" s="13">
        <f>IF(tblCleanData[[#This Row],[Attrition]]="No", 0,1)</f>
        <v>1</v>
      </c>
      <c r="AM1034" s="13">
        <f>IF(tblCleanData[[#This Row],[OverTime]] = "No", 0, 1)</f>
        <v>1</v>
      </c>
      <c r="AN1034" s="13" t="str">
        <f>CHOOSE(tblCleanData[[#This Row],[Education]], "Below College","College","Bachelor","Master","Doctor")</f>
        <v>Bachelor</v>
      </c>
      <c r="AO1034" s="13" t="str">
        <f>VLOOKUP(tblCleanData[[#This Row],[EmployeeNumber]],tblHelpers[],15,TRUE)</f>
        <v>High Risk</v>
      </c>
      <c r="AP1034" s="13">
        <f>VLOOKUP(tblCleanData[[#This Row],[EmployeeNumber]],tblHelpers[],14,0)</f>
        <v>100</v>
      </c>
    </row>
    <row r="1035" spans="1:42" x14ac:dyDescent="0.25">
      <c r="A1035" s="13">
        <v>31</v>
      </c>
      <c r="B1035" s="13" t="s">
        <v>36</v>
      </c>
      <c r="C1035" s="13" t="s">
        <v>60</v>
      </c>
      <c r="D1035" s="13">
        <v>1445</v>
      </c>
      <c r="E1035" s="13" t="s">
        <v>62</v>
      </c>
      <c r="F1035" s="13">
        <v>1</v>
      </c>
      <c r="G1035" s="13">
        <v>5</v>
      </c>
      <c r="H1035" s="13" t="s">
        <v>42</v>
      </c>
      <c r="I1035" s="13">
        <v>1</v>
      </c>
      <c r="J1035" s="13">
        <v>1459</v>
      </c>
      <c r="K1035" s="13">
        <v>3</v>
      </c>
      <c r="L1035" s="13" t="s">
        <v>43</v>
      </c>
      <c r="M1035" s="13">
        <v>100</v>
      </c>
      <c r="N1035" s="13">
        <v>4</v>
      </c>
      <c r="O1035" s="13">
        <v>3</v>
      </c>
      <c r="P1035" s="13" t="s">
        <v>116</v>
      </c>
      <c r="Q1035" s="13">
        <v>2</v>
      </c>
      <c r="R1035" s="13" t="s">
        <v>48</v>
      </c>
      <c r="S1035" s="20">
        <v>7446</v>
      </c>
      <c r="T1035" s="13">
        <v>8931</v>
      </c>
      <c r="U1035" s="13">
        <v>1</v>
      </c>
      <c r="V1035" s="13" t="s">
        <v>52</v>
      </c>
      <c r="W1035" s="13" t="s">
        <v>59</v>
      </c>
      <c r="X1035" s="13">
        <v>11</v>
      </c>
      <c r="Y1035" s="13">
        <v>3</v>
      </c>
      <c r="Z1035" s="13">
        <v>1</v>
      </c>
      <c r="AA1035" s="13">
        <v>80</v>
      </c>
      <c r="AB1035" s="13">
        <v>0</v>
      </c>
      <c r="AC1035" s="13">
        <v>10</v>
      </c>
      <c r="AD1035" s="13">
        <v>2</v>
      </c>
      <c r="AE1035" s="13">
        <v>3</v>
      </c>
      <c r="AF1035" s="14">
        <v>10</v>
      </c>
      <c r="AG1035" s="13">
        <v>8</v>
      </c>
      <c r="AH1035" s="13">
        <v>4</v>
      </c>
      <c r="AI1035" s="13">
        <v>7</v>
      </c>
      <c r="AJ1035" s="13" t="str">
        <f t="shared" si="16"/>
        <v>30-39</v>
      </c>
      <c r="AK1035" s="13" t="str">
        <f>IF(tblCleanData[[#This Row],[MonthlyIncome]]&lt;5000, "Low Income", IF(tblCleanData[[#This Row],[MonthlyIncome]]&lt;15000, "Medium Income", "High Income"))</f>
        <v>Medium Income</v>
      </c>
      <c r="AL1035" s="13">
        <f>IF(tblCleanData[[#This Row],[Attrition]]="No", 0,1)</f>
        <v>1</v>
      </c>
      <c r="AM1035" s="13">
        <f>IF(tblCleanData[[#This Row],[OverTime]] = "No", 0, 1)</f>
        <v>0</v>
      </c>
      <c r="AN1035" s="13" t="str">
        <f>CHOOSE(tblCleanData[[#This Row],[Education]], "Below College","College","Bachelor","Master","Doctor")</f>
        <v>Doctor</v>
      </c>
      <c r="AO1035" s="13" t="str">
        <f>VLOOKUP(tblCleanData[[#This Row],[EmployeeNumber]],tblHelpers[],15,TRUE)</f>
        <v>Medium Risk</v>
      </c>
      <c r="AP1035" s="13">
        <f>VLOOKUP(tblCleanData[[#This Row],[EmployeeNumber]],tblHelpers[],14,0)</f>
        <v>52</v>
      </c>
    </row>
    <row r="1036" spans="1:42" x14ac:dyDescent="0.25">
      <c r="A1036" s="13">
        <v>45</v>
      </c>
      <c r="B1036" s="13" t="s">
        <v>59</v>
      </c>
      <c r="C1036" s="13" t="s">
        <v>37</v>
      </c>
      <c r="D1036" s="13">
        <v>1038</v>
      </c>
      <c r="E1036" s="13" t="s">
        <v>62</v>
      </c>
      <c r="F1036" s="13">
        <v>20</v>
      </c>
      <c r="G1036" s="13">
        <v>3</v>
      </c>
      <c r="H1036" s="13" t="s">
        <v>87</v>
      </c>
      <c r="I1036" s="13">
        <v>1</v>
      </c>
      <c r="J1036" s="13">
        <v>1460</v>
      </c>
      <c r="K1036" s="13">
        <v>2</v>
      </c>
      <c r="L1036" s="13" t="s">
        <v>63</v>
      </c>
      <c r="M1036" s="13">
        <v>95</v>
      </c>
      <c r="N1036" s="13">
        <v>1</v>
      </c>
      <c r="O1036" s="13">
        <v>3</v>
      </c>
      <c r="P1036" s="13" t="s">
        <v>122</v>
      </c>
      <c r="Q1036" s="13">
        <v>1</v>
      </c>
      <c r="R1036" s="13" t="s">
        <v>109</v>
      </c>
      <c r="S1036" s="20">
        <v>10851</v>
      </c>
      <c r="T1036" s="13">
        <v>19863</v>
      </c>
      <c r="U1036" s="13">
        <v>2</v>
      </c>
      <c r="V1036" s="13" t="s">
        <v>52</v>
      </c>
      <c r="W1036" s="13" t="s">
        <v>36</v>
      </c>
      <c r="X1036" s="13">
        <v>18</v>
      </c>
      <c r="Y1036" s="13">
        <v>3</v>
      </c>
      <c r="Z1036" s="13">
        <v>2</v>
      </c>
      <c r="AA1036" s="13">
        <v>80</v>
      </c>
      <c r="AB1036" s="13">
        <v>1</v>
      </c>
      <c r="AC1036" s="13">
        <v>24</v>
      </c>
      <c r="AD1036" s="13">
        <v>2</v>
      </c>
      <c r="AE1036" s="13">
        <v>3</v>
      </c>
      <c r="AF1036" s="14">
        <v>7</v>
      </c>
      <c r="AG1036" s="13">
        <v>7</v>
      </c>
      <c r="AH1036" s="13">
        <v>0</v>
      </c>
      <c r="AI1036" s="13">
        <v>7</v>
      </c>
      <c r="AJ1036" s="13" t="str">
        <f t="shared" si="16"/>
        <v>40-49</v>
      </c>
      <c r="AK1036" s="13" t="str">
        <f>IF(tblCleanData[[#This Row],[MonthlyIncome]]&lt;5000, "Low Income", IF(tblCleanData[[#This Row],[MonthlyIncome]]&lt;15000, "Medium Income", "High Income"))</f>
        <v>Medium Income</v>
      </c>
      <c r="AL1036" s="13">
        <f>IF(tblCleanData[[#This Row],[Attrition]]="No", 0,1)</f>
        <v>0</v>
      </c>
      <c r="AM1036" s="13">
        <f>IF(tblCleanData[[#This Row],[OverTime]] = "No", 0, 1)</f>
        <v>1</v>
      </c>
      <c r="AN1036" s="13" t="str">
        <f>CHOOSE(tblCleanData[[#This Row],[Education]], "Below College","College","Bachelor","Master","Doctor")</f>
        <v>Bachelor</v>
      </c>
      <c r="AO1036" s="13" t="str">
        <f>VLOOKUP(tblCleanData[[#This Row],[EmployeeNumber]],tblHelpers[],15,TRUE)</f>
        <v>High Risk</v>
      </c>
      <c r="AP1036" s="13">
        <f>VLOOKUP(tblCleanData[[#This Row],[EmployeeNumber]],tblHelpers[],14,0)</f>
        <v>73</v>
      </c>
    </row>
    <row r="1037" spans="1:42" x14ac:dyDescent="0.25">
      <c r="A1037" s="13">
        <v>31</v>
      </c>
      <c r="B1037" s="13" t="s">
        <v>59</v>
      </c>
      <c r="C1037" s="13" t="s">
        <v>37</v>
      </c>
      <c r="D1037" s="13">
        <v>1398</v>
      </c>
      <c r="E1037" s="13" t="s">
        <v>397</v>
      </c>
      <c r="F1037" s="13">
        <v>8</v>
      </c>
      <c r="G1037" s="13">
        <v>2</v>
      </c>
      <c r="H1037" s="13" t="s">
        <v>87</v>
      </c>
      <c r="I1037" s="13">
        <v>1</v>
      </c>
      <c r="J1037" s="13">
        <v>1461</v>
      </c>
      <c r="K1037" s="13">
        <v>4</v>
      </c>
      <c r="L1037" s="13" t="s">
        <v>43</v>
      </c>
      <c r="M1037" s="13">
        <v>96</v>
      </c>
      <c r="N1037" s="13">
        <v>4</v>
      </c>
      <c r="O1037" s="13">
        <v>1</v>
      </c>
      <c r="P1037" s="13" t="s">
        <v>397</v>
      </c>
      <c r="Q1037" s="13">
        <v>2</v>
      </c>
      <c r="R1037" s="13" t="s">
        <v>48</v>
      </c>
      <c r="S1037" s="20">
        <v>2109</v>
      </c>
      <c r="T1037" s="13">
        <v>24609</v>
      </c>
      <c r="U1037" s="13">
        <v>9</v>
      </c>
      <c r="V1037" s="13" t="s">
        <v>52</v>
      </c>
      <c r="W1037" s="13" t="s">
        <v>59</v>
      </c>
      <c r="X1037" s="13">
        <v>18</v>
      </c>
      <c r="Y1037" s="13">
        <v>3</v>
      </c>
      <c r="Z1037" s="13">
        <v>4</v>
      </c>
      <c r="AA1037" s="13">
        <v>80</v>
      </c>
      <c r="AB1037" s="13">
        <v>0</v>
      </c>
      <c r="AC1037" s="13">
        <v>8</v>
      </c>
      <c r="AD1037" s="13">
        <v>3</v>
      </c>
      <c r="AE1037" s="13">
        <v>3</v>
      </c>
      <c r="AF1037" s="14">
        <v>3</v>
      </c>
      <c r="AG1037" s="13">
        <v>2</v>
      </c>
      <c r="AH1037" s="13">
        <v>0</v>
      </c>
      <c r="AI1037" s="13">
        <v>2</v>
      </c>
      <c r="AJ1037" s="13" t="str">
        <f t="shared" si="16"/>
        <v>30-39</v>
      </c>
      <c r="AK1037" s="13" t="str">
        <f>IF(tblCleanData[[#This Row],[MonthlyIncome]]&lt;5000, "Low Income", IF(tblCleanData[[#This Row],[MonthlyIncome]]&lt;15000, "Medium Income", "High Income"))</f>
        <v>Low Income</v>
      </c>
      <c r="AL1037" s="13">
        <f>IF(tblCleanData[[#This Row],[Attrition]]="No", 0,1)</f>
        <v>0</v>
      </c>
      <c r="AM1037" s="13">
        <f>IF(tblCleanData[[#This Row],[OverTime]] = "No", 0, 1)</f>
        <v>0</v>
      </c>
      <c r="AN1037" s="13" t="str">
        <f>CHOOSE(tblCleanData[[#This Row],[Education]], "Below College","College","Bachelor","Master","Doctor")</f>
        <v>College</v>
      </c>
      <c r="AO1037" s="13" t="str">
        <f>VLOOKUP(tblCleanData[[#This Row],[EmployeeNumber]],tblHelpers[],15,TRUE)</f>
        <v>High Risk</v>
      </c>
      <c r="AP1037" s="13">
        <f>VLOOKUP(tblCleanData[[#This Row],[EmployeeNumber]],tblHelpers[],14,0)</f>
        <v>59</v>
      </c>
    </row>
    <row r="1038" spans="1:42" x14ac:dyDescent="0.25">
      <c r="A1038" s="13">
        <v>31</v>
      </c>
      <c r="B1038" s="13" t="s">
        <v>36</v>
      </c>
      <c r="C1038" s="13" t="s">
        <v>60</v>
      </c>
      <c r="D1038" s="13">
        <v>523</v>
      </c>
      <c r="E1038" s="13" t="s">
        <v>62</v>
      </c>
      <c r="F1038" s="13">
        <v>2</v>
      </c>
      <c r="G1038" s="13">
        <v>3</v>
      </c>
      <c r="H1038" s="13" t="s">
        <v>42</v>
      </c>
      <c r="I1038" s="13">
        <v>1</v>
      </c>
      <c r="J1038" s="13">
        <v>1464</v>
      </c>
      <c r="K1038" s="13">
        <v>2</v>
      </c>
      <c r="L1038" s="13" t="s">
        <v>63</v>
      </c>
      <c r="M1038" s="13">
        <v>94</v>
      </c>
      <c r="N1038" s="13">
        <v>3</v>
      </c>
      <c r="O1038" s="13">
        <v>1</v>
      </c>
      <c r="P1038" s="13" t="s">
        <v>76</v>
      </c>
      <c r="Q1038" s="13">
        <v>4</v>
      </c>
      <c r="R1038" s="13" t="s">
        <v>66</v>
      </c>
      <c r="S1038" s="20">
        <v>3722</v>
      </c>
      <c r="T1038" s="13">
        <v>21081</v>
      </c>
      <c r="U1038" s="13">
        <v>6</v>
      </c>
      <c r="V1038" s="13" t="s">
        <v>52</v>
      </c>
      <c r="W1038" s="13" t="s">
        <v>36</v>
      </c>
      <c r="X1038" s="13">
        <v>13</v>
      </c>
      <c r="Y1038" s="13">
        <v>3</v>
      </c>
      <c r="Z1038" s="13">
        <v>3</v>
      </c>
      <c r="AA1038" s="13">
        <v>80</v>
      </c>
      <c r="AB1038" s="13">
        <v>1</v>
      </c>
      <c r="AC1038" s="13">
        <v>7</v>
      </c>
      <c r="AD1038" s="13">
        <v>2</v>
      </c>
      <c r="AE1038" s="13">
        <v>1</v>
      </c>
      <c r="AF1038" s="14">
        <v>2</v>
      </c>
      <c r="AG1038" s="13">
        <v>2</v>
      </c>
      <c r="AH1038" s="13">
        <v>2</v>
      </c>
      <c r="AI1038" s="13">
        <v>2</v>
      </c>
      <c r="AJ1038" s="13" t="str">
        <f t="shared" si="16"/>
        <v>30-39</v>
      </c>
      <c r="AK1038" s="13" t="str">
        <f>IF(tblCleanData[[#This Row],[MonthlyIncome]]&lt;5000, "Low Income", IF(tblCleanData[[#This Row],[MonthlyIncome]]&lt;15000, "Medium Income", "High Income"))</f>
        <v>Low Income</v>
      </c>
      <c r="AL1038" s="13">
        <f>IF(tblCleanData[[#This Row],[Attrition]]="No", 0,1)</f>
        <v>1</v>
      </c>
      <c r="AM1038" s="13">
        <f>IF(tblCleanData[[#This Row],[OverTime]] = "No", 0, 1)</f>
        <v>1</v>
      </c>
      <c r="AN1038" s="13" t="str">
        <f>CHOOSE(tblCleanData[[#This Row],[Education]], "Below College","College","Bachelor","Master","Doctor")</f>
        <v>Bachelor</v>
      </c>
      <c r="AO1038" s="13" t="str">
        <f>VLOOKUP(tblCleanData[[#This Row],[EmployeeNumber]],tblHelpers[],15,TRUE)</f>
        <v>High Risk</v>
      </c>
      <c r="AP1038" s="13">
        <f>VLOOKUP(tblCleanData[[#This Row],[EmployeeNumber]],tblHelpers[],14,0)</f>
        <v>81</v>
      </c>
    </row>
    <row r="1039" spans="1:42" x14ac:dyDescent="0.25">
      <c r="A1039" s="13">
        <v>45</v>
      </c>
      <c r="B1039" s="13" t="s">
        <v>59</v>
      </c>
      <c r="C1039" s="13" t="s">
        <v>37</v>
      </c>
      <c r="D1039" s="13">
        <v>1448</v>
      </c>
      <c r="E1039" s="13" t="s">
        <v>62</v>
      </c>
      <c r="F1039" s="13">
        <v>29</v>
      </c>
      <c r="G1039" s="13">
        <v>3</v>
      </c>
      <c r="H1039" s="13" t="s">
        <v>228</v>
      </c>
      <c r="I1039" s="13">
        <v>1</v>
      </c>
      <c r="J1039" s="13">
        <v>1465</v>
      </c>
      <c r="K1039" s="13">
        <v>2</v>
      </c>
      <c r="L1039" s="13" t="s">
        <v>63</v>
      </c>
      <c r="M1039" s="13">
        <v>55</v>
      </c>
      <c r="N1039" s="13">
        <v>3</v>
      </c>
      <c r="O1039" s="13">
        <v>3</v>
      </c>
      <c r="P1039" s="13" t="s">
        <v>116</v>
      </c>
      <c r="Q1039" s="13">
        <v>4</v>
      </c>
      <c r="R1039" s="13" t="s">
        <v>66</v>
      </c>
      <c r="S1039" s="20">
        <v>9380</v>
      </c>
      <c r="T1039" s="13">
        <v>14720</v>
      </c>
      <c r="U1039" s="13">
        <v>4</v>
      </c>
      <c r="V1039" s="13" t="s">
        <v>52</v>
      </c>
      <c r="W1039" s="13" t="s">
        <v>36</v>
      </c>
      <c r="X1039" s="13">
        <v>18</v>
      </c>
      <c r="Y1039" s="13">
        <v>3</v>
      </c>
      <c r="Z1039" s="13">
        <v>4</v>
      </c>
      <c r="AA1039" s="13">
        <v>80</v>
      </c>
      <c r="AB1039" s="13">
        <v>2</v>
      </c>
      <c r="AC1039" s="13">
        <v>10</v>
      </c>
      <c r="AD1039" s="13">
        <v>4</v>
      </c>
      <c r="AE1039" s="13">
        <v>4</v>
      </c>
      <c r="AF1039" s="14">
        <v>3</v>
      </c>
      <c r="AG1039" s="13">
        <v>1</v>
      </c>
      <c r="AH1039" s="13">
        <v>1</v>
      </c>
      <c r="AI1039" s="13">
        <v>2</v>
      </c>
      <c r="AJ1039" s="13" t="str">
        <f t="shared" si="16"/>
        <v>40-49</v>
      </c>
      <c r="AK1039" s="13" t="str">
        <f>IF(tblCleanData[[#This Row],[MonthlyIncome]]&lt;5000, "Low Income", IF(tblCleanData[[#This Row],[MonthlyIncome]]&lt;15000, "Medium Income", "High Income"))</f>
        <v>Medium Income</v>
      </c>
      <c r="AL1039" s="13">
        <f>IF(tblCleanData[[#This Row],[Attrition]]="No", 0,1)</f>
        <v>0</v>
      </c>
      <c r="AM1039" s="13">
        <f>IF(tblCleanData[[#This Row],[OverTime]] = "No", 0, 1)</f>
        <v>1</v>
      </c>
      <c r="AN1039" s="13" t="str">
        <f>CHOOSE(tblCleanData[[#This Row],[Education]], "Below College","College","Bachelor","Master","Doctor")</f>
        <v>Bachelor</v>
      </c>
      <c r="AO1039" s="13" t="str">
        <f>VLOOKUP(tblCleanData[[#This Row],[EmployeeNumber]],tblHelpers[],15,TRUE)</f>
        <v>High Risk</v>
      </c>
      <c r="AP1039" s="13">
        <f>VLOOKUP(tblCleanData[[#This Row],[EmployeeNumber]],tblHelpers[],14,0)</f>
        <v>61</v>
      </c>
    </row>
    <row r="1040" spans="1:42" x14ac:dyDescent="0.25">
      <c r="A1040" s="13">
        <v>48</v>
      </c>
      <c r="B1040" s="13" t="s">
        <v>59</v>
      </c>
      <c r="C1040" s="13" t="s">
        <v>37</v>
      </c>
      <c r="D1040" s="13">
        <v>1221</v>
      </c>
      <c r="E1040" s="13" t="s">
        <v>39</v>
      </c>
      <c r="F1040" s="13">
        <v>7</v>
      </c>
      <c r="G1040" s="13">
        <v>3</v>
      </c>
      <c r="H1040" s="13" t="s">
        <v>206</v>
      </c>
      <c r="I1040" s="13">
        <v>1</v>
      </c>
      <c r="J1040" s="13">
        <v>1466</v>
      </c>
      <c r="K1040" s="13">
        <v>3</v>
      </c>
      <c r="L1040" s="13" t="s">
        <v>63</v>
      </c>
      <c r="M1040" s="13">
        <v>96</v>
      </c>
      <c r="N1040" s="13">
        <v>3</v>
      </c>
      <c r="O1040" s="13">
        <v>2</v>
      </c>
      <c r="P1040" s="13" t="s">
        <v>46</v>
      </c>
      <c r="Q1040" s="13">
        <v>1</v>
      </c>
      <c r="R1040" s="13" t="s">
        <v>109</v>
      </c>
      <c r="S1040" s="20">
        <v>5486</v>
      </c>
      <c r="T1040" s="13">
        <v>24795</v>
      </c>
      <c r="U1040" s="13">
        <v>4</v>
      </c>
      <c r="V1040" s="13" t="s">
        <v>52</v>
      </c>
      <c r="W1040" s="13" t="s">
        <v>59</v>
      </c>
      <c r="X1040" s="13">
        <v>11</v>
      </c>
      <c r="Y1040" s="13">
        <v>3</v>
      </c>
      <c r="Z1040" s="13">
        <v>1</v>
      </c>
      <c r="AA1040" s="13">
        <v>80</v>
      </c>
      <c r="AB1040" s="13">
        <v>3</v>
      </c>
      <c r="AC1040" s="13">
        <v>15</v>
      </c>
      <c r="AD1040" s="13">
        <v>3</v>
      </c>
      <c r="AE1040" s="13">
        <v>3</v>
      </c>
      <c r="AF1040" s="14">
        <v>2</v>
      </c>
      <c r="AG1040" s="13">
        <v>2</v>
      </c>
      <c r="AH1040" s="13">
        <v>2</v>
      </c>
      <c r="AI1040" s="13">
        <v>2</v>
      </c>
      <c r="AJ1040" s="13" t="str">
        <f t="shared" si="16"/>
        <v>40-49</v>
      </c>
      <c r="AK1040" s="13" t="str">
        <f>IF(tblCleanData[[#This Row],[MonthlyIncome]]&lt;5000, "Low Income", IF(tblCleanData[[#This Row],[MonthlyIncome]]&lt;15000, "Medium Income", "High Income"))</f>
        <v>Medium Income</v>
      </c>
      <c r="AL1040" s="13">
        <f>IF(tblCleanData[[#This Row],[Attrition]]="No", 0,1)</f>
        <v>0</v>
      </c>
      <c r="AM1040" s="13">
        <f>IF(tblCleanData[[#This Row],[OverTime]] = "No", 0, 1)</f>
        <v>0</v>
      </c>
      <c r="AN1040" s="13" t="str">
        <f>CHOOSE(tblCleanData[[#This Row],[Education]], "Below College","College","Bachelor","Master","Doctor")</f>
        <v>Bachelor</v>
      </c>
      <c r="AO1040" s="13" t="str">
        <f>VLOOKUP(tblCleanData[[#This Row],[EmployeeNumber]],tblHelpers[],15,TRUE)</f>
        <v>High Risk</v>
      </c>
      <c r="AP1040" s="13">
        <f>VLOOKUP(tblCleanData[[#This Row],[EmployeeNumber]],tblHelpers[],14,0)</f>
        <v>65</v>
      </c>
    </row>
    <row r="1041" spans="1:42" x14ac:dyDescent="0.25">
      <c r="A1041" s="13">
        <v>34</v>
      </c>
      <c r="B1041" s="13" t="s">
        <v>36</v>
      </c>
      <c r="C1041" s="13" t="s">
        <v>37</v>
      </c>
      <c r="D1041" s="13">
        <v>1107</v>
      </c>
      <c r="E1041" s="13" t="s">
        <v>397</v>
      </c>
      <c r="F1041" s="13">
        <v>9</v>
      </c>
      <c r="G1041" s="13">
        <v>4</v>
      </c>
      <c r="H1041" s="13" t="s">
        <v>228</v>
      </c>
      <c r="I1041" s="13">
        <v>1</v>
      </c>
      <c r="J1041" s="13">
        <v>1467</v>
      </c>
      <c r="K1041" s="13">
        <v>1</v>
      </c>
      <c r="L1041" s="13" t="s">
        <v>43</v>
      </c>
      <c r="M1041" s="13">
        <v>52</v>
      </c>
      <c r="N1041" s="13">
        <v>3</v>
      </c>
      <c r="O1041" s="13">
        <v>1</v>
      </c>
      <c r="P1041" s="13" t="s">
        <v>397</v>
      </c>
      <c r="Q1041" s="13">
        <v>3</v>
      </c>
      <c r="R1041" s="13" t="s">
        <v>66</v>
      </c>
      <c r="S1041" s="20">
        <v>2742</v>
      </c>
      <c r="T1041" s="13">
        <v>3072</v>
      </c>
      <c r="U1041" s="13">
        <v>1</v>
      </c>
      <c r="V1041" s="13" t="s">
        <v>52</v>
      </c>
      <c r="W1041" s="13" t="s">
        <v>59</v>
      </c>
      <c r="X1041" s="13">
        <v>15</v>
      </c>
      <c r="Y1041" s="13">
        <v>3</v>
      </c>
      <c r="Z1041" s="13">
        <v>4</v>
      </c>
      <c r="AA1041" s="13">
        <v>80</v>
      </c>
      <c r="AB1041" s="13">
        <v>0</v>
      </c>
      <c r="AC1041" s="13">
        <v>2</v>
      </c>
      <c r="AD1041" s="13">
        <v>0</v>
      </c>
      <c r="AE1041" s="13">
        <v>3</v>
      </c>
      <c r="AF1041" s="14">
        <v>2</v>
      </c>
      <c r="AG1041" s="13">
        <v>2</v>
      </c>
      <c r="AH1041" s="13">
        <v>2</v>
      </c>
      <c r="AI1041" s="13">
        <v>2</v>
      </c>
      <c r="AJ1041" s="13" t="str">
        <f t="shared" si="16"/>
        <v>30-39</v>
      </c>
      <c r="AK1041" s="13" t="str">
        <f>IF(tblCleanData[[#This Row],[MonthlyIncome]]&lt;5000, "Low Income", IF(tblCleanData[[#This Row],[MonthlyIncome]]&lt;15000, "Medium Income", "High Income"))</f>
        <v>Low Income</v>
      </c>
      <c r="AL1041" s="13">
        <f>IF(tblCleanData[[#This Row],[Attrition]]="No", 0,1)</f>
        <v>1</v>
      </c>
      <c r="AM1041" s="13">
        <f>IF(tblCleanData[[#This Row],[OverTime]] = "No", 0, 1)</f>
        <v>0</v>
      </c>
      <c r="AN1041" s="13" t="str">
        <f>CHOOSE(tblCleanData[[#This Row],[Education]], "Below College","College","Bachelor","Master","Doctor")</f>
        <v>Master</v>
      </c>
      <c r="AO1041" s="13" t="str">
        <f>VLOOKUP(tblCleanData[[#This Row],[EmployeeNumber]],tblHelpers[],15,TRUE)</f>
        <v>High Risk</v>
      </c>
      <c r="AP1041" s="13">
        <f>VLOOKUP(tblCleanData[[#This Row],[EmployeeNumber]],tblHelpers[],14,0)</f>
        <v>63</v>
      </c>
    </row>
    <row r="1042" spans="1:42" x14ac:dyDescent="0.25">
      <c r="A1042" s="13">
        <v>40</v>
      </c>
      <c r="B1042" s="13" t="s">
        <v>59</v>
      </c>
      <c r="C1042" s="13" t="s">
        <v>161</v>
      </c>
      <c r="D1042" s="13">
        <v>218</v>
      </c>
      <c r="E1042" s="13" t="s">
        <v>62</v>
      </c>
      <c r="F1042" s="13">
        <v>8</v>
      </c>
      <c r="G1042" s="13">
        <v>1</v>
      </c>
      <c r="H1042" s="13" t="s">
        <v>87</v>
      </c>
      <c r="I1042" s="13">
        <v>1</v>
      </c>
      <c r="J1042" s="13">
        <v>1468</v>
      </c>
      <c r="K1042" s="13">
        <v>4</v>
      </c>
      <c r="L1042" s="13" t="s">
        <v>63</v>
      </c>
      <c r="M1042" s="13">
        <v>55</v>
      </c>
      <c r="N1042" s="13">
        <v>2</v>
      </c>
      <c r="O1042" s="13">
        <v>3</v>
      </c>
      <c r="P1042" s="13" t="s">
        <v>186</v>
      </c>
      <c r="Q1042" s="13">
        <v>2</v>
      </c>
      <c r="R1042" s="13" t="s">
        <v>109</v>
      </c>
      <c r="S1042" s="20">
        <v>13757</v>
      </c>
      <c r="T1042" s="13">
        <v>25178</v>
      </c>
      <c r="U1042" s="13">
        <v>2</v>
      </c>
      <c r="V1042" s="13" t="s">
        <v>52</v>
      </c>
      <c r="W1042" s="13" t="s">
        <v>59</v>
      </c>
      <c r="X1042" s="13">
        <v>11</v>
      </c>
      <c r="Y1042" s="13">
        <v>3</v>
      </c>
      <c r="Z1042" s="13">
        <v>3</v>
      </c>
      <c r="AA1042" s="13">
        <v>80</v>
      </c>
      <c r="AB1042" s="13">
        <v>1</v>
      </c>
      <c r="AC1042" s="13">
        <v>16</v>
      </c>
      <c r="AD1042" s="13">
        <v>5</v>
      </c>
      <c r="AE1042" s="13">
        <v>3</v>
      </c>
      <c r="AF1042" s="14">
        <v>9</v>
      </c>
      <c r="AG1042" s="13">
        <v>8</v>
      </c>
      <c r="AH1042" s="13">
        <v>4</v>
      </c>
      <c r="AI1042" s="13">
        <v>8</v>
      </c>
      <c r="AJ1042" s="13" t="str">
        <f t="shared" si="16"/>
        <v>40-49</v>
      </c>
      <c r="AK1042" s="13" t="str">
        <f>IF(tblCleanData[[#This Row],[MonthlyIncome]]&lt;5000, "Low Income", IF(tblCleanData[[#This Row],[MonthlyIncome]]&lt;15000, "Medium Income", "High Income"))</f>
        <v>Medium Income</v>
      </c>
      <c r="AL1042" s="13">
        <f>IF(tblCleanData[[#This Row],[Attrition]]="No", 0,1)</f>
        <v>0</v>
      </c>
      <c r="AM1042" s="13">
        <f>IF(tblCleanData[[#This Row],[OverTime]] = "No", 0, 1)</f>
        <v>0</v>
      </c>
      <c r="AN1042" s="13" t="str">
        <f>CHOOSE(tblCleanData[[#This Row],[Education]], "Below College","College","Bachelor","Master","Doctor")</f>
        <v>Below College</v>
      </c>
      <c r="AO1042" s="13" t="str">
        <f>VLOOKUP(tblCleanData[[#This Row],[EmployeeNumber]],tblHelpers[],15,TRUE)</f>
        <v>Medium Risk</v>
      </c>
      <c r="AP1042" s="13">
        <f>VLOOKUP(tblCleanData[[#This Row],[EmployeeNumber]],tblHelpers[],14,0)</f>
        <v>42</v>
      </c>
    </row>
    <row r="1043" spans="1:42" x14ac:dyDescent="0.25">
      <c r="A1043" s="13">
        <v>28</v>
      </c>
      <c r="B1043" s="13" t="s">
        <v>59</v>
      </c>
      <c r="C1043" s="13" t="s">
        <v>37</v>
      </c>
      <c r="D1043" s="13">
        <v>866</v>
      </c>
      <c r="E1043" s="13" t="s">
        <v>39</v>
      </c>
      <c r="F1043" s="13">
        <v>5</v>
      </c>
      <c r="G1043" s="13">
        <v>3</v>
      </c>
      <c r="H1043" s="13" t="s">
        <v>87</v>
      </c>
      <c r="I1043" s="13">
        <v>1</v>
      </c>
      <c r="J1043" s="13">
        <v>1469</v>
      </c>
      <c r="K1043" s="13">
        <v>4</v>
      </c>
      <c r="L1043" s="13" t="s">
        <v>63</v>
      </c>
      <c r="M1043" s="13">
        <v>84</v>
      </c>
      <c r="N1043" s="13">
        <v>3</v>
      </c>
      <c r="O1043" s="13">
        <v>2</v>
      </c>
      <c r="P1043" s="13" t="s">
        <v>46</v>
      </c>
      <c r="Q1043" s="13">
        <v>1</v>
      </c>
      <c r="R1043" s="13" t="s">
        <v>48</v>
      </c>
      <c r="S1043" s="20">
        <v>8463</v>
      </c>
      <c r="T1043" s="13">
        <v>23490</v>
      </c>
      <c r="U1043" s="13">
        <v>0</v>
      </c>
      <c r="V1043" s="13" t="s">
        <v>52</v>
      </c>
      <c r="W1043" s="13" t="s">
        <v>59</v>
      </c>
      <c r="X1043" s="13">
        <v>18</v>
      </c>
      <c r="Y1043" s="13">
        <v>3</v>
      </c>
      <c r="Z1043" s="13">
        <v>4</v>
      </c>
      <c r="AA1043" s="13">
        <v>80</v>
      </c>
      <c r="AB1043" s="13">
        <v>0</v>
      </c>
      <c r="AC1043" s="13">
        <v>6</v>
      </c>
      <c r="AD1043" s="13">
        <v>4</v>
      </c>
      <c r="AE1043" s="13">
        <v>3</v>
      </c>
      <c r="AF1043" s="14">
        <v>5</v>
      </c>
      <c r="AG1043" s="13">
        <v>4</v>
      </c>
      <c r="AH1043" s="13">
        <v>1</v>
      </c>
      <c r="AI1043" s="13">
        <v>3</v>
      </c>
      <c r="AJ1043" s="13" t="str">
        <f t="shared" si="16"/>
        <v>Under 30</v>
      </c>
      <c r="AK1043" s="13" t="str">
        <f>IF(tblCleanData[[#This Row],[MonthlyIncome]]&lt;5000, "Low Income", IF(tblCleanData[[#This Row],[MonthlyIncome]]&lt;15000, "Medium Income", "High Income"))</f>
        <v>Medium Income</v>
      </c>
      <c r="AL1043" s="13">
        <f>IF(tblCleanData[[#This Row],[Attrition]]="No", 0,1)</f>
        <v>0</v>
      </c>
      <c r="AM1043" s="13">
        <f>IF(tblCleanData[[#This Row],[OverTime]] = "No", 0, 1)</f>
        <v>0</v>
      </c>
      <c r="AN1043" s="13" t="str">
        <f>CHOOSE(tblCleanData[[#This Row],[Education]], "Below College","College","Bachelor","Master","Doctor")</f>
        <v>Bachelor</v>
      </c>
      <c r="AO1043" s="13" t="str">
        <f>VLOOKUP(tblCleanData[[#This Row],[EmployeeNumber]],tblHelpers[],15,TRUE)</f>
        <v>High Risk</v>
      </c>
      <c r="AP1043" s="13">
        <f>VLOOKUP(tblCleanData[[#This Row],[EmployeeNumber]],tblHelpers[],14,0)</f>
        <v>75</v>
      </c>
    </row>
    <row r="1044" spans="1:42" x14ac:dyDescent="0.25">
      <c r="A1044" s="13">
        <v>44</v>
      </c>
      <c r="B1044" s="13" t="s">
        <v>59</v>
      </c>
      <c r="C1044" s="13" t="s">
        <v>161</v>
      </c>
      <c r="D1044" s="13">
        <v>981</v>
      </c>
      <c r="E1044" s="13" t="s">
        <v>62</v>
      </c>
      <c r="F1044" s="13">
        <v>5</v>
      </c>
      <c r="G1044" s="13">
        <v>3</v>
      </c>
      <c r="H1044" s="13" t="s">
        <v>42</v>
      </c>
      <c r="I1044" s="13">
        <v>1</v>
      </c>
      <c r="J1044" s="13">
        <v>1471</v>
      </c>
      <c r="K1044" s="13">
        <v>3</v>
      </c>
      <c r="L1044" s="13" t="s">
        <v>63</v>
      </c>
      <c r="M1044" s="13">
        <v>90</v>
      </c>
      <c r="N1044" s="13">
        <v>2</v>
      </c>
      <c r="O1044" s="13">
        <v>1</v>
      </c>
      <c r="P1044" s="13" t="s">
        <v>76</v>
      </c>
      <c r="Q1044" s="13">
        <v>3</v>
      </c>
      <c r="R1044" s="13" t="s">
        <v>48</v>
      </c>
      <c r="S1044" s="20">
        <v>3162</v>
      </c>
      <c r="T1044" s="13">
        <v>7973</v>
      </c>
      <c r="U1044" s="13">
        <v>3</v>
      </c>
      <c r="V1044" s="13" t="s">
        <v>52</v>
      </c>
      <c r="W1044" s="13" t="s">
        <v>59</v>
      </c>
      <c r="X1044" s="13">
        <v>14</v>
      </c>
      <c r="Y1044" s="13">
        <v>3</v>
      </c>
      <c r="Z1044" s="13">
        <v>4</v>
      </c>
      <c r="AA1044" s="13">
        <v>80</v>
      </c>
      <c r="AB1044" s="13">
        <v>0</v>
      </c>
      <c r="AC1044" s="13">
        <v>7</v>
      </c>
      <c r="AD1044" s="13">
        <v>5</v>
      </c>
      <c r="AE1044" s="13">
        <v>3</v>
      </c>
      <c r="AF1044" s="14">
        <v>5</v>
      </c>
      <c r="AG1044" s="13">
        <v>2</v>
      </c>
      <c r="AH1044" s="13">
        <v>0</v>
      </c>
      <c r="AI1044" s="13">
        <v>3</v>
      </c>
      <c r="AJ1044" s="13" t="str">
        <f t="shared" si="16"/>
        <v>40-49</v>
      </c>
      <c r="AK1044" s="13" t="str">
        <f>IF(tblCleanData[[#This Row],[MonthlyIncome]]&lt;5000, "Low Income", IF(tblCleanData[[#This Row],[MonthlyIncome]]&lt;15000, "Medium Income", "High Income"))</f>
        <v>Low Income</v>
      </c>
      <c r="AL1044" s="13">
        <f>IF(tblCleanData[[#This Row],[Attrition]]="No", 0,1)</f>
        <v>0</v>
      </c>
      <c r="AM1044" s="13">
        <f>IF(tblCleanData[[#This Row],[OverTime]] = "No", 0, 1)</f>
        <v>0</v>
      </c>
      <c r="AN1044" s="13" t="str">
        <f>CHOOSE(tblCleanData[[#This Row],[Education]], "Below College","College","Bachelor","Master","Doctor")</f>
        <v>Bachelor</v>
      </c>
      <c r="AO1044" s="13" t="str">
        <f>VLOOKUP(tblCleanData[[#This Row],[EmployeeNumber]],tblHelpers[],15,TRUE)</f>
        <v>Medium Risk</v>
      </c>
      <c r="AP1044" s="13">
        <f>VLOOKUP(tblCleanData[[#This Row],[EmployeeNumber]],tblHelpers[],14,0)</f>
        <v>43</v>
      </c>
    </row>
    <row r="1045" spans="1:42" x14ac:dyDescent="0.25">
      <c r="A1045" s="13">
        <v>53</v>
      </c>
      <c r="B1045" s="13" t="s">
        <v>59</v>
      </c>
      <c r="C1045" s="13" t="s">
        <v>37</v>
      </c>
      <c r="D1045" s="13">
        <v>447</v>
      </c>
      <c r="E1045" s="13" t="s">
        <v>62</v>
      </c>
      <c r="F1045" s="13">
        <v>2</v>
      </c>
      <c r="G1045" s="13">
        <v>3</v>
      </c>
      <c r="H1045" s="13" t="s">
        <v>87</v>
      </c>
      <c r="I1045" s="13">
        <v>1</v>
      </c>
      <c r="J1045" s="13">
        <v>1472</v>
      </c>
      <c r="K1045" s="13">
        <v>4</v>
      </c>
      <c r="L1045" s="13" t="s">
        <v>63</v>
      </c>
      <c r="M1045" s="13">
        <v>39</v>
      </c>
      <c r="N1045" s="13">
        <v>4</v>
      </c>
      <c r="O1045" s="13">
        <v>4</v>
      </c>
      <c r="P1045" s="13" t="s">
        <v>186</v>
      </c>
      <c r="Q1045" s="13">
        <v>2</v>
      </c>
      <c r="R1045" s="13" t="s">
        <v>48</v>
      </c>
      <c r="S1045" s="20">
        <v>16598</v>
      </c>
      <c r="T1045" s="13">
        <v>19764</v>
      </c>
      <c r="U1045" s="13">
        <v>4</v>
      </c>
      <c r="V1045" s="13" t="s">
        <v>52</v>
      </c>
      <c r="W1045" s="13" t="s">
        <v>59</v>
      </c>
      <c r="X1045" s="13">
        <v>12</v>
      </c>
      <c r="Y1045" s="13">
        <v>3</v>
      </c>
      <c r="Z1045" s="13">
        <v>2</v>
      </c>
      <c r="AA1045" s="13">
        <v>80</v>
      </c>
      <c r="AB1045" s="13">
        <v>0</v>
      </c>
      <c r="AC1045" s="13">
        <v>35</v>
      </c>
      <c r="AD1045" s="13">
        <v>2</v>
      </c>
      <c r="AE1045" s="13">
        <v>2</v>
      </c>
      <c r="AF1045" s="14">
        <v>9</v>
      </c>
      <c r="AG1045" s="13">
        <v>8</v>
      </c>
      <c r="AH1045" s="13">
        <v>8</v>
      </c>
      <c r="AI1045" s="13">
        <v>8</v>
      </c>
      <c r="AJ1045" s="13" t="str">
        <f t="shared" si="16"/>
        <v>50+</v>
      </c>
      <c r="AK1045" s="13" t="str">
        <f>IF(tblCleanData[[#This Row],[MonthlyIncome]]&lt;5000, "Low Income", IF(tblCleanData[[#This Row],[MonthlyIncome]]&lt;15000, "Medium Income", "High Income"))</f>
        <v>High Income</v>
      </c>
      <c r="AL1045" s="13">
        <f>IF(tblCleanData[[#This Row],[Attrition]]="No", 0,1)</f>
        <v>0</v>
      </c>
      <c r="AM1045" s="13">
        <f>IF(tblCleanData[[#This Row],[OverTime]] = "No", 0, 1)</f>
        <v>0</v>
      </c>
      <c r="AN1045" s="13" t="str">
        <f>CHOOSE(tblCleanData[[#This Row],[Education]], "Below College","College","Bachelor","Master","Doctor")</f>
        <v>Bachelor</v>
      </c>
      <c r="AO1045" s="13" t="str">
        <f>VLOOKUP(tblCleanData[[#This Row],[EmployeeNumber]],tblHelpers[],15,TRUE)</f>
        <v>Medium Risk</v>
      </c>
      <c r="AP1045" s="13">
        <f>VLOOKUP(tblCleanData[[#This Row],[EmployeeNumber]],tblHelpers[],14,0)</f>
        <v>47</v>
      </c>
    </row>
    <row r="1046" spans="1:42" x14ac:dyDescent="0.25">
      <c r="A1046" s="13">
        <v>49</v>
      </c>
      <c r="B1046" s="13" t="s">
        <v>59</v>
      </c>
      <c r="C1046" s="13" t="s">
        <v>37</v>
      </c>
      <c r="D1046" s="13">
        <v>1495</v>
      </c>
      <c r="E1046" s="13" t="s">
        <v>62</v>
      </c>
      <c r="F1046" s="13">
        <v>5</v>
      </c>
      <c r="G1046" s="13">
        <v>4</v>
      </c>
      <c r="H1046" s="13" t="s">
        <v>228</v>
      </c>
      <c r="I1046" s="13">
        <v>1</v>
      </c>
      <c r="J1046" s="13">
        <v>1473</v>
      </c>
      <c r="K1046" s="13">
        <v>1</v>
      </c>
      <c r="L1046" s="13" t="s">
        <v>63</v>
      </c>
      <c r="M1046" s="13">
        <v>96</v>
      </c>
      <c r="N1046" s="13">
        <v>3</v>
      </c>
      <c r="O1046" s="13">
        <v>2</v>
      </c>
      <c r="P1046" s="13" t="s">
        <v>122</v>
      </c>
      <c r="Q1046" s="13">
        <v>3</v>
      </c>
      <c r="R1046" s="13" t="s">
        <v>66</v>
      </c>
      <c r="S1046" s="20">
        <v>6651</v>
      </c>
      <c r="T1046" s="13">
        <v>21534</v>
      </c>
      <c r="U1046" s="13">
        <v>2</v>
      </c>
      <c r="V1046" s="13" t="s">
        <v>52</v>
      </c>
      <c r="W1046" s="13" t="s">
        <v>59</v>
      </c>
      <c r="X1046" s="13">
        <v>14</v>
      </c>
      <c r="Y1046" s="13">
        <v>3</v>
      </c>
      <c r="Z1046" s="13">
        <v>2</v>
      </c>
      <c r="AA1046" s="13">
        <v>80</v>
      </c>
      <c r="AB1046" s="13">
        <v>1</v>
      </c>
      <c r="AC1046" s="13">
        <v>20</v>
      </c>
      <c r="AD1046" s="13">
        <v>0</v>
      </c>
      <c r="AE1046" s="13">
        <v>2</v>
      </c>
      <c r="AF1046" s="14">
        <v>3</v>
      </c>
      <c r="AG1046" s="13">
        <v>2</v>
      </c>
      <c r="AH1046" s="13">
        <v>1</v>
      </c>
      <c r="AI1046" s="13">
        <v>2</v>
      </c>
      <c r="AJ1046" s="13" t="str">
        <f t="shared" si="16"/>
        <v>40-49</v>
      </c>
      <c r="AK1046" s="13" t="str">
        <f>IF(tblCleanData[[#This Row],[MonthlyIncome]]&lt;5000, "Low Income", IF(tblCleanData[[#This Row],[MonthlyIncome]]&lt;15000, "Medium Income", "High Income"))</f>
        <v>Medium Income</v>
      </c>
      <c r="AL1046" s="13">
        <f>IF(tblCleanData[[#This Row],[Attrition]]="No", 0,1)</f>
        <v>0</v>
      </c>
      <c r="AM1046" s="13">
        <f>IF(tblCleanData[[#This Row],[OverTime]] = "No", 0, 1)</f>
        <v>0</v>
      </c>
      <c r="AN1046" s="13" t="str">
        <f>CHOOSE(tblCleanData[[#This Row],[Education]], "Below College","College","Bachelor","Master","Doctor")</f>
        <v>Master</v>
      </c>
      <c r="AO1046" s="13" t="str">
        <f>VLOOKUP(tblCleanData[[#This Row],[EmployeeNumber]],tblHelpers[],15,TRUE)</f>
        <v>Medium Risk</v>
      </c>
      <c r="AP1046" s="13">
        <f>VLOOKUP(tblCleanData[[#This Row],[EmployeeNumber]],tblHelpers[],14,0)</f>
        <v>43</v>
      </c>
    </row>
    <row r="1047" spans="1:42" x14ac:dyDescent="0.25">
      <c r="A1047" s="13">
        <v>40</v>
      </c>
      <c r="B1047" s="13" t="s">
        <v>59</v>
      </c>
      <c r="C1047" s="13" t="s">
        <v>37</v>
      </c>
      <c r="D1047" s="13">
        <v>896</v>
      </c>
      <c r="E1047" s="13" t="s">
        <v>62</v>
      </c>
      <c r="F1047" s="13">
        <v>2</v>
      </c>
      <c r="G1047" s="13">
        <v>3</v>
      </c>
      <c r="H1047" s="13" t="s">
        <v>87</v>
      </c>
      <c r="I1047" s="13">
        <v>1</v>
      </c>
      <c r="J1047" s="13">
        <v>1474</v>
      </c>
      <c r="K1047" s="13">
        <v>3</v>
      </c>
      <c r="L1047" s="13" t="s">
        <v>63</v>
      </c>
      <c r="M1047" s="13">
        <v>68</v>
      </c>
      <c r="N1047" s="13">
        <v>3</v>
      </c>
      <c r="O1047" s="13">
        <v>1</v>
      </c>
      <c r="P1047" s="13" t="s">
        <v>65</v>
      </c>
      <c r="Q1047" s="13">
        <v>3</v>
      </c>
      <c r="R1047" s="13" t="s">
        <v>109</v>
      </c>
      <c r="S1047" s="20">
        <v>2345</v>
      </c>
      <c r="T1047" s="13">
        <v>8045</v>
      </c>
      <c r="U1047" s="13">
        <v>2</v>
      </c>
      <c r="V1047" s="13" t="s">
        <v>52</v>
      </c>
      <c r="W1047" s="13" t="s">
        <v>59</v>
      </c>
      <c r="X1047" s="13">
        <v>14</v>
      </c>
      <c r="Y1047" s="13">
        <v>3</v>
      </c>
      <c r="Z1047" s="13">
        <v>3</v>
      </c>
      <c r="AA1047" s="13">
        <v>80</v>
      </c>
      <c r="AB1047" s="13">
        <v>1</v>
      </c>
      <c r="AC1047" s="13">
        <v>8</v>
      </c>
      <c r="AD1047" s="13">
        <v>3</v>
      </c>
      <c r="AE1047" s="13">
        <v>4</v>
      </c>
      <c r="AF1047" s="14">
        <v>3</v>
      </c>
      <c r="AG1047" s="13">
        <v>1</v>
      </c>
      <c r="AH1047" s="13">
        <v>1</v>
      </c>
      <c r="AI1047" s="13">
        <v>2</v>
      </c>
      <c r="AJ1047" s="13" t="str">
        <f t="shared" si="16"/>
        <v>40-49</v>
      </c>
      <c r="AK1047" s="13" t="str">
        <f>IF(tblCleanData[[#This Row],[MonthlyIncome]]&lt;5000, "Low Income", IF(tblCleanData[[#This Row],[MonthlyIncome]]&lt;15000, "Medium Income", "High Income"))</f>
        <v>Low Income</v>
      </c>
      <c r="AL1047" s="13">
        <f>IF(tblCleanData[[#This Row],[Attrition]]="No", 0,1)</f>
        <v>0</v>
      </c>
      <c r="AM1047" s="13">
        <f>IF(tblCleanData[[#This Row],[OverTime]] = "No", 0, 1)</f>
        <v>0</v>
      </c>
      <c r="AN1047" s="13" t="str">
        <f>CHOOSE(tblCleanData[[#This Row],[Education]], "Below College","College","Bachelor","Master","Doctor")</f>
        <v>Bachelor</v>
      </c>
      <c r="AO1047" s="13" t="str">
        <f>VLOOKUP(tblCleanData[[#This Row],[EmployeeNumber]],tblHelpers[],15,TRUE)</f>
        <v>Medium Risk</v>
      </c>
      <c r="AP1047" s="13">
        <f>VLOOKUP(tblCleanData[[#This Row],[EmployeeNumber]],tblHelpers[],14,0)</f>
        <v>43</v>
      </c>
    </row>
    <row r="1048" spans="1:42" x14ac:dyDescent="0.25">
      <c r="A1048" s="13">
        <v>44</v>
      </c>
      <c r="B1048" s="13" t="s">
        <v>59</v>
      </c>
      <c r="C1048" s="13" t="s">
        <v>37</v>
      </c>
      <c r="D1048" s="13">
        <v>1467</v>
      </c>
      <c r="E1048" s="13" t="s">
        <v>62</v>
      </c>
      <c r="F1048" s="13">
        <v>20</v>
      </c>
      <c r="G1048" s="13">
        <v>3</v>
      </c>
      <c r="H1048" s="13" t="s">
        <v>42</v>
      </c>
      <c r="I1048" s="13">
        <v>1</v>
      </c>
      <c r="J1048" s="13">
        <v>1475</v>
      </c>
      <c r="K1048" s="13">
        <v>4</v>
      </c>
      <c r="L1048" s="13" t="s">
        <v>63</v>
      </c>
      <c r="M1048" s="13">
        <v>49</v>
      </c>
      <c r="N1048" s="13">
        <v>3</v>
      </c>
      <c r="O1048" s="13">
        <v>1</v>
      </c>
      <c r="P1048" s="13" t="s">
        <v>65</v>
      </c>
      <c r="Q1048" s="13">
        <v>2</v>
      </c>
      <c r="R1048" s="13" t="s">
        <v>48</v>
      </c>
      <c r="S1048" s="20">
        <v>3420</v>
      </c>
      <c r="T1048" s="13">
        <v>21158</v>
      </c>
      <c r="U1048" s="13">
        <v>1</v>
      </c>
      <c r="V1048" s="13" t="s">
        <v>52</v>
      </c>
      <c r="W1048" s="13" t="s">
        <v>59</v>
      </c>
      <c r="X1048" s="13">
        <v>13</v>
      </c>
      <c r="Y1048" s="13">
        <v>3</v>
      </c>
      <c r="Z1048" s="13">
        <v>3</v>
      </c>
      <c r="AA1048" s="13">
        <v>80</v>
      </c>
      <c r="AB1048" s="13">
        <v>0</v>
      </c>
      <c r="AC1048" s="13">
        <v>6</v>
      </c>
      <c r="AD1048" s="13">
        <v>3</v>
      </c>
      <c r="AE1048" s="13">
        <v>2</v>
      </c>
      <c r="AF1048" s="14">
        <v>5</v>
      </c>
      <c r="AG1048" s="13">
        <v>2</v>
      </c>
      <c r="AH1048" s="13">
        <v>1</v>
      </c>
      <c r="AI1048" s="13">
        <v>3</v>
      </c>
      <c r="AJ1048" s="13" t="str">
        <f t="shared" si="16"/>
        <v>40-49</v>
      </c>
      <c r="AK1048" s="13" t="str">
        <f>IF(tblCleanData[[#This Row],[MonthlyIncome]]&lt;5000, "Low Income", IF(tblCleanData[[#This Row],[MonthlyIncome]]&lt;15000, "Medium Income", "High Income"))</f>
        <v>Low Income</v>
      </c>
      <c r="AL1048" s="13">
        <f>IF(tblCleanData[[#This Row],[Attrition]]="No", 0,1)</f>
        <v>0</v>
      </c>
      <c r="AM1048" s="13">
        <f>IF(tblCleanData[[#This Row],[OverTime]] = "No", 0, 1)</f>
        <v>0</v>
      </c>
      <c r="AN1048" s="13" t="str">
        <f>CHOOSE(tblCleanData[[#This Row],[Education]], "Below College","College","Bachelor","Master","Doctor")</f>
        <v>Bachelor</v>
      </c>
      <c r="AO1048" s="13" t="str">
        <f>VLOOKUP(tblCleanData[[#This Row],[EmployeeNumber]],tblHelpers[],15,TRUE)</f>
        <v>Medium Risk</v>
      </c>
      <c r="AP1048" s="13">
        <f>VLOOKUP(tblCleanData[[#This Row],[EmployeeNumber]],tblHelpers[],14,0)</f>
        <v>49</v>
      </c>
    </row>
    <row r="1049" spans="1:42" x14ac:dyDescent="0.25">
      <c r="A1049" s="13">
        <v>33</v>
      </c>
      <c r="B1049" s="13" t="s">
        <v>59</v>
      </c>
      <c r="C1049" s="13" t="s">
        <v>60</v>
      </c>
      <c r="D1049" s="13">
        <v>430</v>
      </c>
      <c r="E1049" s="13" t="s">
        <v>39</v>
      </c>
      <c r="F1049" s="13">
        <v>7</v>
      </c>
      <c r="G1049" s="13">
        <v>3</v>
      </c>
      <c r="H1049" s="13" t="s">
        <v>87</v>
      </c>
      <c r="I1049" s="13">
        <v>1</v>
      </c>
      <c r="J1049" s="13">
        <v>1477</v>
      </c>
      <c r="K1049" s="13">
        <v>4</v>
      </c>
      <c r="L1049" s="13" t="s">
        <v>63</v>
      </c>
      <c r="M1049" s="13">
        <v>54</v>
      </c>
      <c r="N1049" s="13">
        <v>3</v>
      </c>
      <c r="O1049" s="13">
        <v>2</v>
      </c>
      <c r="P1049" s="13" t="s">
        <v>46</v>
      </c>
      <c r="Q1049" s="13">
        <v>1</v>
      </c>
      <c r="R1049" s="13" t="s">
        <v>66</v>
      </c>
      <c r="S1049" s="20">
        <v>4373</v>
      </c>
      <c r="T1049" s="13">
        <v>17456</v>
      </c>
      <c r="U1049" s="13">
        <v>0</v>
      </c>
      <c r="V1049" s="13" t="s">
        <v>52</v>
      </c>
      <c r="W1049" s="13" t="s">
        <v>59</v>
      </c>
      <c r="X1049" s="13">
        <v>14</v>
      </c>
      <c r="Y1049" s="13">
        <v>3</v>
      </c>
      <c r="Z1049" s="13">
        <v>1</v>
      </c>
      <c r="AA1049" s="13">
        <v>80</v>
      </c>
      <c r="AB1049" s="13">
        <v>2</v>
      </c>
      <c r="AC1049" s="13">
        <v>5</v>
      </c>
      <c r="AD1049" s="13">
        <v>2</v>
      </c>
      <c r="AE1049" s="13">
        <v>3</v>
      </c>
      <c r="AF1049" s="14">
        <v>4</v>
      </c>
      <c r="AG1049" s="13">
        <v>3</v>
      </c>
      <c r="AH1049" s="13">
        <v>0</v>
      </c>
      <c r="AI1049" s="13">
        <v>3</v>
      </c>
      <c r="AJ1049" s="13" t="str">
        <f t="shared" si="16"/>
        <v>30-39</v>
      </c>
      <c r="AK1049" s="13" t="str">
        <f>IF(tblCleanData[[#This Row],[MonthlyIncome]]&lt;5000, "Low Income", IF(tblCleanData[[#This Row],[MonthlyIncome]]&lt;15000, "Medium Income", "High Income"))</f>
        <v>Low Income</v>
      </c>
      <c r="AL1049" s="13">
        <f>IF(tblCleanData[[#This Row],[Attrition]]="No", 0,1)</f>
        <v>0</v>
      </c>
      <c r="AM1049" s="13">
        <f>IF(tblCleanData[[#This Row],[OverTime]] = "No", 0, 1)</f>
        <v>0</v>
      </c>
      <c r="AN1049" s="13" t="str">
        <f>CHOOSE(tblCleanData[[#This Row],[Education]], "Below College","College","Bachelor","Master","Doctor")</f>
        <v>Bachelor</v>
      </c>
      <c r="AO1049" s="13" t="str">
        <f>VLOOKUP(tblCleanData[[#This Row],[EmployeeNumber]],tblHelpers[],15,TRUE)</f>
        <v>High Risk</v>
      </c>
      <c r="AP1049" s="13">
        <f>VLOOKUP(tblCleanData[[#This Row],[EmployeeNumber]],tblHelpers[],14,0)</f>
        <v>65</v>
      </c>
    </row>
    <row r="1050" spans="1:42" x14ac:dyDescent="0.25">
      <c r="A1050" s="13">
        <v>34</v>
      </c>
      <c r="B1050" s="13" t="s">
        <v>59</v>
      </c>
      <c r="C1050" s="13" t="s">
        <v>37</v>
      </c>
      <c r="D1050" s="13">
        <v>1326</v>
      </c>
      <c r="E1050" s="13" t="s">
        <v>39</v>
      </c>
      <c r="F1050" s="13">
        <v>3</v>
      </c>
      <c r="G1050" s="13">
        <v>3</v>
      </c>
      <c r="H1050" s="13" t="s">
        <v>74</v>
      </c>
      <c r="I1050" s="13">
        <v>1</v>
      </c>
      <c r="J1050" s="13">
        <v>1478</v>
      </c>
      <c r="K1050" s="13">
        <v>4</v>
      </c>
      <c r="L1050" s="13" t="s">
        <v>63</v>
      </c>
      <c r="M1050" s="13">
        <v>81</v>
      </c>
      <c r="N1050" s="13">
        <v>1</v>
      </c>
      <c r="O1050" s="13">
        <v>2</v>
      </c>
      <c r="P1050" s="13" t="s">
        <v>46</v>
      </c>
      <c r="Q1050" s="13">
        <v>1</v>
      </c>
      <c r="R1050" s="13" t="s">
        <v>48</v>
      </c>
      <c r="S1050" s="20">
        <v>4759</v>
      </c>
      <c r="T1050" s="13">
        <v>15891</v>
      </c>
      <c r="U1050" s="13">
        <v>3</v>
      </c>
      <c r="V1050" s="13" t="s">
        <v>52</v>
      </c>
      <c r="W1050" s="13" t="s">
        <v>59</v>
      </c>
      <c r="X1050" s="13">
        <v>18</v>
      </c>
      <c r="Y1050" s="13">
        <v>3</v>
      </c>
      <c r="Z1050" s="13">
        <v>4</v>
      </c>
      <c r="AA1050" s="13">
        <v>80</v>
      </c>
      <c r="AB1050" s="13">
        <v>0</v>
      </c>
      <c r="AC1050" s="13">
        <v>15</v>
      </c>
      <c r="AD1050" s="13">
        <v>2</v>
      </c>
      <c r="AE1050" s="13">
        <v>3</v>
      </c>
      <c r="AF1050" s="14">
        <v>13</v>
      </c>
      <c r="AG1050" s="13">
        <v>9</v>
      </c>
      <c r="AH1050" s="13">
        <v>3</v>
      </c>
      <c r="AI1050" s="13">
        <v>12</v>
      </c>
      <c r="AJ1050" s="13" t="str">
        <f t="shared" si="16"/>
        <v>30-39</v>
      </c>
      <c r="AK1050" s="13" t="str">
        <f>IF(tblCleanData[[#This Row],[MonthlyIncome]]&lt;5000, "Low Income", IF(tblCleanData[[#This Row],[MonthlyIncome]]&lt;15000, "Medium Income", "High Income"))</f>
        <v>Low Income</v>
      </c>
      <c r="AL1050" s="13">
        <f>IF(tblCleanData[[#This Row],[Attrition]]="No", 0,1)</f>
        <v>0</v>
      </c>
      <c r="AM1050" s="13">
        <f>IF(tblCleanData[[#This Row],[OverTime]] = "No", 0, 1)</f>
        <v>0</v>
      </c>
      <c r="AN1050" s="13" t="str">
        <f>CHOOSE(tblCleanData[[#This Row],[Education]], "Below College","College","Bachelor","Master","Doctor")</f>
        <v>Bachelor</v>
      </c>
      <c r="AO1050" s="13" t="str">
        <f>VLOOKUP(tblCleanData[[#This Row],[EmployeeNumber]],tblHelpers[],15,TRUE)</f>
        <v>Medium Risk</v>
      </c>
      <c r="AP1050" s="13">
        <f>VLOOKUP(tblCleanData[[#This Row],[EmployeeNumber]],tblHelpers[],14,0)</f>
        <v>53</v>
      </c>
    </row>
    <row r="1051" spans="1:42" x14ac:dyDescent="0.25">
      <c r="A1051" s="13">
        <v>30</v>
      </c>
      <c r="B1051" s="13" t="s">
        <v>59</v>
      </c>
      <c r="C1051" s="13" t="s">
        <v>37</v>
      </c>
      <c r="D1051" s="13">
        <v>1358</v>
      </c>
      <c r="E1051" s="13" t="s">
        <v>39</v>
      </c>
      <c r="F1051" s="13">
        <v>16</v>
      </c>
      <c r="G1051" s="13">
        <v>1</v>
      </c>
      <c r="H1051" s="13" t="s">
        <v>42</v>
      </c>
      <c r="I1051" s="13">
        <v>1</v>
      </c>
      <c r="J1051" s="13">
        <v>1479</v>
      </c>
      <c r="K1051" s="13">
        <v>4</v>
      </c>
      <c r="L1051" s="13" t="s">
        <v>63</v>
      </c>
      <c r="M1051" s="13">
        <v>96</v>
      </c>
      <c r="N1051" s="13">
        <v>3</v>
      </c>
      <c r="O1051" s="13">
        <v>2</v>
      </c>
      <c r="P1051" s="13" t="s">
        <v>46</v>
      </c>
      <c r="Q1051" s="13">
        <v>3</v>
      </c>
      <c r="R1051" s="13" t="s">
        <v>66</v>
      </c>
      <c r="S1051" s="20">
        <v>5301</v>
      </c>
      <c r="T1051" s="13">
        <v>2939</v>
      </c>
      <c r="U1051" s="13">
        <v>8</v>
      </c>
      <c r="V1051" s="13" t="s">
        <v>52</v>
      </c>
      <c r="W1051" s="13" t="s">
        <v>59</v>
      </c>
      <c r="X1051" s="13">
        <v>15</v>
      </c>
      <c r="Y1051" s="13">
        <v>3</v>
      </c>
      <c r="Z1051" s="13">
        <v>3</v>
      </c>
      <c r="AA1051" s="13">
        <v>80</v>
      </c>
      <c r="AB1051" s="13">
        <v>2</v>
      </c>
      <c r="AC1051" s="13">
        <v>4</v>
      </c>
      <c r="AD1051" s="13">
        <v>2</v>
      </c>
      <c r="AE1051" s="13">
        <v>2</v>
      </c>
      <c r="AF1051" s="14">
        <v>2</v>
      </c>
      <c r="AG1051" s="13">
        <v>1</v>
      </c>
      <c r="AH1051" s="13">
        <v>2</v>
      </c>
      <c r="AI1051" s="13">
        <v>2</v>
      </c>
      <c r="AJ1051" s="13" t="str">
        <f t="shared" si="16"/>
        <v>30-39</v>
      </c>
      <c r="AK1051" s="13" t="str">
        <f>IF(tblCleanData[[#This Row],[MonthlyIncome]]&lt;5000, "Low Income", IF(tblCleanData[[#This Row],[MonthlyIncome]]&lt;15000, "Medium Income", "High Income"))</f>
        <v>Medium Income</v>
      </c>
      <c r="AL1051" s="13">
        <f>IF(tblCleanData[[#This Row],[Attrition]]="No", 0,1)</f>
        <v>0</v>
      </c>
      <c r="AM1051" s="13">
        <f>IF(tblCleanData[[#This Row],[OverTime]] = "No", 0, 1)</f>
        <v>0</v>
      </c>
      <c r="AN1051" s="13" t="str">
        <f>CHOOSE(tblCleanData[[#This Row],[Education]], "Below College","College","Bachelor","Master","Doctor")</f>
        <v>Below College</v>
      </c>
      <c r="AO1051" s="13" t="str">
        <f>VLOOKUP(tblCleanData[[#This Row],[EmployeeNumber]],tblHelpers[],15,TRUE)</f>
        <v>High Risk</v>
      </c>
      <c r="AP1051" s="13">
        <f>VLOOKUP(tblCleanData[[#This Row],[EmployeeNumber]],tblHelpers[],14,0)</f>
        <v>63</v>
      </c>
    </row>
    <row r="1052" spans="1:42" x14ac:dyDescent="0.25">
      <c r="A1052" s="13">
        <v>42</v>
      </c>
      <c r="B1052" s="13" t="s">
        <v>59</v>
      </c>
      <c r="C1052" s="13" t="s">
        <v>60</v>
      </c>
      <c r="D1052" s="13">
        <v>748</v>
      </c>
      <c r="E1052" s="13" t="s">
        <v>62</v>
      </c>
      <c r="F1052" s="13">
        <v>9</v>
      </c>
      <c r="G1052" s="13">
        <v>2</v>
      </c>
      <c r="H1052" s="13" t="s">
        <v>87</v>
      </c>
      <c r="I1052" s="13">
        <v>1</v>
      </c>
      <c r="J1052" s="13">
        <v>1480</v>
      </c>
      <c r="K1052" s="13">
        <v>1</v>
      </c>
      <c r="L1052" s="13" t="s">
        <v>43</v>
      </c>
      <c r="M1052" s="13">
        <v>74</v>
      </c>
      <c r="N1052" s="13">
        <v>3</v>
      </c>
      <c r="O1052" s="13">
        <v>1</v>
      </c>
      <c r="P1052" s="13" t="s">
        <v>76</v>
      </c>
      <c r="Q1052" s="13">
        <v>4</v>
      </c>
      <c r="R1052" s="13" t="s">
        <v>48</v>
      </c>
      <c r="S1052" s="20">
        <v>3673</v>
      </c>
      <c r="T1052" s="13">
        <v>16458</v>
      </c>
      <c r="U1052" s="13">
        <v>1</v>
      </c>
      <c r="V1052" s="13" t="s">
        <v>52</v>
      </c>
      <c r="W1052" s="13" t="s">
        <v>59</v>
      </c>
      <c r="X1052" s="13">
        <v>13</v>
      </c>
      <c r="Y1052" s="13">
        <v>3</v>
      </c>
      <c r="Z1052" s="13">
        <v>3</v>
      </c>
      <c r="AA1052" s="13">
        <v>80</v>
      </c>
      <c r="AB1052" s="13">
        <v>0</v>
      </c>
      <c r="AC1052" s="13">
        <v>12</v>
      </c>
      <c r="AD1052" s="13">
        <v>3</v>
      </c>
      <c r="AE1052" s="13">
        <v>3</v>
      </c>
      <c r="AF1052" s="14">
        <v>12</v>
      </c>
      <c r="AG1052" s="13">
        <v>9</v>
      </c>
      <c r="AH1052" s="13">
        <v>5</v>
      </c>
      <c r="AI1052" s="13">
        <v>8</v>
      </c>
      <c r="AJ1052" s="13" t="str">
        <f t="shared" si="16"/>
        <v>40-49</v>
      </c>
      <c r="AK1052" s="13" t="str">
        <f>IF(tblCleanData[[#This Row],[MonthlyIncome]]&lt;5000, "Low Income", IF(tblCleanData[[#This Row],[MonthlyIncome]]&lt;15000, "Medium Income", "High Income"))</f>
        <v>Low Income</v>
      </c>
      <c r="AL1052" s="13">
        <f>IF(tblCleanData[[#This Row],[Attrition]]="No", 0,1)</f>
        <v>0</v>
      </c>
      <c r="AM1052" s="13">
        <f>IF(tblCleanData[[#This Row],[OverTime]] = "No", 0, 1)</f>
        <v>0</v>
      </c>
      <c r="AN1052" s="13" t="str">
        <f>CHOOSE(tblCleanData[[#This Row],[Education]], "Below College","College","Bachelor","Master","Doctor")</f>
        <v>College</v>
      </c>
      <c r="AO1052" s="13" t="str">
        <f>VLOOKUP(tblCleanData[[#This Row],[EmployeeNumber]],tblHelpers[],15,TRUE)</f>
        <v>Low Risk</v>
      </c>
      <c r="AP1052" s="13">
        <f>VLOOKUP(tblCleanData[[#This Row],[EmployeeNumber]],tblHelpers[],14,0)</f>
        <v>24</v>
      </c>
    </row>
    <row r="1053" spans="1:42" x14ac:dyDescent="0.25">
      <c r="A1053" s="13">
        <v>44</v>
      </c>
      <c r="B1053" s="13" t="s">
        <v>59</v>
      </c>
      <c r="C1053" s="13" t="s">
        <v>60</v>
      </c>
      <c r="D1053" s="13">
        <v>383</v>
      </c>
      <c r="E1053" s="13" t="s">
        <v>39</v>
      </c>
      <c r="F1053" s="13">
        <v>1</v>
      </c>
      <c r="G1053" s="13">
        <v>5</v>
      </c>
      <c r="H1053" s="13" t="s">
        <v>206</v>
      </c>
      <c r="I1053" s="13">
        <v>1</v>
      </c>
      <c r="J1053" s="13">
        <v>1481</v>
      </c>
      <c r="K1053" s="13">
        <v>1</v>
      </c>
      <c r="L1053" s="13" t="s">
        <v>43</v>
      </c>
      <c r="M1053" s="13">
        <v>79</v>
      </c>
      <c r="N1053" s="13">
        <v>3</v>
      </c>
      <c r="O1053" s="13">
        <v>2</v>
      </c>
      <c r="P1053" s="13" t="s">
        <v>46</v>
      </c>
      <c r="Q1053" s="13">
        <v>3</v>
      </c>
      <c r="R1053" s="13" t="s">
        <v>66</v>
      </c>
      <c r="S1053" s="20">
        <v>4768</v>
      </c>
      <c r="T1053" s="13">
        <v>9282</v>
      </c>
      <c r="U1053" s="13">
        <v>7</v>
      </c>
      <c r="V1053" s="13" t="s">
        <v>52</v>
      </c>
      <c r="W1053" s="13" t="s">
        <v>59</v>
      </c>
      <c r="X1053" s="13">
        <v>12</v>
      </c>
      <c r="Y1053" s="13">
        <v>3</v>
      </c>
      <c r="Z1053" s="13">
        <v>3</v>
      </c>
      <c r="AA1053" s="13">
        <v>80</v>
      </c>
      <c r="AB1053" s="13">
        <v>1</v>
      </c>
      <c r="AC1053" s="13">
        <v>11</v>
      </c>
      <c r="AD1053" s="13">
        <v>4</v>
      </c>
      <c r="AE1053" s="13">
        <v>2</v>
      </c>
      <c r="AF1053" s="14">
        <v>1</v>
      </c>
      <c r="AG1053" s="13">
        <v>0</v>
      </c>
      <c r="AH1053" s="13">
        <v>0</v>
      </c>
      <c r="AI1053" s="13">
        <v>0</v>
      </c>
      <c r="AJ1053" s="13" t="str">
        <f t="shared" si="16"/>
        <v>40-49</v>
      </c>
      <c r="AK1053" s="13" t="str">
        <f>IF(tblCleanData[[#This Row],[MonthlyIncome]]&lt;5000, "Low Income", IF(tblCleanData[[#This Row],[MonthlyIncome]]&lt;15000, "Medium Income", "High Income"))</f>
        <v>Low Income</v>
      </c>
      <c r="AL1053" s="13">
        <f>IF(tblCleanData[[#This Row],[Attrition]]="No", 0,1)</f>
        <v>0</v>
      </c>
      <c r="AM1053" s="13">
        <f>IF(tblCleanData[[#This Row],[OverTime]] = "No", 0, 1)</f>
        <v>0</v>
      </c>
      <c r="AN1053" s="13" t="str">
        <f>CHOOSE(tblCleanData[[#This Row],[Education]], "Below College","College","Bachelor","Master","Doctor")</f>
        <v>Doctor</v>
      </c>
      <c r="AO1053" s="13" t="str">
        <f>VLOOKUP(tblCleanData[[#This Row],[EmployeeNumber]],tblHelpers[],15,TRUE)</f>
        <v>Medium Risk</v>
      </c>
      <c r="AP1053" s="13">
        <f>VLOOKUP(tblCleanData[[#This Row],[EmployeeNumber]],tblHelpers[],14,0)</f>
        <v>53</v>
      </c>
    </row>
    <row r="1054" spans="1:42" x14ac:dyDescent="0.25">
      <c r="A1054" s="13">
        <v>30</v>
      </c>
      <c r="B1054" s="13" t="s">
        <v>59</v>
      </c>
      <c r="C1054" s="13" t="s">
        <v>161</v>
      </c>
      <c r="D1054" s="13">
        <v>990</v>
      </c>
      <c r="E1054" s="13" t="s">
        <v>62</v>
      </c>
      <c r="F1054" s="13">
        <v>7</v>
      </c>
      <c r="G1054" s="13">
        <v>3</v>
      </c>
      <c r="H1054" s="13" t="s">
        <v>228</v>
      </c>
      <c r="I1054" s="13">
        <v>1</v>
      </c>
      <c r="J1054" s="13">
        <v>1482</v>
      </c>
      <c r="K1054" s="13">
        <v>3</v>
      </c>
      <c r="L1054" s="13" t="s">
        <v>63</v>
      </c>
      <c r="M1054" s="13">
        <v>64</v>
      </c>
      <c r="N1054" s="13">
        <v>3</v>
      </c>
      <c r="O1054" s="13">
        <v>1</v>
      </c>
      <c r="P1054" s="13" t="s">
        <v>65</v>
      </c>
      <c r="Q1054" s="13">
        <v>3</v>
      </c>
      <c r="R1054" s="13" t="s">
        <v>109</v>
      </c>
      <c r="S1054" s="20">
        <v>1274</v>
      </c>
      <c r="T1054" s="13">
        <v>7152</v>
      </c>
      <c r="U1054" s="13">
        <v>1</v>
      </c>
      <c r="V1054" s="13" t="s">
        <v>52</v>
      </c>
      <c r="W1054" s="13" t="s">
        <v>59</v>
      </c>
      <c r="X1054" s="13">
        <v>13</v>
      </c>
      <c r="Y1054" s="13">
        <v>3</v>
      </c>
      <c r="Z1054" s="13">
        <v>2</v>
      </c>
      <c r="AA1054" s="13">
        <v>80</v>
      </c>
      <c r="AB1054" s="13">
        <v>2</v>
      </c>
      <c r="AC1054" s="13">
        <v>1</v>
      </c>
      <c r="AD1054" s="13">
        <v>2</v>
      </c>
      <c r="AE1054" s="13">
        <v>2</v>
      </c>
      <c r="AF1054" s="14">
        <v>1</v>
      </c>
      <c r="AG1054" s="13">
        <v>0</v>
      </c>
      <c r="AH1054" s="13">
        <v>0</v>
      </c>
      <c r="AI1054" s="13">
        <v>0</v>
      </c>
      <c r="AJ1054" s="13" t="str">
        <f t="shared" si="16"/>
        <v>30-39</v>
      </c>
      <c r="AK1054" s="13" t="str">
        <f>IF(tblCleanData[[#This Row],[MonthlyIncome]]&lt;5000, "Low Income", IF(tblCleanData[[#This Row],[MonthlyIncome]]&lt;15000, "Medium Income", "High Income"))</f>
        <v>Low Income</v>
      </c>
      <c r="AL1054" s="13">
        <f>IF(tblCleanData[[#This Row],[Attrition]]="No", 0,1)</f>
        <v>0</v>
      </c>
      <c r="AM1054" s="13">
        <f>IF(tblCleanData[[#This Row],[OverTime]] = "No", 0, 1)</f>
        <v>0</v>
      </c>
      <c r="AN1054" s="13" t="str">
        <f>CHOOSE(tblCleanData[[#This Row],[Education]], "Below College","College","Bachelor","Master","Doctor")</f>
        <v>Bachelor</v>
      </c>
      <c r="AO1054" s="13" t="str">
        <f>VLOOKUP(tblCleanData[[#This Row],[EmployeeNumber]],tblHelpers[],15,TRUE)</f>
        <v>High Risk</v>
      </c>
      <c r="AP1054" s="13">
        <f>VLOOKUP(tblCleanData[[#This Row],[EmployeeNumber]],tblHelpers[],14,0)</f>
        <v>63</v>
      </c>
    </row>
    <row r="1055" spans="1:42" x14ac:dyDescent="0.25">
      <c r="A1055" s="13">
        <v>57</v>
      </c>
      <c r="B1055" s="13" t="s">
        <v>59</v>
      </c>
      <c r="C1055" s="13" t="s">
        <v>37</v>
      </c>
      <c r="D1055" s="13">
        <v>405</v>
      </c>
      <c r="E1055" s="13" t="s">
        <v>62</v>
      </c>
      <c r="F1055" s="13">
        <v>1</v>
      </c>
      <c r="G1055" s="13">
        <v>2</v>
      </c>
      <c r="H1055" s="13" t="s">
        <v>42</v>
      </c>
      <c r="I1055" s="13">
        <v>1</v>
      </c>
      <c r="J1055" s="13">
        <v>1483</v>
      </c>
      <c r="K1055" s="13">
        <v>2</v>
      </c>
      <c r="L1055" s="13" t="s">
        <v>63</v>
      </c>
      <c r="M1055" s="13">
        <v>93</v>
      </c>
      <c r="N1055" s="13">
        <v>4</v>
      </c>
      <c r="O1055" s="13">
        <v>2</v>
      </c>
      <c r="P1055" s="13" t="s">
        <v>65</v>
      </c>
      <c r="Q1055" s="13">
        <v>3</v>
      </c>
      <c r="R1055" s="13" t="s">
        <v>66</v>
      </c>
      <c r="S1055" s="20">
        <v>4900</v>
      </c>
      <c r="T1055" s="13">
        <v>2721</v>
      </c>
      <c r="U1055" s="13">
        <v>0</v>
      </c>
      <c r="V1055" s="13" t="s">
        <v>52</v>
      </c>
      <c r="W1055" s="13" t="s">
        <v>59</v>
      </c>
      <c r="X1055" s="13">
        <v>24</v>
      </c>
      <c r="Y1055" s="13">
        <v>4</v>
      </c>
      <c r="Z1055" s="13">
        <v>1</v>
      </c>
      <c r="AA1055" s="13">
        <v>80</v>
      </c>
      <c r="AB1055" s="13">
        <v>1</v>
      </c>
      <c r="AC1055" s="13">
        <v>13</v>
      </c>
      <c r="AD1055" s="13">
        <v>2</v>
      </c>
      <c r="AE1055" s="13">
        <v>2</v>
      </c>
      <c r="AF1055" s="14">
        <v>12</v>
      </c>
      <c r="AG1055" s="13">
        <v>9</v>
      </c>
      <c r="AH1055" s="13">
        <v>2</v>
      </c>
      <c r="AI1055" s="13">
        <v>8</v>
      </c>
      <c r="AJ1055" s="13" t="str">
        <f t="shared" si="16"/>
        <v>50+</v>
      </c>
      <c r="AK1055" s="13" t="str">
        <f>IF(tblCleanData[[#This Row],[MonthlyIncome]]&lt;5000, "Low Income", IF(tblCleanData[[#This Row],[MonthlyIncome]]&lt;15000, "Medium Income", "High Income"))</f>
        <v>Low Income</v>
      </c>
      <c r="AL1055" s="13">
        <f>IF(tblCleanData[[#This Row],[Attrition]]="No", 0,1)</f>
        <v>0</v>
      </c>
      <c r="AM1055" s="13">
        <f>IF(tblCleanData[[#This Row],[OverTime]] = "No", 0, 1)</f>
        <v>0</v>
      </c>
      <c r="AN1055" s="13" t="str">
        <f>CHOOSE(tblCleanData[[#This Row],[Education]], "Below College","College","Bachelor","Master","Doctor")</f>
        <v>College</v>
      </c>
      <c r="AO1055" s="13" t="str">
        <f>VLOOKUP(tblCleanData[[#This Row],[EmployeeNumber]],tblHelpers[],15,TRUE)</f>
        <v>Medium Risk</v>
      </c>
      <c r="AP1055" s="13">
        <f>VLOOKUP(tblCleanData[[#This Row],[EmployeeNumber]],tblHelpers[],14,0)</f>
        <v>36</v>
      </c>
    </row>
    <row r="1056" spans="1:42" x14ac:dyDescent="0.25">
      <c r="A1056" s="13">
        <v>49</v>
      </c>
      <c r="B1056" s="13" t="s">
        <v>59</v>
      </c>
      <c r="C1056" s="13" t="s">
        <v>37</v>
      </c>
      <c r="D1056" s="13">
        <v>1490</v>
      </c>
      <c r="E1056" s="13" t="s">
        <v>62</v>
      </c>
      <c r="F1056" s="13">
        <v>7</v>
      </c>
      <c r="G1056" s="13">
        <v>4</v>
      </c>
      <c r="H1056" s="13" t="s">
        <v>42</v>
      </c>
      <c r="I1056" s="13">
        <v>1</v>
      </c>
      <c r="J1056" s="13">
        <v>1484</v>
      </c>
      <c r="K1056" s="13">
        <v>3</v>
      </c>
      <c r="L1056" s="13" t="s">
        <v>63</v>
      </c>
      <c r="M1056" s="13">
        <v>35</v>
      </c>
      <c r="N1056" s="13">
        <v>3</v>
      </c>
      <c r="O1056" s="13">
        <v>3</v>
      </c>
      <c r="P1056" s="13" t="s">
        <v>122</v>
      </c>
      <c r="Q1056" s="13">
        <v>2</v>
      </c>
      <c r="R1056" s="13" t="s">
        <v>109</v>
      </c>
      <c r="S1056" s="20">
        <v>10466</v>
      </c>
      <c r="T1056" s="13">
        <v>20948</v>
      </c>
      <c r="U1056" s="13">
        <v>3</v>
      </c>
      <c r="V1056" s="13" t="s">
        <v>52</v>
      </c>
      <c r="W1056" s="13" t="s">
        <v>59</v>
      </c>
      <c r="X1056" s="13">
        <v>14</v>
      </c>
      <c r="Y1056" s="13">
        <v>3</v>
      </c>
      <c r="Z1056" s="13">
        <v>2</v>
      </c>
      <c r="AA1056" s="13">
        <v>80</v>
      </c>
      <c r="AB1056" s="13">
        <v>2</v>
      </c>
      <c r="AC1056" s="13">
        <v>29</v>
      </c>
      <c r="AD1056" s="13">
        <v>3</v>
      </c>
      <c r="AE1056" s="13">
        <v>3</v>
      </c>
      <c r="AF1056" s="14">
        <v>8</v>
      </c>
      <c r="AG1056" s="13">
        <v>7</v>
      </c>
      <c r="AH1056" s="13">
        <v>0</v>
      </c>
      <c r="AI1056" s="13">
        <v>7</v>
      </c>
      <c r="AJ1056" s="13" t="str">
        <f t="shared" si="16"/>
        <v>40-49</v>
      </c>
      <c r="AK1056" s="13" t="str">
        <f>IF(tblCleanData[[#This Row],[MonthlyIncome]]&lt;5000, "Low Income", IF(tblCleanData[[#This Row],[MonthlyIncome]]&lt;15000, "Medium Income", "High Income"))</f>
        <v>Medium Income</v>
      </c>
      <c r="AL1056" s="13">
        <f>IF(tblCleanData[[#This Row],[Attrition]]="No", 0,1)</f>
        <v>0</v>
      </c>
      <c r="AM1056" s="13">
        <f>IF(tblCleanData[[#This Row],[OverTime]] = "No", 0, 1)</f>
        <v>0</v>
      </c>
      <c r="AN1056" s="13" t="str">
        <f>CHOOSE(tblCleanData[[#This Row],[Education]], "Below College","College","Bachelor","Master","Doctor")</f>
        <v>Master</v>
      </c>
      <c r="AO1056" s="13" t="str">
        <f>VLOOKUP(tblCleanData[[#This Row],[EmployeeNumber]],tblHelpers[],15,TRUE)</f>
        <v>Medium Risk</v>
      </c>
      <c r="AP1056" s="13">
        <f>VLOOKUP(tblCleanData[[#This Row],[EmployeeNumber]],tblHelpers[],14,0)</f>
        <v>42</v>
      </c>
    </row>
    <row r="1057" spans="1:42" x14ac:dyDescent="0.25">
      <c r="A1057" s="13">
        <v>34</v>
      </c>
      <c r="B1057" s="13" t="s">
        <v>59</v>
      </c>
      <c r="C1057" s="13" t="s">
        <v>60</v>
      </c>
      <c r="D1057" s="13">
        <v>829</v>
      </c>
      <c r="E1057" s="13" t="s">
        <v>62</v>
      </c>
      <c r="F1057" s="13">
        <v>15</v>
      </c>
      <c r="G1057" s="13">
        <v>3</v>
      </c>
      <c r="H1057" s="13" t="s">
        <v>87</v>
      </c>
      <c r="I1057" s="13">
        <v>1</v>
      </c>
      <c r="J1057" s="13">
        <v>1485</v>
      </c>
      <c r="K1057" s="13">
        <v>2</v>
      </c>
      <c r="L1057" s="13" t="s">
        <v>63</v>
      </c>
      <c r="M1057" s="13">
        <v>71</v>
      </c>
      <c r="N1057" s="13">
        <v>3</v>
      </c>
      <c r="O1057" s="13">
        <v>4</v>
      </c>
      <c r="P1057" s="13" t="s">
        <v>186</v>
      </c>
      <c r="Q1057" s="13">
        <v>1</v>
      </c>
      <c r="R1057" s="13" t="s">
        <v>109</v>
      </c>
      <c r="S1057" s="20">
        <v>17007</v>
      </c>
      <c r="T1057" s="13">
        <v>11929</v>
      </c>
      <c r="U1057" s="13">
        <v>7</v>
      </c>
      <c r="V1057" s="13" t="s">
        <v>52</v>
      </c>
      <c r="W1057" s="13" t="s">
        <v>59</v>
      </c>
      <c r="X1057" s="13">
        <v>14</v>
      </c>
      <c r="Y1057" s="13">
        <v>3</v>
      </c>
      <c r="Z1057" s="13">
        <v>4</v>
      </c>
      <c r="AA1057" s="13">
        <v>80</v>
      </c>
      <c r="AB1057" s="13">
        <v>2</v>
      </c>
      <c r="AC1057" s="13">
        <v>16</v>
      </c>
      <c r="AD1057" s="13">
        <v>3</v>
      </c>
      <c r="AE1057" s="13">
        <v>2</v>
      </c>
      <c r="AF1057" s="14">
        <v>14</v>
      </c>
      <c r="AG1057" s="13">
        <v>8</v>
      </c>
      <c r="AH1057" s="13">
        <v>6</v>
      </c>
      <c r="AI1057" s="13">
        <v>9</v>
      </c>
      <c r="AJ1057" s="13" t="str">
        <f t="shared" si="16"/>
        <v>30-39</v>
      </c>
      <c r="AK1057" s="13" t="str">
        <f>IF(tblCleanData[[#This Row],[MonthlyIncome]]&lt;5000, "Low Income", IF(tblCleanData[[#This Row],[MonthlyIncome]]&lt;15000, "Medium Income", "High Income"))</f>
        <v>High Income</v>
      </c>
      <c r="AL1057" s="13">
        <f>IF(tblCleanData[[#This Row],[Attrition]]="No", 0,1)</f>
        <v>0</v>
      </c>
      <c r="AM1057" s="13">
        <f>IF(tblCleanData[[#This Row],[OverTime]] = "No", 0, 1)</f>
        <v>0</v>
      </c>
      <c r="AN1057" s="13" t="str">
        <f>CHOOSE(tblCleanData[[#This Row],[Education]], "Below College","College","Bachelor","Master","Doctor")</f>
        <v>Bachelor</v>
      </c>
      <c r="AO1057" s="13" t="str">
        <f>VLOOKUP(tblCleanData[[#This Row],[EmployeeNumber]],tblHelpers[],15,TRUE)</f>
        <v>Medium Risk</v>
      </c>
      <c r="AP1057" s="13">
        <f>VLOOKUP(tblCleanData[[#This Row],[EmployeeNumber]],tblHelpers[],14,0)</f>
        <v>53</v>
      </c>
    </row>
    <row r="1058" spans="1:42" x14ac:dyDescent="0.25">
      <c r="A1058" s="13">
        <v>28</v>
      </c>
      <c r="B1058" s="13" t="s">
        <v>36</v>
      </c>
      <c r="C1058" s="13" t="s">
        <v>60</v>
      </c>
      <c r="D1058" s="13">
        <v>1496</v>
      </c>
      <c r="E1058" s="13" t="s">
        <v>39</v>
      </c>
      <c r="F1058" s="13">
        <v>1</v>
      </c>
      <c r="G1058" s="13">
        <v>3</v>
      </c>
      <c r="H1058" s="13" t="s">
        <v>228</v>
      </c>
      <c r="I1058" s="13">
        <v>1</v>
      </c>
      <c r="J1058" s="13">
        <v>1486</v>
      </c>
      <c r="K1058" s="13">
        <v>1</v>
      </c>
      <c r="L1058" s="13" t="s">
        <v>63</v>
      </c>
      <c r="M1058" s="13">
        <v>92</v>
      </c>
      <c r="N1058" s="13">
        <v>3</v>
      </c>
      <c r="O1058" s="13">
        <v>1</v>
      </c>
      <c r="P1058" s="13" t="s">
        <v>182</v>
      </c>
      <c r="Q1058" s="13">
        <v>3</v>
      </c>
      <c r="R1058" s="13" t="s">
        <v>66</v>
      </c>
      <c r="S1058" s="20">
        <v>2909</v>
      </c>
      <c r="T1058" s="13">
        <v>15747</v>
      </c>
      <c r="U1058" s="13">
        <v>3</v>
      </c>
      <c r="V1058" s="13" t="s">
        <v>52</v>
      </c>
      <c r="W1058" s="13" t="s">
        <v>59</v>
      </c>
      <c r="X1058" s="13">
        <v>15</v>
      </c>
      <c r="Y1058" s="13">
        <v>3</v>
      </c>
      <c r="Z1058" s="13">
        <v>4</v>
      </c>
      <c r="AA1058" s="13">
        <v>80</v>
      </c>
      <c r="AB1058" s="13">
        <v>1</v>
      </c>
      <c r="AC1058" s="13">
        <v>5</v>
      </c>
      <c r="AD1058" s="13">
        <v>3</v>
      </c>
      <c r="AE1058" s="13">
        <v>4</v>
      </c>
      <c r="AF1058" s="14">
        <v>3</v>
      </c>
      <c r="AG1058" s="13">
        <v>2</v>
      </c>
      <c r="AH1058" s="13">
        <v>1</v>
      </c>
      <c r="AI1058" s="13">
        <v>2</v>
      </c>
      <c r="AJ1058" s="13" t="str">
        <f t="shared" si="16"/>
        <v>Under 30</v>
      </c>
      <c r="AK1058" s="13" t="str">
        <f>IF(tblCleanData[[#This Row],[MonthlyIncome]]&lt;5000, "Low Income", IF(tblCleanData[[#This Row],[MonthlyIncome]]&lt;15000, "Medium Income", "High Income"))</f>
        <v>Low Income</v>
      </c>
      <c r="AL1058" s="13">
        <f>IF(tblCleanData[[#This Row],[Attrition]]="No", 0,1)</f>
        <v>1</v>
      </c>
      <c r="AM1058" s="13">
        <f>IF(tblCleanData[[#This Row],[OverTime]] = "No", 0, 1)</f>
        <v>0</v>
      </c>
      <c r="AN1058" s="13" t="str">
        <f>CHOOSE(tblCleanData[[#This Row],[Education]], "Below College","College","Bachelor","Master","Doctor")</f>
        <v>Bachelor</v>
      </c>
      <c r="AO1058" s="13" t="str">
        <f>VLOOKUP(tblCleanData[[#This Row],[EmployeeNumber]],tblHelpers[],15,TRUE)</f>
        <v>High Risk</v>
      </c>
      <c r="AP1058" s="13">
        <f>VLOOKUP(tblCleanData[[#This Row],[EmployeeNumber]],tblHelpers[],14,0)</f>
        <v>63</v>
      </c>
    </row>
    <row r="1059" spans="1:42" x14ac:dyDescent="0.25">
      <c r="A1059" s="13">
        <v>29</v>
      </c>
      <c r="B1059" s="13" t="s">
        <v>36</v>
      </c>
      <c r="C1059" s="13" t="s">
        <v>60</v>
      </c>
      <c r="D1059" s="13">
        <v>115</v>
      </c>
      <c r="E1059" s="13" t="s">
        <v>39</v>
      </c>
      <c r="F1059" s="13">
        <v>13</v>
      </c>
      <c r="G1059" s="13">
        <v>3</v>
      </c>
      <c r="H1059" s="13" t="s">
        <v>228</v>
      </c>
      <c r="I1059" s="13">
        <v>1</v>
      </c>
      <c r="J1059" s="13">
        <v>1487</v>
      </c>
      <c r="K1059" s="13">
        <v>1</v>
      </c>
      <c r="L1059" s="13" t="s">
        <v>43</v>
      </c>
      <c r="M1059" s="13">
        <v>51</v>
      </c>
      <c r="N1059" s="13">
        <v>3</v>
      </c>
      <c r="O1059" s="13">
        <v>2</v>
      </c>
      <c r="P1059" s="13" t="s">
        <v>46</v>
      </c>
      <c r="Q1059" s="13">
        <v>2</v>
      </c>
      <c r="R1059" s="13" t="s">
        <v>48</v>
      </c>
      <c r="S1059" s="20">
        <v>5765</v>
      </c>
      <c r="T1059" s="13">
        <v>17485</v>
      </c>
      <c r="U1059" s="13">
        <v>5</v>
      </c>
      <c r="V1059" s="13" t="s">
        <v>52</v>
      </c>
      <c r="W1059" s="13" t="s">
        <v>59</v>
      </c>
      <c r="X1059" s="13">
        <v>11</v>
      </c>
      <c r="Y1059" s="13">
        <v>3</v>
      </c>
      <c r="Z1059" s="13">
        <v>1</v>
      </c>
      <c r="AA1059" s="13">
        <v>80</v>
      </c>
      <c r="AB1059" s="13">
        <v>0</v>
      </c>
      <c r="AC1059" s="13">
        <v>7</v>
      </c>
      <c r="AD1059" s="13">
        <v>4</v>
      </c>
      <c r="AE1059" s="13">
        <v>1</v>
      </c>
      <c r="AF1059" s="14">
        <v>5</v>
      </c>
      <c r="AG1059" s="13">
        <v>3</v>
      </c>
      <c r="AH1059" s="13">
        <v>0</v>
      </c>
      <c r="AI1059" s="13">
        <v>0</v>
      </c>
      <c r="AJ1059" s="13" t="str">
        <f t="shared" si="16"/>
        <v>Under 30</v>
      </c>
      <c r="AK1059" s="13" t="str">
        <f>IF(tblCleanData[[#This Row],[MonthlyIncome]]&lt;5000, "Low Income", IF(tblCleanData[[#This Row],[MonthlyIncome]]&lt;15000, "Medium Income", "High Income"))</f>
        <v>Medium Income</v>
      </c>
      <c r="AL1059" s="13">
        <f>IF(tblCleanData[[#This Row],[Attrition]]="No", 0,1)</f>
        <v>1</v>
      </c>
      <c r="AM1059" s="13">
        <f>IF(tblCleanData[[#This Row],[OverTime]] = "No", 0, 1)</f>
        <v>0</v>
      </c>
      <c r="AN1059" s="13" t="str">
        <f>CHOOSE(tblCleanData[[#This Row],[Education]], "Below College","College","Bachelor","Master","Doctor")</f>
        <v>Bachelor</v>
      </c>
      <c r="AO1059" s="13" t="str">
        <f>VLOOKUP(tblCleanData[[#This Row],[EmployeeNumber]],tblHelpers[],15,TRUE)</f>
        <v>High Risk</v>
      </c>
      <c r="AP1059" s="13">
        <f>VLOOKUP(tblCleanData[[#This Row],[EmployeeNumber]],tblHelpers[],14,0)</f>
        <v>69</v>
      </c>
    </row>
    <row r="1060" spans="1:42" x14ac:dyDescent="0.25">
      <c r="A1060" s="13">
        <v>34</v>
      </c>
      <c r="B1060" s="13" t="s">
        <v>36</v>
      </c>
      <c r="C1060" s="13" t="s">
        <v>37</v>
      </c>
      <c r="D1060" s="13">
        <v>790</v>
      </c>
      <c r="E1060" s="13" t="s">
        <v>39</v>
      </c>
      <c r="F1060" s="13">
        <v>24</v>
      </c>
      <c r="G1060" s="13">
        <v>4</v>
      </c>
      <c r="H1060" s="13" t="s">
        <v>87</v>
      </c>
      <c r="I1060" s="13">
        <v>1</v>
      </c>
      <c r="J1060" s="13">
        <v>1489</v>
      </c>
      <c r="K1060" s="13">
        <v>1</v>
      </c>
      <c r="L1060" s="13" t="s">
        <v>43</v>
      </c>
      <c r="M1060" s="13">
        <v>40</v>
      </c>
      <c r="N1060" s="13">
        <v>2</v>
      </c>
      <c r="O1060" s="13">
        <v>2</v>
      </c>
      <c r="P1060" s="13" t="s">
        <v>46</v>
      </c>
      <c r="Q1060" s="13">
        <v>2</v>
      </c>
      <c r="R1060" s="13" t="s">
        <v>48</v>
      </c>
      <c r="S1060" s="20">
        <v>4599</v>
      </c>
      <c r="T1060" s="13">
        <v>7815</v>
      </c>
      <c r="U1060" s="13">
        <v>0</v>
      </c>
      <c r="V1060" s="13" t="s">
        <v>52</v>
      </c>
      <c r="W1060" s="13" t="s">
        <v>36</v>
      </c>
      <c r="X1060" s="13">
        <v>23</v>
      </c>
      <c r="Y1060" s="13">
        <v>4</v>
      </c>
      <c r="Z1060" s="13">
        <v>3</v>
      </c>
      <c r="AA1060" s="13">
        <v>80</v>
      </c>
      <c r="AB1060" s="13">
        <v>0</v>
      </c>
      <c r="AC1060" s="13">
        <v>16</v>
      </c>
      <c r="AD1060" s="13">
        <v>2</v>
      </c>
      <c r="AE1060" s="13">
        <v>4</v>
      </c>
      <c r="AF1060" s="14">
        <v>15</v>
      </c>
      <c r="AG1060" s="13">
        <v>9</v>
      </c>
      <c r="AH1060" s="13">
        <v>10</v>
      </c>
      <c r="AI1060" s="13">
        <v>10</v>
      </c>
      <c r="AJ1060" s="13" t="str">
        <f t="shared" si="16"/>
        <v>30-39</v>
      </c>
      <c r="AK1060" s="13" t="str">
        <f>IF(tblCleanData[[#This Row],[MonthlyIncome]]&lt;5000, "Low Income", IF(tblCleanData[[#This Row],[MonthlyIncome]]&lt;15000, "Medium Income", "High Income"))</f>
        <v>Low Income</v>
      </c>
      <c r="AL1060" s="13">
        <f>IF(tblCleanData[[#This Row],[Attrition]]="No", 0,1)</f>
        <v>1</v>
      </c>
      <c r="AM1060" s="13">
        <f>IF(tblCleanData[[#This Row],[OverTime]] = "No", 0, 1)</f>
        <v>1</v>
      </c>
      <c r="AN1060" s="13" t="str">
        <f>CHOOSE(tblCleanData[[#This Row],[Education]], "Below College","College","Bachelor","Master","Doctor")</f>
        <v>Master</v>
      </c>
      <c r="AO1060" s="13" t="str">
        <f>VLOOKUP(tblCleanData[[#This Row],[EmployeeNumber]],tblHelpers[],15,TRUE)</f>
        <v>High Risk</v>
      </c>
      <c r="AP1060" s="13">
        <f>VLOOKUP(tblCleanData[[#This Row],[EmployeeNumber]],tblHelpers[],14,0)</f>
        <v>72</v>
      </c>
    </row>
    <row r="1061" spans="1:42" x14ac:dyDescent="0.25">
      <c r="A1061" s="13">
        <v>35</v>
      </c>
      <c r="B1061" s="13" t="s">
        <v>59</v>
      </c>
      <c r="C1061" s="13" t="s">
        <v>37</v>
      </c>
      <c r="D1061" s="13">
        <v>660</v>
      </c>
      <c r="E1061" s="13" t="s">
        <v>39</v>
      </c>
      <c r="F1061" s="13">
        <v>7</v>
      </c>
      <c r="G1061" s="13">
        <v>1</v>
      </c>
      <c r="H1061" s="13" t="s">
        <v>42</v>
      </c>
      <c r="I1061" s="13">
        <v>1</v>
      </c>
      <c r="J1061" s="13">
        <v>1492</v>
      </c>
      <c r="K1061" s="13">
        <v>4</v>
      </c>
      <c r="L1061" s="13" t="s">
        <v>63</v>
      </c>
      <c r="M1061" s="13">
        <v>76</v>
      </c>
      <c r="N1061" s="13">
        <v>3</v>
      </c>
      <c r="O1061" s="13">
        <v>1</v>
      </c>
      <c r="P1061" s="13" t="s">
        <v>182</v>
      </c>
      <c r="Q1061" s="13">
        <v>3</v>
      </c>
      <c r="R1061" s="13" t="s">
        <v>66</v>
      </c>
      <c r="S1061" s="20">
        <v>2404</v>
      </c>
      <c r="T1061" s="13">
        <v>16192</v>
      </c>
      <c r="U1061" s="13">
        <v>1</v>
      </c>
      <c r="V1061" s="13" t="s">
        <v>52</v>
      </c>
      <c r="W1061" s="13" t="s">
        <v>59</v>
      </c>
      <c r="X1061" s="13">
        <v>13</v>
      </c>
      <c r="Y1061" s="13">
        <v>3</v>
      </c>
      <c r="Z1061" s="13">
        <v>1</v>
      </c>
      <c r="AA1061" s="13">
        <v>80</v>
      </c>
      <c r="AB1061" s="13">
        <v>1</v>
      </c>
      <c r="AC1061" s="13">
        <v>1</v>
      </c>
      <c r="AD1061" s="13">
        <v>3</v>
      </c>
      <c r="AE1061" s="13">
        <v>3</v>
      </c>
      <c r="AF1061" s="14">
        <v>1</v>
      </c>
      <c r="AG1061" s="13">
        <v>0</v>
      </c>
      <c r="AH1061" s="13">
        <v>0</v>
      </c>
      <c r="AI1061" s="13">
        <v>0</v>
      </c>
      <c r="AJ1061" s="13" t="str">
        <f t="shared" si="16"/>
        <v>30-39</v>
      </c>
      <c r="AK1061" s="13" t="str">
        <f>IF(tblCleanData[[#This Row],[MonthlyIncome]]&lt;5000, "Low Income", IF(tblCleanData[[#This Row],[MonthlyIncome]]&lt;15000, "Medium Income", "High Income"))</f>
        <v>Low Income</v>
      </c>
      <c r="AL1061" s="13">
        <f>IF(tblCleanData[[#This Row],[Attrition]]="No", 0,1)</f>
        <v>0</v>
      </c>
      <c r="AM1061" s="13">
        <f>IF(tblCleanData[[#This Row],[OverTime]] = "No", 0, 1)</f>
        <v>0</v>
      </c>
      <c r="AN1061" s="13" t="str">
        <f>CHOOSE(tblCleanData[[#This Row],[Education]], "Below College","College","Bachelor","Master","Doctor")</f>
        <v>Below College</v>
      </c>
      <c r="AO1061" s="13" t="str">
        <f>VLOOKUP(tblCleanData[[#This Row],[EmployeeNumber]],tblHelpers[],15,TRUE)</f>
        <v>High Risk</v>
      </c>
      <c r="AP1061" s="13">
        <f>VLOOKUP(tblCleanData[[#This Row],[EmployeeNumber]],tblHelpers[],14,0)</f>
        <v>63</v>
      </c>
    </row>
    <row r="1062" spans="1:42" x14ac:dyDescent="0.25">
      <c r="A1062" s="13">
        <v>24</v>
      </c>
      <c r="B1062" s="13" t="s">
        <v>36</v>
      </c>
      <c r="C1062" s="13" t="s">
        <v>60</v>
      </c>
      <c r="D1062" s="13">
        <v>381</v>
      </c>
      <c r="E1062" s="13" t="s">
        <v>62</v>
      </c>
      <c r="F1062" s="13">
        <v>9</v>
      </c>
      <c r="G1062" s="13">
        <v>3</v>
      </c>
      <c r="H1062" s="13" t="s">
        <v>87</v>
      </c>
      <c r="I1062" s="13">
        <v>1</v>
      </c>
      <c r="J1062" s="13">
        <v>1494</v>
      </c>
      <c r="K1062" s="13">
        <v>2</v>
      </c>
      <c r="L1062" s="13" t="s">
        <v>63</v>
      </c>
      <c r="M1062" s="13">
        <v>89</v>
      </c>
      <c r="N1062" s="13">
        <v>3</v>
      </c>
      <c r="O1062" s="13">
        <v>1</v>
      </c>
      <c r="P1062" s="13" t="s">
        <v>76</v>
      </c>
      <c r="Q1062" s="13">
        <v>1</v>
      </c>
      <c r="R1062" s="13" t="s">
        <v>48</v>
      </c>
      <c r="S1062" s="20">
        <v>3172</v>
      </c>
      <c r="T1062" s="13">
        <v>16998</v>
      </c>
      <c r="U1062" s="13">
        <v>2</v>
      </c>
      <c r="V1062" s="13" t="s">
        <v>52</v>
      </c>
      <c r="W1062" s="13" t="s">
        <v>36</v>
      </c>
      <c r="X1062" s="13">
        <v>11</v>
      </c>
      <c r="Y1062" s="13">
        <v>3</v>
      </c>
      <c r="Z1062" s="13">
        <v>3</v>
      </c>
      <c r="AA1062" s="13">
        <v>80</v>
      </c>
      <c r="AB1062" s="13">
        <v>0</v>
      </c>
      <c r="AC1062" s="13">
        <v>4</v>
      </c>
      <c r="AD1062" s="13">
        <v>2</v>
      </c>
      <c r="AE1062" s="13">
        <v>2</v>
      </c>
      <c r="AF1062" s="14">
        <v>0</v>
      </c>
      <c r="AG1062" s="13">
        <v>0</v>
      </c>
      <c r="AH1062" s="13">
        <v>0</v>
      </c>
      <c r="AI1062" s="13">
        <v>0</v>
      </c>
      <c r="AJ1062" s="13" t="str">
        <f t="shared" si="16"/>
        <v>Under 30</v>
      </c>
      <c r="AK1062" s="13" t="str">
        <f>IF(tblCleanData[[#This Row],[MonthlyIncome]]&lt;5000, "Low Income", IF(tblCleanData[[#This Row],[MonthlyIncome]]&lt;15000, "Medium Income", "High Income"))</f>
        <v>Low Income</v>
      </c>
      <c r="AL1062" s="13">
        <f>IF(tblCleanData[[#This Row],[Attrition]]="No", 0,1)</f>
        <v>1</v>
      </c>
      <c r="AM1062" s="13">
        <f>IF(tblCleanData[[#This Row],[OverTime]] = "No", 0, 1)</f>
        <v>1</v>
      </c>
      <c r="AN1062" s="13" t="str">
        <f>CHOOSE(tblCleanData[[#This Row],[Education]], "Below College","College","Bachelor","Master","Doctor")</f>
        <v>Bachelor</v>
      </c>
      <c r="AO1062" s="13" t="str">
        <f>VLOOKUP(tblCleanData[[#This Row],[EmployeeNumber]],tblHelpers[],15,TRUE)</f>
        <v>High Risk</v>
      </c>
      <c r="AP1062" s="13">
        <f>VLOOKUP(tblCleanData[[#This Row],[EmployeeNumber]],tblHelpers[],14,0)</f>
        <v>110</v>
      </c>
    </row>
    <row r="1063" spans="1:42" x14ac:dyDescent="0.25">
      <c r="A1063" s="13">
        <v>24</v>
      </c>
      <c r="B1063" s="13" t="s">
        <v>59</v>
      </c>
      <c r="C1063" s="13" t="s">
        <v>161</v>
      </c>
      <c r="D1063" s="13">
        <v>830</v>
      </c>
      <c r="E1063" s="13" t="s">
        <v>39</v>
      </c>
      <c r="F1063" s="13">
        <v>13</v>
      </c>
      <c r="G1063" s="13">
        <v>2</v>
      </c>
      <c r="H1063" s="13" t="s">
        <v>42</v>
      </c>
      <c r="I1063" s="13">
        <v>1</v>
      </c>
      <c r="J1063" s="13">
        <v>1495</v>
      </c>
      <c r="K1063" s="13">
        <v>4</v>
      </c>
      <c r="L1063" s="13" t="s">
        <v>43</v>
      </c>
      <c r="M1063" s="13">
        <v>78</v>
      </c>
      <c r="N1063" s="13">
        <v>3</v>
      </c>
      <c r="O1063" s="13">
        <v>1</v>
      </c>
      <c r="P1063" s="13" t="s">
        <v>182</v>
      </c>
      <c r="Q1063" s="13">
        <v>2</v>
      </c>
      <c r="R1063" s="13" t="s">
        <v>66</v>
      </c>
      <c r="S1063" s="20">
        <v>2033</v>
      </c>
      <c r="T1063" s="13">
        <v>7103</v>
      </c>
      <c r="U1063" s="13">
        <v>1</v>
      </c>
      <c r="V1063" s="13" t="s">
        <v>52</v>
      </c>
      <c r="W1063" s="13" t="s">
        <v>59</v>
      </c>
      <c r="X1063" s="13">
        <v>13</v>
      </c>
      <c r="Y1063" s="13">
        <v>3</v>
      </c>
      <c r="Z1063" s="13">
        <v>3</v>
      </c>
      <c r="AA1063" s="13">
        <v>80</v>
      </c>
      <c r="AB1063" s="13">
        <v>1</v>
      </c>
      <c r="AC1063" s="13">
        <v>1</v>
      </c>
      <c r="AD1063" s="13">
        <v>2</v>
      </c>
      <c r="AE1063" s="13">
        <v>3</v>
      </c>
      <c r="AF1063" s="14">
        <v>1</v>
      </c>
      <c r="AG1063" s="13">
        <v>0</v>
      </c>
      <c r="AH1063" s="13">
        <v>0</v>
      </c>
      <c r="AI1063" s="13">
        <v>0</v>
      </c>
      <c r="AJ1063" s="13" t="str">
        <f t="shared" si="16"/>
        <v>Under 30</v>
      </c>
      <c r="AK1063" s="13" t="str">
        <f>IF(tblCleanData[[#This Row],[MonthlyIncome]]&lt;5000, "Low Income", IF(tblCleanData[[#This Row],[MonthlyIncome]]&lt;15000, "Medium Income", "High Income"))</f>
        <v>Low Income</v>
      </c>
      <c r="AL1063" s="13">
        <f>IF(tblCleanData[[#This Row],[Attrition]]="No", 0,1)</f>
        <v>0</v>
      </c>
      <c r="AM1063" s="13">
        <f>IF(tblCleanData[[#This Row],[OverTime]] = "No", 0, 1)</f>
        <v>0</v>
      </c>
      <c r="AN1063" s="13" t="str">
        <f>CHOOSE(tblCleanData[[#This Row],[Education]], "Below College","College","Bachelor","Master","Doctor")</f>
        <v>College</v>
      </c>
      <c r="AO1063" s="13" t="str">
        <f>VLOOKUP(tblCleanData[[#This Row],[EmployeeNumber]],tblHelpers[],15,TRUE)</f>
        <v>High Risk</v>
      </c>
      <c r="AP1063" s="13">
        <f>VLOOKUP(tblCleanData[[#This Row],[EmployeeNumber]],tblHelpers[],14,0)</f>
        <v>79</v>
      </c>
    </row>
    <row r="1064" spans="1:42" x14ac:dyDescent="0.25">
      <c r="A1064" s="13">
        <v>44</v>
      </c>
      <c r="B1064" s="13" t="s">
        <v>59</v>
      </c>
      <c r="C1064" s="13" t="s">
        <v>60</v>
      </c>
      <c r="D1064" s="13">
        <v>1193</v>
      </c>
      <c r="E1064" s="13" t="s">
        <v>62</v>
      </c>
      <c r="F1064" s="13">
        <v>2</v>
      </c>
      <c r="G1064" s="13">
        <v>1</v>
      </c>
      <c r="H1064" s="13" t="s">
        <v>87</v>
      </c>
      <c r="I1064" s="13">
        <v>1</v>
      </c>
      <c r="J1064" s="13">
        <v>1496</v>
      </c>
      <c r="K1064" s="13">
        <v>2</v>
      </c>
      <c r="L1064" s="13" t="s">
        <v>63</v>
      </c>
      <c r="M1064" s="13">
        <v>86</v>
      </c>
      <c r="N1064" s="13">
        <v>3</v>
      </c>
      <c r="O1064" s="13">
        <v>3</v>
      </c>
      <c r="P1064" s="13" t="s">
        <v>116</v>
      </c>
      <c r="Q1064" s="13">
        <v>3</v>
      </c>
      <c r="R1064" s="13" t="s">
        <v>48</v>
      </c>
      <c r="S1064" s="20">
        <v>10209</v>
      </c>
      <c r="T1064" s="13">
        <v>19719</v>
      </c>
      <c r="U1064" s="13">
        <v>5</v>
      </c>
      <c r="V1064" s="13" t="s">
        <v>52</v>
      </c>
      <c r="W1064" s="13" t="s">
        <v>36</v>
      </c>
      <c r="X1064" s="13">
        <v>18</v>
      </c>
      <c r="Y1064" s="13">
        <v>3</v>
      </c>
      <c r="Z1064" s="13">
        <v>2</v>
      </c>
      <c r="AA1064" s="13">
        <v>80</v>
      </c>
      <c r="AB1064" s="13">
        <v>0</v>
      </c>
      <c r="AC1064" s="13">
        <v>16</v>
      </c>
      <c r="AD1064" s="13">
        <v>2</v>
      </c>
      <c r="AE1064" s="13">
        <v>2</v>
      </c>
      <c r="AF1064" s="14">
        <v>2</v>
      </c>
      <c r="AG1064" s="13">
        <v>2</v>
      </c>
      <c r="AH1064" s="13">
        <v>2</v>
      </c>
      <c r="AI1064" s="13">
        <v>2</v>
      </c>
      <c r="AJ1064" s="13" t="str">
        <f t="shared" si="16"/>
        <v>40-49</v>
      </c>
      <c r="AK1064" s="13" t="str">
        <f>IF(tblCleanData[[#This Row],[MonthlyIncome]]&lt;5000, "Low Income", IF(tblCleanData[[#This Row],[MonthlyIncome]]&lt;15000, "Medium Income", "High Income"))</f>
        <v>Medium Income</v>
      </c>
      <c r="AL1064" s="13">
        <f>IF(tblCleanData[[#This Row],[Attrition]]="No", 0,1)</f>
        <v>0</v>
      </c>
      <c r="AM1064" s="13">
        <f>IF(tblCleanData[[#This Row],[OverTime]] = "No", 0, 1)</f>
        <v>1</v>
      </c>
      <c r="AN1064" s="13" t="str">
        <f>CHOOSE(tblCleanData[[#This Row],[Education]], "Below College","College","Bachelor","Master","Doctor")</f>
        <v>Below College</v>
      </c>
      <c r="AO1064" s="13" t="str">
        <f>VLOOKUP(tblCleanData[[#This Row],[EmployeeNumber]],tblHelpers[],15,TRUE)</f>
        <v>High Risk</v>
      </c>
      <c r="AP1064" s="13">
        <f>VLOOKUP(tblCleanData[[#This Row],[EmployeeNumber]],tblHelpers[],14,0)</f>
        <v>78</v>
      </c>
    </row>
    <row r="1065" spans="1:42" x14ac:dyDescent="0.25">
      <c r="A1065" s="13">
        <v>29</v>
      </c>
      <c r="B1065" s="13" t="s">
        <v>59</v>
      </c>
      <c r="C1065" s="13" t="s">
        <v>37</v>
      </c>
      <c r="D1065" s="13">
        <v>1246</v>
      </c>
      <c r="E1065" s="13" t="s">
        <v>39</v>
      </c>
      <c r="F1065" s="13">
        <v>19</v>
      </c>
      <c r="G1065" s="13">
        <v>3</v>
      </c>
      <c r="H1065" s="13" t="s">
        <v>42</v>
      </c>
      <c r="I1065" s="13">
        <v>1</v>
      </c>
      <c r="J1065" s="13">
        <v>1497</v>
      </c>
      <c r="K1065" s="13">
        <v>3</v>
      </c>
      <c r="L1065" s="13" t="s">
        <v>63</v>
      </c>
      <c r="M1065" s="13">
        <v>77</v>
      </c>
      <c r="N1065" s="13">
        <v>2</v>
      </c>
      <c r="O1065" s="13">
        <v>2</v>
      </c>
      <c r="P1065" s="13" t="s">
        <v>46</v>
      </c>
      <c r="Q1065" s="13">
        <v>3</v>
      </c>
      <c r="R1065" s="13" t="s">
        <v>109</v>
      </c>
      <c r="S1065" s="20">
        <v>8620</v>
      </c>
      <c r="T1065" s="13">
        <v>23757</v>
      </c>
      <c r="U1065" s="13">
        <v>1</v>
      </c>
      <c r="V1065" s="13" t="s">
        <v>52</v>
      </c>
      <c r="W1065" s="13" t="s">
        <v>59</v>
      </c>
      <c r="X1065" s="13">
        <v>14</v>
      </c>
      <c r="Y1065" s="13">
        <v>3</v>
      </c>
      <c r="Z1065" s="13">
        <v>3</v>
      </c>
      <c r="AA1065" s="13">
        <v>80</v>
      </c>
      <c r="AB1065" s="13">
        <v>2</v>
      </c>
      <c r="AC1065" s="13">
        <v>10</v>
      </c>
      <c r="AD1065" s="13">
        <v>3</v>
      </c>
      <c r="AE1065" s="13">
        <v>3</v>
      </c>
      <c r="AF1065" s="14">
        <v>10</v>
      </c>
      <c r="AG1065" s="13">
        <v>7</v>
      </c>
      <c r="AH1065" s="13">
        <v>0</v>
      </c>
      <c r="AI1065" s="13">
        <v>4</v>
      </c>
      <c r="AJ1065" s="13" t="str">
        <f t="shared" si="16"/>
        <v>Under 30</v>
      </c>
      <c r="AK1065" s="13" t="str">
        <f>IF(tblCleanData[[#This Row],[MonthlyIncome]]&lt;5000, "Low Income", IF(tblCleanData[[#This Row],[MonthlyIncome]]&lt;15000, "Medium Income", "High Income"))</f>
        <v>Medium Income</v>
      </c>
      <c r="AL1065" s="13">
        <f>IF(tblCleanData[[#This Row],[Attrition]]="No", 0,1)</f>
        <v>0</v>
      </c>
      <c r="AM1065" s="13">
        <f>IF(tblCleanData[[#This Row],[OverTime]] = "No", 0, 1)</f>
        <v>0</v>
      </c>
      <c r="AN1065" s="13" t="str">
        <f>CHOOSE(tblCleanData[[#This Row],[Education]], "Below College","College","Bachelor","Master","Doctor")</f>
        <v>Bachelor</v>
      </c>
      <c r="AO1065" s="13" t="str">
        <f>VLOOKUP(tblCleanData[[#This Row],[EmployeeNumber]],tblHelpers[],15,TRUE)</f>
        <v>High Risk</v>
      </c>
      <c r="AP1065" s="13">
        <f>VLOOKUP(tblCleanData[[#This Row],[EmployeeNumber]],tblHelpers[],14,0)</f>
        <v>56</v>
      </c>
    </row>
    <row r="1066" spans="1:42" x14ac:dyDescent="0.25">
      <c r="A1066" s="13">
        <v>30</v>
      </c>
      <c r="B1066" s="13" t="s">
        <v>59</v>
      </c>
      <c r="C1066" s="13" t="s">
        <v>37</v>
      </c>
      <c r="D1066" s="13">
        <v>330</v>
      </c>
      <c r="E1066" s="13" t="s">
        <v>397</v>
      </c>
      <c r="F1066" s="13">
        <v>1</v>
      </c>
      <c r="G1066" s="13">
        <v>3</v>
      </c>
      <c r="H1066" s="13" t="s">
        <v>42</v>
      </c>
      <c r="I1066" s="13">
        <v>1</v>
      </c>
      <c r="J1066" s="13">
        <v>1499</v>
      </c>
      <c r="K1066" s="13">
        <v>3</v>
      </c>
      <c r="L1066" s="13" t="s">
        <v>63</v>
      </c>
      <c r="M1066" s="13">
        <v>46</v>
      </c>
      <c r="N1066" s="13">
        <v>3</v>
      </c>
      <c r="O1066" s="13">
        <v>1</v>
      </c>
      <c r="P1066" s="13" t="s">
        <v>397</v>
      </c>
      <c r="Q1066" s="13">
        <v>3</v>
      </c>
      <c r="R1066" s="13" t="s">
        <v>109</v>
      </c>
      <c r="S1066" s="20">
        <v>2064</v>
      </c>
      <c r="T1066" s="13">
        <v>15428</v>
      </c>
      <c r="U1066" s="13">
        <v>0</v>
      </c>
      <c r="V1066" s="13" t="s">
        <v>52</v>
      </c>
      <c r="W1066" s="13" t="s">
        <v>59</v>
      </c>
      <c r="X1066" s="13">
        <v>21</v>
      </c>
      <c r="Y1066" s="13">
        <v>4</v>
      </c>
      <c r="Z1066" s="13">
        <v>1</v>
      </c>
      <c r="AA1066" s="13">
        <v>80</v>
      </c>
      <c r="AB1066" s="13">
        <v>1</v>
      </c>
      <c r="AC1066" s="13">
        <v>6</v>
      </c>
      <c r="AD1066" s="13">
        <v>3</v>
      </c>
      <c r="AE1066" s="13">
        <v>4</v>
      </c>
      <c r="AF1066" s="14">
        <v>5</v>
      </c>
      <c r="AG1066" s="13">
        <v>3</v>
      </c>
      <c r="AH1066" s="13">
        <v>1</v>
      </c>
      <c r="AI1066" s="13">
        <v>3</v>
      </c>
      <c r="AJ1066" s="13" t="str">
        <f t="shared" si="16"/>
        <v>30-39</v>
      </c>
      <c r="AK1066" s="13" t="str">
        <f>IF(tblCleanData[[#This Row],[MonthlyIncome]]&lt;5000, "Low Income", IF(tblCleanData[[#This Row],[MonthlyIncome]]&lt;15000, "Medium Income", "High Income"))</f>
        <v>Low Income</v>
      </c>
      <c r="AL1066" s="13">
        <f>IF(tblCleanData[[#This Row],[Attrition]]="No", 0,1)</f>
        <v>0</v>
      </c>
      <c r="AM1066" s="13">
        <f>IF(tblCleanData[[#This Row],[OverTime]] = "No", 0, 1)</f>
        <v>0</v>
      </c>
      <c r="AN1066" s="13" t="str">
        <f>CHOOSE(tblCleanData[[#This Row],[Education]], "Below College","College","Bachelor","Master","Doctor")</f>
        <v>Bachelor</v>
      </c>
      <c r="AO1066" s="13" t="str">
        <f>VLOOKUP(tblCleanData[[#This Row],[EmployeeNumber]],tblHelpers[],15,TRUE)</f>
        <v>Medium Risk</v>
      </c>
      <c r="AP1066" s="13">
        <f>VLOOKUP(tblCleanData[[#This Row],[EmployeeNumber]],tblHelpers[],14,0)</f>
        <v>53</v>
      </c>
    </row>
    <row r="1067" spans="1:42" x14ac:dyDescent="0.25">
      <c r="A1067" s="13">
        <v>55</v>
      </c>
      <c r="B1067" s="13" t="s">
        <v>59</v>
      </c>
      <c r="C1067" s="13" t="s">
        <v>37</v>
      </c>
      <c r="D1067" s="13">
        <v>1229</v>
      </c>
      <c r="E1067" s="13" t="s">
        <v>62</v>
      </c>
      <c r="F1067" s="13">
        <v>4</v>
      </c>
      <c r="G1067" s="13">
        <v>4</v>
      </c>
      <c r="H1067" s="13" t="s">
        <v>42</v>
      </c>
      <c r="I1067" s="13">
        <v>1</v>
      </c>
      <c r="J1067" s="13">
        <v>1501</v>
      </c>
      <c r="K1067" s="13">
        <v>4</v>
      </c>
      <c r="L1067" s="13" t="s">
        <v>63</v>
      </c>
      <c r="M1067" s="13">
        <v>30</v>
      </c>
      <c r="N1067" s="13">
        <v>3</v>
      </c>
      <c r="O1067" s="13">
        <v>2</v>
      </c>
      <c r="P1067" s="13" t="s">
        <v>122</v>
      </c>
      <c r="Q1067" s="13">
        <v>3</v>
      </c>
      <c r="R1067" s="13" t="s">
        <v>66</v>
      </c>
      <c r="S1067" s="20">
        <v>4035</v>
      </c>
      <c r="T1067" s="13">
        <v>16143</v>
      </c>
      <c r="U1067" s="13">
        <v>0</v>
      </c>
      <c r="V1067" s="13" t="s">
        <v>52</v>
      </c>
      <c r="W1067" s="13" t="s">
        <v>36</v>
      </c>
      <c r="X1067" s="13">
        <v>16</v>
      </c>
      <c r="Y1067" s="13">
        <v>3</v>
      </c>
      <c r="Z1067" s="13">
        <v>2</v>
      </c>
      <c r="AA1067" s="13">
        <v>80</v>
      </c>
      <c r="AB1067" s="13">
        <v>0</v>
      </c>
      <c r="AC1067" s="13">
        <v>4</v>
      </c>
      <c r="AD1067" s="13">
        <v>2</v>
      </c>
      <c r="AE1067" s="13">
        <v>3</v>
      </c>
      <c r="AF1067" s="14">
        <v>3</v>
      </c>
      <c r="AG1067" s="13">
        <v>2</v>
      </c>
      <c r="AH1067" s="13">
        <v>1</v>
      </c>
      <c r="AI1067" s="13">
        <v>2</v>
      </c>
      <c r="AJ1067" s="13" t="str">
        <f t="shared" si="16"/>
        <v>50+</v>
      </c>
      <c r="AK1067" s="13" t="str">
        <f>IF(tblCleanData[[#This Row],[MonthlyIncome]]&lt;5000, "Low Income", IF(tblCleanData[[#This Row],[MonthlyIncome]]&lt;15000, "Medium Income", "High Income"))</f>
        <v>Low Income</v>
      </c>
      <c r="AL1067" s="13">
        <f>IF(tblCleanData[[#This Row],[Attrition]]="No", 0,1)</f>
        <v>0</v>
      </c>
      <c r="AM1067" s="13">
        <f>IF(tblCleanData[[#This Row],[OverTime]] = "No", 0, 1)</f>
        <v>1</v>
      </c>
      <c r="AN1067" s="13" t="str">
        <f>CHOOSE(tblCleanData[[#This Row],[Education]], "Below College","College","Bachelor","Master","Doctor")</f>
        <v>Master</v>
      </c>
      <c r="AO1067" s="13" t="str">
        <f>VLOOKUP(tblCleanData[[#This Row],[EmployeeNumber]],tblHelpers[],15,TRUE)</f>
        <v>High Risk</v>
      </c>
      <c r="AP1067" s="13">
        <f>VLOOKUP(tblCleanData[[#This Row],[EmployeeNumber]],tblHelpers[],14,0)</f>
        <v>73</v>
      </c>
    </row>
    <row r="1068" spans="1:42" x14ac:dyDescent="0.25">
      <c r="A1068" s="13">
        <v>33</v>
      </c>
      <c r="B1068" s="13" t="s">
        <v>59</v>
      </c>
      <c r="C1068" s="13" t="s">
        <v>37</v>
      </c>
      <c r="D1068" s="13">
        <v>1099</v>
      </c>
      <c r="E1068" s="13" t="s">
        <v>62</v>
      </c>
      <c r="F1068" s="13">
        <v>4</v>
      </c>
      <c r="G1068" s="13">
        <v>4</v>
      </c>
      <c r="H1068" s="13" t="s">
        <v>87</v>
      </c>
      <c r="I1068" s="13">
        <v>1</v>
      </c>
      <c r="J1068" s="13">
        <v>1502</v>
      </c>
      <c r="K1068" s="13">
        <v>1</v>
      </c>
      <c r="L1068" s="13" t="s">
        <v>43</v>
      </c>
      <c r="M1068" s="13">
        <v>82</v>
      </c>
      <c r="N1068" s="13">
        <v>2</v>
      </c>
      <c r="O1068" s="13">
        <v>1</v>
      </c>
      <c r="P1068" s="13" t="s">
        <v>76</v>
      </c>
      <c r="Q1068" s="13">
        <v>2</v>
      </c>
      <c r="R1068" s="13" t="s">
        <v>66</v>
      </c>
      <c r="S1068" s="20">
        <v>3838</v>
      </c>
      <c r="T1068" s="13">
        <v>8192</v>
      </c>
      <c r="U1068" s="13">
        <v>8</v>
      </c>
      <c r="V1068" s="13" t="s">
        <v>52</v>
      </c>
      <c r="W1068" s="13" t="s">
        <v>59</v>
      </c>
      <c r="X1068" s="13">
        <v>11</v>
      </c>
      <c r="Y1068" s="13">
        <v>3</v>
      </c>
      <c r="Z1068" s="13">
        <v>4</v>
      </c>
      <c r="AA1068" s="13">
        <v>80</v>
      </c>
      <c r="AB1068" s="13">
        <v>0</v>
      </c>
      <c r="AC1068" s="13">
        <v>8</v>
      </c>
      <c r="AD1068" s="13">
        <v>5</v>
      </c>
      <c r="AE1068" s="13">
        <v>3</v>
      </c>
      <c r="AF1068" s="14">
        <v>5</v>
      </c>
      <c r="AG1068" s="13">
        <v>4</v>
      </c>
      <c r="AH1068" s="13">
        <v>0</v>
      </c>
      <c r="AI1068" s="13">
        <v>2</v>
      </c>
      <c r="AJ1068" s="13" t="str">
        <f t="shared" si="16"/>
        <v>30-39</v>
      </c>
      <c r="AK1068" s="13" t="str">
        <f>IF(tblCleanData[[#This Row],[MonthlyIncome]]&lt;5000, "Low Income", IF(tblCleanData[[#This Row],[MonthlyIncome]]&lt;15000, "Medium Income", "High Income"))</f>
        <v>Low Income</v>
      </c>
      <c r="AL1068" s="13">
        <f>IF(tblCleanData[[#This Row],[Attrition]]="No", 0,1)</f>
        <v>0</v>
      </c>
      <c r="AM1068" s="13">
        <f>IF(tblCleanData[[#This Row],[OverTime]] = "No", 0, 1)</f>
        <v>0</v>
      </c>
      <c r="AN1068" s="13" t="str">
        <f>CHOOSE(tblCleanData[[#This Row],[Education]], "Below College","College","Bachelor","Master","Doctor")</f>
        <v>Master</v>
      </c>
      <c r="AO1068" s="13" t="str">
        <f>VLOOKUP(tblCleanData[[#This Row],[EmployeeNumber]],tblHelpers[],15,TRUE)</f>
        <v>High Risk</v>
      </c>
      <c r="AP1068" s="13">
        <f>VLOOKUP(tblCleanData[[#This Row],[EmployeeNumber]],tblHelpers[],14,0)</f>
        <v>59</v>
      </c>
    </row>
    <row r="1069" spans="1:42" x14ac:dyDescent="0.25">
      <c r="A1069" s="13">
        <v>47</v>
      </c>
      <c r="B1069" s="13" t="s">
        <v>59</v>
      </c>
      <c r="C1069" s="13" t="s">
        <v>37</v>
      </c>
      <c r="D1069" s="13">
        <v>571</v>
      </c>
      <c r="E1069" s="13" t="s">
        <v>39</v>
      </c>
      <c r="F1069" s="13">
        <v>14</v>
      </c>
      <c r="G1069" s="13">
        <v>3</v>
      </c>
      <c r="H1069" s="13" t="s">
        <v>87</v>
      </c>
      <c r="I1069" s="13">
        <v>1</v>
      </c>
      <c r="J1069" s="13">
        <v>1503</v>
      </c>
      <c r="K1069" s="13">
        <v>3</v>
      </c>
      <c r="L1069" s="13" t="s">
        <v>43</v>
      </c>
      <c r="M1069" s="13">
        <v>78</v>
      </c>
      <c r="N1069" s="13">
        <v>3</v>
      </c>
      <c r="O1069" s="13">
        <v>2</v>
      </c>
      <c r="P1069" s="13" t="s">
        <v>46</v>
      </c>
      <c r="Q1069" s="13">
        <v>3</v>
      </c>
      <c r="R1069" s="13" t="s">
        <v>66</v>
      </c>
      <c r="S1069" s="20">
        <v>4591</v>
      </c>
      <c r="T1069" s="13">
        <v>24200</v>
      </c>
      <c r="U1069" s="13">
        <v>3</v>
      </c>
      <c r="V1069" s="13" t="s">
        <v>52</v>
      </c>
      <c r="W1069" s="13" t="s">
        <v>36</v>
      </c>
      <c r="X1069" s="13">
        <v>17</v>
      </c>
      <c r="Y1069" s="13">
        <v>3</v>
      </c>
      <c r="Z1069" s="13">
        <v>3</v>
      </c>
      <c r="AA1069" s="13">
        <v>80</v>
      </c>
      <c r="AB1069" s="13">
        <v>1</v>
      </c>
      <c r="AC1069" s="13">
        <v>11</v>
      </c>
      <c r="AD1069" s="13">
        <v>4</v>
      </c>
      <c r="AE1069" s="13">
        <v>2</v>
      </c>
      <c r="AF1069" s="14">
        <v>5</v>
      </c>
      <c r="AG1069" s="13">
        <v>4</v>
      </c>
      <c r="AH1069" s="13">
        <v>1</v>
      </c>
      <c r="AI1069" s="13">
        <v>2</v>
      </c>
      <c r="AJ1069" s="13" t="str">
        <f t="shared" si="16"/>
        <v>40-49</v>
      </c>
      <c r="AK1069" s="13" t="str">
        <f>IF(tblCleanData[[#This Row],[MonthlyIncome]]&lt;5000, "Low Income", IF(tblCleanData[[#This Row],[MonthlyIncome]]&lt;15000, "Medium Income", "High Income"))</f>
        <v>Low Income</v>
      </c>
      <c r="AL1069" s="13">
        <f>IF(tblCleanData[[#This Row],[Attrition]]="No", 0,1)</f>
        <v>0</v>
      </c>
      <c r="AM1069" s="13">
        <f>IF(tblCleanData[[#This Row],[OverTime]] = "No", 0, 1)</f>
        <v>1</v>
      </c>
      <c r="AN1069" s="13" t="str">
        <f>CHOOSE(tblCleanData[[#This Row],[Education]], "Below College","College","Bachelor","Master","Doctor")</f>
        <v>Bachelor</v>
      </c>
      <c r="AO1069" s="13" t="str">
        <f>VLOOKUP(tblCleanData[[#This Row],[EmployeeNumber]],tblHelpers[],15,TRUE)</f>
        <v>High Risk</v>
      </c>
      <c r="AP1069" s="13">
        <f>VLOOKUP(tblCleanData[[#This Row],[EmployeeNumber]],tblHelpers[],14,0)</f>
        <v>68</v>
      </c>
    </row>
    <row r="1070" spans="1:42" x14ac:dyDescent="0.25">
      <c r="A1070" s="13">
        <v>28</v>
      </c>
      <c r="B1070" s="13" t="s">
        <v>36</v>
      </c>
      <c r="C1070" s="13" t="s">
        <v>60</v>
      </c>
      <c r="D1070" s="13">
        <v>289</v>
      </c>
      <c r="E1070" s="13" t="s">
        <v>62</v>
      </c>
      <c r="F1070" s="13">
        <v>2</v>
      </c>
      <c r="G1070" s="13">
        <v>2</v>
      </c>
      <c r="H1070" s="13" t="s">
        <v>87</v>
      </c>
      <c r="I1070" s="13">
        <v>1</v>
      </c>
      <c r="J1070" s="13">
        <v>1504</v>
      </c>
      <c r="K1070" s="13">
        <v>3</v>
      </c>
      <c r="L1070" s="13" t="s">
        <v>63</v>
      </c>
      <c r="M1070" s="13">
        <v>38</v>
      </c>
      <c r="N1070" s="13">
        <v>2</v>
      </c>
      <c r="O1070" s="13">
        <v>1</v>
      </c>
      <c r="P1070" s="13" t="s">
        <v>76</v>
      </c>
      <c r="Q1070" s="13">
        <v>1</v>
      </c>
      <c r="R1070" s="13" t="s">
        <v>48</v>
      </c>
      <c r="S1070" s="20">
        <v>2561</v>
      </c>
      <c r="T1070" s="13">
        <v>5355</v>
      </c>
      <c r="U1070" s="13">
        <v>7</v>
      </c>
      <c r="V1070" s="13" t="s">
        <v>52</v>
      </c>
      <c r="W1070" s="13" t="s">
        <v>59</v>
      </c>
      <c r="X1070" s="13">
        <v>11</v>
      </c>
      <c r="Y1070" s="13">
        <v>3</v>
      </c>
      <c r="Z1070" s="13">
        <v>3</v>
      </c>
      <c r="AA1070" s="13">
        <v>80</v>
      </c>
      <c r="AB1070" s="13">
        <v>0</v>
      </c>
      <c r="AC1070" s="13">
        <v>8</v>
      </c>
      <c r="AD1070" s="13">
        <v>2</v>
      </c>
      <c r="AE1070" s="13">
        <v>2</v>
      </c>
      <c r="AF1070" s="14">
        <v>0</v>
      </c>
      <c r="AG1070" s="13">
        <v>0</v>
      </c>
      <c r="AH1070" s="13">
        <v>0</v>
      </c>
      <c r="AI1070" s="13">
        <v>0</v>
      </c>
      <c r="AJ1070" s="13" t="str">
        <f t="shared" si="16"/>
        <v>Under 30</v>
      </c>
      <c r="AK1070" s="13" t="str">
        <f>IF(tblCleanData[[#This Row],[MonthlyIncome]]&lt;5000, "Low Income", IF(tblCleanData[[#This Row],[MonthlyIncome]]&lt;15000, "Medium Income", "High Income"))</f>
        <v>Low Income</v>
      </c>
      <c r="AL1070" s="13">
        <f>IF(tblCleanData[[#This Row],[Attrition]]="No", 0,1)</f>
        <v>1</v>
      </c>
      <c r="AM1070" s="13">
        <f>IF(tblCleanData[[#This Row],[OverTime]] = "No", 0, 1)</f>
        <v>0</v>
      </c>
      <c r="AN1070" s="13" t="str">
        <f>CHOOSE(tblCleanData[[#This Row],[Education]], "Below College","College","Bachelor","Master","Doctor")</f>
        <v>College</v>
      </c>
      <c r="AO1070" s="13" t="str">
        <f>VLOOKUP(tblCleanData[[#This Row],[EmployeeNumber]],tblHelpers[],15,TRUE)</f>
        <v>High Risk</v>
      </c>
      <c r="AP1070" s="13">
        <f>VLOOKUP(tblCleanData[[#This Row],[EmployeeNumber]],tblHelpers[],14,0)</f>
        <v>85</v>
      </c>
    </row>
    <row r="1071" spans="1:42" x14ac:dyDescent="0.25">
      <c r="A1071" s="13">
        <v>28</v>
      </c>
      <c r="B1071" s="13" t="s">
        <v>59</v>
      </c>
      <c r="C1071" s="13" t="s">
        <v>37</v>
      </c>
      <c r="D1071" s="13">
        <v>1423</v>
      </c>
      <c r="E1071" s="13" t="s">
        <v>62</v>
      </c>
      <c r="F1071" s="13">
        <v>1</v>
      </c>
      <c r="G1071" s="13">
        <v>3</v>
      </c>
      <c r="H1071" s="13" t="s">
        <v>42</v>
      </c>
      <c r="I1071" s="13">
        <v>1</v>
      </c>
      <c r="J1071" s="13">
        <v>1506</v>
      </c>
      <c r="K1071" s="13">
        <v>1</v>
      </c>
      <c r="L1071" s="13" t="s">
        <v>63</v>
      </c>
      <c r="M1071" s="13">
        <v>72</v>
      </c>
      <c r="N1071" s="13">
        <v>2</v>
      </c>
      <c r="O1071" s="13">
        <v>1</v>
      </c>
      <c r="P1071" s="13" t="s">
        <v>65</v>
      </c>
      <c r="Q1071" s="13">
        <v>3</v>
      </c>
      <c r="R1071" s="13" t="s">
        <v>109</v>
      </c>
      <c r="S1071" s="20">
        <v>1563</v>
      </c>
      <c r="T1071" s="13">
        <v>12530</v>
      </c>
      <c r="U1071" s="13">
        <v>1</v>
      </c>
      <c r="V1071" s="13" t="s">
        <v>52</v>
      </c>
      <c r="W1071" s="13" t="s">
        <v>59</v>
      </c>
      <c r="X1071" s="13">
        <v>14</v>
      </c>
      <c r="Y1071" s="13">
        <v>3</v>
      </c>
      <c r="Z1071" s="13">
        <v>4</v>
      </c>
      <c r="AA1071" s="13">
        <v>80</v>
      </c>
      <c r="AB1071" s="13">
        <v>1</v>
      </c>
      <c r="AC1071" s="13">
        <v>1</v>
      </c>
      <c r="AD1071" s="13">
        <v>2</v>
      </c>
      <c r="AE1071" s="13">
        <v>1</v>
      </c>
      <c r="AF1071" s="14">
        <v>1</v>
      </c>
      <c r="AG1071" s="13">
        <v>0</v>
      </c>
      <c r="AH1071" s="13">
        <v>0</v>
      </c>
      <c r="AI1071" s="13">
        <v>0</v>
      </c>
      <c r="AJ1071" s="13" t="str">
        <f t="shared" si="16"/>
        <v>Under 30</v>
      </c>
      <c r="AK1071" s="13" t="str">
        <f>IF(tblCleanData[[#This Row],[MonthlyIncome]]&lt;5000, "Low Income", IF(tblCleanData[[#This Row],[MonthlyIncome]]&lt;15000, "Medium Income", "High Income"))</f>
        <v>Low Income</v>
      </c>
      <c r="AL1071" s="13">
        <f>IF(tblCleanData[[#This Row],[Attrition]]="No", 0,1)</f>
        <v>0</v>
      </c>
      <c r="AM1071" s="13">
        <f>IF(tblCleanData[[#This Row],[OverTime]] = "No", 0, 1)</f>
        <v>0</v>
      </c>
      <c r="AN1071" s="13" t="str">
        <f>CHOOSE(tblCleanData[[#This Row],[Education]], "Below College","College","Bachelor","Master","Doctor")</f>
        <v>Bachelor</v>
      </c>
      <c r="AO1071" s="13" t="str">
        <f>VLOOKUP(tblCleanData[[#This Row],[EmployeeNumber]],tblHelpers[],15,TRUE)</f>
        <v>High Risk</v>
      </c>
      <c r="AP1071" s="13">
        <f>VLOOKUP(tblCleanData[[#This Row],[EmployeeNumber]],tblHelpers[],14,0)</f>
        <v>73</v>
      </c>
    </row>
    <row r="1072" spans="1:42" x14ac:dyDescent="0.25">
      <c r="A1072" s="13">
        <v>28</v>
      </c>
      <c r="B1072" s="13" t="s">
        <v>59</v>
      </c>
      <c r="C1072" s="13" t="s">
        <v>60</v>
      </c>
      <c r="D1072" s="13">
        <v>467</v>
      </c>
      <c r="E1072" s="13" t="s">
        <v>39</v>
      </c>
      <c r="F1072" s="13">
        <v>7</v>
      </c>
      <c r="G1072" s="13">
        <v>3</v>
      </c>
      <c r="H1072" s="13" t="s">
        <v>42</v>
      </c>
      <c r="I1072" s="13">
        <v>1</v>
      </c>
      <c r="J1072" s="13">
        <v>1507</v>
      </c>
      <c r="K1072" s="13">
        <v>3</v>
      </c>
      <c r="L1072" s="13" t="s">
        <v>63</v>
      </c>
      <c r="M1072" s="13">
        <v>55</v>
      </c>
      <c r="N1072" s="13">
        <v>3</v>
      </c>
      <c r="O1072" s="13">
        <v>2</v>
      </c>
      <c r="P1072" s="13" t="s">
        <v>46</v>
      </c>
      <c r="Q1072" s="13">
        <v>1</v>
      </c>
      <c r="R1072" s="13" t="s">
        <v>48</v>
      </c>
      <c r="S1072" s="20">
        <v>4898</v>
      </c>
      <c r="T1072" s="13">
        <v>11827</v>
      </c>
      <c r="U1072" s="13">
        <v>0</v>
      </c>
      <c r="V1072" s="13" t="s">
        <v>52</v>
      </c>
      <c r="W1072" s="13" t="s">
        <v>59</v>
      </c>
      <c r="X1072" s="13">
        <v>14</v>
      </c>
      <c r="Y1072" s="13">
        <v>3</v>
      </c>
      <c r="Z1072" s="13">
        <v>4</v>
      </c>
      <c r="AA1072" s="13">
        <v>80</v>
      </c>
      <c r="AB1072" s="13">
        <v>0</v>
      </c>
      <c r="AC1072" s="13">
        <v>5</v>
      </c>
      <c r="AD1072" s="13">
        <v>5</v>
      </c>
      <c r="AE1072" s="13">
        <v>3</v>
      </c>
      <c r="AF1072" s="14">
        <v>4</v>
      </c>
      <c r="AG1072" s="13">
        <v>2</v>
      </c>
      <c r="AH1072" s="13">
        <v>1</v>
      </c>
      <c r="AI1072" s="13">
        <v>3</v>
      </c>
      <c r="AJ1072" s="13" t="str">
        <f t="shared" si="16"/>
        <v>Under 30</v>
      </c>
      <c r="AK1072" s="13" t="str">
        <f>IF(tblCleanData[[#This Row],[MonthlyIncome]]&lt;5000, "Low Income", IF(tblCleanData[[#This Row],[MonthlyIncome]]&lt;15000, "Medium Income", "High Income"))</f>
        <v>Low Income</v>
      </c>
      <c r="AL1072" s="13">
        <f>IF(tblCleanData[[#This Row],[Attrition]]="No", 0,1)</f>
        <v>0</v>
      </c>
      <c r="AM1072" s="13">
        <f>IF(tblCleanData[[#This Row],[OverTime]] = "No", 0, 1)</f>
        <v>0</v>
      </c>
      <c r="AN1072" s="13" t="str">
        <f>CHOOSE(tblCleanData[[#This Row],[Education]], "Below College","College","Bachelor","Master","Doctor")</f>
        <v>Bachelor</v>
      </c>
      <c r="AO1072" s="13" t="str">
        <f>VLOOKUP(tblCleanData[[#This Row],[EmployeeNumber]],tblHelpers[],15,TRUE)</f>
        <v>High Risk</v>
      </c>
      <c r="AP1072" s="13">
        <f>VLOOKUP(tblCleanData[[#This Row],[EmployeeNumber]],tblHelpers[],14,0)</f>
        <v>75</v>
      </c>
    </row>
    <row r="1073" spans="1:42" x14ac:dyDescent="0.25">
      <c r="A1073" s="13">
        <v>49</v>
      </c>
      <c r="B1073" s="13" t="s">
        <v>59</v>
      </c>
      <c r="C1073" s="13" t="s">
        <v>37</v>
      </c>
      <c r="D1073" s="13">
        <v>271</v>
      </c>
      <c r="E1073" s="13" t="s">
        <v>62</v>
      </c>
      <c r="F1073" s="13">
        <v>3</v>
      </c>
      <c r="G1073" s="13">
        <v>2</v>
      </c>
      <c r="H1073" s="13" t="s">
        <v>87</v>
      </c>
      <c r="I1073" s="13">
        <v>1</v>
      </c>
      <c r="J1073" s="13">
        <v>1509</v>
      </c>
      <c r="K1073" s="13">
        <v>3</v>
      </c>
      <c r="L1073" s="13" t="s">
        <v>43</v>
      </c>
      <c r="M1073" s="13">
        <v>43</v>
      </c>
      <c r="N1073" s="13">
        <v>2</v>
      </c>
      <c r="O1073" s="13">
        <v>2</v>
      </c>
      <c r="P1073" s="13" t="s">
        <v>76</v>
      </c>
      <c r="Q1073" s="13">
        <v>1</v>
      </c>
      <c r="R1073" s="13" t="s">
        <v>66</v>
      </c>
      <c r="S1073" s="20">
        <v>4789</v>
      </c>
      <c r="T1073" s="13">
        <v>23070</v>
      </c>
      <c r="U1073" s="13">
        <v>4</v>
      </c>
      <c r="V1073" s="13" t="s">
        <v>52</v>
      </c>
      <c r="W1073" s="13" t="s">
        <v>59</v>
      </c>
      <c r="X1073" s="13">
        <v>25</v>
      </c>
      <c r="Y1073" s="13">
        <v>4</v>
      </c>
      <c r="Z1073" s="13">
        <v>1</v>
      </c>
      <c r="AA1073" s="13">
        <v>80</v>
      </c>
      <c r="AB1073" s="13">
        <v>1</v>
      </c>
      <c r="AC1073" s="13">
        <v>10</v>
      </c>
      <c r="AD1073" s="13">
        <v>3</v>
      </c>
      <c r="AE1073" s="13">
        <v>3</v>
      </c>
      <c r="AF1073" s="14">
        <v>3</v>
      </c>
      <c r="AG1073" s="13">
        <v>2</v>
      </c>
      <c r="AH1073" s="13">
        <v>1</v>
      </c>
      <c r="AI1073" s="13">
        <v>2</v>
      </c>
      <c r="AJ1073" s="13" t="str">
        <f t="shared" si="16"/>
        <v>40-49</v>
      </c>
      <c r="AK1073" s="13" t="str">
        <f>IF(tblCleanData[[#This Row],[MonthlyIncome]]&lt;5000, "Low Income", IF(tblCleanData[[#This Row],[MonthlyIncome]]&lt;15000, "Medium Income", "High Income"))</f>
        <v>Low Income</v>
      </c>
      <c r="AL1073" s="13">
        <f>IF(tblCleanData[[#This Row],[Attrition]]="No", 0,1)</f>
        <v>0</v>
      </c>
      <c r="AM1073" s="13">
        <f>IF(tblCleanData[[#This Row],[OverTime]] = "No", 0, 1)</f>
        <v>0</v>
      </c>
      <c r="AN1073" s="13" t="str">
        <f>CHOOSE(tblCleanData[[#This Row],[Education]], "Below College","College","Bachelor","Master","Doctor")</f>
        <v>College</v>
      </c>
      <c r="AO1073" s="13" t="str">
        <f>VLOOKUP(tblCleanData[[#This Row],[EmployeeNumber]],tblHelpers[],15,TRUE)</f>
        <v>High Risk</v>
      </c>
      <c r="AP1073" s="13">
        <f>VLOOKUP(tblCleanData[[#This Row],[EmployeeNumber]],tblHelpers[],14,0)</f>
        <v>55</v>
      </c>
    </row>
    <row r="1074" spans="1:42" x14ac:dyDescent="0.25">
      <c r="A1074" s="13">
        <v>29</v>
      </c>
      <c r="B1074" s="13" t="s">
        <v>59</v>
      </c>
      <c r="C1074" s="13" t="s">
        <v>60</v>
      </c>
      <c r="D1074" s="13">
        <v>410</v>
      </c>
      <c r="E1074" s="13" t="s">
        <v>62</v>
      </c>
      <c r="F1074" s="13">
        <v>2</v>
      </c>
      <c r="G1074" s="13">
        <v>1</v>
      </c>
      <c r="H1074" s="13" t="s">
        <v>42</v>
      </c>
      <c r="I1074" s="13">
        <v>1</v>
      </c>
      <c r="J1074" s="13">
        <v>1513</v>
      </c>
      <c r="K1074" s="13">
        <v>4</v>
      </c>
      <c r="L1074" s="13" t="s">
        <v>43</v>
      </c>
      <c r="M1074" s="13">
        <v>97</v>
      </c>
      <c r="N1074" s="13">
        <v>3</v>
      </c>
      <c r="O1074" s="13">
        <v>1</v>
      </c>
      <c r="P1074" s="13" t="s">
        <v>76</v>
      </c>
      <c r="Q1074" s="13">
        <v>2</v>
      </c>
      <c r="R1074" s="13" t="s">
        <v>66</v>
      </c>
      <c r="S1074" s="20">
        <v>3180</v>
      </c>
      <c r="T1074" s="13">
        <v>4668</v>
      </c>
      <c r="U1074" s="13">
        <v>0</v>
      </c>
      <c r="V1074" s="13" t="s">
        <v>52</v>
      </c>
      <c r="W1074" s="13" t="s">
        <v>59</v>
      </c>
      <c r="X1074" s="13">
        <v>13</v>
      </c>
      <c r="Y1074" s="13">
        <v>3</v>
      </c>
      <c r="Z1074" s="13">
        <v>3</v>
      </c>
      <c r="AA1074" s="13">
        <v>80</v>
      </c>
      <c r="AB1074" s="13">
        <v>3</v>
      </c>
      <c r="AC1074" s="13">
        <v>4</v>
      </c>
      <c r="AD1074" s="13">
        <v>3</v>
      </c>
      <c r="AE1074" s="13">
        <v>3</v>
      </c>
      <c r="AF1074" s="14">
        <v>3</v>
      </c>
      <c r="AG1074" s="13">
        <v>2</v>
      </c>
      <c r="AH1074" s="13">
        <v>0</v>
      </c>
      <c r="AI1074" s="13">
        <v>2</v>
      </c>
      <c r="AJ1074" s="13" t="str">
        <f t="shared" si="16"/>
        <v>Under 30</v>
      </c>
      <c r="AK1074" s="13" t="str">
        <f>IF(tblCleanData[[#This Row],[MonthlyIncome]]&lt;5000, "Low Income", IF(tblCleanData[[#This Row],[MonthlyIncome]]&lt;15000, "Medium Income", "High Income"))</f>
        <v>Low Income</v>
      </c>
      <c r="AL1074" s="13">
        <f>IF(tblCleanData[[#This Row],[Attrition]]="No", 0,1)</f>
        <v>0</v>
      </c>
      <c r="AM1074" s="13">
        <f>IF(tblCleanData[[#This Row],[OverTime]] = "No", 0, 1)</f>
        <v>0</v>
      </c>
      <c r="AN1074" s="13" t="str">
        <f>CHOOSE(tblCleanData[[#This Row],[Education]], "Below College","College","Bachelor","Master","Doctor")</f>
        <v>Below College</v>
      </c>
      <c r="AO1074" s="13" t="str">
        <f>VLOOKUP(tblCleanData[[#This Row],[EmployeeNumber]],tblHelpers[],15,TRUE)</f>
        <v>High Risk</v>
      </c>
      <c r="AP1074" s="13">
        <f>VLOOKUP(tblCleanData[[#This Row],[EmployeeNumber]],tblHelpers[],14,0)</f>
        <v>69</v>
      </c>
    </row>
    <row r="1075" spans="1:42" x14ac:dyDescent="0.25">
      <c r="A1075" s="13">
        <v>28</v>
      </c>
      <c r="B1075" s="13" t="s">
        <v>59</v>
      </c>
      <c r="C1075" s="13" t="s">
        <v>37</v>
      </c>
      <c r="D1075" s="13">
        <v>1083</v>
      </c>
      <c r="E1075" s="13" t="s">
        <v>62</v>
      </c>
      <c r="F1075" s="13">
        <v>29</v>
      </c>
      <c r="G1075" s="13">
        <v>1</v>
      </c>
      <c r="H1075" s="13" t="s">
        <v>42</v>
      </c>
      <c r="I1075" s="13">
        <v>1</v>
      </c>
      <c r="J1075" s="13">
        <v>1514</v>
      </c>
      <c r="K1075" s="13">
        <v>3</v>
      </c>
      <c r="L1075" s="13" t="s">
        <v>63</v>
      </c>
      <c r="M1075" s="13">
        <v>96</v>
      </c>
      <c r="N1075" s="13">
        <v>1</v>
      </c>
      <c r="O1075" s="13">
        <v>2</v>
      </c>
      <c r="P1075" s="13" t="s">
        <v>116</v>
      </c>
      <c r="Q1075" s="13">
        <v>2</v>
      </c>
      <c r="R1075" s="13" t="s">
        <v>66</v>
      </c>
      <c r="S1075" s="20">
        <v>6549</v>
      </c>
      <c r="T1075" s="13">
        <v>3173</v>
      </c>
      <c r="U1075" s="13">
        <v>1</v>
      </c>
      <c r="V1075" s="13" t="s">
        <v>52</v>
      </c>
      <c r="W1075" s="13" t="s">
        <v>59</v>
      </c>
      <c r="X1075" s="13">
        <v>14</v>
      </c>
      <c r="Y1075" s="13">
        <v>3</v>
      </c>
      <c r="Z1075" s="13">
        <v>2</v>
      </c>
      <c r="AA1075" s="13">
        <v>80</v>
      </c>
      <c r="AB1075" s="13">
        <v>2</v>
      </c>
      <c r="AC1075" s="13">
        <v>8</v>
      </c>
      <c r="AD1075" s="13">
        <v>2</v>
      </c>
      <c r="AE1075" s="13">
        <v>2</v>
      </c>
      <c r="AF1075" s="14">
        <v>8</v>
      </c>
      <c r="AG1075" s="13">
        <v>6</v>
      </c>
      <c r="AH1075" s="13">
        <v>1</v>
      </c>
      <c r="AI1075" s="13">
        <v>7</v>
      </c>
      <c r="AJ1075" s="13" t="str">
        <f t="shared" si="16"/>
        <v>Under 30</v>
      </c>
      <c r="AK1075" s="13" t="str">
        <f>IF(tblCleanData[[#This Row],[MonthlyIncome]]&lt;5000, "Low Income", IF(tblCleanData[[#This Row],[MonthlyIncome]]&lt;15000, "Medium Income", "High Income"))</f>
        <v>Medium Income</v>
      </c>
      <c r="AL1075" s="13">
        <f>IF(tblCleanData[[#This Row],[Attrition]]="No", 0,1)</f>
        <v>0</v>
      </c>
      <c r="AM1075" s="13">
        <f>IF(tblCleanData[[#This Row],[OverTime]] = "No", 0, 1)</f>
        <v>0</v>
      </c>
      <c r="AN1075" s="13" t="str">
        <f>CHOOSE(tblCleanData[[#This Row],[Education]], "Below College","College","Bachelor","Master","Doctor")</f>
        <v>Below College</v>
      </c>
      <c r="AO1075" s="13" t="str">
        <f>VLOOKUP(tblCleanData[[#This Row],[EmployeeNumber]],tblHelpers[],15,TRUE)</f>
        <v>High Risk</v>
      </c>
      <c r="AP1075" s="13">
        <f>VLOOKUP(tblCleanData[[#This Row],[EmployeeNumber]],tblHelpers[],14,0)</f>
        <v>62</v>
      </c>
    </row>
    <row r="1076" spans="1:42" x14ac:dyDescent="0.25">
      <c r="A1076" s="13">
        <v>33</v>
      </c>
      <c r="B1076" s="13" t="s">
        <v>59</v>
      </c>
      <c r="C1076" s="13" t="s">
        <v>37</v>
      </c>
      <c r="D1076" s="13">
        <v>516</v>
      </c>
      <c r="E1076" s="13" t="s">
        <v>62</v>
      </c>
      <c r="F1076" s="13">
        <v>8</v>
      </c>
      <c r="G1076" s="13">
        <v>5</v>
      </c>
      <c r="H1076" s="13" t="s">
        <v>42</v>
      </c>
      <c r="I1076" s="13">
        <v>1</v>
      </c>
      <c r="J1076" s="13">
        <v>1515</v>
      </c>
      <c r="K1076" s="13">
        <v>4</v>
      </c>
      <c r="L1076" s="13" t="s">
        <v>63</v>
      </c>
      <c r="M1076" s="13">
        <v>69</v>
      </c>
      <c r="N1076" s="13">
        <v>3</v>
      </c>
      <c r="O1076" s="13">
        <v>2</v>
      </c>
      <c r="P1076" s="13" t="s">
        <v>122</v>
      </c>
      <c r="Q1076" s="13">
        <v>3</v>
      </c>
      <c r="R1076" s="13" t="s">
        <v>48</v>
      </c>
      <c r="S1076" s="20">
        <v>6388</v>
      </c>
      <c r="T1076" s="13">
        <v>22049</v>
      </c>
      <c r="U1076" s="13">
        <v>2</v>
      </c>
      <c r="V1076" s="13" t="s">
        <v>52</v>
      </c>
      <c r="W1076" s="13" t="s">
        <v>36</v>
      </c>
      <c r="X1076" s="13">
        <v>17</v>
      </c>
      <c r="Y1076" s="13">
        <v>3</v>
      </c>
      <c r="Z1076" s="13">
        <v>1</v>
      </c>
      <c r="AA1076" s="13">
        <v>80</v>
      </c>
      <c r="AB1076" s="13">
        <v>0</v>
      </c>
      <c r="AC1076" s="13">
        <v>14</v>
      </c>
      <c r="AD1076" s="13">
        <v>6</v>
      </c>
      <c r="AE1076" s="13">
        <v>3</v>
      </c>
      <c r="AF1076" s="14">
        <v>0</v>
      </c>
      <c r="AG1076" s="13">
        <v>0</v>
      </c>
      <c r="AH1076" s="13">
        <v>0</v>
      </c>
      <c r="AI1076" s="13">
        <v>0</v>
      </c>
      <c r="AJ1076" s="13" t="str">
        <f t="shared" si="16"/>
        <v>30-39</v>
      </c>
      <c r="AK1076" s="13" t="str">
        <f>IF(tblCleanData[[#This Row],[MonthlyIncome]]&lt;5000, "Low Income", IF(tblCleanData[[#This Row],[MonthlyIncome]]&lt;15000, "Medium Income", "High Income"))</f>
        <v>Medium Income</v>
      </c>
      <c r="AL1076" s="13">
        <f>IF(tblCleanData[[#This Row],[Attrition]]="No", 0,1)</f>
        <v>0</v>
      </c>
      <c r="AM1076" s="13">
        <f>IF(tblCleanData[[#This Row],[OverTime]] = "No", 0, 1)</f>
        <v>1</v>
      </c>
      <c r="AN1076" s="13" t="str">
        <f>CHOOSE(tblCleanData[[#This Row],[Education]], "Below College","College","Bachelor","Master","Doctor")</f>
        <v>Doctor</v>
      </c>
      <c r="AO1076" s="13" t="str">
        <f>VLOOKUP(tblCleanData[[#This Row],[EmployeeNumber]],tblHelpers[],15,TRUE)</f>
        <v>High Risk</v>
      </c>
      <c r="AP1076" s="13">
        <f>VLOOKUP(tblCleanData[[#This Row],[EmployeeNumber]],tblHelpers[],14,0)</f>
        <v>88</v>
      </c>
    </row>
    <row r="1077" spans="1:42" x14ac:dyDescent="0.25">
      <c r="A1077" s="13">
        <v>32</v>
      </c>
      <c r="B1077" s="13" t="s">
        <v>59</v>
      </c>
      <c r="C1077" s="13" t="s">
        <v>37</v>
      </c>
      <c r="D1077" s="13">
        <v>495</v>
      </c>
      <c r="E1077" s="13" t="s">
        <v>62</v>
      </c>
      <c r="F1077" s="13">
        <v>10</v>
      </c>
      <c r="G1077" s="13">
        <v>3</v>
      </c>
      <c r="H1077" s="13" t="s">
        <v>87</v>
      </c>
      <c r="I1077" s="13">
        <v>1</v>
      </c>
      <c r="J1077" s="13">
        <v>1516</v>
      </c>
      <c r="K1077" s="13">
        <v>3</v>
      </c>
      <c r="L1077" s="13" t="s">
        <v>63</v>
      </c>
      <c r="M1077" s="13">
        <v>64</v>
      </c>
      <c r="N1077" s="13">
        <v>3</v>
      </c>
      <c r="O1077" s="13">
        <v>3</v>
      </c>
      <c r="P1077" s="13" t="s">
        <v>169</v>
      </c>
      <c r="Q1077" s="13">
        <v>4</v>
      </c>
      <c r="R1077" s="13" t="s">
        <v>48</v>
      </c>
      <c r="S1077" s="20">
        <v>11244</v>
      </c>
      <c r="T1077" s="13">
        <v>21072</v>
      </c>
      <c r="U1077" s="13">
        <v>2</v>
      </c>
      <c r="V1077" s="13" t="s">
        <v>52</v>
      </c>
      <c r="W1077" s="13" t="s">
        <v>59</v>
      </c>
      <c r="X1077" s="13">
        <v>25</v>
      </c>
      <c r="Y1077" s="13">
        <v>4</v>
      </c>
      <c r="Z1077" s="13">
        <v>2</v>
      </c>
      <c r="AA1077" s="13">
        <v>80</v>
      </c>
      <c r="AB1077" s="13">
        <v>0</v>
      </c>
      <c r="AC1077" s="13">
        <v>10</v>
      </c>
      <c r="AD1077" s="13">
        <v>5</v>
      </c>
      <c r="AE1077" s="13">
        <v>4</v>
      </c>
      <c r="AF1077" s="14">
        <v>5</v>
      </c>
      <c r="AG1077" s="13">
        <v>2</v>
      </c>
      <c r="AH1077" s="13">
        <v>0</v>
      </c>
      <c r="AI1077" s="13">
        <v>0</v>
      </c>
      <c r="AJ1077" s="13" t="str">
        <f t="shared" si="16"/>
        <v>30-39</v>
      </c>
      <c r="AK1077" s="13" t="str">
        <f>IF(tblCleanData[[#This Row],[MonthlyIncome]]&lt;5000, "Low Income", IF(tblCleanData[[#This Row],[MonthlyIncome]]&lt;15000, "Medium Income", "High Income"))</f>
        <v>Medium Income</v>
      </c>
      <c r="AL1077" s="13">
        <f>IF(tblCleanData[[#This Row],[Attrition]]="No", 0,1)</f>
        <v>0</v>
      </c>
      <c r="AM1077" s="13">
        <f>IF(tblCleanData[[#This Row],[OverTime]] = "No", 0, 1)</f>
        <v>0</v>
      </c>
      <c r="AN1077" s="13" t="str">
        <f>CHOOSE(tblCleanData[[#This Row],[Education]], "Below College","College","Bachelor","Master","Doctor")</f>
        <v>Bachelor</v>
      </c>
      <c r="AO1077" s="13" t="str">
        <f>VLOOKUP(tblCleanData[[#This Row],[EmployeeNumber]],tblHelpers[],15,TRUE)</f>
        <v>Medium Risk</v>
      </c>
      <c r="AP1077" s="13">
        <f>VLOOKUP(tblCleanData[[#This Row],[EmployeeNumber]],tblHelpers[],14,0)</f>
        <v>46</v>
      </c>
    </row>
    <row r="1078" spans="1:42" x14ac:dyDescent="0.25">
      <c r="A1078" s="13">
        <v>54</v>
      </c>
      <c r="B1078" s="13" t="s">
        <v>59</v>
      </c>
      <c r="C1078" s="13" t="s">
        <v>60</v>
      </c>
      <c r="D1078" s="13">
        <v>1050</v>
      </c>
      <c r="E1078" s="13" t="s">
        <v>62</v>
      </c>
      <c r="F1078" s="13">
        <v>11</v>
      </c>
      <c r="G1078" s="13">
        <v>4</v>
      </c>
      <c r="H1078" s="13" t="s">
        <v>87</v>
      </c>
      <c r="I1078" s="13">
        <v>1</v>
      </c>
      <c r="J1078" s="13">
        <v>1520</v>
      </c>
      <c r="K1078" s="13">
        <v>2</v>
      </c>
      <c r="L1078" s="13" t="s">
        <v>43</v>
      </c>
      <c r="M1078" s="13">
        <v>87</v>
      </c>
      <c r="N1078" s="13">
        <v>3</v>
      </c>
      <c r="O1078" s="13">
        <v>4</v>
      </c>
      <c r="P1078" s="13" t="s">
        <v>169</v>
      </c>
      <c r="Q1078" s="13">
        <v>4</v>
      </c>
      <c r="R1078" s="13" t="s">
        <v>109</v>
      </c>
      <c r="S1078" s="20">
        <v>16032</v>
      </c>
      <c r="T1078" s="13">
        <v>24456</v>
      </c>
      <c r="U1078" s="13">
        <v>3</v>
      </c>
      <c r="V1078" s="13" t="s">
        <v>52</v>
      </c>
      <c r="W1078" s="13" t="s">
        <v>59</v>
      </c>
      <c r="X1078" s="13">
        <v>20</v>
      </c>
      <c r="Y1078" s="13">
        <v>4</v>
      </c>
      <c r="Z1078" s="13">
        <v>1</v>
      </c>
      <c r="AA1078" s="13">
        <v>80</v>
      </c>
      <c r="AB1078" s="13">
        <v>1</v>
      </c>
      <c r="AC1078" s="13">
        <v>26</v>
      </c>
      <c r="AD1078" s="13">
        <v>2</v>
      </c>
      <c r="AE1078" s="13">
        <v>3</v>
      </c>
      <c r="AF1078" s="14">
        <v>14</v>
      </c>
      <c r="AG1078" s="13">
        <v>9</v>
      </c>
      <c r="AH1078" s="13">
        <v>1</v>
      </c>
      <c r="AI1078" s="13">
        <v>12</v>
      </c>
      <c r="AJ1078" s="13" t="str">
        <f t="shared" si="16"/>
        <v>50+</v>
      </c>
      <c r="AK1078" s="13" t="str">
        <f>IF(tblCleanData[[#This Row],[MonthlyIncome]]&lt;5000, "Low Income", IF(tblCleanData[[#This Row],[MonthlyIncome]]&lt;15000, "Medium Income", "High Income"))</f>
        <v>High Income</v>
      </c>
      <c r="AL1078" s="13">
        <f>IF(tblCleanData[[#This Row],[Attrition]]="No", 0,1)</f>
        <v>0</v>
      </c>
      <c r="AM1078" s="13">
        <f>IF(tblCleanData[[#This Row],[OverTime]] = "No", 0, 1)</f>
        <v>0</v>
      </c>
      <c r="AN1078" s="13" t="str">
        <f>CHOOSE(tblCleanData[[#This Row],[Education]], "Below College","College","Bachelor","Master","Doctor")</f>
        <v>Master</v>
      </c>
      <c r="AO1078" s="13" t="str">
        <f>VLOOKUP(tblCleanData[[#This Row],[EmployeeNumber]],tblHelpers[],15,TRUE)</f>
        <v>Low Risk</v>
      </c>
      <c r="AP1078" s="13">
        <f>VLOOKUP(tblCleanData[[#This Row],[EmployeeNumber]],tblHelpers[],14,0)</f>
        <v>29</v>
      </c>
    </row>
    <row r="1079" spans="1:42" x14ac:dyDescent="0.25">
      <c r="A1079" s="13">
        <v>29</v>
      </c>
      <c r="B1079" s="13" t="s">
        <v>36</v>
      </c>
      <c r="C1079" s="13" t="s">
        <v>37</v>
      </c>
      <c r="D1079" s="13">
        <v>224</v>
      </c>
      <c r="E1079" s="13" t="s">
        <v>62</v>
      </c>
      <c r="F1079" s="13">
        <v>1</v>
      </c>
      <c r="G1079" s="13">
        <v>4</v>
      </c>
      <c r="H1079" s="13" t="s">
        <v>228</v>
      </c>
      <c r="I1079" s="13">
        <v>1</v>
      </c>
      <c r="J1079" s="13">
        <v>1522</v>
      </c>
      <c r="K1079" s="13">
        <v>1</v>
      </c>
      <c r="L1079" s="13" t="s">
        <v>63</v>
      </c>
      <c r="M1079" s="13">
        <v>100</v>
      </c>
      <c r="N1079" s="13">
        <v>2</v>
      </c>
      <c r="O1079" s="13">
        <v>1</v>
      </c>
      <c r="P1079" s="13" t="s">
        <v>65</v>
      </c>
      <c r="Q1079" s="13">
        <v>1</v>
      </c>
      <c r="R1079" s="13" t="s">
        <v>48</v>
      </c>
      <c r="S1079" s="20">
        <v>2362</v>
      </c>
      <c r="T1079" s="13">
        <v>7568</v>
      </c>
      <c r="U1079" s="13">
        <v>6</v>
      </c>
      <c r="V1079" s="13" t="s">
        <v>52</v>
      </c>
      <c r="W1079" s="13" t="s">
        <v>59</v>
      </c>
      <c r="X1079" s="13">
        <v>13</v>
      </c>
      <c r="Y1079" s="13">
        <v>3</v>
      </c>
      <c r="Z1079" s="13">
        <v>3</v>
      </c>
      <c r="AA1079" s="13">
        <v>80</v>
      </c>
      <c r="AB1079" s="13">
        <v>0</v>
      </c>
      <c r="AC1079" s="13">
        <v>11</v>
      </c>
      <c r="AD1079" s="13">
        <v>2</v>
      </c>
      <c r="AE1079" s="13">
        <v>1</v>
      </c>
      <c r="AF1079" s="14">
        <v>9</v>
      </c>
      <c r="AG1079" s="13">
        <v>7</v>
      </c>
      <c r="AH1079" s="13">
        <v>0</v>
      </c>
      <c r="AI1079" s="13">
        <v>7</v>
      </c>
      <c r="AJ1079" s="13" t="str">
        <f t="shared" si="16"/>
        <v>Under 30</v>
      </c>
      <c r="AK1079" s="13" t="str">
        <f>IF(tblCleanData[[#This Row],[MonthlyIncome]]&lt;5000, "Low Income", IF(tblCleanData[[#This Row],[MonthlyIncome]]&lt;15000, "Medium Income", "High Income"))</f>
        <v>Low Income</v>
      </c>
      <c r="AL1079" s="13">
        <f>IF(tblCleanData[[#This Row],[Attrition]]="No", 0,1)</f>
        <v>1</v>
      </c>
      <c r="AM1079" s="13">
        <f>IF(tblCleanData[[#This Row],[OverTime]] = "No", 0, 1)</f>
        <v>0</v>
      </c>
      <c r="AN1079" s="13" t="str">
        <f>CHOOSE(tblCleanData[[#This Row],[Education]], "Below College","College","Bachelor","Master","Doctor")</f>
        <v>Master</v>
      </c>
      <c r="AO1079" s="13" t="str">
        <f>VLOOKUP(tblCleanData[[#This Row],[EmployeeNumber]],tblHelpers[],15,TRUE)</f>
        <v>High Risk</v>
      </c>
      <c r="AP1079" s="13">
        <f>VLOOKUP(tblCleanData[[#This Row],[EmployeeNumber]],tblHelpers[],14,0)</f>
        <v>68</v>
      </c>
    </row>
    <row r="1080" spans="1:42" x14ac:dyDescent="0.25">
      <c r="A1080" s="13">
        <v>44</v>
      </c>
      <c r="B1080" s="13" t="s">
        <v>59</v>
      </c>
      <c r="C1080" s="13" t="s">
        <v>37</v>
      </c>
      <c r="D1080" s="13">
        <v>136</v>
      </c>
      <c r="E1080" s="13" t="s">
        <v>62</v>
      </c>
      <c r="F1080" s="13">
        <v>28</v>
      </c>
      <c r="G1080" s="13">
        <v>3</v>
      </c>
      <c r="H1080" s="13" t="s">
        <v>42</v>
      </c>
      <c r="I1080" s="13">
        <v>1</v>
      </c>
      <c r="J1080" s="13">
        <v>1523</v>
      </c>
      <c r="K1080" s="13">
        <v>4</v>
      </c>
      <c r="L1080" s="13" t="s">
        <v>63</v>
      </c>
      <c r="M1080" s="13">
        <v>32</v>
      </c>
      <c r="N1080" s="13">
        <v>3</v>
      </c>
      <c r="O1080" s="13">
        <v>4</v>
      </c>
      <c r="P1080" s="13" t="s">
        <v>186</v>
      </c>
      <c r="Q1080" s="13">
        <v>1</v>
      </c>
      <c r="R1080" s="13" t="s">
        <v>66</v>
      </c>
      <c r="S1080" s="20">
        <v>16328</v>
      </c>
      <c r="T1080" s="13">
        <v>22074</v>
      </c>
      <c r="U1080" s="13">
        <v>3</v>
      </c>
      <c r="V1080" s="13" t="s">
        <v>52</v>
      </c>
      <c r="W1080" s="13" t="s">
        <v>59</v>
      </c>
      <c r="X1080" s="13">
        <v>13</v>
      </c>
      <c r="Y1080" s="13">
        <v>3</v>
      </c>
      <c r="Z1080" s="13">
        <v>3</v>
      </c>
      <c r="AA1080" s="13">
        <v>80</v>
      </c>
      <c r="AB1080" s="13">
        <v>1</v>
      </c>
      <c r="AC1080" s="13">
        <v>24</v>
      </c>
      <c r="AD1080" s="13">
        <v>1</v>
      </c>
      <c r="AE1080" s="13">
        <v>4</v>
      </c>
      <c r="AF1080" s="14">
        <v>20</v>
      </c>
      <c r="AG1080" s="13">
        <v>6</v>
      </c>
      <c r="AH1080" s="13">
        <v>14</v>
      </c>
      <c r="AI1080" s="13">
        <v>17</v>
      </c>
      <c r="AJ1080" s="13" t="str">
        <f t="shared" si="16"/>
        <v>40-49</v>
      </c>
      <c r="AK1080" s="13" t="str">
        <f>IF(tblCleanData[[#This Row],[MonthlyIncome]]&lt;5000, "Low Income", IF(tblCleanData[[#This Row],[MonthlyIncome]]&lt;15000, "Medium Income", "High Income"))</f>
        <v>High Income</v>
      </c>
      <c r="AL1080" s="13">
        <f>IF(tblCleanData[[#This Row],[Attrition]]="No", 0,1)</f>
        <v>0</v>
      </c>
      <c r="AM1080" s="13">
        <f>IF(tblCleanData[[#This Row],[OverTime]] = "No", 0, 1)</f>
        <v>0</v>
      </c>
      <c r="AN1080" s="13" t="str">
        <f>CHOOSE(tblCleanData[[#This Row],[Education]], "Below College","College","Bachelor","Master","Doctor")</f>
        <v>Bachelor</v>
      </c>
      <c r="AO1080" s="13" t="str">
        <f>VLOOKUP(tblCleanData[[#This Row],[EmployeeNumber]],tblHelpers[],15,TRUE)</f>
        <v>Medium Risk</v>
      </c>
      <c r="AP1080" s="13">
        <f>VLOOKUP(tblCleanData[[#This Row],[EmployeeNumber]],tblHelpers[],14,0)</f>
        <v>43</v>
      </c>
    </row>
    <row r="1081" spans="1:42" x14ac:dyDescent="0.25">
      <c r="A1081" s="13">
        <v>39</v>
      </c>
      <c r="B1081" s="13" t="s">
        <v>59</v>
      </c>
      <c r="C1081" s="13" t="s">
        <v>37</v>
      </c>
      <c r="D1081" s="13">
        <v>1089</v>
      </c>
      <c r="E1081" s="13" t="s">
        <v>62</v>
      </c>
      <c r="F1081" s="13">
        <v>6</v>
      </c>
      <c r="G1081" s="13">
        <v>3</v>
      </c>
      <c r="H1081" s="13" t="s">
        <v>42</v>
      </c>
      <c r="I1081" s="13">
        <v>1</v>
      </c>
      <c r="J1081" s="13">
        <v>1525</v>
      </c>
      <c r="K1081" s="13">
        <v>2</v>
      </c>
      <c r="L1081" s="13" t="s">
        <v>43</v>
      </c>
      <c r="M1081" s="13">
        <v>32</v>
      </c>
      <c r="N1081" s="13">
        <v>3</v>
      </c>
      <c r="O1081" s="13">
        <v>3</v>
      </c>
      <c r="P1081" s="13" t="s">
        <v>116</v>
      </c>
      <c r="Q1081" s="13">
        <v>2</v>
      </c>
      <c r="R1081" s="13" t="s">
        <v>48</v>
      </c>
      <c r="S1081" s="20">
        <v>8376</v>
      </c>
      <c r="T1081" s="13">
        <v>9150</v>
      </c>
      <c r="U1081" s="13">
        <v>4</v>
      </c>
      <c r="V1081" s="13" t="s">
        <v>52</v>
      </c>
      <c r="W1081" s="13" t="s">
        <v>59</v>
      </c>
      <c r="X1081" s="13">
        <v>18</v>
      </c>
      <c r="Y1081" s="13">
        <v>3</v>
      </c>
      <c r="Z1081" s="13">
        <v>4</v>
      </c>
      <c r="AA1081" s="13">
        <v>80</v>
      </c>
      <c r="AB1081" s="13">
        <v>0</v>
      </c>
      <c r="AC1081" s="13">
        <v>9</v>
      </c>
      <c r="AD1081" s="13">
        <v>3</v>
      </c>
      <c r="AE1081" s="13">
        <v>3</v>
      </c>
      <c r="AF1081" s="14">
        <v>2</v>
      </c>
      <c r="AG1081" s="13">
        <v>0</v>
      </c>
      <c r="AH1081" s="13">
        <v>2</v>
      </c>
      <c r="AI1081" s="13">
        <v>2</v>
      </c>
      <c r="AJ1081" s="13" t="str">
        <f t="shared" si="16"/>
        <v>30-39</v>
      </c>
      <c r="AK1081" s="13" t="str">
        <f>IF(tblCleanData[[#This Row],[MonthlyIncome]]&lt;5000, "Low Income", IF(tblCleanData[[#This Row],[MonthlyIncome]]&lt;15000, "Medium Income", "High Income"))</f>
        <v>Medium Income</v>
      </c>
      <c r="AL1081" s="13">
        <f>IF(tblCleanData[[#This Row],[Attrition]]="No", 0,1)</f>
        <v>0</v>
      </c>
      <c r="AM1081" s="13">
        <f>IF(tblCleanData[[#This Row],[OverTime]] = "No", 0, 1)</f>
        <v>0</v>
      </c>
      <c r="AN1081" s="13" t="str">
        <f>CHOOSE(tblCleanData[[#This Row],[Education]], "Below College","College","Bachelor","Master","Doctor")</f>
        <v>Bachelor</v>
      </c>
      <c r="AO1081" s="13" t="str">
        <f>VLOOKUP(tblCleanData[[#This Row],[EmployeeNumber]],tblHelpers[],15,TRUE)</f>
        <v>High Risk</v>
      </c>
      <c r="AP1081" s="13">
        <f>VLOOKUP(tblCleanData[[#This Row],[EmployeeNumber]],tblHelpers[],14,0)</f>
        <v>69</v>
      </c>
    </row>
    <row r="1082" spans="1:42" x14ac:dyDescent="0.25">
      <c r="A1082" s="13">
        <v>46</v>
      </c>
      <c r="B1082" s="13" t="s">
        <v>59</v>
      </c>
      <c r="C1082" s="13" t="s">
        <v>37</v>
      </c>
      <c r="D1082" s="13">
        <v>228</v>
      </c>
      <c r="E1082" s="13" t="s">
        <v>39</v>
      </c>
      <c r="F1082" s="13">
        <v>3</v>
      </c>
      <c r="G1082" s="13">
        <v>3</v>
      </c>
      <c r="H1082" s="13" t="s">
        <v>42</v>
      </c>
      <c r="I1082" s="13">
        <v>1</v>
      </c>
      <c r="J1082" s="13">
        <v>1527</v>
      </c>
      <c r="K1082" s="13">
        <v>3</v>
      </c>
      <c r="L1082" s="13" t="s">
        <v>43</v>
      </c>
      <c r="M1082" s="13">
        <v>51</v>
      </c>
      <c r="N1082" s="13">
        <v>3</v>
      </c>
      <c r="O1082" s="13">
        <v>4</v>
      </c>
      <c r="P1082" s="13" t="s">
        <v>169</v>
      </c>
      <c r="Q1082" s="13">
        <v>2</v>
      </c>
      <c r="R1082" s="13" t="s">
        <v>66</v>
      </c>
      <c r="S1082" s="20">
        <v>16606</v>
      </c>
      <c r="T1082" s="13">
        <v>11380</v>
      </c>
      <c r="U1082" s="13">
        <v>8</v>
      </c>
      <c r="V1082" s="13" t="s">
        <v>52</v>
      </c>
      <c r="W1082" s="13" t="s">
        <v>59</v>
      </c>
      <c r="X1082" s="13">
        <v>12</v>
      </c>
      <c r="Y1082" s="13">
        <v>3</v>
      </c>
      <c r="Z1082" s="13">
        <v>4</v>
      </c>
      <c r="AA1082" s="13">
        <v>80</v>
      </c>
      <c r="AB1082" s="13">
        <v>1</v>
      </c>
      <c r="AC1082" s="13">
        <v>23</v>
      </c>
      <c r="AD1082" s="13">
        <v>2</v>
      </c>
      <c r="AE1082" s="13">
        <v>4</v>
      </c>
      <c r="AF1082" s="14">
        <v>13</v>
      </c>
      <c r="AG1082" s="13">
        <v>12</v>
      </c>
      <c r="AH1082" s="13">
        <v>5</v>
      </c>
      <c r="AI1082" s="13">
        <v>1</v>
      </c>
      <c r="AJ1082" s="13" t="str">
        <f t="shared" si="16"/>
        <v>40-49</v>
      </c>
      <c r="AK1082" s="13" t="str">
        <f>IF(tblCleanData[[#This Row],[MonthlyIncome]]&lt;5000, "Low Income", IF(tblCleanData[[#This Row],[MonthlyIncome]]&lt;15000, "Medium Income", "High Income"))</f>
        <v>High Income</v>
      </c>
      <c r="AL1082" s="13">
        <f>IF(tblCleanData[[#This Row],[Attrition]]="No", 0,1)</f>
        <v>0</v>
      </c>
      <c r="AM1082" s="13">
        <f>IF(tblCleanData[[#This Row],[OverTime]] = "No", 0, 1)</f>
        <v>0</v>
      </c>
      <c r="AN1082" s="13" t="str">
        <f>CHOOSE(tblCleanData[[#This Row],[Education]], "Below College","College","Bachelor","Master","Doctor")</f>
        <v>Bachelor</v>
      </c>
      <c r="AO1082" s="13" t="str">
        <f>VLOOKUP(tblCleanData[[#This Row],[EmployeeNumber]],tblHelpers[],15,TRUE)</f>
        <v>Medium Risk</v>
      </c>
      <c r="AP1082" s="13">
        <f>VLOOKUP(tblCleanData[[#This Row],[EmployeeNumber]],tblHelpers[],14,0)</f>
        <v>37</v>
      </c>
    </row>
    <row r="1083" spans="1:42" x14ac:dyDescent="0.25">
      <c r="A1083" s="13">
        <v>35</v>
      </c>
      <c r="B1083" s="13" t="s">
        <v>59</v>
      </c>
      <c r="C1083" s="13" t="s">
        <v>37</v>
      </c>
      <c r="D1083" s="13">
        <v>1029</v>
      </c>
      <c r="E1083" s="13" t="s">
        <v>62</v>
      </c>
      <c r="F1083" s="13">
        <v>16</v>
      </c>
      <c r="G1083" s="13">
        <v>3</v>
      </c>
      <c r="H1083" s="13" t="s">
        <v>42</v>
      </c>
      <c r="I1083" s="13">
        <v>1</v>
      </c>
      <c r="J1083" s="13">
        <v>1529</v>
      </c>
      <c r="K1083" s="13">
        <v>4</v>
      </c>
      <c r="L1083" s="13" t="s">
        <v>43</v>
      </c>
      <c r="M1083" s="13">
        <v>91</v>
      </c>
      <c r="N1083" s="13">
        <v>2</v>
      </c>
      <c r="O1083" s="13">
        <v>3</v>
      </c>
      <c r="P1083" s="13" t="s">
        <v>122</v>
      </c>
      <c r="Q1083" s="13">
        <v>2</v>
      </c>
      <c r="R1083" s="13" t="s">
        <v>48</v>
      </c>
      <c r="S1083" s="20">
        <v>8606</v>
      </c>
      <c r="T1083" s="13">
        <v>21195</v>
      </c>
      <c r="U1083" s="13">
        <v>1</v>
      </c>
      <c r="V1083" s="13" t="s">
        <v>52</v>
      </c>
      <c r="W1083" s="13" t="s">
        <v>59</v>
      </c>
      <c r="X1083" s="13">
        <v>19</v>
      </c>
      <c r="Y1083" s="13">
        <v>3</v>
      </c>
      <c r="Z1083" s="13">
        <v>4</v>
      </c>
      <c r="AA1083" s="13">
        <v>80</v>
      </c>
      <c r="AB1083" s="13">
        <v>0</v>
      </c>
      <c r="AC1083" s="13">
        <v>11</v>
      </c>
      <c r="AD1083" s="13">
        <v>3</v>
      </c>
      <c r="AE1083" s="13">
        <v>1</v>
      </c>
      <c r="AF1083" s="14">
        <v>11</v>
      </c>
      <c r="AG1083" s="13">
        <v>8</v>
      </c>
      <c r="AH1083" s="13">
        <v>3</v>
      </c>
      <c r="AI1083" s="13">
        <v>3</v>
      </c>
      <c r="AJ1083" s="13" t="str">
        <f t="shared" si="16"/>
        <v>30-39</v>
      </c>
      <c r="AK1083" s="13" t="str">
        <f>IF(tblCleanData[[#This Row],[MonthlyIncome]]&lt;5000, "Low Income", IF(tblCleanData[[#This Row],[MonthlyIncome]]&lt;15000, "Medium Income", "High Income"))</f>
        <v>Medium Income</v>
      </c>
      <c r="AL1083" s="13">
        <f>IF(tblCleanData[[#This Row],[Attrition]]="No", 0,1)</f>
        <v>0</v>
      </c>
      <c r="AM1083" s="13">
        <f>IF(tblCleanData[[#This Row],[OverTime]] = "No", 0, 1)</f>
        <v>0</v>
      </c>
      <c r="AN1083" s="13" t="str">
        <f>CHOOSE(tblCleanData[[#This Row],[Education]], "Below College","College","Bachelor","Master","Doctor")</f>
        <v>Bachelor</v>
      </c>
      <c r="AO1083" s="13" t="str">
        <f>VLOOKUP(tblCleanData[[#This Row],[EmployeeNumber]],tblHelpers[],15,TRUE)</f>
        <v>Medium Risk</v>
      </c>
      <c r="AP1083" s="13">
        <f>VLOOKUP(tblCleanData[[#This Row],[EmployeeNumber]],tblHelpers[],14,0)</f>
        <v>47</v>
      </c>
    </row>
    <row r="1084" spans="1:42" x14ac:dyDescent="0.25">
      <c r="A1084" s="13">
        <v>23</v>
      </c>
      <c r="B1084" s="13" t="s">
        <v>59</v>
      </c>
      <c r="C1084" s="13" t="s">
        <v>37</v>
      </c>
      <c r="D1084" s="13">
        <v>507</v>
      </c>
      <c r="E1084" s="13" t="s">
        <v>62</v>
      </c>
      <c r="F1084" s="13">
        <v>20</v>
      </c>
      <c r="G1084" s="13">
        <v>1</v>
      </c>
      <c r="H1084" s="13" t="s">
        <v>42</v>
      </c>
      <c r="I1084" s="13">
        <v>1</v>
      </c>
      <c r="J1084" s="13">
        <v>1533</v>
      </c>
      <c r="K1084" s="13">
        <v>1</v>
      </c>
      <c r="L1084" s="13" t="s">
        <v>63</v>
      </c>
      <c r="M1084" s="13">
        <v>97</v>
      </c>
      <c r="N1084" s="13">
        <v>3</v>
      </c>
      <c r="O1084" s="13">
        <v>2</v>
      </c>
      <c r="P1084" s="13" t="s">
        <v>76</v>
      </c>
      <c r="Q1084" s="13">
        <v>3</v>
      </c>
      <c r="R1084" s="13" t="s">
        <v>48</v>
      </c>
      <c r="S1084" s="20">
        <v>2272</v>
      </c>
      <c r="T1084" s="13">
        <v>24812</v>
      </c>
      <c r="U1084" s="13">
        <v>0</v>
      </c>
      <c r="V1084" s="13" t="s">
        <v>52</v>
      </c>
      <c r="W1084" s="13" t="s">
        <v>59</v>
      </c>
      <c r="X1084" s="13">
        <v>14</v>
      </c>
      <c r="Y1084" s="13">
        <v>3</v>
      </c>
      <c r="Z1084" s="13">
        <v>2</v>
      </c>
      <c r="AA1084" s="13">
        <v>80</v>
      </c>
      <c r="AB1084" s="13">
        <v>0</v>
      </c>
      <c r="AC1084" s="13">
        <v>5</v>
      </c>
      <c r="AD1084" s="13">
        <v>2</v>
      </c>
      <c r="AE1084" s="13">
        <v>3</v>
      </c>
      <c r="AF1084" s="14">
        <v>4</v>
      </c>
      <c r="AG1084" s="13">
        <v>3</v>
      </c>
      <c r="AH1084" s="13">
        <v>1</v>
      </c>
      <c r="AI1084" s="13">
        <v>2</v>
      </c>
      <c r="AJ1084" s="13" t="str">
        <f t="shared" si="16"/>
        <v>Under 30</v>
      </c>
      <c r="AK1084" s="13" t="str">
        <f>IF(tblCleanData[[#This Row],[MonthlyIncome]]&lt;5000, "Low Income", IF(tblCleanData[[#This Row],[MonthlyIncome]]&lt;15000, "Medium Income", "High Income"))</f>
        <v>Low Income</v>
      </c>
      <c r="AL1084" s="13">
        <f>IF(tblCleanData[[#This Row],[Attrition]]="No", 0,1)</f>
        <v>0</v>
      </c>
      <c r="AM1084" s="13">
        <f>IF(tblCleanData[[#This Row],[OverTime]] = "No", 0, 1)</f>
        <v>0</v>
      </c>
      <c r="AN1084" s="13" t="str">
        <f>CHOOSE(tblCleanData[[#This Row],[Education]], "Below College","College","Bachelor","Master","Doctor")</f>
        <v>Below College</v>
      </c>
      <c r="AO1084" s="13" t="str">
        <f>VLOOKUP(tblCleanData[[#This Row],[EmployeeNumber]],tblHelpers[],15,TRUE)</f>
        <v>High Risk</v>
      </c>
      <c r="AP1084" s="13">
        <f>VLOOKUP(tblCleanData[[#This Row],[EmployeeNumber]],tblHelpers[],14,0)</f>
        <v>63</v>
      </c>
    </row>
    <row r="1085" spans="1:42" x14ac:dyDescent="0.25">
      <c r="A1085" s="13">
        <v>40</v>
      </c>
      <c r="B1085" s="13" t="s">
        <v>36</v>
      </c>
      <c r="C1085" s="13" t="s">
        <v>37</v>
      </c>
      <c r="D1085" s="13">
        <v>676</v>
      </c>
      <c r="E1085" s="13" t="s">
        <v>62</v>
      </c>
      <c r="F1085" s="13">
        <v>9</v>
      </c>
      <c r="G1085" s="13">
        <v>4</v>
      </c>
      <c r="H1085" s="13" t="s">
        <v>42</v>
      </c>
      <c r="I1085" s="13">
        <v>1</v>
      </c>
      <c r="J1085" s="13">
        <v>1534</v>
      </c>
      <c r="K1085" s="13">
        <v>4</v>
      </c>
      <c r="L1085" s="13" t="s">
        <v>63</v>
      </c>
      <c r="M1085" s="13">
        <v>86</v>
      </c>
      <c r="N1085" s="13">
        <v>3</v>
      </c>
      <c r="O1085" s="13">
        <v>1</v>
      </c>
      <c r="P1085" s="13" t="s">
        <v>76</v>
      </c>
      <c r="Q1085" s="13">
        <v>1</v>
      </c>
      <c r="R1085" s="13" t="s">
        <v>48</v>
      </c>
      <c r="S1085" s="20">
        <v>2018</v>
      </c>
      <c r="T1085" s="13">
        <v>21831</v>
      </c>
      <c r="U1085" s="13">
        <v>3</v>
      </c>
      <c r="V1085" s="13" t="s">
        <v>52</v>
      </c>
      <c r="W1085" s="13" t="s">
        <v>59</v>
      </c>
      <c r="X1085" s="13">
        <v>14</v>
      </c>
      <c r="Y1085" s="13">
        <v>3</v>
      </c>
      <c r="Z1085" s="13">
        <v>2</v>
      </c>
      <c r="AA1085" s="13">
        <v>80</v>
      </c>
      <c r="AB1085" s="13">
        <v>0</v>
      </c>
      <c r="AC1085" s="13">
        <v>15</v>
      </c>
      <c r="AD1085" s="13">
        <v>3</v>
      </c>
      <c r="AE1085" s="13">
        <v>1</v>
      </c>
      <c r="AF1085" s="14">
        <v>5</v>
      </c>
      <c r="AG1085" s="13">
        <v>4</v>
      </c>
      <c r="AH1085" s="13">
        <v>1</v>
      </c>
      <c r="AI1085" s="13">
        <v>0</v>
      </c>
      <c r="AJ1085" s="13" t="str">
        <f t="shared" si="16"/>
        <v>40-49</v>
      </c>
      <c r="AK1085" s="13" t="str">
        <f>IF(tblCleanData[[#This Row],[MonthlyIncome]]&lt;5000, "Low Income", IF(tblCleanData[[#This Row],[MonthlyIncome]]&lt;15000, "Medium Income", "High Income"))</f>
        <v>Low Income</v>
      </c>
      <c r="AL1085" s="13">
        <f>IF(tblCleanData[[#This Row],[Attrition]]="No", 0,1)</f>
        <v>1</v>
      </c>
      <c r="AM1085" s="13">
        <f>IF(tblCleanData[[#This Row],[OverTime]] = "No", 0, 1)</f>
        <v>0</v>
      </c>
      <c r="AN1085" s="13" t="str">
        <f>CHOOSE(tblCleanData[[#This Row],[Education]], "Below College","College","Bachelor","Master","Doctor")</f>
        <v>Master</v>
      </c>
      <c r="AO1085" s="13" t="str">
        <f>VLOOKUP(tblCleanData[[#This Row],[EmployeeNumber]],tblHelpers[],15,TRUE)</f>
        <v>High Risk</v>
      </c>
      <c r="AP1085" s="13">
        <f>VLOOKUP(tblCleanData[[#This Row],[EmployeeNumber]],tblHelpers[],14,0)</f>
        <v>55</v>
      </c>
    </row>
    <row r="1086" spans="1:42" x14ac:dyDescent="0.25">
      <c r="A1086" s="13">
        <v>34</v>
      </c>
      <c r="B1086" s="13" t="s">
        <v>59</v>
      </c>
      <c r="C1086" s="13" t="s">
        <v>37</v>
      </c>
      <c r="D1086" s="13">
        <v>971</v>
      </c>
      <c r="E1086" s="13" t="s">
        <v>39</v>
      </c>
      <c r="F1086" s="13">
        <v>1</v>
      </c>
      <c r="G1086" s="13">
        <v>3</v>
      </c>
      <c r="H1086" s="13" t="s">
        <v>228</v>
      </c>
      <c r="I1086" s="13">
        <v>1</v>
      </c>
      <c r="J1086" s="13">
        <v>1535</v>
      </c>
      <c r="K1086" s="13">
        <v>4</v>
      </c>
      <c r="L1086" s="13" t="s">
        <v>63</v>
      </c>
      <c r="M1086" s="13">
        <v>64</v>
      </c>
      <c r="N1086" s="13">
        <v>2</v>
      </c>
      <c r="O1086" s="13">
        <v>3</v>
      </c>
      <c r="P1086" s="13" t="s">
        <v>46</v>
      </c>
      <c r="Q1086" s="13">
        <v>3</v>
      </c>
      <c r="R1086" s="13" t="s">
        <v>66</v>
      </c>
      <c r="S1086" s="20">
        <v>7083</v>
      </c>
      <c r="T1086" s="13">
        <v>12288</v>
      </c>
      <c r="U1086" s="13">
        <v>1</v>
      </c>
      <c r="V1086" s="13" t="s">
        <v>52</v>
      </c>
      <c r="W1086" s="13" t="s">
        <v>36</v>
      </c>
      <c r="X1086" s="13">
        <v>14</v>
      </c>
      <c r="Y1086" s="13">
        <v>3</v>
      </c>
      <c r="Z1086" s="13">
        <v>4</v>
      </c>
      <c r="AA1086" s="13">
        <v>80</v>
      </c>
      <c r="AB1086" s="13">
        <v>0</v>
      </c>
      <c r="AC1086" s="13">
        <v>10</v>
      </c>
      <c r="AD1086" s="13">
        <v>3</v>
      </c>
      <c r="AE1086" s="13">
        <v>3</v>
      </c>
      <c r="AF1086" s="14">
        <v>10</v>
      </c>
      <c r="AG1086" s="13">
        <v>9</v>
      </c>
      <c r="AH1086" s="13">
        <v>8</v>
      </c>
      <c r="AI1086" s="13">
        <v>6</v>
      </c>
      <c r="AJ1086" s="13" t="str">
        <f t="shared" si="16"/>
        <v>30-39</v>
      </c>
      <c r="AK1086" s="13" t="str">
        <f>IF(tblCleanData[[#This Row],[MonthlyIncome]]&lt;5000, "Low Income", IF(tblCleanData[[#This Row],[MonthlyIncome]]&lt;15000, "Medium Income", "High Income"))</f>
        <v>Medium Income</v>
      </c>
      <c r="AL1086" s="13">
        <f>IF(tblCleanData[[#This Row],[Attrition]]="No", 0,1)</f>
        <v>0</v>
      </c>
      <c r="AM1086" s="13">
        <f>IF(tblCleanData[[#This Row],[OverTime]] = "No", 0, 1)</f>
        <v>1</v>
      </c>
      <c r="AN1086" s="13" t="str">
        <f>CHOOSE(tblCleanData[[#This Row],[Education]], "Below College","College","Bachelor","Master","Doctor")</f>
        <v>Bachelor</v>
      </c>
      <c r="AO1086" s="13" t="str">
        <f>VLOOKUP(tblCleanData[[#This Row],[EmployeeNumber]],tblHelpers[],15,TRUE)</f>
        <v>High Risk</v>
      </c>
      <c r="AP1086" s="13">
        <f>VLOOKUP(tblCleanData[[#This Row],[EmployeeNumber]],tblHelpers[],14,0)</f>
        <v>71</v>
      </c>
    </row>
    <row r="1087" spans="1:42" x14ac:dyDescent="0.25">
      <c r="A1087" s="13">
        <v>31</v>
      </c>
      <c r="B1087" s="13" t="s">
        <v>36</v>
      </c>
      <c r="C1087" s="13" t="s">
        <v>60</v>
      </c>
      <c r="D1087" s="13">
        <v>561</v>
      </c>
      <c r="E1087" s="13" t="s">
        <v>62</v>
      </c>
      <c r="F1087" s="13">
        <v>3</v>
      </c>
      <c r="G1087" s="13">
        <v>3</v>
      </c>
      <c r="H1087" s="13" t="s">
        <v>42</v>
      </c>
      <c r="I1087" s="13">
        <v>1</v>
      </c>
      <c r="J1087" s="13">
        <v>1537</v>
      </c>
      <c r="K1087" s="13">
        <v>4</v>
      </c>
      <c r="L1087" s="13" t="s">
        <v>43</v>
      </c>
      <c r="M1087" s="13">
        <v>33</v>
      </c>
      <c r="N1087" s="13">
        <v>3</v>
      </c>
      <c r="O1087" s="13">
        <v>1</v>
      </c>
      <c r="P1087" s="13" t="s">
        <v>65</v>
      </c>
      <c r="Q1087" s="13">
        <v>3</v>
      </c>
      <c r="R1087" s="13" t="s">
        <v>48</v>
      </c>
      <c r="S1087" s="20">
        <v>4084</v>
      </c>
      <c r="T1087" s="13">
        <v>4156</v>
      </c>
      <c r="U1087" s="13">
        <v>1</v>
      </c>
      <c r="V1087" s="13" t="s">
        <v>52</v>
      </c>
      <c r="W1087" s="13" t="s">
        <v>59</v>
      </c>
      <c r="X1087" s="13">
        <v>12</v>
      </c>
      <c r="Y1087" s="13">
        <v>3</v>
      </c>
      <c r="Z1087" s="13">
        <v>1</v>
      </c>
      <c r="AA1087" s="13">
        <v>80</v>
      </c>
      <c r="AB1087" s="13">
        <v>0</v>
      </c>
      <c r="AC1087" s="13">
        <v>7</v>
      </c>
      <c r="AD1087" s="13">
        <v>2</v>
      </c>
      <c r="AE1087" s="13">
        <v>1</v>
      </c>
      <c r="AF1087" s="14">
        <v>7</v>
      </c>
      <c r="AG1087" s="13">
        <v>2</v>
      </c>
      <c r="AH1087" s="13">
        <v>7</v>
      </c>
      <c r="AI1087" s="13">
        <v>7</v>
      </c>
      <c r="AJ1087" s="13" t="str">
        <f t="shared" si="16"/>
        <v>30-39</v>
      </c>
      <c r="AK1087" s="13" t="str">
        <f>IF(tblCleanData[[#This Row],[MonthlyIncome]]&lt;5000, "Low Income", IF(tblCleanData[[#This Row],[MonthlyIncome]]&lt;15000, "Medium Income", "High Income"))</f>
        <v>Low Income</v>
      </c>
      <c r="AL1087" s="13">
        <f>IF(tblCleanData[[#This Row],[Attrition]]="No", 0,1)</f>
        <v>1</v>
      </c>
      <c r="AM1087" s="13">
        <f>IF(tblCleanData[[#This Row],[OverTime]] = "No", 0, 1)</f>
        <v>0</v>
      </c>
      <c r="AN1087" s="13" t="str">
        <f>CHOOSE(tblCleanData[[#This Row],[Education]], "Below College","College","Bachelor","Master","Doctor")</f>
        <v>Bachelor</v>
      </c>
      <c r="AO1087" s="13" t="str">
        <f>VLOOKUP(tblCleanData[[#This Row],[EmployeeNumber]],tblHelpers[],15,TRUE)</f>
        <v>Medium Risk</v>
      </c>
      <c r="AP1087" s="13">
        <f>VLOOKUP(tblCleanData[[#This Row],[EmployeeNumber]],tblHelpers[],14,0)</f>
        <v>46</v>
      </c>
    </row>
    <row r="1088" spans="1:42" x14ac:dyDescent="0.25">
      <c r="A1088" s="13">
        <v>50</v>
      </c>
      <c r="B1088" s="13" t="s">
        <v>59</v>
      </c>
      <c r="C1088" s="13" t="s">
        <v>60</v>
      </c>
      <c r="D1088" s="13">
        <v>333</v>
      </c>
      <c r="E1088" s="13" t="s">
        <v>62</v>
      </c>
      <c r="F1088" s="13">
        <v>22</v>
      </c>
      <c r="G1088" s="13">
        <v>5</v>
      </c>
      <c r="H1088" s="13" t="s">
        <v>87</v>
      </c>
      <c r="I1088" s="13">
        <v>1</v>
      </c>
      <c r="J1088" s="13">
        <v>1539</v>
      </c>
      <c r="K1088" s="13">
        <v>3</v>
      </c>
      <c r="L1088" s="13" t="s">
        <v>63</v>
      </c>
      <c r="M1088" s="13">
        <v>88</v>
      </c>
      <c r="N1088" s="13">
        <v>1</v>
      </c>
      <c r="O1088" s="13">
        <v>4</v>
      </c>
      <c r="P1088" s="13" t="s">
        <v>186</v>
      </c>
      <c r="Q1088" s="13">
        <v>4</v>
      </c>
      <c r="R1088" s="13" t="s">
        <v>48</v>
      </c>
      <c r="S1088" s="20">
        <v>14411</v>
      </c>
      <c r="T1088" s="13">
        <v>24450</v>
      </c>
      <c r="U1088" s="13">
        <v>1</v>
      </c>
      <c r="V1088" s="13" t="s">
        <v>52</v>
      </c>
      <c r="W1088" s="13" t="s">
        <v>36</v>
      </c>
      <c r="X1088" s="13">
        <v>13</v>
      </c>
      <c r="Y1088" s="13">
        <v>3</v>
      </c>
      <c r="Z1088" s="13">
        <v>4</v>
      </c>
      <c r="AA1088" s="13">
        <v>80</v>
      </c>
      <c r="AB1088" s="13">
        <v>0</v>
      </c>
      <c r="AC1088" s="13">
        <v>32</v>
      </c>
      <c r="AD1088" s="13">
        <v>2</v>
      </c>
      <c r="AE1088" s="13">
        <v>3</v>
      </c>
      <c r="AF1088" s="14">
        <v>32</v>
      </c>
      <c r="AG1088" s="13">
        <v>6</v>
      </c>
      <c r="AH1088" s="13">
        <v>13</v>
      </c>
      <c r="AI1088" s="13">
        <v>9</v>
      </c>
      <c r="AJ1088" s="13" t="str">
        <f t="shared" si="16"/>
        <v>50+</v>
      </c>
      <c r="AK1088" s="13" t="str">
        <f>IF(tblCleanData[[#This Row],[MonthlyIncome]]&lt;5000, "Low Income", IF(tblCleanData[[#This Row],[MonthlyIncome]]&lt;15000, "Medium Income", "High Income"))</f>
        <v>Medium Income</v>
      </c>
      <c r="AL1088" s="13">
        <f>IF(tblCleanData[[#This Row],[Attrition]]="No", 0,1)</f>
        <v>0</v>
      </c>
      <c r="AM1088" s="13">
        <f>IF(tblCleanData[[#This Row],[OverTime]] = "No", 0, 1)</f>
        <v>1</v>
      </c>
      <c r="AN1088" s="13" t="str">
        <f>CHOOSE(tblCleanData[[#This Row],[Education]], "Below College","College","Bachelor","Master","Doctor")</f>
        <v>Doctor</v>
      </c>
      <c r="AO1088" s="13" t="str">
        <f>VLOOKUP(tblCleanData[[#This Row],[EmployeeNumber]],tblHelpers[],15,TRUE)</f>
        <v>Medium Risk</v>
      </c>
      <c r="AP1088" s="13">
        <f>VLOOKUP(tblCleanData[[#This Row],[EmployeeNumber]],tblHelpers[],14,0)</f>
        <v>54</v>
      </c>
    </row>
    <row r="1089" spans="1:42" x14ac:dyDescent="0.25">
      <c r="A1089" s="13">
        <v>34</v>
      </c>
      <c r="B1089" s="13" t="s">
        <v>59</v>
      </c>
      <c r="C1089" s="13" t="s">
        <v>37</v>
      </c>
      <c r="D1089" s="13">
        <v>1440</v>
      </c>
      <c r="E1089" s="13" t="s">
        <v>39</v>
      </c>
      <c r="F1089" s="13">
        <v>7</v>
      </c>
      <c r="G1089" s="13">
        <v>2</v>
      </c>
      <c r="H1089" s="13" t="s">
        <v>228</v>
      </c>
      <c r="I1089" s="13">
        <v>1</v>
      </c>
      <c r="J1089" s="13">
        <v>1541</v>
      </c>
      <c r="K1089" s="13">
        <v>2</v>
      </c>
      <c r="L1089" s="13" t="s">
        <v>63</v>
      </c>
      <c r="M1089" s="13">
        <v>55</v>
      </c>
      <c r="N1089" s="13">
        <v>3</v>
      </c>
      <c r="O1089" s="13">
        <v>1</v>
      </c>
      <c r="P1089" s="13" t="s">
        <v>182</v>
      </c>
      <c r="Q1089" s="13">
        <v>3</v>
      </c>
      <c r="R1089" s="13" t="s">
        <v>66</v>
      </c>
      <c r="S1089" s="20">
        <v>2308</v>
      </c>
      <c r="T1089" s="13">
        <v>4944</v>
      </c>
      <c r="U1089" s="13">
        <v>0</v>
      </c>
      <c r="V1089" s="13" t="s">
        <v>52</v>
      </c>
      <c r="W1089" s="13" t="s">
        <v>36</v>
      </c>
      <c r="X1089" s="13">
        <v>25</v>
      </c>
      <c r="Y1089" s="13">
        <v>4</v>
      </c>
      <c r="Z1089" s="13">
        <v>2</v>
      </c>
      <c r="AA1089" s="13">
        <v>80</v>
      </c>
      <c r="AB1089" s="13">
        <v>1</v>
      </c>
      <c r="AC1089" s="13">
        <v>12</v>
      </c>
      <c r="AD1089" s="13">
        <v>4</v>
      </c>
      <c r="AE1089" s="13">
        <v>3</v>
      </c>
      <c r="AF1089" s="14">
        <v>11</v>
      </c>
      <c r="AG1089" s="13">
        <v>10</v>
      </c>
      <c r="AH1089" s="13">
        <v>5</v>
      </c>
      <c r="AI1089" s="13">
        <v>7</v>
      </c>
      <c r="AJ1089" s="13" t="str">
        <f t="shared" si="16"/>
        <v>30-39</v>
      </c>
      <c r="AK1089" s="13" t="str">
        <f>IF(tblCleanData[[#This Row],[MonthlyIncome]]&lt;5000, "Low Income", IF(tblCleanData[[#This Row],[MonthlyIncome]]&lt;15000, "Medium Income", "High Income"))</f>
        <v>Low Income</v>
      </c>
      <c r="AL1089" s="13">
        <f>IF(tblCleanData[[#This Row],[Attrition]]="No", 0,1)</f>
        <v>0</v>
      </c>
      <c r="AM1089" s="13">
        <f>IF(tblCleanData[[#This Row],[OverTime]] = "No", 0, 1)</f>
        <v>1</v>
      </c>
      <c r="AN1089" s="13" t="str">
        <f>CHOOSE(tblCleanData[[#This Row],[Education]], "Below College","College","Bachelor","Master","Doctor")</f>
        <v>College</v>
      </c>
      <c r="AO1089" s="13" t="str">
        <f>VLOOKUP(tblCleanData[[#This Row],[EmployeeNumber]],tblHelpers[],15,TRUE)</f>
        <v>High Risk</v>
      </c>
      <c r="AP1089" s="13">
        <f>VLOOKUP(tblCleanData[[#This Row],[EmployeeNumber]],tblHelpers[],14,0)</f>
        <v>66</v>
      </c>
    </row>
    <row r="1090" spans="1:42" x14ac:dyDescent="0.25">
      <c r="A1090" s="13">
        <v>42</v>
      </c>
      <c r="B1090" s="13" t="s">
        <v>59</v>
      </c>
      <c r="C1090" s="13" t="s">
        <v>37</v>
      </c>
      <c r="D1090" s="13">
        <v>1210</v>
      </c>
      <c r="E1090" s="13" t="s">
        <v>62</v>
      </c>
      <c r="F1090" s="13">
        <v>2</v>
      </c>
      <c r="G1090" s="13">
        <v>3</v>
      </c>
      <c r="H1090" s="13" t="s">
        <v>87</v>
      </c>
      <c r="I1090" s="13">
        <v>1</v>
      </c>
      <c r="J1090" s="13">
        <v>1542</v>
      </c>
      <c r="K1090" s="13">
        <v>3</v>
      </c>
      <c r="L1090" s="13" t="s">
        <v>63</v>
      </c>
      <c r="M1090" s="13">
        <v>68</v>
      </c>
      <c r="N1090" s="13">
        <v>2</v>
      </c>
      <c r="O1090" s="13">
        <v>1</v>
      </c>
      <c r="P1090" s="13" t="s">
        <v>76</v>
      </c>
      <c r="Q1090" s="13">
        <v>2</v>
      </c>
      <c r="R1090" s="13" t="s">
        <v>66</v>
      </c>
      <c r="S1090" s="20">
        <v>4841</v>
      </c>
      <c r="T1090" s="13">
        <v>24052</v>
      </c>
      <c r="U1090" s="13">
        <v>4</v>
      </c>
      <c r="V1090" s="13" t="s">
        <v>52</v>
      </c>
      <c r="W1090" s="13" t="s">
        <v>59</v>
      </c>
      <c r="X1090" s="13">
        <v>14</v>
      </c>
      <c r="Y1090" s="13">
        <v>3</v>
      </c>
      <c r="Z1090" s="13">
        <v>2</v>
      </c>
      <c r="AA1090" s="13">
        <v>80</v>
      </c>
      <c r="AB1090" s="13">
        <v>1</v>
      </c>
      <c r="AC1090" s="13">
        <v>4</v>
      </c>
      <c r="AD1090" s="13">
        <v>3</v>
      </c>
      <c r="AE1090" s="13">
        <v>3</v>
      </c>
      <c r="AF1090" s="14">
        <v>1</v>
      </c>
      <c r="AG1090" s="13">
        <v>0</v>
      </c>
      <c r="AH1090" s="13">
        <v>0</v>
      </c>
      <c r="AI1090" s="13">
        <v>0</v>
      </c>
      <c r="AJ1090" s="13" t="str">
        <f t="shared" ref="AJ1090:AJ1153" si="17">IF(A1090&lt;30,"Under 30", IF(A1090&lt;40,"30-39", IF(A1090&lt;50,"40-49", "50+")))</f>
        <v>40-49</v>
      </c>
      <c r="AK1090" s="13" t="str">
        <f>IF(tblCleanData[[#This Row],[MonthlyIncome]]&lt;5000, "Low Income", IF(tblCleanData[[#This Row],[MonthlyIncome]]&lt;15000, "Medium Income", "High Income"))</f>
        <v>Low Income</v>
      </c>
      <c r="AL1090" s="13">
        <f>IF(tblCleanData[[#This Row],[Attrition]]="No", 0,1)</f>
        <v>0</v>
      </c>
      <c r="AM1090" s="13">
        <f>IF(tblCleanData[[#This Row],[OverTime]] = "No", 0, 1)</f>
        <v>0</v>
      </c>
      <c r="AN1090" s="13" t="str">
        <f>CHOOSE(tblCleanData[[#This Row],[Education]], "Below College","College","Bachelor","Master","Doctor")</f>
        <v>Bachelor</v>
      </c>
      <c r="AO1090" s="13" t="str">
        <f>VLOOKUP(tblCleanData[[#This Row],[EmployeeNumber]],tblHelpers[],15,TRUE)</f>
        <v>High Risk</v>
      </c>
      <c r="AP1090" s="13">
        <f>VLOOKUP(tblCleanData[[#This Row],[EmployeeNumber]],tblHelpers[],14,0)</f>
        <v>59</v>
      </c>
    </row>
    <row r="1091" spans="1:42" x14ac:dyDescent="0.25">
      <c r="A1091" s="13">
        <v>37</v>
      </c>
      <c r="B1091" s="13" t="s">
        <v>59</v>
      </c>
      <c r="C1091" s="13" t="s">
        <v>37</v>
      </c>
      <c r="D1091" s="13">
        <v>674</v>
      </c>
      <c r="E1091" s="13" t="s">
        <v>62</v>
      </c>
      <c r="F1091" s="13">
        <v>13</v>
      </c>
      <c r="G1091" s="13">
        <v>3</v>
      </c>
      <c r="H1091" s="13" t="s">
        <v>87</v>
      </c>
      <c r="I1091" s="13">
        <v>1</v>
      </c>
      <c r="J1091" s="13">
        <v>1543</v>
      </c>
      <c r="K1091" s="13">
        <v>1</v>
      </c>
      <c r="L1091" s="13" t="s">
        <v>63</v>
      </c>
      <c r="M1091" s="13">
        <v>47</v>
      </c>
      <c r="N1091" s="13">
        <v>3</v>
      </c>
      <c r="O1091" s="13">
        <v>2</v>
      </c>
      <c r="P1091" s="13" t="s">
        <v>65</v>
      </c>
      <c r="Q1091" s="13">
        <v>4</v>
      </c>
      <c r="R1091" s="13" t="s">
        <v>66</v>
      </c>
      <c r="S1091" s="20">
        <v>4285</v>
      </c>
      <c r="T1091" s="13">
        <v>3031</v>
      </c>
      <c r="U1091" s="13">
        <v>1</v>
      </c>
      <c r="V1091" s="13" t="s">
        <v>52</v>
      </c>
      <c r="W1091" s="13" t="s">
        <v>59</v>
      </c>
      <c r="X1091" s="13">
        <v>17</v>
      </c>
      <c r="Y1091" s="13">
        <v>3</v>
      </c>
      <c r="Z1091" s="13">
        <v>1</v>
      </c>
      <c r="AA1091" s="13">
        <v>80</v>
      </c>
      <c r="AB1091" s="13">
        <v>0</v>
      </c>
      <c r="AC1091" s="13">
        <v>10</v>
      </c>
      <c r="AD1091" s="13">
        <v>2</v>
      </c>
      <c r="AE1091" s="13">
        <v>3</v>
      </c>
      <c r="AF1091" s="14">
        <v>10</v>
      </c>
      <c r="AG1091" s="13">
        <v>8</v>
      </c>
      <c r="AH1091" s="13">
        <v>3</v>
      </c>
      <c r="AI1091" s="13">
        <v>7</v>
      </c>
      <c r="AJ1091" s="13" t="str">
        <f t="shared" si="17"/>
        <v>30-39</v>
      </c>
      <c r="AK1091" s="13" t="str">
        <f>IF(tblCleanData[[#This Row],[MonthlyIncome]]&lt;5000, "Low Income", IF(tblCleanData[[#This Row],[MonthlyIncome]]&lt;15000, "Medium Income", "High Income"))</f>
        <v>Low Income</v>
      </c>
      <c r="AL1091" s="13">
        <f>IF(tblCleanData[[#This Row],[Attrition]]="No", 0,1)</f>
        <v>0</v>
      </c>
      <c r="AM1091" s="13">
        <f>IF(tblCleanData[[#This Row],[OverTime]] = "No", 0, 1)</f>
        <v>0</v>
      </c>
      <c r="AN1091" s="13" t="str">
        <f>CHOOSE(tblCleanData[[#This Row],[Education]], "Below College","College","Bachelor","Master","Doctor")</f>
        <v>Bachelor</v>
      </c>
      <c r="AO1091" s="13" t="str">
        <f>VLOOKUP(tblCleanData[[#This Row],[EmployeeNumber]],tblHelpers[],15,TRUE)</f>
        <v>Medium Risk</v>
      </c>
      <c r="AP1091" s="13">
        <f>VLOOKUP(tblCleanData[[#This Row],[EmployeeNumber]],tblHelpers[],14,0)</f>
        <v>39</v>
      </c>
    </row>
    <row r="1092" spans="1:42" x14ac:dyDescent="0.25">
      <c r="A1092" s="13">
        <v>29</v>
      </c>
      <c r="B1092" s="13" t="s">
        <v>59</v>
      </c>
      <c r="C1092" s="13" t="s">
        <v>37</v>
      </c>
      <c r="D1092" s="13">
        <v>441</v>
      </c>
      <c r="E1092" s="13" t="s">
        <v>62</v>
      </c>
      <c r="F1092" s="13">
        <v>8</v>
      </c>
      <c r="G1092" s="13">
        <v>1</v>
      </c>
      <c r="H1092" s="13" t="s">
        <v>74</v>
      </c>
      <c r="I1092" s="13">
        <v>1</v>
      </c>
      <c r="J1092" s="13">
        <v>1544</v>
      </c>
      <c r="K1092" s="13">
        <v>3</v>
      </c>
      <c r="L1092" s="13" t="s">
        <v>43</v>
      </c>
      <c r="M1092" s="13">
        <v>39</v>
      </c>
      <c r="N1092" s="13">
        <v>1</v>
      </c>
      <c r="O1092" s="13">
        <v>2</v>
      </c>
      <c r="P1092" s="13" t="s">
        <v>122</v>
      </c>
      <c r="Q1092" s="13">
        <v>1</v>
      </c>
      <c r="R1092" s="13" t="s">
        <v>66</v>
      </c>
      <c r="S1092" s="20">
        <v>9715</v>
      </c>
      <c r="T1092" s="13">
        <v>7288</v>
      </c>
      <c r="U1092" s="13">
        <v>3</v>
      </c>
      <c r="V1092" s="13" t="s">
        <v>52</v>
      </c>
      <c r="W1092" s="13" t="s">
        <v>59</v>
      </c>
      <c r="X1092" s="13">
        <v>13</v>
      </c>
      <c r="Y1092" s="13">
        <v>3</v>
      </c>
      <c r="Z1092" s="13">
        <v>3</v>
      </c>
      <c r="AA1092" s="13">
        <v>80</v>
      </c>
      <c r="AB1092" s="13">
        <v>1</v>
      </c>
      <c r="AC1092" s="13">
        <v>9</v>
      </c>
      <c r="AD1092" s="13">
        <v>3</v>
      </c>
      <c r="AE1092" s="13">
        <v>3</v>
      </c>
      <c r="AF1092" s="14">
        <v>7</v>
      </c>
      <c r="AG1092" s="13">
        <v>7</v>
      </c>
      <c r="AH1092" s="13">
        <v>0</v>
      </c>
      <c r="AI1092" s="13">
        <v>7</v>
      </c>
      <c r="AJ1092" s="13" t="str">
        <f t="shared" si="17"/>
        <v>Under 30</v>
      </c>
      <c r="AK1092" s="13" t="str">
        <f>IF(tblCleanData[[#This Row],[MonthlyIncome]]&lt;5000, "Low Income", IF(tblCleanData[[#This Row],[MonthlyIncome]]&lt;15000, "Medium Income", "High Income"))</f>
        <v>Medium Income</v>
      </c>
      <c r="AL1092" s="13">
        <f>IF(tblCleanData[[#This Row],[Attrition]]="No", 0,1)</f>
        <v>0</v>
      </c>
      <c r="AM1092" s="13">
        <f>IF(tblCleanData[[#This Row],[OverTime]] = "No", 0, 1)</f>
        <v>0</v>
      </c>
      <c r="AN1092" s="13" t="str">
        <f>CHOOSE(tblCleanData[[#This Row],[Education]], "Below College","College","Bachelor","Master","Doctor")</f>
        <v>Below College</v>
      </c>
      <c r="AO1092" s="13" t="str">
        <f>VLOOKUP(tblCleanData[[#This Row],[EmployeeNumber]],tblHelpers[],15,TRUE)</f>
        <v>High Risk</v>
      </c>
      <c r="AP1092" s="13">
        <f>VLOOKUP(tblCleanData[[#This Row],[EmployeeNumber]],tblHelpers[],14,0)</f>
        <v>68</v>
      </c>
    </row>
    <row r="1093" spans="1:42" x14ac:dyDescent="0.25">
      <c r="A1093" s="13">
        <v>33</v>
      </c>
      <c r="B1093" s="13" t="s">
        <v>59</v>
      </c>
      <c r="C1093" s="13" t="s">
        <v>37</v>
      </c>
      <c r="D1093" s="13">
        <v>575</v>
      </c>
      <c r="E1093" s="13" t="s">
        <v>62</v>
      </c>
      <c r="F1093" s="13">
        <v>25</v>
      </c>
      <c r="G1093" s="13">
        <v>3</v>
      </c>
      <c r="H1093" s="13" t="s">
        <v>42</v>
      </c>
      <c r="I1093" s="13">
        <v>1</v>
      </c>
      <c r="J1093" s="13">
        <v>1545</v>
      </c>
      <c r="K1093" s="13">
        <v>4</v>
      </c>
      <c r="L1093" s="13" t="s">
        <v>63</v>
      </c>
      <c r="M1093" s="13">
        <v>44</v>
      </c>
      <c r="N1093" s="13">
        <v>2</v>
      </c>
      <c r="O1093" s="13">
        <v>2</v>
      </c>
      <c r="P1093" s="13" t="s">
        <v>116</v>
      </c>
      <c r="Q1093" s="13">
        <v>2</v>
      </c>
      <c r="R1093" s="13" t="s">
        <v>48</v>
      </c>
      <c r="S1093" s="20">
        <v>4320</v>
      </c>
      <c r="T1093" s="13">
        <v>24152</v>
      </c>
      <c r="U1093" s="13">
        <v>1</v>
      </c>
      <c r="V1093" s="13" t="s">
        <v>52</v>
      </c>
      <c r="W1093" s="13" t="s">
        <v>59</v>
      </c>
      <c r="X1093" s="13">
        <v>13</v>
      </c>
      <c r="Y1093" s="13">
        <v>3</v>
      </c>
      <c r="Z1093" s="13">
        <v>4</v>
      </c>
      <c r="AA1093" s="13">
        <v>80</v>
      </c>
      <c r="AB1093" s="13">
        <v>0</v>
      </c>
      <c r="AC1093" s="13">
        <v>5</v>
      </c>
      <c r="AD1093" s="13">
        <v>2</v>
      </c>
      <c r="AE1093" s="13">
        <v>3</v>
      </c>
      <c r="AF1093" s="14">
        <v>5</v>
      </c>
      <c r="AG1093" s="13">
        <v>3</v>
      </c>
      <c r="AH1093" s="13">
        <v>0</v>
      </c>
      <c r="AI1093" s="13">
        <v>2</v>
      </c>
      <c r="AJ1093" s="13" t="str">
        <f t="shared" si="17"/>
        <v>30-39</v>
      </c>
      <c r="AK1093" s="13" t="str">
        <f>IF(tblCleanData[[#This Row],[MonthlyIncome]]&lt;5000, "Low Income", IF(tblCleanData[[#This Row],[MonthlyIncome]]&lt;15000, "Medium Income", "High Income"))</f>
        <v>Low Income</v>
      </c>
      <c r="AL1093" s="13">
        <f>IF(tblCleanData[[#This Row],[Attrition]]="No", 0,1)</f>
        <v>0</v>
      </c>
      <c r="AM1093" s="13">
        <f>IF(tblCleanData[[#This Row],[OverTime]] = "No", 0, 1)</f>
        <v>0</v>
      </c>
      <c r="AN1093" s="13" t="str">
        <f>CHOOSE(tblCleanData[[#This Row],[Education]], "Below College","College","Bachelor","Master","Doctor")</f>
        <v>Bachelor</v>
      </c>
      <c r="AO1093" s="13" t="str">
        <f>VLOOKUP(tblCleanData[[#This Row],[EmployeeNumber]],tblHelpers[],15,TRUE)</f>
        <v>High Risk</v>
      </c>
      <c r="AP1093" s="13">
        <f>VLOOKUP(tblCleanData[[#This Row],[EmployeeNumber]],tblHelpers[],14,0)</f>
        <v>59</v>
      </c>
    </row>
    <row r="1094" spans="1:42" x14ac:dyDescent="0.25">
      <c r="A1094" s="13">
        <v>45</v>
      </c>
      <c r="B1094" s="13" t="s">
        <v>59</v>
      </c>
      <c r="C1094" s="13" t="s">
        <v>37</v>
      </c>
      <c r="D1094" s="13">
        <v>950</v>
      </c>
      <c r="E1094" s="13" t="s">
        <v>62</v>
      </c>
      <c r="F1094" s="13">
        <v>28</v>
      </c>
      <c r="G1094" s="13">
        <v>3</v>
      </c>
      <c r="H1094" s="13" t="s">
        <v>228</v>
      </c>
      <c r="I1094" s="13">
        <v>1</v>
      </c>
      <c r="J1094" s="13">
        <v>1546</v>
      </c>
      <c r="K1094" s="13">
        <v>4</v>
      </c>
      <c r="L1094" s="13" t="s">
        <v>63</v>
      </c>
      <c r="M1094" s="13">
        <v>97</v>
      </c>
      <c r="N1094" s="13">
        <v>3</v>
      </c>
      <c r="O1094" s="13">
        <v>1</v>
      </c>
      <c r="P1094" s="13" t="s">
        <v>65</v>
      </c>
      <c r="Q1094" s="13">
        <v>4</v>
      </c>
      <c r="R1094" s="13" t="s">
        <v>66</v>
      </c>
      <c r="S1094" s="20">
        <v>2132</v>
      </c>
      <c r="T1094" s="13">
        <v>4585</v>
      </c>
      <c r="U1094" s="13">
        <v>4</v>
      </c>
      <c r="V1094" s="13" t="s">
        <v>52</v>
      </c>
      <c r="W1094" s="13" t="s">
        <v>59</v>
      </c>
      <c r="X1094" s="13">
        <v>20</v>
      </c>
      <c r="Y1094" s="13">
        <v>4</v>
      </c>
      <c r="Z1094" s="13">
        <v>4</v>
      </c>
      <c r="AA1094" s="13">
        <v>80</v>
      </c>
      <c r="AB1094" s="13">
        <v>1</v>
      </c>
      <c r="AC1094" s="13">
        <v>8</v>
      </c>
      <c r="AD1094" s="13">
        <v>3</v>
      </c>
      <c r="AE1094" s="13">
        <v>3</v>
      </c>
      <c r="AF1094" s="14">
        <v>5</v>
      </c>
      <c r="AG1094" s="13">
        <v>4</v>
      </c>
      <c r="AH1094" s="13">
        <v>0</v>
      </c>
      <c r="AI1094" s="13">
        <v>3</v>
      </c>
      <c r="AJ1094" s="13" t="str">
        <f t="shared" si="17"/>
        <v>40-49</v>
      </c>
      <c r="AK1094" s="13" t="str">
        <f>IF(tblCleanData[[#This Row],[MonthlyIncome]]&lt;5000, "Low Income", IF(tblCleanData[[#This Row],[MonthlyIncome]]&lt;15000, "Medium Income", "High Income"))</f>
        <v>Low Income</v>
      </c>
      <c r="AL1094" s="13">
        <f>IF(tblCleanData[[#This Row],[Attrition]]="No", 0,1)</f>
        <v>0</v>
      </c>
      <c r="AM1094" s="13">
        <f>IF(tblCleanData[[#This Row],[OverTime]] = "No", 0, 1)</f>
        <v>0</v>
      </c>
      <c r="AN1094" s="13" t="str">
        <f>CHOOSE(tblCleanData[[#This Row],[Education]], "Below College","College","Bachelor","Master","Doctor")</f>
        <v>Bachelor</v>
      </c>
      <c r="AO1094" s="13" t="str">
        <f>VLOOKUP(tblCleanData[[#This Row],[EmployeeNumber]],tblHelpers[],15,TRUE)</f>
        <v>Medium Risk</v>
      </c>
      <c r="AP1094" s="13">
        <f>VLOOKUP(tblCleanData[[#This Row],[EmployeeNumber]],tblHelpers[],14,0)</f>
        <v>36</v>
      </c>
    </row>
    <row r="1095" spans="1:42" x14ac:dyDescent="0.25">
      <c r="A1095" s="13">
        <v>42</v>
      </c>
      <c r="B1095" s="13" t="s">
        <v>59</v>
      </c>
      <c r="C1095" s="13" t="s">
        <v>60</v>
      </c>
      <c r="D1095" s="13">
        <v>288</v>
      </c>
      <c r="E1095" s="13" t="s">
        <v>62</v>
      </c>
      <c r="F1095" s="13">
        <v>2</v>
      </c>
      <c r="G1095" s="13">
        <v>3</v>
      </c>
      <c r="H1095" s="13" t="s">
        <v>42</v>
      </c>
      <c r="I1095" s="13">
        <v>1</v>
      </c>
      <c r="J1095" s="13">
        <v>1547</v>
      </c>
      <c r="K1095" s="13">
        <v>4</v>
      </c>
      <c r="L1095" s="13" t="s">
        <v>63</v>
      </c>
      <c r="M1095" s="13">
        <v>40</v>
      </c>
      <c r="N1095" s="13">
        <v>3</v>
      </c>
      <c r="O1095" s="13">
        <v>3</v>
      </c>
      <c r="P1095" s="13" t="s">
        <v>122</v>
      </c>
      <c r="Q1095" s="13">
        <v>4</v>
      </c>
      <c r="R1095" s="13" t="s">
        <v>66</v>
      </c>
      <c r="S1095" s="20">
        <v>10124</v>
      </c>
      <c r="T1095" s="13">
        <v>18611</v>
      </c>
      <c r="U1095" s="13">
        <v>2</v>
      </c>
      <c r="V1095" s="13" t="s">
        <v>52</v>
      </c>
      <c r="W1095" s="13" t="s">
        <v>36</v>
      </c>
      <c r="X1095" s="13">
        <v>14</v>
      </c>
      <c r="Y1095" s="13">
        <v>3</v>
      </c>
      <c r="Z1095" s="13">
        <v>3</v>
      </c>
      <c r="AA1095" s="13">
        <v>80</v>
      </c>
      <c r="AB1095" s="13">
        <v>1</v>
      </c>
      <c r="AC1095" s="13">
        <v>24</v>
      </c>
      <c r="AD1095" s="13">
        <v>3</v>
      </c>
      <c r="AE1095" s="13">
        <v>1</v>
      </c>
      <c r="AF1095" s="14">
        <v>20</v>
      </c>
      <c r="AG1095" s="13">
        <v>8</v>
      </c>
      <c r="AH1095" s="13">
        <v>13</v>
      </c>
      <c r="AI1095" s="13">
        <v>9</v>
      </c>
      <c r="AJ1095" s="13" t="str">
        <f t="shared" si="17"/>
        <v>40-49</v>
      </c>
      <c r="AK1095" s="13" t="str">
        <f>IF(tblCleanData[[#This Row],[MonthlyIncome]]&lt;5000, "Low Income", IF(tblCleanData[[#This Row],[MonthlyIncome]]&lt;15000, "Medium Income", "High Income"))</f>
        <v>Medium Income</v>
      </c>
      <c r="AL1095" s="13">
        <f>IF(tblCleanData[[#This Row],[Attrition]]="No", 0,1)</f>
        <v>0</v>
      </c>
      <c r="AM1095" s="13">
        <f>IF(tblCleanData[[#This Row],[OverTime]] = "No", 0, 1)</f>
        <v>1</v>
      </c>
      <c r="AN1095" s="13" t="str">
        <f>CHOOSE(tblCleanData[[#This Row],[Education]], "Below College","College","Bachelor","Master","Doctor")</f>
        <v>Bachelor</v>
      </c>
      <c r="AO1095" s="13" t="str">
        <f>VLOOKUP(tblCleanData[[#This Row],[EmployeeNumber]],tblHelpers[],15,TRUE)</f>
        <v>Medium Risk</v>
      </c>
      <c r="AP1095" s="13">
        <f>VLOOKUP(tblCleanData[[#This Row],[EmployeeNumber]],tblHelpers[],14,0)</f>
        <v>49</v>
      </c>
    </row>
    <row r="1096" spans="1:42" x14ac:dyDescent="0.25">
      <c r="A1096" s="13">
        <v>40</v>
      </c>
      <c r="B1096" s="13" t="s">
        <v>59</v>
      </c>
      <c r="C1096" s="13" t="s">
        <v>37</v>
      </c>
      <c r="D1096" s="13">
        <v>1342</v>
      </c>
      <c r="E1096" s="13" t="s">
        <v>39</v>
      </c>
      <c r="F1096" s="13">
        <v>9</v>
      </c>
      <c r="G1096" s="13">
        <v>2</v>
      </c>
      <c r="H1096" s="13" t="s">
        <v>87</v>
      </c>
      <c r="I1096" s="13">
        <v>1</v>
      </c>
      <c r="J1096" s="13">
        <v>1548</v>
      </c>
      <c r="K1096" s="13">
        <v>1</v>
      </c>
      <c r="L1096" s="13" t="s">
        <v>63</v>
      </c>
      <c r="M1096" s="13">
        <v>47</v>
      </c>
      <c r="N1096" s="13">
        <v>3</v>
      </c>
      <c r="O1096" s="13">
        <v>2</v>
      </c>
      <c r="P1096" s="13" t="s">
        <v>46</v>
      </c>
      <c r="Q1096" s="13">
        <v>1</v>
      </c>
      <c r="R1096" s="13" t="s">
        <v>66</v>
      </c>
      <c r="S1096" s="20">
        <v>5473</v>
      </c>
      <c r="T1096" s="13">
        <v>19345</v>
      </c>
      <c r="U1096" s="13">
        <v>0</v>
      </c>
      <c r="V1096" s="13" t="s">
        <v>52</v>
      </c>
      <c r="W1096" s="13" t="s">
        <v>59</v>
      </c>
      <c r="X1096" s="13">
        <v>12</v>
      </c>
      <c r="Y1096" s="13">
        <v>3</v>
      </c>
      <c r="Z1096" s="13">
        <v>4</v>
      </c>
      <c r="AA1096" s="13">
        <v>80</v>
      </c>
      <c r="AB1096" s="13">
        <v>0</v>
      </c>
      <c r="AC1096" s="13">
        <v>9</v>
      </c>
      <c r="AD1096" s="13">
        <v>5</v>
      </c>
      <c r="AE1096" s="13">
        <v>4</v>
      </c>
      <c r="AF1096" s="14">
        <v>8</v>
      </c>
      <c r="AG1096" s="13">
        <v>4</v>
      </c>
      <c r="AH1096" s="13">
        <v>7</v>
      </c>
      <c r="AI1096" s="13">
        <v>1</v>
      </c>
      <c r="AJ1096" s="13" t="str">
        <f t="shared" si="17"/>
        <v>40-49</v>
      </c>
      <c r="AK1096" s="13" t="str">
        <f>IF(tblCleanData[[#This Row],[MonthlyIncome]]&lt;5000, "Low Income", IF(tblCleanData[[#This Row],[MonthlyIncome]]&lt;15000, "Medium Income", "High Income"))</f>
        <v>Medium Income</v>
      </c>
      <c r="AL1096" s="13">
        <f>IF(tblCleanData[[#This Row],[Attrition]]="No", 0,1)</f>
        <v>0</v>
      </c>
      <c r="AM1096" s="13">
        <f>IF(tblCleanData[[#This Row],[OverTime]] = "No", 0, 1)</f>
        <v>0</v>
      </c>
      <c r="AN1096" s="13" t="str">
        <f>CHOOSE(tblCleanData[[#This Row],[Education]], "Below College","College","Bachelor","Master","Doctor")</f>
        <v>College</v>
      </c>
      <c r="AO1096" s="13" t="str">
        <f>VLOOKUP(tblCleanData[[#This Row],[EmployeeNumber]],tblHelpers[],15,TRUE)</f>
        <v>Medium Risk</v>
      </c>
      <c r="AP1096" s="13">
        <f>VLOOKUP(tblCleanData[[#This Row],[EmployeeNumber]],tblHelpers[],14,0)</f>
        <v>48</v>
      </c>
    </row>
    <row r="1097" spans="1:42" x14ac:dyDescent="0.25">
      <c r="A1097" s="13">
        <v>33</v>
      </c>
      <c r="B1097" s="13" t="s">
        <v>59</v>
      </c>
      <c r="C1097" s="13" t="s">
        <v>37</v>
      </c>
      <c r="D1097" s="13">
        <v>589</v>
      </c>
      <c r="E1097" s="13" t="s">
        <v>62</v>
      </c>
      <c r="F1097" s="13">
        <v>28</v>
      </c>
      <c r="G1097" s="13">
        <v>4</v>
      </c>
      <c r="H1097" s="13" t="s">
        <v>42</v>
      </c>
      <c r="I1097" s="13">
        <v>1</v>
      </c>
      <c r="J1097" s="13">
        <v>1549</v>
      </c>
      <c r="K1097" s="13">
        <v>2</v>
      </c>
      <c r="L1097" s="13" t="s">
        <v>63</v>
      </c>
      <c r="M1097" s="13">
        <v>79</v>
      </c>
      <c r="N1097" s="13">
        <v>3</v>
      </c>
      <c r="O1097" s="13">
        <v>2</v>
      </c>
      <c r="P1097" s="13" t="s">
        <v>76</v>
      </c>
      <c r="Q1097" s="13">
        <v>3</v>
      </c>
      <c r="R1097" s="13" t="s">
        <v>66</v>
      </c>
      <c r="S1097" s="20">
        <v>5207</v>
      </c>
      <c r="T1097" s="13">
        <v>22949</v>
      </c>
      <c r="U1097" s="13">
        <v>1</v>
      </c>
      <c r="V1097" s="13" t="s">
        <v>52</v>
      </c>
      <c r="W1097" s="13" t="s">
        <v>36</v>
      </c>
      <c r="X1097" s="13">
        <v>12</v>
      </c>
      <c r="Y1097" s="13">
        <v>3</v>
      </c>
      <c r="Z1097" s="13">
        <v>2</v>
      </c>
      <c r="AA1097" s="13">
        <v>80</v>
      </c>
      <c r="AB1097" s="13">
        <v>1</v>
      </c>
      <c r="AC1097" s="13">
        <v>15</v>
      </c>
      <c r="AD1097" s="13">
        <v>3</v>
      </c>
      <c r="AE1097" s="13">
        <v>3</v>
      </c>
      <c r="AF1097" s="14">
        <v>15</v>
      </c>
      <c r="AG1097" s="13">
        <v>14</v>
      </c>
      <c r="AH1097" s="13">
        <v>5</v>
      </c>
      <c r="AI1097" s="13">
        <v>7</v>
      </c>
      <c r="AJ1097" s="13" t="str">
        <f t="shared" si="17"/>
        <v>30-39</v>
      </c>
      <c r="AK1097" s="13" t="str">
        <f>IF(tblCleanData[[#This Row],[MonthlyIncome]]&lt;5000, "Low Income", IF(tblCleanData[[#This Row],[MonthlyIncome]]&lt;15000, "Medium Income", "High Income"))</f>
        <v>Medium Income</v>
      </c>
      <c r="AL1097" s="13">
        <f>IF(tblCleanData[[#This Row],[Attrition]]="No", 0,1)</f>
        <v>0</v>
      </c>
      <c r="AM1097" s="13">
        <f>IF(tblCleanData[[#This Row],[OverTime]] = "No", 0, 1)</f>
        <v>1</v>
      </c>
      <c r="AN1097" s="13" t="str">
        <f>CHOOSE(tblCleanData[[#This Row],[Education]], "Below College","College","Bachelor","Master","Doctor")</f>
        <v>Master</v>
      </c>
      <c r="AO1097" s="13" t="str">
        <f>VLOOKUP(tblCleanData[[#This Row],[EmployeeNumber]],tblHelpers[],15,TRUE)</f>
        <v>High Risk</v>
      </c>
      <c r="AP1097" s="13">
        <f>VLOOKUP(tblCleanData[[#This Row],[EmployeeNumber]],tblHelpers[],14,0)</f>
        <v>66</v>
      </c>
    </row>
    <row r="1098" spans="1:42" x14ac:dyDescent="0.25">
      <c r="A1098" s="13">
        <v>40</v>
      </c>
      <c r="B1098" s="13" t="s">
        <v>59</v>
      </c>
      <c r="C1098" s="13" t="s">
        <v>37</v>
      </c>
      <c r="D1098" s="13">
        <v>898</v>
      </c>
      <c r="E1098" s="13" t="s">
        <v>397</v>
      </c>
      <c r="F1098" s="13">
        <v>6</v>
      </c>
      <c r="G1098" s="13">
        <v>2</v>
      </c>
      <c r="H1098" s="13" t="s">
        <v>87</v>
      </c>
      <c r="I1098" s="13">
        <v>1</v>
      </c>
      <c r="J1098" s="13">
        <v>1550</v>
      </c>
      <c r="K1098" s="13">
        <v>3</v>
      </c>
      <c r="L1098" s="13" t="s">
        <v>63</v>
      </c>
      <c r="M1098" s="13">
        <v>38</v>
      </c>
      <c r="N1098" s="13">
        <v>3</v>
      </c>
      <c r="O1098" s="13">
        <v>4</v>
      </c>
      <c r="P1098" s="13" t="s">
        <v>169</v>
      </c>
      <c r="Q1098" s="13">
        <v>4</v>
      </c>
      <c r="R1098" s="13" t="s">
        <v>48</v>
      </c>
      <c r="S1098" s="20">
        <v>16437</v>
      </c>
      <c r="T1098" s="13">
        <v>17381</v>
      </c>
      <c r="U1098" s="13">
        <v>1</v>
      </c>
      <c r="V1098" s="13" t="s">
        <v>52</v>
      </c>
      <c r="W1098" s="13" t="s">
        <v>36</v>
      </c>
      <c r="X1098" s="13">
        <v>21</v>
      </c>
      <c r="Y1098" s="13">
        <v>4</v>
      </c>
      <c r="Z1098" s="13">
        <v>4</v>
      </c>
      <c r="AA1098" s="13">
        <v>80</v>
      </c>
      <c r="AB1098" s="13">
        <v>0</v>
      </c>
      <c r="AC1098" s="13">
        <v>21</v>
      </c>
      <c r="AD1098" s="13">
        <v>2</v>
      </c>
      <c r="AE1098" s="13">
        <v>3</v>
      </c>
      <c r="AF1098" s="14">
        <v>21</v>
      </c>
      <c r="AG1098" s="13">
        <v>7</v>
      </c>
      <c r="AH1098" s="13">
        <v>7</v>
      </c>
      <c r="AI1098" s="13">
        <v>7</v>
      </c>
      <c r="AJ1098" s="13" t="str">
        <f t="shared" si="17"/>
        <v>40-49</v>
      </c>
      <c r="AK1098" s="13" t="str">
        <f>IF(tblCleanData[[#This Row],[MonthlyIncome]]&lt;5000, "Low Income", IF(tblCleanData[[#This Row],[MonthlyIncome]]&lt;15000, "Medium Income", "High Income"))</f>
        <v>High Income</v>
      </c>
      <c r="AL1098" s="13">
        <f>IF(tblCleanData[[#This Row],[Attrition]]="No", 0,1)</f>
        <v>0</v>
      </c>
      <c r="AM1098" s="13">
        <f>IF(tblCleanData[[#This Row],[OverTime]] = "No", 0, 1)</f>
        <v>1</v>
      </c>
      <c r="AN1098" s="13" t="str">
        <f>CHOOSE(tblCleanData[[#This Row],[Education]], "Below College","College","Bachelor","Master","Doctor")</f>
        <v>College</v>
      </c>
      <c r="AO1098" s="13" t="str">
        <f>VLOOKUP(tblCleanData[[#This Row],[EmployeeNumber]],tblHelpers[],15,TRUE)</f>
        <v>Medium Risk</v>
      </c>
      <c r="AP1098" s="13">
        <f>VLOOKUP(tblCleanData[[#This Row],[EmployeeNumber]],tblHelpers[],14,0)</f>
        <v>49</v>
      </c>
    </row>
    <row r="1099" spans="1:42" x14ac:dyDescent="0.25">
      <c r="A1099" s="13">
        <v>24</v>
      </c>
      <c r="B1099" s="13" t="s">
        <v>59</v>
      </c>
      <c r="C1099" s="13" t="s">
        <v>37</v>
      </c>
      <c r="D1099" s="13">
        <v>350</v>
      </c>
      <c r="E1099" s="13" t="s">
        <v>62</v>
      </c>
      <c r="F1099" s="13">
        <v>21</v>
      </c>
      <c r="G1099" s="13">
        <v>2</v>
      </c>
      <c r="H1099" s="13" t="s">
        <v>228</v>
      </c>
      <c r="I1099" s="13">
        <v>1</v>
      </c>
      <c r="J1099" s="13">
        <v>1551</v>
      </c>
      <c r="K1099" s="13">
        <v>3</v>
      </c>
      <c r="L1099" s="13" t="s">
        <v>63</v>
      </c>
      <c r="M1099" s="13">
        <v>57</v>
      </c>
      <c r="N1099" s="13">
        <v>2</v>
      </c>
      <c r="O1099" s="13">
        <v>1</v>
      </c>
      <c r="P1099" s="13" t="s">
        <v>76</v>
      </c>
      <c r="Q1099" s="13">
        <v>1</v>
      </c>
      <c r="R1099" s="13" t="s">
        <v>109</v>
      </c>
      <c r="S1099" s="20">
        <v>2296</v>
      </c>
      <c r="T1099" s="13">
        <v>10036</v>
      </c>
      <c r="U1099" s="13">
        <v>0</v>
      </c>
      <c r="V1099" s="13" t="s">
        <v>52</v>
      </c>
      <c r="W1099" s="13" t="s">
        <v>59</v>
      </c>
      <c r="X1099" s="13">
        <v>14</v>
      </c>
      <c r="Y1099" s="13">
        <v>3</v>
      </c>
      <c r="Z1099" s="13">
        <v>2</v>
      </c>
      <c r="AA1099" s="13">
        <v>80</v>
      </c>
      <c r="AB1099" s="13">
        <v>3</v>
      </c>
      <c r="AC1099" s="13">
        <v>2</v>
      </c>
      <c r="AD1099" s="13">
        <v>3</v>
      </c>
      <c r="AE1099" s="13">
        <v>3</v>
      </c>
      <c r="AF1099" s="14">
        <v>1</v>
      </c>
      <c r="AG1099" s="13">
        <v>1</v>
      </c>
      <c r="AH1099" s="13">
        <v>0</v>
      </c>
      <c r="AI1099" s="13">
        <v>0</v>
      </c>
      <c r="AJ1099" s="13" t="str">
        <f t="shared" si="17"/>
        <v>Under 30</v>
      </c>
      <c r="AK1099" s="13" t="str">
        <f>IF(tblCleanData[[#This Row],[MonthlyIncome]]&lt;5000, "Low Income", IF(tblCleanData[[#This Row],[MonthlyIncome]]&lt;15000, "Medium Income", "High Income"))</f>
        <v>Low Income</v>
      </c>
      <c r="AL1099" s="13">
        <f>IF(tblCleanData[[#This Row],[Attrition]]="No", 0,1)</f>
        <v>0</v>
      </c>
      <c r="AM1099" s="13">
        <f>IF(tblCleanData[[#This Row],[OverTime]] = "No", 0, 1)</f>
        <v>0</v>
      </c>
      <c r="AN1099" s="13" t="str">
        <f>CHOOSE(tblCleanData[[#This Row],[Education]], "Below College","College","Bachelor","Master","Doctor")</f>
        <v>College</v>
      </c>
      <c r="AO1099" s="13" t="str">
        <f>VLOOKUP(tblCleanData[[#This Row],[EmployeeNumber]],tblHelpers[],15,TRUE)</f>
        <v>High Risk</v>
      </c>
      <c r="AP1099" s="13">
        <f>VLOOKUP(tblCleanData[[#This Row],[EmployeeNumber]],tblHelpers[],14,0)</f>
        <v>85</v>
      </c>
    </row>
    <row r="1100" spans="1:42" x14ac:dyDescent="0.25">
      <c r="A1100" s="13">
        <v>40</v>
      </c>
      <c r="B1100" s="13" t="s">
        <v>59</v>
      </c>
      <c r="C1100" s="13" t="s">
        <v>161</v>
      </c>
      <c r="D1100" s="13">
        <v>1142</v>
      </c>
      <c r="E1100" s="13" t="s">
        <v>62</v>
      </c>
      <c r="F1100" s="13">
        <v>8</v>
      </c>
      <c r="G1100" s="13">
        <v>2</v>
      </c>
      <c r="H1100" s="13" t="s">
        <v>42</v>
      </c>
      <c r="I1100" s="13">
        <v>1</v>
      </c>
      <c r="J1100" s="13">
        <v>1552</v>
      </c>
      <c r="K1100" s="13">
        <v>4</v>
      </c>
      <c r="L1100" s="13" t="s">
        <v>63</v>
      </c>
      <c r="M1100" s="13">
        <v>72</v>
      </c>
      <c r="N1100" s="13">
        <v>3</v>
      </c>
      <c r="O1100" s="13">
        <v>2</v>
      </c>
      <c r="P1100" s="13" t="s">
        <v>122</v>
      </c>
      <c r="Q1100" s="13">
        <v>4</v>
      </c>
      <c r="R1100" s="13" t="s">
        <v>109</v>
      </c>
      <c r="S1100" s="20">
        <v>4069</v>
      </c>
      <c r="T1100" s="13">
        <v>8841</v>
      </c>
      <c r="U1100" s="13">
        <v>3</v>
      </c>
      <c r="V1100" s="13" t="s">
        <v>52</v>
      </c>
      <c r="W1100" s="13" t="s">
        <v>36</v>
      </c>
      <c r="X1100" s="13">
        <v>18</v>
      </c>
      <c r="Y1100" s="13">
        <v>3</v>
      </c>
      <c r="Z1100" s="13">
        <v>3</v>
      </c>
      <c r="AA1100" s="13">
        <v>80</v>
      </c>
      <c r="AB1100" s="13">
        <v>0</v>
      </c>
      <c r="AC1100" s="13">
        <v>8</v>
      </c>
      <c r="AD1100" s="13">
        <v>2</v>
      </c>
      <c r="AE1100" s="13">
        <v>3</v>
      </c>
      <c r="AF1100" s="14">
        <v>2</v>
      </c>
      <c r="AG1100" s="13">
        <v>2</v>
      </c>
      <c r="AH1100" s="13">
        <v>2</v>
      </c>
      <c r="AI1100" s="13">
        <v>2</v>
      </c>
      <c r="AJ1100" s="13" t="str">
        <f t="shared" si="17"/>
        <v>40-49</v>
      </c>
      <c r="AK1100" s="13" t="str">
        <f>IF(tblCleanData[[#This Row],[MonthlyIncome]]&lt;5000, "Low Income", IF(tblCleanData[[#This Row],[MonthlyIncome]]&lt;15000, "Medium Income", "High Income"))</f>
        <v>Low Income</v>
      </c>
      <c r="AL1100" s="13">
        <f>IF(tblCleanData[[#This Row],[Attrition]]="No", 0,1)</f>
        <v>0</v>
      </c>
      <c r="AM1100" s="13">
        <f>IF(tblCleanData[[#This Row],[OverTime]] = "No", 0, 1)</f>
        <v>1</v>
      </c>
      <c r="AN1100" s="13" t="str">
        <f>CHOOSE(tblCleanData[[#This Row],[Education]], "Below College","College","Bachelor","Master","Doctor")</f>
        <v>College</v>
      </c>
      <c r="AO1100" s="13" t="str">
        <f>VLOOKUP(tblCleanData[[#This Row],[EmployeeNumber]],tblHelpers[],15,TRUE)</f>
        <v>High Risk</v>
      </c>
      <c r="AP1100" s="13">
        <f>VLOOKUP(tblCleanData[[#This Row],[EmployeeNumber]],tblHelpers[],14,0)</f>
        <v>71</v>
      </c>
    </row>
    <row r="1101" spans="1:42" x14ac:dyDescent="0.25">
      <c r="A1101" s="13">
        <v>45</v>
      </c>
      <c r="B1101" s="13" t="s">
        <v>59</v>
      </c>
      <c r="C1101" s="13" t="s">
        <v>37</v>
      </c>
      <c r="D1101" s="13">
        <v>538</v>
      </c>
      <c r="E1101" s="13" t="s">
        <v>62</v>
      </c>
      <c r="F1101" s="13">
        <v>1</v>
      </c>
      <c r="G1101" s="13">
        <v>4</v>
      </c>
      <c r="H1101" s="13" t="s">
        <v>228</v>
      </c>
      <c r="I1101" s="13">
        <v>1</v>
      </c>
      <c r="J1101" s="13">
        <v>1553</v>
      </c>
      <c r="K1101" s="13">
        <v>1</v>
      </c>
      <c r="L1101" s="13" t="s">
        <v>63</v>
      </c>
      <c r="M1101" s="13">
        <v>66</v>
      </c>
      <c r="N1101" s="13">
        <v>3</v>
      </c>
      <c r="O1101" s="13">
        <v>3</v>
      </c>
      <c r="P1101" s="13" t="s">
        <v>122</v>
      </c>
      <c r="Q1101" s="13">
        <v>2</v>
      </c>
      <c r="R1101" s="13" t="s">
        <v>109</v>
      </c>
      <c r="S1101" s="20">
        <v>7441</v>
      </c>
      <c r="T1101" s="13">
        <v>20933</v>
      </c>
      <c r="U1101" s="13">
        <v>1</v>
      </c>
      <c r="V1101" s="13" t="s">
        <v>52</v>
      </c>
      <c r="W1101" s="13" t="s">
        <v>59</v>
      </c>
      <c r="X1101" s="13">
        <v>12</v>
      </c>
      <c r="Y1101" s="13">
        <v>3</v>
      </c>
      <c r="Z1101" s="13">
        <v>1</v>
      </c>
      <c r="AA1101" s="13">
        <v>80</v>
      </c>
      <c r="AB1101" s="13">
        <v>3</v>
      </c>
      <c r="AC1101" s="13">
        <v>10</v>
      </c>
      <c r="AD1101" s="13">
        <v>4</v>
      </c>
      <c r="AE1101" s="13">
        <v>3</v>
      </c>
      <c r="AF1101" s="14">
        <v>10</v>
      </c>
      <c r="AG1101" s="13">
        <v>8</v>
      </c>
      <c r="AH1101" s="13">
        <v>7</v>
      </c>
      <c r="AI1101" s="13">
        <v>7</v>
      </c>
      <c r="AJ1101" s="13" t="str">
        <f t="shared" si="17"/>
        <v>40-49</v>
      </c>
      <c r="AK1101" s="13" t="str">
        <f>IF(tblCleanData[[#This Row],[MonthlyIncome]]&lt;5000, "Low Income", IF(tblCleanData[[#This Row],[MonthlyIncome]]&lt;15000, "Medium Income", "High Income"))</f>
        <v>Medium Income</v>
      </c>
      <c r="AL1101" s="13">
        <f>IF(tblCleanData[[#This Row],[Attrition]]="No", 0,1)</f>
        <v>0</v>
      </c>
      <c r="AM1101" s="13">
        <f>IF(tblCleanData[[#This Row],[OverTime]] = "No", 0, 1)</f>
        <v>0</v>
      </c>
      <c r="AN1101" s="13" t="str">
        <f>CHOOSE(tblCleanData[[#This Row],[Education]], "Below College","College","Bachelor","Master","Doctor")</f>
        <v>Master</v>
      </c>
      <c r="AO1101" s="13" t="str">
        <f>VLOOKUP(tblCleanData[[#This Row],[EmployeeNumber]],tblHelpers[],15,TRUE)</f>
        <v>Medium Risk</v>
      </c>
      <c r="AP1101" s="13">
        <f>VLOOKUP(tblCleanData[[#This Row],[EmployeeNumber]],tblHelpers[],14,0)</f>
        <v>42</v>
      </c>
    </row>
    <row r="1102" spans="1:42" x14ac:dyDescent="0.25">
      <c r="A1102" s="13">
        <v>35</v>
      </c>
      <c r="B1102" s="13" t="s">
        <v>59</v>
      </c>
      <c r="C1102" s="13" t="s">
        <v>37</v>
      </c>
      <c r="D1102" s="13">
        <v>1402</v>
      </c>
      <c r="E1102" s="13" t="s">
        <v>39</v>
      </c>
      <c r="F1102" s="13">
        <v>28</v>
      </c>
      <c r="G1102" s="13">
        <v>4</v>
      </c>
      <c r="H1102" s="13" t="s">
        <v>42</v>
      </c>
      <c r="I1102" s="13">
        <v>1</v>
      </c>
      <c r="J1102" s="13">
        <v>1554</v>
      </c>
      <c r="K1102" s="13">
        <v>2</v>
      </c>
      <c r="L1102" s="13" t="s">
        <v>43</v>
      </c>
      <c r="M1102" s="13">
        <v>98</v>
      </c>
      <c r="N1102" s="13">
        <v>2</v>
      </c>
      <c r="O1102" s="13">
        <v>1</v>
      </c>
      <c r="P1102" s="13" t="s">
        <v>182</v>
      </c>
      <c r="Q1102" s="13">
        <v>3</v>
      </c>
      <c r="R1102" s="13" t="s">
        <v>66</v>
      </c>
      <c r="S1102" s="20">
        <v>2430</v>
      </c>
      <c r="T1102" s="13">
        <v>26204</v>
      </c>
      <c r="U1102" s="13">
        <v>0</v>
      </c>
      <c r="V1102" s="13" t="s">
        <v>52</v>
      </c>
      <c r="W1102" s="13" t="s">
        <v>59</v>
      </c>
      <c r="X1102" s="13">
        <v>23</v>
      </c>
      <c r="Y1102" s="13">
        <v>4</v>
      </c>
      <c r="Z1102" s="13">
        <v>1</v>
      </c>
      <c r="AA1102" s="13">
        <v>80</v>
      </c>
      <c r="AB1102" s="13">
        <v>2</v>
      </c>
      <c r="AC1102" s="13">
        <v>6</v>
      </c>
      <c r="AD1102" s="13">
        <v>5</v>
      </c>
      <c r="AE1102" s="13">
        <v>3</v>
      </c>
      <c r="AF1102" s="14">
        <v>5</v>
      </c>
      <c r="AG1102" s="13">
        <v>3</v>
      </c>
      <c r="AH1102" s="13">
        <v>4</v>
      </c>
      <c r="AI1102" s="13">
        <v>2</v>
      </c>
      <c r="AJ1102" s="13" t="str">
        <f t="shared" si="17"/>
        <v>30-39</v>
      </c>
      <c r="AK1102" s="13" t="str">
        <f>IF(tblCleanData[[#This Row],[MonthlyIncome]]&lt;5000, "Low Income", IF(tblCleanData[[#This Row],[MonthlyIncome]]&lt;15000, "Medium Income", "High Income"))</f>
        <v>Low Income</v>
      </c>
      <c r="AL1102" s="13">
        <f>IF(tblCleanData[[#This Row],[Attrition]]="No", 0,1)</f>
        <v>0</v>
      </c>
      <c r="AM1102" s="13">
        <f>IF(tblCleanData[[#This Row],[OverTime]] = "No", 0, 1)</f>
        <v>0</v>
      </c>
      <c r="AN1102" s="13" t="str">
        <f>CHOOSE(tblCleanData[[#This Row],[Education]], "Below College","College","Bachelor","Master","Doctor")</f>
        <v>Master</v>
      </c>
      <c r="AO1102" s="13" t="str">
        <f>VLOOKUP(tblCleanData[[#This Row],[EmployeeNumber]],tblHelpers[],15,TRUE)</f>
        <v>Medium Risk</v>
      </c>
      <c r="AP1102" s="13">
        <f>VLOOKUP(tblCleanData[[#This Row],[EmployeeNumber]],tblHelpers[],14,0)</f>
        <v>53</v>
      </c>
    </row>
    <row r="1103" spans="1:42" x14ac:dyDescent="0.25">
      <c r="A1103" s="13">
        <v>32</v>
      </c>
      <c r="B1103" s="13" t="s">
        <v>59</v>
      </c>
      <c r="C1103" s="13" t="s">
        <v>37</v>
      </c>
      <c r="D1103" s="13">
        <v>824</v>
      </c>
      <c r="E1103" s="13" t="s">
        <v>62</v>
      </c>
      <c r="F1103" s="13">
        <v>5</v>
      </c>
      <c r="G1103" s="13">
        <v>2</v>
      </c>
      <c r="H1103" s="13" t="s">
        <v>42</v>
      </c>
      <c r="I1103" s="13">
        <v>1</v>
      </c>
      <c r="J1103" s="13">
        <v>1555</v>
      </c>
      <c r="K1103" s="13">
        <v>4</v>
      </c>
      <c r="L1103" s="13" t="s">
        <v>43</v>
      </c>
      <c r="M1103" s="13">
        <v>67</v>
      </c>
      <c r="N1103" s="13">
        <v>2</v>
      </c>
      <c r="O1103" s="13">
        <v>2</v>
      </c>
      <c r="P1103" s="13" t="s">
        <v>65</v>
      </c>
      <c r="Q1103" s="13">
        <v>2</v>
      </c>
      <c r="R1103" s="13" t="s">
        <v>66</v>
      </c>
      <c r="S1103" s="20">
        <v>5878</v>
      </c>
      <c r="T1103" s="13">
        <v>15624</v>
      </c>
      <c r="U1103" s="13">
        <v>3</v>
      </c>
      <c r="V1103" s="13" t="s">
        <v>52</v>
      </c>
      <c r="W1103" s="13" t="s">
        <v>59</v>
      </c>
      <c r="X1103" s="13">
        <v>12</v>
      </c>
      <c r="Y1103" s="13">
        <v>3</v>
      </c>
      <c r="Z1103" s="13">
        <v>1</v>
      </c>
      <c r="AA1103" s="13">
        <v>80</v>
      </c>
      <c r="AB1103" s="13">
        <v>1</v>
      </c>
      <c r="AC1103" s="13">
        <v>12</v>
      </c>
      <c r="AD1103" s="13">
        <v>2</v>
      </c>
      <c r="AE1103" s="13">
        <v>3</v>
      </c>
      <c r="AF1103" s="14">
        <v>7</v>
      </c>
      <c r="AG1103" s="13">
        <v>1</v>
      </c>
      <c r="AH1103" s="13">
        <v>2</v>
      </c>
      <c r="AI1103" s="13">
        <v>5</v>
      </c>
      <c r="AJ1103" s="13" t="str">
        <f t="shared" si="17"/>
        <v>30-39</v>
      </c>
      <c r="AK1103" s="13" t="str">
        <f>IF(tblCleanData[[#This Row],[MonthlyIncome]]&lt;5000, "Low Income", IF(tblCleanData[[#This Row],[MonthlyIncome]]&lt;15000, "Medium Income", "High Income"))</f>
        <v>Medium Income</v>
      </c>
      <c r="AL1103" s="13">
        <f>IF(tblCleanData[[#This Row],[Attrition]]="No", 0,1)</f>
        <v>0</v>
      </c>
      <c r="AM1103" s="13">
        <f>IF(tblCleanData[[#This Row],[OverTime]] = "No", 0, 1)</f>
        <v>0</v>
      </c>
      <c r="AN1103" s="13" t="str">
        <f>CHOOSE(tblCleanData[[#This Row],[Education]], "Below College","College","Bachelor","Master","Doctor")</f>
        <v>College</v>
      </c>
      <c r="AO1103" s="13" t="str">
        <f>VLOOKUP(tblCleanData[[#This Row],[EmployeeNumber]],tblHelpers[],15,TRUE)</f>
        <v>Medium Risk</v>
      </c>
      <c r="AP1103" s="13">
        <f>VLOOKUP(tblCleanData[[#This Row],[EmployeeNumber]],tblHelpers[],14,0)</f>
        <v>52</v>
      </c>
    </row>
    <row r="1104" spans="1:42" x14ac:dyDescent="0.25">
      <c r="A1104" s="13">
        <v>36</v>
      </c>
      <c r="B1104" s="13" t="s">
        <v>59</v>
      </c>
      <c r="C1104" s="13" t="s">
        <v>37</v>
      </c>
      <c r="D1104" s="13">
        <v>1157</v>
      </c>
      <c r="E1104" s="13" t="s">
        <v>39</v>
      </c>
      <c r="F1104" s="13">
        <v>2</v>
      </c>
      <c r="G1104" s="13">
        <v>4</v>
      </c>
      <c r="H1104" s="13" t="s">
        <v>42</v>
      </c>
      <c r="I1104" s="13">
        <v>1</v>
      </c>
      <c r="J1104" s="13">
        <v>1556</v>
      </c>
      <c r="K1104" s="13">
        <v>3</v>
      </c>
      <c r="L1104" s="13" t="s">
        <v>63</v>
      </c>
      <c r="M1104" s="13">
        <v>70</v>
      </c>
      <c r="N1104" s="13">
        <v>3</v>
      </c>
      <c r="O1104" s="13">
        <v>1</v>
      </c>
      <c r="P1104" s="13" t="s">
        <v>182</v>
      </c>
      <c r="Q1104" s="13">
        <v>4</v>
      </c>
      <c r="R1104" s="13" t="s">
        <v>48</v>
      </c>
      <c r="S1104" s="20">
        <v>2644</v>
      </c>
      <c r="T1104" s="13">
        <v>17001</v>
      </c>
      <c r="U1104" s="13">
        <v>3</v>
      </c>
      <c r="V1104" s="13" t="s">
        <v>52</v>
      </c>
      <c r="W1104" s="13" t="s">
        <v>36</v>
      </c>
      <c r="X1104" s="13">
        <v>21</v>
      </c>
      <c r="Y1104" s="13">
        <v>4</v>
      </c>
      <c r="Z1104" s="13">
        <v>4</v>
      </c>
      <c r="AA1104" s="13">
        <v>80</v>
      </c>
      <c r="AB1104" s="13">
        <v>0</v>
      </c>
      <c r="AC1104" s="13">
        <v>7</v>
      </c>
      <c r="AD1104" s="13">
        <v>3</v>
      </c>
      <c r="AE1104" s="13">
        <v>2</v>
      </c>
      <c r="AF1104" s="14">
        <v>3</v>
      </c>
      <c r="AG1104" s="13">
        <v>2</v>
      </c>
      <c r="AH1104" s="13">
        <v>1</v>
      </c>
      <c r="AI1104" s="13">
        <v>2</v>
      </c>
      <c r="AJ1104" s="13" t="str">
        <f t="shared" si="17"/>
        <v>30-39</v>
      </c>
      <c r="AK1104" s="13" t="str">
        <f>IF(tblCleanData[[#This Row],[MonthlyIncome]]&lt;5000, "Low Income", IF(tblCleanData[[#This Row],[MonthlyIncome]]&lt;15000, "Medium Income", "High Income"))</f>
        <v>Low Income</v>
      </c>
      <c r="AL1104" s="13">
        <f>IF(tblCleanData[[#This Row],[Attrition]]="No", 0,1)</f>
        <v>0</v>
      </c>
      <c r="AM1104" s="13">
        <f>IF(tblCleanData[[#This Row],[OverTime]] = "No", 0, 1)</f>
        <v>1</v>
      </c>
      <c r="AN1104" s="13" t="str">
        <f>CHOOSE(tblCleanData[[#This Row],[Education]], "Below College","College","Bachelor","Master","Doctor")</f>
        <v>Master</v>
      </c>
      <c r="AO1104" s="13" t="str">
        <f>VLOOKUP(tblCleanData[[#This Row],[EmployeeNumber]],tblHelpers[],15,TRUE)</f>
        <v>High Risk</v>
      </c>
      <c r="AP1104" s="13">
        <f>VLOOKUP(tblCleanData[[#This Row],[EmployeeNumber]],tblHelpers[],14,0)</f>
        <v>71</v>
      </c>
    </row>
    <row r="1105" spans="1:42" x14ac:dyDescent="0.25">
      <c r="A1105" s="13">
        <v>48</v>
      </c>
      <c r="B1105" s="13" t="s">
        <v>59</v>
      </c>
      <c r="C1105" s="13" t="s">
        <v>37</v>
      </c>
      <c r="D1105" s="13">
        <v>492</v>
      </c>
      <c r="E1105" s="13" t="s">
        <v>39</v>
      </c>
      <c r="F1105" s="13">
        <v>16</v>
      </c>
      <c r="G1105" s="13">
        <v>4</v>
      </c>
      <c r="H1105" s="13" t="s">
        <v>42</v>
      </c>
      <c r="I1105" s="13">
        <v>1</v>
      </c>
      <c r="J1105" s="13">
        <v>1557</v>
      </c>
      <c r="K1105" s="13">
        <v>3</v>
      </c>
      <c r="L1105" s="13" t="s">
        <v>43</v>
      </c>
      <c r="M1105" s="13">
        <v>96</v>
      </c>
      <c r="N1105" s="13">
        <v>3</v>
      </c>
      <c r="O1105" s="13">
        <v>2</v>
      </c>
      <c r="P1105" s="13" t="s">
        <v>46</v>
      </c>
      <c r="Q1105" s="13">
        <v>3</v>
      </c>
      <c r="R1105" s="13" t="s">
        <v>109</v>
      </c>
      <c r="S1105" s="20">
        <v>6439</v>
      </c>
      <c r="T1105" s="13">
        <v>13693</v>
      </c>
      <c r="U1105" s="13">
        <v>8</v>
      </c>
      <c r="V1105" s="13" t="s">
        <v>52</v>
      </c>
      <c r="W1105" s="13" t="s">
        <v>59</v>
      </c>
      <c r="X1105" s="13">
        <v>14</v>
      </c>
      <c r="Y1105" s="13">
        <v>3</v>
      </c>
      <c r="Z1105" s="13">
        <v>3</v>
      </c>
      <c r="AA1105" s="13">
        <v>80</v>
      </c>
      <c r="AB1105" s="13">
        <v>1</v>
      </c>
      <c r="AC1105" s="13">
        <v>18</v>
      </c>
      <c r="AD1105" s="13">
        <v>2</v>
      </c>
      <c r="AE1105" s="13">
        <v>3</v>
      </c>
      <c r="AF1105" s="14">
        <v>8</v>
      </c>
      <c r="AG1105" s="13">
        <v>7</v>
      </c>
      <c r="AH1105" s="13">
        <v>7</v>
      </c>
      <c r="AI1105" s="13">
        <v>7</v>
      </c>
      <c r="AJ1105" s="13" t="str">
        <f t="shared" si="17"/>
        <v>40-49</v>
      </c>
      <c r="AK1105" s="13" t="str">
        <f>IF(tblCleanData[[#This Row],[MonthlyIncome]]&lt;5000, "Low Income", IF(tblCleanData[[#This Row],[MonthlyIncome]]&lt;15000, "Medium Income", "High Income"))</f>
        <v>Medium Income</v>
      </c>
      <c r="AL1105" s="13">
        <f>IF(tblCleanData[[#This Row],[Attrition]]="No", 0,1)</f>
        <v>0</v>
      </c>
      <c r="AM1105" s="13">
        <f>IF(tblCleanData[[#This Row],[OverTime]] = "No", 0, 1)</f>
        <v>0</v>
      </c>
      <c r="AN1105" s="13" t="str">
        <f>CHOOSE(tblCleanData[[#This Row],[Education]], "Below College","College","Bachelor","Master","Doctor")</f>
        <v>Master</v>
      </c>
      <c r="AO1105" s="13" t="str">
        <f>VLOOKUP(tblCleanData[[#This Row],[EmployeeNumber]],tblHelpers[],15,TRUE)</f>
        <v>Medium Risk</v>
      </c>
      <c r="AP1105" s="13">
        <f>VLOOKUP(tblCleanData[[#This Row],[EmployeeNumber]],tblHelpers[],14,0)</f>
        <v>36</v>
      </c>
    </row>
    <row r="1106" spans="1:42" x14ac:dyDescent="0.25">
      <c r="A1106" s="13">
        <v>29</v>
      </c>
      <c r="B1106" s="13" t="s">
        <v>59</v>
      </c>
      <c r="C1106" s="13" t="s">
        <v>37</v>
      </c>
      <c r="D1106" s="13">
        <v>598</v>
      </c>
      <c r="E1106" s="13" t="s">
        <v>62</v>
      </c>
      <c r="F1106" s="13">
        <v>9</v>
      </c>
      <c r="G1106" s="13">
        <v>3</v>
      </c>
      <c r="H1106" s="13" t="s">
        <v>42</v>
      </c>
      <c r="I1106" s="13">
        <v>1</v>
      </c>
      <c r="J1106" s="13">
        <v>1558</v>
      </c>
      <c r="K1106" s="13">
        <v>3</v>
      </c>
      <c r="L1106" s="13" t="s">
        <v>63</v>
      </c>
      <c r="M1106" s="13">
        <v>91</v>
      </c>
      <c r="N1106" s="13">
        <v>4</v>
      </c>
      <c r="O1106" s="13">
        <v>1</v>
      </c>
      <c r="P1106" s="13" t="s">
        <v>65</v>
      </c>
      <c r="Q1106" s="13">
        <v>3</v>
      </c>
      <c r="R1106" s="13" t="s">
        <v>66</v>
      </c>
      <c r="S1106" s="20">
        <v>2451</v>
      </c>
      <c r="T1106" s="13">
        <v>22376</v>
      </c>
      <c r="U1106" s="13">
        <v>6</v>
      </c>
      <c r="V1106" s="13" t="s">
        <v>52</v>
      </c>
      <c r="W1106" s="13" t="s">
        <v>59</v>
      </c>
      <c r="X1106" s="13">
        <v>18</v>
      </c>
      <c r="Y1106" s="13">
        <v>3</v>
      </c>
      <c r="Z1106" s="13">
        <v>1</v>
      </c>
      <c r="AA1106" s="13">
        <v>80</v>
      </c>
      <c r="AB1106" s="13">
        <v>2</v>
      </c>
      <c r="AC1106" s="13">
        <v>5</v>
      </c>
      <c r="AD1106" s="13">
        <v>2</v>
      </c>
      <c r="AE1106" s="13">
        <v>2</v>
      </c>
      <c r="AF1106" s="14">
        <v>1</v>
      </c>
      <c r="AG1106" s="13">
        <v>0</v>
      </c>
      <c r="AH1106" s="13">
        <v>0</v>
      </c>
      <c r="AI1106" s="13">
        <v>0</v>
      </c>
      <c r="AJ1106" s="13" t="str">
        <f t="shared" si="17"/>
        <v>Under 30</v>
      </c>
      <c r="AK1106" s="13" t="str">
        <f>IF(tblCleanData[[#This Row],[MonthlyIncome]]&lt;5000, "Low Income", IF(tblCleanData[[#This Row],[MonthlyIncome]]&lt;15000, "Medium Income", "High Income"))</f>
        <v>Low Income</v>
      </c>
      <c r="AL1106" s="13">
        <f>IF(tblCleanData[[#This Row],[Attrition]]="No", 0,1)</f>
        <v>0</v>
      </c>
      <c r="AM1106" s="13">
        <f>IF(tblCleanData[[#This Row],[OverTime]] = "No", 0, 1)</f>
        <v>0</v>
      </c>
      <c r="AN1106" s="13" t="str">
        <f>CHOOSE(tblCleanData[[#This Row],[Education]], "Below College","College","Bachelor","Master","Doctor")</f>
        <v>Bachelor</v>
      </c>
      <c r="AO1106" s="13" t="str">
        <f>VLOOKUP(tblCleanData[[#This Row],[EmployeeNumber]],tblHelpers[],15,TRUE)</f>
        <v>High Risk</v>
      </c>
      <c r="AP1106" s="13">
        <f>VLOOKUP(tblCleanData[[#This Row],[EmployeeNumber]],tblHelpers[],14,0)</f>
        <v>73</v>
      </c>
    </row>
    <row r="1107" spans="1:42" x14ac:dyDescent="0.25">
      <c r="A1107" s="13">
        <v>33</v>
      </c>
      <c r="B1107" s="13" t="s">
        <v>59</v>
      </c>
      <c r="C1107" s="13" t="s">
        <v>37</v>
      </c>
      <c r="D1107" s="13">
        <v>1242</v>
      </c>
      <c r="E1107" s="13" t="s">
        <v>39</v>
      </c>
      <c r="F1107" s="13">
        <v>8</v>
      </c>
      <c r="G1107" s="13">
        <v>4</v>
      </c>
      <c r="H1107" s="13" t="s">
        <v>42</v>
      </c>
      <c r="I1107" s="13">
        <v>1</v>
      </c>
      <c r="J1107" s="13">
        <v>1560</v>
      </c>
      <c r="K1107" s="13">
        <v>1</v>
      </c>
      <c r="L1107" s="13" t="s">
        <v>63</v>
      </c>
      <c r="M1107" s="13">
        <v>46</v>
      </c>
      <c r="N1107" s="13">
        <v>3</v>
      </c>
      <c r="O1107" s="13">
        <v>2</v>
      </c>
      <c r="P1107" s="13" t="s">
        <v>46</v>
      </c>
      <c r="Q1107" s="13">
        <v>1</v>
      </c>
      <c r="R1107" s="13" t="s">
        <v>66</v>
      </c>
      <c r="S1107" s="20">
        <v>6392</v>
      </c>
      <c r="T1107" s="13">
        <v>10589</v>
      </c>
      <c r="U1107" s="13">
        <v>2</v>
      </c>
      <c r="V1107" s="13" t="s">
        <v>52</v>
      </c>
      <c r="W1107" s="13" t="s">
        <v>59</v>
      </c>
      <c r="X1107" s="13">
        <v>13</v>
      </c>
      <c r="Y1107" s="13">
        <v>3</v>
      </c>
      <c r="Z1107" s="13">
        <v>4</v>
      </c>
      <c r="AA1107" s="13">
        <v>80</v>
      </c>
      <c r="AB1107" s="13">
        <v>1</v>
      </c>
      <c r="AC1107" s="13">
        <v>8</v>
      </c>
      <c r="AD1107" s="13">
        <v>6</v>
      </c>
      <c r="AE1107" s="13">
        <v>1</v>
      </c>
      <c r="AF1107" s="14">
        <v>2</v>
      </c>
      <c r="AG1107" s="13">
        <v>2</v>
      </c>
      <c r="AH1107" s="13">
        <v>2</v>
      </c>
      <c r="AI1107" s="13">
        <v>2</v>
      </c>
      <c r="AJ1107" s="13" t="str">
        <f t="shared" si="17"/>
        <v>30-39</v>
      </c>
      <c r="AK1107" s="13" t="str">
        <f>IF(tblCleanData[[#This Row],[MonthlyIncome]]&lt;5000, "Low Income", IF(tblCleanData[[#This Row],[MonthlyIncome]]&lt;15000, "Medium Income", "High Income"))</f>
        <v>Medium Income</v>
      </c>
      <c r="AL1107" s="13">
        <f>IF(tblCleanData[[#This Row],[Attrition]]="No", 0,1)</f>
        <v>0</v>
      </c>
      <c r="AM1107" s="13">
        <f>IF(tblCleanData[[#This Row],[OverTime]] = "No", 0, 1)</f>
        <v>0</v>
      </c>
      <c r="AN1107" s="13" t="str">
        <f>CHOOSE(tblCleanData[[#This Row],[Education]], "Below College","College","Bachelor","Master","Doctor")</f>
        <v>Master</v>
      </c>
      <c r="AO1107" s="13" t="str">
        <f>VLOOKUP(tblCleanData[[#This Row],[EmployeeNumber]],tblHelpers[],15,TRUE)</f>
        <v>High Risk</v>
      </c>
      <c r="AP1107" s="13">
        <f>VLOOKUP(tblCleanData[[#This Row],[EmployeeNumber]],tblHelpers[],14,0)</f>
        <v>75</v>
      </c>
    </row>
    <row r="1108" spans="1:42" x14ac:dyDescent="0.25">
      <c r="A1108" s="13">
        <v>30</v>
      </c>
      <c r="B1108" s="13" t="s">
        <v>36</v>
      </c>
      <c r="C1108" s="13" t="s">
        <v>37</v>
      </c>
      <c r="D1108" s="13">
        <v>740</v>
      </c>
      <c r="E1108" s="13" t="s">
        <v>39</v>
      </c>
      <c r="F1108" s="13">
        <v>1</v>
      </c>
      <c r="G1108" s="13">
        <v>3</v>
      </c>
      <c r="H1108" s="13" t="s">
        <v>42</v>
      </c>
      <c r="I1108" s="13">
        <v>1</v>
      </c>
      <c r="J1108" s="13">
        <v>1562</v>
      </c>
      <c r="K1108" s="13">
        <v>2</v>
      </c>
      <c r="L1108" s="13" t="s">
        <v>63</v>
      </c>
      <c r="M1108" s="13">
        <v>64</v>
      </c>
      <c r="N1108" s="13">
        <v>2</v>
      </c>
      <c r="O1108" s="13">
        <v>2</v>
      </c>
      <c r="P1108" s="13" t="s">
        <v>46</v>
      </c>
      <c r="Q1108" s="13">
        <v>1</v>
      </c>
      <c r="R1108" s="13" t="s">
        <v>66</v>
      </c>
      <c r="S1108" s="20">
        <v>9714</v>
      </c>
      <c r="T1108" s="13">
        <v>5323</v>
      </c>
      <c r="U1108" s="13">
        <v>1</v>
      </c>
      <c r="V1108" s="13" t="s">
        <v>52</v>
      </c>
      <c r="W1108" s="13" t="s">
        <v>59</v>
      </c>
      <c r="X1108" s="13">
        <v>11</v>
      </c>
      <c r="Y1108" s="13">
        <v>3</v>
      </c>
      <c r="Z1108" s="13">
        <v>4</v>
      </c>
      <c r="AA1108" s="13">
        <v>80</v>
      </c>
      <c r="AB1108" s="13">
        <v>1</v>
      </c>
      <c r="AC1108" s="13">
        <v>10</v>
      </c>
      <c r="AD1108" s="13">
        <v>4</v>
      </c>
      <c r="AE1108" s="13">
        <v>3</v>
      </c>
      <c r="AF1108" s="14">
        <v>10</v>
      </c>
      <c r="AG1108" s="13">
        <v>8</v>
      </c>
      <c r="AH1108" s="13">
        <v>6</v>
      </c>
      <c r="AI1108" s="13">
        <v>7</v>
      </c>
      <c r="AJ1108" s="13" t="str">
        <f t="shared" si="17"/>
        <v>30-39</v>
      </c>
      <c r="AK1108" s="13" t="str">
        <f>IF(tblCleanData[[#This Row],[MonthlyIncome]]&lt;5000, "Low Income", IF(tblCleanData[[#This Row],[MonthlyIncome]]&lt;15000, "Medium Income", "High Income"))</f>
        <v>Medium Income</v>
      </c>
      <c r="AL1108" s="13">
        <f>IF(tblCleanData[[#This Row],[Attrition]]="No", 0,1)</f>
        <v>1</v>
      </c>
      <c r="AM1108" s="13">
        <f>IF(tblCleanData[[#This Row],[OverTime]] = "No", 0, 1)</f>
        <v>0</v>
      </c>
      <c r="AN1108" s="13" t="str">
        <f>CHOOSE(tblCleanData[[#This Row],[Education]], "Below College","College","Bachelor","Master","Doctor")</f>
        <v>Bachelor</v>
      </c>
      <c r="AO1108" s="13" t="str">
        <f>VLOOKUP(tblCleanData[[#This Row],[EmployeeNumber]],tblHelpers[],15,TRUE)</f>
        <v>High Risk</v>
      </c>
      <c r="AP1108" s="13">
        <f>VLOOKUP(tblCleanData[[#This Row],[EmployeeNumber]],tblHelpers[],14,0)</f>
        <v>58</v>
      </c>
    </row>
    <row r="1109" spans="1:42" x14ac:dyDescent="0.25">
      <c r="A1109" s="13">
        <v>38</v>
      </c>
      <c r="B1109" s="13" t="s">
        <v>59</v>
      </c>
      <c r="C1109" s="13" t="s">
        <v>60</v>
      </c>
      <c r="D1109" s="13">
        <v>888</v>
      </c>
      <c r="E1109" s="13" t="s">
        <v>397</v>
      </c>
      <c r="F1109" s="13">
        <v>10</v>
      </c>
      <c r="G1109" s="13">
        <v>4</v>
      </c>
      <c r="H1109" s="13" t="s">
        <v>397</v>
      </c>
      <c r="I1109" s="13">
        <v>1</v>
      </c>
      <c r="J1109" s="13">
        <v>1563</v>
      </c>
      <c r="K1109" s="13">
        <v>3</v>
      </c>
      <c r="L1109" s="13" t="s">
        <v>63</v>
      </c>
      <c r="M1109" s="13">
        <v>71</v>
      </c>
      <c r="N1109" s="13">
        <v>3</v>
      </c>
      <c r="O1109" s="13">
        <v>2</v>
      </c>
      <c r="P1109" s="13" t="s">
        <v>397</v>
      </c>
      <c r="Q1109" s="13">
        <v>3</v>
      </c>
      <c r="R1109" s="13" t="s">
        <v>66</v>
      </c>
      <c r="S1109" s="20">
        <v>6077</v>
      </c>
      <c r="T1109" s="13">
        <v>14814</v>
      </c>
      <c r="U1109" s="13">
        <v>3</v>
      </c>
      <c r="V1109" s="13" t="s">
        <v>52</v>
      </c>
      <c r="W1109" s="13" t="s">
        <v>59</v>
      </c>
      <c r="X1109" s="13">
        <v>11</v>
      </c>
      <c r="Y1109" s="13">
        <v>3</v>
      </c>
      <c r="Z1109" s="13">
        <v>3</v>
      </c>
      <c r="AA1109" s="13">
        <v>80</v>
      </c>
      <c r="AB1109" s="13">
        <v>0</v>
      </c>
      <c r="AC1109" s="13">
        <v>10</v>
      </c>
      <c r="AD1109" s="13">
        <v>2</v>
      </c>
      <c r="AE1109" s="13">
        <v>3</v>
      </c>
      <c r="AF1109" s="14">
        <v>6</v>
      </c>
      <c r="AG1109" s="13">
        <v>3</v>
      </c>
      <c r="AH1109" s="13">
        <v>1</v>
      </c>
      <c r="AI1109" s="13">
        <v>2</v>
      </c>
      <c r="AJ1109" s="13" t="str">
        <f t="shared" si="17"/>
        <v>30-39</v>
      </c>
      <c r="AK1109" s="13" t="str">
        <f>IF(tblCleanData[[#This Row],[MonthlyIncome]]&lt;5000, "Low Income", IF(tblCleanData[[#This Row],[MonthlyIncome]]&lt;15000, "Medium Income", "High Income"))</f>
        <v>Medium Income</v>
      </c>
      <c r="AL1109" s="13">
        <f>IF(tblCleanData[[#This Row],[Attrition]]="No", 0,1)</f>
        <v>0</v>
      </c>
      <c r="AM1109" s="13">
        <f>IF(tblCleanData[[#This Row],[OverTime]] = "No", 0, 1)</f>
        <v>0</v>
      </c>
      <c r="AN1109" s="13" t="str">
        <f>CHOOSE(tblCleanData[[#This Row],[Education]], "Below College","College","Bachelor","Master","Doctor")</f>
        <v>Master</v>
      </c>
      <c r="AO1109" s="13" t="str">
        <f>VLOOKUP(tblCleanData[[#This Row],[EmployeeNumber]],tblHelpers[],15,TRUE)</f>
        <v>Medium Risk</v>
      </c>
      <c r="AP1109" s="13">
        <f>VLOOKUP(tblCleanData[[#This Row],[EmployeeNumber]],tblHelpers[],14,0)</f>
        <v>46</v>
      </c>
    </row>
    <row r="1110" spans="1:42" x14ac:dyDescent="0.25">
      <c r="A1110" s="13">
        <v>35</v>
      </c>
      <c r="B1110" s="13" t="s">
        <v>59</v>
      </c>
      <c r="C1110" s="13" t="s">
        <v>37</v>
      </c>
      <c r="D1110" s="13">
        <v>992</v>
      </c>
      <c r="E1110" s="13" t="s">
        <v>62</v>
      </c>
      <c r="F1110" s="13">
        <v>1</v>
      </c>
      <c r="G1110" s="13">
        <v>3</v>
      </c>
      <c r="H1110" s="13" t="s">
        <v>87</v>
      </c>
      <c r="I1110" s="13">
        <v>1</v>
      </c>
      <c r="J1110" s="13">
        <v>1564</v>
      </c>
      <c r="K1110" s="13">
        <v>4</v>
      </c>
      <c r="L1110" s="13" t="s">
        <v>63</v>
      </c>
      <c r="M1110" s="13">
        <v>68</v>
      </c>
      <c r="N1110" s="13">
        <v>2</v>
      </c>
      <c r="O1110" s="13">
        <v>1</v>
      </c>
      <c r="P1110" s="13" t="s">
        <v>76</v>
      </c>
      <c r="Q1110" s="13">
        <v>1</v>
      </c>
      <c r="R1110" s="13" t="s">
        <v>48</v>
      </c>
      <c r="S1110" s="20">
        <v>2450</v>
      </c>
      <c r="T1110" s="13">
        <v>21731</v>
      </c>
      <c r="U1110" s="13">
        <v>1</v>
      </c>
      <c r="V1110" s="13" t="s">
        <v>52</v>
      </c>
      <c r="W1110" s="13" t="s">
        <v>59</v>
      </c>
      <c r="X1110" s="13">
        <v>19</v>
      </c>
      <c r="Y1110" s="13">
        <v>3</v>
      </c>
      <c r="Z1110" s="13">
        <v>2</v>
      </c>
      <c r="AA1110" s="13">
        <v>80</v>
      </c>
      <c r="AB1110" s="13">
        <v>0</v>
      </c>
      <c r="AC1110" s="13">
        <v>3</v>
      </c>
      <c r="AD1110" s="13">
        <v>3</v>
      </c>
      <c r="AE1110" s="13">
        <v>3</v>
      </c>
      <c r="AF1110" s="14">
        <v>3</v>
      </c>
      <c r="AG1110" s="13">
        <v>0</v>
      </c>
      <c r="AH1110" s="13">
        <v>1</v>
      </c>
      <c r="AI1110" s="13">
        <v>2</v>
      </c>
      <c r="AJ1110" s="13" t="str">
        <f t="shared" si="17"/>
        <v>30-39</v>
      </c>
      <c r="AK1110" s="13" t="str">
        <f>IF(tblCleanData[[#This Row],[MonthlyIncome]]&lt;5000, "Low Income", IF(tblCleanData[[#This Row],[MonthlyIncome]]&lt;15000, "Medium Income", "High Income"))</f>
        <v>Low Income</v>
      </c>
      <c r="AL1110" s="13">
        <f>IF(tblCleanData[[#This Row],[Attrition]]="No", 0,1)</f>
        <v>0</v>
      </c>
      <c r="AM1110" s="13">
        <f>IF(tblCleanData[[#This Row],[OverTime]] = "No", 0, 1)</f>
        <v>0</v>
      </c>
      <c r="AN1110" s="13" t="str">
        <f>CHOOSE(tblCleanData[[#This Row],[Education]], "Below College","College","Bachelor","Master","Doctor")</f>
        <v>Bachelor</v>
      </c>
      <c r="AO1110" s="13" t="str">
        <f>VLOOKUP(tblCleanData[[#This Row],[EmployeeNumber]],tblHelpers[],15,TRUE)</f>
        <v>High Risk</v>
      </c>
      <c r="AP1110" s="13">
        <f>VLOOKUP(tblCleanData[[#This Row],[EmployeeNumber]],tblHelpers[],14,0)</f>
        <v>65</v>
      </c>
    </row>
    <row r="1111" spans="1:42" x14ac:dyDescent="0.25">
      <c r="A1111" s="13">
        <v>30</v>
      </c>
      <c r="B1111" s="13" t="s">
        <v>59</v>
      </c>
      <c r="C1111" s="13" t="s">
        <v>37</v>
      </c>
      <c r="D1111" s="13">
        <v>1288</v>
      </c>
      <c r="E1111" s="13" t="s">
        <v>39</v>
      </c>
      <c r="F1111" s="13">
        <v>29</v>
      </c>
      <c r="G1111" s="13">
        <v>4</v>
      </c>
      <c r="H1111" s="13" t="s">
        <v>228</v>
      </c>
      <c r="I1111" s="13">
        <v>1</v>
      </c>
      <c r="J1111" s="13">
        <v>1568</v>
      </c>
      <c r="K1111" s="13">
        <v>3</v>
      </c>
      <c r="L1111" s="13" t="s">
        <v>63</v>
      </c>
      <c r="M1111" s="13">
        <v>33</v>
      </c>
      <c r="N1111" s="13">
        <v>3</v>
      </c>
      <c r="O1111" s="13">
        <v>3</v>
      </c>
      <c r="P1111" s="13" t="s">
        <v>46</v>
      </c>
      <c r="Q1111" s="13">
        <v>2</v>
      </c>
      <c r="R1111" s="13" t="s">
        <v>66</v>
      </c>
      <c r="S1111" s="20">
        <v>9250</v>
      </c>
      <c r="T1111" s="13">
        <v>17799</v>
      </c>
      <c r="U1111" s="13">
        <v>3</v>
      </c>
      <c r="V1111" s="13" t="s">
        <v>52</v>
      </c>
      <c r="W1111" s="13" t="s">
        <v>59</v>
      </c>
      <c r="X1111" s="13">
        <v>12</v>
      </c>
      <c r="Y1111" s="13">
        <v>3</v>
      </c>
      <c r="Z1111" s="13">
        <v>2</v>
      </c>
      <c r="AA1111" s="13">
        <v>80</v>
      </c>
      <c r="AB1111" s="13">
        <v>1</v>
      </c>
      <c r="AC1111" s="13">
        <v>9</v>
      </c>
      <c r="AD1111" s="13">
        <v>3</v>
      </c>
      <c r="AE1111" s="13">
        <v>3</v>
      </c>
      <c r="AF1111" s="14">
        <v>4</v>
      </c>
      <c r="AG1111" s="13">
        <v>2</v>
      </c>
      <c r="AH1111" s="13">
        <v>1</v>
      </c>
      <c r="AI1111" s="13">
        <v>3</v>
      </c>
      <c r="AJ1111" s="13" t="str">
        <f t="shared" si="17"/>
        <v>30-39</v>
      </c>
      <c r="AK1111" s="13" t="str">
        <f>IF(tblCleanData[[#This Row],[MonthlyIncome]]&lt;5000, "Low Income", IF(tblCleanData[[#This Row],[MonthlyIncome]]&lt;15000, "Medium Income", "High Income"))</f>
        <v>Medium Income</v>
      </c>
      <c r="AL1111" s="13">
        <f>IF(tblCleanData[[#This Row],[Attrition]]="No", 0,1)</f>
        <v>0</v>
      </c>
      <c r="AM1111" s="13">
        <f>IF(tblCleanData[[#This Row],[OverTime]] = "No", 0, 1)</f>
        <v>0</v>
      </c>
      <c r="AN1111" s="13" t="str">
        <f>CHOOSE(tblCleanData[[#This Row],[Education]], "Below College","College","Bachelor","Master","Doctor")</f>
        <v>Master</v>
      </c>
      <c r="AO1111" s="13" t="str">
        <f>VLOOKUP(tblCleanData[[#This Row],[EmployeeNumber]],tblHelpers[],15,TRUE)</f>
        <v>High Risk</v>
      </c>
      <c r="AP1111" s="13">
        <f>VLOOKUP(tblCleanData[[#This Row],[EmployeeNumber]],tblHelpers[],14,0)</f>
        <v>59</v>
      </c>
    </row>
    <row r="1112" spans="1:42" x14ac:dyDescent="0.25">
      <c r="A1112" s="13">
        <v>35</v>
      </c>
      <c r="B1112" s="13" t="s">
        <v>36</v>
      </c>
      <c r="C1112" s="13" t="s">
        <v>37</v>
      </c>
      <c r="D1112" s="13">
        <v>104</v>
      </c>
      <c r="E1112" s="13" t="s">
        <v>62</v>
      </c>
      <c r="F1112" s="13">
        <v>2</v>
      </c>
      <c r="G1112" s="13">
        <v>3</v>
      </c>
      <c r="H1112" s="13" t="s">
        <v>42</v>
      </c>
      <c r="I1112" s="13">
        <v>1</v>
      </c>
      <c r="J1112" s="13">
        <v>1569</v>
      </c>
      <c r="K1112" s="13">
        <v>1</v>
      </c>
      <c r="L1112" s="13" t="s">
        <v>43</v>
      </c>
      <c r="M1112" s="13">
        <v>69</v>
      </c>
      <c r="N1112" s="13">
        <v>3</v>
      </c>
      <c r="O1112" s="13">
        <v>1</v>
      </c>
      <c r="P1112" s="13" t="s">
        <v>76</v>
      </c>
      <c r="Q1112" s="13">
        <v>1</v>
      </c>
      <c r="R1112" s="13" t="s">
        <v>109</v>
      </c>
      <c r="S1112" s="20">
        <v>2074</v>
      </c>
      <c r="T1112" s="13">
        <v>26619</v>
      </c>
      <c r="U1112" s="13">
        <v>1</v>
      </c>
      <c r="V1112" s="13" t="s">
        <v>52</v>
      </c>
      <c r="W1112" s="13" t="s">
        <v>36</v>
      </c>
      <c r="X1112" s="13">
        <v>12</v>
      </c>
      <c r="Y1112" s="13">
        <v>3</v>
      </c>
      <c r="Z1112" s="13">
        <v>4</v>
      </c>
      <c r="AA1112" s="13">
        <v>80</v>
      </c>
      <c r="AB1112" s="13">
        <v>1</v>
      </c>
      <c r="AC1112" s="13">
        <v>1</v>
      </c>
      <c r="AD1112" s="13">
        <v>2</v>
      </c>
      <c r="AE1112" s="13">
        <v>3</v>
      </c>
      <c r="AF1112" s="14">
        <v>1</v>
      </c>
      <c r="AG1112" s="13">
        <v>0</v>
      </c>
      <c r="AH1112" s="13">
        <v>0</v>
      </c>
      <c r="AI1112" s="13">
        <v>0</v>
      </c>
      <c r="AJ1112" s="13" t="str">
        <f t="shared" si="17"/>
        <v>30-39</v>
      </c>
      <c r="AK1112" s="13" t="str">
        <f>IF(tblCleanData[[#This Row],[MonthlyIncome]]&lt;5000, "Low Income", IF(tblCleanData[[#This Row],[MonthlyIncome]]&lt;15000, "Medium Income", "High Income"))</f>
        <v>Low Income</v>
      </c>
      <c r="AL1112" s="13">
        <f>IF(tblCleanData[[#This Row],[Attrition]]="No", 0,1)</f>
        <v>1</v>
      </c>
      <c r="AM1112" s="13">
        <f>IF(tblCleanData[[#This Row],[OverTime]] = "No", 0, 1)</f>
        <v>1</v>
      </c>
      <c r="AN1112" s="13" t="str">
        <f>CHOOSE(tblCleanData[[#This Row],[Education]], "Below College","College","Bachelor","Master","Doctor")</f>
        <v>Bachelor</v>
      </c>
      <c r="AO1112" s="13" t="str">
        <f>VLOOKUP(tblCleanData[[#This Row],[EmployeeNumber]],tblHelpers[],15,TRUE)</f>
        <v>High Risk</v>
      </c>
      <c r="AP1112" s="13">
        <f>VLOOKUP(tblCleanData[[#This Row],[EmployeeNumber]],tblHelpers[],14,0)</f>
        <v>100</v>
      </c>
    </row>
    <row r="1113" spans="1:42" x14ac:dyDescent="0.25">
      <c r="A1113" s="13">
        <v>53</v>
      </c>
      <c r="B1113" s="13" t="s">
        <v>36</v>
      </c>
      <c r="C1113" s="13" t="s">
        <v>37</v>
      </c>
      <c r="D1113" s="13">
        <v>607</v>
      </c>
      <c r="E1113" s="13" t="s">
        <v>62</v>
      </c>
      <c r="F1113" s="13">
        <v>2</v>
      </c>
      <c r="G1113" s="13">
        <v>5</v>
      </c>
      <c r="H1113" s="13" t="s">
        <v>228</v>
      </c>
      <c r="I1113" s="13">
        <v>1</v>
      </c>
      <c r="J1113" s="13">
        <v>1572</v>
      </c>
      <c r="K1113" s="13">
        <v>3</v>
      </c>
      <c r="L1113" s="13" t="s">
        <v>43</v>
      </c>
      <c r="M1113" s="13">
        <v>78</v>
      </c>
      <c r="N1113" s="13">
        <v>2</v>
      </c>
      <c r="O1113" s="13">
        <v>3</v>
      </c>
      <c r="P1113" s="13" t="s">
        <v>116</v>
      </c>
      <c r="Q1113" s="13">
        <v>4</v>
      </c>
      <c r="R1113" s="13" t="s">
        <v>66</v>
      </c>
      <c r="S1113" s="20">
        <v>10169</v>
      </c>
      <c r="T1113" s="13">
        <v>14618</v>
      </c>
      <c r="U1113" s="13">
        <v>0</v>
      </c>
      <c r="V1113" s="13" t="s">
        <v>52</v>
      </c>
      <c r="W1113" s="13" t="s">
        <v>59</v>
      </c>
      <c r="X1113" s="13">
        <v>16</v>
      </c>
      <c r="Y1113" s="13">
        <v>3</v>
      </c>
      <c r="Z1113" s="13">
        <v>2</v>
      </c>
      <c r="AA1113" s="13">
        <v>80</v>
      </c>
      <c r="AB1113" s="13">
        <v>1</v>
      </c>
      <c r="AC1113" s="13">
        <v>34</v>
      </c>
      <c r="AD1113" s="13">
        <v>4</v>
      </c>
      <c r="AE1113" s="13">
        <v>3</v>
      </c>
      <c r="AF1113" s="14">
        <v>33</v>
      </c>
      <c r="AG1113" s="13">
        <v>7</v>
      </c>
      <c r="AH1113" s="13">
        <v>1</v>
      </c>
      <c r="AI1113" s="13">
        <v>9</v>
      </c>
      <c r="AJ1113" s="13" t="str">
        <f t="shared" si="17"/>
        <v>50+</v>
      </c>
      <c r="AK1113" s="13" t="str">
        <f>IF(tblCleanData[[#This Row],[MonthlyIncome]]&lt;5000, "Low Income", IF(tblCleanData[[#This Row],[MonthlyIncome]]&lt;15000, "Medium Income", "High Income"))</f>
        <v>Medium Income</v>
      </c>
      <c r="AL1113" s="13">
        <f>IF(tblCleanData[[#This Row],[Attrition]]="No", 0,1)</f>
        <v>1</v>
      </c>
      <c r="AM1113" s="13">
        <f>IF(tblCleanData[[#This Row],[OverTime]] = "No", 0, 1)</f>
        <v>0</v>
      </c>
      <c r="AN1113" s="13" t="str">
        <f>CHOOSE(tblCleanData[[#This Row],[Education]], "Below College","College","Bachelor","Master","Doctor")</f>
        <v>Doctor</v>
      </c>
      <c r="AO1113" s="13" t="str">
        <f>VLOOKUP(tblCleanData[[#This Row],[EmployeeNumber]],tblHelpers[],15,TRUE)</f>
        <v>Low Risk</v>
      </c>
      <c r="AP1113" s="13">
        <f>VLOOKUP(tblCleanData[[#This Row],[EmployeeNumber]],tblHelpers[],14,0)</f>
        <v>29</v>
      </c>
    </row>
    <row r="1114" spans="1:42" x14ac:dyDescent="0.25">
      <c r="A1114" s="13">
        <v>38</v>
      </c>
      <c r="B1114" s="13" t="s">
        <v>36</v>
      </c>
      <c r="C1114" s="13" t="s">
        <v>37</v>
      </c>
      <c r="D1114" s="13">
        <v>903</v>
      </c>
      <c r="E1114" s="13" t="s">
        <v>62</v>
      </c>
      <c r="F1114" s="13">
        <v>2</v>
      </c>
      <c r="G1114" s="13">
        <v>3</v>
      </c>
      <c r="H1114" s="13" t="s">
        <v>87</v>
      </c>
      <c r="I1114" s="13">
        <v>1</v>
      </c>
      <c r="J1114" s="13">
        <v>1573</v>
      </c>
      <c r="K1114" s="13">
        <v>3</v>
      </c>
      <c r="L1114" s="13" t="s">
        <v>63</v>
      </c>
      <c r="M1114" s="13">
        <v>81</v>
      </c>
      <c r="N1114" s="13">
        <v>3</v>
      </c>
      <c r="O1114" s="13">
        <v>2</v>
      </c>
      <c r="P1114" s="13" t="s">
        <v>116</v>
      </c>
      <c r="Q1114" s="13">
        <v>2</v>
      </c>
      <c r="R1114" s="13" t="s">
        <v>66</v>
      </c>
      <c r="S1114" s="20">
        <v>4855</v>
      </c>
      <c r="T1114" s="13">
        <v>7653</v>
      </c>
      <c r="U1114" s="13">
        <v>4</v>
      </c>
      <c r="V1114" s="13" t="s">
        <v>52</v>
      </c>
      <c r="W1114" s="13" t="s">
        <v>59</v>
      </c>
      <c r="X1114" s="13">
        <v>11</v>
      </c>
      <c r="Y1114" s="13">
        <v>3</v>
      </c>
      <c r="Z1114" s="13">
        <v>1</v>
      </c>
      <c r="AA1114" s="13">
        <v>80</v>
      </c>
      <c r="AB1114" s="13">
        <v>2</v>
      </c>
      <c r="AC1114" s="13">
        <v>7</v>
      </c>
      <c r="AD1114" s="13">
        <v>2</v>
      </c>
      <c r="AE1114" s="13">
        <v>3</v>
      </c>
      <c r="AF1114" s="14">
        <v>5</v>
      </c>
      <c r="AG1114" s="13">
        <v>2</v>
      </c>
      <c r="AH1114" s="13">
        <v>1</v>
      </c>
      <c r="AI1114" s="13">
        <v>4</v>
      </c>
      <c r="AJ1114" s="13" t="str">
        <f t="shared" si="17"/>
        <v>30-39</v>
      </c>
      <c r="AK1114" s="13" t="str">
        <f>IF(tblCleanData[[#This Row],[MonthlyIncome]]&lt;5000, "Low Income", IF(tblCleanData[[#This Row],[MonthlyIncome]]&lt;15000, "Medium Income", "High Income"))</f>
        <v>Low Income</v>
      </c>
      <c r="AL1114" s="13">
        <f>IF(tblCleanData[[#This Row],[Attrition]]="No", 0,1)</f>
        <v>1</v>
      </c>
      <c r="AM1114" s="13">
        <f>IF(tblCleanData[[#This Row],[OverTime]] = "No", 0, 1)</f>
        <v>0</v>
      </c>
      <c r="AN1114" s="13" t="str">
        <f>CHOOSE(tblCleanData[[#This Row],[Education]], "Below College","College","Bachelor","Master","Doctor")</f>
        <v>Bachelor</v>
      </c>
      <c r="AO1114" s="13" t="str">
        <f>VLOOKUP(tblCleanData[[#This Row],[EmployeeNumber]],tblHelpers[],15,TRUE)</f>
        <v>High Risk</v>
      </c>
      <c r="AP1114" s="13">
        <f>VLOOKUP(tblCleanData[[#This Row],[EmployeeNumber]],tblHelpers[],14,0)</f>
        <v>59</v>
      </c>
    </row>
    <row r="1115" spans="1:42" x14ac:dyDescent="0.25">
      <c r="A1115" s="13">
        <v>32</v>
      </c>
      <c r="B1115" s="13" t="s">
        <v>59</v>
      </c>
      <c r="C1115" s="13" t="s">
        <v>161</v>
      </c>
      <c r="D1115" s="13">
        <v>1200</v>
      </c>
      <c r="E1115" s="13" t="s">
        <v>62</v>
      </c>
      <c r="F1115" s="13">
        <v>1</v>
      </c>
      <c r="G1115" s="13">
        <v>4</v>
      </c>
      <c r="H1115" s="13" t="s">
        <v>228</v>
      </c>
      <c r="I1115" s="13">
        <v>1</v>
      </c>
      <c r="J1115" s="13">
        <v>1574</v>
      </c>
      <c r="K1115" s="13">
        <v>4</v>
      </c>
      <c r="L1115" s="13" t="s">
        <v>63</v>
      </c>
      <c r="M1115" s="13">
        <v>62</v>
      </c>
      <c r="N1115" s="13">
        <v>3</v>
      </c>
      <c r="O1115" s="13">
        <v>2</v>
      </c>
      <c r="P1115" s="13" t="s">
        <v>65</v>
      </c>
      <c r="Q1115" s="13">
        <v>1</v>
      </c>
      <c r="R1115" s="13" t="s">
        <v>66</v>
      </c>
      <c r="S1115" s="20">
        <v>4087</v>
      </c>
      <c r="T1115" s="13">
        <v>25174</v>
      </c>
      <c r="U1115" s="13">
        <v>4</v>
      </c>
      <c r="V1115" s="13" t="s">
        <v>52</v>
      </c>
      <c r="W1115" s="13" t="s">
        <v>59</v>
      </c>
      <c r="X1115" s="13">
        <v>14</v>
      </c>
      <c r="Y1115" s="13">
        <v>3</v>
      </c>
      <c r="Z1115" s="13">
        <v>2</v>
      </c>
      <c r="AA1115" s="13">
        <v>80</v>
      </c>
      <c r="AB1115" s="13">
        <v>1</v>
      </c>
      <c r="AC1115" s="13">
        <v>9</v>
      </c>
      <c r="AD1115" s="13">
        <v>3</v>
      </c>
      <c r="AE1115" s="13">
        <v>2</v>
      </c>
      <c r="AF1115" s="14">
        <v>6</v>
      </c>
      <c r="AG1115" s="13">
        <v>5</v>
      </c>
      <c r="AH1115" s="13">
        <v>1</v>
      </c>
      <c r="AI1115" s="13">
        <v>2</v>
      </c>
      <c r="AJ1115" s="13" t="str">
        <f t="shared" si="17"/>
        <v>30-39</v>
      </c>
      <c r="AK1115" s="13" t="str">
        <f>IF(tblCleanData[[#This Row],[MonthlyIncome]]&lt;5000, "Low Income", IF(tblCleanData[[#This Row],[MonthlyIncome]]&lt;15000, "Medium Income", "High Income"))</f>
        <v>Low Income</v>
      </c>
      <c r="AL1115" s="13">
        <f>IF(tblCleanData[[#This Row],[Attrition]]="No", 0,1)</f>
        <v>0</v>
      </c>
      <c r="AM1115" s="13">
        <f>IF(tblCleanData[[#This Row],[OverTime]] = "No", 0, 1)</f>
        <v>0</v>
      </c>
      <c r="AN1115" s="13" t="str">
        <f>CHOOSE(tblCleanData[[#This Row],[Education]], "Below College","College","Bachelor","Master","Doctor")</f>
        <v>Master</v>
      </c>
      <c r="AO1115" s="13" t="str">
        <f>VLOOKUP(tblCleanData[[#This Row],[EmployeeNumber]],tblHelpers[],15,TRUE)</f>
        <v>High Risk</v>
      </c>
      <c r="AP1115" s="13">
        <f>VLOOKUP(tblCleanData[[#This Row],[EmployeeNumber]],tblHelpers[],14,0)</f>
        <v>58</v>
      </c>
    </row>
    <row r="1116" spans="1:42" x14ac:dyDescent="0.25">
      <c r="A1116" s="13">
        <v>48</v>
      </c>
      <c r="B1116" s="13" t="s">
        <v>59</v>
      </c>
      <c r="C1116" s="13" t="s">
        <v>37</v>
      </c>
      <c r="D1116" s="13">
        <v>1108</v>
      </c>
      <c r="E1116" s="13" t="s">
        <v>62</v>
      </c>
      <c r="F1116" s="13">
        <v>15</v>
      </c>
      <c r="G1116" s="13">
        <v>4</v>
      </c>
      <c r="H1116" s="13" t="s">
        <v>74</v>
      </c>
      <c r="I1116" s="13">
        <v>1</v>
      </c>
      <c r="J1116" s="13">
        <v>1576</v>
      </c>
      <c r="K1116" s="13">
        <v>3</v>
      </c>
      <c r="L1116" s="13" t="s">
        <v>43</v>
      </c>
      <c r="M1116" s="13">
        <v>65</v>
      </c>
      <c r="N1116" s="13">
        <v>3</v>
      </c>
      <c r="O1116" s="13">
        <v>1</v>
      </c>
      <c r="P1116" s="13" t="s">
        <v>65</v>
      </c>
      <c r="Q1116" s="13">
        <v>1</v>
      </c>
      <c r="R1116" s="13" t="s">
        <v>66</v>
      </c>
      <c r="S1116" s="20">
        <v>2367</v>
      </c>
      <c r="T1116" s="13">
        <v>16530</v>
      </c>
      <c r="U1116" s="13">
        <v>8</v>
      </c>
      <c r="V1116" s="13" t="s">
        <v>52</v>
      </c>
      <c r="W1116" s="13" t="s">
        <v>59</v>
      </c>
      <c r="X1116" s="13">
        <v>12</v>
      </c>
      <c r="Y1116" s="13">
        <v>3</v>
      </c>
      <c r="Z1116" s="13">
        <v>4</v>
      </c>
      <c r="AA1116" s="13">
        <v>80</v>
      </c>
      <c r="AB1116" s="13">
        <v>1</v>
      </c>
      <c r="AC1116" s="13">
        <v>10</v>
      </c>
      <c r="AD1116" s="13">
        <v>3</v>
      </c>
      <c r="AE1116" s="13">
        <v>2</v>
      </c>
      <c r="AF1116" s="14">
        <v>8</v>
      </c>
      <c r="AG1116" s="13">
        <v>2</v>
      </c>
      <c r="AH1116" s="13">
        <v>7</v>
      </c>
      <c r="AI1116" s="13">
        <v>6</v>
      </c>
      <c r="AJ1116" s="13" t="str">
        <f t="shared" si="17"/>
        <v>40-49</v>
      </c>
      <c r="AK1116" s="13" t="str">
        <f>IF(tblCleanData[[#This Row],[MonthlyIncome]]&lt;5000, "Low Income", IF(tblCleanData[[#This Row],[MonthlyIncome]]&lt;15000, "Medium Income", "High Income"))</f>
        <v>Low Income</v>
      </c>
      <c r="AL1116" s="13">
        <f>IF(tblCleanData[[#This Row],[Attrition]]="No", 0,1)</f>
        <v>0</v>
      </c>
      <c r="AM1116" s="13">
        <f>IF(tblCleanData[[#This Row],[OverTime]] = "No", 0, 1)</f>
        <v>0</v>
      </c>
      <c r="AN1116" s="13" t="str">
        <f>CHOOSE(tblCleanData[[#This Row],[Education]], "Below College","College","Bachelor","Master","Doctor")</f>
        <v>Master</v>
      </c>
      <c r="AO1116" s="13" t="str">
        <f>VLOOKUP(tblCleanData[[#This Row],[EmployeeNumber]],tblHelpers[],15,TRUE)</f>
        <v>Medium Risk</v>
      </c>
      <c r="AP1116" s="13">
        <f>VLOOKUP(tblCleanData[[#This Row],[EmployeeNumber]],tblHelpers[],14,0)</f>
        <v>48</v>
      </c>
    </row>
    <row r="1117" spans="1:42" x14ac:dyDescent="0.25">
      <c r="A1117" s="13">
        <v>34</v>
      </c>
      <c r="B1117" s="13" t="s">
        <v>59</v>
      </c>
      <c r="C1117" s="13" t="s">
        <v>37</v>
      </c>
      <c r="D1117" s="13">
        <v>479</v>
      </c>
      <c r="E1117" s="13" t="s">
        <v>62</v>
      </c>
      <c r="F1117" s="13">
        <v>7</v>
      </c>
      <c r="G1117" s="13">
        <v>4</v>
      </c>
      <c r="H1117" s="13" t="s">
        <v>87</v>
      </c>
      <c r="I1117" s="13">
        <v>1</v>
      </c>
      <c r="J1117" s="13">
        <v>1577</v>
      </c>
      <c r="K1117" s="13">
        <v>1</v>
      </c>
      <c r="L1117" s="13" t="s">
        <v>63</v>
      </c>
      <c r="M1117" s="13">
        <v>35</v>
      </c>
      <c r="N1117" s="13">
        <v>3</v>
      </c>
      <c r="O1117" s="13">
        <v>1</v>
      </c>
      <c r="P1117" s="13" t="s">
        <v>65</v>
      </c>
      <c r="Q1117" s="13">
        <v>4</v>
      </c>
      <c r="R1117" s="13" t="s">
        <v>48</v>
      </c>
      <c r="S1117" s="20">
        <v>2972</v>
      </c>
      <c r="T1117" s="13">
        <v>22061</v>
      </c>
      <c r="U1117" s="13">
        <v>1</v>
      </c>
      <c r="V1117" s="13" t="s">
        <v>52</v>
      </c>
      <c r="W1117" s="13" t="s">
        <v>59</v>
      </c>
      <c r="X1117" s="13">
        <v>13</v>
      </c>
      <c r="Y1117" s="13">
        <v>3</v>
      </c>
      <c r="Z1117" s="13">
        <v>3</v>
      </c>
      <c r="AA1117" s="13">
        <v>80</v>
      </c>
      <c r="AB1117" s="13">
        <v>0</v>
      </c>
      <c r="AC1117" s="13">
        <v>1</v>
      </c>
      <c r="AD1117" s="13">
        <v>4</v>
      </c>
      <c r="AE1117" s="13">
        <v>1</v>
      </c>
      <c r="AF1117" s="14">
        <v>1</v>
      </c>
      <c r="AG1117" s="13">
        <v>0</v>
      </c>
      <c r="AH1117" s="13">
        <v>0</v>
      </c>
      <c r="AI1117" s="13">
        <v>0</v>
      </c>
      <c r="AJ1117" s="13" t="str">
        <f t="shared" si="17"/>
        <v>30-39</v>
      </c>
      <c r="AK1117" s="13" t="str">
        <f>IF(tblCleanData[[#This Row],[MonthlyIncome]]&lt;5000, "Low Income", IF(tblCleanData[[#This Row],[MonthlyIncome]]&lt;15000, "Medium Income", "High Income"))</f>
        <v>Low Income</v>
      </c>
      <c r="AL1117" s="13">
        <f>IF(tblCleanData[[#This Row],[Attrition]]="No", 0,1)</f>
        <v>0</v>
      </c>
      <c r="AM1117" s="13">
        <f>IF(tblCleanData[[#This Row],[OverTime]] = "No", 0, 1)</f>
        <v>0</v>
      </c>
      <c r="AN1117" s="13" t="str">
        <f>CHOOSE(tblCleanData[[#This Row],[Education]], "Below College","College","Bachelor","Master","Doctor")</f>
        <v>Master</v>
      </c>
      <c r="AO1117" s="13" t="str">
        <f>VLOOKUP(tblCleanData[[#This Row],[EmployeeNumber]],tblHelpers[],15,TRUE)</f>
        <v>High Risk</v>
      </c>
      <c r="AP1117" s="13">
        <f>VLOOKUP(tblCleanData[[#This Row],[EmployeeNumber]],tblHelpers[],14,0)</f>
        <v>56</v>
      </c>
    </row>
    <row r="1118" spans="1:42" x14ac:dyDescent="0.25">
      <c r="A1118" s="13">
        <v>55</v>
      </c>
      <c r="B1118" s="13" t="s">
        <v>59</v>
      </c>
      <c r="C1118" s="13" t="s">
        <v>37</v>
      </c>
      <c r="D1118" s="13">
        <v>685</v>
      </c>
      <c r="E1118" s="13" t="s">
        <v>39</v>
      </c>
      <c r="F1118" s="13">
        <v>26</v>
      </c>
      <c r="G1118" s="13">
        <v>5</v>
      </c>
      <c r="H1118" s="13" t="s">
        <v>206</v>
      </c>
      <c r="I1118" s="13">
        <v>1</v>
      </c>
      <c r="J1118" s="13">
        <v>1578</v>
      </c>
      <c r="K1118" s="13">
        <v>3</v>
      </c>
      <c r="L1118" s="13" t="s">
        <v>63</v>
      </c>
      <c r="M1118" s="13">
        <v>60</v>
      </c>
      <c r="N1118" s="13">
        <v>2</v>
      </c>
      <c r="O1118" s="13">
        <v>5</v>
      </c>
      <c r="P1118" s="13" t="s">
        <v>169</v>
      </c>
      <c r="Q1118" s="13">
        <v>4</v>
      </c>
      <c r="R1118" s="13" t="s">
        <v>66</v>
      </c>
      <c r="S1118" s="20">
        <v>19586</v>
      </c>
      <c r="T1118" s="13">
        <v>23037</v>
      </c>
      <c r="U1118" s="13">
        <v>1</v>
      </c>
      <c r="V1118" s="13" t="s">
        <v>52</v>
      </c>
      <c r="W1118" s="13" t="s">
        <v>59</v>
      </c>
      <c r="X1118" s="13">
        <v>21</v>
      </c>
      <c r="Y1118" s="13">
        <v>4</v>
      </c>
      <c r="Z1118" s="13">
        <v>3</v>
      </c>
      <c r="AA1118" s="13">
        <v>80</v>
      </c>
      <c r="AB1118" s="13">
        <v>1</v>
      </c>
      <c r="AC1118" s="13">
        <v>36</v>
      </c>
      <c r="AD1118" s="13">
        <v>3</v>
      </c>
      <c r="AE1118" s="13">
        <v>3</v>
      </c>
      <c r="AF1118" s="14">
        <v>36</v>
      </c>
      <c r="AG1118" s="13">
        <v>6</v>
      </c>
      <c r="AH1118" s="13">
        <v>2</v>
      </c>
      <c r="AI1118" s="13">
        <v>13</v>
      </c>
      <c r="AJ1118" s="13" t="str">
        <f t="shared" si="17"/>
        <v>50+</v>
      </c>
      <c r="AK1118" s="13" t="str">
        <f>IF(tblCleanData[[#This Row],[MonthlyIncome]]&lt;5000, "Low Income", IF(tblCleanData[[#This Row],[MonthlyIncome]]&lt;15000, "Medium Income", "High Income"))</f>
        <v>High Income</v>
      </c>
      <c r="AL1118" s="13">
        <f>IF(tblCleanData[[#This Row],[Attrition]]="No", 0,1)</f>
        <v>0</v>
      </c>
      <c r="AM1118" s="13">
        <f>IF(tblCleanData[[#This Row],[OverTime]] = "No", 0, 1)</f>
        <v>0</v>
      </c>
      <c r="AN1118" s="13" t="str">
        <f>CHOOSE(tblCleanData[[#This Row],[Education]], "Below College","College","Bachelor","Master","Doctor")</f>
        <v>Doctor</v>
      </c>
      <c r="AO1118" s="13" t="str">
        <f>VLOOKUP(tblCleanData[[#This Row],[EmployeeNumber]],tblHelpers[],15,TRUE)</f>
        <v>Low Risk</v>
      </c>
      <c r="AP1118" s="13">
        <f>VLOOKUP(tblCleanData[[#This Row],[EmployeeNumber]],tblHelpers[],14,0)</f>
        <v>29</v>
      </c>
    </row>
    <row r="1119" spans="1:42" x14ac:dyDescent="0.25">
      <c r="A1119" s="13">
        <v>34</v>
      </c>
      <c r="B1119" s="13" t="s">
        <v>59</v>
      </c>
      <c r="C1119" s="13" t="s">
        <v>37</v>
      </c>
      <c r="D1119" s="13">
        <v>1351</v>
      </c>
      <c r="E1119" s="13" t="s">
        <v>62</v>
      </c>
      <c r="F1119" s="13">
        <v>1</v>
      </c>
      <c r="G1119" s="13">
        <v>4</v>
      </c>
      <c r="H1119" s="13" t="s">
        <v>42</v>
      </c>
      <c r="I1119" s="13">
        <v>1</v>
      </c>
      <c r="J1119" s="13">
        <v>1580</v>
      </c>
      <c r="K1119" s="13">
        <v>2</v>
      </c>
      <c r="L1119" s="13" t="s">
        <v>63</v>
      </c>
      <c r="M1119" s="13">
        <v>45</v>
      </c>
      <c r="N1119" s="13">
        <v>3</v>
      </c>
      <c r="O1119" s="13">
        <v>2</v>
      </c>
      <c r="P1119" s="13" t="s">
        <v>65</v>
      </c>
      <c r="Q1119" s="13">
        <v>4</v>
      </c>
      <c r="R1119" s="13" t="s">
        <v>66</v>
      </c>
      <c r="S1119" s="20">
        <v>5484</v>
      </c>
      <c r="T1119" s="13">
        <v>13008</v>
      </c>
      <c r="U1119" s="13">
        <v>9</v>
      </c>
      <c r="V1119" s="13" t="s">
        <v>52</v>
      </c>
      <c r="W1119" s="13" t="s">
        <v>59</v>
      </c>
      <c r="X1119" s="13">
        <v>17</v>
      </c>
      <c r="Y1119" s="13">
        <v>3</v>
      </c>
      <c r="Z1119" s="13">
        <v>2</v>
      </c>
      <c r="AA1119" s="13">
        <v>80</v>
      </c>
      <c r="AB1119" s="13">
        <v>1</v>
      </c>
      <c r="AC1119" s="13">
        <v>9</v>
      </c>
      <c r="AD1119" s="13">
        <v>3</v>
      </c>
      <c r="AE1119" s="13">
        <v>2</v>
      </c>
      <c r="AF1119" s="14">
        <v>2</v>
      </c>
      <c r="AG1119" s="13">
        <v>2</v>
      </c>
      <c r="AH1119" s="13">
        <v>2</v>
      </c>
      <c r="AI1119" s="13">
        <v>1</v>
      </c>
      <c r="AJ1119" s="13" t="str">
        <f t="shared" si="17"/>
        <v>30-39</v>
      </c>
      <c r="AK1119" s="13" t="str">
        <f>IF(tblCleanData[[#This Row],[MonthlyIncome]]&lt;5000, "Low Income", IF(tblCleanData[[#This Row],[MonthlyIncome]]&lt;15000, "Medium Income", "High Income"))</f>
        <v>Medium Income</v>
      </c>
      <c r="AL1119" s="13">
        <f>IF(tblCleanData[[#This Row],[Attrition]]="No", 0,1)</f>
        <v>0</v>
      </c>
      <c r="AM1119" s="13">
        <f>IF(tblCleanData[[#This Row],[OverTime]] = "No", 0, 1)</f>
        <v>0</v>
      </c>
      <c r="AN1119" s="13" t="str">
        <f>CHOOSE(tblCleanData[[#This Row],[Education]], "Below College","College","Bachelor","Master","Doctor")</f>
        <v>Master</v>
      </c>
      <c r="AO1119" s="13" t="str">
        <f>VLOOKUP(tblCleanData[[#This Row],[EmployeeNumber]],tblHelpers[],15,TRUE)</f>
        <v>High Risk</v>
      </c>
      <c r="AP1119" s="13">
        <f>VLOOKUP(tblCleanData[[#This Row],[EmployeeNumber]],tblHelpers[],14,0)</f>
        <v>56</v>
      </c>
    </row>
    <row r="1120" spans="1:42" x14ac:dyDescent="0.25">
      <c r="A1120" s="13">
        <v>26</v>
      </c>
      <c r="B1120" s="13" t="s">
        <v>59</v>
      </c>
      <c r="C1120" s="13" t="s">
        <v>37</v>
      </c>
      <c r="D1120" s="13">
        <v>474</v>
      </c>
      <c r="E1120" s="13" t="s">
        <v>62</v>
      </c>
      <c r="F1120" s="13">
        <v>3</v>
      </c>
      <c r="G1120" s="13">
        <v>3</v>
      </c>
      <c r="H1120" s="13" t="s">
        <v>42</v>
      </c>
      <c r="I1120" s="13">
        <v>1</v>
      </c>
      <c r="J1120" s="13">
        <v>1581</v>
      </c>
      <c r="K1120" s="13">
        <v>1</v>
      </c>
      <c r="L1120" s="13" t="s">
        <v>43</v>
      </c>
      <c r="M1120" s="13">
        <v>89</v>
      </c>
      <c r="N1120" s="13">
        <v>3</v>
      </c>
      <c r="O1120" s="13">
        <v>1</v>
      </c>
      <c r="P1120" s="13" t="s">
        <v>65</v>
      </c>
      <c r="Q1120" s="13">
        <v>4</v>
      </c>
      <c r="R1120" s="13" t="s">
        <v>66</v>
      </c>
      <c r="S1120" s="20">
        <v>2061</v>
      </c>
      <c r="T1120" s="13">
        <v>11133</v>
      </c>
      <c r="U1120" s="13">
        <v>1</v>
      </c>
      <c r="V1120" s="13" t="s">
        <v>52</v>
      </c>
      <c r="W1120" s="13" t="s">
        <v>59</v>
      </c>
      <c r="X1120" s="13">
        <v>21</v>
      </c>
      <c r="Y1120" s="13">
        <v>4</v>
      </c>
      <c r="Z1120" s="13">
        <v>1</v>
      </c>
      <c r="AA1120" s="13">
        <v>80</v>
      </c>
      <c r="AB1120" s="13">
        <v>0</v>
      </c>
      <c r="AC1120" s="13">
        <v>1</v>
      </c>
      <c r="AD1120" s="13">
        <v>5</v>
      </c>
      <c r="AE1120" s="13">
        <v>3</v>
      </c>
      <c r="AF1120" s="14">
        <v>1</v>
      </c>
      <c r="AG1120" s="13">
        <v>0</v>
      </c>
      <c r="AH1120" s="13">
        <v>0</v>
      </c>
      <c r="AI1120" s="13">
        <v>0</v>
      </c>
      <c r="AJ1120" s="13" t="str">
        <f t="shared" si="17"/>
        <v>Under 30</v>
      </c>
      <c r="AK1120" s="13" t="str">
        <f>IF(tblCleanData[[#This Row],[MonthlyIncome]]&lt;5000, "Low Income", IF(tblCleanData[[#This Row],[MonthlyIncome]]&lt;15000, "Medium Income", "High Income"))</f>
        <v>Low Income</v>
      </c>
      <c r="AL1120" s="13">
        <f>IF(tblCleanData[[#This Row],[Attrition]]="No", 0,1)</f>
        <v>0</v>
      </c>
      <c r="AM1120" s="13">
        <f>IF(tblCleanData[[#This Row],[OverTime]] = "No", 0, 1)</f>
        <v>0</v>
      </c>
      <c r="AN1120" s="13" t="str">
        <f>CHOOSE(tblCleanData[[#This Row],[Education]], "Below College","College","Bachelor","Master","Doctor")</f>
        <v>Bachelor</v>
      </c>
      <c r="AO1120" s="13" t="str">
        <f>VLOOKUP(tblCleanData[[#This Row],[EmployeeNumber]],tblHelpers[],15,TRUE)</f>
        <v>High Risk</v>
      </c>
      <c r="AP1120" s="13">
        <f>VLOOKUP(tblCleanData[[#This Row],[EmployeeNumber]],tblHelpers[],14,0)</f>
        <v>66</v>
      </c>
    </row>
    <row r="1121" spans="1:42" x14ac:dyDescent="0.25">
      <c r="A1121" s="13">
        <v>38</v>
      </c>
      <c r="B1121" s="13" t="s">
        <v>59</v>
      </c>
      <c r="C1121" s="13" t="s">
        <v>37</v>
      </c>
      <c r="D1121" s="13">
        <v>1245</v>
      </c>
      <c r="E1121" s="13" t="s">
        <v>39</v>
      </c>
      <c r="F1121" s="13">
        <v>14</v>
      </c>
      <c r="G1121" s="13">
        <v>3</v>
      </c>
      <c r="H1121" s="13" t="s">
        <v>42</v>
      </c>
      <c r="I1121" s="13">
        <v>1</v>
      </c>
      <c r="J1121" s="13">
        <v>1582</v>
      </c>
      <c r="K1121" s="13">
        <v>3</v>
      </c>
      <c r="L1121" s="13" t="s">
        <v>63</v>
      </c>
      <c r="M1121" s="13">
        <v>80</v>
      </c>
      <c r="N1121" s="13">
        <v>3</v>
      </c>
      <c r="O1121" s="13">
        <v>2</v>
      </c>
      <c r="P1121" s="13" t="s">
        <v>46</v>
      </c>
      <c r="Q1121" s="13">
        <v>2</v>
      </c>
      <c r="R1121" s="13" t="s">
        <v>66</v>
      </c>
      <c r="S1121" s="20">
        <v>9924</v>
      </c>
      <c r="T1121" s="13">
        <v>12355</v>
      </c>
      <c r="U1121" s="13">
        <v>0</v>
      </c>
      <c r="V1121" s="13" t="s">
        <v>52</v>
      </c>
      <c r="W1121" s="13" t="s">
        <v>59</v>
      </c>
      <c r="X1121" s="13">
        <v>11</v>
      </c>
      <c r="Y1121" s="13">
        <v>3</v>
      </c>
      <c r="Z1121" s="13">
        <v>4</v>
      </c>
      <c r="AA1121" s="13">
        <v>80</v>
      </c>
      <c r="AB1121" s="13">
        <v>1</v>
      </c>
      <c r="AC1121" s="13">
        <v>10</v>
      </c>
      <c r="AD1121" s="13">
        <v>3</v>
      </c>
      <c r="AE1121" s="13">
        <v>3</v>
      </c>
      <c r="AF1121" s="14">
        <v>9</v>
      </c>
      <c r="AG1121" s="13">
        <v>8</v>
      </c>
      <c r="AH1121" s="13">
        <v>7</v>
      </c>
      <c r="AI1121" s="13">
        <v>7</v>
      </c>
      <c r="AJ1121" s="13" t="str">
        <f t="shared" si="17"/>
        <v>30-39</v>
      </c>
      <c r="AK1121" s="13" t="str">
        <f>IF(tblCleanData[[#This Row],[MonthlyIncome]]&lt;5000, "Low Income", IF(tblCleanData[[#This Row],[MonthlyIncome]]&lt;15000, "Medium Income", "High Income"))</f>
        <v>Medium Income</v>
      </c>
      <c r="AL1121" s="13">
        <f>IF(tblCleanData[[#This Row],[Attrition]]="No", 0,1)</f>
        <v>0</v>
      </c>
      <c r="AM1121" s="13">
        <f>IF(tblCleanData[[#This Row],[OverTime]] = "No", 0, 1)</f>
        <v>0</v>
      </c>
      <c r="AN1121" s="13" t="str">
        <f>CHOOSE(tblCleanData[[#This Row],[Education]], "Below College","College","Bachelor","Master","Doctor")</f>
        <v>Bachelor</v>
      </c>
      <c r="AO1121" s="13" t="str">
        <f>VLOOKUP(tblCleanData[[#This Row],[EmployeeNumber]],tblHelpers[],15,TRUE)</f>
        <v>Medium Risk</v>
      </c>
      <c r="AP1121" s="13">
        <f>VLOOKUP(tblCleanData[[#This Row],[EmployeeNumber]],tblHelpers[],14,0)</f>
        <v>52</v>
      </c>
    </row>
    <row r="1122" spans="1:42" x14ac:dyDescent="0.25">
      <c r="A1122" s="13">
        <v>38</v>
      </c>
      <c r="B1122" s="13" t="s">
        <v>59</v>
      </c>
      <c r="C1122" s="13" t="s">
        <v>37</v>
      </c>
      <c r="D1122" s="13">
        <v>437</v>
      </c>
      <c r="E1122" s="13" t="s">
        <v>39</v>
      </c>
      <c r="F1122" s="13">
        <v>16</v>
      </c>
      <c r="G1122" s="13">
        <v>3</v>
      </c>
      <c r="H1122" s="13" t="s">
        <v>42</v>
      </c>
      <c r="I1122" s="13">
        <v>1</v>
      </c>
      <c r="J1122" s="13">
        <v>1583</v>
      </c>
      <c r="K1122" s="13">
        <v>2</v>
      </c>
      <c r="L1122" s="13" t="s">
        <v>43</v>
      </c>
      <c r="M1122" s="13">
        <v>90</v>
      </c>
      <c r="N1122" s="13">
        <v>3</v>
      </c>
      <c r="O1122" s="13">
        <v>2</v>
      </c>
      <c r="P1122" s="13" t="s">
        <v>46</v>
      </c>
      <c r="Q1122" s="13">
        <v>2</v>
      </c>
      <c r="R1122" s="13" t="s">
        <v>48</v>
      </c>
      <c r="S1122" s="20">
        <v>4198</v>
      </c>
      <c r="T1122" s="13">
        <v>16379</v>
      </c>
      <c r="U1122" s="13">
        <v>2</v>
      </c>
      <c r="V1122" s="13" t="s">
        <v>52</v>
      </c>
      <c r="W1122" s="13" t="s">
        <v>59</v>
      </c>
      <c r="X1122" s="13">
        <v>12</v>
      </c>
      <c r="Y1122" s="13">
        <v>3</v>
      </c>
      <c r="Z1122" s="13">
        <v>2</v>
      </c>
      <c r="AA1122" s="13">
        <v>80</v>
      </c>
      <c r="AB1122" s="13">
        <v>0</v>
      </c>
      <c r="AC1122" s="13">
        <v>8</v>
      </c>
      <c r="AD1122" s="13">
        <v>5</v>
      </c>
      <c r="AE1122" s="13">
        <v>4</v>
      </c>
      <c r="AF1122" s="14">
        <v>3</v>
      </c>
      <c r="AG1122" s="13">
        <v>2</v>
      </c>
      <c r="AH1122" s="13">
        <v>1</v>
      </c>
      <c r="AI1122" s="13">
        <v>2</v>
      </c>
      <c r="AJ1122" s="13" t="str">
        <f t="shared" si="17"/>
        <v>30-39</v>
      </c>
      <c r="AK1122" s="13" t="str">
        <f>IF(tblCleanData[[#This Row],[MonthlyIncome]]&lt;5000, "Low Income", IF(tblCleanData[[#This Row],[MonthlyIncome]]&lt;15000, "Medium Income", "High Income"))</f>
        <v>Low Income</v>
      </c>
      <c r="AL1122" s="13">
        <f>IF(tblCleanData[[#This Row],[Attrition]]="No", 0,1)</f>
        <v>0</v>
      </c>
      <c r="AM1122" s="13">
        <f>IF(tblCleanData[[#This Row],[OverTime]] = "No", 0, 1)</f>
        <v>0</v>
      </c>
      <c r="AN1122" s="13" t="str">
        <f>CHOOSE(tblCleanData[[#This Row],[Education]], "Below College","College","Bachelor","Master","Doctor")</f>
        <v>Bachelor</v>
      </c>
      <c r="AO1122" s="13" t="str">
        <f>VLOOKUP(tblCleanData[[#This Row],[EmployeeNumber]],tblHelpers[],15,TRUE)</f>
        <v>High Risk</v>
      </c>
      <c r="AP1122" s="13">
        <f>VLOOKUP(tblCleanData[[#This Row],[EmployeeNumber]],tblHelpers[],14,0)</f>
        <v>59</v>
      </c>
    </row>
    <row r="1123" spans="1:42" x14ac:dyDescent="0.25">
      <c r="A1123" s="13">
        <v>36</v>
      </c>
      <c r="B1123" s="13" t="s">
        <v>59</v>
      </c>
      <c r="C1123" s="13" t="s">
        <v>37</v>
      </c>
      <c r="D1123" s="13">
        <v>884</v>
      </c>
      <c r="E1123" s="13" t="s">
        <v>39</v>
      </c>
      <c r="F1123" s="13">
        <v>1</v>
      </c>
      <c r="G1123" s="13">
        <v>4</v>
      </c>
      <c r="H1123" s="13" t="s">
        <v>42</v>
      </c>
      <c r="I1123" s="13">
        <v>1</v>
      </c>
      <c r="J1123" s="13">
        <v>1585</v>
      </c>
      <c r="K1123" s="13">
        <v>2</v>
      </c>
      <c r="L1123" s="13" t="s">
        <v>43</v>
      </c>
      <c r="M1123" s="13">
        <v>73</v>
      </c>
      <c r="N1123" s="13">
        <v>3</v>
      </c>
      <c r="O1123" s="13">
        <v>2</v>
      </c>
      <c r="P1123" s="13" t="s">
        <v>46</v>
      </c>
      <c r="Q1123" s="13">
        <v>3</v>
      </c>
      <c r="R1123" s="13" t="s">
        <v>48</v>
      </c>
      <c r="S1123" s="20">
        <v>6815</v>
      </c>
      <c r="T1123" s="13">
        <v>21447</v>
      </c>
      <c r="U1123" s="13">
        <v>6</v>
      </c>
      <c r="V1123" s="13" t="s">
        <v>52</v>
      </c>
      <c r="W1123" s="13" t="s">
        <v>59</v>
      </c>
      <c r="X1123" s="13">
        <v>13</v>
      </c>
      <c r="Y1123" s="13">
        <v>3</v>
      </c>
      <c r="Z1123" s="13">
        <v>1</v>
      </c>
      <c r="AA1123" s="13">
        <v>80</v>
      </c>
      <c r="AB1123" s="13">
        <v>0</v>
      </c>
      <c r="AC1123" s="13">
        <v>15</v>
      </c>
      <c r="AD1123" s="13">
        <v>5</v>
      </c>
      <c r="AE1123" s="13">
        <v>3</v>
      </c>
      <c r="AF1123" s="14">
        <v>1</v>
      </c>
      <c r="AG1123" s="13">
        <v>0</v>
      </c>
      <c r="AH1123" s="13">
        <v>0</v>
      </c>
      <c r="AI1123" s="13">
        <v>0</v>
      </c>
      <c r="AJ1123" s="13" t="str">
        <f t="shared" si="17"/>
        <v>30-39</v>
      </c>
      <c r="AK1123" s="13" t="str">
        <f>IF(tblCleanData[[#This Row],[MonthlyIncome]]&lt;5000, "Low Income", IF(tblCleanData[[#This Row],[MonthlyIncome]]&lt;15000, "Medium Income", "High Income"))</f>
        <v>Medium Income</v>
      </c>
      <c r="AL1123" s="13">
        <f>IF(tblCleanData[[#This Row],[Attrition]]="No", 0,1)</f>
        <v>0</v>
      </c>
      <c r="AM1123" s="13">
        <f>IF(tblCleanData[[#This Row],[OverTime]] = "No", 0, 1)</f>
        <v>0</v>
      </c>
      <c r="AN1123" s="13" t="str">
        <f>CHOOSE(tblCleanData[[#This Row],[Education]], "Below College","College","Bachelor","Master","Doctor")</f>
        <v>Master</v>
      </c>
      <c r="AO1123" s="13" t="str">
        <f>VLOOKUP(tblCleanData[[#This Row],[EmployeeNumber]],tblHelpers[],15,TRUE)</f>
        <v>High Risk</v>
      </c>
      <c r="AP1123" s="13">
        <f>VLOOKUP(tblCleanData[[#This Row],[EmployeeNumber]],tblHelpers[],14,0)</f>
        <v>63</v>
      </c>
    </row>
    <row r="1124" spans="1:42" x14ac:dyDescent="0.25">
      <c r="A1124" s="13">
        <v>29</v>
      </c>
      <c r="B1124" s="13" t="s">
        <v>59</v>
      </c>
      <c r="C1124" s="13" t="s">
        <v>37</v>
      </c>
      <c r="D1124" s="13">
        <v>1370</v>
      </c>
      <c r="E1124" s="13" t="s">
        <v>62</v>
      </c>
      <c r="F1124" s="13">
        <v>3</v>
      </c>
      <c r="G1124" s="13">
        <v>1</v>
      </c>
      <c r="H1124" s="13" t="s">
        <v>87</v>
      </c>
      <c r="I1124" s="13">
        <v>1</v>
      </c>
      <c r="J1124" s="13">
        <v>1586</v>
      </c>
      <c r="K1124" s="13">
        <v>2</v>
      </c>
      <c r="L1124" s="13" t="s">
        <v>63</v>
      </c>
      <c r="M1124" s="13">
        <v>87</v>
      </c>
      <c r="N1124" s="13">
        <v>3</v>
      </c>
      <c r="O1124" s="13">
        <v>1</v>
      </c>
      <c r="P1124" s="13" t="s">
        <v>76</v>
      </c>
      <c r="Q1124" s="13">
        <v>1</v>
      </c>
      <c r="R1124" s="13" t="s">
        <v>48</v>
      </c>
      <c r="S1124" s="20">
        <v>4723</v>
      </c>
      <c r="T1124" s="13">
        <v>16213</v>
      </c>
      <c r="U1124" s="13">
        <v>1</v>
      </c>
      <c r="V1124" s="13" t="s">
        <v>52</v>
      </c>
      <c r="W1124" s="13" t="s">
        <v>36</v>
      </c>
      <c r="X1124" s="13">
        <v>18</v>
      </c>
      <c r="Y1124" s="13">
        <v>3</v>
      </c>
      <c r="Z1124" s="13">
        <v>4</v>
      </c>
      <c r="AA1124" s="13">
        <v>80</v>
      </c>
      <c r="AB1124" s="13">
        <v>0</v>
      </c>
      <c r="AC1124" s="13">
        <v>10</v>
      </c>
      <c r="AD1124" s="13">
        <v>3</v>
      </c>
      <c r="AE1124" s="13">
        <v>3</v>
      </c>
      <c r="AF1124" s="14">
        <v>10</v>
      </c>
      <c r="AG1124" s="13">
        <v>9</v>
      </c>
      <c r="AH1124" s="13">
        <v>1</v>
      </c>
      <c r="AI1124" s="13">
        <v>5</v>
      </c>
      <c r="AJ1124" s="13" t="str">
        <f t="shared" si="17"/>
        <v>Under 30</v>
      </c>
      <c r="AK1124" s="13" t="str">
        <f>IF(tblCleanData[[#This Row],[MonthlyIncome]]&lt;5000, "Low Income", IF(tblCleanData[[#This Row],[MonthlyIncome]]&lt;15000, "Medium Income", "High Income"))</f>
        <v>Low Income</v>
      </c>
      <c r="AL1124" s="13">
        <f>IF(tblCleanData[[#This Row],[Attrition]]="No", 0,1)</f>
        <v>0</v>
      </c>
      <c r="AM1124" s="13">
        <f>IF(tblCleanData[[#This Row],[OverTime]] = "No", 0, 1)</f>
        <v>1</v>
      </c>
      <c r="AN1124" s="13" t="str">
        <f>CHOOSE(tblCleanData[[#This Row],[Education]], "Below College","College","Bachelor","Master","Doctor")</f>
        <v>Below College</v>
      </c>
      <c r="AO1124" s="13" t="str">
        <f>VLOOKUP(tblCleanData[[#This Row],[EmployeeNumber]],tblHelpers[],15,TRUE)</f>
        <v>High Risk</v>
      </c>
      <c r="AP1124" s="13">
        <f>VLOOKUP(tblCleanData[[#This Row],[EmployeeNumber]],tblHelpers[],14,0)</f>
        <v>93</v>
      </c>
    </row>
    <row r="1125" spans="1:42" x14ac:dyDescent="0.25">
      <c r="A1125" s="13">
        <v>35</v>
      </c>
      <c r="B1125" s="13" t="s">
        <v>59</v>
      </c>
      <c r="C1125" s="13" t="s">
        <v>37</v>
      </c>
      <c r="D1125" s="13">
        <v>670</v>
      </c>
      <c r="E1125" s="13" t="s">
        <v>62</v>
      </c>
      <c r="F1125" s="13">
        <v>10</v>
      </c>
      <c r="G1125" s="13">
        <v>4</v>
      </c>
      <c r="H1125" s="13" t="s">
        <v>87</v>
      </c>
      <c r="I1125" s="13">
        <v>1</v>
      </c>
      <c r="J1125" s="13">
        <v>1587</v>
      </c>
      <c r="K1125" s="13">
        <v>1</v>
      </c>
      <c r="L1125" s="13" t="s">
        <v>43</v>
      </c>
      <c r="M1125" s="13">
        <v>51</v>
      </c>
      <c r="N1125" s="13">
        <v>3</v>
      </c>
      <c r="O1125" s="13">
        <v>2</v>
      </c>
      <c r="P1125" s="13" t="s">
        <v>122</v>
      </c>
      <c r="Q1125" s="13">
        <v>3</v>
      </c>
      <c r="R1125" s="13" t="s">
        <v>48</v>
      </c>
      <c r="S1125" s="20">
        <v>6142</v>
      </c>
      <c r="T1125" s="13">
        <v>4223</v>
      </c>
      <c r="U1125" s="13">
        <v>3</v>
      </c>
      <c r="V1125" s="13" t="s">
        <v>52</v>
      </c>
      <c r="W1125" s="13" t="s">
        <v>36</v>
      </c>
      <c r="X1125" s="13">
        <v>16</v>
      </c>
      <c r="Y1125" s="13">
        <v>3</v>
      </c>
      <c r="Z1125" s="13">
        <v>3</v>
      </c>
      <c r="AA1125" s="13">
        <v>80</v>
      </c>
      <c r="AB1125" s="13">
        <v>0</v>
      </c>
      <c r="AC1125" s="13">
        <v>10</v>
      </c>
      <c r="AD1125" s="13">
        <v>4</v>
      </c>
      <c r="AE1125" s="13">
        <v>3</v>
      </c>
      <c r="AF1125" s="14">
        <v>5</v>
      </c>
      <c r="AG1125" s="13">
        <v>2</v>
      </c>
      <c r="AH1125" s="13">
        <v>0</v>
      </c>
      <c r="AI1125" s="13">
        <v>4</v>
      </c>
      <c r="AJ1125" s="13" t="str">
        <f t="shared" si="17"/>
        <v>30-39</v>
      </c>
      <c r="AK1125" s="13" t="str">
        <f>IF(tblCleanData[[#This Row],[MonthlyIncome]]&lt;5000, "Low Income", IF(tblCleanData[[#This Row],[MonthlyIncome]]&lt;15000, "Medium Income", "High Income"))</f>
        <v>Medium Income</v>
      </c>
      <c r="AL1125" s="13">
        <f>IF(tblCleanData[[#This Row],[Attrition]]="No", 0,1)</f>
        <v>0</v>
      </c>
      <c r="AM1125" s="13">
        <f>IF(tblCleanData[[#This Row],[OverTime]] = "No", 0, 1)</f>
        <v>1</v>
      </c>
      <c r="AN1125" s="13" t="str">
        <f>CHOOSE(tblCleanData[[#This Row],[Education]], "Below College","College","Bachelor","Master","Doctor")</f>
        <v>Master</v>
      </c>
      <c r="AO1125" s="13" t="str">
        <f>VLOOKUP(tblCleanData[[#This Row],[EmployeeNumber]],tblHelpers[],15,TRUE)</f>
        <v>High Risk</v>
      </c>
      <c r="AP1125" s="13">
        <f>VLOOKUP(tblCleanData[[#This Row],[EmployeeNumber]],tblHelpers[],14,0)</f>
        <v>78</v>
      </c>
    </row>
    <row r="1126" spans="1:42" x14ac:dyDescent="0.25">
      <c r="A1126" s="13">
        <v>39</v>
      </c>
      <c r="B1126" s="13" t="s">
        <v>59</v>
      </c>
      <c r="C1126" s="13" t="s">
        <v>37</v>
      </c>
      <c r="D1126" s="13">
        <v>1462</v>
      </c>
      <c r="E1126" s="13" t="s">
        <v>39</v>
      </c>
      <c r="F1126" s="13">
        <v>6</v>
      </c>
      <c r="G1126" s="13">
        <v>3</v>
      </c>
      <c r="H1126" s="13" t="s">
        <v>87</v>
      </c>
      <c r="I1126" s="13">
        <v>1</v>
      </c>
      <c r="J1126" s="13">
        <v>1588</v>
      </c>
      <c r="K1126" s="13">
        <v>4</v>
      </c>
      <c r="L1126" s="13" t="s">
        <v>63</v>
      </c>
      <c r="M1126" s="13">
        <v>38</v>
      </c>
      <c r="N1126" s="13">
        <v>4</v>
      </c>
      <c r="O1126" s="13">
        <v>3</v>
      </c>
      <c r="P1126" s="13" t="s">
        <v>46</v>
      </c>
      <c r="Q1126" s="13">
        <v>3</v>
      </c>
      <c r="R1126" s="13" t="s">
        <v>66</v>
      </c>
      <c r="S1126" s="20">
        <v>8237</v>
      </c>
      <c r="T1126" s="13">
        <v>4658</v>
      </c>
      <c r="U1126" s="13">
        <v>2</v>
      </c>
      <c r="V1126" s="13" t="s">
        <v>52</v>
      </c>
      <c r="W1126" s="13" t="s">
        <v>59</v>
      </c>
      <c r="X1126" s="13">
        <v>11</v>
      </c>
      <c r="Y1126" s="13">
        <v>3</v>
      </c>
      <c r="Z1126" s="13">
        <v>1</v>
      </c>
      <c r="AA1126" s="13">
        <v>80</v>
      </c>
      <c r="AB1126" s="13">
        <v>1</v>
      </c>
      <c r="AC1126" s="13">
        <v>11</v>
      </c>
      <c r="AD1126" s="13">
        <v>3</v>
      </c>
      <c r="AE1126" s="13">
        <v>3</v>
      </c>
      <c r="AF1126" s="14">
        <v>7</v>
      </c>
      <c r="AG1126" s="13">
        <v>6</v>
      </c>
      <c r="AH1126" s="13">
        <v>7</v>
      </c>
      <c r="AI1126" s="13">
        <v>6</v>
      </c>
      <c r="AJ1126" s="13" t="str">
        <f t="shared" si="17"/>
        <v>30-39</v>
      </c>
      <c r="AK1126" s="13" t="str">
        <f>IF(tblCleanData[[#This Row],[MonthlyIncome]]&lt;5000, "Low Income", IF(tblCleanData[[#This Row],[MonthlyIncome]]&lt;15000, "Medium Income", "High Income"))</f>
        <v>Medium Income</v>
      </c>
      <c r="AL1126" s="13">
        <f>IF(tblCleanData[[#This Row],[Attrition]]="No", 0,1)</f>
        <v>0</v>
      </c>
      <c r="AM1126" s="13">
        <f>IF(tblCleanData[[#This Row],[OverTime]] = "No", 0, 1)</f>
        <v>0</v>
      </c>
      <c r="AN1126" s="13" t="str">
        <f>CHOOSE(tblCleanData[[#This Row],[Education]], "Below College","College","Bachelor","Master","Doctor")</f>
        <v>Bachelor</v>
      </c>
      <c r="AO1126" s="13" t="str">
        <f>VLOOKUP(tblCleanData[[#This Row],[EmployeeNumber]],tblHelpers[],15,TRUE)</f>
        <v>Medium Risk</v>
      </c>
      <c r="AP1126" s="13">
        <f>VLOOKUP(tblCleanData[[#This Row],[EmployeeNumber]],tblHelpers[],14,0)</f>
        <v>46</v>
      </c>
    </row>
    <row r="1127" spans="1:42" x14ac:dyDescent="0.25">
      <c r="A1127" s="13">
        <v>29</v>
      </c>
      <c r="B1127" s="13" t="s">
        <v>59</v>
      </c>
      <c r="C1127" s="13" t="s">
        <v>60</v>
      </c>
      <c r="D1127" s="13">
        <v>995</v>
      </c>
      <c r="E1127" s="13" t="s">
        <v>62</v>
      </c>
      <c r="F1127" s="13">
        <v>2</v>
      </c>
      <c r="G1127" s="13">
        <v>1</v>
      </c>
      <c r="H1127" s="13" t="s">
        <v>42</v>
      </c>
      <c r="I1127" s="13">
        <v>1</v>
      </c>
      <c r="J1127" s="13">
        <v>1590</v>
      </c>
      <c r="K1127" s="13">
        <v>1</v>
      </c>
      <c r="L1127" s="13" t="s">
        <v>63</v>
      </c>
      <c r="M1127" s="13">
        <v>87</v>
      </c>
      <c r="N1127" s="13">
        <v>3</v>
      </c>
      <c r="O1127" s="13">
        <v>2</v>
      </c>
      <c r="P1127" s="13" t="s">
        <v>122</v>
      </c>
      <c r="Q1127" s="13">
        <v>4</v>
      </c>
      <c r="R1127" s="13" t="s">
        <v>109</v>
      </c>
      <c r="S1127" s="20">
        <v>8853</v>
      </c>
      <c r="T1127" s="13">
        <v>24483</v>
      </c>
      <c r="U1127" s="13">
        <v>1</v>
      </c>
      <c r="V1127" s="13" t="s">
        <v>52</v>
      </c>
      <c r="W1127" s="13" t="s">
        <v>59</v>
      </c>
      <c r="X1127" s="13">
        <v>19</v>
      </c>
      <c r="Y1127" s="13">
        <v>3</v>
      </c>
      <c r="Z1127" s="13">
        <v>4</v>
      </c>
      <c r="AA1127" s="13">
        <v>80</v>
      </c>
      <c r="AB1127" s="13">
        <v>1</v>
      </c>
      <c r="AC1127" s="13">
        <v>6</v>
      </c>
      <c r="AD1127" s="13">
        <v>0</v>
      </c>
      <c r="AE1127" s="13">
        <v>4</v>
      </c>
      <c r="AF1127" s="14">
        <v>6</v>
      </c>
      <c r="AG1127" s="13">
        <v>4</v>
      </c>
      <c r="AH1127" s="13">
        <v>1</v>
      </c>
      <c r="AI1127" s="13">
        <v>3</v>
      </c>
      <c r="AJ1127" s="13" t="str">
        <f t="shared" si="17"/>
        <v>Under 30</v>
      </c>
      <c r="AK1127" s="13" t="str">
        <f>IF(tblCleanData[[#This Row],[MonthlyIncome]]&lt;5000, "Low Income", IF(tblCleanData[[#This Row],[MonthlyIncome]]&lt;15000, "Medium Income", "High Income"))</f>
        <v>Medium Income</v>
      </c>
      <c r="AL1127" s="13">
        <f>IF(tblCleanData[[#This Row],[Attrition]]="No", 0,1)</f>
        <v>0</v>
      </c>
      <c r="AM1127" s="13">
        <f>IF(tblCleanData[[#This Row],[OverTime]] = "No", 0, 1)</f>
        <v>0</v>
      </c>
      <c r="AN1127" s="13" t="str">
        <f>CHOOSE(tblCleanData[[#This Row],[Education]], "Below College","College","Bachelor","Master","Doctor")</f>
        <v>Below College</v>
      </c>
      <c r="AO1127" s="13" t="str">
        <f>VLOOKUP(tblCleanData[[#This Row],[EmployeeNumber]],tblHelpers[],15,TRUE)</f>
        <v>Medium Risk</v>
      </c>
      <c r="AP1127" s="13">
        <f>VLOOKUP(tblCleanData[[#This Row],[EmployeeNumber]],tblHelpers[],14,0)</f>
        <v>49</v>
      </c>
    </row>
    <row r="1128" spans="1:42" x14ac:dyDescent="0.25">
      <c r="A1128" s="13">
        <v>50</v>
      </c>
      <c r="B1128" s="13" t="s">
        <v>59</v>
      </c>
      <c r="C1128" s="13" t="s">
        <v>37</v>
      </c>
      <c r="D1128" s="13">
        <v>264</v>
      </c>
      <c r="E1128" s="13" t="s">
        <v>39</v>
      </c>
      <c r="F1128" s="13">
        <v>9</v>
      </c>
      <c r="G1128" s="13">
        <v>3</v>
      </c>
      <c r="H1128" s="13" t="s">
        <v>206</v>
      </c>
      <c r="I1128" s="13">
        <v>1</v>
      </c>
      <c r="J1128" s="13">
        <v>1591</v>
      </c>
      <c r="K1128" s="13">
        <v>3</v>
      </c>
      <c r="L1128" s="13" t="s">
        <v>63</v>
      </c>
      <c r="M1128" s="13">
        <v>59</v>
      </c>
      <c r="N1128" s="13">
        <v>3</v>
      </c>
      <c r="O1128" s="13">
        <v>5</v>
      </c>
      <c r="P1128" s="13" t="s">
        <v>169</v>
      </c>
      <c r="Q1128" s="13">
        <v>3</v>
      </c>
      <c r="R1128" s="13" t="s">
        <v>66</v>
      </c>
      <c r="S1128" s="20">
        <v>19331</v>
      </c>
      <c r="T1128" s="13">
        <v>19519</v>
      </c>
      <c r="U1128" s="13">
        <v>4</v>
      </c>
      <c r="V1128" s="13" t="s">
        <v>52</v>
      </c>
      <c r="W1128" s="13" t="s">
        <v>36</v>
      </c>
      <c r="X1128" s="13">
        <v>16</v>
      </c>
      <c r="Y1128" s="13">
        <v>3</v>
      </c>
      <c r="Z1128" s="13">
        <v>3</v>
      </c>
      <c r="AA1128" s="13">
        <v>80</v>
      </c>
      <c r="AB1128" s="13">
        <v>1</v>
      </c>
      <c r="AC1128" s="13">
        <v>27</v>
      </c>
      <c r="AD1128" s="13">
        <v>2</v>
      </c>
      <c r="AE1128" s="13">
        <v>3</v>
      </c>
      <c r="AF1128" s="14">
        <v>1</v>
      </c>
      <c r="AG1128" s="13">
        <v>0</v>
      </c>
      <c r="AH1128" s="13">
        <v>0</v>
      </c>
      <c r="AI1128" s="13">
        <v>0</v>
      </c>
      <c r="AJ1128" s="13" t="str">
        <f t="shared" si="17"/>
        <v>50+</v>
      </c>
      <c r="AK1128" s="13" t="str">
        <f>IF(tblCleanData[[#This Row],[MonthlyIncome]]&lt;5000, "Low Income", IF(tblCleanData[[#This Row],[MonthlyIncome]]&lt;15000, "Medium Income", "High Income"))</f>
        <v>High Income</v>
      </c>
      <c r="AL1128" s="13">
        <f>IF(tblCleanData[[#This Row],[Attrition]]="No", 0,1)</f>
        <v>0</v>
      </c>
      <c r="AM1128" s="13">
        <f>IF(tblCleanData[[#This Row],[OverTime]] = "No", 0, 1)</f>
        <v>1</v>
      </c>
      <c r="AN1128" s="13" t="str">
        <f>CHOOSE(tblCleanData[[#This Row],[Education]], "Below College","College","Bachelor","Master","Doctor")</f>
        <v>Bachelor</v>
      </c>
      <c r="AO1128" s="13" t="str">
        <f>VLOOKUP(tblCleanData[[#This Row],[EmployeeNumber]],tblHelpers[],15,TRUE)</f>
        <v>High Risk</v>
      </c>
      <c r="AP1128" s="13">
        <f>VLOOKUP(tblCleanData[[#This Row],[EmployeeNumber]],tblHelpers[],14,0)</f>
        <v>83</v>
      </c>
    </row>
    <row r="1129" spans="1:42" x14ac:dyDescent="0.25">
      <c r="A1129" s="13">
        <v>23</v>
      </c>
      <c r="B1129" s="13" t="s">
        <v>59</v>
      </c>
      <c r="C1129" s="13" t="s">
        <v>37</v>
      </c>
      <c r="D1129" s="13">
        <v>977</v>
      </c>
      <c r="E1129" s="13" t="s">
        <v>62</v>
      </c>
      <c r="F1129" s="13">
        <v>10</v>
      </c>
      <c r="G1129" s="13">
        <v>3</v>
      </c>
      <c r="H1129" s="13" t="s">
        <v>228</v>
      </c>
      <c r="I1129" s="13">
        <v>1</v>
      </c>
      <c r="J1129" s="13">
        <v>1592</v>
      </c>
      <c r="K1129" s="13">
        <v>4</v>
      </c>
      <c r="L1129" s="13" t="s">
        <v>63</v>
      </c>
      <c r="M1129" s="13">
        <v>45</v>
      </c>
      <c r="N1129" s="13">
        <v>4</v>
      </c>
      <c r="O1129" s="13">
        <v>1</v>
      </c>
      <c r="P1129" s="13" t="s">
        <v>65</v>
      </c>
      <c r="Q1129" s="13">
        <v>3</v>
      </c>
      <c r="R1129" s="13" t="s">
        <v>66</v>
      </c>
      <c r="S1129" s="20">
        <v>2073</v>
      </c>
      <c r="T1129" s="13">
        <v>12826</v>
      </c>
      <c r="U1129" s="13">
        <v>2</v>
      </c>
      <c r="V1129" s="13" t="s">
        <v>52</v>
      </c>
      <c r="W1129" s="13" t="s">
        <v>59</v>
      </c>
      <c r="X1129" s="13">
        <v>16</v>
      </c>
      <c r="Y1129" s="13">
        <v>3</v>
      </c>
      <c r="Z1129" s="13">
        <v>4</v>
      </c>
      <c r="AA1129" s="13">
        <v>80</v>
      </c>
      <c r="AB1129" s="13">
        <v>1</v>
      </c>
      <c r="AC1129" s="13">
        <v>4</v>
      </c>
      <c r="AD1129" s="13">
        <v>2</v>
      </c>
      <c r="AE1129" s="13">
        <v>3</v>
      </c>
      <c r="AF1129" s="14">
        <v>2</v>
      </c>
      <c r="AG1129" s="13">
        <v>2</v>
      </c>
      <c r="AH1129" s="13">
        <v>2</v>
      </c>
      <c r="AI1129" s="13">
        <v>2</v>
      </c>
      <c r="AJ1129" s="13" t="str">
        <f t="shared" si="17"/>
        <v>Under 30</v>
      </c>
      <c r="AK1129" s="13" t="str">
        <f>IF(tblCleanData[[#This Row],[MonthlyIncome]]&lt;5000, "Low Income", IF(tblCleanData[[#This Row],[MonthlyIncome]]&lt;15000, "Medium Income", "High Income"))</f>
        <v>Low Income</v>
      </c>
      <c r="AL1129" s="13">
        <f>IF(tblCleanData[[#This Row],[Attrition]]="No", 0,1)</f>
        <v>0</v>
      </c>
      <c r="AM1129" s="13">
        <f>IF(tblCleanData[[#This Row],[OverTime]] = "No", 0, 1)</f>
        <v>0</v>
      </c>
      <c r="AN1129" s="13" t="str">
        <f>CHOOSE(tblCleanData[[#This Row],[Education]], "Below College","College","Bachelor","Master","Doctor")</f>
        <v>Bachelor</v>
      </c>
      <c r="AO1129" s="13" t="str">
        <f>VLOOKUP(tblCleanData[[#This Row],[EmployeeNumber]],tblHelpers[],15,TRUE)</f>
        <v>High Risk</v>
      </c>
      <c r="AP1129" s="13">
        <f>VLOOKUP(tblCleanData[[#This Row],[EmployeeNumber]],tblHelpers[],14,0)</f>
        <v>73</v>
      </c>
    </row>
    <row r="1130" spans="1:42" x14ac:dyDescent="0.25">
      <c r="A1130" s="13">
        <v>36</v>
      </c>
      <c r="B1130" s="13" t="s">
        <v>59</v>
      </c>
      <c r="C1130" s="13" t="s">
        <v>60</v>
      </c>
      <c r="D1130" s="13">
        <v>1302</v>
      </c>
      <c r="E1130" s="13" t="s">
        <v>62</v>
      </c>
      <c r="F1130" s="13">
        <v>6</v>
      </c>
      <c r="G1130" s="13">
        <v>4</v>
      </c>
      <c r="H1130" s="13" t="s">
        <v>42</v>
      </c>
      <c r="I1130" s="13">
        <v>1</v>
      </c>
      <c r="J1130" s="13">
        <v>1594</v>
      </c>
      <c r="K1130" s="13">
        <v>1</v>
      </c>
      <c r="L1130" s="13" t="s">
        <v>63</v>
      </c>
      <c r="M1130" s="13">
        <v>80</v>
      </c>
      <c r="N1130" s="13">
        <v>4</v>
      </c>
      <c r="O1130" s="13">
        <v>2</v>
      </c>
      <c r="P1130" s="13" t="s">
        <v>76</v>
      </c>
      <c r="Q1130" s="13">
        <v>1</v>
      </c>
      <c r="R1130" s="13" t="s">
        <v>66</v>
      </c>
      <c r="S1130" s="20">
        <v>5562</v>
      </c>
      <c r="T1130" s="13">
        <v>19711</v>
      </c>
      <c r="U1130" s="13">
        <v>3</v>
      </c>
      <c r="V1130" s="13" t="s">
        <v>52</v>
      </c>
      <c r="W1130" s="13" t="s">
        <v>36</v>
      </c>
      <c r="X1130" s="13">
        <v>13</v>
      </c>
      <c r="Y1130" s="13">
        <v>3</v>
      </c>
      <c r="Z1130" s="13">
        <v>4</v>
      </c>
      <c r="AA1130" s="13">
        <v>80</v>
      </c>
      <c r="AB1130" s="13">
        <v>1</v>
      </c>
      <c r="AC1130" s="13">
        <v>9</v>
      </c>
      <c r="AD1130" s="13">
        <v>3</v>
      </c>
      <c r="AE1130" s="13">
        <v>3</v>
      </c>
      <c r="AF1130" s="14">
        <v>3</v>
      </c>
      <c r="AG1130" s="13">
        <v>2</v>
      </c>
      <c r="AH1130" s="13">
        <v>0</v>
      </c>
      <c r="AI1130" s="13">
        <v>2</v>
      </c>
      <c r="AJ1130" s="13" t="str">
        <f t="shared" si="17"/>
        <v>30-39</v>
      </c>
      <c r="AK1130" s="13" t="str">
        <f>IF(tblCleanData[[#This Row],[MonthlyIncome]]&lt;5000, "Low Income", IF(tblCleanData[[#This Row],[MonthlyIncome]]&lt;15000, "Medium Income", "High Income"))</f>
        <v>Medium Income</v>
      </c>
      <c r="AL1130" s="13">
        <f>IF(tblCleanData[[#This Row],[Attrition]]="No", 0,1)</f>
        <v>0</v>
      </c>
      <c r="AM1130" s="13">
        <f>IF(tblCleanData[[#This Row],[OverTime]] = "No", 0, 1)</f>
        <v>1</v>
      </c>
      <c r="AN1130" s="13" t="str">
        <f>CHOOSE(tblCleanData[[#This Row],[Education]], "Below College","College","Bachelor","Master","Doctor")</f>
        <v>Master</v>
      </c>
      <c r="AO1130" s="13" t="str">
        <f>VLOOKUP(tblCleanData[[#This Row],[EmployeeNumber]],tblHelpers[],15,TRUE)</f>
        <v>High Risk</v>
      </c>
      <c r="AP1130" s="13">
        <f>VLOOKUP(tblCleanData[[#This Row],[EmployeeNumber]],tblHelpers[],14,0)</f>
        <v>90</v>
      </c>
    </row>
    <row r="1131" spans="1:42" x14ac:dyDescent="0.25">
      <c r="A1131" s="13">
        <v>42</v>
      </c>
      <c r="B1131" s="13" t="s">
        <v>59</v>
      </c>
      <c r="C1131" s="13" t="s">
        <v>37</v>
      </c>
      <c r="D1131" s="13">
        <v>1059</v>
      </c>
      <c r="E1131" s="13" t="s">
        <v>62</v>
      </c>
      <c r="F1131" s="13">
        <v>9</v>
      </c>
      <c r="G1131" s="13">
        <v>2</v>
      </c>
      <c r="H1131" s="13" t="s">
        <v>74</v>
      </c>
      <c r="I1131" s="13">
        <v>1</v>
      </c>
      <c r="J1131" s="13">
        <v>1595</v>
      </c>
      <c r="K1131" s="13">
        <v>4</v>
      </c>
      <c r="L1131" s="13" t="s">
        <v>63</v>
      </c>
      <c r="M1131" s="13">
        <v>93</v>
      </c>
      <c r="N1131" s="13">
        <v>2</v>
      </c>
      <c r="O1131" s="13">
        <v>5</v>
      </c>
      <c r="P1131" s="13" t="s">
        <v>169</v>
      </c>
      <c r="Q1131" s="13">
        <v>4</v>
      </c>
      <c r="R1131" s="13" t="s">
        <v>48</v>
      </c>
      <c r="S1131" s="20">
        <v>19613</v>
      </c>
      <c r="T1131" s="13">
        <v>26362</v>
      </c>
      <c r="U1131" s="13">
        <v>8</v>
      </c>
      <c r="V1131" s="13" t="s">
        <v>52</v>
      </c>
      <c r="W1131" s="13" t="s">
        <v>59</v>
      </c>
      <c r="X1131" s="13">
        <v>22</v>
      </c>
      <c r="Y1131" s="13">
        <v>4</v>
      </c>
      <c r="Z1131" s="13">
        <v>4</v>
      </c>
      <c r="AA1131" s="13">
        <v>80</v>
      </c>
      <c r="AB1131" s="13">
        <v>0</v>
      </c>
      <c r="AC1131" s="13">
        <v>24</v>
      </c>
      <c r="AD1131" s="13">
        <v>2</v>
      </c>
      <c r="AE1131" s="13">
        <v>3</v>
      </c>
      <c r="AF1131" s="14">
        <v>1</v>
      </c>
      <c r="AG1131" s="13">
        <v>0</v>
      </c>
      <c r="AH1131" s="13">
        <v>0</v>
      </c>
      <c r="AI1131" s="13">
        <v>1</v>
      </c>
      <c r="AJ1131" s="13" t="str">
        <f t="shared" si="17"/>
        <v>40-49</v>
      </c>
      <c r="AK1131" s="13" t="str">
        <f>IF(tblCleanData[[#This Row],[MonthlyIncome]]&lt;5000, "Low Income", IF(tblCleanData[[#This Row],[MonthlyIncome]]&lt;15000, "Medium Income", "High Income"))</f>
        <v>High Income</v>
      </c>
      <c r="AL1131" s="13">
        <f>IF(tblCleanData[[#This Row],[Attrition]]="No", 0,1)</f>
        <v>0</v>
      </c>
      <c r="AM1131" s="13">
        <f>IF(tblCleanData[[#This Row],[OverTime]] = "No", 0, 1)</f>
        <v>0</v>
      </c>
      <c r="AN1131" s="13" t="str">
        <f>CHOOSE(tblCleanData[[#This Row],[Education]], "Below College","College","Bachelor","Master","Doctor")</f>
        <v>College</v>
      </c>
      <c r="AO1131" s="13" t="str">
        <f>VLOOKUP(tblCleanData[[#This Row],[EmployeeNumber]],tblHelpers[],15,TRUE)</f>
        <v>Medium Risk</v>
      </c>
      <c r="AP1131" s="13">
        <f>VLOOKUP(tblCleanData[[#This Row],[EmployeeNumber]],tblHelpers[],14,0)</f>
        <v>46</v>
      </c>
    </row>
    <row r="1132" spans="1:42" x14ac:dyDescent="0.25">
      <c r="A1132" s="13">
        <v>35</v>
      </c>
      <c r="B1132" s="13" t="s">
        <v>59</v>
      </c>
      <c r="C1132" s="13" t="s">
        <v>37</v>
      </c>
      <c r="D1132" s="13">
        <v>750</v>
      </c>
      <c r="E1132" s="13" t="s">
        <v>62</v>
      </c>
      <c r="F1132" s="13">
        <v>28</v>
      </c>
      <c r="G1132" s="13">
        <v>3</v>
      </c>
      <c r="H1132" s="13" t="s">
        <v>42</v>
      </c>
      <c r="I1132" s="13">
        <v>1</v>
      </c>
      <c r="J1132" s="13">
        <v>1596</v>
      </c>
      <c r="K1132" s="13">
        <v>2</v>
      </c>
      <c r="L1132" s="13" t="s">
        <v>63</v>
      </c>
      <c r="M1132" s="13">
        <v>46</v>
      </c>
      <c r="N1132" s="13">
        <v>4</v>
      </c>
      <c r="O1132" s="13">
        <v>2</v>
      </c>
      <c r="P1132" s="13" t="s">
        <v>76</v>
      </c>
      <c r="Q1132" s="13">
        <v>3</v>
      </c>
      <c r="R1132" s="13" t="s">
        <v>66</v>
      </c>
      <c r="S1132" s="20">
        <v>3407</v>
      </c>
      <c r="T1132" s="13">
        <v>25348</v>
      </c>
      <c r="U1132" s="13">
        <v>1</v>
      </c>
      <c r="V1132" s="13" t="s">
        <v>52</v>
      </c>
      <c r="W1132" s="13" t="s">
        <v>59</v>
      </c>
      <c r="X1132" s="13">
        <v>17</v>
      </c>
      <c r="Y1132" s="13">
        <v>3</v>
      </c>
      <c r="Z1132" s="13">
        <v>4</v>
      </c>
      <c r="AA1132" s="13">
        <v>80</v>
      </c>
      <c r="AB1132" s="13">
        <v>2</v>
      </c>
      <c r="AC1132" s="13">
        <v>10</v>
      </c>
      <c r="AD1132" s="13">
        <v>3</v>
      </c>
      <c r="AE1132" s="13">
        <v>2</v>
      </c>
      <c r="AF1132" s="14">
        <v>10</v>
      </c>
      <c r="AG1132" s="13">
        <v>9</v>
      </c>
      <c r="AH1132" s="13">
        <v>6</v>
      </c>
      <c r="AI1132" s="13">
        <v>8</v>
      </c>
      <c r="AJ1132" s="13" t="str">
        <f t="shared" si="17"/>
        <v>30-39</v>
      </c>
      <c r="AK1132" s="13" t="str">
        <f>IF(tblCleanData[[#This Row],[MonthlyIncome]]&lt;5000, "Low Income", IF(tblCleanData[[#This Row],[MonthlyIncome]]&lt;15000, "Medium Income", "High Income"))</f>
        <v>Low Income</v>
      </c>
      <c r="AL1132" s="13">
        <f>IF(tblCleanData[[#This Row],[Attrition]]="No", 0,1)</f>
        <v>0</v>
      </c>
      <c r="AM1132" s="13">
        <f>IF(tblCleanData[[#This Row],[OverTime]] = "No", 0, 1)</f>
        <v>0</v>
      </c>
      <c r="AN1132" s="13" t="str">
        <f>CHOOSE(tblCleanData[[#This Row],[Education]], "Below College","College","Bachelor","Master","Doctor")</f>
        <v>Bachelor</v>
      </c>
      <c r="AO1132" s="13" t="str">
        <f>VLOOKUP(tblCleanData[[#This Row],[EmployeeNumber]],tblHelpers[],15,TRUE)</f>
        <v>Medium Risk</v>
      </c>
      <c r="AP1132" s="13">
        <f>VLOOKUP(tblCleanData[[#This Row],[EmployeeNumber]],tblHelpers[],14,0)</f>
        <v>46</v>
      </c>
    </row>
    <row r="1133" spans="1:42" x14ac:dyDescent="0.25">
      <c r="A1133" s="13">
        <v>34</v>
      </c>
      <c r="B1133" s="13" t="s">
        <v>59</v>
      </c>
      <c r="C1133" s="13" t="s">
        <v>60</v>
      </c>
      <c r="D1133" s="13">
        <v>653</v>
      </c>
      <c r="E1133" s="13" t="s">
        <v>62</v>
      </c>
      <c r="F1133" s="13">
        <v>10</v>
      </c>
      <c r="G1133" s="13">
        <v>4</v>
      </c>
      <c r="H1133" s="13" t="s">
        <v>228</v>
      </c>
      <c r="I1133" s="13">
        <v>1</v>
      </c>
      <c r="J1133" s="13">
        <v>1597</v>
      </c>
      <c r="K1133" s="13">
        <v>4</v>
      </c>
      <c r="L1133" s="13" t="s">
        <v>63</v>
      </c>
      <c r="M1133" s="13">
        <v>92</v>
      </c>
      <c r="N1133" s="13">
        <v>2</v>
      </c>
      <c r="O1133" s="13">
        <v>2</v>
      </c>
      <c r="P1133" s="13" t="s">
        <v>122</v>
      </c>
      <c r="Q1133" s="13">
        <v>3</v>
      </c>
      <c r="R1133" s="13" t="s">
        <v>66</v>
      </c>
      <c r="S1133" s="20">
        <v>5063</v>
      </c>
      <c r="T1133" s="13">
        <v>15332</v>
      </c>
      <c r="U1133" s="13">
        <v>1</v>
      </c>
      <c r="V1133" s="13" t="s">
        <v>52</v>
      </c>
      <c r="W1133" s="13" t="s">
        <v>59</v>
      </c>
      <c r="X1133" s="13">
        <v>14</v>
      </c>
      <c r="Y1133" s="13">
        <v>3</v>
      </c>
      <c r="Z1133" s="13">
        <v>2</v>
      </c>
      <c r="AA1133" s="13">
        <v>80</v>
      </c>
      <c r="AB1133" s="13">
        <v>1</v>
      </c>
      <c r="AC1133" s="13">
        <v>8</v>
      </c>
      <c r="AD1133" s="13">
        <v>3</v>
      </c>
      <c r="AE1133" s="13">
        <v>2</v>
      </c>
      <c r="AF1133" s="14">
        <v>8</v>
      </c>
      <c r="AG1133" s="13">
        <v>2</v>
      </c>
      <c r="AH1133" s="13">
        <v>7</v>
      </c>
      <c r="AI1133" s="13">
        <v>7</v>
      </c>
      <c r="AJ1133" s="13" t="str">
        <f t="shared" si="17"/>
        <v>30-39</v>
      </c>
      <c r="AK1133" s="13" t="str">
        <f>IF(tblCleanData[[#This Row],[MonthlyIncome]]&lt;5000, "Low Income", IF(tblCleanData[[#This Row],[MonthlyIncome]]&lt;15000, "Medium Income", "High Income"))</f>
        <v>Medium Income</v>
      </c>
      <c r="AL1133" s="13">
        <f>IF(tblCleanData[[#This Row],[Attrition]]="No", 0,1)</f>
        <v>0</v>
      </c>
      <c r="AM1133" s="13">
        <f>IF(tblCleanData[[#This Row],[OverTime]] = "No", 0, 1)</f>
        <v>0</v>
      </c>
      <c r="AN1133" s="13" t="str">
        <f>CHOOSE(tblCleanData[[#This Row],[Education]], "Below College","College","Bachelor","Master","Doctor")</f>
        <v>Master</v>
      </c>
      <c r="AO1133" s="13" t="str">
        <f>VLOOKUP(tblCleanData[[#This Row],[EmployeeNumber]],tblHelpers[],15,TRUE)</f>
        <v>Medium Risk</v>
      </c>
      <c r="AP1133" s="13">
        <f>VLOOKUP(tblCleanData[[#This Row],[EmployeeNumber]],tblHelpers[],14,0)</f>
        <v>46</v>
      </c>
    </row>
    <row r="1134" spans="1:42" x14ac:dyDescent="0.25">
      <c r="A1134" s="13">
        <v>40</v>
      </c>
      <c r="B1134" s="13" t="s">
        <v>59</v>
      </c>
      <c r="C1134" s="13" t="s">
        <v>37</v>
      </c>
      <c r="D1134" s="13">
        <v>118</v>
      </c>
      <c r="E1134" s="13" t="s">
        <v>39</v>
      </c>
      <c r="F1134" s="13">
        <v>14</v>
      </c>
      <c r="G1134" s="13">
        <v>2</v>
      </c>
      <c r="H1134" s="13" t="s">
        <v>42</v>
      </c>
      <c r="I1134" s="13">
        <v>1</v>
      </c>
      <c r="J1134" s="13">
        <v>1598</v>
      </c>
      <c r="K1134" s="13">
        <v>4</v>
      </c>
      <c r="L1134" s="13" t="s">
        <v>43</v>
      </c>
      <c r="M1134" s="13">
        <v>84</v>
      </c>
      <c r="N1134" s="13">
        <v>3</v>
      </c>
      <c r="O1134" s="13">
        <v>2</v>
      </c>
      <c r="P1134" s="13" t="s">
        <v>46</v>
      </c>
      <c r="Q1134" s="13">
        <v>1</v>
      </c>
      <c r="R1134" s="13" t="s">
        <v>66</v>
      </c>
      <c r="S1134" s="20">
        <v>4639</v>
      </c>
      <c r="T1134" s="13">
        <v>11262</v>
      </c>
      <c r="U1134" s="13">
        <v>1</v>
      </c>
      <c r="V1134" s="13" t="s">
        <v>52</v>
      </c>
      <c r="W1134" s="13" t="s">
        <v>59</v>
      </c>
      <c r="X1134" s="13">
        <v>15</v>
      </c>
      <c r="Y1134" s="13">
        <v>3</v>
      </c>
      <c r="Z1134" s="13">
        <v>3</v>
      </c>
      <c r="AA1134" s="13">
        <v>80</v>
      </c>
      <c r="AB1134" s="13">
        <v>1</v>
      </c>
      <c r="AC1134" s="13">
        <v>5</v>
      </c>
      <c r="AD1134" s="13">
        <v>2</v>
      </c>
      <c r="AE1134" s="13">
        <v>3</v>
      </c>
      <c r="AF1134" s="14">
        <v>5</v>
      </c>
      <c r="AG1134" s="13">
        <v>4</v>
      </c>
      <c r="AH1134" s="13">
        <v>1</v>
      </c>
      <c r="AI1134" s="13">
        <v>2</v>
      </c>
      <c r="AJ1134" s="13" t="str">
        <f t="shared" si="17"/>
        <v>40-49</v>
      </c>
      <c r="AK1134" s="13" t="str">
        <f>IF(tblCleanData[[#This Row],[MonthlyIncome]]&lt;5000, "Low Income", IF(tblCleanData[[#This Row],[MonthlyIncome]]&lt;15000, "Medium Income", "High Income"))</f>
        <v>Low Income</v>
      </c>
      <c r="AL1134" s="13">
        <f>IF(tblCleanData[[#This Row],[Attrition]]="No", 0,1)</f>
        <v>0</v>
      </c>
      <c r="AM1134" s="13">
        <f>IF(tblCleanData[[#This Row],[OverTime]] = "No", 0, 1)</f>
        <v>0</v>
      </c>
      <c r="AN1134" s="13" t="str">
        <f>CHOOSE(tblCleanData[[#This Row],[Education]], "Below College","College","Bachelor","Master","Doctor")</f>
        <v>College</v>
      </c>
      <c r="AO1134" s="13" t="str">
        <f>VLOOKUP(tblCleanData[[#This Row],[EmployeeNumber]],tblHelpers[],15,TRUE)</f>
        <v>High Risk</v>
      </c>
      <c r="AP1134" s="13">
        <f>VLOOKUP(tblCleanData[[#This Row],[EmployeeNumber]],tblHelpers[],14,0)</f>
        <v>55</v>
      </c>
    </row>
    <row r="1135" spans="1:42" x14ac:dyDescent="0.25">
      <c r="A1135" s="13">
        <v>43</v>
      </c>
      <c r="B1135" s="13" t="s">
        <v>59</v>
      </c>
      <c r="C1135" s="13" t="s">
        <v>37</v>
      </c>
      <c r="D1135" s="13">
        <v>990</v>
      </c>
      <c r="E1135" s="13" t="s">
        <v>62</v>
      </c>
      <c r="F1135" s="13">
        <v>27</v>
      </c>
      <c r="G1135" s="13">
        <v>3</v>
      </c>
      <c r="H1135" s="13" t="s">
        <v>228</v>
      </c>
      <c r="I1135" s="13">
        <v>1</v>
      </c>
      <c r="J1135" s="13">
        <v>1599</v>
      </c>
      <c r="K1135" s="13">
        <v>4</v>
      </c>
      <c r="L1135" s="13" t="s">
        <v>63</v>
      </c>
      <c r="M1135" s="13">
        <v>87</v>
      </c>
      <c r="N1135" s="13">
        <v>4</v>
      </c>
      <c r="O1135" s="13">
        <v>1</v>
      </c>
      <c r="P1135" s="13" t="s">
        <v>76</v>
      </c>
      <c r="Q1135" s="13">
        <v>2</v>
      </c>
      <c r="R1135" s="13" t="s">
        <v>109</v>
      </c>
      <c r="S1135" s="20">
        <v>4876</v>
      </c>
      <c r="T1135" s="13">
        <v>5855</v>
      </c>
      <c r="U1135" s="13">
        <v>5</v>
      </c>
      <c r="V1135" s="13" t="s">
        <v>52</v>
      </c>
      <c r="W1135" s="13" t="s">
        <v>59</v>
      </c>
      <c r="X1135" s="13">
        <v>12</v>
      </c>
      <c r="Y1135" s="13">
        <v>3</v>
      </c>
      <c r="Z1135" s="13">
        <v>3</v>
      </c>
      <c r="AA1135" s="13">
        <v>80</v>
      </c>
      <c r="AB1135" s="13">
        <v>1</v>
      </c>
      <c r="AC1135" s="13">
        <v>8</v>
      </c>
      <c r="AD1135" s="13">
        <v>0</v>
      </c>
      <c r="AE1135" s="13">
        <v>3</v>
      </c>
      <c r="AF1135" s="14">
        <v>6</v>
      </c>
      <c r="AG1135" s="13">
        <v>4</v>
      </c>
      <c r="AH1135" s="13">
        <v>0</v>
      </c>
      <c r="AI1135" s="13">
        <v>2</v>
      </c>
      <c r="AJ1135" s="13" t="str">
        <f t="shared" si="17"/>
        <v>40-49</v>
      </c>
      <c r="AK1135" s="13" t="str">
        <f>IF(tblCleanData[[#This Row],[MonthlyIncome]]&lt;5000, "Low Income", IF(tblCleanData[[#This Row],[MonthlyIncome]]&lt;15000, "Medium Income", "High Income"))</f>
        <v>Low Income</v>
      </c>
      <c r="AL1135" s="13">
        <f>IF(tblCleanData[[#This Row],[Attrition]]="No", 0,1)</f>
        <v>0</v>
      </c>
      <c r="AM1135" s="13">
        <f>IF(tblCleanData[[#This Row],[OverTime]] = "No", 0, 1)</f>
        <v>0</v>
      </c>
      <c r="AN1135" s="13" t="str">
        <f>CHOOSE(tblCleanData[[#This Row],[Education]], "Below College","College","Bachelor","Master","Doctor")</f>
        <v>Bachelor</v>
      </c>
      <c r="AO1135" s="13" t="str">
        <f>VLOOKUP(tblCleanData[[#This Row],[EmployeeNumber]],tblHelpers[],15,TRUE)</f>
        <v>Medium Risk</v>
      </c>
      <c r="AP1135" s="13">
        <f>VLOOKUP(tblCleanData[[#This Row],[EmployeeNumber]],tblHelpers[],14,0)</f>
        <v>42</v>
      </c>
    </row>
    <row r="1136" spans="1:42" x14ac:dyDescent="0.25">
      <c r="A1136" s="13">
        <v>35</v>
      </c>
      <c r="B1136" s="13" t="s">
        <v>59</v>
      </c>
      <c r="C1136" s="13" t="s">
        <v>37</v>
      </c>
      <c r="D1136" s="13">
        <v>1349</v>
      </c>
      <c r="E1136" s="13" t="s">
        <v>62</v>
      </c>
      <c r="F1136" s="13">
        <v>7</v>
      </c>
      <c r="G1136" s="13">
        <v>2</v>
      </c>
      <c r="H1136" s="13" t="s">
        <v>42</v>
      </c>
      <c r="I1136" s="13">
        <v>1</v>
      </c>
      <c r="J1136" s="13">
        <v>1601</v>
      </c>
      <c r="K1136" s="13">
        <v>3</v>
      </c>
      <c r="L1136" s="13" t="s">
        <v>63</v>
      </c>
      <c r="M1136" s="13">
        <v>63</v>
      </c>
      <c r="N1136" s="13">
        <v>2</v>
      </c>
      <c r="O1136" s="13">
        <v>1</v>
      </c>
      <c r="P1136" s="13" t="s">
        <v>76</v>
      </c>
      <c r="Q1136" s="13">
        <v>4</v>
      </c>
      <c r="R1136" s="13" t="s">
        <v>66</v>
      </c>
      <c r="S1136" s="20">
        <v>2690</v>
      </c>
      <c r="T1136" s="13">
        <v>7713</v>
      </c>
      <c r="U1136" s="13">
        <v>1</v>
      </c>
      <c r="V1136" s="13" t="s">
        <v>52</v>
      </c>
      <c r="W1136" s="13" t="s">
        <v>59</v>
      </c>
      <c r="X1136" s="13">
        <v>18</v>
      </c>
      <c r="Y1136" s="13">
        <v>3</v>
      </c>
      <c r="Z1136" s="13">
        <v>4</v>
      </c>
      <c r="AA1136" s="13">
        <v>80</v>
      </c>
      <c r="AB1136" s="13">
        <v>1</v>
      </c>
      <c r="AC1136" s="13">
        <v>1</v>
      </c>
      <c r="AD1136" s="13">
        <v>5</v>
      </c>
      <c r="AE1136" s="13">
        <v>2</v>
      </c>
      <c r="AF1136" s="14">
        <v>1</v>
      </c>
      <c r="AG1136" s="13">
        <v>0</v>
      </c>
      <c r="AH1136" s="13">
        <v>0</v>
      </c>
      <c r="AI1136" s="13">
        <v>1</v>
      </c>
      <c r="AJ1136" s="13" t="str">
        <f t="shared" si="17"/>
        <v>30-39</v>
      </c>
      <c r="AK1136" s="13" t="str">
        <f>IF(tblCleanData[[#This Row],[MonthlyIncome]]&lt;5000, "Low Income", IF(tblCleanData[[#This Row],[MonthlyIncome]]&lt;15000, "Medium Income", "High Income"))</f>
        <v>Low Income</v>
      </c>
      <c r="AL1136" s="13">
        <f>IF(tblCleanData[[#This Row],[Attrition]]="No", 0,1)</f>
        <v>0</v>
      </c>
      <c r="AM1136" s="13">
        <f>IF(tblCleanData[[#This Row],[OverTime]] = "No", 0, 1)</f>
        <v>0</v>
      </c>
      <c r="AN1136" s="13" t="str">
        <f>CHOOSE(tblCleanData[[#This Row],[Education]], "Below College","College","Bachelor","Master","Doctor")</f>
        <v>College</v>
      </c>
      <c r="AO1136" s="13" t="str">
        <f>VLOOKUP(tblCleanData[[#This Row],[EmployeeNumber]],tblHelpers[],15,TRUE)</f>
        <v>High Risk</v>
      </c>
      <c r="AP1136" s="13">
        <f>VLOOKUP(tblCleanData[[#This Row],[EmployeeNumber]],tblHelpers[],14,0)</f>
        <v>56</v>
      </c>
    </row>
    <row r="1137" spans="1:42" x14ac:dyDescent="0.25">
      <c r="A1137" s="13">
        <v>46</v>
      </c>
      <c r="B1137" s="13" t="s">
        <v>59</v>
      </c>
      <c r="C1137" s="13" t="s">
        <v>37</v>
      </c>
      <c r="D1137" s="13">
        <v>563</v>
      </c>
      <c r="E1137" s="13" t="s">
        <v>39</v>
      </c>
      <c r="F1137" s="13">
        <v>1</v>
      </c>
      <c r="G1137" s="13">
        <v>4</v>
      </c>
      <c r="H1137" s="13" t="s">
        <v>42</v>
      </c>
      <c r="I1137" s="13">
        <v>1</v>
      </c>
      <c r="J1137" s="13">
        <v>1602</v>
      </c>
      <c r="K1137" s="13">
        <v>4</v>
      </c>
      <c r="L1137" s="13" t="s">
        <v>63</v>
      </c>
      <c r="M1137" s="13">
        <v>56</v>
      </c>
      <c r="N1137" s="13">
        <v>4</v>
      </c>
      <c r="O1137" s="13">
        <v>4</v>
      </c>
      <c r="P1137" s="13" t="s">
        <v>169</v>
      </c>
      <c r="Q1137" s="13">
        <v>1</v>
      </c>
      <c r="R1137" s="13" t="s">
        <v>48</v>
      </c>
      <c r="S1137" s="20">
        <v>17567</v>
      </c>
      <c r="T1137" s="13">
        <v>3156</v>
      </c>
      <c r="U1137" s="13">
        <v>1</v>
      </c>
      <c r="V1137" s="13" t="s">
        <v>52</v>
      </c>
      <c r="W1137" s="13" t="s">
        <v>59</v>
      </c>
      <c r="X1137" s="13">
        <v>15</v>
      </c>
      <c r="Y1137" s="13">
        <v>3</v>
      </c>
      <c r="Z1137" s="13">
        <v>2</v>
      </c>
      <c r="AA1137" s="13">
        <v>80</v>
      </c>
      <c r="AB1137" s="13">
        <v>0</v>
      </c>
      <c r="AC1137" s="13">
        <v>27</v>
      </c>
      <c r="AD1137" s="13">
        <v>5</v>
      </c>
      <c r="AE1137" s="13">
        <v>1</v>
      </c>
      <c r="AF1137" s="14">
        <v>26</v>
      </c>
      <c r="AG1137" s="13">
        <v>0</v>
      </c>
      <c r="AH1137" s="13">
        <v>0</v>
      </c>
      <c r="AI1137" s="13">
        <v>12</v>
      </c>
      <c r="AJ1137" s="13" t="str">
        <f t="shared" si="17"/>
        <v>40-49</v>
      </c>
      <c r="AK1137" s="13" t="str">
        <f>IF(tblCleanData[[#This Row],[MonthlyIncome]]&lt;5000, "Low Income", IF(tblCleanData[[#This Row],[MonthlyIncome]]&lt;15000, "Medium Income", "High Income"))</f>
        <v>High Income</v>
      </c>
      <c r="AL1137" s="13">
        <f>IF(tblCleanData[[#This Row],[Attrition]]="No", 0,1)</f>
        <v>0</v>
      </c>
      <c r="AM1137" s="13">
        <f>IF(tblCleanData[[#This Row],[OverTime]] = "No", 0, 1)</f>
        <v>0</v>
      </c>
      <c r="AN1137" s="13" t="str">
        <f>CHOOSE(tblCleanData[[#This Row],[Education]], "Below College","College","Bachelor","Master","Doctor")</f>
        <v>Master</v>
      </c>
      <c r="AO1137" s="13" t="str">
        <f>VLOOKUP(tblCleanData[[#This Row],[EmployeeNumber]],tblHelpers[],15,TRUE)</f>
        <v>Medium Risk</v>
      </c>
      <c r="AP1137" s="13">
        <f>VLOOKUP(tblCleanData[[#This Row],[EmployeeNumber]],tblHelpers[],14,0)</f>
        <v>43</v>
      </c>
    </row>
    <row r="1138" spans="1:42" x14ac:dyDescent="0.25">
      <c r="A1138" s="13">
        <v>28</v>
      </c>
      <c r="B1138" s="13" t="s">
        <v>36</v>
      </c>
      <c r="C1138" s="13" t="s">
        <v>37</v>
      </c>
      <c r="D1138" s="13">
        <v>329</v>
      </c>
      <c r="E1138" s="13" t="s">
        <v>62</v>
      </c>
      <c r="F1138" s="13">
        <v>24</v>
      </c>
      <c r="G1138" s="13">
        <v>3</v>
      </c>
      <c r="H1138" s="13" t="s">
        <v>87</v>
      </c>
      <c r="I1138" s="13">
        <v>1</v>
      </c>
      <c r="J1138" s="13">
        <v>1604</v>
      </c>
      <c r="K1138" s="13">
        <v>3</v>
      </c>
      <c r="L1138" s="13" t="s">
        <v>63</v>
      </c>
      <c r="M1138" s="13">
        <v>51</v>
      </c>
      <c r="N1138" s="13">
        <v>3</v>
      </c>
      <c r="O1138" s="13">
        <v>1</v>
      </c>
      <c r="P1138" s="13" t="s">
        <v>76</v>
      </c>
      <c r="Q1138" s="13">
        <v>2</v>
      </c>
      <c r="R1138" s="13" t="s">
        <v>66</v>
      </c>
      <c r="S1138" s="20">
        <v>2408</v>
      </c>
      <c r="T1138" s="13">
        <v>7324</v>
      </c>
      <c r="U1138" s="13">
        <v>1</v>
      </c>
      <c r="V1138" s="13" t="s">
        <v>52</v>
      </c>
      <c r="W1138" s="13" t="s">
        <v>36</v>
      </c>
      <c r="X1138" s="13">
        <v>17</v>
      </c>
      <c r="Y1138" s="13">
        <v>3</v>
      </c>
      <c r="Z1138" s="13">
        <v>3</v>
      </c>
      <c r="AA1138" s="13">
        <v>80</v>
      </c>
      <c r="AB1138" s="13">
        <v>3</v>
      </c>
      <c r="AC1138" s="13">
        <v>1</v>
      </c>
      <c r="AD1138" s="13">
        <v>3</v>
      </c>
      <c r="AE1138" s="13">
        <v>3</v>
      </c>
      <c r="AF1138" s="14">
        <v>1</v>
      </c>
      <c r="AG1138" s="13">
        <v>1</v>
      </c>
      <c r="AH1138" s="13">
        <v>0</v>
      </c>
      <c r="AI1138" s="13">
        <v>0</v>
      </c>
      <c r="AJ1138" s="13" t="str">
        <f t="shared" si="17"/>
        <v>Under 30</v>
      </c>
      <c r="AK1138" s="13" t="str">
        <f>IF(tblCleanData[[#This Row],[MonthlyIncome]]&lt;5000, "Low Income", IF(tblCleanData[[#This Row],[MonthlyIncome]]&lt;15000, "Medium Income", "High Income"))</f>
        <v>Low Income</v>
      </c>
      <c r="AL1138" s="13">
        <f>IF(tblCleanData[[#This Row],[Attrition]]="No", 0,1)</f>
        <v>1</v>
      </c>
      <c r="AM1138" s="13">
        <f>IF(tblCleanData[[#This Row],[OverTime]] = "No", 0, 1)</f>
        <v>1</v>
      </c>
      <c r="AN1138" s="13" t="str">
        <f>CHOOSE(tblCleanData[[#This Row],[Education]], "Below College","College","Bachelor","Master","Doctor")</f>
        <v>Bachelor</v>
      </c>
      <c r="AO1138" s="13" t="str">
        <f>VLOOKUP(tblCleanData[[#This Row],[EmployeeNumber]],tblHelpers[],15,TRUE)</f>
        <v>High Risk</v>
      </c>
      <c r="AP1138" s="13">
        <f>VLOOKUP(tblCleanData[[#This Row],[EmployeeNumber]],tblHelpers[],14,0)</f>
        <v>104</v>
      </c>
    </row>
    <row r="1139" spans="1:42" x14ac:dyDescent="0.25">
      <c r="A1139" s="13">
        <v>22</v>
      </c>
      <c r="B1139" s="13" t="s">
        <v>59</v>
      </c>
      <c r="C1139" s="13" t="s">
        <v>161</v>
      </c>
      <c r="D1139" s="13">
        <v>457</v>
      </c>
      <c r="E1139" s="13" t="s">
        <v>62</v>
      </c>
      <c r="F1139" s="13">
        <v>26</v>
      </c>
      <c r="G1139" s="13">
        <v>2</v>
      </c>
      <c r="H1139" s="13" t="s">
        <v>74</v>
      </c>
      <c r="I1139" s="13">
        <v>1</v>
      </c>
      <c r="J1139" s="13">
        <v>1605</v>
      </c>
      <c r="K1139" s="13">
        <v>2</v>
      </c>
      <c r="L1139" s="13" t="s">
        <v>43</v>
      </c>
      <c r="M1139" s="13">
        <v>85</v>
      </c>
      <c r="N1139" s="13">
        <v>2</v>
      </c>
      <c r="O1139" s="13">
        <v>1</v>
      </c>
      <c r="P1139" s="13" t="s">
        <v>65</v>
      </c>
      <c r="Q1139" s="13">
        <v>3</v>
      </c>
      <c r="R1139" s="13" t="s">
        <v>66</v>
      </c>
      <c r="S1139" s="20">
        <v>2814</v>
      </c>
      <c r="T1139" s="13">
        <v>10293</v>
      </c>
      <c r="U1139" s="13">
        <v>1</v>
      </c>
      <c r="V1139" s="13" t="s">
        <v>52</v>
      </c>
      <c r="W1139" s="13" t="s">
        <v>36</v>
      </c>
      <c r="X1139" s="13">
        <v>14</v>
      </c>
      <c r="Y1139" s="13">
        <v>3</v>
      </c>
      <c r="Z1139" s="13">
        <v>2</v>
      </c>
      <c r="AA1139" s="13">
        <v>80</v>
      </c>
      <c r="AB1139" s="13">
        <v>0</v>
      </c>
      <c r="AC1139" s="13">
        <v>4</v>
      </c>
      <c r="AD1139" s="13">
        <v>2</v>
      </c>
      <c r="AE1139" s="13">
        <v>2</v>
      </c>
      <c r="AF1139" s="14">
        <v>4</v>
      </c>
      <c r="AG1139" s="13">
        <v>2</v>
      </c>
      <c r="AH1139" s="13">
        <v>1</v>
      </c>
      <c r="AI1139" s="13">
        <v>3</v>
      </c>
      <c r="AJ1139" s="13" t="str">
        <f t="shared" si="17"/>
        <v>Under 30</v>
      </c>
      <c r="AK1139" s="13" t="str">
        <f>IF(tblCleanData[[#This Row],[MonthlyIncome]]&lt;5000, "Low Income", IF(tblCleanData[[#This Row],[MonthlyIncome]]&lt;15000, "Medium Income", "High Income"))</f>
        <v>Low Income</v>
      </c>
      <c r="AL1139" s="13">
        <f>IF(tblCleanData[[#This Row],[Attrition]]="No", 0,1)</f>
        <v>0</v>
      </c>
      <c r="AM1139" s="13">
        <f>IF(tblCleanData[[#This Row],[OverTime]] = "No", 0, 1)</f>
        <v>1</v>
      </c>
      <c r="AN1139" s="13" t="str">
        <f>CHOOSE(tblCleanData[[#This Row],[Education]], "Below College","College","Bachelor","Master","Doctor")</f>
        <v>College</v>
      </c>
      <c r="AO1139" s="13" t="str">
        <f>VLOOKUP(tblCleanData[[#This Row],[EmployeeNumber]],tblHelpers[],15,TRUE)</f>
        <v>High Risk</v>
      </c>
      <c r="AP1139" s="13">
        <f>VLOOKUP(tblCleanData[[#This Row],[EmployeeNumber]],tblHelpers[],14,0)</f>
        <v>88</v>
      </c>
    </row>
    <row r="1140" spans="1:42" x14ac:dyDescent="0.25">
      <c r="A1140" s="13">
        <v>50</v>
      </c>
      <c r="B1140" s="13" t="s">
        <v>59</v>
      </c>
      <c r="C1140" s="13" t="s">
        <v>60</v>
      </c>
      <c r="D1140" s="13">
        <v>1234</v>
      </c>
      <c r="E1140" s="13" t="s">
        <v>62</v>
      </c>
      <c r="F1140" s="13">
        <v>20</v>
      </c>
      <c r="G1140" s="13">
        <v>5</v>
      </c>
      <c r="H1140" s="13" t="s">
        <v>87</v>
      </c>
      <c r="I1140" s="13">
        <v>1</v>
      </c>
      <c r="J1140" s="13">
        <v>1606</v>
      </c>
      <c r="K1140" s="13">
        <v>2</v>
      </c>
      <c r="L1140" s="13" t="s">
        <v>63</v>
      </c>
      <c r="M1140" s="13">
        <v>41</v>
      </c>
      <c r="N1140" s="13">
        <v>3</v>
      </c>
      <c r="O1140" s="13">
        <v>4</v>
      </c>
      <c r="P1140" s="13" t="s">
        <v>122</v>
      </c>
      <c r="Q1140" s="13">
        <v>3</v>
      </c>
      <c r="R1140" s="13" t="s">
        <v>66</v>
      </c>
      <c r="S1140" s="20">
        <v>11245</v>
      </c>
      <c r="T1140" s="13">
        <v>20689</v>
      </c>
      <c r="U1140" s="13">
        <v>2</v>
      </c>
      <c r="V1140" s="13" t="s">
        <v>52</v>
      </c>
      <c r="W1140" s="13" t="s">
        <v>36</v>
      </c>
      <c r="X1140" s="13">
        <v>15</v>
      </c>
      <c r="Y1140" s="13">
        <v>3</v>
      </c>
      <c r="Z1140" s="13">
        <v>3</v>
      </c>
      <c r="AA1140" s="13">
        <v>80</v>
      </c>
      <c r="AB1140" s="13">
        <v>1</v>
      </c>
      <c r="AC1140" s="13">
        <v>32</v>
      </c>
      <c r="AD1140" s="13">
        <v>3</v>
      </c>
      <c r="AE1140" s="13">
        <v>3</v>
      </c>
      <c r="AF1140" s="14">
        <v>30</v>
      </c>
      <c r="AG1140" s="13">
        <v>8</v>
      </c>
      <c r="AH1140" s="13">
        <v>12</v>
      </c>
      <c r="AI1140" s="13">
        <v>13</v>
      </c>
      <c r="AJ1140" s="13" t="str">
        <f t="shared" si="17"/>
        <v>50+</v>
      </c>
      <c r="AK1140" s="13" t="str">
        <f>IF(tblCleanData[[#This Row],[MonthlyIncome]]&lt;5000, "Low Income", IF(tblCleanData[[#This Row],[MonthlyIncome]]&lt;15000, "Medium Income", "High Income"))</f>
        <v>Medium Income</v>
      </c>
      <c r="AL1140" s="13">
        <f>IF(tblCleanData[[#This Row],[Attrition]]="No", 0,1)</f>
        <v>0</v>
      </c>
      <c r="AM1140" s="13">
        <f>IF(tblCleanData[[#This Row],[OverTime]] = "No", 0, 1)</f>
        <v>1</v>
      </c>
      <c r="AN1140" s="13" t="str">
        <f>CHOOSE(tblCleanData[[#This Row],[Education]], "Below College","College","Bachelor","Master","Doctor")</f>
        <v>Doctor</v>
      </c>
      <c r="AO1140" s="13" t="str">
        <f>VLOOKUP(tblCleanData[[#This Row],[EmployeeNumber]],tblHelpers[],15,TRUE)</f>
        <v>High Risk</v>
      </c>
      <c r="AP1140" s="13">
        <f>VLOOKUP(tblCleanData[[#This Row],[EmployeeNumber]],tblHelpers[],14,0)</f>
        <v>61</v>
      </c>
    </row>
    <row r="1141" spans="1:42" x14ac:dyDescent="0.25">
      <c r="A1141" s="13">
        <v>32</v>
      </c>
      <c r="B1141" s="13" t="s">
        <v>59</v>
      </c>
      <c r="C1141" s="13" t="s">
        <v>37</v>
      </c>
      <c r="D1141" s="13">
        <v>634</v>
      </c>
      <c r="E1141" s="13" t="s">
        <v>62</v>
      </c>
      <c r="F1141" s="13">
        <v>5</v>
      </c>
      <c r="G1141" s="13">
        <v>4</v>
      </c>
      <c r="H1141" s="13" t="s">
        <v>74</v>
      </c>
      <c r="I1141" s="13">
        <v>1</v>
      </c>
      <c r="J1141" s="13">
        <v>1607</v>
      </c>
      <c r="K1141" s="13">
        <v>2</v>
      </c>
      <c r="L1141" s="13" t="s">
        <v>43</v>
      </c>
      <c r="M1141" s="13">
        <v>35</v>
      </c>
      <c r="N1141" s="13">
        <v>4</v>
      </c>
      <c r="O1141" s="13">
        <v>1</v>
      </c>
      <c r="P1141" s="13" t="s">
        <v>65</v>
      </c>
      <c r="Q1141" s="13">
        <v>4</v>
      </c>
      <c r="R1141" s="13" t="s">
        <v>66</v>
      </c>
      <c r="S1141" s="20">
        <v>3312</v>
      </c>
      <c r="T1141" s="13">
        <v>18783</v>
      </c>
      <c r="U1141" s="13">
        <v>3</v>
      </c>
      <c r="V1141" s="13" t="s">
        <v>52</v>
      </c>
      <c r="W1141" s="13" t="s">
        <v>59</v>
      </c>
      <c r="X1141" s="13">
        <v>17</v>
      </c>
      <c r="Y1141" s="13">
        <v>3</v>
      </c>
      <c r="Z1141" s="13">
        <v>4</v>
      </c>
      <c r="AA1141" s="13">
        <v>80</v>
      </c>
      <c r="AB1141" s="13">
        <v>2</v>
      </c>
      <c r="AC1141" s="13">
        <v>6</v>
      </c>
      <c r="AD1141" s="13">
        <v>3</v>
      </c>
      <c r="AE1141" s="13">
        <v>3</v>
      </c>
      <c r="AF1141" s="14">
        <v>3</v>
      </c>
      <c r="AG1141" s="13">
        <v>2</v>
      </c>
      <c r="AH1141" s="13">
        <v>0</v>
      </c>
      <c r="AI1141" s="13">
        <v>2</v>
      </c>
      <c r="AJ1141" s="13" t="str">
        <f t="shared" si="17"/>
        <v>30-39</v>
      </c>
      <c r="AK1141" s="13" t="str">
        <f>IF(tblCleanData[[#This Row],[MonthlyIncome]]&lt;5000, "Low Income", IF(tblCleanData[[#This Row],[MonthlyIncome]]&lt;15000, "Medium Income", "High Income"))</f>
        <v>Low Income</v>
      </c>
      <c r="AL1141" s="13">
        <f>IF(tblCleanData[[#This Row],[Attrition]]="No", 0,1)</f>
        <v>0</v>
      </c>
      <c r="AM1141" s="13">
        <f>IF(tblCleanData[[#This Row],[OverTime]] = "No", 0, 1)</f>
        <v>0</v>
      </c>
      <c r="AN1141" s="13" t="str">
        <f>CHOOSE(tblCleanData[[#This Row],[Education]], "Below College","College","Bachelor","Master","Doctor")</f>
        <v>Master</v>
      </c>
      <c r="AO1141" s="13" t="str">
        <f>VLOOKUP(tblCleanData[[#This Row],[EmployeeNumber]],tblHelpers[],15,TRUE)</f>
        <v>Medium Risk</v>
      </c>
      <c r="AP1141" s="13">
        <f>VLOOKUP(tblCleanData[[#This Row],[EmployeeNumber]],tblHelpers[],14,0)</f>
        <v>46</v>
      </c>
    </row>
    <row r="1142" spans="1:42" x14ac:dyDescent="0.25">
      <c r="A1142" s="13">
        <v>44</v>
      </c>
      <c r="B1142" s="13" t="s">
        <v>59</v>
      </c>
      <c r="C1142" s="13" t="s">
        <v>37</v>
      </c>
      <c r="D1142" s="13">
        <v>1313</v>
      </c>
      <c r="E1142" s="13" t="s">
        <v>62</v>
      </c>
      <c r="F1142" s="13">
        <v>7</v>
      </c>
      <c r="G1142" s="13">
        <v>3</v>
      </c>
      <c r="H1142" s="13" t="s">
        <v>87</v>
      </c>
      <c r="I1142" s="13">
        <v>1</v>
      </c>
      <c r="J1142" s="13">
        <v>1608</v>
      </c>
      <c r="K1142" s="13">
        <v>2</v>
      </c>
      <c r="L1142" s="13" t="s">
        <v>43</v>
      </c>
      <c r="M1142" s="13">
        <v>31</v>
      </c>
      <c r="N1142" s="13">
        <v>3</v>
      </c>
      <c r="O1142" s="13">
        <v>5</v>
      </c>
      <c r="P1142" s="13" t="s">
        <v>186</v>
      </c>
      <c r="Q1142" s="13">
        <v>4</v>
      </c>
      <c r="R1142" s="13" t="s">
        <v>109</v>
      </c>
      <c r="S1142" s="20">
        <v>19049</v>
      </c>
      <c r="T1142" s="13">
        <v>3549</v>
      </c>
      <c r="U1142" s="13">
        <v>0</v>
      </c>
      <c r="V1142" s="13" t="s">
        <v>52</v>
      </c>
      <c r="W1142" s="13" t="s">
        <v>36</v>
      </c>
      <c r="X1142" s="13">
        <v>14</v>
      </c>
      <c r="Y1142" s="13">
        <v>3</v>
      </c>
      <c r="Z1142" s="13">
        <v>4</v>
      </c>
      <c r="AA1142" s="13">
        <v>80</v>
      </c>
      <c r="AB1142" s="13">
        <v>1</v>
      </c>
      <c r="AC1142" s="13">
        <v>23</v>
      </c>
      <c r="AD1142" s="13">
        <v>4</v>
      </c>
      <c r="AE1142" s="13">
        <v>2</v>
      </c>
      <c r="AF1142" s="14">
        <v>22</v>
      </c>
      <c r="AG1142" s="13">
        <v>7</v>
      </c>
      <c r="AH1142" s="13">
        <v>1</v>
      </c>
      <c r="AI1142" s="13">
        <v>10</v>
      </c>
      <c r="AJ1142" s="13" t="str">
        <f t="shared" si="17"/>
        <v>40-49</v>
      </c>
      <c r="AK1142" s="13" t="str">
        <f>IF(tblCleanData[[#This Row],[MonthlyIncome]]&lt;5000, "Low Income", IF(tblCleanData[[#This Row],[MonthlyIncome]]&lt;15000, "Medium Income", "High Income"))</f>
        <v>High Income</v>
      </c>
      <c r="AL1142" s="13">
        <f>IF(tblCleanData[[#This Row],[Attrition]]="No", 0,1)</f>
        <v>0</v>
      </c>
      <c r="AM1142" s="13">
        <f>IF(tblCleanData[[#This Row],[OverTime]] = "No", 0, 1)</f>
        <v>1</v>
      </c>
      <c r="AN1142" s="13" t="str">
        <f>CHOOSE(tblCleanData[[#This Row],[Education]], "Below College","College","Bachelor","Master","Doctor")</f>
        <v>Bachelor</v>
      </c>
      <c r="AO1142" s="13" t="str">
        <f>VLOOKUP(tblCleanData[[#This Row],[EmployeeNumber]],tblHelpers[],15,TRUE)</f>
        <v>Medium Risk</v>
      </c>
      <c r="AP1142" s="13">
        <f>VLOOKUP(tblCleanData[[#This Row],[EmployeeNumber]],tblHelpers[],14,0)</f>
        <v>49</v>
      </c>
    </row>
    <row r="1143" spans="1:42" x14ac:dyDescent="0.25">
      <c r="A1143" s="13">
        <v>30</v>
      </c>
      <c r="B1143" s="13" t="s">
        <v>59</v>
      </c>
      <c r="C1143" s="13" t="s">
        <v>37</v>
      </c>
      <c r="D1143" s="13">
        <v>241</v>
      </c>
      <c r="E1143" s="13" t="s">
        <v>62</v>
      </c>
      <c r="F1143" s="13">
        <v>7</v>
      </c>
      <c r="G1143" s="13">
        <v>3</v>
      </c>
      <c r="H1143" s="13" t="s">
        <v>87</v>
      </c>
      <c r="I1143" s="13">
        <v>1</v>
      </c>
      <c r="J1143" s="13">
        <v>1609</v>
      </c>
      <c r="K1143" s="13">
        <v>2</v>
      </c>
      <c r="L1143" s="13" t="s">
        <v>63</v>
      </c>
      <c r="M1143" s="13">
        <v>48</v>
      </c>
      <c r="N1143" s="13">
        <v>2</v>
      </c>
      <c r="O1143" s="13">
        <v>1</v>
      </c>
      <c r="P1143" s="13" t="s">
        <v>65</v>
      </c>
      <c r="Q1143" s="13">
        <v>2</v>
      </c>
      <c r="R1143" s="13" t="s">
        <v>66</v>
      </c>
      <c r="S1143" s="20">
        <v>2141</v>
      </c>
      <c r="T1143" s="13">
        <v>5348</v>
      </c>
      <c r="U1143" s="13">
        <v>1</v>
      </c>
      <c r="V1143" s="13" t="s">
        <v>52</v>
      </c>
      <c r="W1143" s="13" t="s">
        <v>59</v>
      </c>
      <c r="X1143" s="13">
        <v>12</v>
      </c>
      <c r="Y1143" s="13">
        <v>3</v>
      </c>
      <c r="Z1143" s="13">
        <v>2</v>
      </c>
      <c r="AA1143" s="13">
        <v>80</v>
      </c>
      <c r="AB1143" s="13">
        <v>1</v>
      </c>
      <c r="AC1143" s="13">
        <v>6</v>
      </c>
      <c r="AD1143" s="13">
        <v>3</v>
      </c>
      <c r="AE1143" s="13">
        <v>2</v>
      </c>
      <c r="AF1143" s="14">
        <v>6</v>
      </c>
      <c r="AG1143" s="13">
        <v>4</v>
      </c>
      <c r="AH1143" s="13">
        <v>1</v>
      </c>
      <c r="AI1143" s="13">
        <v>1</v>
      </c>
      <c r="AJ1143" s="13" t="str">
        <f t="shared" si="17"/>
        <v>30-39</v>
      </c>
      <c r="AK1143" s="13" t="str">
        <f>IF(tblCleanData[[#This Row],[MonthlyIncome]]&lt;5000, "Low Income", IF(tblCleanData[[#This Row],[MonthlyIncome]]&lt;15000, "Medium Income", "High Income"))</f>
        <v>Low Income</v>
      </c>
      <c r="AL1143" s="13">
        <f>IF(tblCleanData[[#This Row],[Attrition]]="No", 0,1)</f>
        <v>0</v>
      </c>
      <c r="AM1143" s="13">
        <f>IF(tblCleanData[[#This Row],[OverTime]] = "No", 0, 1)</f>
        <v>0</v>
      </c>
      <c r="AN1143" s="13" t="str">
        <f>CHOOSE(tblCleanData[[#This Row],[Education]], "Below College","College","Bachelor","Master","Doctor")</f>
        <v>Bachelor</v>
      </c>
      <c r="AO1143" s="13" t="str">
        <f>VLOOKUP(tblCleanData[[#This Row],[EmployeeNumber]],tblHelpers[],15,TRUE)</f>
        <v>Medium Risk</v>
      </c>
      <c r="AP1143" s="13">
        <f>VLOOKUP(tblCleanData[[#This Row],[EmployeeNumber]],tblHelpers[],14,0)</f>
        <v>52</v>
      </c>
    </row>
    <row r="1144" spans="1:42" x14ac:dyDescent="0.25">
      <c r="A1144" s="13">
        <v>45</v>
      </c>
      <c r="B1144" s="13" t="s">
        <v>59</v>
      </c>
      <c r="C1144" s="13" t="s">
        <v>37</v>
      </c>
      <c r="D1144" s="13">
        <v>1015</v>
      </c>
      <c r="E1144" s="13" t="s">
        <v>62</v>
      </c>
      <c r="F1144" s="13">
        <v>5</v>
      </c>
      <c r="G1144" s="13">
        <v>5</v>
      </c>
      <c r="H1144" s="13" t="s">
        <v>87</v>
      </c>
      <c r="I1144" s="13">
        <v>1</v>
      </c>
      <c r="J1144" s="13">
        <v>1611</v>
      </c>
      <c r="K1144" s="13">
        <v>3</v>
      </c>
      <c r="L1144" s="13" t="s">
        <v>43</v>
      </c>
      <c r="M1144" s="13">
        <v>50</v>
      </c>
      <c r="N1144" s="13">
        <v>1</v>
      </c>
      <c r="O1144" s="13">
        <v>2</v>
      </c>
      <c r="P1144" s="13" t="s">
        <v>76</v>
      </c>
      <c r="Q1144" s="13">
        <v>1</v>
      </c>
      <c r="R1144" s="13" t="s">
        <v>48</v>
      </c>
      <c r="S1144" s="20">
        <v>5769</v>
      </c>
      <c r="T1144" s="13">
        <v>23447</v>
      </c>
      <c r="U1144" s="13">
        <v>1</v>
      </c>
      <c r="V1144" s="13" t="s">
        <v>52</v>
      </c>
      <c r="W1144" s="13" t="s">
        <v>36</v>
      </c>
      <c r="X1144" s="13">
        <v>14</v>
      </c>
      <c r="Y1144" s="13">
        <v>3</v>
      </c>
      <c r="Z1144" s="13">
        <v>1</v>
      </c>
      <c r="AA1144" s="13">
        <v>80</v>
      </c>
      <c r="AB1144" s="13">
        <v>0</v>
      </c>
      <c r="AC1144" s="13">
        <v>10</v>
      </c>
      <c r="AD1144" s="13">
        <v>3</v>
      </c>
      <c r="AE1144" s="13">
        <v>3</v>
      </c>
      <c r="AF1144" s="14">
        <v>10</v>
      </c>
      <c r="AG1144" s="13">
        <v>7</v>
      </c>
      <c r="AH1144" s="13">
        <v>1</v>
      </c>
      <c r="AI1144" s="13">
        <v>4</v>
      </c>
      <c r="AJ1144" s="13" t="str">
        <f t="shared" si="17"/>
        <v>40-49</v>
      </c>
      <c r="AK1144" s="13" t="str">
        <f>IF(tblCleanData[[#This Row],[MonthlyIncome]]&lt;5000, "Low Income", IF(tblCleanData[[#This Row],[MonthlyIncome]]&lt;15000, "Medium Income", "High Income"))</f>
        <v>Medium Income</v>
      </c>
      <c r="AL1144" s="13">
        <f>IF(tblCleanData[[#This Row],[Attrition]]="No", 0,1)</f>
        <v>0</v>
      </c>
      <c r="AM1144" s="13">
        <f>IF(tblCleanData[[#This Row],[OverTime]] = "No", 0, 1)</f>
        <v>1</v>
      </c>
      <c r="AN1144" s="13" t="str">
        <f>CHOOSE(tblCleanData[[#This Row],[Education]], "Below College","College","Bachelor","Master","Doctor")</f>
        <v>Doctor</v>
      </c>
      <c r="AO1144" s="13" t="str">
        <f>VLOOKUP(tblCleanData[[#This Row],[EmployeeNumber]],tblHelpers[],15,TRUE)</f>
        <v>High Risk</v>
      </c>
      <c r="AP1144" s="13">
        <f>VLOOKUP(tblCleanData[[#This Row],[EmployeeNumber]],tblHelpers[],14,0)</f>
        <v>73</v>
      </c>
    </row>
    <row r="1145" spans="1:42" x14ac:dyDescent="0.25">
      <c r="A1145" s="13">
        <v>45</v>
      </c>
      <c r="B1145" s="13" t="s">
        <v>59</v>
      </c>
      <c r="C1145" s="13" t="s">
        <v>161</v>
      </c>
      <c r="D1145" s="13">
        <v>336</v>
      </c>
      <c r="E1145" s="13" t="s">
        <v>39</v>
      </c>
      <c r="F1145" s="13">
        <v>26</v>
      </c>
      <c r="G1145" s="13">
        <v>3</v>
      </c>
      <c r="H1145" s="13" t="s">
        <v>206</v>
      </c>
      <c r="I1145" s="13">
        <v>1</v>
      </c>
      <c r="J1145" s="13">
        <v>1612</v>
      </c>
      <c r="K1145" s="13">
        <v>1</v>
      </c>
      <c r="L1145" s="13" t="s">
        <v>63</v>
      </c>
      <c r="M1145" s="13">
        <v>52</v>
      </c>
      <c r="N1145" s="13">
        <v>2</v>
      </c>
      <c r="O1145" s="13">
        <v>2</v>
      </c>
      <c r="P1145" s="13" t="s">
        <v>46</v>
      </c>
      <c r="Q1145" s="13">
        <v>1</v>
      </c>
      <c r="R1145" s="13" t="s">
        <v>66</v>
      </c>
      <c r="S1145" s="20">
        <v>4385</v>
      </c>
      <c r="T1145" s="13">
        <v>24162</v>
      </c>
      <c r="U1145" s="13">
        <v>1</v>
      </c>
      <c r="V1145" s="13" t="s">
        <v>52</v>
      </c>
      <c r="W1145" s="13" t="s">
        <v>59</v>
      </c>
      <c r="X1145" s="13">
        <v>15</v>
      </c>
      <c r="Y1145" s="13">
        <v>3</v>
      </c>
      <c r="Z1145" s="13">
        <v>1</v>
      </c>
      <c r="AA1145" s="13">
        <v>80</v>
      </c>
      <c r="AB1145" s="13">
        <v>1</v>
      </c>
      <c r="AC1145" s="13">
        <v>10</v>
      </c>
      <c r="AD1145" s="13">
        <v>2</v>
      </c>
      <c r="AE1145" s="13">
        <v>3</v>
      </c>
      <c r="AF1145" s="14">
        <v>10</v>
      </c>
      <c r="AG1145" s="13">
        <v>7</v>
      </c>
      <c r="AH1145" s="13">
        <v>4</v>
      </c>
      <c r="AI1145" s="13">
        <v>5</v>
      </c>
      <c r="AJ1145" s="13" t="str">
        <f t="shared" si="17"/>
        <v>40-49</v>
      </c>
      <c r="AK1145" s="13" t="str">
        <f>IF(tblCleanData[[#This Row],[MonthlyIncome]]&lt;5000, "Low Income", IF(tblCleanData[[#This Row],[MonthlyIncome]]&lt;15000, "Medium Income", "High Income"))</f>
        <v>Low Income</v>
      </c>
      <c r="AL1145" s="13">
        <f>IF(tblCleanData[[#This Row],[Attrition]]="No", 0,1)</f>
        <v>0</v>
      </c>
      <c r="AM1145" s="13">
        <f>IF(tblCleanData[[#This Row],[OverTime]] = "No", 0, 1)</f>
        <v>0</v>
      </c>
      <c r="AN1145" s="13" t="str">
        <f>CHOOSE(tblCleanData[[#This Row],[Education]], "Below College","College","Bachelor","Master","Doctor")</f>
        <v>Bachelor</v>
      </c>
      <c r="AO1145" s="13" t="str">
        <f>VLOOKUP(tblCleanData[[#This Row],[EmployeeNumber]],tblHelpers[],15,TRUE)</f>
        <v>Medium Risk</v>
      </c>
      <c r="AP1145" s="13">
        <f>VLOOKUP(tblCleanData[[#This Row],[EmployeeNumber]],tblHelpers[],14,0)</f>
        <v>48</v>
      </c>
    </row>
    <row r="1146" spans="1:42" x14ac:dyDescent="0.25">
      <c r="A1146" s="13">
        <v>31</v>
      </c>
      <c r="B1146" s="13" t="s">
        <v>59</v>
      </c>
      <c r="C1146" s="13" t="s">
        <v>60</v>
      </c>
      <c r="D1146" s="13">
        <v>715</v>
      </c>
      <c r="E1146" s="13" t="s">
        <v>39</v>
      </c>
      <c r="F1146" s="13">
        <v>2</v>
      </c>
      <c r="G1146" s="13">
        <v>4</v>
      </c>
      <c r="H1146" s="13" t="s">
        <v>74</v>
      </c>
      <c r="I1146" s="13">
        <v>1</v>
      </c>
      <c r="J1146" s="13">
        <v>1613</v>
      </c>
      <c r="K1146" s="13">
        <v>4</v>
      </c>
      <c r="L1146" s="13" t="s">
        <v>63</v>
      </c>
      <c r="M1146" s="13">
        <v>54</v>
      </c>
      <c r="N1146" s="13">
        <v>3</v>
      </c>
      <c r="O1146" s="13">
        <v>2</v>
      </c>
      <c r="P1146" s="13" t="s">
        <v>46</v>
      </c>
      <c r="Q1146" s="13">
        <v>1</v>
      </c>
      <c r="R1146" s="13" t="s">
        <v>48</v>
      </c>
      <c r="S1146" s="20">
        <v>5332</v>
      </c>
      <c r="T1146" s="13">
        <v>21602</v>
      </c>
      <c r="U1146" s="13">
        <v>7</v>
      </c>
      <c r="V1146" s="13" t="s">
        <v>52</v>
      </c>
      <c r="W1146" s="13" t="s">
        <v>59</v>
      </c>
      <c r="X1146" s="13">
        <v>13</v>
      </c>
      <c r="Y1146" s="13">
        <v>3</v>
      </c>
      <c r="Z1146" s="13">
        <v>4</v>
      </c>
      <c r="AA1146" s="13">
        <v>80</v>
      </c>
      <c r="AB1146" s="13">
        <v>0</v>
      </c>
      <c r="AC1146" s="13">
        <v>10</v>
      </c>
      <c r="AD1146" s="13">
        <v>3</v>
      </c>
      <c r="AE1146" s="13">
        <v>3</v>
      </c>
      <c r="AF1146" s="14">
        <v>5</v>
      </c>
      <c r="AG1146" s="13">
        <v>2</v>
      </c>
      <c r="AH1146" s="13">
        <v>0</v>
      </c>
      <c r="AI1146" s="13">
        <v>3</v>
      </c>
      <c r="AJ1146" s="13" t="str">
        <f t="shared" si="17"/>
        <v>30-39</v>
      </c>
      <c r="AK1146" s="13" t="str">
        <f>IF(tblCleanData[[#This Row],[MonthlyIncome]]&lt;5000, "Low Income", IF(tblCleanData[[#This Row],[MonthlyIncome]]&lt;15000, "Medium Income", "High Income"))</f>
        <v>Medium Income</v>
      </c>
      <c r="AL1146" s="13">
        <f>IF(tblCleanData[[#This Row],[Attrition]]="No", 0,1)</f>
        <v>0</v>
      </c>
      <c r="AM1146" s="13">
        <f>IF(tblCleanData[[#This Row],[OverTime]] = "No", 0, 1)</f>
        <v>0</v>
      </c>
      <c r="AN1146" s="13" t="str">
        <f>CHOOSE(tblCleanData[[#This Row],[Education]], "Below College","College","Bachelor","Master","Doctor")</f>
        <v>Master</v>
      </c>
      <c r="AO1146" s="13" t="str">
        <f>VLOOKUP(tblCleanData[[#This Row],[EmployeeNumber]],tblHelpers[],15,TRUE)</f>
        <v>High Risk</v>
      </c>
      <c r="AP1146" s="13">
        <f>VLOOKUP(tblCleanData[[#This Row],[EmployeeNumber]],tblHelpers[],14,0)</f>
        <v>65</v>
      </c>
    </row>
    <row r="1147" spans="1:42" x14ac:dyDescent="0.25">
      <c r="A1147" s="13">
        <v>36</v>
      </c>
      <c r="B1147" s="13" t="s">
        <v>59</v>
      </c>
      <c r="C1147" s="13" t="s">
        <v>37</v>
      </c>
      <c r="D1147" s="13">
        <v>559</v>
      </c>
      <c r="E1147" s="13" t="s">
        <v>62</v>
      </c>
      <c r="F1147" s="13">
        <v>12</v>
      </c>
      <c r="G1147" s="13">
        <v>4</v>
      </c>
      <c r="H1147" s="13" t="s">
        <v>42</v>
      </c>
      <c r="I1147" s="13">
        <v>1</v>
      </c>
      <c r="J1147" s="13">
        <v>1614</v>
      </c>
      <c r="K1147" s="13">
        <v>3</v>
      </c>
      <c r="L1147" s="13" t="s">
        <v>43</v>
      </c>
      <c r="M1147" s="13">
        <v>76</v>
      </c>
      <c r="N1147" s="13">
        <v>3</v>
      </c>
      <c r="O1147" s="13">
        <v>2</v>
      </c>
      <c r="P1147" s="13" t="s">
        <v>116</v>
      </c>
      <c r="Q1147" s="13">
        <v>3</v>
      </c>
      <c r="R1147" s="13" t="s">
        <v>66</v>
      </c>
      <c r="S1147" s="20">
        <v>4663</v>
      </c>
      <c r="T1147" s="13">
        <v>12421</v>
      </c>
      <c r="U1147" s="13">
        <v>9</v>
      </c>
      <c r="V1147" s="13" t="s">
        <v>52</v>
      </c>
      <c r="W1147" s="13" t="s">
        <v>36</v>
      </c>
      <c r="X1147" s="13">
        <v>12</v>
      </c>
      <c r="Y1147" s="13">
        <v>3</v>
      </c>
      <c r="Z1147" s="13">
        <v>2</v>
      </c>
      <c r="AA1147" s="13">
        <v>80</v>
      </c>
      <c r="AB1147" s="13">
        <v>2</v>
      </c>
      <c r="AC1147" s="13">
        <v>7</v>
      </c>
      <c r="AD1147" s="13">
        <v>2</v>
      </c>
      <c r="AE1147" s="13">
        <v>3</v>
      </c>
      <c r="AF1147" s="14">
        <v>3</v>
      </c>
      <c r="AG1147" s="13">
        <v>2</v>
      </c>
      <c r="AH1147" s="13">
        <v>1</v>
      </c>
      <c r="AI1147" s="13">
        <v>1</v>
      </c>
      <c r="AJ1147" s="13" t="str">
        <f t="shared" si="17"/>
        <v>30-39</v>
      </c>
      <c r="AK1147" s="13" t="str">
        <f>IF(tblCleanData[[#This Row],[MonthlyIncome]]&lt;5000, "Low Income", IF(tblCleanData[[#This Row],[MonthlyIncome]]&lt;15000, "Medium Income", "High Income"))</f>
        <v>Low Income</v>
      </c>
      <c r="AL1147" s="13">
        <f>IF(tblCleanData[[#This Row],[Attrition]]="No", 0,1)</f>
        <v>0</v>
      </c>
      <c r="AM1147" s="13">
        <f>IF(tblCleanData[[#This Row],[OverTime]] = "No", 0, 1)</f>
        <v>1</v>
      </c>
      <c r="AN1147" s="13" t="str">
        <f>CHOOSE(tblCleanData[[#This Row],[Education]], "Below College","College","Bachelor","Master","Doctor")</f>
        <v>Master</v>
      </c>
      <c r="AO1147" s="13" t="str">
        <f>VLOOKUP(tblCleanData[[#This Row],[EmployeeNumber]],tblHelpers[],15,TRUE)</f>
        <v>High Risk</v>
      </c>
      <c r="AP1147" s="13">
        <f>VLOOKUP(tblCleanData[[#This Row],[EmployeeNumber]],tblHelpers[],14,0)</f>
        <v>78</v>
      </c>
    </row>
    <row r="1148" spans="1:42" x14ac:dyDescent="0.25">
      <c r="A1148" s="13">
        <v>34</v>
      </c>
      <c r="B1148" s="13" t="s">
        <v>59</v>
      </c>
      <c r="C1148" s="13" t="s">
        <v>60</v>
      </c>
      <c r="D1148" s="13">
        <v>426</v>
      </c>
      <c r="E1148" s="13" t="s">
        <v>62</v>
      </c>
      <c r="F1148" s="13">
        <v>10</v>
      </c>
      <c r="G1148" s="13">
        <v>4</v>
      </c>
      <c r="H1148" s="13" t="s">
        <v>42</v>
      </c>
      <c r="I1148" s="13">
        <v>1</v>
      </c>
      <c r="J1148" s="13">
        <v>1615</v>
      </c>
      <c r="K1148" s="13">
        <v>3</v>
      </c>
      <c r="L1148" s="13" t="s">
        <v>63</v>
      </c>
      <c r="M1148" s="13">
        <v>42</v>
      </c>
      <c r="N1148" s="13">
        <v>4</v>
      </c>
      <c r="O1148" s="13">
        <v>2</v>
      </c>
      <c r="P1148" s="13" t="s">
        <v>116</v>
      </c>
      <c r="Q1148" s="13">
        <v>4</v>
      </c>
      <c r="R1148" s="13" t="s">
        <v>109</v>
      </c>
      <c r="S1148" s="20">
        <v>4724</v>
      </c>
      <c r="T1148" s="13">
        <v>17000</v>
      </c>
      <c r="U1148" s="13">
        <v>1</v>
      </c>
      <c r="V1148" s="13" t="s">
        <v>52</v>
      </c>
      <c r="W1148" s="13" t="s">
        <v>59</v>
      </c>
      <c r="X1148" s="13">
        <v>13</v>
      </c>
      <c r="Y1148" s="13">
        <v>3</v>
      </c>
      <c r="Z1148" s="13">
        <v>1</v>
      </c>
      <c r="AA1148" s="13">
        <v>80</v>
      </c>
      <c r="AB1148" s="13">
        <v>1</v>
      </c>
      <c r="AC1148" s="13">
        <v>9</v>
      </c>
      <c r="AD1148" s="13">
        <v>3</v>
      </c>
      <c r="AE1148" s="13">
        <v>3</v>
      </c>
      <c r="AF1148" s="14">
        <v>9</v>
      </c>
      <c r="AG1148" s="13">
        <v>7</v>
      </c>
      <c r="AH1148" s="13">
        <v>7</v>
      </c>
      <c r="AI1148" s="13">
        <v>2</v>
      </c>
      <c r="AJ1148" s="13" t="str">
        <f t="shared" si="17"/>
        <v>30-39</v>
      </c>
      <c r="AK1148" s="13" t="str">
        <f>IF(tblCleanData[[#This Row],[MonthlyIncome]]&lt;5000, "Low Income", IF(tblCleanData[[#This Row],[MonthlyIncome]]&lt;15000, "Medium Income", "High Income"))</f>
        <v>Low Income</v>
      </c>
      <c r="AL1148" s="13">
        <f>IF(tblCleanData[[#This Row],[Attrition]]="No", 0,1)</f>
        <v>0</v>
      </c>
      <c r="AM1148" s="13">
        <f>IF(tblCleanData[[#This Row],[OverTime]] = "No", 0, 1)</f>
        <v>0</v>
      </c>
      <c r="AN1148" s="13" t="str">
        <f>CHOOSE(tblCleanData[[#This Row],[Education]], "Below College","College","Bachelor","Master","Doctor")</f>
        <v>Master</v>
      </c>
      <c r="AO1148" s="13" t="str">
        <f>VLOOKUP(tblCleanData[[#This Row],[EmployeeNumber]],tblHelpers[],15,TRUE)</f>
        <v>Medium Risk</v>
      </c>
      <c r="AP1148" s="13">
        <f>VLOOKUP(tblCleanData[[#This Row],[EmployeeNumber]],tblHelpers[],14,0)</f>
        <v>39</v>
      </c>
    </row>
    <row r="1149" spans="1:42" x14ac:dyDescent="0.25">
      <c r="A1149" s="13">
        <v>49</v>
      </c>
      <c r="B1149" s="13" t="s">
        <v>59</v>
      </c>
      <c r="C1149" s="13" t="s">
        <v>37</v>
      </c>
      <c r="D1149" s="13">
        <v>722</v>
      </c>
      <c r="E1149" s="13" t="s">
        <v>62</v>
      </c>
      <c r="F1149" s="13">
        <v>25</v>
      </c>
      <c r="G1149" s="13">
        <v>4</v>
      </c>
      <c r="H1149" s="13" t="s">
        <v>42</v>
      </c>
      <c r="I1149" s="13">
        <v>1</v>
      </c>
      <c r="J1149" s="13">
        <v>1617</v>
      </c>
      <c r="K1149" s="13">
        <v>3</v>
      </c>
      <c r="L1149" s="13" t="s">
        <v>43</v>
      </c>
      <c r="M1149" s="13">
        <v>84</v>
      </c>
      <c r="N1149" s="13">
        <v>3</v>
      </c>
      <c r="O1149" s="13">
        <v>1</v>
      </c>
      <c r="P1149" s="13" t="s">
        <v>76</v>
      </c>
      <c r="Q1149" s="13">
        <v>1</v>
      </c>
      <c r="R1149" s="13" t="s">
        <v>66</v>
      </c>
      <c r="S1149" s="20">
        <v>3211</v>
      </c>
      <c r="T1149" s="13">
        <v>22102</v>
      </c>
      <c r="U1149" s="13">
        <v>1</v>
      </c>
      <c r="V1149" s="13" t="s">
        <v>52</v>
      </c>
      <c r="W1149" s="13" t="s">
        <v>59</v>
      </c>
      <c r="X1149" s="13">
        <v>14</v>
      </c>
      <c r="Y1149" s="13">
        <v>3</v>
      </c>
      <c r="Z1149" s="13">
        <v>4</v>
      </c>
      <c r="AA1149" s="13">
        <v>80</v>
      </c>
      <c r="AB1149" s="13">
        <v>1</v>
      </c>
      <c r="AC1149" s="13">
        <v>10</v>
      </c>
      <c r="AD1149" s="13">
        <v>3</v>
      </c>
      <c r="AE1149" s="13">
        <v>2</v>
      </c>
      <c r="AF1149" s="14">
        <v>9</v>
      </c>
      <c r="AG1149" s="13">
        <v>6</v>
      </c>
      <c r="AH1149" s="13">
        <v>1</v>
      </c>
      <c r="AI1149" s="13">
        <v>4</v>
      </c>
      <c r="AJ1149" s="13" t="str">
        <f t="shared" si="17"/>
        <v>40-49</v>
      </c>
      <c r="AK1149" s="13" t="str">
        <f>IF(tblCleanData[[#This Row],[MonthlyIncome]]&lt;5000, "Low Income", IF(tblCleanData[[#This Row],[MonthlyIncome]]&lt;15000, "Medium Income", "High Income"))</f>
        <v>Low Income</v>
      </c>
      <c r="AL1149" s="13">
        <f>IF(tblCleanData[[#This Row],[Attrition]]="No", 0,1)</f>
        <v>0</v>
      </c>
      <c r="AM1149" s="13">
        <f>IF(tblCleanData[[#This Row],[OverTime]] = "No", 0, 1)</f>
        <v>0</v>
      </c>
      <c r="AN1149" s="13" t="str">
        <f>CHOOSE(tblCleanData[[#This Row],[Education]], "Below College","College","Bachelor","Master","Doctor")</f>
        <v>Master</v>
      </c>
      <c r="AO1149" s="13" t="str">
        <f>VLOOKUP(tblCleanData[[#This Row],[EmployeeNumber]],tblHelpers[],15,TRUE)</f>
        <v>Medium Risk</v>
      </c>
      <c r="AP1149" s="13">
        <f>VLOOKUP(tblCleanData[[#This Row],[EmployeeNumber]],tblHelpers[],14,0)</f>
        <v>48</v>
      </c>
    </row>
    <row r="1150" spans="1:42" x14ac:dyDescent="0.25">
      <c r="A1150" s="13">
        <v>39</v>
      </c>
      <c r="B1150" s="13" t="s">
        <v>59</v>
      </c>
      <c r="C1150" s="13" t="s">
        <v>37</v>
      </c>
      <c r="D1150" s="13">
        <v>1387</v>
      </c>
      <c r="E1150" s="13" t="s">
        <v>62</v>
      </c>
      <c r="F1150" s="13">
        <v>10</v>
      </c>
      <c r="G1150" s="13">
        <v>5</v>
      </c>
      <c r="H1150" s="13" t="s">
        <v>87</v>
      </c>
      <c r="I1150" s="13">
        <v>1</v>
      </c>
      <c r="J1150" s="13">
        <v>1618</v>
      </c>
      <c r="K1150" s="13">
        <v>2</v>
      </c>
      <c r="L1150" s="13" t="s">
        <v>63</v>
      </c>
      <c r="M1150" s="13">
        <v>76</v>
      </c>
      <c r="N1150" s="13">
        <v>3</v>
      </c>
      <c r="O1150" s="13">
        <v>2</v>
      </c>
      <c r="P1150" s="13" t="s">
        <v>116</v>
      </c>
      <c r="Q1150" s="13">
        <v>1</v>
      </c>
      <c r="R1150" s="13" t="s">
        <v>66</v>
      </c>
      <c r="S1150" s="20">
        <v>5377</v>
      </c>
      <c r="T1150" s="13">
        <v>3835</v>
      </c>
      <c r="U1150" s="13">
        <v>2</v>
      </c>
      <c r="V1150" s="13" t="s">
        <v>52</v>
      </c>
      <c r="W1150" s="13" t="s">
        <v>59</v>
      </c>
      <c r="X1150" s="13">
        <v>13</v>
      </c>
      <c r="Y1150" s="13">
        <v>3</v>
      </c>
      <c r="Z1150" s="13">
        <v>4</v>
      </c>
      <c r="AA1150" s="13">
        <v>80</v>
      </c>
      <c r="AB1150" s="13">
        <v>3</v>
      </c>
      <c r="AC1150" s="13">
        <v>10</v>
      </c>
      <c r="AD1150" s="13">
        <v>3</v>
      </c>
      <c r="AE1150" s="13">
        <v>3</v>
      </c>
      <c r="AF1150" s="14">
        <v>7</v>
      </c>
      <c r="AG1150" s="13">
        <v>7</v>
      </c>
      <c r="AH1150" s="13">
        <v>7</v>
      </c>
      <c r="AI1150" s="13">
        <v>7</v>
      </c>
      <c r="AJ1150" s="13" t="str">
        <f t="shared" si="17"/>
        <v>30-39</v>
      </c>
      <c r="AK1150" s="13" t="str">
        <f>IF(tblCleanData[[#This Row],[MonthlyIncome]]&lt;5000, "Low Income", IF(tblCleanData[[#This Row],[MonthlyIncome]]&lt;15000, "Medium Income", "High Income"))</f>
        <v>Medium Income</v>
      </c>
      <c r="AL1150" s="13">
        <f>IF(tblCleanData[[#This Row],[Attrition]]="No", 0,1)</f>
        <v>0</v>
      </c>
      <c r="AM1150" s="13">
        <f>IF(tblCleanData[[#This Row],[OverTime]] = "No", 0, 1)</f>
        <v>0</v>
      </c>
      <c r="AN1150" s="13" t="str">
        <f>CHOOSE(tblCleanData[[#This Row],[Education]], "Below College","College","Bachelor","Master","Doctor")</f>
        <v>Doctor</v>
      </c>
      <c r="AO1150" s="13" t="str">
        <f>VLOOKUP(tblCleanData[[#This Row],[EmployeeNumber]],tblHelpers[],15,TRUE)</f>
        <v>High Risk</v>
      </c>
      <c r="AP1150" s="13">
        <f>VLOOKUP(tblCleanData[[#This Row],[EmployeeNumber]],tblHelpers[],14,0)</f>
        <v>58</v>
      </c>
    </row>
    <row r="1151" spans="1:42" x14ac:dyDescent="0.25">
      <c r="A1151" s="13">
        <v>27</v>
      </c>
      <c r="B1151" s="13" t="s">
        <v>59</v>
      </c>
      <c r="C1151" s="13" t="s">
        <v>37</v>
      </c>
      <c r="D1151" s="13">
        <v>1302</v>
      </c>
      <c r="E1151" s="13" t="s">
        <v>62</v>
      </c>
      <c r="F1151" s="13">
        <v>19</v>
      </c>
      <c r="G1151" s="13">
        <v>3</v>
      </c>
      <c r="H1151" s="13" t="s">
        <v>74</v>
      </c>
      <c r="I1151" s="13">
        <v>1</v>
      </c>
      <c r="J1151" s="13">
        <v>1619</v>
      </c>
      <c r="K1151" s="13">
        <v>4</v>
      </c>
      <c r="L1151" s="13" t="s">
        <v>63</v>
      </c>
      <c r="M1151" s="13">
        <v>67</v>
      </c>
      <c r="N1151" s="13">
        <v>2</v>
      </c>
      <c r="O1151" s="13">
        <v>1</v>
      </c>
      <c r="P1151" s="13" t="s">
        <v>76</v>
      </c>
      <c r="Q1151" s="13">
        <v>1</v>
      </c>
      <c r="R1151" s="13" t="s">
        <v>109</v>
      </c>
      <c r="S1151" s="20">
        <v>4066</v>
      </c>
      <c r="T1151" s="13">
        <v>16290</v>
      </c>
      <c r="U1151" s="13">
        <v>1</v>
      </c>
      <c r="V1151" s="13" t="s">
        <v>52</v>
      </c>
      <c r="W1151" s="13" t="s">
        <v>59</v>
      </c>
      <c r="X1151" s="13">
        <v>11</v>
      </c>
      <c r="Y1151" s="13">
        <v>3</v>
      </c>
      <c r="Z1151" s="13">
        <v>1</v>
      </c>
      <c r="AA1151" s="13">
        <v>80</v>
      </c>
      <c r="AB1151" s="13">
        <v>2</v>
      </c>
      <c r="AC1151" s="13">
        <v>7</v>
      </c>
      <c r="AD1151" s="13">
        <v>3</v>
      </c>
      <c r="AE1151" s="13">
        <v>3</v>
      </c>
      <c r="AF1151" s="14">
        <v>7</v>
      </c>
      <c r="AG1151" s="13">
        <v>7</v>
      </c>
      <c r="AH1151" s="13">
        <v>0</v>
      </c>
      <c r="AI1151" s="13">
        <v>7</v>
      </c>
      <c r="AJ1151" s="13" t="str">
        <f t="shared" si="17"/>
        <v>Under 30</v>
      </c>
      <c r="AK1151" s="13" t="str">
        <f>IF(tblCleanData[[#This Row],[MonthlyIncome]]&lt;5000, "Low Income", IF(tblCleanData[[#This Row],[MonthlyIncome]]&lt;15000, "Medium Income", "High Income"))</f>
        <v>Low Income</v>
      </c>
      <c r="AL1151" s="13">
        <f>IF(tblCleanData[[#This Row],[Attrition]]="No", 0,1)</f>
        <v>0</v>
      </c>
      <c r="AM1151" s="13">
        <f>IF(tblCleanData[[#This Row],[OverTime]] = "No", 0, 1)</f>
        <v>0</v>
      </c>
      <c r="AN1151" s="13" t="str">
        <f>CHOOSE(tblCleanData[[#This Row],[Education]], "Below College","College","Bachelor","Master","Doctor")</f>
        <v>Bachelor</v>
      </c>
      <c r="AO1151" s="13" t="str">
        <f>VLOOKUP(tblCleanData[[#This Row],[EmployeeNumber]],tblHelpers[],15,TRUE)</f>
        <v>High Risk</v>
      </c>
      <c r="AP1151" s="13">
        <f>VLOOKUP(tblCleanData[[#This Row],[EmployeeNumber]],tblHelpers[],14,0)</f>
        <v>68</v>
      </c>
    </row>
    <row r="1152" spans="1:42" x14ac:dyDescent="0.25">
      <c r="A1152" s="13">
        <v>35</v>
      </c>
      <c r="B1152" s="13" t="s">
        <v>59</v>
      </c>
      <c r="C1152" s="13" t="s">
        <v>37</v>
      </c>
      <c r="D1152" s="13">
        <v>819</v>
      </c>
      <c r="E1152" s="13" t="s">
        <v>62</v>
      </c>
      <c r="F1152" s="13">
        <v>18</v>
      </c>
      <c r="G1152" s="13">
        <v>5</v>
      </c>
      <c r="H1152" s="13" t="s">
        <v>42</v>
      </c>
      <c r="I1152" s="13">
        <v>1</v>
      </c>
      <c r="J1152" s="13">
        <v>1621</v>
      </c>
      <c r="K1152" s="13">
        <v>2</v>
      </c>
      <c r="L1152" s="13" t="s">
        <v>63</v>
      </c>
      <c r="M1152" s="13">
        <v>48</v>
      </c>
      <c r="N1152" s="13">
        <v>4</v>
      </c>
      <c r="O1152" s="13">
        <v>2</v>
      </c>
      <c r="P1152" s="13" t="s">
        <v>65</v>
      </c>
      <c r="Q1152" s="13">
        <v>1</v>
      </c>
      <c r="R1152" s="13" t="s">
        <v>66</v>
      </c>
      <c r="S1152" s="20">
        <v>5208</v>
      </c>
      <c r="T1152" s="13">
        <v>26312</v>
      </c>
      <c r="U1152" s="13">
        <v>1</v>
      </c>
      <c r="V1152" s="13" t="s">
        <v>52</v>
      </c>
      <c r="W1152" s="13" t="s">
        <v>59</v>
      </c>
      <c r="X1152" s="13">
        <v>11</v>
      </c>
      <c r="Y1152" s="13">
        <v>3</v>
      </c>
      <c r="Z1152" s="13">
        <v>4</v>
      </c>
      <c r="AA1152" s="13">
        <v>80</v>
      </c>
      <c r="AB1152" s="13">
        <v>0</v>
      </c>
      <c r="AC1152" s="13">
        <v>16</v>
      </c>
      <c r="AD1152" s="13">
        <v>2</v>
      </c>
      <c r="AE1152" s="13">
        <v>3</v>
      </c>
      <c r="AF1152" s="14">
        <v>16</v>
      </c>
      <c r="AG1152" s="13">
        <v>15</v>
      </c>
      <c r="AH1152" s="13">
        <v>1</v>
      </c>
      <c r="AI1152" s="13">
        <v>10</v>
      </c>
      <c r="AJ1152" s="13" t="str">
        <f t="shared" si="17"/>
        <v>30-39</v>
      </c>
      <c r="AK1152" s="13" t="str">
        <f>IF(tblCleanData[[#This Row],[MonthlyIncome]]&lt;5000, "Low Income", IF(tblCleanData[[#This Row],[MonthlyIncome]]&lt;15000, "Medium Income", "High Income"))</f>
        <v>Medium Income</v>
      </c>
      <c r="AL1152" s="13">
        <f>IF(tblCleanData[[#This Row],[Attrition]]="No", 0,1)</f>
        <v>0</v>
      </c>
      <c r="AM1152" s="13">
        <f>IF(tblCleanData[[#This Row],[OverTime]] = "No", 0, 1)</f>
        <v>0</v>
      </c>
      <c r="AN1152" s="13" t="str">
        <f>CHOOSE(tblCleanData[[#This Row],[Education]], "Below College","College","Bachelor","Master","Doctor")</f>
        <v>Doctor</v>
      </c>
      <c r="AO1152" s="13" t="str">
        <f>VLOOKUP(tblCleanData[[#This Row],[EmployeeNumber]],tblHelpers[],15,TRUE)</f>
        <v>Medium Risk</v>
      </c>
      <c r="AP1152" s="13">
        <f>VLOOKUP(tblCleanData[[#This Row],[EmployeeNumber]],tblHelpers[],14,0)</f>
        <v>53</v>
      </c>
    </row>
    <row r="1153" spans="1:42" x14ac:dyDescent="0.25">
      <c r="A1153" s="13">
        <v>28</v>
      </c>
      <c r="B1153" s="13" t="s">
        <v>59</v>
      </c>
      <c r="C1153" s="13" t="s">
        <v>37</v>
      </c>
      <c r="D1153" s="13">
        <v>580</v>
      </c>
      <c r="E1153" s="13" t="s">
        <v>62</v>
      </c>
      <c r="F1153" s="13">
        <v>27</v>
      </c>
      <c r="G1153" s="13">
        <v>3</v>
      </c>
      <c r="H1153" s="13" t="s">
        <v>87</v>
      </c>
      <c r="I1153" s="13">
        <v>1</v>
      </c>
      <c r="J1153" s="13">
        <v>1622</v>
      </c>
      <c r="K1153" s="13">
        <v>2</v>
      </c>
      <c r="L1153" s="13" t="s">
        <v>43</v>
      </c>
      <c r="M1153" s="13">
        <v>39</v>
      </c>
      <c r="N1153" s="13">
        <v>1</v>
      </c>
      <c r="O1153" s="13">
        <v>2</v>
      </c>
      <c r="P1153" s="13" t="s">
        <v>116</v>
      </c>
      <c r="Q1153" s="13">
        <v>1</v>
      </c>
      <c r="R1153" s="13" t="s">
        <v>109</v>
      </c>
      <c r="S1153" s="20">
        <v>4877</v>
      </c>
      <c r="T1153" s="13">
        <v>20460</v>
      </c>
      <c r="U1153" s="13">
        <v>0</v>
      </c>
      <c r="V1153" s="13" t="s">
        <v>52</v>
      </c>
      <c r="W1153" s="13" t="s">
        <v>59</v>
      </c>
      <c r="X1153" s="13">
        <v>21</v>
      </c>
      <c r="Y1153" s="13">
        <v>4</v>
      </c>
      <c r="Z1153" s="13">
        <v>2</v>
      </c>
      <c r="AA1153" s="13">
        <v>80</v>
      </c>
      <c r="AB1153" s="13">
        <v>1</v>
      </c>
      <c r="AC1153" s="13">
        <v>6</v>
      </c>
      <c r="AD1153" s="13">
        <v>5</v>
      </c>
      <c r="AE1153" s="13">
        <v>2</v>
      </c>
      <c r="AF1153" s="14">
        <v>5</v>
      </c>
      <c r="AG1153" s="13">
        <v>3</v>
      </c>
      <c r="AH1153" s="13">
        <v>0</v>
      </c>
      <c r="AI1153" s="13">
        <v>0</v>
      </c>
      <c r="AJ1153" s="13" t="str">
        <f t="shared" si="17"/>
        <v>Under 30</v>
      </c>
      <c r="AK1153" s="13" t="str">
        <f>IF(tblCleanData[[#This Row],[MonthlyIncome]]&lt;5000, "Low Income", IF(tblCleanData[[#This Row],[MonthlyIncome]]&lt;15000, "Medium Income", "High Income"))</f>
        <v>Low Income</v>
      </c>
      <c r="AL1153" s="13">
        <f>IF(tblCleanData[[#This Row],[Attrition]]="No", 0,1)</f>
        <v>0</v>
      </c>
      <c r="AM1153" s="13">
        <f>IF(tblCleanData[[#This Row],[OverTime]] = "No", 0, 1)</f>
        <v>0</v>
      </c>
      <c r="AN1153" s="13" t="str">
        <f>CHOOSE(tblCleanData[[#This Row],[Education]], "Below College","College","Bachelor","Master","Doctor")</f>
        <v>Bachelor</v>
      </c>
      <c r="AO1153" s="13" t="str">
        <f>VLOOKUP(tblCleanData[[#This Row],[EmployeeNumber]],tblHelpers[],15,TRUE)</f>
        <v>High Risk</v>
      </c>
      <c r="AP1153" s="13">
        <f>VLOOKUP(tblCleanData[[#This Row],[EmployeeNumber]],tblHelpers[],14,0)</f>
        <v>75</v>
      </c>
    </row>
    <row r="1154" spans="1:42" x14ac:dyDescent="0.25">
      <c r="A1154" s="13">
        <v>21</v>
      </c>
      <c r="B1154" s="13" t="s">
        <v>59</v>
      </c>
      <c r="C1154" s="13" t="s">
        <v>37</v>
      </c>
      <c r="D1154" s="13">
        <v>546</v>
      </c>
      <c r="E1154" s="13" t="s">
        <v>62</v>
      </c>
      <c r="F1154" s="13">
        <v>5</v>
      </c>
      <c r="G1154" s="13">
        <v>1</v>
      </c>
      <c r="H1154" s="13" t="s">
        <v>87</v>
      </c>
      <c r="I1154" s="13">
        <v>1</v>
      </c>
      <c r="J1154" s="13">
        <v>1623</v>
      </c>
      <c r="K1154" s="13">
        <v>3</v>
      </c>
      <c r="L1154" s="13" t="s">
        <v>63</v>
      </c>
      <c r="M1154" s="13">
        <v>97</v>
      </c>
      <c r="N1154" s="13">
        <v>3</v>
      </c>
      <c r="O1154" s="13">
        <v>1</v>
      </c>
      <c r="P1154" s="13" t="s">
        <v>65</v>
      </c>
      <c r="Q1154" s="13">
        <v>4</v>
      </c>
      <c r="R1154" s="13" t="s">
        <v>48</v>
      </c>
      <c r="S1154" s="20">
        <v>3117</v>
      </c>
      <c r="T1154" s="13">
        <v>26009</v>
      </c>
      <c r="U1154" s="13">
        <v>1</v>
      </c>
      <c r="V1154" s="13" t="s">
        <v>52</v>
      </c>
      <c r="W1154" s="13" t="s">
        <v>59</v>
      </c>
      <c r="X1154" s="13">
        <v>18</v>
      </c>
      <c r="Y1154" s="13">
        <v>3</v>
      </c>
      <c r="Z1154" s="13">
        <v>3</v>
      </c>
      <c r="AA1154" s="13">
        <v>80</v>
      </c>
      <c r="AB1154" s="13">
        <v>0</v>
      </c>
      <c r="AC1154" s="13">
        <v>3</v>
      </c>
      <c r="AD1154" s="13">
        <v>2</v>
      </c>
      <c r="AE1154" s="13">
        <v>3</v>
      </c>
      <c r="AF1154" s="14">
        <v>2</v>
      </c>
      <c r="AG1154" s="13">
        <v>2</v>
      </c>
      <c r="AH1154" s="13">
        <v>2</v>
      </c>
      <c r="AI1154" s="13">
        <v>2</v>
      </c>
      <c r="AJ1154" s="13" t="str">
        <f t="shared" ref="AJ1154:AJ1217" si="18">IF(A1154&lt;30,"Under 30", IF(A1154&lt;40,"30-39", IF(A1154&lt;50,"40-49", "50+")))</f>
        <v>Under 30</v>
      </c>
      <c r="AK1154" s="13" t="str">
        <f>IF(tblCleanData[[#This Row],[MonthlyIncome]]&lt;5000, "Low Income", IF(tblCleanData[[#This Row],[MonthlyIncome]]&lt;15000, "Medium Income", "High Income"))</f>
        <v>Low Income</v>
      </c>
      <c r="AL1154" s="13">
        <f>IF(tblCleanData[[#This Row],[Attrition]]="No", 0,1)</f>
        <v>0</v>
      </c>
      <c r="AM1154" s="13">
        <f>IF(tblCleanData[[#This Row],[OverTime]] = "No", 0, 1)</f>
        <v>0</v>
      </c>
      <c r="AN1154" s="13" t="str">
        <f>CHOOSE(tblCleanData[[#This Row],[Education]], "Below College","College","Bachelor","Master","Doctor")</f>
        <v>Below College</v>
      </c>
      <c r="AO1154" s="13" t="str">
        <f>VLOOKUP(tblCleanData[[#This Row],[EmployeeNumber]],tblHelpers[],15,TRUE)</f>
        <v>High Risk</v>
      </c>
      <c r="AP1154" s="13">
        <f>VLOOKUP(tblCleanData[[#This Row],[EmployeeNumber]],tblHelpers[],14,0)</f>
        <v>66</v>
      </c>
    </row>
    <row r="1155" spans="1:42" x14ac:dyDescent="0.25">
      <c r="A1155" s="13">
        <v>18</v>
      </c>
      <c r="B1155" s="13" t="s">
        <v>36</v>
      </c>
      <c r="C1155" s="13" t="s">
        <v>60</v>
      </c>
      <c r="D1155" s="13">
        <v>544</v>
      </c>
      <c r="E1155" s="13" t="s">
        <v>39</v>
      </c>
      <c r="F1155" s="13">
        <v>3</v>
      </c>
      <c r="G1155" s="13">
        <v>2</v>
      </c>
      <c r="H1155" s="13" t="s">
        <v>87</v>
      </c>
      <c r="I1155" s="13">
        <v>1</v>
      </c>
      <c r="J1155" s="13">
        <v>1624</v>
      </c>
      <c r="K1155" s="13">
        <v>2</v>
      </c>
      <c r="L1155" s="13" t="s">
        <v>43</v>
      </c>
      <c r="M1155" s="13">
        <v>70</v>
      </c>
      <c r="N1155" s="13">
        <v>3</v>
      </c>
      <c r="O1155" s="13">
        <v>1</v>
      </c>
      <c r="P1155" s="13" t="s">
        <v>182</v>
      </c>
      <c r="Q1155" s="13">
        <v>4</v>
      </c>
      <c r="R1155" s="13" t="s">
        <v>48</v>
      </c>
      <c r="S1155" s="20">
        <v>1569</v>
      </c>
      <c r="T1155" s="13">
        <v>18420</v>
      </c>
      <c r="U1155" s="13">
        <v>1</v>
      </c>
      <c r="V1155" s="13" t="s">
        <v>52</v>
      </c>
      <c r="W1155" s="13" t="s">
        <v>36</v>
      </c>
      <c r="X1155" s="13">
        <v>12</v>
      </c>
      <c r="Y1155" s="13">
        <v>3</v>
      </c>
      <c r="Z1155" s="13">
        <v>3</v>
      </c>
      <c r="AA1155" s="13">
        <v>80</v>
      </c>
      <c r="AB1155" s="13">
        <v>0</v>
      </c>
      <c r="AC1155" s="13">
        <v>0</v>
      </c>
      <c r="AD1155" s="13">
        <v>2</v>
      </c>
      <c r="AE1155" s="13">
        <v>4</v>
      </c>
      <c r="AF1155" s="14">
        <v>0</v>
      </c>
      <c r="AG1155" s="13">
        <v>0</v>
      </c>
      <c r="AH1155" s="13">
        <v>0</v>
      </c>
      <c r="AI1155" s="13">
        <v>0</v>
      </c>
      <c r="AJ1155" s="13" t="str">
        <f t="shared" si="18"/>
        <v>Under 30</v>
      </c>
      <c r="AK1155" s="13" t="str">
        <f>IF(tblCleanData[[#This Row],[MonthlyIncome]]&lt;5000, "Low Income", IF(tblCleanData[[#This Row],[MonthlyIncome]]&lt;15000, "Medium Income", "High Income"))</f>
        <v>Low Income</v>
      </c>
      <c r="AL1155" s="13">
        <f>IF(tblCleanData[[#This Row],[Attrition]]="No", 0,1)</f>
        <v>1</v>
      </c>
      <c r="AM1155" s="13">
        <f>IF(tblCleanData[[#This Row],[OverTime]] = "No", 0, 1)</f>
        <v>1</v>
      </c>
      <c r="AN1155" s="13" t="str">
        <f>CHOOSE(tblCleanData[[#This Row],[Education]], "Below College","College","Bachelor","Master","Doctor")</f>
        <v>College</v>
      </c>
      <c r="AO1155" s="13" t="str">
        <f>VLOOKUP(tblCleanData[[#This Row],[EmployeeNumber]],tblHelpers[],15,TRUE)</f>
        <v>High Risk</v>
      </c>
      <c r="AP1155" s="13">
        <f>VLOOKUP(tblCleanData[[#This Row],[EmployeeNumber]],tblHelpers[],14,0)</f>
        <v>91</v>
      </c>
    </row>
    <row r="1156" spans="1:42" x14ac:dyDescent="0.25">
      <c r="A1156" s="13">
        <v>47</v>
      </c>
      <c r="B1156" s="13" t="s">
        <v>59</v>
      </c>
      <c r="C1156" s="13" t="s">
        <v>37</v>
      </c>
      <c r="D1156" s="13">
        <v>1176</v>
      </c>
      <c r="E1156" s="13" t="s">
        <v>397</v>
      </c>
      <c r="F1156" s="13">
        <v>26</v>
      </c>
      <c r="G1156" s="13">
        <v>4</v>
      </c>
      <c r="H1156" s="13" t="s">
        <v>42</v>
      </c>
      <c r="I1156" s="13">
        <v>1</v>
      </c>
      <c r="J1156" s="13">
        <v>1625</v>
      </c>
      <c r="K1156" s="13">
        <v>4</v>
      </c>
      <c r="L1156" s="13" t="s">
        <v>43</v>
      </c>
      <c r="M1156" s="13">
        <v>98</v>
      </c>
      <c r="N1156" s="13">
        <v>3</v>
      </c>
      <c r="O1156" s="13">
        <v>5</v>
      </c>
      <c r="P1156" s="13" t="s">
        <v>169</v>
      </c>
      <c r="Q1156" s="13">
        <v>3</v>
      </c>
      <c r="R1156" s="13" t="s">
        <v>66</v>
      </c>
      <c r="S1156" s="20">
        <v>19658</v>
      </c>
      <c r="T1156" s="13">
        <v>5220</v>
      </c>
      <c r="U1156" s="13">
        <v>3</v>
      </c>
      <c r="V1156" s="13" t="s">
        <v>52</v>
      </c>
      <c r="W1156" s="13" t="s">
        <v>59</v>
      </c>
      <c r="X1156" s="13">
        <v>11</v>
      </c>
      <c r="Y1156" s="13">
        <v>3</v>
      </c>
      <c r="Z1156" s="13">
        <v>3</v>
      </c>
      <c r="AA1156" s="13">
        <v>80</v>
      </c>
      <c r="AB1156" s="13">
        <v>1</v>
      </c>
      <c r="AC1156" s="13">
        <v>27</v>
      </c>
      <c r="AD1156" s="13">
        <v>2</v>
      </c>
      <c r="AE1156" s="13">
        <v>3</v>
      </c>
      <c r="AF1156" s="14">
        <v>5</v>
      </c>
      <c r="AG1156" s="13">
        <v>2</v>
      </c>
      <c r="AH1156" s="13">
        <v>1</v>
      </c>
      <c r="AI1156" s="13">
        <v>0</v>
      </c>
      <c r="AJ1156" s="13" t="str">
        <f t="shared" si="18"/>
        <v>40-49</v>
      </c>
      <c r="AK1156" s="13" t="str">
        <f>IF(tblCleanData[[#This Row],[MonthlyIncome]]&lt;5000, "Low Income", IF(tblCleanData[[#This Row],[MonthlyIncome]]&lt;15000, "Medium Income", "High Income"))</f>
        <v>High Income</v>
      </c>
      <c r="AL1156" s="13">
        <f>IF(tblCleanData[[#This Row],[Attrition]]="No", 0,1)</f>
        <v>0</v>
      </c>
      <c r="AM1156" s="13">
        <f>IF(tblCleanData[[#This Row],[OverTime]] = "No", 0, 1)</f>
        <v>0</v>
      </c>
      <c r="AN1156" s="13" t="str">
        <f>CHOOSE(tblCleanData[[#This Row],[Education]], "Below College","College","Bachelor","Master","Doctor")</f>
        <v>Master</v>
      </c>
      <c r="AO1156" s="13" t="str">
        <f>VLOOKUP(tblCleanData[[#This Row],[EmployeeNumber]],tblHelpers[],15,TRUE)</f>
        <v>Medium Risk</v>
      </c>
      <c r="AP1156" s="13">
        <f>VLOOKUP(tblCleanData[[#This Row],[EmployeeNumber]],tblHelpers[],14,0)</f>
        <v>43</v>
      </c>
    </row>
    <row r="1157" spans="1:42" x14ac:dyDescent="0.25">
      <c r="A1157" s="13">
        <v>39</v>
      </c>
      <c r="B1157" s="13" t="s">
        <v>59</v>
      </c>
      <c r="C1157" s="13" t="s">
        <v>37</v>
      </c>
      <c r="D1157" s="13">
        <v>170</v>
      </c>
      <c r="E1157" s="13" t="s">
        <v>62</v>
      </c>
      <c r="F1157" s="13">
        <v>3</v>
      </c>
      <c r="G1157" s="13">
        <v>2</v>
      </c>
      <c r="H1157" s="13" t="s">
        <v>87</v>
      </c>
      <c r="I1157" s="13">
        <v>1</v>
      </c>
      <c r="J1157" s="13">
        <v>1627</v>
      </c>
      <c r="K1157" s="13">
        <v>3</v>
      </c>
      <c r="L1157" s="13" t="s">
        <v>63</v>
      </c>
      <c r="M1157" s="13">
        <v>76</v>
      </c>
      <c r="N1157" s="13">
        <v>2</v>
      </c>
      <c r="O1157" s="13">
        <v>2</v>
      </c>
      <c r="P1157" s="13" t="s">
        <v>76</v>
      </c>
      <c r="Q1157" s="13">
        <v>3</v>
      </c>
      <c r="R1157" s="13" t="s">
        <v>109</v>
      </c>
      <c r="S1157" s="20">
        <v>3069</v>
      </c>
      <c r="T1157" s="13">
        <v>10302</v>
      </c>
      <c r="U1157" s="13">
        <v>0</v>
      </c>
      <c r="V1157" s="13" t="s">
        <v>52</v>
      </c>
      <c r="W1157" s="13" t="s">
        <v>59</v>
      </c>
      <c r="X1157" s="13">
        <v>15</v>
      </c>
      <c r="Y1157" s="13">
        <v>3</v>
      </c>
      <c r="Z1157" s="13">
        <v>4</v>
      </c>
      <c r="AA1157" s="13">
        <v>80</v>
      </c>
      <c r="AB1157" s="13">
        <v>1</v>
      </c>
      <c r="AC1157" s="13">
        <v>11</v>
      </c>
      <c r="AD1157" s="13">
        <v>3</v>
      </c>
      <c r="AE1157" s="13">
        <v>3</v>
      </c>
      <c r="AF1157" s="14">
        <v>10</v>
      </c>
      <c r="AG1157" s="13">
        <v>8</v>
      </c>
      <c r="AH1157" s="13">
        <v>0</v>
      </c>
      <c r="AI1157" s="13">
        <v>7</v>
      </c>
      <c r="AJ1157" s="13" t="str">
        <f t="shared" si="18"/>
        <v>30-39</v>
      </c>
      <c r="AK1157" s="13" t="str">
        <f>IF(tblCleanData[[#This Row],[MonthlyIncome]]&lt;5000, "Low Income", IF(tblCleanData[[#This Row],[MonthlyIncome]]&lt;15000, "Medium Income", "High Income"))</f>
        <v>Low Income</v>
      </c>
      <c r="AL1157" s="13">
        <f>IF(tblCleanData[[#This Row],[Attrition]]="No", 0,1)</f>
        <v>0</v>
      </c>
      <c r="AM1157" s="13">
        <f>IF(tblCleanData[[#This Row],[OverTime]] = "No", 0, 1)</f>
        <v>0</v>
      </c>
      <c r="AN1157" s="13" t="str">
        <f>CHOOSE(tblCleanData[[#This Row],[Education]], "Below College","College","Bachelor","Master","Doctor")</f>
        <v>College</v>
      </c>
      <c r="AO1157" s="13" t="str">
        <f>VLOOKUP(tblCleanData[[#This Row],[EmployeeNumber]],tblHelpers[],15,TRUE)</f>
        <v>Medium Risk</v>
      </c>
      <c r="AP1157" s="13">
        <f>VLOOKUP(tblCleanData[[#This Row],[EmployeeNumber]],tblHelpers[],14,0)</f>
        <v>46</v>
      </c>
    </row>
    <row r="1158" spans="1:42" x14ac:dyDescent="0.25">
      <c r="A1158" s="13">
        <v>40</v>
      </c>
      <c r="B1158" s="13" t="s">
        <v>59</v>
      </c>
      <c r="C1158" s="13" t="s">
        <v>37</v>
      </c>
      <c r="D1158" s="13">
        <v>884</v>
      </c>
      <c r="E1158" s="13" t="s">
        <v>62</v>
      </c>
      <c r="F1158" s="13">
        <v>15</v>
      </c>
      <c r="G1158" s="13">
        <v>3</v>
      </c>
      <c r="H1158" s="13" t="s">
        <v>42</v>
      </c>
      <c r="I1158" s="13">
        <v>1</v>
      </c>
      <c r="J1158" s="13">
        <v>1628</v>
      </c>
      <c r="K1158" s="13">
        <v>1</v>
      </c>
      <c r="L1158" s="13" t="s">
        <v>43</v>
      </c>
      <c r="M1158" s="13">
        <v>80</v>
      </c>
      <c r="N1158" s="13">
        <v>2</v>
      </c>
      <c r="O1158" s="13">
        <v>3</v>
      </c>
      <c r="P1158" s="13" t="s">
        <v>116</v>
      </c>
      <c r="Q1158" s="13">
        <v>3</v>
      </c>
      <c r="R1158" s="13" t="s">
        <v>66</v>
      </c>
      <c r="S1158" s="20">
        <v>10435</v>
      </c>
      <c r="T1158" s="13">
        <v>25800</v>
      </c>
      <c r="U1158" s="13">
        <v>1</v>
      </c>
      <c r="V1158" s="13" t="s">
        <v>52</v>
      </c>
      <c r="W1158" s="13" t="s">
        <v>59</v>
      </c>
      <c r="X1158" s="13">
        <v>13</v>
      </c>
      <c r="Y1158" s="13">
        <v>3</v>
      </c>
      <c r="Z1158" s="13">
        <v>4</v>
      </c>
      <c r="AA1158" s="13">
        <v>80</v>
      </c>
      <c r="AB1158" s="13">
        <v>2</v>
      </c>
      <c r="AC1158" s="13">
        <v>18</v>
      </c>
      <c r="AD1158" s="13">
        <v>2</v>
      </c>
      <c r="AE1158" s="13">
        <v>3</v>
      </c>
      <c r="AF1158" s="14">
        <v>18</v>
      </c>
      <c r="AG1158" s="13">
        <v>15</v>
      </c>
      <c r="AH1158" s="13">
        <v>14</v>
      </c>
      <c r="AI1158" s="13">
        <v>12</v>
      </c>
      <c r="AJ1158" s="13" t="str">
        <f t="shared" si="18"/>
        <v>40-49</v>
      </c>
      <c r="AK1158" s="13" t="str">
        <f>IF(tblCleanData[[#This Row],[MonthlyIncome]]&lt;5000, "Low Income", IF(tblCleanData[[#This Row],[MonthlyIncome]]&lt;15000, "Medium Income", "High Income"))</f>
        <v>Medium Income</v>
      </c>
      <c r="AL1158" s="13">
        <f>IF(tblCleanData[[#This Row],[Attrition]]="No", 0,1)</f>
        <v>0</v>
      </c>
      <c r="AM1158" s="13">
        <f>IF(tblCleanData[[#This Row],[OverTime]] = "No", 0, 1)</f>
        <v>0</v>
      </c>
      <c r="AN1158" s="13" t="str">
        <f>CHOOSE(tblCleanData[[#This Row],[Education]], "Below College","College","Bachelor","Master","Doctor")</f>
        <v>Bachelor</v>
      </c>
      <c r="AO1158" s="13" t="str">
        <f>VLOOKUP(tblCleanData[[#This Row],[EmployeeNumber]],tblHelpers[],15,TRUE)</f>
        <v>Low Risk</v>
      </c>
      <c r="AP1158" s="13">
        <f>VLOOKUP(tblCleanData[[#This Row],[EmployeeNumber]],tblHelpers[],14,0)</f>
        <v>31</v>
      </c>
    </row>
    <row r="1159" spans="1:42" x14ac:dyDescent="0.25">
      <c r="A1159" s="13">
        <v>35</v>
      </c>
      <c r="B1159" s="13" t="s">
        <v>59</v>
      </c>
      <c r="C1159" s="13" t="s">
        <v>161</v>
      </c>
      <c r="D1159" s="13">
        <v>208</v>
      </c>
      <c r="E1159" s="13" t="s">
        <v>62</v>
      </c>
      <c r="F1159" s="13">
        <v>8</v>
      </c>
      <c r="G1159" s="13">
        <v>4</v>
      </c>
      <c r="H1159" s="13" t="s">
        <v>42</v>
      </c>
      <c r="I1159" s="13">
        <v>1</v>
      </c>
      <c r="J1159" s="13">
        <v>1630</v>
      </c>
      <c r="K1159" s="13">
        <v>3</v>
      </c>
      <c r="L1159" s="13" t="s">
        <v>43</v>
      </c>
      <c r="M1159" s="13">
        <v>52</v>
      </c>
      <c r="N1159" s="13">
        <v>3</v>
      </c>
      <c r="O1159" s="13">
        <v>2</v>
      </c>
      <c r="P1159" s="13" t="s">
        <v>122</v>
      </c>
      <c r="Q1159" s="13">
        <v>3</v>
      </c>
      <c r="R1159" s="13" t="s">
        <v>66</v>
      </c>
      <c r="S1159" s="20">
        <v>4148</v>
      </c>
      <c r="T1159" s="13">
        <v>12250</v>
      </c>
      <c r="U1159" s="13">
        <v>1</v>
      </c>
      <c r="V1159" s="13" t="s">
        <v>52</v>
      </c>
      <c r="W1159" s="13" t="s">
        <v>59</v>
      </c>
      <c r="X1159" s="13">
        <v>12</v>
      </c>
      <c r="Y1159" s="13">
        <v>3</v>
      </c>
      <c r="Z1159" s="13">
        <v>4</v>
      </c>
      <c r="AA1159" s="13">
        <v>80</v>
      </c>
      <c r="AB1159" s="13">
        <v>1</v>
      </c>
      <c r="AC1159" s="13">
        <v>15</v>
      </c>
      <c r="AD1159" s="13">
        <v>5</v>
      </c>
      <c r="AE1159" s="13">
        <v>3</v>
      </c>
      <c r="AF1159" s="14">
        <v>14</v>
      </c>
      <c r="AG1159" s="13">
        <v>11</v>
      </c>
      <c r="AH1159" s="13">
        <v>2</v>
      </c>
      <c r="AI1159" s="13">
        <v>9</v>
      </c>
      <c r="AJ1159" s="13" t="str">
        <f t="shared" si="18"/>
        <v>30-39</v>
      </c>
      <c r="AK1159" s="13" t="str">
        <f>IF(tblCleanData[[#This Row],[MonthlyIncome]]&lt;5000, "Low Income", IF(tblCleanData[[#This Row],[MonthlyIncome]]&lt;15000, "Medium Income", "High Income"))</f>
        <v>Low Income</v>
      </c>
      <c r="AL1159" s="13">
        <f>IF(tblCleanData[[#This Row],[Attrition]]="No", 0,1)</f>
        <v>0</v>
      </c>
      <c r="AM1159" s="13">
        <f>IF(tblCleanData[[#This Row],[OverTime]] = "No", 0, 1)</f>
        <v>0</v>
      </c>
      <c r="AN1159" s="13" t="str">
        <f>CHOOSE(tblCleanData[[#This Row],[Education]], "Below College","College","Bachelor","Master","Doctor")</f>
        <v>Master</v>
      </c>
      <c r="AO1159" s="13" t="str">
        <f>VLOOKUP(tblCleanData[[#This Row],[EmployeeNumber]],tblHelpers[],15,TRUE)</f>
        <v>Medium Risk</v>
      </c>
      <c r="AP1159" s="13">
        <f>VLOOKUP(tblCleanData[[#This Row],[EmployeeNumber]],tblHelpers[],14,0)</f>
        <v>41</v>
      </c>
    </row>
    <row r="1160" spans="1:42" x14ac:dyDescent="0.25">
      <c r="A1160" s="13">
        <v>37</v>
      </c>
      <c r="B1160" s="13" t="s">
        <v>59</v>
      </c>
      <c r="C1160" s="13" t="s">
        <v>37</v>
      </c>
      <c r="D1160" s="13">
        <v>671</v>
      </c>
      <c r="E1160" s="13" t="s">
        <v>62</v>
      </c>
      <c r="F1160" s="13">
        <v>19</v>
      </c>
      <c r="G1160" s="13">
        <v>3</v>
      </c>
      <c r="H1160" s="13" t="s">
        <v>42</v>
      </c>
      <c r="I1160" s="13">
        <v>1</v>
      </c>
      <c r="J1160" s="13">
        <v>1631</v>
      </c>
      <c r="K1160" s="13">
        <v>3</v>
      </c>
      <c r="L1160" s="13" t="s">
        <v>63</v>
      </c>
      <c r="M1160" s="13">
        <v>85</v>
      </c>
      <c r="N1160" s="13">
        <v>3</v>
      </c>
      <c r="O1160" s="13">
        <v>2</v>
      </c>
      <c r="P1160" s="13" t="s">
        <v>116</v>
      </c>
      <c r="Q1160" s="13">
        <v>3</v>
      </c>
      <c r="R1160" s="13" t="s">
        <v>66</v>
      </c>
      <c r="S1160" s="20">
        <v>5768</v>
      </c>
      <c r="T1160" s="13">
        <v>26493</v>
      </c>
      <c r="U1160" s="13">
        <v>3</v>
      </c>
      <c r="V1160" s="13" t="s">
        <v>52</v>
      </c>
      <c r="W1160" s="13" t="s">
        <v>59</v>
      </c>
      <c r="X1160" s="13">
        <v>17</v>
      </c>
      <c r="Y1160" s="13">
        <v>3</v>
      </c>
      <c r="Z1160" s="13">
        <v>1</v>
      </c>
      <c r="AA1160" s="13">
        <v>80</v>
      </c>
      <c r="AB1160" s="13">
        <v>3</v>
      </c>
      <c r="AC1160" s="13">
        <v>9</v>
      </c>
      <c r="AD1160" s="13">
        <v>2</v>
      </c>
      <c r="AE1160" s="13">
        <v>2</v>
      </c>
      <c r="AF1160" s="14">
        <v>4</v>
      </c>
      <c r="AG1160" s="13">
        <v>3</v>
      </c>
      <c r="AH1160" s="13">
        <v>0</v>
      </c>
      <c r="AI1160" s="13">
        <v>2</v>
      </c>
      <c r="AJ1160" s="13" t="str">
        <f t="shared" si="18"/>
        <v>30-39</v>
      </c>
      <c r="AK1160" s="13" t="str">
        <f>IF(tblCleanData[[#This Row],[MonthlyIncome]]&lt;5000, "Low Income", IF(tblCleanData[[#This Row],[MonthlyIncome]]&lt;15000, "Medium Income", "High Income"))</f>
        <v>Medium Income</v>
      </c>
      <c r="AL1160" s="13">
        <f>IF(tblCleanData[[#This Row],[Attrition]]="No", 0,1)</f>
        <v>0</v>
      </c>
      <c r="AM1160" s="13">
        <f>IF(tblCleanData[[#This Row],[OverTime]] = "No", 0, 1)</f>
        <v>0</v>
      </c>
      <c r="AN1160" s="13" t="str">
        <f>CHOOSE(tblCleanData[[#This Row],[Education]], "Below College","College","Bachelor","Master","Doctor")</f>
        <v>Bachelor</v>
      </c>
      <c r="AO1160" s="13" t="str">
        <f>VLOOKUP(tblCleanData[[#This Row],[EmployeeNumber]],tblHelpers[],15,TRUE)</f>
        <v>Medium Risk</v>
      </c>
      <c r="AP1160" s="13">
        <f>VLOOKUP(tblCleanData[[#This Row],[EmployeeNumber]],tblHelpers[],14,0)</f>
        <v>53</v>
      </c>
    </row>
    <row r="1161" spans="1:42" x14ac:dyDescent="0.25">
      <c r="A1161" s="13">
        <v>39</v>
      </c>
      <c r="B1161" s="13" t="s">
        <v>59</v>
      </c>
      <c r="C1161" s="13" t="s">
        <v>60</v>
      </c>
      <c r="D1161" s="13">
        <v>711</v>
      </c>
      <c r="E1161" s="13" t="s">
        <v>62</v>
      </c>
      <c r="F1161" s="13">
        <v>4</v>
      </c>
      <c r="G1161" s="13">
        <v>3</v>
      </c>
      <c r="H1161" s="13" t="s">
        <v>87</v>
      </c>
      <c r="I1161" s="13">
        <v>1</v>
      </c>
      <c r="J1161" s="13">
        <v>1633</v>
      </c>
      <c r="K1161" s="13">
        <v>1</v>
      </c>
      <c r="L1161" s="13" t="s">
        <v>43</v>
      </c>
      <c r="M1161" s="13">
        <v>81</v>
      </c>
      <c r="N1161" s="13">
        <v>3</v>
      </c>
      <c r="O1161" s="13">
        <v>2</v>
      </c>
      <c r="P1161" s="13" t="s">
        <v>116</v>
      </c>
      <c r="Q1161" s="13">
        <v>3</v>
      </c>
      <c r="R1161" s="13" t="s">
        <v>48</v>
      </c>
      <c r="S1161" s="20">
        <v>5042</v>
      </c>
      <c r="T1161" s="13">
        <v>3140</v>
      </c>
      <c r="U1161" s="13">
        <v>0</v>
      </c>
      <c r="V1161" s="13" t="s">
        <v>52</v>
      </c>
      <c r="W1161" s="13" t="s">
        <v>59</v>
      </c>
      <c r="X1161" s="13">
        <v>13</v>
      </c>
      <c r="Y1161" s="13">
        <v>3</v>
      </c>
      <c r="Z1161" s="13">
        <v>4</v>
      </c>
      <c r="AA1161" s="13">
        <v>80</v>
      </c>
      <c r="AB1161" s="13">
        <v>0</v>
      </c>
      <c r="AC1161" s="13">
        <v>10</v>
      </c>
      <c r="AD1161" s="13">
        <v>2</v>
      </c>
      <c r="AE1161" s="13">
        <v>1</v>
      </c>
      <c r="AF1161" s="14">
        <v>9</v>
      </c>
      <c r="AG1161" s="13">
        <v>2</v>
      </c>
      <c r="AH1161" s="13">
        <v>3</v>
      </c>
      <c r="AI1161" s="13">
        <v>8</v>
      </c>
      <c r="AJ1161" s="13" t="str">
        <f t="shared" si="18"/>
        <v>30-39</v>
      </c>
      <c r="AK1161" s="13" t="str">
        <f>IF(tblCleanData[[#This Row],[MonthlyIncome]]&lt;5000, "Low Income", IF(tblCleanData[[#This Row],[MonthlyIncome]]&lt;15000, "Medium Income", "High Income"))</f>
        <v>Medium Income</v>
      </c>
      <c r="AL1161" s="13">
        <f>IF(tblCleanData[[#This Row],[Attrition]]="No", 0,1)</f>
        <v>0</v>
      </c>
      <c r="AM1161" s="13">
        <f>IF(tblCleanData[[#This Row],[OverTime]] = "No", 0, 1)</f>
        <v>0</v>
      </c>
      <c r="AN1161" s="13" t="str">
        <f>CHOOSE(tblCleanData[[#This Row],[Education]], "Below College","College","Bachelor","Master","Doctor")</f>
        <v>Bachelor</v>
      </c>
      <c r="AO1161" s="13" t="str">
        <f>VLOOKUP(tblCleanData[[#This Row],[EmployeeNumber]],tblHelpers[],15,TRUE)</f>
        <v>Medium Risk</v>
      </c>
      <c r="AP1161" s="13">
        <f>VLOOKUP(tblCleanData[[#This Row],[EmployeeNumber]],tblHelpers[],14,0)</f>
        <v>46</v>
      </c>
    </row>
    <row r="1162" spans="1:42" x14ac:dyDescent="0.25">
      <c r="A1162" s="13">
        <v>45</v>
      </c>
      <c r="B1162" s="13" t="s">
        <v>59</v>
      </c>
      <c r="C1162" s="13" t="s">
        <v>37</v>
      </c>
      <c r="D1162" s="13">
        <v>1329</v>
      </c>
      <c r="E1162" s="13" t="s">
        <v>62</v>
      </c>
      <c r="F1162" s="13">
        <v>2</v>
      </c>
      <c r="G1162" s="13">
        <v>2</v>
      </c>
      <c r="H1162" s="13" t="s">
        <v>74</v>
      </c>
      <c r="I1162" s="13">
        <v>1</v>
      </c>
      <c r="J1162" s="13">
        <v>1635</v>
      </c>
      <c r="K1162" s="13">
        <v>4</v>
      </c>
      <c r="L1162" s="13" t="s">
        <v>43</v>
      </c>
      <c r="M1162" s="13">
        <v>59</v>
      </c>
      <c r="N1162" s="13">
        <v>2</v>
      </c>
      <c r="O1162" s="13">
        <v>2</v>
      </c>
      <c r="P1162" s="13" t="s">
        <v>116</v>
      </c>
      <c r="Q1162" s="13">
        <v>4</v>
      </c>
      <c r="R1162" s="13" t="s">
        <v>109</v>
      </c>
      <c r="S1162" s="20">
        <v>5770</v>
      </c>
      <c r="T1162" s="13">
        <v>5388</v>
      </c>
      <c r="U1162" s="13">
        <v>1</v>
      </c>
      <c r="V1162" s="13" t="s">
        <v>52</v>
      </c>
      <c r="W1162" s="13" t="s">
        <v>59</v>
      </c>
      <c r="X1162" s="13">
        <v>19</v>
      </c>
      <c r="Y1162" s="13">
        <v>3</v>
      </c>
      <c r="Z1162" s="13">
        <v>1</v>
      </c>
      <c r="AA1162" s="13">
        <v>80</v>
      </c>
      <c r="AB1162" s="13">
        <v>2</v>
      </c>
      <c r="AC1162" s="13">
        <v>10</v>
      </c>
      <c r="AD1162" s="13">
        <v>3</v>
      </c>
      <c r="AE1162" s="13">
        <v>3</v>
      </c>
      <c r="AF1162" s="14">
        <v>10</v>
      </c>
      <c r="AG1162" s="13">
        <v>7</v>
      </c>
      <c r="AH1162" s="13">
        <v>3</v>
      </c>
      <c r="AI1162" s="13">
        <v>9</v>
      </c>
      <c r="AJ1162" s="13" t="str">
        <f t="shared" si="18"/>
        <v>40-49</v>
      </c>
      <c r="AK1162" s="13" t="str">
        <f>IF(tblCleanData[[#This Row],[MonthlyIncome]]&lt;5000, "Low Income", IF(tblCleanData[[#This Row],[MonthlyIncome]]&lt;15000, "Medium Income", "High Income"))</f>
        <v>Medium Income</v>
      </c>
      <c r="AL1162" s="13">
        <f>IF(tblCleanData[[#This Row],[Attrition]]="No", 0,1)</f>
        <v>0</v>
      </c>
      <c r="AM1162" s="13">
        <f>IF(tblCleanData[[#This Row],[OverTime]] = "No", 0, 1)</f>
        <v>0</v>
      </c>
      <c r="AN1162" s="13" t="str">
        <f>CHOOSE(tblCleanData[[#This Row],[Education]], "Below College","College","Bachelor","Master","Doctor")</f>
        <v>College</v>
      </c>
      <c r="AO1162" s="13" t="str">
        <f>VLOOKUP(tblCleanData[[#This Row],[EmployeeNumber]],tblHelpers[],15,TRUE)</f>
        <v>Low Risk</v>
      </c>
      <c r="AP1162" s="13">
        <f>VLOOKUP(tblCleanData[[#This Row],[EmployeeNumber]],tblHelpers[],14,0)</f>
        <v>29</v>
      </c>
    </row>
    <row r="1163" spans="1:42" x14ac:dyDescent="0.25">
      <c r="A1163" s="13">
        <v>38</v>
      </c>
      <c r="B1163" s="13" t="s">
        <v>59</v>
      </c>
      <c r="C1163" s="13" t="s">
        <v>37</v>
      </c>
      <c r="D1163" s="13">
        <v>397</v>
      </c>
      <c r="E1163" s="13" t="s">
        <v>62</v>
      </c>
      <c r="F1163" s="13">
        <v>2</v>
      </c>
      <c r="G1163" s="13">
        <v>2</v>
      </c>
      <c r="H1163" s="13" t="s">
        <v>87</v>
      </c>
      <c r="I1163" s="13">
        <v>1</v>
      </c>
      <c r="J1163" s="13">
        <v>1638</v>
      </c>
      <c r="K1163" s="13">
        <v>4</v>
      </c>
      <c r="L1163" s="13" t="s">
        <v>43</v>
      </c>
      <c r="M1163" s="13">
        <v>54</v>
      </c>
      <c r="N1163" s="13">
        <v>2</v>
      </c>
      <c r="O1163" s="13">
        <v>3</v>
      </c>
      <c r="P1163" s="13" t="s">
        <v>116</v>
      </c>
      <c r="Q1163" s="13">
        <v>3</v>
      </c>
      <c r="R1163" s="13" t="s">
        <v>66</v>
      </c>
      <c r="S1163" s="20">
        <v>7756</v>
      </c>
      <c r="T1163" s="13">
        <v>14199</v>
      </c>
      <c r="U1163" s="13">
        <v>3</v>
      </c>
      <c r="V1163" s="13" t="s">
        <v>52</v>
      </c>
      <c r="W1163" s="13" t="s">
        <v>36</v>
      </c>
      <c r="X1163" s="13">
        <v>19</v>
      </c>
      <c r="Y1163" s="13">
        <v>3</v>
      </c>
      <c r="Z1163" s="13">
        <v>4</v>
      </c>
      <c r="AA1163" s="13">
        <v>80</v>
      </c>
      <c r="AB1163" s="13">
        <v>1</v>
      </c>
      <c r="AC1163" s="13">
        <v>10</v>
      </c>
      <c r="AD1163" s="13">
        <v>6</v>
      </c>
      <c r="AE1163" s="13">
        <v>4</v>
      </c>
      <c r="AF1163" s="14">
        <v>5</v>
      </c>
      <c r="AG1163" s="13">
        <v>4</v>
      </c>
      <c r="AH1163" s="13">
        <v>0</v>
      </c>
      <c r="AI1163" s="13">
        <v>2</v>
      </c>
      <c r="AJ1163" s="13" t="str">
        <f t="shared" si="18"/>
        <v>30-39</v>
      </c>
      <c r="AK1163" s="13" t="str">
        <f>IF(tblCleanData[[#This Row],[MonthlyIncome]]&lt;5000, "Low Income", IF(tblCleanData[[#This Row],[MonthlyIncome]]&lt;15000, "Medium Income", "High Income"))</f>
        <v>Medium Income</v>
      </c>
      <c r="AL1163" s="13">
        <f>IF(tblCleanData[[#This Row],[Attrition]]="No", 0,1)</f>
        <v>0</v>
      </c>
      <c r="AM1163" s="13">
        <f>IF(tblCleanData[[#This Row],[OverTime]] = "No", 0, 1)</f>
        <v>1</v>
      </c>
      <c r="AN1163" s="13" t="str">
        <f>CHOOSE(tblCleanData[[#This Row],[Education]], "Below College","College","Bachelor","Master","Doctor")</f>
        <v>College</v>
      </c>
      <c r="AO1163" s="13" t="str">
        <f>VLOOKUP(tblCleanData[[#This Row],[EmployeeNumber]],tblHelpers[],15,TRUE)</f>
        <v>High Risk</v>
      </c>
      <c r="AP1163" s="13">
        <f>VLOOKUP(tblCleanData[[#This Row],[EmployeeNumber]],tblHelpers[],14,0)</f>
        <v>78</v>
      </c>
    </row>
    <row r="1164" spans="1:42" x14ac:dyDescent="0.25">
      <c r="A1164" s="13">
        <v>35</v>
      </c>
      <c r="B1164" s="13" t="s">
        <v>36</v>
      </c>
      <c r="C1164" s="13" t="s">
        <v>37</v>
      </c>
      <c r="D1164" s="13">
        <v>737</v>
      </c>
      <c r="E1164" s="13" t="s">
        <v>39</v>
      </c>
      <c r="F1164" s="13">
        <v>10</v>
      </c>
      <c r="G1164" s="13">
        <v>3</v>
      </c>
      <c r="H1164" s="13" t="s">
        <v>87</v>
      </c>
      <c r="I1164" s="13">
        <v>1</v>
      </c>
      <c r="J1164" s="13">
        <v>1639</v>
      </c>
      <c r="K1164" s="13">
        <v>4</v>
      </c>
      <c r="L1164" s="13" t="s">
        <v>63</v>
      </c>
      <c r="M1164" s="13">
        <v>55</v>
      </c>
      <c r="N1164" s="13">
        <v>2</v>
      </c>
      <c r="O1164" s="13">
        <v>3</v>
      </c>
      <c r="P1164" s="13" t="s">
        <v>46</v>
      </c>
      <c r="Q1164" s="13">
        <v>1</v>
      </c>
      <c r="R1164" s="13" t="s">
        <v>66</v>
      </c>
      <c r="S1164" s="20">
        <v>10306</v>
      </c>
      <c r="T1164" s="13">
        <v>21530</v>
      </c>
      <c r="U1164" s="13">
        <v>9</v>
      </c>
      <c r="V1164" s="13" t="s">
        <v>52</v>
      </c>
      <c r="W1164" s="13" t="s">
        <v>59</v>
      </c>
      <c r="X1164" s="13">
        <v>17</v>
      </c>
      <c r="Y1164" s="13">
        <v>3</v>
      </c>
      <c r="Z1164" s="13">
        <v>3</v>
      </c>
      <c r="AA1164" s="13">
        <v>80</v>
      </c>
      <c r="AB1164" s="13">
        <v>0</v>
      </c>
      <c r="AC1164" s="13">
        <v>15</v>
      </c>
      <c r="AD1164" s="13">
        <v>3</v>
      </c>
      <c r="AE1164" s="13">
        <v>3</v>
      </c>
      <c r="AF1164" s="14">
        <v>13</v>
      </c>
      <c r="AG1164" s="13">
        <v>12</v>
      </c>
      <c r="AH1164" s="13">
        <v>6</v>
      </c>
      <c r="AI1164" s="13">
        <v>0</v>
      </c>
      <c r="AJ1164" s="13" t="str">
        <f t="shared" si="18"/>
        <v>30-39</v>
      </c>
      <c r="AK1164" s="13" t="str">
        <f>IF(tblCleanData[[#This Row],[MonthlyIncome]]&lt;5000, "Low Income", IF(tblCleanData[[#This Row],[MonthlyIncome]]&lt;15000, "Medium Income", "High Income"))</f>
        <v>Medium Income</v>
      </c>
      <c r="AL1164" s="13">
        <f>IF(tblCleanData[[#This Row],[Attrition]]="No", 0,1)</f>
        <v>1</v>
      </c>
      <c r="AM1164" s="13">
        <f>IF(tblCleanData[[#This Row],[OverTime]] = "No", 0, 1)</f>
        <v>0</v>
      </c>
      <c r="AN1164" s="13" t="str">
        <f>CHOOSE(tblCleanData[[#This Row],[Education]], "Below College","College","Bachelor","Master","Doctor")</f>
        <v>Bachelor</v>
      </c>
      <c r="AO1164" s="13" t="str">
        <f>VLOOKUP(tblCleanData[[#This Row],[EmployeeNumber]],tblHelpers[],15,TRUE)</f>
        <v>Medium Risk</v>
      </c>
      <c r="AP1164" s="13">
        <f>VLOOKUP(tblCleanData[[#This Row],[EmployeeNumber]],tblHelpers[],14,0)</f>
        <v>53</v>
      </c>
    </row>
    <row r="1165" spans="1:42" x14ac:dyDescent="0.25">
      <c r="A1165" s="13">
        <v>37</v>
      </c>
      <c r="B1165" s="13" t="s">
        <v>59</v>
      </c>
      <c r="C1165" s="13" t="s">
        <v>37</v>
      </c>
      <c r="D1165" s="13">
        <v>1470</v>
      </c>
      <c r="E1165" s="13" t="s">
        <v>62</v>
      </c>
      <c r="F1165" s="13">
        <v>10</v>
      </c>
      <c r="G1165" s="13">
        <v>3</v>
      </c>
      <c r="H1165" s="13" t="s">
        <v>87</v>
      </c>
      <c r="I1165" s="13">
        <v>1</v>
      </c>
      <c r="J1165" s="13">
        <v>1640</v>
      </c>
      <c r="K1165" s="13">
        <v>2</v>
      </c>
      <c r="L1165" s="13" t="s">
        <v>43</v>
      </c>
      <c r="M1165" s="13">
        <v>71</v>
      </c>
      <c r="N1165" s="13">
        <v>3</v>
      </c>
      <c r="O1165" s="13">
        <v>1</v>
      </c>
      <c r="P1165" s="13" t="s">
        <v>65</v>
      </c>
      <c r="Q1165" s="13">
        <v>2</v>
      </c>
      <c r="R1165" s="13" t="s">
        <v>66</v>
      </c>
      <c r="S1165" s="20">
        <v>3936</v>
      </c>
      <c r="T1165" s="13">
        <v>9953</v>
      </c>
      <c r="U1165" s="13">
        <v>1</v>
      </c>
      <c r="V1165" s="13" t="s">
        <v>52</v>
      </c>
      <c r="W1165" s="13" t="s">
        <v>59</v>
      </c>
      <c r="X1165" s="13">
        <v>11</v>
      </c>
      <c r="Y1165" s="13">
        <v>3</v>
      </c>
      <c r="Z1165" s="13">
        <v>1</v>
      </c>
      <c r="AA1165" s="13">
        <v>80</v>
      </c>
      <c r="AB1165" s="13">
        <v>1</v>
      </c>
      <c r="AC1165" s="13">
        <v>8</v>
      </c>
      <c r="AD1165" s="13">
        <v>2</v>
      </c>
      <c r="AE1165" s="13">
        <v>1</v>
      </c>
      <c r="AF1165" s="14">
        <v>8</v>
      </c>
      <c r="AG1165" s="13">
        <v>4</v>
      </c>
      <c r="AH1165" s="13">
        <v>7</v>
      </c>
      <c r="AI1165" s="13">
        <v>7</v>
      </c>
      <c r="AJ1165" s="13" t="str">
        <f t="shared" si="18"/>
        <v>30-39</v>
      </c>
      <c r="AK1165" s="13" t="str">
        <f>IF(tblCleanData[[#This Row],[MonthlyIncome]]&lt;5000, "Low Income", IF(tblCleanData[[#This Row],[MonthlyIncome]]&lt;15000, "Medium Income", "High Income"))</f>
        <v>Low Income</v>
      </c>
      <c r="AL1165" s="13">
        <f>IF(tblCleanData[[#This Row],[Attrition]]="No", 0,1)</f>
        <v>0</v>
      </c>
      <c r="AM1165" s="13">
        <f>IF(tblCleanData[[#This Row],[OverTime]] = "No", 0, 1)</f>
        <v>0</v>
      </c>
      <c r="AN1165" s="13" t="str">
        <f>CHOOSE(tblCleanData[[#This Row],[Education]], "Below College","College","Bachelor","Master","Doctor")</f>
        <v>Bachelor</v>
      </c>
      <c r="AO1165" s="13" t="str">
        <f>VLOOKUP(tblCleanData[[#This Row],[EmployeeNumber]],tblHelpers[],15,TRUE)</f>
        <v>Medium Risk</v>
      </c>
      <c r="AP1165" s="13">
        <f>VLOOKUP(tblCleanData[[#This Row],[EmployeeNumber]],tblHelpers[],14,0)</f>
        <v>52</v>
      </c>
    </row>
    <row r="1166" spans="1:42" x14ac:dyDescent="0.25">
      <c r="A1166" s="13">
        <v>40</v>
      </c>
      <c r="B1166" s="13" t="s">
        <v>59</v>
      </c>
      <c r="C1166" s="13" t="s">
        <v>37</v>
      </c>
      <c r="D1166" s="13">
        <v>448</v>
      </c>
      <c r="E1166" s="13" t="s">
        <v>62</v>
      </c>
      <c r="F1166" s="13">
        <v>16</v>
      </c>
      <c r="G1166" s="13">
        <v>3</v>
      </c>
      <c r="H1166" s="13" t="s">
        <v>42</v>
      </c>
      <c r="I1166" s="13">
        <v>1</v>
      </c>
      <c r="J1166" s="13">
        <v>1641</v>
      </c>
      <c r="K1166" s="13">
        <v>3</v>
      </c>
      <c r="L1166" s="13" t="s">
        <v>43</v>
      </c>
      <c r="M1166" s="13">
        <v>84</v>
      </c>
      <c r="N1166" s="13">
        <v>3</v>
      </c>
      <c r="O1166" s="13">
        <v>3</v>
      </c>
      <c r="P1166" s="13" t="s">
        <v>116</v>
      </c>
      <c r="Q1166" s="13">
        <v>4</v>
      </c>
      <c r="R1166" s="13" t="s">
        <v>48</v>
      </c>
      <c r="S1166" s="20">
        <v>7945</v>
      </c>
      <c r="T1166" s="13">
        <v>19948</v>
      </c>
      <c r="U1166" s="13">
        <v>6</v>
      </c>
      <c r="V1166" s="13" t="s">
        <v>52</v>
      </c>
      <c r="W1166" s="13" t="s">
        <v>36</v>
      </c>
      <c r="X1166" s="13">
        <v>15</v>
      </c>
      <c r="Y1166" s="13">
        <v>3</v>
      </c>
      <c r="Z1166" s="13">
        <v>4</v>
      </c>
      <c r="AA1166" s="13">
        <v>80</v>
      </c>
      <c r="AB1166" s="13">
        <v>0</v>
      </c>
      <c r="AC1166" s="13">
        <v>18</v>
      </c>
      <c r="AD1166" s="13">
        <v>2</v>
      </c>
      <c r="AE1166" s="13">
        <v>2</v>
      </c>
      <c r="AF1166" s="14">
        <v>4</v>
      </c>
      <c r="AG1166" s="13">
        <v>2</v>
      </c>
      <c r="AH1166" s="13">
        <v>3</v>
      </c>
      <c r="AI1166" s="13">
        <v>3</v>
      </c>
      <c r="AJ1166" s="13" t="str">
        <f t="shared" si="18"/>
        <v>40-49</v>
      </c>
      <c r="AK1166" s="13" t="str">
        <f>IF(tblCleanData[[#This Row],[MonthlyIncome]]&lt;5000, "Low Income", IF(tblCleanData[[#This Row],[MonthlyIncome]]&lt;15000, "Medium Income", "High Income"))</f>
        <v>Medium Income</v>
      </c>
      <c r="AL1166" s="13">
        <f>IF(tblCleanData[[#This Row],[Attrition]]="No", 0,1)</f>
        <v>0</v>
      </c>
      <c r="AM1166" s="13">
        <f>IF(tblCleanData[[#This Row],[OverTime]] = "No", 0, 1)</f>
        <v>1</v>
      </c>
      <c r="AN1166" s="13" t="str">
        <f>CHOOSE(tblCleanData[[#This Row],[Education]], "Below College","College","Bachelor","Master","Doctor")</f>
        <v>Bachelor</v>
      </c>
      <c r="AO1166" s="13" t="str">
        <f>VLOOKUP(tblCleanData[[#This Row],[EmployeeNumber]],tblHelpers[],15,TRUE)</f>
        <v>High Risk</v>
      </c>
      <c r="AP1166" s="13">
        <f>VLOOKUP(tblCleanData[[#This Row],[EmployeeNumber]],tblHelpers[],14,0)</f>
        <v>61</v>
      </c>
    </row>
    <row r="1167" spans="1:42" x14ac:dyDescent="0.25">
      <c r="A1167" s="13">
        <v>44</v>
      </c>
      <c r="B1167" s="13" t="s">
        <v>59</v>
      </c>
      <c r="C1167" s="13" t="s">
        <v>60</v>
      </c>
      <c r="D1167" s="13">
        <v>602</v>
      </c>
      <c r="E1167" s="13" t="s">
        <v>397</v>
      </c>
      <c r="F1167" s="13">
        <v>1</v>
      </c>
      <c r="G1167" s="13">
        <v>5</v>
      </c>
      <c r="H1167" s="13" t="s">
        <v>397</v>
      </c>
      <c r="I1167" s="13">
        <v>1</v>
      </c>
      <c r="J1167" s="13">
        <v>1642</v>
      </c>
      <c r="K1167" s="13">
        <v>1</v>
      </c>
      <c r="L1167" s="13" t="s">
        <v>63</v>
      </c>
      <c r="M1167" s="13">
        <v>37</v>
      </c>
      <c r="N1167" s="13">
        <v>3</v>
      </c>
      <c r="O1167" s="13">
        <v>2</v>
      </c>
      <c r="P1167" s="13" t="s">
        <v>397</v>
      </c>
      <c r="Q1167" s="13">
        <v>4</v>
      </c>
      <c r="R1167" s="13" t="s">
        <v>66</v>
      </c>
      <c r="S1167" s="20">
        <v>5743</v>
      </c>
      <c r="T1167" s="13">
        <v>10503</v>
      </c>
      <c r="U1167" s="13">
        <v>4</v>
      </c>
      <c r="V1167" s="13" t="s">
        <v>52</v>
      </c>
      <c r="W1167" s="13" t="s">
        <v>36</v>
      </c>
      <c r="X1167" s="13">
        <v>11</v>
      </c>
      <c r="Y1167" s="13">
        <v>3</v>
      </c>
      <c r="Z1167" s="13">
        <v>3</v>
      </c>
      <c r="AA1167" s="13">
        <v>80</v>
      </c>
      <c r="AB1167" s="13">
        <v>0</v>
      </c>
      <c r="AC1167" s="13">
        <v>14</v>
      </c>
      <c r="AD1167" s="13">
        <v>3</v>
      </c>
      <c r="AE1167" s="13">
        <v>3</v>
      </c>
      <c r="AF1167" s="14">
        <v>10</v>
      </c>
      <c r="AG1167" s="13">
        <v>7</v>
      </c>
      <c r="AH1167" s="13">
        <v>0</v>
      </c>
      <c r="AI1167" s="13">
        <v>2</v>
      </c>
      <c r="AJ1167" s="13" t="str">
        <f t="shared" si="18"/>
        <v>40-49</v>
      </c>
      <c r="AK1167" s="13" t="str">
        <f>IF(tblCleanData[[#This Row],[MonthlyIncome]]&lt;5000, "Low Income", IF(tblCleanData[[#This Row],[MonthlyIncome]]&lt;15000, "Medium Income", "High Income"))</f>
        <v>Medium Income</v>
      </c>
      <c r="AL1167" s="13">
        <f>IF(tblCleanData[[#This Row],[Attrition]]="No", 0,1)</f>
        <v>0</v>
      </c>
      <c r="AM1167" s="13">
        <f>IF(tblCleanData[[#This Row],[OverTime]] = "No", 0, 1)</f>
        <v>1</v>
      </c>
      <c r="AN1167" s="13" t="str">
        <f>CHOOSE(tblCleanData[[#This Row],[Education]], "Below College","College","Bachelor","Master","Doctor")</f>
        <v>Doctor</v>
      </c>
      <c r="AO1167" s="13" t="str">
        <f>VLOOKUP(tblCleanData[[#This Row],[EmployeeNumber]],tblHelpers[],15,TRUE)</f>
        <v>Medium Risk</v>
      </c>
      <c r="AP1167" s="13">
        <f>VLOOKUP(tblCleanData[[#This Row],[EmployeeNumber]],tblHelpers[],14,0)</f>
        <v>54</v>
      </c>
    </row>
    <row r="1168" spans="1:42" x14ac:dyDescent="0.25">
      <c r="A1168" s="13">
        <v>48</v>
      </c>
      <c r="B1168" s="13" t="s">
        <v>59</v>
      </c>
      <c r="C1168" s="13" t="s">
        <v>60</v>
      </c>
      <c r="D1168" s="13">
        <v>365</v>
      </c>
      <c r="E1168" s="13" t="s">
        <v>62</v>
      </c>
      <c r="F1168" s="13">
        <v>4</v>
      </c>
      <c r="G1168" s="13">
        <v>5</v>
      </c>
      <c r="H1168" s="13" t="s">
        <v>87</v>
      </c>
      <c r="I1168" s="13">
        <v>1</v>
      </c>
      <c r="J1168" s="13">
        <v>1644</v>
      </c>
      <c r="K1168" s="13">
        <v>3</v>
      </c>
      <c r="L1168" s="13" t="s">
        <v>63</v>
      </c>
      <c r="M1168" s="13">
        <v>89</v>
      </c>
      <c r="N1168" s="13">
        <v>2</v>
      </c>
      <c r="O1168" s="13">
        <v>4</v>
      </c>
      <c r="P1168" s="13" t="s">
        <v>169</v>
      </c>
      <c r="Q1168" s="13">
        <v>4</v>
      </c>
      <c r="R1168" s="13" t="s">
        <v>66</v>
      </c>
      <c r="S1168" s="20">
        <v>15202</v>
      </c>
      <c r="T1168" s="13">
        <v>5602</v>
      </c>
      <c r="U1168" s="13">
        <v>2</v>
      </c>
      <c r="V1168" s="13" t="s">
        <v>52</v>
      </c>
      <c r="W1168" s="13" t="s">
        <v>59</v>
      </c>
      <c r="X1168" s="13">
        <v>25</v>
      </c>
      <c r="Y1168" s="13">
        <v>4</v>
      </c>
      <c r="Z1168" s="13">
        <v>2</v>
      </c>
      <c r="AA1168" s="13">
        <v>80</v>
      </c>
      <c r="AB1168" s="13">
        <v>1</v>
      </c>
      <c r="AC1168" s="13">
        <v>23</v>
      </c>
      <c r="AD1168" s="13">
        <v>3</v>
      </c>
      <c r="AE1168" s="13">
        <v>3</v>
      </c>
      <c r="AF1168" s="14">
        <v>2</v>
      </c>
      <c r="AG1168" s="13">
        <v>2</v>
      </c>
      <c r="AH1168" s="13">
        <v>2</v>
      </c>
      <c r="AI1168" s="13">
        <v>2</v>
      </c>
      <c r="AJ1168" s="13" t="str">
        <f t="shared" si="18"/>
        <v>40-49</v>
      </c>
      <c r="AK1168" s="13" t="str">
        <f>IF(tblCleanData[[#This Row],[MonthlyIncome]]&lt;5000, "Low Income", IF(tblCleanData[[#This Row],[MonthlyIncome]]&lt;15000, "Medium Income", "High Income"))</f>
        <v>High Income</v>
      </c>
      <c r="AL1168" s="13">
        <f>IF(tblCleanData[[#This Row],[Attrition]]="No", 0,1)</f>
        <v>0</v>
      </c>
      <c r="AM1168" s="13">
        <f>IF(tblCleanData[[#This Row],[OverTime]] = "No", 0, 1)</f>
        <v>0</v>
      </c>
      <c r="AN1168" s="13" t="str">
        <f>CHOOSE(tblCleanData[[#This Row],[Education]], "Below College","College","Bachelor","Master","Doctor")</f>
        <v>Doctor</v>
      </c>
      <c r="AO1168" s="13" t="str">
        <f>VLOOKUP(tblCleanData[[#This Row],[EmployeeNumber]],tblHelpers[],15,TRUE)</f>
        <v>Medium Risk</v>
      </c>
      <c r="AP1168" s="13">
        <f>VLOOKUP(tblCleanData[[#This Row],[EmployeeNumber]],tblHelpers[],14,0)</f>
        <v>46</v>
      </c>
    </row>
    <row r="1169" spans="1:42" x14ac:dyDescent="0.25">
      <c r="A1169" s="13">
        <v>35</v>
      </c>
      <c r="B1169" s="13" t="s">
        <v>36</v>
      </c>
      <c r="C1169" s="13" t="s">
        <v>37</v>
      </c>
      <c r="D1169" s="13">
        <v>763</v>
      </c>
      <c r="E1169" s="13" t="s">
        <v>39</v>
      </c>
      <c r="F1169" s="13">
        <v>15</v>
      </c>
      <c r="G1169" s="13">
        <v>2</v>
      </c>
      <c r="H1169" s="13" t="s">
        <v>87</v>
      </c>
      <c r="I1169" s="13">
        <v>1</v>
      </c>
      <c r="J1169" s="13">
        <v>1645</v>
      </c>
      <c r="K1169" s="13">
        <v>1</v>
      </c>
      <c r="L1169" s="13" t="s">
        <v>63</v>
      </c>
      <c r="M1169" s="13">
        <v>59</v>
      </c>
      <c r="N1169" s="13">
        <v>1</v>
      </c>
      <c r="O1169" s="13">
        <v>2</v>
      </c>
      <c r="P1169" s="13" t="s">
        <v>46</v>
      </c>
      <c r="Q1169" s="13">
        <v>4</v>
      </c>
      <c r="R1169" s="13" t="s">
        <v>109</v>
      </c>
      <c r="S1169" s="20">
        <v>5440</v>
      </c>
      <c r="T1169" s="13">
        <v>22098</v>
      </c>
      <c r="U1169" s="13">
        <v>6</v>
      </c>
      <c r="V1169" s="13" t="s">
        <v>52</v>
      </c>
      <c r="W1169" s="13" t="s">
        <v>36</v>
      </c>
      <c r="X1169" s="13">
        <v>14</v>
      </c>
      <c r="Y1169" s="13">
        <v>3</v>
      </c>
      <c r="Z1169" s="13">
        <v>4</v>
      </c>
      <c r="AA1169" s="13">
        <v>80</v>
      </c>
      <c r="AB1169" s="13">
        <v>2</v>
      </c>
      <c r="AC1169" s="13">
        <v>7</v>
      </c>
      <c r="AD1169" s="13">
        <v>2</v>
      </c>
      <c r="AE1169" s="13">
        <v>2</v>
      </c>
      <c r="AF1169" s="14">
        <v>2</v>
      </c>
      <c r="AG1169" s="13">
        <v>2</v>
      </c>
      <c r="AH1169" s="13">
        <v>2</v>
      </c>
      <c r="AI1169" s="13">
        <v>2</v>
      </c>
      <c r="AJ1169" s="13" t="str">
        <f t="shared" si="18"/>
        <v>30-39</v>
      </c>
      <c r="AK1169" s="13" t="str">
        <f>IF(tblCleanData[[#This Row],[MonthlyIncome]]&lt;5000, "Low Income", IF(tblCleanData[[#This Row],[MonthlyIncome]]&lt;15000, "Medium Income", "High Income"))</f>
        <v>Medium Income</v>
      </c>
      <c r="AL1169" s="13">
        <f>IF(tblCleanData[[#This Row],[Attrition]]="No", 0,1)</f>
        <v>1</v>
      </c>
      <c r="AM1169" s="13">
        <f>IF(tblCleanData[[#This Row],[OverTime]] = "No", 0, 1)</f>
        <v>1</v>
      </c>
      <c r="AN1169" s="13" t="str">
        <f>CHOOSE(tblCleanData[[#This Row],[Education]], "Below College","College","Bachelor","Master","Doctor")</f>
        <v>College</v>
      </c>
      <c r="AO1169" s="13" t="str">
        <f>VLOOKUP(tblCleanData[[#This Row],[EmployeeNumber]],tblHelpers[],15,TRUE)</f>
        <v>High Risk</v>
      </c>
      <c r="AP1169" s="13">
        <f>VLOOKUP(tblCleanData[[#This Row],[EmployeeNumber]],tblHelpers[],14,0)</f>
        <v>81</v>
      </c>
    </row>
    <row r="1170" spans="1:42" x14ac:dyDescent="0.25">
      <c r="A1170" s="13">
        <v>24</v>
      </c>
      <c r="B1170" s="13" t="s">
        <v>59</v>
      </c>
      <c r="C1170" s="13" t="s">
        <v>60</v>
      </c>
      <c r="D1170" s="13">
        <v>567</v>
      </c>
      <c r="E1170" s="13" t="s">
        <v>62</v>
      </c>
      <c r="F1170" s="13">
        <v>2</v>
      </c>
      <c r="G1170" s="13">
        <v>1</v>
      </c>
      <c r="H1170" s="13" t="s">
        <v>228</v>
      </c>
      <c r="I1170" s="13">
        <v>1</v>
      </c>
      <c r="J1170" s="13">
        <v>1646</v>
      </c>
      <c r="K1170" s="13">
        <v>1</v>
      </c>
      <c r="L1170" s="13" t="s">
        <v>43</v>
      </c>
      <c r="M1170" s="13">
        <v>32</v>
      </c>
      <c r="N1170" s="13">
        <v>3</v>
      </c>
      <c r="O1170" s="13">
        <v>1</v>
      </c>
      <c r="P1170" s="13" t="s">
        <v>65</v>
      </c>
      <c r="Q1170" s="13">
        <v>4</v>
      </c>
      <c r="R1170" s="13" t="s">
        <v>48</v>
      </c>
      <c r="S1170" s="20">
        <v>3760</v>
      </c>
      <c r="T1170" s="13">
        <v>17218</v>
      </c>
      <c r="U1170" s="13">
        <v>1</v>
      </c>
      <c r="V1170" s="13" t="s">
        <v>52</v>
      </c>
      <c r="W1170" s="13" t="s">
        <v>36</v>
      </c>
      <c r="X1170" s="13">
        <v>13</v>
      </c>
      <c r="Y1170" s="13">
        <v>3</v>
      </c>
      <c r="Z1170" s="13">
        <v>3</v>
      </c>
      <c r="AA1170" s="13">
        <v>80</v>
      </c>
      <c r="AB1170" s="13">
        <v>0</v>
      </c>
      <c r="AC1170" s="13">
        <v>6</v>
      </c>
      <c r="AD1170" s="13">
        <v>2</v>
      </c>
      <c r="AE1170" s="13">
        <v>3</v>
      </c>
      <c r="AF1170" s="14">
        <v>6</v>
      </c>
      <c r="AG1170" s="13">
        <v>3</v>
      </c>
      <c r="AH1170" s="13">
        <v>1</v>
      </c>
      <c r="AI1170" s="13">
        <v>3</v>
      </c>
      <c r="AJ1170" s="13" t="str">
        <f t="shared" si="18"/>
        <v>Under 30</v>
      </c>
      <c r="AK1170" s="13" t="str">
        <f>IF(tblCleanData[[#This Row],[MonthlyIncome]]&lt;5000, "Low Income", IF(tblCleanData[[#This Row],[MonthlyIncome]]&lt;15000, "Medium Income", "High Income"))</f>
        <v>Low Income</v>
      </c>
      <c r="AL1170" s="13">
        <f>IF(tblCleanData[[#This Row],[Attrition]]="No", 0,1)</f>
        <v>0</v>
      </c>
      <c r="AM1170" s="13">
        <f>IF(tblCleanData[[#This Row],[OverTime]] = "No", 0, 1)</f>
        <v>1</v>
      </c>
      <c r="AN1170" s="13" t="str">
        <f>CHOOSE(tblCleanData[[#This Row],[Education]], "Below College","College","Bachelor","Master","Doctor")</f>
        <v>Below College</v>
      </c>
      <c r="AO1170" s="13" t="str">
        <f>VLOOKUP(tblCleanData[[#This Row],[EmployeeNumber]],tblHelpers[],15,TRUE)</f>
        <v>High Risk</v>
      </c>
      <c r="AP1170" s="13">
        <f>VLOOKUP(tblCleanData[[#This Row],[EmployeeNumber]],tblHelpers[],14,0)</f>
        <v>74</v>
      </c>
    </row>
    <row r="1171" spans="1:42" x14ac:dyDescent="0.25">
      <c r="A1171" s="13">
        <v>27</v>
      </c>
      <c r="B1171" s="13" t="s">
        <v>59</v>
      </c>
      <c r="C1171" s="13" t="s">
        <v>37</v>
      </c>
      <c r="D1171" s="13">
        <v>486</v>
      </c>
      <c r="E1171" s="13" t="s">
        <v>62</v>
      </c>
      <c r="F1171" s="13">
        <v>8</v>
      </c>
      <c r="G1171" s="13">
        <v>3</v>
      </c>
      <c r="H1171" s="13" t="s">
        <v>87</v>
      </c>
      <c r="I1171" s="13">
        <v>1</v>
      </c>
      <c r="J1171" s="13">
        <v>1647</v>
      </c>
      <c r="K1171" s="13">
        <v>2</v>
      </c>
      <c r="L1171" s="13" t="s">
        <v>43</v>
      </c>
      <c r="M1171" s="13">
        <v>86</v>
      </c>
      <c r="N1171" s="13">
        <v>4</v>
      </c>
      <c r="O1171" s="13">
        <v>1</v>
      </c>
      <c r="P1171" s="13" t="s">
        <v>65</v>
      </c>
      <c r="Q1171" s="13">
        <v>3</v>
      </c>
      <c r="R1171" s="13" t="s">
        <v>66</v>
      </c>
      <c r="S1171" s="20">
        <v>3517</v>
      </c>
      <c r="T1171" s="13">
        <v>22490</v>
      </c>
      <c r="U1171" s="13">
        <v>7</v>
      </c>
      <c r="V1171" s="13" t="s">
        <v>52</v>
      </c>
      <c r="W1171" s="13" t="s">
        <v>59</v>
      </c>
      <c r="X1171" s="13">
        <v>17</v>
      </c>
      <c r="Y1171" s="13">
        <v>3</v>
      </c>
      <c r="Z1171" s="13">
        <v>1</v>
      </c>
      <c r="AA1171" s="13">
        <v>80</v>
      </c>
      <c r="AB1171" s="13">
        <v>0</v>
      </c>
      <c r="AC1171" s="13">
        <v>5</v>
      </c>
      <c r="AD1171" s="13">
        <v>0</v>
      </c>
      <c r="AE1171" s="13">
        <v>3</v>
      </c>
      <c r="AF1171" s="14">
        <v>3</v>
      </c>
      <c r="AG1171" s="13">
        <v>2</v>
      </c>
      <c r="AH1171" s="13">
        <v>0</v>
      </c>
      <c r="AI1171" s="13">
        <v>2</v>
      </c>
      <c r="AJ1171" s="13" t="str">
        <f t="shared" si="18"/>
        <v>Under 30</v>
      </c>
      <c r="AK1171" s="13" t="str">
        <f>IF(tblCleanData[[#This Row],[MonthlyIncome]]&lt;5000, "Low Income", IF(tblCleanData[[#This Row],[MonthlyIncome]]&lt;15000, "Medium Income", "High Income"))</f>
        <v>Low Income</v>
      </c>
      <c r="AL1171" s="13">
        <f>IF(tblCleanData[[#This Row],[Attrition]]="No", 0,1)</f>
        <v>0</v>
      </c>
      <c r="AM1171" s="13">
        <f>IF(tblCleanData[[#This Row],[OverTime]] = "No", 0, 1)</f>
        <v>0</v>
      </c>
      <c r="AN1171" s="13" t="str">
        <f>CHOOSE(tblCleanData[[#This Row],[Education]], "Below College","College","Bachelor","Master","Doctor")</f>
        <v>Bachelor</v>
      </c>
      <c r="AO1171" s="13" t="str">
        <f>VLOOKUP(tblCleanData[[#This Row],[EmployeeNumber]],tblHelpers[],15,TRUE)</f>
        <v>High Risk</v>
      </c>
      <c r="AP1171" s="13">
        <f>VLOOKUP(tblCleanData[[#This Row],[EmployeeNumber]],tblHelpers[],14,0)</f>
        <v>63</v>
      </c>
    </row>
    <row r="1172" spans="1:42" x14ac:dyDescent="0.25">
      <c r="A1172" s="13">
        <v>27</v>
      </c>
      <c r="B1172" s="13" t="s">
        <v>59</v>
      </c>
      <c r="C1172" s="13" t="s">
        <v>60</v>
      </c>
      <c r="D1172" s="13">
        <v>591</v>
      </c>
      <c r="E1172" s="13" t="s">
        <v>62</v>
      </c>
      <c r="F1172" s="13">
        <v>2</v>
      </c>
      <c r="G1172" s="13">
        <v>3</v>
      </c>
      <c r="H1172" s="13" t="s">
        <v>87</v>
      </c>
      <c r="I1172" s="13">
        <v>1</v>
      </c>
      <c r="J1172" s="13">
        <v>1648</v>
      </c>
      <c r="K1172" s="13">
        <v>4</v>
      </c>
      <c r="L1172" s="13" t="s">
        <v>63</v>
      </c>
      <c r="M1172" s="13">
        <v>87</v>
      </c>
      <c r="N1172" s="13">
        <v>3</v>
      </c>
      <c r="O1172" s="13">
        <v>1</v>
      </c>
      <c r="P1172" s="13" t="s">
        <v>65</v>
      </c>
      <c r="Q1172" s="13">
        <v>4</v>
      </c>
      <c r="R1172" s="13" t="s">
        <v>48</v>
      </c>
      <c r="S1172" s="20">
        <v>2580</v>
      </c>
      <c r="T1172" s="13">
        <v>6297</v>
      </c>
      <c r="U1172" s="13">
        <v>2</v>
      </c>
      <c r="V1172" s="13" t="s">
        <v>52</v>
      </c>
      <c r="W1172" s="13" t="s">
        <v>59</v>
      </c>
      <c r="X1172" s="13">
        <v>13</v>
      </c>
      <c r="Y1172" s="13">
        <v>3</v>
      </c>
      <c r="Z1172" s="13">
        <v>3</v>
      </c>
      <c r="AA1172" s="13">
        <v>80</v>
      </c>
      <c r="AB1172" s="13">
        <v>0</v>
      </c>
      <c r="AC1172" s="13">
        <v>6</v>
      </c>
      <c r="AD1172" s="13">
        <v>0</v>
      </c>
      <c r="AE1172" s="13">
        <v>2</v>
      </c>
      <c r="AF1172" s="14">
        <v>4</v>
      </c>
      <c r="AG1172" s="13">
        <v>2</v>
      </c>
      <c r="AH1172" s="13">
        <v>1</v>
      </c>
      <c r="AI1172" s="13">
        <v>2</v>
      </c>
      <c r="AJ1172" s="13" t="str">
        <f t="shared" si="18"/>
        <v>Under 30</v>
      </c>
      <c r="AK1172" s="13" t="str">
        <f>IF(tblCleanData[[#This Row],[MonthlyIncome]]&lt;5000, "Low Income", IF(tblCleanData[[#This Row],[MonthlyIncome]]&lt;15000, "Medium Income", "High Income"))</f>
        <v>Low Income</v>
      </c>
      <c r="AL1172" s="13">
        <f>IF(tblCleanData[[#This Row],[Attrition]]="No", 0,1)</f>
        <v>0</v>
      </c>
      <c r="AM1172" s="13">
        <f>IF(tblCleanData[[#This Row],[OverTime]] = "No", 0, 1)</f>
        <v>0</v>
      </c>
      <c r="AN1172" s="13" t="str">
        <f>CHOOSE(tblCleanData[[#This Row],[Education]], "Below College","College","Bachelor","Master","Doctor")</f>
        <v>Bachelor</v>
      </c>
      <c r="AO1172" s="13" t="str">
        <f>VLOOKUP(tblCleanData[[#This Row],[EmployeeNumber]],tblHelpers[],15,TRUE)</f>
        <v>High Risk</v>
      </c>
      <c r="AP1172" s="13">
        <f>VLOOKUP(tblCleanData[[#This Row],[EmployeeNumber]],tblHelpers[],14,0)</f>
        <v>56</v>
      </c>
    </row>
    <row r="1173" spans="1:42" x14ac:dyDescent="0.25">
      <c r="A1173" s="13">
        <v>40</v>
      </c>
      <c r="B1173" s="13" t="s">
        <v>36</v>
      </c>
      <c r="C1173" s="13" t="s">
        <v>37</v>
      </c>
      <c r="D1173" s="13">
        <v>1329</v>
      </c>
      <c r="E1173" s="13" t="s">
        <v>62</v>
      </c>
      <c r="F1173" s="13">
        <v>7</v>
      </c>
      <c r="G1173" s="13">
        <v>3</v>
      </c>
      <c r="H1173" s="13" t="s">
        <v>42</v>
      </c>
      <c r="I1173" s="13">
        <v>1</v>
      </c>
      <c r="J1173" s="13">
        <v>1649</v>
      </c>
      <c r="K1173" s="13">
        <v>1</v>
      </c>
      <c r="L1173" s="13" t="s">
        <v>63</v>
      </c>
      <c r="M1173" s="13">
        <v>73</v>
      </c>
      <c r="N1173" s="13">
        <v>3</v>
      </c>
      <c r="O1173" s="13">
        <v>1</v>
      </c>
      <c r="P1173" s="13" t="s">
        <v>76</v>
      </c>
      <c r="Q1173" s="13">
        <v>1</v>
      </c>
      <c r="R1173" s="13" t="s">
        <v>48</v>
      </c>
      <c r="S1173" s="20">
        <v>2166</v>
      </c>
      <c r="T1173" s="13">
        <v>3339</v>
      </c>
      <c r="U1173" s="13">
        <v>3</v>
      </c>
      <c r="V1173" s="13" t="s">
        <v>52</v>
      </c>
      <c r="W1173" s="13" t="s">
        <v>36</v>
      </c>
      <c r="X1173" s="13">
        <v>14</v>
      </c>
      <c r="Y1173" s="13">
        <v>3</v>
      </c>
      <c r="Z1173" s="13">
        <v>2</v>
      </c>
      <c r="AA1173" s="13">
        <v>80</v>
      </c>
      <c r="AB1173" s="13">
        <v>0</v>
      </c>
      <c r="AC1173" s="13">
        <v>10</v>
      </c>
      <c r="AD1173" s="13">
        <v>3</v>
      </c>
      <c r="AE1173" s="13">
        <v>1</v>
      </c>
      <c r="AF1173" s="14">
        <v>4</v>
      </c>
      <c r="AG1173" s="13">
        <v>2</v>
      </c>
      <c r="AH1173" s="13">
        <v>0</v>
      </c>
      <c r="AI1173" s="13">
        <v>3</v>
      </c>
      <c r="AJ1173" s="13" t="str">
        <f t="shared" si="18"/>
        <v>40-49</v>
      </c>
      <c r="AK1173" s="13" t="str">
        <f>IF(tblCleanData[[#This Row],[MonthlyIncome]]&lt;5000, "Low Income", IF(tblCleanData[[#This Row],[MonthlyIncome]]&lt;15000, "Medium Income", "High Income"))</f>
        <v>Low Income</v>
      </c>
      <c r="AL1173" s="13">
        <f>IF(tblCleanData[[#This Row],[Attrition]]="No", 0,1)</f>
        <v>1</v>
      </c>
      <c r="AM1173" s="13">
        <f>IF(tblCleanData[[#This Row],[OverTime]] = "No", 0, 1)</f>
        <v>1</v>
      </c>
      <c r="AN1173" s="13" t="str">
        <f>CHOOSE(tblCleanData[[#This Row],[Education]], "Below College","College","Bachelor","Master","Doctor")</f>
        <v>Bachelor</v>
      </c>
      <c r="AO1173" s="13" t="str">
        <f>VLOOKUP(tblCleanData[[#This Row],[EmployeeNumber]],tblHelpers[],15,TRUE)</f>
        <v>High Risk</v>
      </c>
      <c r="AP1173" s="13">
        <f>VLOOKUP(tblCleanData[[#This Row],[EmployeeNumber]],tblHelpers[],14,0)</f>
        <v>80</v>
      </c>
    </row>
    <row r="1174" spans="1:42" x14ac:dyDescent="0.25">
      <c r="A1174" s="13">
        <v>29</v>
      </c>
      <c r="B1174" s="13" t="s">
        <v>59</v>
      </c>
      <c r="C1174" s="13" t="s">
        <v>37</v>
      </c>
      <c r="D1174" s="13">
        <v>469</v>
      </c>
      <c r="E1174" s="13" t="s">
        <v>39</v>
      </c>
      <c r="F1174" s="13">
        <v>10</v>
      </c>
      <c r="G1174" s="13">
        <v>3</v>
      </c>
      <c r="H1174" s="13" t="s">
        <v>87</v>
      </c>
      <c r="I1174" s="13">
        <v>1</v>
      </c>
      <c r="J1174" s="13">
        <v>1650</v>
      </c>
      <c r="K1174" s="13">
        <v>3</v>
      </c>
      <c r="L1174" s="13" t="s">
        <v>63</v>
      </c>
      <c r="M1174" s="13">
        <v>42</v>
      </c>
      <c r="N1174" s="13">
        <v>2</v>
      </c>
      <c r="O1174" s="13">
        <v>2</v>
      </c>
      <c r="P1174" s="13" t="s">
        <v>46</v>
      </c>
      <c r="Q1174" s="13">
        <v>3</v>
      </c>
      <c r="R1174" s="13" t="s">
        <v>48</v>
      </c>
      <c r="S1174" s="20">
        <v>5869</v>
      </c>
      <c r="T1174" s="13">
        <v>23413</v>
      </c>
      <c r="U1174" s="13">
        <v>9</v>
      </c>
      <c r="V1174" s="13" t="s">
        <v>52</v>
      </c>
      <c r="W1174" s="13" t="s">
        <v>59</v>
      </c>
      <c r="X1174" s="13">
        <v>11</v>
      </c>
      <c r="Y1174" s="13">
        <v>3</v>
      </c>
      <c r="Z1174" s="13">
        <v>3</v>
      </c>
      <c r="AA1174" s="13">
        <v>80</v>
      </c>
      <c r="AB1174" s="13">
        <v>0</v>
      </c>
      <c r="AC1174" s="13">
        <v>8</v>
      </c>
      <c r="AD1174" s="13">
        <v>2</v>
      </c>
      <c r="AE1174" s="13">
        <v>3</v>
      </c>
      <c r="AF1174" s="14">
        <v>5</v>
      </c>
      <c r="AG1174" s="13">
        <v>2</v>
      </c>
      <c r="AH1174" s="13">
        <v>1</v>
      </c>
      <c r="AI1174" s="13">
        <v>4</v>
      </c>
      <c r="AJ1174" s="13" t="str">
        <f t="shared" si="18"/>
        <v>Under 30</v>
      </c>
      <c r="AK1174" s="13" t="str">
        <f>IF(tblCleanData[[#This Row],[MonthlyIncome]]&lt;5000, "Low Income", IF(tblCleanData[[#This Row],[MonthlyIncome]]&lt;15000, "Medium Income", "High Income"))</f>
        <v>Medium Income</v>
      </c>
      <c r="AL1174" s="13">
        <f>IF(tblCleanData[[#This Row],[Attrition]]="No", 0,1)</f>
        <v>0</v>
      </c>
      <c r="AM1174" s="13">
        <f>IF(tblCleanData[[#This Row],[OverTime]] = "No", 0, 1)</f>
        <v>0</v>
      </c>
      <c r="AN1174" s="13" t="str">
        <f>CHOOSE(tblCleanData[[#This Row],[Education]], "Below College","College","Bachelor","Master","Doctor")</f>
        <v>Bachelor</v>
      </c>
      <c r="AO1174" s="13" t="str">
        <f>VLOOKUP(tblCleanData[[#This Row],[EmployeeNumber]],tblHelpers[],15,TRUE)</f>
        <v>High Risk</v>
      </c>
      <c r="AP1174" s="13">
        <f>VLOOKUP(tblCleanData[[#This Row],[EmployeeNumber]],tblHelpers[],14,0)</f>
        <v>63</v>
      </c>
    </row>
    <row r="1175" spans="1:42" x14ac:dyDescent="0.25">
      <c r="A1175" s="13">
        <v>36</v>
      </c>
      <c r="B1175" s="13" t="s">
        <v>59</v>
      </c>
      <c r="C1175" s="13" t="s">
        <v>37</v>
      </c>
      <c r="D1175" s="13">
        <v>711</v>
      </c>
      <c r="E1175" s="13" t="s">
        <v>62</v>
      </c>
      <c r="F1175" s="13">
        <v>5</v>
      </c>
      <c r="G1175" s="13">
        <v>4</v>
      </c>
      <c r="H1175" s="13" t="s">
        <v>42</v>
      </c>
      <c r="I1175" s="13">
        <v>1</v>
      </c>
      <c r="J1175" s="13">
        <v>1651</v>
      </c>
      <c r="K1175" s="13">
        <v>2</v>
      </c>
      <c r="L1175" s="13" t="s">
        <v>43</v>
      </c>
      <c r="M1175" s="13">
        <v>42</v>
      </c>
      <c r="N1175" s="13">
        <v>3</v>
      </c>
      <c r="O1175" s="13">
        <v>3</v>
      </c>
      <c r="P1175" s="13" t="s">
        <v>122</v>
      </c>
      <c r="Q1175" s="13">
        <v>1</v>
      </c>
      <c r="R1175" s="13" t="s">
        <v>66</v>
      </c>
      <c r="S1175" s="20">
        <v>8008</v>
      </c>
      <c r="T1175" s="13">
        <v>22792</v>
      </c>
      <c r="U1175" s="13">
        <v>4</v>
      </c>
      <c r="V1175" s="13" t="s">
        <v>52</v>
      </c>
      <c r="W1175" s="13" t="s">
        <v>59</v>
      </c>
      <c r="X1175" s="13">
        <v>12</v>
      </c>
      <c r="Y1175" s="13">
        <v>3</v>
      </c>
      <c r="Z1175" s="13">
        <v>3</v>
      </c>
      <c r="AA1175" s="13">
        <v>80</v>
      </c>
      <c r="AB1175" s="13">
        <v>2</v>
      </c>
      <c r="AC1175" s="13">
        <v>9</v>
      </c>
      <c r="AD1175" s="13">
        <v>6</v>
      </c>
      <c r="AE1175" s="13">
        <v>3</v>
      </c>
      <c r="AF1175" s="14">
        <v>3</v>
      </c>
      <c r="AG1175" s="13">
        <v>2</v>
      </c>
      <c r="AH1175" s="13">
        <v>0</v>
      </c>
      <c r="AI1175" s="13">
        <v>2</v>
      </c>
      <c r="AJ1175" s="13" t="str">
        <f t="shared" si="18"/>
        <v>30-39</v>
      </c>
      <c r="AK1175" s="13" t="str">
        <f>IF(tblCleanData[[#This Row],[MonthlyIncome]]&lt;5000, "Low Income", IF(tblCleanData[[#This Row],[MonthlyIncome]]&lt;15000, "Medium Income", "High Income"))</f>
        <v>Medium Income</v>
      </c>
      <c r="AL1175" s="13">
        <f>IF(tblCleanData[[#This Row],[Attrition]]="No", 0,1)</f>
        <v>0</v>
      </c>
      <c r="AM1175" s="13">
        <f>IF(tblCleanData[[#This Row],[OverTime]] = "No", 0, 1)</f>
        <v>0</v>
      </c>
      <c r="AN1175" s="13" t="str">
        <f>CHOOSE(tblCleanData[[#This Row],[Education]], "Below College","College","Bachelor","Master","Doctor")</f>
        <v>Master</v>
      </c>
      <c r="AO1175" s="13" t="str">
        <f>VLOOKUP(tblCleanData[[#This Row],[EmployeeNumber]],tblHelpers[],15,TRUE)</f>
        <v>High Risk</v>
      </c>
      <c r="AP1175" s="13">
        <f>VLOOKUP(tblCleanData[[#This Row],[EmployeeNumber]],tblHelpers[],14,0)</f>
        <v>65</v>
      </c>
    </row>
    <row r="1176" spans="1:42" x14ac:dyDescent="0.25">
      <c r="A1176" s="13">
        <v>25</v>
      </c>
      <c r="B1176" s="13" t="s">
        <v>59</v>
      </c>
      <c r="C1176" s="13" t="s">
        <v>60</v>
      </c>
      <c r="D1176" s="13">
        <v>772</v>
      </c>
      <c r="E1176" s="13" t="s">
        <v>62</v>
      </c>
      <c r="F1176" s="13">
        <v>2</v>
      </c>
      <c r="G1176" s="13">
        <v>1</v>
      </c>
      <c r="H1176" s="13" t="s">
        <v>42</v>
      </c>
      <c r="I1176" s="13">
        <v>1</v>
      </c>
      <c r="J1176" s="13">
        <v>1653</v>
      </c>
      <c r="K1176" s="13">
        <v>4</v>
      </c>
      <c r="L1176" s="13" t="s">
        <v>63</v>
      </c>
      <c r="M1176" s="13">
        <v>77</v>
      </c>
      <c r="N1176" s="13">
        <v>4</v>
      </c>
      <c r="O1176" s="13">
        <v>2</v>
      </c>
      <c r="P1176" s="13" t="s">
        <v>116</v>
      </c>
      <c r="Q1176" s="13">
        <v>3</v>
      </c>
      <c r="R1176" s="13" t="s">
        <v>109</v>
      </c>
      <c r="S1176" s="20">
        <v>5206</v>
      </c>
      <c r="T1176" s="13">
        <v>4973</v>
      </c>
      <c r="U1176" s="13">
        <v>1</v>
      </c>
      <c r="V1176" s="13" t="s">
        <v>52</v>
      </c>
      <c r="W1176" s="13" t="s">
        <v>59</v>
      </c>
      <c r="X1176" s="13">
        <v>17</v>
      </c>
      <c r="Y1176" s="13">
        <v>3</v>
      </c>
      <c r="Z1176" s="13">
        <v>3</v>
      </c>
      <c r="AA1176" s="13">
        <v>80</v>
      </c>
      <c r="AB1176" s="13">
        <v>2</v>
      </c>
      <c r="AC1176" s="13">
        <v>7</v>
      </c>
      <c r="AD1176" s="13">
        <v>6</v>
      </c>
      <c r="AE1176" s="13">
        <v>3</v>
      </c>
      <c r="AF1176" s="14">
        <v>7</v>
      </c>
      <c r="AG1176" s="13">
        <v>7</v>
      </c>
      <c r="AH1176" s="13">
        <v>0</v>
      </c>
      <c r="AI1176" s="13">
        <v>7</v>
      </c>
      <c r="AJ1176" s="13" t="str">
        <f t="shared" si="18"/>
        <v>Under 30</v>
      </c>
      <c r="AK1176" s="13" t="str">
        <f>IF(tblCleanData[[#This Row],[MonthlyIncome]]&lt;5000, "Low Income", IF(tblCleanData[[#This Row],[MonthlyIncome]]&lt;15000, "Medium Income", "High Income"))</f>
        <v>Medium Income</v>
      </c>
      <c r="AL1176" s="13">
        <f>IF(tblCleanData[[#This Row],[Attrition]]="No", 0,1)</f>
        <v>0</v>
      </c>
      <c r="AM1176" s="13">
        <f>IF(tblCleanData[[#This Row],[OverTime]] = "No", 0, 1)</f>
        <v>0</v>
      </c>
      <c r="AN1176" s="13" t="str">
        <f>CHOOSE(tblCleanData[[#This Row],[Education]], "Below College","College","Bachelor","Master","Doctor")</f>
        <v>Below College</v>
      </c>
      <c r="AO1176" s="13" t="str">
        <f>VLOOKUP(tblCleanData[[#This Row],[EmployeeNumber]],tblHelpers[],15,TRUE)</f>
        <v>High Risk</v>
      </c>
      <c r="AP1176" s="13">
        <f>VLOOKUP(tblCleanData[[#This Row],[EmployeeNumber]],tblHelpers[],14,0)</f>
        <v>56</v>
      </c>
    </row>
    <row r="1177" spans="1:42" x14ac:dyDescent="0.25">
      <c r="A1177" s="13">
        <v>39</v>
      </c>
      <c r="B1177" s="13" t="s">
        <v>59</v>
      </c>
      <c r="C1177" s="13" t="s">
        <v>37</v>
      </c>
      <c r="D1177" s="13">
        <v>492</v>
      </c>
      <c r="E1177" s="13" t="s">
        <v>62</v>
      </c>
      <c r="F1177" s="13">
        <v>12</v>
      </c>
      <c r="G1177" s="13">
        <v>3</v>
      </c>
      <c r="H1177" s="13" t="s">
        <v>87</v>
      </c>
      <c r="I1177" s="13">
        <v>1</v>
      </c>
      <c r="J1177" s="13">
        <v>1654</v>
      </c>
      <c r="K1177" s="13">
        <v>4</v>
      </c>
      <c r="L1177" s="13" t="s">
        <v>63</v>
      </c>
      <c r="M1177" s="13">
        <v>66</v>
      </c>
      <c r="N1177" s="13">
        <v>3</v>
      </c>
      <c r="O1177" s="13">
        <v>2</v>
      </c>
      <c r="P1177" s="13" t="s">
        <v>116</v>
      </c>
      <c r="Q1177" s="13">
        <v>2</v>
      </c>
      <c r="R1177" s="13" t="s">
        <v>66</v>
      </c>
      <c r="S1177" s="20">
        <v>5295</v>
      </c>
      <c r="T1177" s="13">
        <v>7693</v>
      </c>
      <c r="U1177" s="13">
        <v>4</v>
      </c>
      <c r="V1177" s="13" t="s">
        <v>52</v>
      </c>
      <c r="W1177" s="13" t="s">
        <v>59</v>
      </c>
      <c r="X1177" s="13">
        <v>21</v>
      </c>
      <c r="Y1177" s="13">
        <v>4</v>
      </c>
      <c r="Z1177" s="13">
        <v>3</v>
      </c>
      <c r="AA1177" s="13">
        <v>80</v>
      </c>
      <c r="AB1177" s="13">
        <v>0</v>
      </c>
      <c r="AC1177" s="13">
        <v>7</v>
      </c>
      <c r="AD1177" s="13">
        <v>3</v>
      </c>
      <c r="AE1177" s="13">
        <v>3</v>
      </c>
      <c r="AF1177" s="14">
        <v>5</v>
      </c>
      <c r="AG1177" s="13">
        <v>4</v>
      </c>
      <c r="AH1177" s="13">
        <v>1</v>
      </c>
      <c r="AI1177" s="13">
        <v>0</v>
      </c>
      <c r="AJ1177" s="13" t="str">
        <f t="shared" si="18"/>
        <v>30-39</v>
      </c>
      <c r="AK1177" s="13" t="str">
        <f>IF(tblCleanData[[#This Row],[MonthlyIncome]]&lt;5000, "Low Income", IF(tblCleanData[[#This Row],[MonthlyIncome]]&lt;15000, "Medium Income", "High Income"))</f>
        <v>Medium Income</v>
      </c>
      <c r="AL1177" s="13">
        <f>IF(tblCleanData[[#This Row],[Attrition]]="No", 0,1)</f>
        <v>0</v>
      </c>
      <c r="AM1177" s="13">
        <f>IF(tblCleanData[[#This Row],[OverTime]] = "No", 0, 1)</f>
        <v>0</v>
      </c>
      <c r="AN1177" s="13" t="str">
        <f>CHOOSE(tblCleanData[[#This Row],[Education]], "Below College","College","Bachelor","Master","Doctor")</f>
        <v>Bachelor</v>
      </c>
      <c r="AO1177" s="13" t="str">
        <f>VLOOKUP(tblCleanData[[#This Row],[EmployeeNumber]],tblHelpers[],15,TRUE)</f>
        <v>High Risk</v>
      </c>
      <c r="AP1177" s="13">
        <f>VLOOKUP(tblCleanData[[#This Row],[EmployeeNumber]],tblHelpers[],14,0)</f>
        <v>59</v>
      </c>
    </row>
    <row r="1178" spans="1:42" x14ac:dyDescent="0.25">
      <c r="A1178" s="13">
        <v>49</v>
      </c>
      <c r="B1178" s="13" t="s">
        <v>59</v>
      </c>
      <c r="C1178" s="13" t="s">
        <v>37</v>
      </c>
      <c r="D1178" s="13">
        <v>301</v>
      </c>
      <c r="E1178" s="13" t="s">
        <v>62</v>
      </c>
      <c r="F1178" s="13">
        <v>22</v>
      </c>
      <c r="G1178" s="13">
        <v>4</v>
      </c>
      <c r="H1178" s="13" t="s">
        <v>74</v>
      </c>
      <c r="I1178" s="13">
        <v>1</v>
      </c>
      <c r="J1178" s="13">
        <v>1655</v>
      </c>
      <c r="K1178" s="13">
        <v>1</v>
      </c>
      <c r="L1178" s="13" t="s">
        <v>43</v>
      </c>
      <c r="M1178" s="13">
        <v>72</v>
      </c>
      <c r="N1178" s="13">
        <v>3</v>
      </c>
      <c r="O1178" s="13">
        <v>4</v>
      </c>
      <c r="P1178" s="13" t="s">
        <v>186</v>
      </c>
      <c r="Q1178" s="13">
        <v>2</v>
      </c>
      <c r="R1178" s="13" t="s">
        <v>66</v>
      </c>
      <c r="S1178" s="20">
        <v>16413</v>
      </c>
      <c r="T1178" s="13">
        <v>3498</v>
      </c>
      <c r="U1178" s="13">
        <v>3</v>
      </c>
      <c r="V1178" s="13" t="s">
        <v>52</v>
      </c>
      <c r="W1178" s="13" t="s">
        <v>59</v>
      </c>
      <c r="X1178" s="13">
        <v>16</v>
      </c>
      <c r="Y1178" s="13">
        <v>3</v>
      </c>
      <c r="Z1178" s="13">
        <v>2</v>
      </c>
      <c r="AA1178" s="13">
        <v>80</v>
      </c>
      <c r="AB1178" s="13">
        <v>2</v>
      </c>
      <c r="AC1178" s="13">
        <v>27</v>
      </c>
      <c r="AD1178" s="13">
        <v>2</v>
      </c>
      <c r="AE1178" s="13">
        <v>3</v>
      </c>
      <c r="AF1178" s="14">
        <v>4</v>
      </c>
      <c r="AG1178" s="13">
        <v>2</v>
      </c>
      <c r="AH1178" s="13">
        <v>1</v>
      </c>
      <c r="AI1178" s="13">
        <v>2</v>
      </c>
      <c r="AJ1178" s="13" t="str">
        <f t="shared" si="18"/>
        <v>40-49</v>
      </c>
      <c r="AK1178" s="13" t="str">
        <f>IF(tblCleanData[[#This Row],[MonthlyIncome]]&lt;5000, "Low Income", IF(tblCleanData[[#This Row],[MonthlyIncome]]&lt;15000, "Medium Income", "High Income"))</f>
        <v>High Income</v>
      </c>
      <c r="AL1178" s="13">
        <f>IF(tblCleanData[[#This Row],[Attrition]]="No", 0,1)</f>
        <v>0</v>
      </c>
      <c r="AM1178" s="13">
        <f>IF(tblCleanData[[#This Row],[OverTime]] = "No", 0, 1)</f>
        <v>0</v>
      </c>
      <c r="AN1178" s="13" t="str">
        <f>CHOOSE(tblCleanData[[#This Row],[Education]], "Below College","College","Bachelor","Master","Doctor")</f>
        <v>Master</v>
      </c>
      <c r="AO1178" s="13" t="str">
        <f>VLOOKUP(tblCleanData[[#This Row],[EmployeeNumber]],tblHelpers[],15,TRUE)</f>
        <v>Medium Risk</v>
      </c>
      <c r="AP1178" s="13">
        <f>VLOOKUP(tblCleanData[[#This Row],[EmployeeNumber]],tblHelpers[],14,0)</f>
        <v>49</v>
      </c>
    </row>
    <row r="1179" spans="1:42" x14ac:dyDescent="0.25">
      <c r="A1179" s="13">
        <v>50</v>
      </c>
      <c r="B1179" s="13" t="s">
        <v>59</v>
      </c>
      <c r="C1179" s="13" t="s">
        <v>37</v>
      </c>
      <c r="D1179" s="13">
        <v>813</v>
      </c>
      <c r="E1179" s="13" t="s">
        <v>62</v>
      </c>
      <c r="F1179" s="13">
        <v>17</v>
      </c>
      <c r="G1179" s="13">
        <v>5</v>
      </c>
      <c r="H1179" s="13" t="s">
        <v>42</v>
      </c>
      <c r="I1179" s="13">
        <v>1</v>
      </c>
      <c r="J1179" s="13">
        <v>1656</v>
      </c>
      <c r="K1179" s="13">
        <v>4</v>
      </c>
      <c r="L1179" s="13" t="s">
        <v>43</v>
      </c>
      <c r="M1179" s="13">
        <v>50</v>
      </c>
      <c r="N1179" s="13">
        <v>2</v>
      </c>
      <c r="O1179" s="13">
        <v>3</v>
      </c>
      <c r="P1179" s="13" t="s">
        <v>186</v>
      </c>
      <c r="Q1179" s="13">
        <v>1</v>
      </c>
      <c r="R1179" s="13" t="s">
        <v>109</v>
      </c>
      <c r="S1179" s="20">
        <v>13269</v>
      </c>
      <c r="T1179" s="13">
        <v>21981</v>
      </c>
      <c r="U1179" s="13">
        <v>5</v>
      </c>
      <c r="V1179" s="13" t="s">
        <v>52</v>
      </c>
      <c r="W1179" s="13" t="s">
        <v>59</v>
      </c>
      <c r="X1179" s="13">
        <v>15</v>
      </c>
      <c r="Y1179" s="13">
        <v>3</v>
      </c>
      <c r="Z1179" s="13">
        <v>3</v>
      </c>
      <c r="AA1179" s="13">
        <v>80</v>
      </c>
      <c r="AB1179" s="13">
        <v>3</v>
      </c>
      <c r="AC1179" s="13">
        <v>19</v>
      </c>
      <c r="AD1179" s="13">
        <v>3</v>
      </c>
      <c r="AE1179" s="13">
        <v>3</v>
      </c>
      <c r="AF1179" s="14">
        <v>14</v>
      </c>
      <c r="AG1179" s="13">
        <v>11</v>
      </c>
      <c r="AH1179" s="13">
        <v>1</v>
      </c>
      <c r="AI1179" s="13">
        <v>11</v>
      </c>
      <c r="AJ1179" s="13" t="str">
        <f t="shared" si="18"/>
        <v>50+</v>
      </c>
      <c r="AK1179" s="13" t="str">
        <f>IF(tblCleanData[[#This Row],[MonthlyIncome]]&lt;5000, "Low Income", IF(tblCleanData[[#This Row],[MonthlyIncome]]&lt;15000, "Medium Income", "High Income"))</f>
        <v>Medium Income</v>
      </c>
      <c r="AL1179" s="13">
        <f>IF(tblCleanData[[#This Row],[Attrition]]="No", 0,1)</f>
        <v>0</v>
      </c>
      <c r="AM1179" s="13">
        <f>IF(tblCleanData[[#This Row],[OverTime]] = "No", 0, 1)</f>
        <v>0</v>
      </c>
      <c r="AN1179" s="13" t="str">
        <f>CHOOSE(tblCleanData[[#This Row],[Education]], "Below College","College","Bachelor","Master","Doctor")</f>
        <v>Doctor</v>
      </c>
      <c r="AO1179" s="13" t="str">
        <f>VLOOKUP(tblCleanData[[#This Row],[EmployeeNumber]],tblHelpers[],15,TRUE)</f>
        <v>Medium Risk</v>
      </c>
      <c r="AP1179" s="13">
        <f>VLOOKUP(tblCleanData[[#This Row],[EmployeeNumber]],tblHelpers[],14,0)</f>
        <v>48</v>
      </c>
    </row>
    <row r="1180" spans="1:42" x14ac:dyDescent="0.25">
      <c r="A1180" s="13">
        <v>20</v>
      </c>
      <c r="B1180" s="13" t="s">
        <v>59</v>
      </c>
      <c r="C1180" s="13" t="s">
        <v>37</v>
      </c>
      <c r="D1180" s="13">
        <v>1141</v>
      </c>
      <c r="E1180" s="13" t="s">
        <v>39</v>
      </c>
      <c r="F1180" s="13">
        <v>2</v>
      </c>
      <c r="G1180" s="13">
        <v>3</v>
      </c>
      <c r="H1180" s="13" t="s">
        <v>87</v>
      </c>
      <c r="I1180" s="13">
        <v>1</v>
      </c>
      <c r="J1180" s="13">
        <v>1657</v>
      </c>
      <c r="K1180" s="13">
        <v>3</v>
      </c>
      <c r="L1180" s="13" t="s">
        <v>43</v>
      </c>
      <c r="M1180" s="13">
        <v>31</v>
      </c>
      <c r="N1180" s="13">
        <v>3</v>
      </c>
      <c r="O1180" s="13">
        <v>1</v>
      </c>
      <c r="P1180" s="13" t="s">
        <v>182</v>
      </c>
      <c r="Q1180" s="13">
        <v>3</v>
      </c>
      <c r="R1180" s="13" t="s">
        <v>48</v>
      </c>
      <c r="S1180" s="20">
        <v>2783</v>
      </c>
      <c r="T1180" s="13">
        <v>13251</v>
      </c>
      <c r="U1180" s="13">
        <v>1</v>
      </c>
      <c r="V1180" s="13" t="s">
        <v>52</v>
      </c>
      <c r="W1180" s="13" t="s">
        <v>59</v>
      </c>
      <c r="X1180" s="13">
        <v>19</v>
      </c>
      <c r="Y1180" s="13">
        <v>3</v>
      </c>
      <c r="Z1180" s="13">
        <v>1</v>
      </c>
      <c r="AA1180" s="13">
        <v>80</v>
      </c>
      <c r="AB1180" s="13">
        <v>0</v>
      </c>
      <c r="AC1180" s="13">
        <v>2</v>
      </c>
      <c r="AD1180" s="13">
        <v>3</v>
      </c>
      <c r="AE1180" s="13">
        <v>3</v>
      </c>
      <c r="AF1180" s="14">
        <v>2</v>
      </c>
      <c r="AG1180" s="13">
        <v>2</v>
      </c>
      <c r="AH1180" s="13">
        <v>2</v>
      </c>
      <c r="AI1180" s="13">
        <v>2</v>
      </c>
      <c r="AJ1180" s="13" t="str">
        <f t="shared" si="18"/>
        <v>Under 30</v>
      </c>
      <c r="AK1180" s="13" t="str">
        <f>IF(tblCleanData[[#This Row],[MonthlyIncome]]&lt;5000, "Low Income", IF(tblCleanData[[#This Row],[MonthlyIncome]]&lt;15000, "Medium Income", "High Income"))</f>
        <v>Low Income</v>
      </c>
      <c r="AL1180" s="13">
        <f>IF(tblCleanData[[#This Row],[Attrition]]="No", 0,1)</f>
        <v>0</v>
      </c>
      <c r="AM1180" s="13">
        <f>IF(tblCleanData[[#This Row],[OverTime]] = "No", 0, 1)</f>
        <v>0</v>
      </c>
      <c r="AN1180" s="13" t="str">
        <f>CHOOSE(tblCleanData[[#This Row],[Education]], "Below College","College","Bachelor","Master","Doctor")</f>
        <v>Bachelor</v>
      </c>
      <c r="AO1180" s="13" t="str">
        <f>VLOOKUP(tblCleanData[[#This Row],[EmployeeNumber]],tblHelpers[],15,TRUE)</f>
        <v>High Risk</v>
      </c>
      <c r="AP1180" s="13">
        <f>VLOOKUP(tblCleanData[[#This Row],[EmployeeNumber]],tblHelpers[],14,0)</f>
        <v>73</v>
      </c>
    </row>
    <row r="1181" spans="1:42" x14ac:dyDescent="0.25">
      <c r="A1181" s="13">
        <v>34</v>
      </c>
      <c r="B1181" s="13" t="s">
        <v>59</v>
      </c>
      <c r="C1181" s="13" t="s">
        <v>37</v>
      </c>
      <c r="D1181" s="13">
        <v>1130</v>
      </c>
      <c r="E1181" s="13" t="s">
        <v>62</v>
      </c>
      <c r="F1181" s="13">
        <v>3</v>
      </c>
      <c r="G1181" s="13">
        <v>3</v>
      </c>
      <c r="H1181" s="13" t="s">
        <v>42</v>
      </c>
      <c r="I1181" s="13">
        <v>1</v>
      </c>
      <c r="J1181" s="13">
        <v>1658</v>
      </c>
      <c r="K1181" s="13">
        <v>4</v>
      </c>
      <c r="L1181" s="13" t="s">
        <v>43</v>
      </c>
      <c r="M1181" s="13">
        <v>66</v>
      </c>
      <c r="N1181" s="13">
        <v>3</v>
      </c>
      <c r="O1181" s="13">
        <v>2</v>
      </c>
      <c r="P1181" s="13" t="s">
        <v>65</v>
      </c>
      <c r="Q1181" s="13">
        <v>2</v>
      </c>
      <c r="R1181" s="13" t="s">
        <v>109</v>
      </c>
      <c r="S1181" s="20">
        <v>5433</v>
      </c>
      <c r="T1181" s="13">
        <v>19332</v>
      </c>
      <c r="U1181" s="13">
        <v>1</v>
      </c>
      <c r="V1181" s="13" t="s">
        <v>52</v>
      </c>
      <c r="W1181" s="13" t="s">
        <v>59</v>
      </c>
      <c r="X1181" s="13">
        <v>12</v>
      </c>
      <c r="Y1181" s="13">
        <v>3</v>
      </c>
      <c r="Z1181" s="13">
        <v>3</v>
      </c>
      <c r="AA1181" s="13">
        <v>80</v>
      </c>
      <c r="AB1181" s="13">
        <v>1</v>
      </c>
      <c r="AC1181" s="13">
        <v>11</v>
      </c>
      <c r="AD1181" s="13">
        <v>2</v>
      </c>
      <c r="AE1181" s="13">
        <v>3</v>
      </c>
      <c r="AF1181" s="14">
        <v>11</v>
      </c>
      <c r="AG1181" s="13">
        <v>8</v>
      </c>
      <c r="AH1181" s="13">
        <v>7</v>
      </c>
      <c r="AI1181" s="13">
        <v>9</v>
      </c>
      <c r="AJ1181" s="13" t="str">
        <f t="shared" si="18"/>
        <v>30-39</v>
      </c>
      <c r="AK1181" s="13" t="str">
        <f>IF(tblCleanData[[#This Row],[MonthlyIncome]]&lt;5000, "Low Income", IF(tblCleanData[[#This Row],[MonthlyIncome]]&lt;15000, "Medium Income", "High Income"))</f>
        <v>Medium Income</v>
      </c>
      <c r="AL1181" s="13">
        <f>IF(tblCleanData[[#This Row],[Attrition]]="No", 0,1)</f>
        <v>0</v>
      </c>
      <c r="AM1181" s="13">
        <f>IF(tblCleanData[[#This Row],[OverTime]] = "No", 0, 1)</f>
        <v>0</v>
      </c>
      <c r="AN1181" s="13" t="str">
        <f>CHOOSE(tblCleanData[[#This Row],[Education]], "Below College","College","Bachelor","Master","Doctor")</f>
        <v>Bachelor</v>
      </c>
      <c r="AO1181" s="13" t="str">
        <f>VLOOKUP(tblCleanData[[#This Row],[EmployeeNumber]],tblHelpers[],15,TRUE)</f>
        <v>Medium Risk</v>
      </c>
      <c r="AP1181" s="13">
        <f>VLOOKUP(tblCleanData[[#This Row],[EmployeeNumber]],tblHelpers[],14,0)</f>
        <v>47</v>
      </c>
    </row>
    <row r="1182" spans="1:42" x14ac:dyDescent="0.25">
      <c r="A1182" s="13">
        <v>36</v>
      </c>
      <c r="B1182" s="13" t="s">
        <v>59</v>
      </c>
      <c r="C1182" s="13" t="s">
        <v>37</v>
      </c>
      <c r="D1182" s="13">
        <v>311</v>
      </c>
      <c r="E1182" s="13" t="s">
        <v>62</v>
      </c>
      <c r="F1182" s="13">
        <v>7</v>
      </c>
      <c r="G1182" s="13">
        <v>3</v>
      </c>
      <c r="H1182" s="13" t="s">
        <v>42</v>
      </c>
      <c r="I1182" s="13">
        <v>1</v>
      </c>
      <c r="J1182" s="13">
        <v>1659</v>
      </c>
      <c r="K1182" s="13">
        <v>1</v>
      </c>
      <c r="L1182" s="13" t="s">
        <v>63</v>
      </c>
      <c r="M1182" s="13">
        <v>77</v>
      </c>
      <c r="N1182" s="13">
        <v>3</v>
      </c>
      <c r="O1182" s="13">
        <v>1</v>
      </c>
      <c r="P1182" s="13" t="s">
        <v>76</v>
      </c>
      <c r="Q1182" s="13">
        <v>2</v>
      </c>
      <c r="R1182" s="13" t="s">
        <v>48</v>
      </c>
      <c r="S1182" s="20">
        <v>2013</v>
      </c>
      <c r="T1182" s="13">
        <v>10950</v>
      </c>
      <c r="U1182" s="13">
        <v>2</v>
      </c>
      <c r="V1182" s="13" t="s">
        <v>52</v>
      </c>
      <c r="W1182" s="13" t="s">
        <v>59</v>
      </c>
      <c r="X1182" s="13">
        <v>11</v>
      </c>
      <c r="Y1182" s="13">
        <v>3</v>
      </c>
      <c r="Z1182" s="13">
        <v>3</v>
      </c>
      <c r="AA1182" s="13">
        <v>80</v>
      </c>
      <c r="AB1182" s="13">
        <v>0</v>
      </c>
      <c r="AC1182" s="13">
        <v>15</v>
      </c>
      <c r="AD1182" s="13">
        <v>4</v>
      </c>
      <c r="AE1182" s="13">
        <v>3</v>
      </c>
      <c r="AF1182" s="14">
        <v>4</v>
      </c>
      <c r="AG1182" s="13">
        <v>3</v>
      </c>
      <c r="AH1182" s="13">
        <v>1</v>
      </c>
      <c r="AI1182" s="13">
        <v>3</v>
      </c>
      <c r="AJ1182" s="13" t="str">
        <f t="shared" si="18"/>
        <v>30-39</v>
      </c>
      <c r="AK1182" s="13" t="str">
        <f>IF(tblCleanData[[#This Row],[MonthlyIncome]]&lt;5000, "Low Income", IF(tblCleanData[[#This Row],[MonthlyIncome]]&lt;15000, "Medium Income", "High Income"))</f>
        <v>Low Income</v>
      </c>
      <c r="AL1182" s="13">
        <f>IF(tblCleanData[[#This Row],[Attrition]]="No", 0,1)</f>
        <v>0</v>
      </c>
      <c r="AM1182" s="13">
        <f>IF(tblCleanData[[#This Row],[OverTime]] = "No", 0, 1)</f>
        <v>0</v>
      </c>
      <c r="AN1182" s="13" t="str">
        <f>CHOOSE(tblCleanData[[#This Row],[Education]], "Below College","College","Bachelor","Master","Doctor")</f>
        <v>Bachelor</v>
      </c>
      <c r="AO1182" s="13" t="str">
        <f>VLOOKUP(tblCleanData[[#This Row],[EmployeeNumber]],tblHelpers[],15,TRUE)</f>
        <v>High Risk</v>
      </c>
      <c r="AP1182" s="13">
        <f>VLOOKUP(tblCleanData[[#This Row],[EmployeeNumber]],tblHelpers[],14,0)</f>
        <v>59</v>
      </c>
    </row>
    <row r="1183" spans="1:42" x14ac:dyDescent="0.25">
      <c r="A1183" s="13">
        <v>49</v>
      </c>
      <c r="B1183" s="13" t="s">
        <v>59</v>
      </c>
      <c r="C1183" s="13" t="s">
        <v>37</v>
      </c>
      <c r="D1183" s="13">
        <v>465</v>
      </c>
      <c r="E1183" s="13" t="s">
        <v>62</v>
      </c>
      <c r="F1183" s="13">
        <v>6</v>
      </c>
      <c r="G1183" s="13">
        <v>1</v>
      </c>
      <c r="H1183" s="13" t="s">
        <v>42</v>
      </c>
      <c r="I1183" s="13">
        <v>1</v>
      </c>
      <c r="J1183" s="13">
        <v>1661</v>
      </c>
      <c r="K1183" s="13">
        <v>3</v>
      </c>
      <c r="L1183" s="13" t="s">
        <v>43</v>
      </c>
      <c r="M1183" s="13">
        <v>41</v>
      </c>
      <c r="N1183" s="13">
        <v>2</v>
      </c>
      <c r="O1183" s="13">
        <v>4</v>
      </c>
      <c r="P1183" s="13" t="s">
        <v>122</v>
      </c>
      <c r="Q1183" s="13">
        <v>3</v>
      </c>
      <c r="R1183" s="13" t="s">
        <v>66</v>
      </c>
      <c r="S1183" s="20">
        <v>13966</v>
      </c>
      <c r="T1183" s="13">
        <v>11652</v>
      </c>
      <c r="U1183" s="13">
        <v>2</v>
      </c>
      <c r="V1183" s="13" t="s">
        <v>52</v>
      </c>
      <c r="W1183" s="13" t="s">
        <v>36</v>
      </c>
      <c r="X1183" s="13">
        <v>19</v>
      </c>
      <c r="Y1183" s="13">
        <v>3</v>
      </c>
      <c r="Z1183" s="13">
        <v>2</v>
      </c>
      <c r="AA1183" s="13">
        <v>80</v>
      </c>
      <c r="AB1183" s="13">
        <v>1</v>
      </c>
      <c r="AC1183" s="13">
        <v>30</v>
      </c>
      <c r="AD1183" s="13">
        <v>3</v>
      </c>
      <c r="AE1183" s="13">
        <v>3</v>
      </c>
      <c r="AF1183" s="14">
        <v>15</v>
      </c>
      <c r="AG1183" s="13">
        <v>11</v>
      </c>
      <c r="AH1183" s="13">
        <v>2</v>
      </c>
      <c r="AI1183" s="13">
        <v>12</v>
      </c>
      <c r="AJ1183" s="13" t="str">
        <f t="shared" si="18"/>
        <v>40-49</v>
      </c>
      <c r="AK1183" s="13" t="str">
        <f>IF(tblCleanData[[#This Row],[MonthlyIncome]]&lt;5000, "Low Income", IF(tblCleanData[[#This Row],[MonthlyIncome]]&lt;15000, "Medium Income", "High Income"))</f>
        <v>Medium Income</v>
      </c>
      <c r="AL1183" s="13">
        <f>IF(tblCleanData[[#This Row],[Attrition]]="No", 0,1)</f>
        <v>0</v>
      </c>
      <c r="AM1183" s="13">
        <f>IF(tblCleanData[[#This Row],[OverTime]] = "No", 0, 1)</f>
        <v>1</v>
      </c>
      <c r="AN1183" s="13" t="str">
        <f>CHOOSE(tblCleanData[[#This Row],[Education]], "Below College","College","Bachelor","Master","Doctor")</f>
        <v>Below College</v>
      </c>
      <c r="AO1183" s="13" t="str">
        <f>VLOOKUP(tblCleanData[[#This Row],[EmployeeNumber]],tblHelpers[],15,TRUE)</f>
        <v>High Risk</v>
      </c>
      <c r="AP1183" s="13">
        <f>VLOOKUP(tblCleanData[[#This Row],[EmployeeNumber]],tblHelpers[],14,0)</f>
        <v>56</v>
      </c>
    </row>
    <row r="1184" spans="1:42" x14ac:dyDescent="0.25">
      <c r="A1184" s="13">
        <v>36</v>
      </c>
      <c r="B1184" s="13" t="s">
        <v>59</v>
      </c>
      <c r="C1184" s="13" t="s">
        <v>161</v>
      </c>
      <c r="D1184" s="13">
        <v>894</v>
      </c>
      <c r="E1184" s="13" t="s">
        <v>62</v>
      </c>
      <c r="F1184" s="13">
        <v>1</v>
      </c>
      <c r="G1184" s="13">
        <v>4</v>
      </c>
      <c r="H1184" s="13" t="s">
        <v>87</v>
      </c>
      <c r="I1184" s="13">
        <v>1</v>
      </c>
      <c r="J1184" s="13">
        <v>1662</v>
      </c>
      <c r="K1184" s="13">
        <v>4</v>
      </c>
      <c r="L1184" s="13" t="s">
        <v>43</v>
      </c>
      <c r="M1184" s="13">
        <v>33</v>
      </c>
      <c r="N1184" s="13">
        <v>2</v>
      </c>
      <c r="O1184" s="13">
        <v>2</v>
      </c>
      <c r="P1184" s="13" t="s">
        <v>116</v>
      </c>
      <c r="Q1184" s="13">
        <v>3</v>
      </c>
      <c r="R1184" s="13" t="s">
        <v>66</v>
      </c>
      <c r="S1184" s="20">
        <v>4374</v>
      </c>
      <c r="T1184" s="13">
        <v>15411</v>
      </c>
      <c r="U1184" s="13">
        <v>0</v>
      </c>
      <c r="V1184" s="13" t="s">
        <v>52</v>
      </c>
      <c r="W1184" s="13" t="s">
        <v>59</v>
      </c>
      <c r="X1184" s="13">
        <v>15</v>
      </c>
      <c r="Y1184" s="13">
        <v>3</v>
      </c>
      <c r="Z1184" s="13">
        <v>3</v>
      </c>
      <c r="AA1184" s="13">
        <v>80</v>
      </c>
      <c r="AB1184" s="13">
        <v>0</v>
      </c>
      <c r="AC1184" s="13">
        <v>4</v>
      </c>
      <c r="AD1184" s="13">
        <v>6</v>
      </c>
      <c r="AE1184" s="13">
        <v>3</v>
      </c>
      <c r="AF1184" s="14">
        <v>3</v>
      </c>
      <c r="AG1184" s="13">
        <v>2</v>
      </c>
      <c r="AH1184" s="13">
        <v>1</v>
      </c>
      <c r="AI1184" s="13">
        <v>2</v>
      </c>
      <c r="AJ1184" s="13" t="str">
        <f t="shared" si="18"/>
        <v>30-39</v>
      </c>
      <c r="AK1184" s="13" t="str">
        <f>IF(tblCleanData[[#This Row],[MonthlyIncome]]&lt;5000, "Low Income", IF(tblCleanData[[#This Row],[MonthlyIncome]]&lt;15000, "Medium Income", "High Income"))</f>
        <v>Low Income</v>
      </c>
      <c r="AL1184" s="13">
        <f>IF(tblCleanData[[#This Row],[Attrition]]="No", 0,1)</f>
        <v>0</v>
      </c>
      <c r="AM1184" s="13">
        <f>IF(tblCleanData[[#This Row],[OverTime]] = "No", 0, 1)</f>
        <v>0</v>
      </c>
      <c r="AN1184" s="13" t="str">
        <f>CHOOSE(tblCleanData[[#This Row],[Education]], "Below College","College","Bachelor","Master","Doctor")</f>
        <v>Master</v>
      </c>
      <c r="AO1184" s="13" t="str">
        <f>VLOOKUP(tblCleanData[[#This Row],[EmployeeNumber]],tblHelpers[],15,TRUE)</f>
        <v>Medium Risk</v>
      </c>
      <c r="AP1184" s="13">
        <f>VLOOKUP(tblCleanData[[#This Row],[EmployeeNumber]],tblHelpers[],14,0)</f>
        <v>53</v>
      </c>
    </row>
    <row r="1185" spans="1:42" x14ac:dyDescent="0.25">
      <c r="A1185" s="13">
        <v>36</v>
      </c>
      <c r="B1185" s="13" t="s">
        <v>59</v>
      </c>
      <c r="C1185" s="13" t="s">
        <v>37</v>
      </c>
      <c r="D1185" s="13">
        <v>1040</v>
      </c>
      <c r="E1185" s="13" t="s">
        <v>62</v>
      </c>
      <c r="F1185" s="13">
        <v>3</v>
      </c>
      <c r="G1185" s="13">
        <v>2</v>
      </c>
      <c r="H1185" s="13" t="s">
        <v>42</v>
      </c>
      <c r="I1185" s="13">
        <v>1</v>
      </c>
      <c r="J1185" s="13">
        <v>1664</v>
      </c>
      <c r="K1185" s="13">
        <v>4</v>
      </c>
      <c r="L1185" s="13" t="s">
        <v>63</v>
      </c>
      <c r="M1185" s="13">
        <v>79</v>
      </c>
      <c r="N1185" s="13">
        <v>4</v>
      </c>
      <c r="O1185" s="13">
        <v>2</v>
      </c>
      <c r="P1185" s="13" t="s">
        <v>122</v>
      </c>
      <c r="Q1185" s="13">
        <v>1</v>
      </c>
      <c r="R1185" s="13" t="s">
        <v>109</v>
      </c>
      <c r="S1185" s="20">
        <v>6842</v>
      </c>
      <c r="T1185" s="13">
        <v>26308</v>
      </c>
      <c r="U1185" s="13">
        <v>6</v>
      </c>
      <c r="V1185" s="13" t="s">
        <v>52</v>
      </c>
      <c r="W1185" s="13" t="s">
        <v>59</v>
      </c>
      <c r="X1185" s="13">
        <v>20</v>
      </c>
      <c r="Y1185" s="13">
        <v>4</v>
      </c>
      <c r="Z1185" s="13">
        <v>1</v>
      </c>
      <c r="AA1185" s="13">
        <v>80</v>
      </c>
      <c r="AB1185" s="13">
        <v>1</v>
      </c>
      <c r="AC1185" s="13">
        <v>13</v>
      </c>
      <c r="AD1185" s="13">
        <v>3</v>
      </c>
      <c r="AE1185" s="13">
        <v>3</v>
      </c>
      <c r="AF1185" s="14">
        <v>5</v>
      </c>
      <c r="AG1185" s="13">
        <v>4</v>
      </c>
      <c r="AH1185" s="13">
        <v>0</v>
      </c>
      <c r="AI1185" s="13">
        <v>4</v>
      </c>
      <c r="AJ1185" s="13" t="str">
        <f t="shared" si="18"/>
        <v>30-39</v>
      </c>
      <c r="AK1185" s="13" t="str">
        <f>IF(tblCleanData[[#This Row],[MonthlyIncome]]&lt;5000, "Low Income", IF(tblCleanData[[#This Row],[MonthlyIncome]]&lt;15000, "Medium Income", "High Income"))</f>
        <v>Medium Income</v>
      </c>
      <c r="AL1185" s="13">
        <f>IF(tblCleanData[[#This Row],[Attrition]]="No", 0,1)</f>
        <v>0</v>
      </c>
      <c r="AM1185" s="13">
        <f>IF(tblCleanData[[#This Row],[OverTime]] = "No", 0, 1)</f>
        <v>0</v>
      </c>
      <c r="AN1185" s="13" t="str">
        <f>CHOOSE(tblCleanData[[#This Row],[Education]], "Below College","College","Bachelor","Master","Doctor")</f>
        <v>College</v>
      </c>
      <c r="AO1185" s="13" t="str">
        <f>VLOOKUP(tblCleanData[[#This Row],[EmployeeNumber]],tblHelpers[],15,TRUE)</f>
        <v>High Risk</v>
      </c>
      <c r="AP1185" s="13">
        <f>VLOOKUP(tblCleanData[[#This Row],[EmployeeNumber]],tblHelpers[],14,0)</f>
        <v>65</v>
      </c>
    </row>
    <row r="1186" spans="1:42" x14ac:dyDescent="0.25">
      <c r="A1186" s="13">
        <v>54</v>
      </c>
      <c r="B1186" s="13" t="s">
        <v>59</v>
      </c>
      <c r="C1186" s="13" t="s">
        <v>37</v>
      </c>
      <c r="D1186" s="13">
        <v>584</v>
      </c>
      <c r="E1186" s="13" t="s">
        <v>62</v>
      </c>
      <c r="F1186" s="13">
        <v>22</v>
      </c>
      <c r="G1186" s="13">
        <v>5</v>
      </c>
      <c r="H1186" s="13" t="s">
        <v>87</v>
      </c>
      <c r="I1186" s="13">
        <v>1</v>
      </c>
      <c r="J1186" s="13">
        <v>1665</v>
      </c>
      <c r="K1186" s="13">
        <v>2</v>
      </c>
      <c r="L1186" s="13" t="s">
        <v>43</v>
      </c>
      <c r="M1186" s="13">
        <v>91</v>
      </c>
      <c r="N1186" s="13">
        <v>3</v>
      </c>
      <c r="O1186" s="13">
        <v>4</v>
      </c>
      <c r="P1186" s="13" t="s">
        <v>169</v>
      </c>
      <c r="Q1186" s="13">
        <v>3</v>
      </c>
      <c r="R1186" s="13" t="s">
        <v>66</v>
      </c>
      <c r="S1186" s="20">
        <v>17426</v>
      </c>
      <c r="T1186" s="13">
        <v>18685</v>
      </c>
      <c r="U1186" s="13">
        <v>3</v>
      </c>
      <c r="V1186" s="13" t="s">
        <v>52</v>
      </c>
      <c r="W1186" s="13" t="s">
        <v>59</v>
      </c>
      <c r="X1186" s="13">
        <v>25</v>
      </c>
      <c r="Y1186" s="13">
        <v>4</v>
      </c>
      <c r="Z1186" s="13">
        <v>3</v>
      </c>
      <c r="AA1186" s="13">
        <v>80</v>
      </c>
      <c r="AB1186" s="13">
        <v>1</v>
      </c>
      <c r="AC1186" s="13">
        <v>36</v>
      </c>
      <c r="AD1186" s="13">
        <v>6</v>
      </c>
      <c r="AE1186" s="13">
        <v>3</v>
      </c>
      <c r="AF1186" s="14">
        <v>10</v>
      </c>
      <c r="AG1186" s="13">
        <v>8</v>
      </c>
      <c r="AH1186" s="13">
        <v>4</v>
      </c>
      <c r="AI1186" s="13">
        <v>7</v>
      </c>
      <c r="AJ1186" s="13" t="str">
        <f t="shared" si="18"/>
        <v>50+</v>
      </c>
      <c r="AK1186" s="13" t="str">
        <f>IF(tblCleanData[[#This Row],[MonthlyIncome]]&lt;5000, "Low Income", IF(tblCleanData[[#This Row],[MonthlyIncome]]&lt;15000, "Medium Income", "High Income"))</f>
        <v>High Income</v>
      </c>
      <c r="AL1186" s="13">
        <f>IF(tblCleanData[[#This Row],[Attrition]]="No", 0,1)</f>
        <v>0</v>
      </c>
      <c r="AM1186" s="13">
        <f>IF(tblCleanData[[#This Row],[OverTime]] = "No", 0, 1)</f>
        <v>0</v>
      </c>
      <c r="AN1186" s="13" t="str">
        <f>CHOOSE(tblCleanData[[#This Row],[Education]], "Below College","College","Bachelor","Master","Doctor")</f>
        <v>Doctor</v>
      </c>
      <c r="AO1186" s="13" t="str">
        <f>VLOOKUP(tblCleanData[[#This Row],[EmployeeNumber]],tblHelpers[],15,TRUE)</f>
        <v>Medium Risk</v>
      </c>
      <c r="AP1186" s="13">
        <f>VLOOKUP(tblCleanData[[#This Row],[EmployeeNumber]],tblHelpers[],14,0)</f>
        <v>41</v>
      </c>
    </row>
    <row r="1187" spans="1:42" x14ac:dyDescent="0.25">
      <c r="A1187" s="13">
        <v>43</v>
      </c>
      <c r="B1187" s="13" t="s">
        <v>59</v>
      </c>
      <c r="C1187" s="13" t="s">
        <v>37</v>
      </c>
      <c r="D1187" s="13">
        <v>1291</v>
      </c>
      <c r="E1187" s="13" t="s">
        <v>62</v>
      </c>
      <c r="F1187" s="13">
        <v>15</v>
      </c>
      <c r="G1187" s="13">
        <v>2</v>
      </c>
      <c r="H1187" s="13" t="s">
        <v>42</v>
      </c>
      <c r="I1187" s="13">
        <v>1</v>
      </c>
      <c r="J1187" s="13">
        <v>1666</v>
      </c>
      <c r="K1187" s="13">
        <v>3</v>
      </c>
      <c r="L1187" s="13" t="s">
        <v>63</v>
      </c>
      <c r="M1187" s="13">
        <v>65</v>
      </c>
      <c r="N1187" s="13">
        <v>2</v>
      </c>
      <c r="O1187" s="13">
        <v>4</v>
      </c>
      <c r="P1187" s="13" t="s">
        <v>186</v>
      </c>
      <c r="Q1187" s="13">
        <v>3</v>
      </c>
      <c r="R1187" s="13" t="s">
        <v>66</v>
      </c>
      <c r="S1187" s="20">
        <v>17603</v>
      </c>
      <c r="T1187" s="13">
        <v>3525</v>
      </c>
      <c r="U1187" s="13">
        <v>1</v>
      </c>
      <c r="V1187" s="13" t="s">
        <v>52</v>
      </c>
      <c r="W1187" s="13" t="s">
        <v>59</v>
      </c>
      <c r="X1187" s="13">
        <v>24</v>
      </c>
      <c r="Y1187" s="13">
        <v>4</v>
      </c>
      <c r="Z1187" s="13">
        <v>1</v>
      </c>
      <c r="AA1187" s="13">
        <v>80</v>
      </c>
      <c r="AB1187" s="13">
        <v>1</v>
      </c>
      <c r="AC1187" s="13">
        <v>14</v>
      </c>
      <c r="AD1187" s="13">
        <v>3</v>
      </c>
      <c r="AE1187" s="13">
        <v>3</v>
      </c>
      <c r="AF1187" s="14">
        <v>14</v>
      </c>
      <c r="AG1187" s="13">
        <v>10</v>
      </c>
      <c r="AH1187" s="13">
        <v>6</v>
      </c>
      <c r="AI1187" s="13">
        <v>11</v>
      </c>
      <c r="AJ1187" s="13" t="str">
        <f t="shared" si="18"/>
        <v>40-49</v>
      </c>
      <c r="AK1187" s="13" t="str">
        <f>IF(tblCleanData[[#This Row],[MonthlyIncome]]&lt;5000, "Low Income", IF(tblCleanData[[#This Row],[MonthlyIncome]]&lt;15000, "Medium Income", "High Income"))</f>
        <v>High Income</v>
      </c>
      <c r="AL1187" s="13">
        <f>IF(tblCleanData[[#This Row],[Attrition]]="No", 0,1)</f>
        <v>0</v>
      </c>
      <c r="AM1187" s="13">
        <f>IF(tblCleanData[[#This Row],[OverTime]] = "No", 0, 1)</f>
        <v>0</v>
      </c>
      <c r="AN1187" s="13" t="str">
        <f>CHOOSE(tblCleanData[[#This Row],[Education]], "Below College","College","Bachelor","Master","Doctor")</f>
        <v>College</v>
      </c>
      <c r="AO1187" s="13" t="str">
        <f>VLOOKUP(tblCleanData[[#This Row],[EmployeeNumber]],tblHelpers[],15,TRUE)</f>
        <v>Low Risk</v>
      </c>
      <c r="AP1187" s="13">
        <f>VLOOKUP(tblCleanData[[#This Row],[EmployeeNumber]],tblHelpers[],14,0)</f>
        <v>31</v>
      </c>
    </row>
    <row r="1188" spans="1:42" x14ac:dyDescent="0.25">
      <c r="A1188" s="13">
        <v>35</v>
      </c>
      <c r="B1188" s="13" t="s">
        <v>36</v>
      </c>
      <c r="C1188" s="13" t="s">
        <v>60</v>
      </c>
      <c r="D1188" s="13">
        <v>880</v>
      </c>
      <c r="E1188" s="13" t="s">
        <v>39</v>
      </c>
      <c r="F1188" s="13">
        <v>12</v>
      </c>
      <c r="G1188" s="13">
        <v>4</v>
      </c>
      <c r="H1188" s="13" t="s">
        <v>74</v>
      </c>
      <c r="I1188" s="13">
        <v>1</v>
      </c>
      <c r="J1188" s="13">
        <v>1667</v>
      </c>
      <c r="K1188" s="13">
        <v>4</v>
      </c>
      <c r="L1188" s="13" t="s">
        <v>63</v>
      </c>
      <c r="M1188" s="13">
        <v>36</v>
      </c>
      <c r="N1188" s="13">
        <v>3</v>
      </c>
      <c r="O1188" s="13">
        <v>2</v>
      </c>
      <c r="P1188" s="13" t="s">
        <v>46</v>
      </c>
      <c r="Q1188" s="13">
        <v>4</v>
      </c>
      <c r="R1188" s="13" t="s">
        <v>48</v>
      </c>
      <c r="S1188" s="20">
        <v>4581</v>
      </c>
      <c r="T1188" s="13">
        <v>10414</v>
      </c>
      <c r="U1188" s="13">
        <v>3</v>
      </c>
      <c r="V1188" s="13" t="s">
        <v>52</v>
      </c>
      <c r="W1188" s="13" t="s">
        <v>36</v>
      </c>
      <c r="X1188" s="13">
        <v>24</v>
      </c>
      <c r="Y1188" s="13">
        <v>4</v>
      </c>
      <c r="Z1188" s="13">
        <v>1</v>
      </c>
      <c r="AA1188" s="13">
        <v>80</v>
      </c>
      <c r="AB1188" s="13">
        <v>0</v>
      </c>
      <c r="AC1188" s="13">
        <v>13</v>
      </c>
      <c r="AD1188" s="13">
        <v>2</v>
      </c>
      <c r="AE1188" s="13">
        <v>4</v>
      </c>
      <c r="AF1188" s="14">
        <v>11</v>
      </c>
      <c r="AG1188" s="13">
        <v>9</v>
      </c>
      <c r="AH1188" s="13">
        <v>6</v>
      </c>
      <c r="AI1188" s="13">
        <v>7</v>
      </c>
      <c r="AJ1188" s="13" t="str">
        <f t="shared" si="18"/>
        <v>30-39</v>
      </c>
      <c r="AK1188" s="13" t="str">
        <f>IF(tblCleanData[[#This Row],[MonthlyIncome]]&lt;5000, "Low Income", IF(tblCleanData[[#This Row],[MonthlyIncome]]&lt;15000, "Medium Income", "High Income"))</f>
        <v>Low Income</v>
      </c>
      <c r="AL1188" s="13">
        <f>IF(tblCleanData[[#This Row],[Attrition]]="No", 0,1)</f>
        <v>1</v>
      </c>
      <c r="AM1188" s="13">
        <f>IF(tblCleanData[[#This Row],[OverTime]] = "No", 0, 1)</f>
        <v>1</v>
      </c>
      <c r="AN1188" s="13" t="str">
        <f>CHOOSE(tblCleanData[[#This Row],[Education]], "Below College","College","Bachelor","Master","Doctor")</f>
        <v>Master</v>
      </c>
      <c r="AO1188" s="13" t="str">
        <f>VLOOKUP(tblCleanData[[#This Row],[EmployeeNumber]],tblHelpers[],15,TRUE)</f>
        <v>High Risk</v>
      </c>
      <c r="AP1188" s="13">
        <f>VLOOKUP(tblCleanData[[#This Row],[EmployeeNumber]],tblHelpers[],14,0)</f>
        <v>59</v>
      </c>
    </row>
    <row r="1189" spans="1:42" x14ac:dyDescent="0.25">
      <c r="A1189" s="13">
        <v>38</v>
      </c>
      <c r="B1189" s="13" t="s">
        <v>59</v>
      </c>
      <c r="C1189" s="13" t="s">
        <v>60</v>
      </c>
      <c r="D1189" s="13">
        <v>1189</v>
      </c>
      <c r="E1189" s="13" t="s">
        <v>62</v>
      </c>
      <c r="F1189" s="13">
        <v>1</v>
      </c>
      <c r="G1189" s="13">
        <v>3</v>
      </c>
      <c r="H1189" s="13" t="s">
        <v>42</v>
      </c>
      <c r="I1189" s="13">
        <v>1</v>
      </c>
      <c r="J1189" s="13">
        <v>1668</v>
      </c>
      <c r="K1189" s="13">
        <v>4</v>
      </c>
      <c r="L1189" s="13" t="s">
        <v>63</v>
      </c>
      <c r="M1189" s="13">
        <v>90</v>
      </c>
      <c r="N1189" s="13">
        <v>3</v>
      </c>
      <c r="O1189" s="13">
        <v>2</v>
      </c>
      <c r="P1189" s="13" t="s">
        <v>65</v>
      </c>
      <c r="Q1189" s="13">
        <v>4</v>
      </c>
      <c r="R1189" s="13" t="s">
        <v>66</v>
      </c>
      <c r="S1189" s="20">
        <v>4735</v>
      </c>
      <c r="T1189" s="13">
        <v>9867</v>
      </c>
      <c r="U1189" s="13">
        <v>7</v>
      </c>
      <c r="V1189" s="13" t="s">
        <v>52</v>
      </c>
      <c r="W1189" s="13" t="s">
        <v>59</v>
      </c>
      <c r="X1189" s="13">
        <v>15</v>
      </c>
      <c r="Y1189" s="13">
        <v>3</v>
      </c>
      <c r="Z1189" s="13">
        <v>4</v>
      </c>
      <c r="AA1189" s="13">
        <v>80</v>
      </c>
      <c r="AB1189" s="13">
        <v>2</v>
      </c>
      <c r="AC1189" s="13">
        <v>19</v>
      </c>
      <c r="AD1189" s="13">
        <v>4</v>
      </c>
      <c r="AE1189" s="13">
        <v>4</v>
      </c>
      <c r="AF1189" s="14">
        <v>13</v>
      </c>
      <c r="AG1189" s="13">
        <v>11</v>
      </c>
      <c r="AH1189" s="13">
        <v>2</v>
      </c>
      <c r="AI1189" s="13">
        <v>9</v>
      </c>
      <c r="AJ1189" s="13" t="str">
        <f t="shared" si="18"/>
        <v>30-39</v>
      </c>
      <c r="AK1189" s="13" t="str">
        <f>IF(tblCleanData[[#This Row],[MonthlyIncome]]&lt;5000, "Low Income", IF(tblCleanData[[#This Row],[MonthlyIncome]]&lt;15000, "Medium Income", "High Income"))</f>
        <v>Low Income</v>
      </c>
      <c r="AL1189" s="13">
        <f>IF(tblCleanData[[#This Row],[Attrition]]="No", 0,1)</f>
        <v>0</v>
      </c>
      <c r="AM1189" s="13">
        <f>IF(tblCleanData[[#This Row],[OverTime]] = "No", 0, 1)</f>
        <v>0</v>
      </c>
      <c r="AN1189" s="13" t="str">
        <f>CHOOSE(tblCleanData[[#This Row],[Education]], "Below College","College","Bachelor","Master","Doctor")</f>
        <v>Bachelor</v>
      </c>
      <c r="AO1189" s="13" t="str">
        <f>VLOOKUP(tblCleanData[[#This Row],[EmployeeNumber]],tblHelpers[],15,TRUE)</f>
        <v>Low Risk</v>
      </c>
      <c r="AP1189" s="13">
        <f>VLOOKUP(tblCleanData[[#This Row],[EmployeeNumber]],tblHelpers[],14,0)</f>
        <v>34</v>
      </c>
    </row>
    <row r="1190" spans="1:42" x14ac:dyDescent="0.25">
      <c r="A1190" s="13">
        <v>29</v>
      </c>
      <c r="B1190" s="13" t="s">
        <v>59</v>
      </c>
      <c r="C1190" s="13" t="s">
        <v>37</v>
      </c>
      <c r="D1190" s="13">
        <v>991</v>
      </c>
      <c r="E1190" s="13" t="s">
        <v>39</v>
      </c>
      <c r="F1190" s="13">
        <v>5</v>
      </c>
      <c r="G1190" s="13">
        <v>3</v>
      </c>
      <c r="H1190" s="13" t="s">
        <v>87</v>
      </c>
      <c r="I1190" s="13">
        <v>1</v>
      </c>
      <c r="J1190" s="13">
        <v>1669</v>
      </c>
      <c r="K1190" s="13">
        <v>1</v>
      </c>
      <c r="L1190" s="13" t="s">
        <v>63</v>
      </c>
      <c r="M1190" s="13">
        <v>43</v>
      </c>
      <c r="N1190" s="13">
        <v>2</v>
      </c>
      <c r="O1190" s="13">
        <v>2</v>
      </c>
      <c r="P1190" s="13" t="s">
        <v>46</v>
      </c>
      <c r="Q1190" s="13">
        <v>2</v>
      </c>
      <c r="R1190" s="13" t="s">
        <v>109</v>
      </c>
      <c r="S1190" s="20">
        <v>4187</v>
      </c>
      <c r="T1190" s="13">
        <v>3356</v>
      </c>
      <c r="U1190" s="13">
        <v>1</v>
      </c>
      <c r="V1190" s="13" t="s">
        <v>52</v>
      </c>
      <c r="W1190" s="13" t="s">
        <v>36</v>
      </c>
      <c r="X1190" s="13">
        <v>13</v>
      </c>
      <c r="Y1190" s="13">
        <v>3</v>
      </c>
      <c r="Z1190" s="13">
        <v>2</v>
      </c>
      <c r="AA1190" s="13">
        <v>80</v>
      </c>
      <c r="AB1190" s="13">
        <v>1</v>
      </c>
      <c r="AC1190" s="13">
        <v>10</v>
      </c>
      <c r="AD1190" s="13">
        <v>3</v>
      </c>
      <c r="AE1190" s="13">
        <v>2</v>
      </c>
      <c r="AF1190" s="14">
        <v>10</v>
      </c>
      <c r="AG1190" s="13">
        <v>0</v>
      </c>
      <c r="AH1190" s="13">
        <v>0</v>
      </c>
      <c r="AI1190" s="13">
        <v>9</v>
      </c>
      <c r="AJ1190" s="13" t="str">
        <f t="shared" si="18"/>
        <v>Under 30</v>
      </c>
      <c r="AK1190" s="13" t="str">
        <f>IF(tblCleanData[[#This Row],[MonthlyIncome]]&lt;5000, "Low Income", IF(tblCleanData[[#This Row],[MonthlyIncome]]&lt;15000, "Medium Income", "High Income"))</f>
        <v>Low Income</v>
      </c>
      <c r="AL1190" s="13">
        <f>IF(tblCleanData[[#This Row],[Attrition]]="No", 0,1)</f>
        <v>0</v>
      </c>
      <c r="AM1190" s="13">
        <f>IF(tblCleanData[[#This Row],[OverTime]] = "No", 0, 1)</f>
        <v>1</v>
      </c>
      <c r="AN1190" s="13" t="str">
        <f>CHOOSE(tblCleanData[[#This Row],[Education]], "Below College","College","Bachelor","Master","Doctor")</f>
        <v>Bachelor</v>
      </c>
      <c r="AO1190" s="13" t="str">
        <f>VLOOKUP(tblCleanData[[#This Row],[EmployeeNumber]],tblHelpers[],15,TRUE)</f>
        <v>High Risk</v>
      </c>
      <c r="AP1190" s="13">
        <f>VLOOKUP(tblCleanData[[#This Row],[EmployeeNumber]],tblHelpers[],14,0)</f>
        <v>87</v>
      </c>
    </row>
    <row r="1191" spans="1:42" x14ac:dyDescent="0.25">
      <c r="A1191" s="13">
        <v>33</v>
      </c>
      <c r="B1191" s="13" t="s">
        <v>59</v>
      </c>
      <c r="C1191" s="13" t="s">
        <v>37</v>
      </c>
      <c r="D1191" s="13">
        <v>392</v>
      </c>
      <c r="E1191" s="13" t="s">
        <v>39</v>
      </c>
      <c r="F1191" s="13">
        <v>2</v>
      </c>
      <c r="G1191" s="13">
        <v>4</v>
      </c>
      <c r="H1191" s="13" t="s">
        <v>87</v>
      </c>
      <c r="I1191" s="13">
        <v>1</v>
      </c>
      <c r="J1191" s="13">
        <v>1670</v>
      </c>
      <c r="K1191" s="13">
        <v>4</v>
      </c>
      <c r="L1191" s="13" t="s">
        <v>63</v>
      </c>
      <c r="M1191" s="13">
        <v>93</v>
      </c>
      <c r="N1191" s="13">
        <v>3</v>
      </c>
      <c r="O1191" s="13">
        <v>2</v>
      </c>
      <c r="P1191" s="13" t="s">
        <v>46</v>
      </c>
      <c r="Q1191" s="13">
        <v>4</v>
      </c>
      <c r="R1191" s="13" t="s">
        <v>109</v>
      </c>
      <c r="S1191" s="20">
        <v>5505</v>
      </c>
      <c r="T1191" s="13">
        <v>3921</v>
      </c>
      <c r="U1191" s="13">
        <v>1</v>
      </c>
      <c r="V1191" s="13" t="s">
        <v>52</v>
      </c>
      <c r="W1191" s="13" t="s">
        <v>59</v>
      </c>
      <c r="X1191" s="13">
        <v>14</v>
      </c>
      <c r="Y1191" s="13">
        <v>3</v>
      </c>
      <c r="Z1191" s="13">
        <v>3</v>
      </c>
      <c r="AA1191" s="13">
        <v>80</v>
      </c>
      <c r="AB1191" s="13">
        <v>2</v>
      </c>
      <c r="AC1191" s="13">
        <v>6</v>
      </c>
      <c r="AD1191" s="13">
        <v>5</v>
      </c>
      <c r="AE1191" s="13">
        <v>3</v>
      </c>
      <c r="AF1191" s="14">
        <v>6</v>
      </c>
      <c r="AG1191" s="13">
        <v>2</v>
      </c>
      <c r="AH1191" s="13">
        <v>0</v>
      </c>
      <c r="AI1191" s="13">
        <v>4</v>
      </c>
      <c r="AJ1191" s="13" t="str">
        <f t="shared" si="18"/>
        <v>30-39</v>
      </c>
      <c r="AK1191" s="13" t="str">
        <f>IF(tblCleanData[[#This Row],[MonthlyIncome]]&lt;5000, "Low Income", IF(tblCleanData[[#This Row],[MonthlyIncome]]&lt;15000, "Medium Income", "High Income"))</f>
        <v>Medium Income</v>
      </c>
      <c r="AL1191" s="13">
        <f>IF(tblCleanData[[#This Row],[Attrition]]="No", 0,1)</f>
        <v>0</v>
      </c>
      <c r="AM1191" s="13">
        <f>IF(tblCleanData[[#This Row],[OverTime]] = "No", 0, 1)</f>
        <v>0</v>
      </c>
      <c r="AN1191" s="13" t="str">
        <f>CHOOSE(tblCleanData[[#This Row],[Education]], "Below College","College","Bachelor","Master","Doctor")</f>
        <v>Master</v>
      </c>
      <c r="AO1191" s="13" t="str">
        <f>VLOOKUP(tblCleanData[[#This Row],[EmployeeNumber]],tblHelpers[],15,TRUE)</f>
        <v>Medium Risk</v>
      </c>
      <c r="AP1191" s="13">
        <f>VLOOKUP(tblCleanData[[#This Row],[EmployeeNumber]],tblHelpers[],14,0)</f>
        <v>39</v>
      </c>
    </row>
    <row r="1192" spans="1:42" x14ac:dyDescent="0.25">
      <c r="A1192" s="13">
        <v>32</v>
      </c>
      <c r="B1192" s="13" t="s">
        <v>59</v>
      </c>
      <c r="C1192" s="13" t="s">
        <v>37</v>
      </c>
      <c r="D1192" s="13">
        <v>977</v>
      </c>
      <c r="E1192" s="13" t="s">
        <v>62</v>
      </c>
      <c r="F1192" s="13">
        <v>2</v>
      </c>
      <c r="G1192" s="13">
        <v>3</v>
      </c>
      <c r="H1192" s="13" t="s">
        <v>87</v>
      </c>
      <c r="I1192" s="13">
        <v>1</v>
      </c>
      <c r="J1192" s="13">
        <v>1671</v>
      </c>
      <c r="K1192" s="13">
        <v>4</v>
      </c>
      <c r="L1192" s="13" t="s">
        <v>63</v>
      </c>
      <c r="M1192" s="13">
        <v>45</v>
      </c>
      <c r="N1192" s="13">
        <v>3</v>
      </c>
      <c r="O1192" s="13">
        <v>2</v>
      </c>
      <c r="P1192" s="13" t="s">
        <v>65</v>
      </c>
      <c r="Q1192" s="13">
        <v>2</v>
      </c>
      <c r="R1192" s="13" t="s">
        <v>109</v>
      </c>
      <c r="S1192" s="20">
        <v>5470</v>
      </c>
      <c r="T1192" s="13">
        <v>25518</v>
      </c>
      <c r="U1192" s="13">
        <v>0</v>
      </c>
      <c r="V1192" s="13" t="s">
        <v>52</v>
      </c>
      <c r="W1192" s="13" t="s">
        <v>59</v>
      </c>
      <c r="X1192" s="13">
        <v>13</v>
      </c>
      <c r="Y1192" s="13">
        <v>3</v>
      </c>
      <c r="Z1192" s="13">
        <v>3</v>
      </c>
      <c r="AA1192" s="13">
        <v>80</v>
      </c>
      <c r="AB1192" s="13">
        <v>2</v>
      </c>
      <c r="AC1192" s="13">
        <v>10</v>
      </c>
      <c r="AD1192" s="13">
        <v>4</v>
      </c>
      <c r="AE1192" s="13">
        <v>2</v>
      </c>
      <c r="AF1192" s="14">
        <v>9</v>
      </c>
      <c r="AG1192" s="13">
        <v>5</v>
      </c>
      <c r="AH1192" s="13">
        <v>1</v>
      </c>
      <c r="AI1192" s="13">
        <v>6</v>
      </c>
      <c r="AJ1192" s="13" t="str">
        <f t="shared" si="18"/>
        <v>30-39</v>
      </c>
      <c r="AK1192" s="13" t="str">
        <f>IF(tblCleanData[[#This Row],[MonthlyIncome]]&lt;5000, "Low Income", IF(tblCleanData[[#This Row],[MonthlyIncome]]&lt;15000, "Medium Income", "High Income"))</f>
        <v>Medium Income</v>
      </c>
      <c r="AL1192" s="13">
        <f>IF(tblCleanData[[#This Row],[Attrition]]="No", 0,1)</f>
        <v>0</v>
      </c>
      <c r="AM1192" s="13">
        <f>IF(tblCleanData[[#This Row],[OverTime]] = "No", 0, 1)</f>
        <v>0</v>
      </c>
      <c r="AN1192" s="13" t="str">
        <f>CHOOSE(tblCleanData[[#This Row],[Education]], "Below College","College","Bachelor","Master","Doctor")</f>
        <v>Bachelor</v>
      </c>
      <c r="AO1192" s="13" t="str">
        <f>VLOOKUP(tblCleanData[[#This Row],[EmployeeNumber]],tblHelpers[],15,TRUE)</f>
        <v>Medium Risk</v>
      </c>
      <c r="AP1192" s="13">
        <f>VLOOKUP(tblCleanData[[#This Row],[EmployeeNumber]],tblHelpers[],14,0)</f>
        <v>52</v>
      </c>
    </row>
    <row r="1193" spans="1:42" x14ac:dyDescent="0.25">
      <c r="A1193" s="13">
        <v>31</v>
      </c>
      <c r="B1193" s="13" t="s">
        <v>59</v>
      </c>
      <c r="C1193" s="13" t="s">
        <v>37</v>
      </c>
      <c r="D1193" s="13">
        <v>1112</v>
      </c>
      <c r="E1193" s="13" t="s">
        <v>39</v>
      </c>
      <c r="F1193" s="13">
        <v>5</v>
      </c>
      <c r="G1193" s="13">
        <v>4</v>
      </c>
      <c r="H1193" s="13" t="s">
        <v>42</v>
      </c>
      <c r="I1193" s="13">
        <v>1</v>
      </c>
      <c r="J1193" s="13">
        <v>1673</v>
      </c>
      <c r="K1193" s="13">
        <v>1</v>
      </c>
      <c r="L1193" s="13" t="s">
        <v>43</v>
      </c>
      <c r="M1193" s="13">
        <v>67</v>
      </c>
      <c r="N1193" s="13">
        <v>3</v>
      </c>
      <c r="O1193" s="13">
        <v>2</v>
      </c>
      <c r="P1193" s="13" t="s">
        <v>46</v>
      </c>
      <c r="Q1193" s="13">
        <v>4</v>
      </c>
      <c r="R1193" s="13" t="s">
        <v>66</v>
      </c>
      <c r="S1193" s="20">
        <v>5476</v>
      </c>
      <c r="T1193" s="13">
        <v>22589</v>
      </c>
      <c r="U1193" s="13">
        <v>1</v>
      </c>
      <c r="V1193" s="13" t="s">
        <v>52</v>
      </c>
      <c r="W1193" s="13" t="s">
        <v>59</v>
      </c>
      <c r="X1193" s="13">
        <v>11</v>
      </c>
      <c r="Y1193" s="13">
        <v>3</v>
      </c>
      <c r="Z1193" s="13">
        <v>1</v>
      </c>
      <c r="AA1193" s="13">
        <v>80</v>
      </c>
      <c r="AB1193" s="13">
        <v>2</v>
      </c>
      <c r="AC1193" s="13">
        <v>10</v>
      </c>
      <c r="AD1193" s="13">
        <v>2</v>
      </c>
      <c r="AE1193" s="13">
        <v>3</v>
      </c>
      <c r="AF1193" s="14">
        <v>10</v>
      </c>
      <c r="AG1193" s="13">
        <v>0</v>
      </c>
      <c r="AH1193" s="13">
        <v>0</v>
      </c>
      <c r="AI1193" s="13">
        <v>2</v>
      </c>
      <c r="AJ1193" s="13" t="str">
        <f t="shared" si="18"/>
        <v>30-39</v>
      </c>
      <c r="AK1193" s="13" t="str">
        <f>IF(tblCleanData[[#This Row],[MonthlyIncome]]&lt;5000, "Low Income", IF(tblCleanData[[#This Row],[MonthlyIncome]]&lt;15000, "Medium Income", "High Income"))</f>
        <v>Medium Income</v>
      </c>
      <c r="AL1193" s="13">
        <f>IF(tblCleanData[[#This Row],[Attrition]]="No", 0,1)</f>
        <v>0</v>
      </c>
      <c r="AM1193" s="13">
        <f>IF(tblCleanData[[#This Row],[OverTime]] = "No", 0, 1)</f>
        <v>0</v>
      </c>
      <c r="AN1193" s="13" t="str">
        <f>CHOOSE(tblCleanData[[#This Row],[Education]], "Below College","College","Bachelor","Master","Doctor")</f>
        <v>Master</v>
      </c>
      <c r="AO1193" s="13" t="str">
        <f>VLOOKUP(tblCleanData[[#This Row],[EmployeeNumber]],tblHelpers[],15,TRUE)</f>
        <v>Medium Risk</v>
      </c>
      <c r="AP1193" s="13">
        <f>VLOOKUP(tblCleanData[[#This Row],[EmployeeNumber]],tblHelpers[],14,0)</f>
        <v>39</v>
      </c>
    </row>
    <row r="1194" spans="1:42" x14ac:dyDescent="0.25">
      <c r="A1194" s="13">
        <v>49</v>
      </c>
      <c r="B1194" s="13" t="s">
        <v>59</v>
      </c>
      <c r="C1194" s="13" t="s">
        <v>37</v>
      </c>
      <c r="D1194" s="13">
        <v>464</v>
      </c>
      <c r="E1194" s="13" t="s">
        <v>62</v>
      </c>
      <c r="F1194" s="13">
        <v>16</v>
      </c>
      <c r="G1194" s="13">
        <v>3</v>
      </c>
      <c r="H1194" s="13" t="s">
        <v>87</v>
      </c>
      <c r="I1194" s="13">
        <v>1</v>
      </c>
      <c r="J1194" s="13">
        <v>1674</v>
      </c>
      <c r="K1194" s="13">
        <v>4</v>
      </c>
      <c r="L1194" s="13" t="s">
        <v>43</v>
      </c>
      <c r="M1194" s="13">
        <v>74</v>
      </c>
      <c r="N1194" s="13">
        <v>3</v>
      </c>
      <c r="O1194" s="13">
        <v>1</v>
      </c>
      <c r="P1194" s="13" t="s">
        <v>76</v>
      </c>
      <c r="Q1194" s="13">
        <v>1</v>
      </c>
      <c r="R1194" s="13" t="s">
        <v>109</v>
      </c>
      <c r="S1194" s="20">
        <v>2587</v>
      </c>
      <c r="T1194" s="13">
        <v>24941</v>
      </c>
      <c r="U1194" s="13">
        <v>4</v>
      </c>
      <c r="V1194" s="13" t="s">
        <v>52</v>
      </c>
      <c r="W1194" s="13" t="s">
        <v>36</v>
      </c>
      <c r="X1194" s="13">
        <v>16</v>
      </c>
      <c r="Y1194" s="13">
        <v>3</v>
      </c>
      <c r="Z1194" s="13">
        <v>2</v>
      </c>
      <c r="AA1194" s="13">
        <v>80</v>
      </c>
      <c r="AB1194" s="13">
        <v>1</v>
      </c>
      <c r="AC1194" s="13">
        <v>17</v>
      </c>
      <c r="AD1194" s="13">
        <v>2</v>
      </c>
      <c r="AE1194" s="13">
        <v>2</v>
      </c>
      <c r="AF1194" s="14">
        <v>2</v>
      </c>
      <c r="AG1194" s="13">
        <v>2</v>
      </c>
      <c r="AH1194" s="13">
        <v>2</v>
      </c>
      <c r="AI1194" s="13">
        <v>2</v>
      </c>
      <c r="AJ1194" s="13" t="str">
        <f t="shared" si="18"/>
        <v>40-49</v>
      </c>
      <c r="AK1194" s="13" t="str">
        <f>IF(tblCleanData[[#This Row],[MonthlyIncome]]&lt;5000, "Low Income", IF(tblCleanData[[#This Row],[MonthlyIncome]]&lt;15000, "Medium Income", "High Income"))</f>
        <v>Low Income</v>
      </c>
      <c r="AL1194" s="13">
        <f>IF(tblCleanData[[#This Row],[Attrition]]="No", 0,1)</f>
        <v>0</v>
      </c>
      <c r="AM1194" s="13">
        <f>IF(tblCleanData[[#This Row],[OverTime]] = "No", 0, 1)</f>
        <v>1</v>
      </c>
      <c r="AN1194" s="13" t="str">
        <f>CHOOSE(tblCleanData[[#This Row],[Education]], "Below College","College","Bachelor","Master","Doctor")</f>
        <v>Bachelor</v>
      </c>
      <c r="AO1194" s="13" t="str">
        <f>VLOOKUP(tblCleanData[[#This Row],[EmployeeNumber]],tblHelpers[],15,TRUE)</f>
        <v>High Risk</v>
      </c>
      <c r="AP1194" s="13">
        <f>VLOOKUP(tblCleanData[[#This Row],[EmployeeNumber]],tblHelpers[],14,0)</f>
        <v>90</v>
      </c>
    </row>
    <row r="1195" spans="1:42" x14ac:dyDescent="0.25">
      <c r="A1195" s="13">
        <v>38</v>
      </c>
      <c r="B1195" s="13" t="s">
        <v>59</v>
      </c>
      <c r="C1195" s="13" t="s">
        <v>60</v>
      </c>
      <c r="D1195" s="13">
        <v>148</v>
      </c>
      <c r="E1195" s="13" t="s">
        <v>62</v>
      </c>
      <c r="F1195" s="13">
        <v>2</v>
      </c>
      <c r="G1195" s="13">
        <v>3</v>
      </c>
      <c r="H1195" s="13" t="s">
        <v>87</v>
      </c>
      <c r="I1195" s="13">
        <v>1</v>
      </c>
      <c r="J1195" s="13">
        <v>1675</v>
      </c>
      <c r="K1195" s="13">
        <v>4</v>
      </c>
      <c r="L1195" s="13" t="s">
        <v>43</v>
      </c>
      <c r="M1195" s="13">
        <v>42</v>
      </c>
      <c r="N1195" s="13">
        <v>2</v>
      </c>
      <c r="O1195" s="13">
        <v>1</v>
      </c>
      <c r="P1195" s="13" t="s">
        <v>76</v>
      </c>
      <c r="Q1195" s="13">
        <v>2</v>
      </c>
      <c r="R1195" s="13" t="s">
        <v>48</v>
      </c>
      <c r="S1195" s="20">
        <v>2440</v>
      </c>
      <c r="T1195" s="13">
        <v>23826</v>
      </c>
      <c r="U1195" s="13">
        <v>1</v>
      </c>
      <c r="V1195" s="13" t="s">
        <v>52</v>
      </c>
      <c r="W1195" s="13" t="s">
        <v>59</v>
      </c>
      <c r="X1195" s="13">
        <v>22</v>
      </c>
      <c r="Y1195" s="13">
        <v>4</v>
      </c>
      <c r="Z1195" s="13">
        <v>2</v>
      </c>
      <c r="AA1195" s="13">
        <v>80</v>
      </c>
      <c r="AB1195" s="13">
        <v>0</v>
      </c>
      <c r="AC1195" s="13">
        <v>4</v>
      </c>
      <c r="AD1195" s="13">
        <v>3</v>
      </c>
      <c r="AE1195" s="13">
        <v>3</v>
      </c>
      <c r="AF1195" s="14">
        <v>4</v>
      </c>
      <c r="AG1195" s="13">
        <v>3</v>
      </c>
      <c r="AH1195" s="13">
        <v>3</v>
      </c>
      <c r="AI1195" s="13">
        <v>3</v>
      </c>
      <c r="AJ1195" s="13" t="str">
        <f t="shared" si="18"/>
        <v>30-39</v>
      </c>
      <c r="AK1195" s="13" t="str">
        <f>IF(tblCleanData[[#This Row],[MonthlyIncome]]&lt;5000, "Low Income", IF(tblCleanData[[#This Row],[MonthlyIncome]]&lt;15000, "Medium Income", "High Income"))</f>
        <v>Low Income</v>
      </c>
      <c r="AL1195" s="13">
        <f>IF(tblCleanData[[#This Row],[Attrition]]="No", 0,1)</f>
        <v>0</v>
      </c>
      <c r="AM1195" s="13">
        <f>IF(tblCleanData[[#This Row],[OverTime]] = "No", 0, 1)</f>
        <v>0</v>
      </c>
      <c r="AN1195" s="13" t="str">
        <f>CHOOSE(tblCleanData[[#This Row],[Education]], "Below College","College","Bachelor","Master","Doctor")</f>
        <v>Bachelor</v>
      </c>
      <c r="AO1195" s="13" t="str">
        <f>VLOOKUP(tblCleanData[[#This Row],[EmployeeNumber]],tblHelpers[],15,TRUE)</f>
        <v>High Risk</v>
      </c>
      <c r="AP1195" s="13">
        <f>VLOOKUP(tblCleanData[[#This Row],[EmployeeNumber]],tblHelpers[],14,0)</f>
        <v>59</v>
      </c>
    </row>
    <row r="1196" spans="1:42" x14ac:dyDescent="0.25">
      <c r="A1196" s="13">
        <v>47</v>
      </c>
      <c r="B1196" s="13" t="s">
        <v>59</v>
      </c>
      <c r="C1196" s="13" t="s">
        <v>37</v>
      </c>
      <c r="D1196" s="13">
        <v>1225</v>
      </c>
      <c r="E1196" s="13" t="s">
        <v>39</v>
      </c>
      <c r="F1196" s="13">
        <v>2</v>
      </c>
      <c r="G1196" s="13">
        <v>4</v>
      </c>
      <c r="H1196" s="13" t="s">
        <v>42</v>
      </c>
      <c r="I1196" s="13">
        <v>1</v>
      </c>
      <c r="J1196" s="13">
        <v>1676</v>
      </c>
      <c r="K1196" s="13">
        <v>2</v>
      </c>
      <c r="L1196" s="13" t="s">
        <v>43</v>
      </c>
      <c r="M1196" s="13">
        <v>47</v>
      </c>
      <c r="N1196" s="13">
        <v>4</v>
      </c>
      <c r="O1196" s="13">
        <v>4</v>
      </c>
      <c r="P1196" s="13" t="s">
        <v>169</v>
      </c>
      <c r="Q1196" s="13">
        <v>2</v>
      </c>
      <c r="R1196" s="13" t="s">
        <v>109</v>
      </c>
      <c r="S1196" s="20">
        <v>15972</v>
      </c>
      <c r="T1196" s="13">
        <v>21086</v>
      </c>
      <c r="U1196" s="13">
        <v>6</v>
      </c>
      <c r="V1196" s="13" t="s">
        <v>52</v>
      </c>
      <c r="W1196" s="13" t="s">
        <v>59</v>
      </c>
      <c r="X1196" s="13">
        <v>14</v>
      </c>
      <c r="Y1196" s="13">
        <v>3</v>
      </c>
      <c r="Z1196" s="13">
        <v>3</v>
      </c>
      <c r="AA1196" s="13">
        <v>80</v>
      </c>
      <c r="AB1196" s="13">
        <v>3</v>
      </c>
      <c r="AC1196" s="13">
        <v>29</v>
      </c>
      <c r="AD1196" s="13">
        <v>2</v>
      </c>
      <c r="AE1196" s="13">
        <v>3</v>
      </c>
      <c r="AF1196" s="14">
        <v>3</v>
      </c>
      <c r="AG1196" s="13">
        <v>2</v>
      </c>
      <c r="AH1196" s="13">
        <v>1</v>
      </c>
      <c r="AI1196" s="13">
        <v>2</v>
      </c>
      <c r="AJ1196" s="13" t="str">
        <f t="shared" si="18"/>
        <v>40-49</v>
      </c>
      <c r="AK1196" s="13" t="str">
        <f>IF(tblCleanData[[#This Row],[MonthlyIncome]]&lt;5000, "Low Income", IF(tblCleanData[[#This Row],[MonthlyIncome]]&lt;15000, "Medium Income", "High Income"))</f>
        <v>High Income</v>
      </c>
      <c r="AL1196" s="13">
        <f>IF(tblCleanData[[#This Row],[Attrition]]="No", 0,1)</f>
        <v>0</v>
      </c>
      <c r="AM1196" s="13">
        <f>IF(tblCleanData[[#This Row],[OverTime]] = "No", 0, 1)</f>
        <v>0</v>
      </c>
      <c r="AN1196" s="13" t="str">
        <f>CHOOSE(tblCleanData[[#This Row],[Education]], "Below College","College","Bachelor","Master","Doctor")</f>
        <v>Master</v>
      </c>
      <c r="AO1196" s="13" t="str">
        <f>VLOOKUP(tblCleanData[[#This Row],[EmployeeNumber]],tblHelpers[],15,TRUE)</f>
        <v>Medium Risk</v>
      </c>
      <c r="AP1196" s="13">
        <f>VLOOKUP(tblCleanData[[#This Row],[EmployeeNumber]],tblHelpers[],14,0)</f>
        <v>49</v>
      </c>
    </row>
    <row r="1197" spans="1:42" x14ac:dyDescent="0.25">
      <c r="A1197" s="13">
        <v>49</v>
      </c>
      <c r="B1197" s="13" t="s">
        <v>59</v>
      </c>
      <c r="C1197" s="13" t="s">
        <v>37</v>
      </c>
      <c r="D1197" s="13">
        <v>809</v>
      </c>
      <c r="E1197" s="13" t="s">
        <v>62</v>
      </c>
      <c r="F1197" s="13">
        <v>1</v>
      </c>
      <c r="G1197" s="13">
        <v>3</v>
      </c>
      <c r="H1197" s="13" t="s">
        <v>42</v>
      </c>
      <c r="I1197" s="13">
        <v>1</v>
      </c>
      <c r="J1197" s="13">
        <v>1677</v>
      </c>
      <c r="K1197" s="13">
        <v>3</v>
      </c>
      <c r="L1197" s="13" t="s">
        <v>63</v>
      </c>
      <c r="M1197" s="13">
        <v>36</v>
      </c>
      <c r="N1197" s="13">
        <v>3</v>
      </c>
      <c r="O1197" s="13">
        <v>4</v>
      </c>
      <c r="P1197" s="13" t="s">
        <v>169</v>
      </c>
      <c r="Q1197" s="13">
        <v>3</v>
      </c>
      <c r="R1197" s="13" t="s">
        <v>48</v>
      </c>
      <c r="S1197" s="20">
        <v>15379</v>
      </c>
      <c r="T1197" s="13">
        <v>22384</v>
      </c>
      <c r="U1197" s="13">
        <v>4</v>
      </c>
      <c r="V1197" s="13" t="s">
        <v>52</v>
      </c>
      <c r="W1197" s="13" t="s">
        <v>59</v>
      </c>
      <c r="X1197" s="13">
        <v>14</v>
      </c>
      <c r="Y1197" s="13">
        <v>3</v>
      </c>
      <c r="Z1197" s="13">
        <v>1</v>
      </c>
      <c r="AA1197" s="13">
        <v>80</v>
      </c>
      <c r="AB1197" s="13">
        <v>0</v>
      </c>
      <c r="AC1197" s="13">
        <v>23</v>
      </c>
      <c r="AD1197" s="13">
        <v>2</v>
      </c>
      <c r="AE1197" s="13">
        <v>3</v>
      </c>
      <c r="AF1197" s="14">
        <v>8</v>
      </c>
      <c r="AG1197" s="13">
        <v>7</v>
      </c>
      <c r="AH1197" s="13">
        <v>0</v>
      </c>
      <c r="AI1197" s="13">
        <v>0</v>
      </c>
      <c r="AJ1197" s="13" t="str">
        <f t="shared" si="18"/>
        <v>40-49</v>
      </c>
      <c r="AK1197" s="13" t="str">
        <f>IF(tblCleanData[[#This Row],[MonthlyIncome]]&lt;5000, "Low Income", IF(tblCleanData[[#This Row],[MonthlyIncome]]&lt;15000, "Medium Income", "High Income"))</f>
        <v>High Income</v>
      </c>
      <c r="AL1197" s="13">
        <f>IF(tblCleanData[[#This Row],[Attrition]]="No", 0,1)</f>
        <v>0</v>
      </c>
      <c r="AM1197" s="13">
        <f>IF(tblCleanData[[#This Row],[OverTime]] = "No", 0, 1)</f>
        <v>0</v>
      </c>
      <c r="AN1197" s="13" t="str">
        <f>CHOOSE(tblCleanData[[#This Row],[Education]], "Below College","College","Bachelor","Master","Doctor")</f>
        <v>Bachelor</v>
      </c>
      <c r="AO1197" s="13" t="str">
        <f>VLOOKUP(tblCleanData[[#This Row],[EmployeeNumber]],tblHelpers[],15,TRUE)</f>
        <v>Medium Risk</v>
      </c>
      <c r="AP1197" s="13">
        <f>VLOOKUP(tblCleanData[[#This Row],[EmployeeNumber]],tblHelpers[],14,0)</f>
        <v>36</v>
      </c>
    </row>
    <row r="1198" spans="1:42" x14ac:dyDescent="0.25">
      <c r="A1198" s="13">
        <v>41</v>
      </c>
      <c r="B1198" s="13" t="s">
        <v>59</v>
      </c>
      <c r="C1198" s="13" t="s">
        <v>37</v>
      </c>
      <c r="D1198" s="13">
        <v>1206</v>
      </c>
      <c r="E1198" s="13" t="s">
        <v>39</v>
      </c>
      <c r="F1198" s="13">
        <v>23</v>
      </c>
      <c r="G1198" s="13">
        <v>2</v>
      </c>
      <c r="H1198" s="13" t="s">
        <v>42</v>
      </c>
      <c r="I1198" s="13">
        <v>1</v>
      </c>
      <c r="J1198" s="13">
        <v>1678</v>
      </c>
      <c r="K1198" s="13">
        <v>4</v>
      </c>
      <c r="L1198" s="13" t="s">
        <v>63</v>
      </c>
      <c r="M1198" s="13">
        <v>80</v>
      </c>
      <c r="N1198" s="13">
        <v>3</v>
      </c>
      <c r="O1198" s="13">
        <v>3</v>
      </c>
      <c r="P1198" s="13" t="s">
        <v>46</v>
      </c>
      <c r="Q1198" s="13">
        <v>3</v>
      </c>
      <c r="R1198" s="13" t="s">
        <v>48</v>
      </c>
      <c r="S1198" s="20">
        <v>7082</v>
      </c>
      <c r="T1198" s="13">
        <v>11591</v>
      </c>
      <c r="U1198" s="13">
        <v>3</v>
      </c>
      <c r="V1198" s="13" t="s">
        <v>52</v>
      </c>
      <c r="W1198" s="13" t="s">
        <v>36</v>
      </c>
      <c r="X1198" s="13">
        <v>16</v>
      </c>
      <c r="Y1198" s="13">
        <v>3</v>
      </c>
      <c r="Z1198" s="13">
        <v>4</v>
      </c>
      <c r="AA1198" s="13">
        <v>80</v>
      </c>
      <c r="AB1198" s="13">
        <v>0</v>
      </c>
      <c r="AC1198" s="13">
        <v>21</v>
      </c>
      <c r="AD1198" s="13">
        <v>2</v>
      </c>
      <c r="AE1198" s="13">
        <v>3</v>
      </c>
      <c r="AF1198" s="14">
        <v>2</v>
      </c>
      <c r="AG1198" s="13">
        <v>0</v>
      </c>
      <c r="AH1198" s="13">
        <v>0</v>
      </c>
      <c r="AI1198" s="13">
        <v>2</v>
      </c>
      <c r="AJ1198" s="13" t="str">
        <f t="shared" si="18"/>
        <v>40-49</v>
      </c>
      <c r="AK1198" s="13" t="str">
        <f>IF(tblCleanData[[#This Row],[MonthlyIncome]]&lt;5000, "Low Income", IF(tblCleanData[[#This Row],[MonthlyIncome]]&lt;15000, "Medium Income", "High Income"))</f>
        <v>Medium Income</v>
      </c>
      <c r="AL1198" s="13">
        <f>IF(tblCleanData[[#This Row],[Attrition]]="No", 0,1)</f>
        <v>0</v>
      </c>
      <c r="AM1198" s="13">
        <f>IF(tblCleanData[[#This Row],[OverTime]] = "No", 0, 1)</f>
        <v>1</v>
      </c>
      <c r="AN1198" s="13" t="str">
        <f>CHOOSE(tblCleanData[[#This Row],[Education]], "Below College","College","Bachelor","Master","Doctor")</f>
        <v>College</v>
      </c>
      <c r="AO1198" s="13" t="str">
        <f>VLOOKUP(tblCleanData[[#This Row],[EmployeeNumber]],tblHelpers[],15,TRUE)</f>
        <v>High Risk</v>
      </c>
      <c r="AP1198" s="13">
        <f>VLOOKUP(tblCleanData[[#This Row],[EmployeeNumber]],tblHelpers[],14,0)</f>
        <v>78</v>
      </c>
    </row>
    <row r="1199" spans="1:42" x14ac:dyDescent="0.25">
      <c r="A1199" s="13">
        <v>20</v>
      </c>
      <c r="B1199" s="13" t="s">
        <v>59</v>
      </c>
      <c r="C1199" s="13" t="s">
        <v>37</v>
      </c>
      <c r="D1199" s="13">
        <v>727</v>
      </c>
      <c r="E1199" s="13" t="s">
        <v>39</v>
      </c>
      <c r="F1199" s="13">
        <v>9</v>
      </c>
      <c r="G1199" s="13">
        <v>1</v>
      </c>
      <c r="H1199" s="13" t="s">
        <v>42</v>
      </c>
      <c r="I1199" s="13">
        <v>1</v>
      </c>
      <c r="J1199" s="13">
        <v>1680</v>
      </c>
      <c r="K1199" s="13">
        <v>4</v>
      </c>
      <c r="L1199" s="13" t="s">
        <v>63</v>
      </c>
      <c r="M1199" s="13">
        <v>54</v>
      </c>
      <c r="N1199" s="13">
        <v>3</v>
      </c>
      <c r="O1199" s="13">
        <v>1</v>
      </c>
      <c r="P1199" s="13" t="s">
        <v>182</v>
      </c>
      <c r="Q1199" s="13">
        <v>1</v>
      </c>
      <c r="R1199" s="13" t="s">
        <v>48</v>
      </c>
      <c r="S1199" s="20">
        <v>2728</v>
      </c>
      <c r="T1199" s="13">
        <v>21082</v>
      </c>
      <c r="U1199" s="13">
        <v>1</v>
      </c>
      <c r="V1199" s="13" t="s">
        <v>52</v>
      </c>
      <c r="W1199" s="13" t="s">
        <v>59</v>
      </c>
      <c r="X1199" s="13">
        <v>11</v>
      </c>
      <c r="Y1199" s="13">
        <v>3</v>
      </c>
      <c r="Z1199" s="13">
        <v>1</v>
      </c>
      <c r="AA1199" s="13">
        <v>80</v>
      </c>
      <c r="AB1199" s="13">
        <v>0</v>
      </c>
      <c r="AC1199" s="13">
        <v>2</v>
      </c>
      <c r="AD1199" s="13">
        <v>3</v>
      </c>
      <c r="AE1199" s="13">
        <v>3</v>
      </c>
      <c r="AF1199" s="14">
        <v>2</v>
      </c>
      <c r="AG1199" s="13">
        <v>2</v>
      </c>
      <c r="AH1199" s="13">
        <v>0</v>
      </c>
      <c r="AI1199" s="13">
        <v>2</v>
      </c>
      <c r="AJ1199" s="13" t="str">
        <f t="shared" si="18"/>
        <v>Under 30</v>
      </c>
      <c r="AK1199" s="13" t="str">
        <f>IF(tblCleanData[[#This Row],[MonthlyIncome]]&lt;5000, "Low Income", IF(tblCleanData[[#This Row],[MonthlyIncome]]&lt;15000, "Medium Income", "High Income"))</f>
        <v>Low Income</v>
      </c>
      <c r="AL1199" s="13">
        <f>IF(tblCleanData[[#This Row],[Attrition]]="No", 0,1)</f>
        <v>0</v>
      </c>
      <c r="AM1199" s="13">
        <f>IF(tblCleanData[[#This Row],[OverTime]] = "No", 0, 1)</f>
        <v>0</v>
      </c>
      <c r="AN1199" s="13" t="str">
        <f>CHOOSE(tblCleanData[[#This Row],[Education]], "Below College","College","Bachelor","Master","Doctor")</f>
        <v>Below College</v>
      </c>
      <c r="AO1199" s="13" t="str">
        <f>VLOOKUP(tblCleanData[[#This Row],[EmployeeNumber]],tblHelpers[],15,TRUE)</f>
        <v>High Risk</v>
      </c>
      <c r="AP1199" s="13">
        <f>VLOOKUP(tblCleanData[[#This Row],[EmployeeNumber]],tblHelpers[],14,0)</f>
        <v>85</v>
      </c>
    </row>
    <row r="1200" spans="1:42" x14ac:dyDescent="0.25">
      <c r="A1200" s="13">
        <v>33</v>
      </c>
      <c r="B1200" s="13" t="s">
        <v>59</v>
      </c>
      <c r="C1200" s="13" t="s">
        <v>161</v>
      </c>
      <c r="D1200" s="13">
        <v>530</v>
      </c>
      <c r="E1200" s="13" t="s">
        <v>39</v>
      </c>
      <c r="F1200" s="13">
        <v>16</v>
      </c>
      <c r="G1200" s="13">
        <v>3</v>
      </c>
      <c r="H1200" s="13" t="s">
        <v>42</v>
      </c>
      <c r="I1200" s="13">
        <v>1</v>
      </c>
      <c r="J1200" s="13">
        <v>1681</v>
      </c>
      <c r="K1200" s="13">
        <v>3</v>
      </c>
      <c r="L1200" s="13" t="s">
        <v>43</v>
      </c>
      <c r="M1200" s="13">
        <v>36</v>
      </c>
      <c r="N1200" s="13">
        <v>3</v>
      </c>
      <c r="O1200" s="13">
        <v>2</v>
      </c>
      <c r="P1200" s="13" t="s">
        <v>46</v>
      </c>
      <c r="Q1200" s="13">
        <v>4</v>
      </c>
      <c r="R1200" s="13" t="s">
        <v>109</v>
      </c>
      <c r="S1200" s="20">
        <v>5368</v>
      </c>
      <c r="T1200" s="13">
        <v>16130</v>
      </c>
      <c r="U1200" s="13">
        <v>1</v>
      </c>
      <c r="V1200" s="13" t="s">
        <v>52</v>
      </c>
      <c r="W1200" s="13" t="s">
        <v>36</v>
      </c>
      <c r="X1200" s="13">
        <v>25</v>
      </c>
      <c r="Y1200" s="13">
        <v>4</v>
      </c>
      <c r="Z1200" s="13">
        <v>3</v>
      </c>
      <c r="AA1200" s="13">
        <v>80</v>
      </c>
      <c r="AB1200" s="13">
        <v>1</v>
      </c>
      <c r="AC1200" s="13">
        <v>7</v>
      </c>
      <c r="AD1200" s="13">
        <v>2</v>
      </c>
      <c r="AE1200" s="13">
        <v>3</v>
      </c>
      <c r="AF1200" s="14">
        <v>6</v>
      </c>
      <c r="AG1200" s="13">
        <v>5</v>
      </c>
      <c r="AH1200" s="13">
        <v>1</v>
      </c>
      <c r="AI1200" s="13">
        <v>2</v>
      </c>
      <c r="AJ1200" s="13" t="str">
        <f t="shared" si="18"/>
        <v>30-39</v>
      </c>
      <c r="AK1200" s="13" t="str">
        <f>IF(tblCleanData[[#This Row],[MonthlyIncome]]&lt;5000, "Low Income", IF(tblCleanData[[#This Row],[MonthlyIncome]]&lt;15000, "Medium Income", "High Income"))</f>
        <v>Medium Income</v>
      </c>
      <c r="AL1200" s="13">
        <f>IF(tblCleanData[[#This Row],[Attrition]]="No", 0,1)</f>
        <v>0</v>
      </c>
      <c r="AM1200" s="13">
        <f>IF(tblCleanData[[#This Row],[OverTime]] = "No", 0, 1)</f>
        <v>1</v>
      </c>
      <c r="AN1200" s="13" t="str">
        <f>CHOOSE(tblCleanData[[#This Row],[Education]], "Below College","College","Bachelor","Master","Doctor")</f>
        <v>Bachelor</v>
      </c>
      <c r="AO1200" s="13" t="str">
        <f>VLOOKUP(tblCleanData[[#This Row],[EmployeeNumber]],tblHelpers[],15,TRUE)</f>
        <v>High Risk</v>
      </c>
      <c r="AP1200" s="13">
        <f>VLOOKUP(tblCleanData[[#This Row],[EmployeeNumber]],tblHelpers[],14,0)</f>
        <v>64</v>
      </c>
    </row>
    <row r="1201" spans="1:42" x14ac:dyDescent="0.25">
      <c r="A1201" s="13">
        <v>36</v>
      </c>
      <c r="B1201" s="13" t="s">
        <v>59</v>
      </c>
      <c r="C1201" s="13" t="s">
        <v>37</v>
      </c>
      <c r="D1201" s="13">
        <v>1351</v>
      </c>
      <c r="E1201" s="13" t="s">
        <v>62</v>
      </c>
      <c r="F1201" s="13">
        <v>26</v>
      </c>
      <c r="G1201" s="13">
        <v>4</v>
      </c>
      <c r="H1201" s="13" t="s">
        <v>42</v>
      </c>
      <c r="I1201" s="13">
        <v>1</v>
      </c>
      <c r="J1201" s="13">
        <v>1682</v>
      </c>
      <c r="K1201" s="13">
        <v>1</v>
      </c>
      <c r="L1201" s="13" t="s">
        <v>63</v>
      </c>
      <c r="M1201" s="13">
        <v>80</v>
      </c>
      <c r="N1201" s="13">
        <v>3</v>
      </c>
      <c r="O1201" s="13">
        <v>2</v>
      </c>
      <c r="P1201" s="13" t="s">
        <v>122</v>
      </c>
      <c r="Q1201" s="13">
        <v>3</v>
      </c>
      <c r="R1201" s="13" t="s">
        <v>66</v>
      </c>
      <c r="S1201" s="20">
        <v>5347</v>
      </c>
      <c r="T1201" s="13">
        <v>7419</v>
      </c>
      <c r="U1201" s="13">
        <v>6</v>
      </c>
      <c r="V1201" s="13" t="s">
        <v>52</v>
      </c>
      <c r="W1201" s="13" t="s">
        <v>59</v>
      </c>
      <c r="X1201" s="13">
        <v>14</v>
      </c>
      <c r="Y1201" s="13">
        <v>3</v>
      </c>
      <c r="Z1201" s="13">
        <v>2</v>
      </c>
      <c r="AA1201" s="13">
        <v>80</v>
      </c>
      <c r="AB1201" s="13">
        <v>2</v>
      </c>
      <c r="AC1201" s="13">
        <v>10</v>
      </c>
      <c r="AD1201" s="13">
        <v>2</v>
      </c>
      <c r="AE1201" s="13">
        <v>2</v>
      </c>
      <c r="AF1201" s="14">
        <v>3</v>
      </c>
      <c r="AG1201" s="13">
        <v>2</v>
      </c>
      <c r="AH1201" s="13">
        <v>0</v>
      </c>
      <c r="AI1201" s="13">
        <v>2</v>
      </c>
      <c r="AJ1201" s="13" t="str">
        <f t="shared" si="18"/>
        <v>30-39</v>
      </c>
      <c r="AK1201" s="13" t="str">
        <f>IF(tblCleanData[[#This Row],[MonthlyIncome]]&lt;5000, "Low Income", IF(tblCleanData[[#This Row],[MonthlyIncome]]&lt;15000, "Medium Income", "High Income"))</f>
        <v>Medium Income</v>
      </c>
      <c r="AL1201" s="13">
        <f>IF(tblCleanData[[#This Row],[Attrition]]="No", 0,1)</f>
        <v>0</v>
      </c>
      <c r="AM1201" s="13">
        <f>IF(tblCleanData[[#This Row],[OverTime]] = "No", 0, 1)</f>
        <v>0</v>
      </c>
      <c r="AN1201" s="13" t="str">
        <f>CHOOSE(tblCleanData[[#This Row],[Education]], "Below College","College","Bachelor","Master","Doctor")</f>
        <v>Master</v>
      </c>
      <c r="AO1201" s="13" t="str">
        <f>VLOOKUP(tblCleanData[[#This Row],[EmployeeNumber]],tblHelpers[],15,TRUE)</f>
        <v>Medium Risk</v>
      </c>
      <c r="AP1201" s="13">
        <f>VLOOKUP(tblCleanData[[#This Row],[EmployeeNumber]],tblHelpers[],14,0)</f>
        <v>53</v>
      </c>
    </row>
    <row r="1202" spans="1:42" x14ac:dyDescent="0.25">
      <c r="A1202" s="13">
        <v>44</v>
      </c>
      <c r="B1202" s="13" t="s">
        <v>59</v>
      </c>
      <c r="C1202" s="13" t="s">
        <v>37</v>
      </c>
      <c r="D1202" s="13">
        <v>528</v>
      </c>
      <c r="E1202" s="13" t="s">
        <v>397</v>
      </c>
      <c r="F1202" s="13">
        <v>1</v>
      </c>
      <c r="G1202" s="13">
        <v>3</v>
      </c>
      <c r="H1202" s="13" t="s">
        <v>42</v>
      </c>
      <c r="I1202" s="13">
        <v>1</v>
      </c>
      <c r="J1202" s="13">
        <v>1683</v>
      </c>
      <c r="K1202" s="13">
        <v>3</v>
      </c>
      <c r="L1202" s="13" t="s">
        <v>43</v>
      </c>
      <c r="M1202" s="13">
        <v>44</v>
      </c>
      <c r="N1202" s="13">
        <v>3</v>
      </c>
      <c r="O1202" s="13">
        <v>1</v>
      </c>
      <c r="P1202" s="13" t="s">
        <v>397</v>
      </c>
      <c r="Q1202" s="13">
        <v>4</v>
      </c>
      <c r="R1202" s="13" t="s">
        <v>109</v>
      </c>
      <c r="S1202" s="20">
        <v>3195</v>
      </c>
      <c r="T1202" s="13">
        <v>4167</v>
      </c>
      <c r="U1202" s="13">
        <v>4</v>
      </c>
      <c r="V1202" s="13" t="s">
        <v>52</v>
      </c>
      <c r="W1202" s="13" t="s">
        <v>36</v>
      </c>
      <c r="X1202" s="13">
        <v>18</v>
      </c>
      <c r="Y1202" s="13">
        <v>3</v>
      </c>
      <c r="Z1202" s="13">
        <v>1</v>
      </c>
      <c r="AA1202" s="13">
        <v>80</v>
      </c>
      <c r="AB1202" s="13">
        <v>3</v>
      </c>
      <c r="AC1202" s="13">
        <v>8</v>
      </c>
      <c r="AD1202" s="13">
        <v>2</v>
      </c>
      <c r="AE1202" s="13">
        <v>3</v>
      </c>
      <c r="AF1202" s="14">
        <v>2</v>
      </c>
      <c r="AG1202" s="13">
        <v>2</v>
      </c>
      <c r="AH1202" s="13">
        <v>2</v>
      </c>
      <c r="AI1202" s="13">
        <v>2</v>
      </c>
      <c r="AJ1202" s="13" t="str">
        <f t="shared" si="18"/>
        <v>40-49</v>
      </c>
      <c r="AK1202" s="13" t="str">
        <f>IF(tblCleanData[[#This Row],[MonthlyIncome]]&lt;5000, "Low Income", IF(tblCleanData[[#This Row],[MonthlyIncome]]&lt;15000, "Medium Income", "High Income"))</f>
        <v>Low Income</v>
      </c>
      <c r="AL1202" s="13">
        <f>IF(tblCleanData[[#This Row],[Attrition]]="No", 0,1)</f>
        <v>0</v>
      </c>
      <c r="AM1202" s="13">
        <f>IF(tblCleanData[[#This Row],[OverTime]] = "No", 0, 1)</f>
        <v>1</v>
      </c>
      <c r="AN1202" s="13" t="str">
        <f>CHOOSE(tblCleanData[[#This Row],[Education]], "Below College","College","Bachelor","Master","Doctor")</f>
        <v>Bachelor</v>
      </c>
      <c r="AO1202" s="13" t="str">
        <f>VLOOKUP(tblCleanData[[#This Row],[EmployeeNumber]],tblHelpers[],15,TRUE)</f>
        <v>High Risk</v>
      </c>
      <c r="AP1202" s="13">
        <f>VLOOKUP(tblCleanData[[#This Row],[EmployeeNumber]],tblHelpers[],14,0)</f>
        <v>71</v>
      </c>
    </row>
    <row r="1203" spans="1:42" x14ac:dyDescent="0.25">
      <c r="A1203" s="13">
        <v>23</v>
      </c>
      <c r="B1203" s="13" t="s">
        <v>36</v>
      </c>
      <c r="C1203" s="13" t="s">
        <v>37</v>
      </c>
      <c r="D1203" s="13">
        <v>1320</v>
      </c>
      <c r="E1203" s="13" t="s">
        <v>62</v>
      </c>
      <c r="F1203" s="13">
        <v>8</v>
      </c>
      <c r="G1203" s="13">
        <v>1</v>
      </c>
      <c r="H1203" s="13" t="s">
        <v>87</v>
      </c>
      <c r="I1203" s="13">
        <v>1</v>
      </c>
      <c r="J1203" s="13">
        <v>1684</v>
      </c>
      <c r="K1203" s="13">
        <v>4</v>
      </c>
      <c r="L1203" s="13" t="s">
        <v>63</v>
      </c>
      <c r="M1203" s="13">
        <v>93</v>
      </c>
      <c r="N1203" s="13">
        <v>2</v>
      </c>
      <c r="O1203" s="13">
        <v>1</v>
      </c>
      <c r="P1203" s="13" t="s">
        <v>76</v>
      </c>
      <c r="Q1203" s="13">
        <v>3</v>
      </c>
      <c r="R1203" s="13" t="s">
        <v>48</v>
      </c>
      <c r="S1203" s="20">
        <v>3989</v>
      </c>
      <c r="T1203" s="13">
        <v>20586</v>
      </c>
      <c r="U1203" s="13">
        <v>1</v>
      </c>
      <c r="V1203" s="13" t="s">
        <v>52</v>
      </c>
      <c r="W1203" s="13" t="s">
        <v>36</v>
      </c>
      <c r="X1203" s="13">
        <v>11</v>
      </c>
      <c r="Y1203" s="13">
        <v>3</v>
      </c>
      <c r="Z1203" s="13">
        <v>1</v>
      </c>
      <c r="AA1203" s="13">
        <v>80</v>
      </c>
      <c r="AB1203" s="13">
        <v>0</v>
      </c>
      <c r="AC1203" s="13">
        <v>5</v>
      </c>
      <c r="AD1203" s="13">
        <v>2</v>
      </c>
      <c r="AE1203" s="13">
        <v>3</v>
      </c>
      <c r="AF1203" s="14">
        <v>5</v>
      </c>
      <c r="AG1203" s="13">
        <v>4</v>
      </c>
      <c r="AH1203" s="13">
        <v>1</v>
      </c>
      <c r="AI1203" s="13">
        <v>2</v>
      </c>
      <c r="AJ1203" s="13" t="str">
        <f t="shared" si="18"/>
        <v>Under 30</v>
      </c>
      <c r="AK1203" s="13" t="str">
        <f>IF(tblCleanData[[#This Row],[MonthlyIncome]]&lt;5000, "Low Income", IF(tblCleanData[[#This Row],[MonthlyIncome]]&lt;15000, "Medium Income", "High Income"))</f>
        <v>Low Income</v>
      </c>
      <c r="AL1203" s="13">
        <f>IF(tblCleanData[[#This Row],[Attrition]]="No", 0,1)</f>
        <v>1</v>
      </c>
      <c r="AM1203" s="13">
        <f>IF(tblCleanData[[#This Row],[OverTime]] = "No", 0, 1)</f>
        <v>1</v>
      </c>
      <c r="AN1203" s="13" t="str">
        <f>CHOOSE(tblCleanData[[#This Row],[Education]], "Below College","College","Bachelor","Master","Doctor")</f>
        <v>Below College</v>
      </c>
      <c r="AO1203" s="13" t="str">
        <f>VLOOKUP(tblCleanData[[#This Row],[EmployeeNumber]],tblHelpers[],15,TRUE)</f>
        <v>High Risk</v>
      </c>
      <c r="AP1203" s="13">
        <f>VLOOKUP(tblCleanData[[#This Row],[EmployeeNumber]],tblHelpers[],14,0)</f>
        <v>88</v>
      </c>
    </row>
    <row r="1204" spans="1:42" x14ac:dyDescent="0.25">
      <c r="A1204" s="13">
        <v>38</v>
      </c>
      <c r="B1204" s="13" t="s">
        <v>59</v>
      </c>
      <c r="C1204" s="13" t="s">
        <v>37</v>
      </c>
      <c r="D1204" s="13">
        <v>1495</v>
      </c>
      <c r="E1204" s="13" t="s">
        <v>62</v>
      </c>
      <c r="F1204" s="13">
        <v>4</v>
      </c>
      <c r="G1204" s="13">
        <v>2</v>
      </c>
      <c r="H1204" s="13" t="s">
        <v>87</v>
      </c>
      <c r="I1204" s="13">
        <v>1</v>
      </c>
      <c r="J1204" s="13">
        <v>1687</v>
      </c>
      <c r="K1204" s="13">
        <v>4</v>
      </c>
      <c r="L1204" s="13" t="s">
        <v>43</v>
      </c>
      <c r="M1204" s="13">
        <v>87</v>
      </c>
      <c r="N1204" s="13">
        <v>3</v>
      </c>
      <c r="O1204" s="13">
        <v>1</v>
      </c>
      <c r="P1204" s="13" t="s">
        <v>76</v>
      </c>
      <c r="Q1204" s="13">
        <v>3</v>
      </c>
      <c r="R1204" s="13" t="s">
        <v>66</v>
      </c>
      <c r="S1204" s="20">
        <v>3306</v>
      </c>
      <c r="T1204" s="13">
        <v>26176</v>
      </c>
      <c r="U1204" s="13">
        <v>7</v>
      </c>
      <c r="V1204" s="13" t="s">
        <v>52</v>
      </c>
      <c r="W1204" s="13" t="s">
        <v>59</v>
      </c>
      <c r="X1204" s="13">
        <v>19</v>
      </c>
      <c r="Y1204" s="13">
        <v>3</v>
      </c>
      <c r="Z1204" s="13">
        <v>4</v>
      </c>
      <c r="AA1204" s="13">
        <v>80</v>
      </c>
      <c r="AB1204" s="13">
        <v>1</v>
      </c>
      <c r="AC1204" s="13">
        <v>7</v>
      </c>
      <c r="AD1204" s="13">
        <v>5</v>
      </c>
      <c r="AE1204" s="13">
        <v>2</v>
      </c>
      <c r="AF1204" s="14">
        <v>0</v>
      </c>
      <c r="AG1204" s="13">
        <v>0</v>
      </c>
      <c r="AH1204" s="13">
        <v>0</v>
      </c>
      <c r="AI1204" s="13">
        <v>0</v>
      </c>
      <c r="AJ1204" s="13" t="str">
        <f t="shared" si="18"/>
        <v>30-39</v>
      </c>
      <c r="AK1204" s="13" t="str">
        <f>IF(tblCleanData[[#This Row],[MonthlyIncome]]&lt;5000, "Low Income", IF(tblCleanData[[#This Row],[MonthlyIncome]]&lt;15000, "Medium Income", "High Income"))</f>
        <v>Low Income</v>
      </c>
      <c r="AL1204" s="13">
        <f>IF(tblCleanData[[#This Row],[Attrition]]="No", 0,1)</f>
        <v>0</v>
      </c>
      <c r="AM1204" s="13">
        <f>IF(tblCleanData[[#This Row],[OverTime]] = "No", 0, 1)</f>
        <v>0</v>
      </c>
      <c r="AN1204" s="13" t="str">
        <f>CHOOSE(tblCleanData[[#This Row],[Education]], "Below College","College","Bachelor","Master","Doctor")</f>
        <v>College</v>
      </c>
      <c r="AO1204" s="13" t="str">
        <f>VLOOKUP(tblCleanData[[#This Row],[EmployeeNumber]],tblHelpers[],15,TRUE)</f>
        <v>High Risk</v>
      </c>
      <c r="AP1204" s="13">
        <f>VLOOKUP(tblCleanData[[#This Row],[EmployeeNumber]],tblHelpers[],14,0)</f>
        <v>63</v>
      </c>
    </row>
    <row r="1205" spans="1:42" x14ac:dyDescent="0.25">
      <c r="A1205" s="13">
        <v>53</v>
      </c>
      <c r="B1205" s="13" t="s">
        <v>59</v>
      </c>
      <c r="C1205" s="13" t="s">
        <v>37</v>
      </c>
      <c r="D1205" s="13">
        <v>1395</v>
      </c>
      <c r="E1205" s="13" t="s">
        <v>62</v>
      </c>
      <c r="F1205" s="13">
        <v>24</v>
      </c>
      <c r="G1205" s="13">
        <v>4</v>
      </c>
      <c r="H1205" s="13" t="s">
        <v>87</v>
      </c>
      <c r="I1205" s="13">
        <v>1</v>
      </c>
      <c r="J1205" s="13">
        <v>1689</v>
      </c>
      <c r="K1205" s="13">
        <v>2</v>
      </c>
      <c r="L1205" s="13" t="s">
        <v>63</v>
      </c>
      <c r="M1205" s="13">
        <v>48</v>
      </c>
      <c r="N1205" s="13">
        <v>4</v>
      </c>
      <c r="O1205" s="13">
        <v>3</v>
      </c>
      <c r="P1205" s="13" t="s">
        <v>122</v>
      </c>
      <c r="Q1205" s="13">
        <v>4</v>
      </c>
      <c r="R1205" s="13" t="s">
        <v>66</v>
      </c>
      <c r="S1205" s="20">
        <v>7005</v>
      </c>
      <c r="T1205" s="13">
        <v>3458</v>
      </c>
      <c r="U1205" s="13">
        <v>3</v>
      </c>
      <c r="V1205" s="13" t="s">
        <v>52</v>
      </c>
      <c r="W1205" s="13" t="s">
        <v>59</v>
      </c>
      <c r="X1205" s="13">
        <v>15</v>
      </c>
      <c r="Y1205" s="13">
        <v>3</v>
      </c>
      <c r="Z1205" s="13">
        <v>3</v>
      </c>
      <c r="AA1205" s="13">
        <v>80</v>
      </c>
      <c r="AB1205" s="13">
        <v>0</v>
      </c>
      <c r="AC1205" s="13">
        <v>11</v>
      </c>
      <c r="AD1205" s="13">
        <v>2</v>
      </c>
      <c r="AE1205" s="13">
        <v>3</v>
      </c>
      <c r="AF1205" s="14">
        <v>4</v>
      </c>
      <c r="AG1205" s="13">
        <v>3</v>
      </c>
      <c r="AH1205" s="13">
        <v>1</v>
      </c>
      <c r="AI1205" s="13">
        <v>2</v>
      </c>
      <c r="AJ1205" s="13" t="str">
        <f t="shared" si="18"/>
        <v>50+</v>
      </c>
      <c r="AK1205" s="13" t="str">
        <f>IF(tblCleanData[[#This Row],[MonthlyIncome]]&lt;5000, "Low Income", IF(tblCleanData[[#This Row],[MonthlyIncome]]&lt;15000, "Medium Income", "High Income"))</f>
        <v>Medium Income</v>
      </c>
      <c r="AL1205" s="13">
        <f>IF(tblCleanData[[#This Row],[Attrition]]="No", 0,1)</f>
        <v>0</v>
      </c>
      <c r="AM1205" s="13">
        <f>IF(tblCleanData[[#This Row],[OverTime]] = "No", 0, 1)</f>
        <v>0</v>
      </c>
      <c r="AN1205" s="13" t="str">
        <f>CHOOSE(tblCleanData[[#This Row],[Education]], "Below College","College","Bachelor","Master","Doctor")</f>
        <v>Master</v>
      </c>
      <c r="AO1205" s="13" t="str">
        <f>VLOOKUP(tblCleanData[[#This Row],[EmployeeNumber]],tblHelpers[],15,TRUE)</f>
        <v>Medium Risk</v>
      </c>
      <c r="AP1205" s="13">
        <f>VLOOKUP(tblCleanData[[#This Row],[EmployeeNumber]],tblHelpers[],14,0)</f>
        <v>41</v>
      </c>
    </row>
    <row r="1206" spans="1:42" x14ac:dyDescent="0.25">
      <c r="A1206" s="13">
        <v>48</v>
      </c>
      <c r="B1206" s="13" t="s">
        <v>36</v>
      </c>
      <c r="C1206" s="13" t="s">
        <v>60</v>
      </c>
      <c r="D1206" s="13">
        <v>708</v>
      </c>
      <c r="E1206" s="13" t="s">
        <v>39</v>
      </c>
      <c r="F1206" s="13">
        <v>7</v>
      </c>
      <c r="G1206" s="13">
        <v>2</v>
      </c>
      <c r="H1206" s="13" t="s">
        <v>87</v>
      </c>
      <c r="I1206" s="13">
        <v>1</v>
      </c>
      <c r="J1206" s="13">
        <v>1691</v>
      </c>
      <c r="K1206" s="13">
        <v>4</v>
      </c>
      <c r="L1206" s="13" t="s">
        <v>43</v>
      </c>
      <c r="M1206" s="13">
        <v>95</v>
      </c>
      <c r="N1206" s="13">
        <v>3</v>
      </c>
      <c r="O1206" s="13">
        <v>1</v>
      </c>
      <c r="P1206" s="13" t="s">
        <v>182</v>
      </c>
      <c r="Q1206" s="13">
        <v>3</v>
      </c>
      <c r="R1206" s="13" t="s">
        <v>66</v>
      </c>
      <c r="S1206" s="20">
        <v>2655</v>
      </c>
      <c r="T1206" s="13">
        <v>11740</v>
      </c>
      <c r="U1206" s="13">
        <v>2</v>
      </c>
      <c r="V1206" s="13" t="s">
        <v>52</v>
      </c>
      <c r="W1206" s="13" t="s">
        <v>36</v>
      </c>
      <c r="X1206" s="13">
        <v>11</v>
      </c>
      <c r="Y1206" s="13">
        <v>3</v>
      </c>
      <c r="Z1206" s="13">
        <v>3</v>
      </c>
      <c r="AA1206" s="13">
        <v>80</v>
      </c>
      <c r="AB1206" s="13">
        <v>2</v>
      </c>
      <c r="AC1206" s="13">
        <v>19</v>
      </c>
      <c r="AD1206" s="13">
        <v>3</v>
      </c>
      <c r="AE1206" s="13">
        <v>3</v>
      </c>
      <c r="AF1206" s="14">
        <v>9</v>
      </c>
      <c r="AG1206" s="13">
        <v>7</v>
      </c>
      <c r="AH1206" s="13">
        <v>7</v>
      </c>
      <c r="AI1206" s="13">
        <v>7</v>
      </c>
      <c r="AJ1206" s="13" t="str">
        <f t="shared" si="18"/>
        <v>40-49</v>
      </c>
      <c r="AK1206" s="13" t="str">
        <f>IF(tblCleanData[[#This Row],[MonthlyIncome]]&lt;5000, "Low Income", IF(tblCleanData[[#This Row],[MonthlyIncome]]&lt;15000, "Medium Income", "High Income"))</f>
        <v>Low Income</v>
      </c>
      <c r="AL1206" s="13">
        <f>IF(tblCleanData[[#This Row],[Attrition]]="No", 0,1)</f>
        <v>1</v>
      </c>
      <c r="AM1206" s="13">
        <f>IF(tblCleanData[[#This Row],[OverTime]] = "No", 0, 1)</f>
        <v>1</v>
      </c>
      <c r="AN1206" s="13" t="str">
        <f>CHOOSE(tblCleanData[[#This Row],[Education]], "Below College","College","Bachelor","Master","Doctor")</f>
        <v>College</v>
      </c>
      <c r="AO1206" s="13" t="str">
        <f>VLOOKUP(tblCleanData[[#This Row],[EmployeeNumber]],tblHelpers[],15,TRUE)</f>
        <v>High Risk</v>
      </c>
      <c r="AP1206" s="13">
        <f>VLOOKUP(tblCleanData[[#This Row],[EmployeeNumber]],tblHelpers[],14,0)</f>
        <v>61</v>
      </c>
    </row>
    <row r="1207" spans="1:42" x14ac:dyDescent="0.25">
      <c r="A1207" s="13">
        <v>32</v>
      </c>
      <c r="B1207" s="13" t="s">
        <v>36</v>
      </c>
      <c r="C1207" s="13" t="s">
        <v>37</v>
      </c>
      <c r="D1207" s="13">
        <v>1259</v>
      </c>
      <c r="E1207" s="13" t="s">
        <v>62</v>
      </c>
      <c r="F1207" s="13">
        <v>2</v>
      </c>
      <c r="G1207" s="13">
        <v>4</v>
      </c>
      <c r="H1207" s="13" t="s">
        <v>42</v>
      </c>
      <c r="I1207" s="13">
        <v>1</v>
      </c>
      <c r="J1207" s="13">
        <v>1692</v>
      </c>
      <c r="K1207" s="13">
        <v>4</v>
      </c>
      <c r="L1207" s="13" t="s">
        <v>63</v>
      </c>
      <c r="M1207" s="13">
        <v>95</v>
      </c>
      <c r="N1207" s="13">
        <v>3</v>
      </c>
      <c r="O1207" s="13">
        <v>1</v>
      </c>
      <c r="P1207" s="13" t="s">
        <v>76</v>
      </c>
      <c r="Q1207" s="13">
        <v>2</v>
      </c>
      <c r="R1207" s="13" t="s">
        <v>48</v>
      </c>
      <c r="S1207" s="20">
        <v>1393</v>
      </c>
      <c r="T1207" s="13">
        <v>24852</v>
      </c>
      <c r="U1207" s="13">
        <v>1</v>
      </c>
      <c r="V1207" s="13" t="s">
        <v>52</v>
      </c>
      <c r="W1207" s="13" t="s">
        <v>59</v>
      </c>
      <c r="X1207" s="13">
        <v>12</v>
      </c>
      <c r="Y1207" s="13">
        <v>3</v>
      </c>
      <c r="Z1207" s="13">
        <v>1</v>
      </c>
      <c r="AA1207" s="13">
        <v>80</v>
      </c>
      <c r="AB1207" s="13">
        <v>0</v>
      </c>
      <c r="AC1207" s="13">
        <v>1</v>
      </c>
      <c r="AD1207" s="13">
        <v>2</v>
      </c>
      <c r="AE1207" s="13">
        <v>3</v>
      </c>
      <c r="AF1207" s="14">
        <v>1</v>
      </c>
      <c r="AG1207" s="13">
        <v>0</v>
      </c>
      <c r="AH1207" s="13">
        <v>0</v>
      </c>
      <c r="AI1207" s="13">
        <v>0</v>
      </c>
      <c r="AJ1207" s="13" t="str">
        <f t="shared" si="18"/>
        <v>30-39</v>
      </c>
      <c r="AK1207" s="13" t="str">
        <f>IF(tblCleanData[[#This Row],[MonthlyIncome]]&lt;5000, "Low Income", IF(tblCleanData[[#This Row],[MonthlyIncome]]&lt;15000, "Medium Income", "High Income"))</f>
        <v>Low Income</v>
      </c>
      <c r="AL1207" s="13">
        <f>IF(tblCleanData[[#This Row],[Attrition]]="No", 0,1)</f>
        <v>1</v>
      </c>
      <c r="AM1207" s="13">
        <f>IF(tblCleanData[[#This Row],[OverTime]] = "No", 0, 1)</f>
        <v>0</v>
      </c>
      <c r="AN1207" s="13" t="str">
        <f>CHOOSE(tblCleanData[[#This Row],[Education]], "Below College","College","Bachelor","Master","Doctor")</f>
        <v>Master</v>
      </c>
      <c r="AO1207" s="13" t="str">
        <f>VLOOKUP(tblCleanData[[#This Row],[EmployeeNumber]],tblHelpers[],15,TRUE)</f>
        <v>High Risk</v>
      </c>
      <c r="AP1207" s="13">
        <f>VLOOKUP(tblCleanData[[#This Row],[EmployeeNumber]],tblHelpers[],14,0)</f>
        <v>69</v>
      </c>
    </row>
    <row r="1208" spans="1:42" x14ac:dyDescent="0.25">
      <c r="A1208" s="13">
        <v>26</v>
      </c>
      <c r="B1208" s="13" t="s">
        <v>59</v>
      </c>
      <c r="C1208" s="13" t="s">
        <v>161</v>
      </c>
      <c r="D1208" s="13">
        <v>786</v>
      </c>
      <c r="E1208" s="13" t="s">
        <v>62</v>
      </c>
      <c r="F1208" s="13">
        <v>7</v>
      </c>
      <c r="G1208" s="13">
        <v>3</v>
      </c>
      <c r="H1208" s="13" t="s">
        <v>87</v>
      </c>
      <c r="I1208" s="13">
        <v>1</v>
      </c>
      <c r="J1208" s="13">
        <v>1693</v>
      </c>
      <c r="K1208" s="13">
        <v>4</v>
      </c>
      <c r="L1208" s="13" t="s">
        <v>63</v>
      </c>
      <c r="M1208" s="13">
        <v>76</v>
      </c>
      <c r="N1208" s="13">
        <v>3</v>
      </c>
      <c r="O1208" s="13">
        <v>1</v>
      </c>
      <c r="P1208" s="13" t="s">
        <v>76</v>
      </c>
      <c r="Q1208" s="13">
        <v>4</v>
      </c>
      <c r="R1208" s="13" t="s">
        <v>48</v>
      </c>
      <c r="S1208" s="20">
        <v>2570</v>
      </c>
      <c r="T1208" s="13">
        <v>11925</v>
      </c>
      <c r="U1208" s="13">
        <v>1</v>
      </c>
      <c r="V1208" s="13" t="s">
        <v>52</v>
      </c>
      <c r="W1208" s="13" t="s">
        <v>59</v>
      </c>
      <c r="X1208" s="13">
        <v>20</v>
      </c>
      <c r="Y1208" s="13">
        <v>4</v>
      </c>
      <c r="Z1208" s="13">
        <v>3</v>
      </c>
      <c r="AA1208" s="13">
        <v>80</v>
      </c>
      <c r="AB1208" s="13">
        <v>0</v>
      </c>
      <c r="AC1208" s="13">
        <v>7</v>
      </c>
      <c r="AD1208" s="13">
        <v>5</v>
      </c>
      <c r="AE1208" s="13">
        <v>3</v>
      </c>
      <c r="AF1208" s="14">
        <v>7</v>
      </c>
      <c r="AG1208" s="13">
        <v>7</v>
      </c>
      <c r="AH1208" s="13">
        <v>5</v>
      </c>
      <c r="AI1208" s="13">
        <v>7</v>
      </c>
      <c r="AJ1208" s="13" t="str">
        <f t="shared" si="18"/>
        <v>Under 30</v>
      </c>
      <c r="AK1208" s="13" t="str">
        <f>IF(tblCleanData[[#This Row],[MonthlyIncome]]&lt;5000, "Low Income", IF(tblCleanData[[#This Row],[MonthlyIncome]]&lt;15000, "Medium Income", "High Income"))</f>
        <v>Low Income</v>
      </c>
      <c r="AL1208" s="13">
        <f>IF(tblCleanData[[#This Row],[Attrition]]="No", 0,1)</f>
        <v>0</v>
      </c>
      <c r="AM1208" s="13">
        <f>IF(tblCleanData[[#This Row],[OverTime]] = "No", 0, 1)</f>
        <v>0</v>
      </c>
      <c r="AN1208" s="13" t="str">
        <f>CHOOSE(tblCleanData[[#This Row],[Education]], "Below College","College","Bachelor","Master","Doctor")</f>
        <v>Bachelor</v>
      </c>
      <c r="AO1208" s="13" t="str">
        <f>VLOOKUP(tblCleanData[[#This Row],[EmployeeNumber]],tblHelpers[],15,TRUE)</f>
        <v>Medium Risk</v>
      </c>
      <c r="AP1208" s="13">
        <f>VLOOKUP(tblCleanData[[#This Row],[EmployeeNumber]],tblHelpers[],14,0)</f>
        <v>49</v>
      </c>
    </row>
    <row r="1209" spans="1:42" x14ac:dyDescent="0.25">
      <c r="A1209" s="13">
        <v>55</v>
      </c>
      <c r="B1209" s="13" t="s">
        <v>59</v>
      </c>
      <c r="C1209" s="13" t="s">
        <v>37</v>
      </c>
      <c r="D1209" s="13">
        <v>1441</v>
      </c>
      <c r="E1209" s="13" t="s">
        <v>62</v>
      </c>
      <c r="F1209" s="13">
        <v>22</v>
      </c>
      <c r="G1209" s="13">
        <v>3</v>
      </c>
      <c r="H1209" s="13" t="s">
        <v>228</v>
      </c>
      <c r="I1209" s="13">
        <v>1</v>
      </c>
      <c r="J1209" s="13">
        <v>1694</v>
      </c>
      <c r="K1209" s="13">
        <v>1</v>
      </c>
      <c r="L1209" s="13" t="s">
        <v>63</v>
      </c>
      <c r="M1209" s="13">
        <v>94</v>
      </c>
      <c r="N1209" s="13">
        <v>2</v>
      </c>
      <c r="O1209" s="13">
        <v>1</v>
      </c>
      <c r="P1209" s="13" t="s">
        <v>65</v>
      </c>
      <c r="Q1209" s="13">
        <v>2</v>
      </c>
      <c r="R1209" s="13" t="s">
        <v>109</v>
      </c>
      <c r="S1209" s="20">
        <v>3537</v>
      </c>
      <c r="T1209" s="13">
        <v>23737</v>
      </c>
      <c r="U1209" s="13">
        <v>5</v>
      </c>
      <c r="V1209" s="13" t="s">
        <v>52</v>
      </c>
      <c r="W1209" s="13" t="s">
        <v>59</v>
      </c>
      <c r="X1209" s="13">
        <v>12</v>
      </c>
      <c r="Y1209" s="13">
        <v>3</v>
      </c>
      <c r="Z1209" s="13">
        <v>4</v>
      </c>
      <c r="AA1209" s="13">
        <v>80</v>
      </c>
      <c r="AB1209" s="13">
        <v>1</v>
      </c>
      <c r="AC1209" s="13">
        <v>8</v>
      </c>
      <c r="AD1209" s="13">
        <v>1</v>
      </c>
      <c r="AE1209" s="13">
        <v>3</v>
      </c>
      <c r="AF1209" s="14">
        <v>4</v>
      </c>
      <c r="AG1209" s="13">
        <v>2</v>
      </c>
      <c r="AH1209" s="13">
        <v>1</v>
      </c>
      <c r="AI1209" s="13">
        <v>2</v>
      </c>
      <c r="AJ1209" s="13" t="str">
        <f t="shared" si="18"/>
        <v>50+</v>
      </c>
      <c r="AK1209" s="13" t="str">
        <f>IF(tblCleanData[[#This Row],[MonthlyIncome]]&lt;5000, "Low Income", IF(tblCleanData[[#This Row],[MonthlyIncome]]&lt;15000, "Medium Income", "High Income"))</f>
        <v>Low Income</v>
      </c>
      <c r="AL1209" s="13">
        <f>IF(tblCleanData[[#This Row],[Attrition]]="No", 0,1)</f>
        <v>0</v>
      </c>
      <c r="AM1209" s="13">
        <f>IF(tblCleanData[[#This Row],[OverTime]] = "No", 0, 1)</f>
        <v>0</v>
      </c>
      <c r="AN1209" s="13" t="str">
        <f>CHOOSE(tblCleanData[[#This Row],[Education]], "Below College","College","Bachelor","Master","Doctor")</f>
        <v>Bachelor</v>
      </c>
      <c r="AO1209" s="13" t="str">
        <f>VLOOKUP(tblCleanData[[#This Row],[EmployeeNumber]],tblHelpers[],15,TRUE)</f>
        <v>Medium Risk</v>
      </c>
      <c r="AP1209" s="13">
        <f>VLOOKUP(tblCleanData[[#This Row],[EmployeeNumber]],tblHelpers[],14,0)</f>
        <v>54</v>
      </c>
    </row>
    <row r="1210" spans="1:42" x14ac:dyDescent="0.25">
      <c r="A1210" s="13">
        <v>34</v>
      </c>
      <c r="B1210" s="13" t="s">
        <v>59</v>
      </c>
      <c r="C1210" s="13" t="s">
        <v>37</v>
      </c>
      <c r="D1210" s="13">
        <v>1157</v>
      </c>
      <c r="E1210" s="13" t="s">
        <v>62</v>
      </c>
      <c r="F1210" s="13">
        <v>5</v>
      </c>
      <c r="G1210" s="13">
        <v>2</v>
      </c>
      <c r="H1210" s="13" t="s">
        <v>87</v>
      </c>
      <c r="I1210" s="13">
        <v>1</v>
      </c>
      <c r="J1210" s="13">
        <v>1696</v>
      </c>
      <c r="K1210" s="13">
        <v>2</v>
      </c>
      <c r="L1210" s="13" t="s">
        <v>63</v>
      </c>
      <c r="M1210" s="13">
        <v>57</v>
      </c>
      <c r="N1210" s="13">
        <v>2</v>
      </c>
      <c r="O1210" s="13">
        <v>2</v>
      </c>
      <c r="P1210" s="13" t="s">
        <v>76</v>
      </c>
      <c r="Q1210" s="13">
        <v>4</v>
      </c>
      <c r="R1210" s="13" t="s">
        <v>66</v>
      </c>
      <c r="S1210" s="20">
        <v>3986</v>
      </c>
      <c r="T1210" s="13">
        <v>11912</v>
      </c>
      <c r="U1210" s="13">
        <v>1</v>
      </c>
      <c r="V1210" s="13" t="s">
        <v>52</v>
      </c>
      <c r="W1210" s="13" t="s">
        <v>59</v>
      </c>
      <c r="X1210" s="13">
        <v>14</v>
      </c>
      <c r="Y1210" s="13">
        <v>3</v>
      </c>
      <c r="Z1210" s="13">
        <v>3</v>
      </c>
      <c r="AA1210" s="13">
        <v>80</v>
      </c>
      <c r="AB1210" s="13">
        <v>1</v>
      </c>
      <c r="AC1210" s="13">
        <v>15</v>
      </c>
      <c r="AD1210" s="13">
        <v>3</v>
      </c>
      <c r="AE1210" s="13">
        <v>4</v>
      </c>
      <c r="AF1210" s="14">
        <v>15</v>
      </c>
      <c r="AG1210" s="13">
        <v>10</v>
      </c>
      <c r="AH1210" s="13">
        <v>4</v>
      </c>
      <c r="AI1210" s="13">
        <v>13</v>
      </c>
      <c r="AJ1210" s="13" t="str">
        <f t="shared" si="18"/>
        <v>30-39</v>
      </c>
      <c r="AK1210" s="13" t="str">
        <f>IF(tblCleanData[[#This Row],[MonthlyIncome]]&lt;5000, "Low Income", IF(tblCleanData[[#This Row],[MonthlyIncome]]&lt;15000, "Medium Income", "High Income"))</f>
        <v>Low Income</v>
      </c>
      <c r="AL1210" s="13">
        <f>IF(tblCleanData[[#This Row],[Attrition]]="No", 0,1)</f>
        <v>0</v>
      </c>
      <c r="AM1210" s="13">
        <f>IF(tblCleanData[[#This Row],[OverTime]] = "No", 0, 1)</f>
        <v>0</v>
      </c>
      <c r="AN1210" s="13" t="str">
        <f>CHOOSE(tblCleanData[[#This Row],[Education]], "Below College","College","Bachelor","Master","Doctor")</f>
        <v>College</v>
      </c>
      <c r="AO1210" s="13" t="str">
        <f>VLOOKUP(tblCleanData[[#This Row],[EmployeeNumber]],tblHelpers[],15,TRUE)</f>
        <v>Low Risk</v>
      </c>
      <c r="AP1210" s="13">
        <f>VLOOKUP(tblCleanData[[#This Row],[EmployeeNumber]],tblHelpers[],14,0)</f>
        <v>34</v>
      </c>
    </row>
    <row r="1211" spans="1:42" x14ac:dyDescent="0.25">
      <c r="A1211" s="13">
        <v>60</v>
      </c>
      <c r="B1211" s="13" t="s">
        <v>59</v>
      </c>
      <c r="C1211" s="13" t="s">
        <v>37</v>
      </c>
      <c r="D1211" s="13">
        <v>370</v>
      </c>
      <c r="E1211" s="13" t="s">
        <v>62</v>
      </c>
      <c r="F1211" s="13">
        <v>1</v>
      </c>
      <c r="G1211" s="13">
        <v>4</v>
      </c>
      <c r="H1211" s="13" t="s">
        <v>87</v>
      </c>
      <c r="I1211" s="13">
        <v>1</v>
      </c>
      <c r="J1211" s="13">
        <v>1697</v>
      </c>
      <c r="K1211" s="13">
        <v>3</v>
      </c>
      <c r="L1211" s="13" t="s">
        <v>63</v>
      </c>
      <c r="M1211" s="13">
        <v>92</v>
      </c>
      <c r="N1211" s="13">
        <v>1</v>
      </c>
      <c r="O1211" s="13">
        <v>3</v>
      </c>
      <c r="P1211" s="13" t="s">
        <v>122</v>
      </c>
      <c r="Q1211" s="13">
        <v>4</v>
      </c>
      <c r="R1211" s="13" t="s">
        <v>109</v>
      </c>
      <c r="S1211" s="20">
        <v>10883</v>
      </c>
      <c r="T1211" s="13">
        <v>20467</v>
      </c>
      <c r="U1211" s="13">
        <v>3</v>
      </c>
      <c r="V1211" s="13" t="s">
        <v>52</v>
      </c>
      <c r="W1211" s="13" t="s">
        <v>59</v>
      </c>
      <c r="X1211" s="13">
        <v>20</v>
      </c>
      <c r="Y1211" s="13">
        <v>4</v>
      </c>
      <c r="Z1211" s="13">
        <v>3</v>
      </c>
      <c r="AA1211" s="13">
        <v>80</v>
      </c>
      <c r="AB1211" s="13">
        <v>1</v>
      </c>
      <c r="AC1211" s="13">
        <v>19</v>
      </c>
      <c r="AD1211" s="13">
        <v>2</v>
      </c>
      <c r="AE1211" s="13">
        <v>4</v>
      </c>
      <c r="AF1211" s="14">
        <v>1</v>
      </c>
      <c r="AG1211" s="13">
        <v>0</v>
      </c>
      <c r="AH1211" s="13">
        <v>0</v>
      </c>
      <c r="AI1211" s="13">
        <v>0</v>
      </c>
      <c r="AJ1211" s="13" t="str">
        <f t="shared" si="18"/>
        <v>50+</v>
      </c>
      <c r="AK1211" s="13" t="str">
        <f>IF(tblCleanData[[#This Row],[MonthlyIncome]]&lt;5000, "Low Income", IF(tblCleanData[[#This Row],[MonthlyIncome]]&lt;15000, "Medium Income", "High Income"))</f>
        <v>Medium Income</v>
      </c>
      <c r="AL1211" s="13">
        <f>IF(tblCleanData[[#This Row],[Attrition]]="No", 0,1)</f>
        <v>0</v>
      </c>
      <c r="AM1211" s="13">
        <f>IF(tblCleanData[[#This Row],[OverTime]] = "No", 0, 1)</f>
        <v>0</v>
      </c>
      <c r="AN1211" s="13" t="str">
        <f>CHOOSE(tblCleanData[[#This Row],[Education]], "Below College","College","Bachelor","Master","Doctor")</f>
        <v>Master</v>
      </c>
      <c r="AO1211" s="13" t="str">
        <f>VLOOKUP(tblCleanData[[#This Row],[EmployeeNumber]],tblHelpers[],15,TRUE)</f>
        <v>Medium Risk</v>
      </c>
      <c r="AP1211" s="13">
        <f>VLOOKUP(tblCleanData[[#This Row],[EmployeeNumber]],tblHelpers[],14,0)</f>
        <v>51</v>
      </c>
    </row>
    <row r="1212" spans="1:42" x14ac:dyDescent="0.25">
      <c r="A1212" s="13">
        <v>33</v>
      </c>
      <c r="B1212" s="13" t="s">
        <v>59</v>
      </c>
      <c r="C1212" s="13" t="s">
        <v>37</v>
      </c>
      <c r="D1212" s="13">
        <v>267</v>
      </c>
      <c r="E1212" s="13" t="s">
        <v>62</v>
      </c>
      <c r="F1212" s="13">
        <v>21</v>
      </c>
      <c r="G1212" s="13">
        <v>3</v>
      </c>
      <c r="H1212" s="13" t="s">
        <v>87</v>
      </c>
      <c r="I1212" s="13">
        <v>1</v>
      </c>
      <c r="J1212" s="13">
        <v>1698</v>
      </c>
      <c r="K1212" s="13">
        <v>2</v>
      </c>
      <c r="L1212" s="13" t="s">
        <v>63</v>
      </c>
      <c r="M1212" s="13">
        <v>79</v>
      </c>
      <c r="N1212" s="13">
        <v>4</v>
      </c>
      <c r="O1212" s="13">
        <v>1</v>
      </c>
      <c r="P1212" s="13" t="s">
        <v>76</v>
      </c>
      <c r="Q1212" s="13">
        <v>2</v>
      </c>
      <c r="R1212" s="13" t="s">
        <v>66</v>
      </c>
      <c r="S1212" s="20">
        <v>2028</v>
      </c>
      <c r="T1212" s="13">
        <v>13637</v>
      </c>
      <c r="U1212" s="13">
        <v>1</v>
      </c>
      <c r="V1212" s="13" t="s">
        <v>52</v>
      </c>
      <c r="W1212" s="13" t="s">
        <v>59</v>
      </c>
      <c r="X1212" s="13">
        <v>18</v>
      </c>
      <c r="Y1212" s="13">
        <v>3</v>
      </c>
      <c r="Z1212" s="13">
        <v>4</v>
      </c>
      <c r="AA1212" s="13">
        <v>80</v>
      </c>
      <c r="AB1212" s="13">
        <v>3</v>
      </c>
      <c r="AC1212" s="13">
        <v>14</v>
      </c>
      <c r="AD1212" s="13">
        <v>6</v>
      </c>
      <c r="AE1212" s="13">
        <v>3</v>
      </c>
      <c r="AF1212" s="14">
        <v>14</v>
      </c>
      <c r="AG1212" s="13">
        <v>11</v>
      </c>
      <c r="AH1212" s="13">
        <v>2</v>
      </c>
      <c r="AI1212" s="13">
        <v>13</v>
      </c>
      <c r="AJ1212" s="13" t="str">
        <f t="shared" si="18"/>
        <v>30-39</v>
      </c>
      <c r="AK1212" s="13" t="str">
        <f>IF(tblCleanData[[#This Row],[MonthlyIncome]]&lt;5000, "Low Income", IF(tblCleanData[[#This Row],[MonthlyIncome]]&lt;15000, "Medium Income", "High Income"))</f>
        <v>Low Income</v>
      </c>
      <c r="AL1212" s="13">
        <f>IF(tblCleanData[[#This Row],[Attrition]]="No", 0,1)</f>
        <v>0</v>
      </c>
      <c r="AM1212" s="13">
        <f>IF(tblCleanData[[#This Row],[OverTime]] = "No", 0, 1)</f>
        <v>0</v>
      </c>
      <c r="AN1212" s="13" t="str">
        <f>CHOOSE(tblCleanData[[#This Row],[Education]], "Below College","College","Bachelor","Master","Doctor")</f>
        <v>Bachelor</v>
      </c>
      <c r="AO1212" s="13" t="str">
        <f>VLOOKUP(tblCleanData[[#This Row],[EmployeeNumber]],tblHelpers[],15,TRUE)</f>
        <v>Medium Risk</v>
      </c>
      <c r="AP1212" s="13">
        <f>VLOOKUP(tblCleanData[[#This Row],[EmployeeNumber]],tblHelpers[],14,0)</f>
        <v>47</v>
      </c>
    </row>
    <row r="1213" spans="1:42" x14ac:dyDescent="0.25">
      <c r="A1213" s="13">
        <v>37</v>
      </c>
      <c r="B1213" s="13" t="s">
        <v>59</v>
      </c>
      <c r="C1213" s="13" t="s">
        <v>60</v>
      </c>
      <c r="D1213" s="13">
        <v>1278</v>
      </c>
      <c r="E1213" s="13" t="s">
        <v>39</v>
      </c>
      <c r="F1213" s="13">
        <v>1</v>
      </c>
      <c r="G1213" s="13">
        <v>4</v>
      </c>
      <c r="H1213" s="13" t="s">
        <v>87</v>
      </c>
      <c r="I1213" s="13">
        <v>1</v>
      </c>
      <c r="J1213" s="13">
        <v>1700</v>
      </c>
      <c r="K1213" s="13">
        <v>3</v>
      </c>
      <c r="L1213" s="13" t="s">
        <v>63</v>
      </c>
      <c r="M1213" s="13">
        <v>31</v>
      </c>
      <c r="N1213" s="13">
        <v>1</v>
      </c>
      <c r="O1213" s="13">
        <v>2</v>
      </c>
      <c r="P1213" s="13" t="s">
        <v>46</v>
      </c>
      <c r="Q1213" s="13">
        <v>4</v>
      </c>
      <c r="R1213" s="13" t="s">
        <v>109</v>
      </c>
      <c r="S1213" s="20">
        <v>9525</v>
      </c>
      <c r="T1213" s="13">
        <v>7677</v>
      </c>
      <c r="U1213" s="13">
        <v>1</v>
      </c>
      <c r="V1213" s="13" t="s">
        <v>52</v>
      </c>
      <c r="W1213" s="13" t="s">
        <v>59</v>
      </c>
      <c r="X1213" s="13">
        <v>14</v>
      </c>
      <c r="Y1213" s="13">
        <v>3</v>
      </c>
      <c r="Z1213" s="13">
        <v>3</v>
      </c>
      <c r="AA1213" s="13">
        <v>80</v>
      </c>
      <c r="AB1213" s="13">
        <v>2</v>
      </c>
      <c r="AC1213" s="13">
        <v>6</v>
      </c>
      <c r="AD1213" s="13">
        <v>2</v>
      </c>
      <c r="AE1213" s="13">
        <v>2</v>
      </c>
      <c r="AF1213" s="14">
        <v>6</v>
      </c>
      <c r="AG1213" s="13">
        <v>3</v>
      </c>
      <c r="AH1213" s="13">
        <v>1</v>
      </c>
      <c r="AI1213" s="13">
        <v>3</v>
      </c>
      <c r="AJ1213" s="13" t="str">
        <f t="shared" si="18"/>
        <v>30-39</v>
      </c>
      <c r="AK1213" s="13" t="str">
        <f>IF(tblCleanData[[#This Row],[MonthlyIncome]]&lt;5000, "Low Income", IF(tblCleanData[[#This Row],[MonthlyIncome]]&lt;15000, "Medium Income", "High Income"))</f>
        <v>Medium Income</v>
      </c>
      <c r="AL1213" s="13">
        <f>IF(tblCleanData[[#This Row],[Attrition]]="No", 0,1)</f>
        <v>0</v>
      </c>
      <c r="AM1213" s="13">
        <f>IF(tblCleanData[[#This Row],[OverTime]] = "No", 0, 1)</f>
        <v>0</v>
      </c>
      <c r="AN1213" s="13" t="str">
        <f>CHOOSE(tblCleanData[[#This Row],[Education]], "Below College","College","Bachelor","Master","Doctor")</f>
        <v>Master</v>
      </c>
      <c r="AO1213" s="13" t="str">
        <f>VLOOKUP(tblCleanData[[#This Row],[EmployeeNumber]],tblHelpers[],15,TRUE)</f>
        <v>Medium Risk</v>
      </c>
      <c r="AP1213" s="13">
        <f>VLOOKUP(tblCleanData[[#This Row],[EmployeeNumber]],tblHelpers[],14,0)</f>
        <v>39</v>
      </c>
    </row>
    <row r="1214" spans="1:42" x14ac:dyDescent="0.25">
      <c r="A1214" s="13">
        <v>34</v>
      </c>
      <c r="B1214" s="13" t="s">
        <v>59</v>
      </c>
      <c r="C1214" s="13" t="s">
        <v>37</v>
      </c>
      <c r="D1214" s="13">
        <v>678</v>
      </c>
      <c r="E1214" s="13" t="s">
        <v>62</v>
      </c>
      <c r="F1214" s="13">
        <v>19</v>
      </c>
      <c r="G1214" s="13">
        <v>3</v>
      </c>
      <c r="H1214" s="13" t="s">
        <v>42</v>
      </c>
      <c r="I1214" s="13">
        <v>1</v>
      </c>
      <c r="J1214" s="13">
        <v>1701</v>
      </c>
      <c r="K1214" s="13">
        <v>2</v>
      </c>
      <c r="L1214" s="13" t="s">
        <v>43</v>
      </c>
      <c r="M1214" s="13">
        <v>35</v>
      </c>
      <c r="N1214" s="13">
        <v>2</v>
      </c>
      <c r="O1214" s="13">
        <v>1</v>
      </c>
      <c r="P1214" s="13" t="s">
        <v>65</v>
      </c>
      <c r="Q1214" s="13">
        <v>4</v>
      </c>
      <c r="R1214" s="13" t="s">
        <v>66</v>
      </c>
      <c r="S1214" s="20">
        <v>2929</v>
      </c>
      <c r="T1214" s="13">
        <v>20338</v>
      </c>
      <c r="U1214" s="13">
        <v>1</v>
      </c>
      <c r="V1214" s="13" t="s">
        <v>52</v>
      </c>
      <c r="W1214" s="13" t="s">
        <v>59</v>
      </c>
      <c r="X1214" s="13">
        <v>12</v>
      </c>
      <c r="Y1214" s="13">
        <v>3</v>
      </c>
      <c r="Z1214" s="13">
        <v>2</v>
      </c>
      <c r="AA1214" s="13">
        <v>80</v>
      </c>
      <c r="AB1214" s="13">
        <v>0</v>
      </c>
      <c r="AC1214" s="13">
        <v>10</v>
      </c>
      <c r="AD1214" s="13">
        <v>3</v>
      </c>
      <c r="AE1214" s="13">
        <v>3</v>
      </c>
      <c r="AF1214" s="14">
        <v>10</v>
      </c>
      <c r="AG1214" s="13">
        <v>9</v>
      </c>
      <c r="AH1214" s="13">
        <v>8</v>
      </c>
      <c r="AI1214" s="13">
        <v>7</v>
      </c>
      <c r="AJ1214" s="13" t="str">
        <f t="shared" si="18"/>
        <v>30-39</v>
      </c>
      <c r="AK1214" s="13" t="str">
        <f>IF(tblCleanData[[#This Row],[MonthlyIncome]]&lt;5000, "Low Income", IF(tblCleanData[[#This Row],[MonthlyIncome]]&lt;15000, "Medium Income", "High Income"))</f>
        <v>Low Income</v>
      </c>
      <c r="AL1214" s="13">
        <f>IF(tblCleanData[[#This Row],[Attrition]]="No", 0,1)</f>
        <v>0</v>
      </c>
      <c r="AM1214" s="13">
        <f>IF(tblCleanData[[#This Row],[OverTime]] = "No", 0, 1)</f>
        <v>0</v>
      </c>
      <c r="AN1214" s="13" t="str">
        <f>CHOOSE(tblCleanData[[#This Row],[Education]], "Below College","College","Bachelor","Master","Doctor")</f>
        <v>Bachelor</v>
      </c>
      <c r="AO1214" s="13" t="str">
        <f>VLOOKUP(tblCleanData[[#This Row],[EmployeeNumber]],tblHelpers[],15,TRUE)</f>
        <v>Medium Risk</v>
      </c>
      <c r="AP1214" s="13">
        <f>VLOOKUP(tblCleanData[[#This Row],[EmployeeNumber]],tblHelpers[],14,0)</f>
        <v>39</v>
      </c>
    </row>
    <row r="1215" spans="1:42" x14ac:dyDescent="0.25">
      <c r="A1215" s="13">
        <v>23</v>
      </c>
      <c r="B1215" s="13" t="s">
        <v>36</v>
      </c>
      <c r="C1215" s="13" t="s">
        <v>37</v>
      </c>
      <c r="D1215" s="13">
        <v>427</v>
      </c>
      <c r="E1215" s="13" t="s">
        <v>39</v>
      </c>
      <c r="F1215" s="13">
        <v>7</v>
      </c>
      <c r="G1215" s="13">
        <v>3</v>
      </c>
      <c r="H1215" s="13" t="s">
        <v>42</v>
      </c>
      <c r="I1215" s="13">
        <v>1</v>
      </c>
      <c r="J1215" s="13">
        <v>1702</v>
      </c>
      <c r="K1215" s="13">
        <v>3</v>
      </c>
      <c r="L1215" s="13" t="s">
        <v>63</v>
      </c>
      <c r="M1215" s="13">
        <v>99</v>
      </c>
      <c r="N1215" s="13">
        <v>3</v>
      </c>
      <c r="O1215" s="13">
        <v>1</v>
      </c>
      <c r="P1215" s="13" t="s">
        <v>182</v>
      </c>
      <c r="Q1215" s="13">
        <v>4</v>
      </c>
      <c r="R1215" s="13" t="s">
        <v>109</v>
      </c>
      <c r="S1215" s="20">
        <v>2275</v>
      </c>
      <c r="T1215" s="13">
        <v>25103</v>
      </c>
      <c r="U1215" s="13">
        <v>1</v>
      </c>
      <c r="V1215" s="13" t="s">
        <v>52</v>
      </c>
      <c r="W1215" s="13" t="s">
        <v>36</v>
      </c>
      <c r="X1215" s="13">
        <v>21</v>
      </c>
      <c r="Y1215" s="13">
        <v>4</v>
      </c>
      <c r="Z1215" s="13">
        <v>2</v>
      </c>
      <c r="AA1215" s="13">
        <v>80</v>
      </c>
      <c r="AB1215" s="13">
        <v>1</v>
      </c>
      <c r="AC1215" s="13">
        <v>3</v>
      </c>
      <c r="AD1215" s="13">
        <v>2</v>
      </c>
      <c r="AE1215" s="13">
        <v>3</v>
      </c>
      <c r="AF1215" s="14">
        <v>3</v>
      </c>
      <c r="AG1215" s="13">
        <v>2</v>
      </c>
      <c r="AH1215" s="13">
        <v>0</v>
      </c>
      <c r="AI1215" s="13">
        <v>2</v>
      </c>
      <c r="AJ1215" s="13" t="str">
        <f t="shared" si="18"/>
        <v>Under 30</v>
      </c>
      <c r="AK1215" s="13" t="str">
        <f>IF(tblCleanData[[#This Row],[MonthlyIncome]]&lt;5000, "Low Income", IF(tblCleanData[[#This Row],[MonthlyIncome]]&lt;15000, "Medium Income", "High Income"))</f>
        <v>Low Income</v>
      </c>
      <c r="AL1215" s="13">
        <f>IF(tblCleanData[[#This Row],[Attrition]]="No", 0,1)</f>
        <v>1</v>
      </c>
      <c r="AM1215" s="13">
        <f>IF(tblCleanData[[#This Row],[OverTime]] = "No", 0, 1)</f>
        <v>1</v>
      </c>
      <c r="AN1215" s="13" t="str">
        <f>CHOOSE(tblCleanData[[#This Row],[Education]], "Below College","College","Bachelor","Master","Doctor")</f>
        <v>Bachelor</v>
      </c>
      <c r="AO1215" s="13" t="str">
        <f>VLOOKUP(tblCleanData[[#This Row],[EmployeeNumber]],tblHelpers[],15,TRUE)</f>
        <v>High Risk</v>
      </c>
      <c r="AP1215" s="13">
        <f>VLOOKUP(tblCleanData[[#This Row],[EmployeeNumber]],tblHelpers[],14,0)</f>
        <v>81</v>
      </c>
    </row>
    <row r="1216" spans="1:42" x14ac:dyDescent="0.25">
      <c r="A1216" s="13">
        <v>44</v>
      </c>
      <c r="B1216" s="13" t="s">
        <v>59</v>
      </c>
      <c r="C1216" s="13" t="s">
        <v>37</v>
      </c>
      <c r="D1216" s="13">
        <v>921</v>
      </c>
      <c r="E1216" s="13" t="s">
        <v>62</v>
      </c>
      <c r="F1216" s="13">
        <v>2</v>
      </c>
      <c r="G1216" s="13">
        <v>3</v>
      </c>
      <c r="H1216" s="13" t="s">
        <v>42</v>
      </c>
      <c r="I1216" s="13">
        <v>1</v>
      </c>
      <c r="J1216" s="13">
        <v>1703</v>
      </c>
      <c r="K1216" s="13">
        <v>3</v>
      </c>
      <c r="L1216" s="13" t="s">
        <v>43</v>
      </c>
      <c r="M1216" s="13">
        <v>96</v>
      </c>
      <c r="N1216" s="13">
        <v>4</v>
      </c>
      <c r="O1216" s="13">
        <v>3</v>
      </c>
      <c r="P1216" s="13" t="s">
        <v>122</v>
      </c>
      <c r="Q1216" s="13">
        <v>4</v>
      </c>
      <c r="R1216" s="13" t="s">
        <v>66</v>
      </c>
      <c r="S1216" s="20">
        <v>7879</v>
      </c>
      <c r="T1216" s="13">
        <v>14810</v>
      </c>
      <c r="U1216" s="13">
        <v>1</v>
      </c>
      <c r="V1216" s="13" t="s">
        <v>52</v>
      </c>
      <c r="W1216" s="13" t="s">
        <v>36</v>
      </c>
      <c r="X1216" s="13">
        <v>19</v>
      </c>
      <c r="Y1216" s="13">
        <v>3</v>
      </c>
      <c r="Z1216" s="13">
        <v>2</v>
      </c>
      <c r="AA1216" s="13">
        <v>80</v>
      </c>
      <c r="AB1216" s="13">
        <v>1</v>
      </c>
      <c r="AC1216" s="13">
        <v>9</v>
      </c>
      <c r="AD1216" s="13">
        <v>2</v>
      </c>
      <c r="AE1216" s="13">
        <v>3</v>
      </c>
      <c r="AF1216" s="14">
        <v>8</v>
      </c>
      <c r="AG1216" s="13">
        <v>7</v>
      </c>
      <c r="AH1216" s="13">
        <v>6</v>
      </c>
      <c r="AI1216" s="13">
        <v>7</v>
      </c>
      <c r="AJ1216" s="13" t="str">
        <f t="shared" si="18"/>
        <v>40-49</v>
      </c>
      <c r="AK1216" s="13" t="str">
        <f>IF(tblCleanData[[#This Row],[MonthlyIncome]]&lt;5000, "Low Income", IF(tblCleanData[[#This Row],[MonthlyIncome]]&lt;15000, "Medium Income", "High Income"))</f>
        <v>Medium Income</v>
      </c>
      <c r="AL1216" s="13">
        <f>IF(tblCleanData[[#This Row],[Attrition]]="No", 0,1)</f>
        <v>0</v>
      </c>
      <c r="AM1216" s="13">
        <f>IF(tblCleanData[[#This Row],[OverTime]] = "No", 0, 1)</f>
        <v>1</v>
      </c>
      <c r="AN1216" s="13" t="str">
        <f>CHOOSE(tblCleanData[[#This Row],[Education]], "Below College","College","Bachelor","Master","Doctor")</f>
        <v>Bachelor</v>
      </c>
      <c r="AO1216" s="13" t="str">
        <f>VLOOKUP(tblCleanData[[#This Row],[EmployeeNumber]],tblHelpers[],15,TRUE)</f>
        <v>Medium Risk</v>
      </c>
      <c r="AP1216" s="13">
        <f>VLOOKUP(tblCleanData[[#This Row],[EmployeeNumber]],tblHelpers[],14,0)</f>
        <v>54</v>
      </c>
    </row>
    <row r="1217" spans="1:42" x14ac:dyDescent="0.25">
      <c r="A1217" s="13">
        <v>35</v>
      </c>
      <c r="B1217" s="13" t="s">
        <v>59</v>
      </c>
      <c r="C1217" s="13" t="s">
        <v>60</v>
      </c>
      <c r="D1217" s="13">
        <v>146</v>
      </c>
      <c r="E1217" s="13" t="s">
        <v>62</v>
      </c>
      <c r="F1217" s="13">
        <v>2</v>
      </c>
      <c r="G1217" s="13">
        <v>4</v>
      </c>
      <c r="H1217" s="13" t="s">
        <v>87</v>
      </c>
      <c r="I1217" s="13">
        <v>1</v>
      </c>
      <c r="J1217" s="13">
        <v>1704</v>
      </c>
      <c r="K1217" s="13">
        <v>1</v>
      </c>
      <c r="L1217" s="13" t="s">
        <v>63</v>
      </c>
      <c r="M1217" s="13">
        <v>79</v>
      </c>
      <c r="N1217" s="13">
        <v>2</v>
      </c>
      <c r="O1217" s="13">
        <v>1</v>
      </c>
      <c r="P1217" s="13" t="s">
        <v>65</v>
      </c>
      <c r="Q1217" s="13">
        <v>4</v>
      </c>
      <c r="R1217" s="13" t="s">
        <v>48</v>
      </c>
      <c r="S1217" s="20">
        <v>4930</v>
      </c>
      <c r="T1217" s="13">
        <v>13970</v>
      </c>
      <c r="U1217" s="13">
        <v>0</v>
      </c>
      <c r="V1217" s="13" t="s">
        <v>52</v>
      </c>
      <c r="W1217" s="13" t="s">
        <v>36</v>
      </c>
      <c r="X1217" s="13">
        <v>14</v>
      </c>
      <c r="Y1217" s="13">
        <v>3</v>
      </c>
      <c r="Z1217" s="13">
        <v>3</v>
      </c>
      <c r="AA1217" s="13">
        <v>80</v>
      </c>
      <c r="AB1217" s="13">
        <v>0</v>
      </c>
      <c r="AC1217" s="13">
        <v>6</v>
      </c>
      <c r="AD1217" s="13">
        <v>2</v>
      </c>
      <c r="AE1217" s="13">
        <v>4</v>
      </c>
      <c r="AF1217" s="14">
        <v>5</v>
      </c>
      <c r="AG1217" s="13">
        <v>4</v>
      </c>
      <c r="AH1217" s="13">
        <v>1</v>
      </c>
      <c r="AI1217" s="13">
        <v>4</v>
      </c>
      <c r="AJ1217" s="13" t="str">
        <f t="shared" si="18"/>
        <v>30-39</v>
      </c>
      <c r="AK1217" s="13" t="str">
        <f>IF(tblCleanData[[#This Row],[MonthlyIncome]]&lt;5000, "Low Income", IF(tblCleanData[[#This Row],[MonthlyIncome]]&lt;15000, "Medium Income", "High Income"))</f>
        <v>Low Income</v>
      </c>
      <c r="AL1217" s="13">
        <f>IF(tblCleanData[[#This Row],[Attrition]]="No", 0,1)</f>
        <v>0</v>
      </c>
      <c r="AM1217" s="13">
        <f>IF(tblCleanData[[#This Row],[OverTime]] = "No", 0, 1)</f>
        <v>1</v>
      </c>
      <c r="AN1217" s="13" t="str">
        <f>CHOOSE(tblCleanData[[#This Row],[Education]], "Below College","College","Bachelor","Master","Doctor")</f>
        <v>Master</v>
      </c>
      <c r="AO1217" s="13" t="str">
        <f>VLOOKUP(tblCleanData[[#This Row],[EmployeeNumber]],tblHelpers[],15,TRUE)</f>
        <v>High Risk</v>
      </c>
      <c r="AP1217" s="13">
        <f>VLOOKUP(tblCleanData[[#This Row],[EmployeeNumber]],tblHelpers[],14,0)</f>
        <v>71</v>
      </c>
    </row>
    <row r="1218" spans="1:42" x14ac:dyDescent="0.25">
      <c r="A1218" s="13">
        <v>43</v>
      </c>
      <c r="B1218" s="13" t="s">
        <v>59</v>
      </c>
      <c r="C1218" s="13" t="s">
        <v>37</v>
      </c>
      <c r="D1218" s="13">
        <v>1179</v>
      </c>
      <c r="E1218" s="13" t="s">
        <v>39</v>
      </c>
      <c r="F1218" s="13">
        <v>2</v>
      </c>
      <c r="G1218" s="13">
        <v>3</v>
      </c>
      <c r="H1218" s="13" t="s">
        <v>87</v>
      </c>
      <c r="I1218" s="13">
        <v>1</v>
      </c>
      <c r="J1218" s="13">
        <v>1706</v>
      </c>
      <c r="K1218" s="13">
        <v>4</v>
      </c>
      <c r="L1218" s="13" t="s">
        <v>63</v>
      </c>
      <c r="M1218" s="13">
        <v>73</v>
      </c>
      <c r="N1218" s="13">
        <v>3</v>
      </c>
      <c r="O1218" s="13">
        <v>2</v>
      </c>
      <c r="P1218" s="13" t="s">
        <v>46</v>
      </c>
      <c r="Q1218" s="13">
        <v>4</v>
      </c>
      <c r="R1218" s="13" t="s">
        <v>66</v>
      </c>
      <c r="S1218" s="20">
        <v>7847</v>
      </c>
      <c r="T1218" s="13">
        <v>6069</v>
      </c>
      <c r="U1218" s="13">
        <v>1</v>
      </c>
      <c r="V1218" s="13" t="s">
        <v>52</v>
      </c>
      <c r="W1218" s="13" t="s">
        <v>36</v>
      </c>
      <c r="X1218" s="13">
        <v>17</v>
      </c>
      <c r="Y1218" s="13">
        <v>3</v>
      </c>
      <c r="Z1218" s="13">
        <v>1</v>
      </c>
      <c r="AA1218" s="13">
        <v>80</v>
      </c>
      <c r="AB1218" s="13">
        <v>1</v>
      </c>
      <c r="AC1218" s="13">
        <v>10</v>
      </c>
      <c r="AD1218" s="13">
        <v>3</v>
      </c>
      <c r="AE1218" s="13">
        <v>3</v>
      </c>
      <c r="AF1218" s="14">
        <v>10</v>
      </c>
      <c r="AG1218" s="13">
        <v>9</v>
      </c>
      <c r="AH1218" s="13">
        <v>8</v>
      </c>
      <c r="AI1218" s="13">
        <v>8</v>
      </c>
      <c r="AJ1218" s="13" t="str">
        <f t="shared" ref="AJ1218:AJ1281" si="19">IF(A1218&lt;30,"Under 30", IF(A1218&lt;40,"30-39", IF(A1218&lt;50,"40-49", "50+")))</f>
        <v>40-49</v>
      </c>
      <c r="AK1218" s="13" t="str">
        <f>IF(tblCleanData[[#This Row],[MonthlyIncome]]&lt;5000, "Low Income", IF(tblCleanData[[#This Row],[MonthlyIncome]]&lt;15000, "Medium Income", "High Income"))</f>
        <v>Medium Income</v>
      </c>
      <c r="AL1218" s="13">
        <f>IF(tblCleanData[[#This Row],[Attrition]]="No", 0,1)</f>
        <v>0</v>
      </c>
      <c r="AM1218" s="13">
        <f>IF(tblCleanData[[#This Row],[OverTime]] = "No", 0, 1)</f>
        <v>1</v>
      </c>
      <c r="AN1218" s="13" t="str">
        <f>CHOOSE(tblCleanData[[#This Row],[Education]], "Below College","College","Bachelor","Master","Doctor")</f>
        <v>Bachelor</v>
      </c>
      <c r="AO1218" s="13" t="str">
        <f>VLOOKUP(tblCleanData[[#This Row],[EmployeeNumber]],tblHelpers[],15,TRUE)</f>
        <v>Medium Risk</v>
      </c>
      <c r="AP1218" s="13">
        <f>VLOOKUP(tblCleanData[[#This Row],[EmployeeNumber]],tblHelpers[],14,0)</f>
        <v>54</v>
      </c>
    </row>
    <row r="1219" spans="1:42" x14ac:dyDescent="0.25">
      <c r="A1219" s="13">
        <v>24</v>
      </c>
      <c r="B1219" s="13" t="s">
        <v>59</v>
      </c>
      <c r="C1219" s="13" t="s">
        <v>37</v>
      </c>
      <c r="D1219" s="13">
        <v>581</v>
      </c>
      <c r="E1219" s="13" t="s">
        <v>62</v>
      </c>
      <c r="F1219" s="13">
        <v>9</v>
      </c>
      <c r="G1219" s="13">
        <v>3</v>
      </c>
      <c r="H1219" s="13" t="s">
        <v>87</v>
      </c>
      <c r="I1219" s="13">
        <v>1</v>
      </c>
      <c r="J1219" s="13">
        <v>1707</v>
      </c>
      <c r="K1219" s="13">
        <v>3</v>
      </c>
      <c r="L1219" s="13" t="s">
        <v>63</v>
      </c>
      <c r="M1219" s="13">
        <v>62</v>
      </c>
      <c r="N1219" s="13">
        <v>4</v>
      </c>
      <c r="O1219" s="13">
        <v>1</v>
      </c>
      <c r="P1219" s="13" t="s">
        <v>65</v>
      </c>
      <c r="Q1219" s="13">
        <v>3</v>
      </c>
      <c r="R1219" s="13" t="s">
        <v>66</v>
      </c>
      <c r="S1219" s="20">
        <v>4401</v>
      </c>
      <c r="T1219" s="13">
        <v>17616</v>
      </c>
      <c r="U1219" s="13">
        <v>1</v>
      </c>
      <c r="V1219" s="13" t="s">
        <v>52</v>
      </c>
      <c r="W1219" s="13" t="s">
        <v>59</v>
      </c>
      <c r="X1219" s="13">
        <v>16</v>
      </c>
      <c r="Y1219" s="13">
        <v>3</v>
      </c>
      <c r="Z1219" s="13">
        <v>4</v>
      </c>
      <c r="AA1219" s="13">
        <v>80</v>
      </c>
      <c r="AB1219" s="13">
        <v>1</v>
      </c>
      <c r="AC1219" s="13">
        <v>5</v>
      </c>
      <c r="AD1219" s="13">
        <v>1</v>
      </c>
      <c r="AE1219" s="13">
        <v>3</v>
      </c>
      <c r="AF1219" s="14">
        <v>5</v>
      </c>
      <c r="AG1219" s="13">
        <v>3</v>
      </c>
      <c r="AH1219" s="13">
        <v>0</v>
      </c>
      <c r="AI1219" s="13">
        <v>4</v>
      </c>
      <c r="AJ1219" s="13" t="str">
        <f t="shared" si="19"/>
        <v>Under 30</v>
      </c>
      <c r="AK1219" s="13" t="str">
        <f>IF(tblCleanData[[#This Row],[MonthlyIncome]]&lt;5000, "Low Income", IF(tblCleanData[[#This Row],[MonthlyIncome]]&lt;15000, "Medium Income", "High Income"))</f>
        <v>Low Income</v>
      </c>
      <c r="AL1219" s="13">
        <f>IF(tblCleanData[[#This Row],[Attrition]]="No", 0,1)</f>
        <v>0</v>
      </c>
      <c r="AM1219" s="13">
        <f>IF(tblCleanData[[#This Row],[OverTime]] = "No", 0, 1)</f>
        <v>0</v>
      </c>
      <c r="AN1219" s="13" t="str">
        <f>CHOOSE(tblCleanData[[#This Row],[Education]], "Below College","College","Bachelor","Master","Doctor")</f>
        <v>Bachelor</v>
      </c>
      <c r="AO1219" s="13" t="str">
        <f>VLOOKUP(tblCleanData[[#This Row],[EmployeeNumber]],tblHelpers[],15,TRUE)</f>
        <v>High Risk</v>
      </c>
      <c r="AP1219" s="13">
        <f>VLOOKUP(tblCleanData[[#This Row],[EmployeeNumber]],tblHelpers[],14,0)</f>
        <v>63</v>
      </c>
    </row>
    <row r="1220" spans="1:42" x14ac:dyDescent="0.25">
      <c r="A1220" s="13">
        <v>41</v>
      </c>
      <c r="B1220" s="13" t="s">
        <v>59</v>
      </c>
      <c r="C1220" s="13" t="s">
        <v>37</v>
      </c>
      <c r="D1220" s="13">
        <v>918</v>
      </c>
      <c r="E1220" s="13" t="s">
        <v>39</v>
      </c>
      <c r="F1220" s="13">
        <v>6</v>
      </c>
      <c r="G1220" s="13">
        <v>3</v>
      </c>
      <c r="H1220" s="13" t="s">
        <v>206</v>
      </c>
      <c r="I1220" s="13">
        <v>1</v>
      </c>
      <c r="J1220" s="13">
        <v>1708</v>
      </c>
      <c r="K1220" s="13">
        <v>4</v>
      </c>
      <c r="L1220" s="13" t="s">
        <v>63</v>
      </c>
      <c r="M1220" s="13">
        <v>35</v>
      </c>
      <c r="N1220" s="13">
        <v>3</v>
      </c>
      <c r="O1220" s="13">
        <v>3</v>
      </c>
      <c r="P1220" s="13" t="s">
        <v>46</v>
      </c>
      <c r="Q1220" s="13">
        <v>3</v>
      </c>
      <c r="R1220" s="13" t="s">
        <v>48</v>
      </c>
      <c r="S1220" s="20">
        <v>9241</v>
      </c>
      <c r="T1220" s="13">
        <v>15869</v>
      </c>
      <c r="U1220" s="13">
        <v>1</v>
      </c>
      <c r="V1220" s="13" t="s">
        <v>52</v>
      </c>
      <c r="W1220" s="13" t="s">
        <v>59</v>
      </c>
      <c r="X1220" s="13">
        <v>12</v>
      </c>
      <c r="Y1220" s="13">
        <v>3</v>
      </c>
      <c r="Z1220" s="13">
        <v>2</v>
      </c>
      <c r="AA1220" s="13">
        <v>80</v>
      </c>
      <c r="AB1220" s="13">
        <v>0</v>
      </c>
      <c r="AC1220" s="13">
        <v>10</v>
      </c>
      <c r="AD1220" s="13">
        <v>3</v>
      </c>
      <c r="AE1220" s="13">
        <v>3</v>
      </c>
      <c r="AF1220" s="14">
        <v>10</v>
      </c>
      <c r="AG1220" s="13">
        <v>8</v>
      </c>
      <c r="AH1220" s="13">
        <v>8</v>
      </c>
      <c r="AI1220" s="13">
        <v>7</v>
      </c>
      <c r="AJ1220" s="13" t="str">
        <f t="shared" si="19"/>
        <v>40-49</v>
      </c>
      <c r="AK1220" s="13" t="str">
        <f>IF(tblCleanData[[#This Row],[MonthlyIncome]]&lt;5000, "Low Income", IF(tblCleanData[[#This Row],[MonthlyIncome]]&lt;15000, "Medium Income", "High Income"))</f>
        <v>Medium Income</v>
      </c>
      <c r="AL1220" s="13">
        <f>IF(tblCleanData[[#This Row],[Attrition]]="No", 0,1)</f>
        <v>0</v>
      </c>
      <c r="AM1220" s="13">
        <f>IF(tblCleanData[[#This Row],[OverTime]] = "No", 0, 1)</f>
        <v>0</v>
      </c>
      <c r="AN1220" s="13" t="str">
        <f>CHOOSE(tblCleanData[[#This Row],[Education]], "Below College","College","Bachelor","Master","Doctor")</f>
        <v>Bachelor</v>
      </c>
      <c r="AO1220" s="13" t="str">
        <f>VLOOKUP(tblCleanData[[#This Row],[EmployeeNumber]],tblHelpers[],15,TRUE)</f>
        <v>Medium Risk</v>
      </c>
      <c r="AP1220" s="13">
        <f>VLOOKUP(tblCleanData[[#This Row],[EmployeeNumber]],tblHelpers[],14,0)</f>
        <v>36</v>
      </c>
    </row>
    <row r="1221" spans="1:42" x14ac:dyDescent="0.25">
      <c r="A1221" s="13">
        <v>29</v>
      </c>
      <c r="B1221" s="13" t="s">
        <v>59</v>
      </c>
      <c r="C1221" s="13" t="s">
        <v>37</v>
      </c>
      <c r="D1221" s="13">
        <v>1082</v>
      </c>
      <c r="E1221" s="13" t="s">
        <v>62</v>
      </c>
      <c r="F1221" s="13">
        <v>9</v>
      </c>
      <c r="G1221" s="13">
        <v>4</v>
      </c>
      <c r="H1221" s="13" t="s">
        <v>87</v>
      </c>
      <c r="I1221" s="13">
        <v>1</v>
      </c>
      <c r="J1221" s="13">
        <v>1709</v>
      </c>
      <c r="K1221" s="13">
        <v>4</v>
      </c>
      <c r="L1221" s="13" t="s">
        <v>43</v>
      </c>
      <c r="M1221" s="13">
        <v>43</v>
      </c>
      <c r="N1221" s="13">
        <v>3</v>
      </c>
      <c r="O1221" s="13">
        <v>1</v>
      </c>
      <c r="P1221" s="13" t="s">
        <v>76</v>
      </c>
      <c r="Q1221" s="13">
        <v>3</v>
      </c>
      <c r="R1221" s="13" t="s">
        <v>66</v>
      </c>
      <c r="S1221" s="20">
        <v>2974</v>
      </c>
      <c r="T1221" s="13">
        <v>25412</v>
      </c>
      <c r="U1221" s="13">
        <v>9</v>
      </c>
      <c r="V1221" s="13" t="s">
        <v>52</v>
      </c>
      <c r="W1221" s="13" t="s">
        <v>59</v>
      </c>
      <c r="X1221" s="13">
        <v>17</v>
      </c>
      <c r="Y1221" s="13">
        <v>3</v>
      </c>
      <c r="Z1221" s="13">
        <v>3</v>
      </c>
      <c r="AA1221" s="13">
        <v>80</v>
      </c>
      <c r="AB1221" s="13">
        <v>1</v>
      </c>
      <c r="AC1221" s="13">
        <v>9</v>
      </c>
      <c r="AD1221" s="13">
        <v>2</v>
      </c>
      <c r="AE1221" s="13">
        <v>3</v>
      </c>
      <c r="AF1221" s="14">
        <v>5</v>
      </c>
      <c r="AG1221" s="13">
        <v>3</v>
      </c>
      <c r="AH1221" s="13">
        <v>1</v>
      </c>
      <c r="AI1221" s="13">
        <v>2</v>
      </c>
      <c r="AJ1221" s="13" t="str">
        <f t="shared" si="19"/>
        <v>Under 30</v>
      </c>
      <c r="AK1221" s="13" t="str">
        <f>IF(tblCleanData[[#This Row],[MonthlyIncome]]&lt;5000, "Low Income", IF(tblCleanData[[#This Row],[MonthlyIncome]]&lt;15000, "Medium Income", "High Income"))</f>
        <v>Low Income</v>
      </c>
      <c r="AL1221" s="13">
        <f>IF(tblCleanData[[#This Row],[Attrition]]="No", 0,1)</f>
        <v>0</v>
      </c>
      <c r="AM1221" s="13">
        <f>IF(tblCleanData[[#This Row],[OverTime]] = "No", 0, 1)</f>
        <v>0</v>
      </c>
      <c r="AN1221" s="13" t="str">
        <f>CHOOSE(tblCleanData[[#This Row],[Education]], "Below College","College","Bachelor","Master","Doctor")</f>
        <v>Master</v>
      </c>
      <c r="AO1221" s="13" t="str">
        <f>VLOOKUP(tblCleanData[[#This Row],[EmployeeNumber]],tblHelpers[],15,TRUE)</f>
        <v>High Risk</v>
      </c>
      <c r="AP1221" s="13">
        <f>VLOOKUP(tblCleanData[[#This Row],[EmployeeNumber]],tblHelpers[],14,0)</f>
        <v>63</v>
      </c>
    </row>
    <row r="1222" spans="1:42" x14ac:dyDescent="0.25">
      <c r="A1222" s="13">
        <v>36</v>
      </c>
      <c r="B1222" s="13" t="s">
        <v>59</v>
      </c>
      <c r="C1222" s="13" t="s">
        <v>37</v>
      </c>
      <c r="D1222" s="13">
        <v>530</v>
      </c>
      <c r="E1222" s="13" t="s">
        <v>39</v>
      </c>
      <c r="F1222" s="13">
        <v>2</v>
      </c>
      <c r="G1222" s="13">
        <v>4</v>
      </c>
      <c r="H1222" s="13" t="s">
        <v>42</v>
      </c>
      <c r="I1222" s="13">
        <v>1</v>
      </c>
      <c r="J1222" s="13">
        <v>1710</v>
      </c>
      <c r="K1222" s="13">
        <v>3</v>
      </c>
      <c r="L1222" s="13" t="s">
        <v>43</v>
      </c>
      <c r="M1222" s="13">
        <v>51</v>
      </c>
      <c r="N1222" s="13">
        <v>3</v>
      </c>
      <c r="O1222" s="13">
        <v>2</v>
      </c>
      <c r="P1222" s="13" t="s">
        <v>182</v>
      </c>
      <c r="Q1222" s="13">
        <v>4</v>
      </c>
      <c r="R1222" s="13" t="s">
        <v>48</v>
      </c>
      <c r="S1222" s="20">
        <v>4502</v>
      </c>
      <c r="T1222" s="13">
        <v>7439</v>
      </c>
      <c r="U1222" s="13">
        <v>3</v>
      </c>
      <c r="V1222" s="13" t="s">
        <v>52</v>
      </c>
      <c r="W1222" s="13" t="s">
        <v>59</v>
      </c>
      <c r="X1222" s="13">
        <v>15</v>
      </c>
      <c r="Y1222" s="13">
        <v>3</v>
      </c>
      <c r="Z1222" s="13">
        <v>3</v>
      </c>
      <c r="AA1222" s="13">
        <v>80</v>
      </c>
      <c r="AB1222" s="13">
        <v>0</v>
      </c>
      <c r="AC1222" s="13">
        <v>17</v>
      </c>
      <c r="AD1222" s="13">
        <v>2</v>
      </c>
      <c r="AE1222" s="13">
        <v>2</v>
      </c>
      <c r="AF1222" s="14">
        <v>13</v>
      </c>
      <c r="AG1222" s="13">
        <v>7</v>
      </c>
      <c r="AH1222" s="13">
        <v>6</v>
      </c>
      <c r="AI1222" s="13">
        <v>7</v>
      </c>
      <c r="AJ1222" s="13" t="str">
        <f t="shared" si="19"/>
        <v>30-39</v>
      </c>
      <c r="AK1222" s="13" t="str">
        <f>IF(tblCleanData[[#This Row],[MonthlyIncome]]&lt;5000, "Low Income", IF(tblCleanData[[#This Row],[MonthlyIncome]]&lt;15000, "Medium Income", "High Income"))</f>
        <v>Low Income</v>
      </c>
      <c r="AL1222" s="13">
        <f>IF(tblCleanData[[#This Row],[Attrition]]="No", 0,1)</f>
        <v>0</v>
      </c>
      <c r="AM1222" s="13">
        <f>IF(tblCleanData[[#This Row],[OverTime]] = "No", 0, 1)</f>
        <v>0</v>
      </c>
      <c r="AN1222" s="13" t="str">
        <f>CHOOSE(tblCleanData[[#This Row],[Education]], "Below College","College","Bachelor","Master","Doctor")</f>
        <v>Master</v>
      </c>
      <c r="AO1222" s="13" t="str">
        <f>VLOOKUP(tblCleanData[[#This Row],[EmployeeNumber]],tblHelpers[],15,TRUE)</f>
        <v>Low Risk</v>
      </c>
      <c r="AP1222" s="13">
        <f>VLOOKUP(tblCleanData[[#This Row],[EmployeeNumber]],tblHelpers[],14,0)</f>
        <v>34</v>
      </c>
    </row>
    <row r="1223" spans="1:42" x14ac:dyDescent="0.25">
      <c r="A1223" s="13">
        <v>45</v>
      </c>
      <c r="B1223" s="13" t="s">
        <v>59</v>
      </c>
      <c r="C1223" s="13" t="s">
        <v>161</v>
      </c>
      <c r="D1223" s="13">
        <v>1238</v>
      </c>
      <c r="E1223" s="13" t="s">
        <v>62</v>
      </c>
      <c r="F1223" s="13">
        <v>1</v>
      </c>
      <c r="G1223" s="13">
        <v>1</v>
      </c>
      <c r="H1223" s="13" t="s">
        <v>42</v>
      </c>
      <c r="I1223" s="13">
        <v>1</v>
      </c>
      <c r="J1223" s="13">
        <v>1712</v>
      </c>
      <c r="K1223" s="13">
        <v>3</v>
      </c>
      <c r="L1223" s="13" t="s">
        <v>63</v>
      </c>
      <c r="M1223" s="13">
        <v>74</v>
      </c>
      <c r="N1223" s="13">
        <v>2</v>
      </c>
      <c r="O1223" s="13">
        <v>3</v>
      </c>
      <c r="P1223" s="13" t="s">
        <v>122</v>
      </c>
      <c r="Q1223" s="13">
        <v>3</v>
      </c>
      <c r="R1223" s="13" t="s">
        <v>66</v>
      </c>
      <c r="S1223" s="20">
        <v>10748</v>
      </c>
      <c r="T1223" s="13">
        <v>3395</v>
      </c>
      <c r="U1223" s="13">
        <v>3</v>
      </c>
      <c r="V1223" s="13" t="s">
        <v>52</v>
      </c>
      <c r="W1223" s="13" t="s">
        <v>59</v>
      </c>
      <c r="X1223" s="13">
        <v>23</v>
      </c>
      <c r="Y1223" s="13">
        <v>4</v>
      </c>
      <c r="Z1223" s="13">
        <v>4</v>
      </c>
      <c r="AA1223" s="13">
        <v>80</v>
      </c>
      <c r="AB1223" s="13">
        <v>1</v>
      </c>
      <c r="AC1223" s="13">
        <v>25</v>
      </c>
      <c r="AD1223" s="13">
        <v>3</v>
      </c>
      <c r="AE1223" s="13">
        <v>2</v>
      </c>
      <c r="AF1223" s="14">
        <v>23</v>
      </c>
      <c r="AG1223" s="13">
        <v>15</v>
      </c>
      <c r="AH1223" s="13">
        <v>14</v>
      </c>
      <c r="AI1223" s="13">
        <v>4</v>
      </c>
      <c r="AJ1223" s="13" t="str">
        <f t="shared" si="19"/>
        <v>40-49</v>
      </c>
      <c r="AK1223" s="13" t="str">
        <f>IF(tblCleanData[[#This Row],[MonthlyIncome]]&lt;5000, "Low Income", IF(tblCleanData[[#This Row],[MonthlyIncome]]&lt;15000, "Medium Income", "High Income"))</f>
        <v>Medium Income</v>
      </c>
      <c r="AL1223" s="13">
        <f>IF(tblCleanData[[#This Row],[Attrition]]="No", 0,1)</f>
        <v>0</v>
      </c>
      <c r="AM1223" s="13">
        <f>IF(tblCleanData[[#This Row],[OverTime]] = "No", 0, 1)</f>
        <v>0</v>
      </c>
      <c r="AN1223" s="13" t="str">
        <f>CHOOSE(tblCleanData[[#This Row],[Education]], "Below College","College","Bachelor","Master","Doctor")</f>
        <v>Below College</v>
      </c>
      <c r="AO1223" s="13" t="str">
        <f>VLOOKUP(tblCleanData[[#This Row],[EmployeeNumber]],tblHelpers[],15,TRUE)</f>
        <v>Low Risk</v>
      </c>
      <c r="AP1223" s="13">
        <f>VLOOKUP(tblCleanData[[#This Row],[EmployeeNumber]],tblHelpers[],14,0)</f>
        <v>31</v>
      </c>
    </row>
    <row r="1224" spans="1:42" x14ac:dyDescent="0.25">
      <c r="A1224" s="13">
        <v>24</v>
      </c>
      <c r="B1224" s="13" t="s">
        <v>36</v>
      </c>
      <c r="C1224" s="13" t="s">
        <v>37</v>
      </c>
      <c r="D1224" s="13">
        <v>240</v>
      </c>
      <c r="E1224" s="13" t="s">
        <v>397</v>
      </c>
      <c r="F1224" s="13">
        <v>22</v>
      </c>
      <c r="G1224" s="13">
        <v>1</v>
      </c>
      <c r="H1224" s="13" t="s">
        <v>397</v>
      </c>
      <c r="I1224" s="13">
        <v>1</v>
      </c>
      <c r="J1224" s="13">
        <v>1714</v>
      </c>
      <c r="K1224" s="13">
        <v>4</v>
      </c>
      <c r="L1224" s="13" t="s">
        <v>63</v>
      </c>
      <c r="M1224" s="13">
        <v>58</v>
      </c>
      <c r="N1224" s="13">
        <v>1</v>
      </c>
      <c r="O1224" s="13">
        <v>1</v>
      </c>
      <c r="P1224" s="13" t="s">
        <v>397</v>
      </c>
      <c r="Q1224" s="13">
        <v>3</v>
      </c>
      <c r="R1224" s="13" t="s">
        <v>66</v>
      </c>
      <c r="S1224" s="20">
        <v>1555</v>
      </c>
      <c r="T1224" s="13">
        <v>11585</v>
      </c>
      <c r="U1224" s="13">
        <v>1</v>
      </c>
      <c r="V1224" s="13" t="s">
        <v>52</v>
      </c>
      <c r="W1224" s="13" t="s">
        <v>59</v>
      </c>
      <c r="X1224" s="13">
        <v>11</v>
      </c>
      <c r="Y1224" s="13">
        <v>3</v>
      </c>
      <c r="Z1224" s="13">
        <v>3</v>
      </c>
      <c r="AA1224" s="13">
        <v>80</v>
      </c>
      <c r="AB1224" s="13">
        <v>1</v>
      </c>
      <c r="AC1224" s="13">
        <v>1</v>
      </c>
      <c r="AD1224" s="13">
        <v>2</v>
      </c>
      <c r="AE1224" s="13">
        <v>3</v>
      </c>
      <c r="AF1224" s="14">
        <v>1</v>
      </c>
      <c r="AG1224" s="13">
        <v>0</v>
      </c>
      <c r="AH1224" s="13">
        <v>0</v>
      </c>
      <c r="AI1224" s="13">
        <v>0</v>
      </c>
      <c r="AJ1224" s="13" t="str">
        <f t="shared" si="19"/>
        <v>Under 30</v>
      </c>
      <c r="AK1224" s="13" t="str">
        <f>IF(tblCleanData[[#This Row],[MonthlyIncome]]&lt;5000, "Low Income", IF(tblCleanData[[#This Row],[MonthlyIncome]]&lt;15000, "Medium Income", "High Income"))</f>
        <v>Low Income</v>
      </c>
      <c r="AL1224" s="13">
        <f>IF(tblCleanData[[#This Row],[Attrition]]="No", 0,1)</f>
        <v>1</v>
      </c>
      <c r="AM1224" s="13">
        <f>IF(tblCleanData[[#This Row],[OverTime]] = "No", 0, 1)</f>
        <v>0</v>
      </c>
      <c r="AN1224" s="13" t="str">
        <f>CHOOSE(tblCleanData[[#This Row],[Education]], "Below College","College","Bachelor","Master","Doctor")</f>
        <v>Below College</v>
      </c>
      <c r="AO1224" s="13" t="str">
        <f>VLOOKUP(tblCleanData[[#This Row],[EmployeeNumber]],tblHelpers[],15,TRUE)</f>
        <v>High Risk</v>
      </c>
      <c r="AP1224" s="13">
        <f>VLOOKUP(tblCleanData[[#This Row],[EmployeeNumber]],tblHelpers[],14,0)</f>
        <v>73</v>
      </c>
    </row>
    <row r="1225" spans="1:42" x14ac:dyDescent="0.25">
      <c r="A1225" s="13">
        <v>47</v>
      </c>
      <c r="B1225" s="13" t="s">
        <v>36</v>
      </c>
      <c r="C1225" s="13" t="s">
        <v>60</v>
      </c>
      <c r="D1225" s="13">
        <v>1093</v>
      </c>
      <c r="E1225" s="13" t="s">
        <v>39</v>
      </c>
      <c r="F1225" s="13">
        <v>9</v>
      </c>
      <c r="G1225" s="13">
        <v>3</v>
      </c>
      <c r="H1225" s="13" t="s">
        <v>42</v>
      </c>
      <c r="I1225" s="13">
        <v>1</v>
      </c>
      <c r="J1225" s="13">
        <v>1716</v>
      </c>
      <c r="K1225" s="13">
        <v>3</v>
      </c>
      <c r="L1225" s="13" t="s">
        <v>63</v>
      </c>
      <c r="M1225" s="13">
        <v>82</v>
      </c>
      <c r="N1225" s="13">
        <v>1</v>
      </c>
      <c r="O1225" s="13">
        <v>4</v>
      </c>
      <c r="P1225" s="13" t="s">
        <v>46</v>
      </c>
      <c r="Q1225" s="13">
        <v>3</v>
      </c>
      <c r="R1225" s="13" t="s">
        <v>66</v>
      </c>
      <c r="S1225" s="20">
        <v>12936</v>
      </c>
      <c r="T1225" s="13">
        <v>24164</v>
      </c>
      <c r="U1225" s="13">
        <v>7</v>
      </c>
      <c r="V1225" s="13" t="s">
        <v>52</v>
      </c>
      <c r="W1225" s="13" t="s">
        <v>59</v>
      </c>
      <c r="X1225" s="13">
        <v>11</v>
      </c>
      <c r="Y1225" s="13">
        <v>3</v>
      </c>
      <c r="Z1225" s="13">
        <v>3</v>
      </c>
      <c r="AA1225" s="13">
        <v>80</v>
      </c>
      <c r="AB1225" s="13">
        <v>0</v>
      </c>
      <c r="AC1225" s="13">
        <v>25</v>
      </c>
      <c r="AD1225" s="13">
        <v>3</v>
      </c>
      <c r="AE1225" s="13">
        <v>1</v>
      </c>
      <c r="AF1225" s="14">
        <v>23</v>
      </c>
      <c r="AG1225" s="13">
        <v>5</v>
      </c>
      <c r="AH1225" s="13">
        <v>14</v>
      </c>
      <c r="AI1225" s="13">
        <v>10</v>
      </c>
      <c r="AJ1225" s="13" t="str">
        <f t="shared" si="19"/>
        <v>40-49</v>
      </c>
      <c r="AK1225" s="13" t="str">
        <f>IF(tblCleanData[[#This Row],[MonthlyIncome]]&lt;5000, "Low Income", IF(tblCleanData[[#This Row],[MonthlyIncome]]&lt;15000, "Medium Income", "High Income"))</f>
        <v>Medium Income</v>
      </c>
      <c r="AL1225" s="13">
        <f>IF(tblCleanData[[#This Row],[Attrition]]="No", 0,1)</f>
        <v>1</v>
      </c>
      <c r="AM1225" s="13">
        <f>IF(tblCleanData[[#This Row],[OverTime]] = "No", 0, 1)</f>
        <v>0</v>
      </c>
      <c r="AN1225" s="13" t="str">
        <f>CHOOSE(tblCleanData[[#This Row],[Education]], "Below College","College","Bachelor","Master","Doctor")</f>
        <v>Bachelor</v>
      </c>
      <c r="AO1225" s="13" t="str">
        <f>VLOOKUP(tblCleanData[[#This Row],[EmployeeNumber]],tblHelpers[],15,TRUE)</f>
        <v>Low Risk</v>
      </c>
      <c r="AP1225" s="13">
        <f>VLOOKUP(tblCleanData[[#This Row],[EmployeeNumber]],tblHelpers[],14,0)</f>
        <v>31</v>
      </c>
    </row>
    <row r="1226" spans="1:42" x14ac:dyDescent="0.25">
      <c r="A1226" s="13">
        <v>26</v>
      </c>
      <c r="B1226" s="13" t="s">
        <v>59</v>
      </c>
      <c r="C1226" s="13" t="s">
        <v>37</v>
      </c>
      <c r="D1226" s="13">
        <v>390</v>
      </c>
      <c r="E1226" s="13" t="s">
        <v>62</v>
      </c>
      <c r="F1226" s="13">
        <v>17</v>
      </c>
      <c r="G1226" s="13">
        <v>4</v>
      </c>
      <c r="H1226" s="13" t="s">
        <v>87</v>
      </c>
      <c r="I1226" s="13">
        <v>1</v>
      </c>
      <c r="J1226" s="13">
        <v>1718</v>
      </c>
      <c r="K1226" s="13">
        <v>4</v>
      </c>
      <c r="L1226" s="13" t="s">
        <v>63</v>
      </c>
      <c r="M1226" s="13">
        <v>62</v>
      </c>
      <c r="N1226" s="13">
        <v>1</v>
      </c>
      <c r="O1226" s="13">
        <v>1</v>
      </c>
      <c r="P1226" s="13" t="s">
        <v>76</v>
      </c>
      <c r="Q1226" s="13">
        <v>3</v>
      </c>
      <c r="R1226" s="13" t="s">
        <v>66</v>
      </c>
      <c r="S1226" s="20">
        <v>2305</v>
      </c>
      <c r="T1226" s="13">
        <v>6217</v>
      </c>
      <c r="U1226" s="13">
        <v>1</v>
      </c>
      <c r="V1226" s="13" t="s">
        <v>52</v>
      </c>
      <c r="W1226" s="13" t="s">
        <v>59</v>
      </c>
      <c r="X1226" s="13">
        <v>15</v>
      </c>
      <c r="Y1226" s="13">
        <v>3</v>
      </c>
      <c r="Z1226" s="13">
        <v>3</v>
      </c>
      <c r="AA1226" s="13">
        <v>80</v>
      </c>
      <c r="AB1226" s="13">
        <v>3</v>
      </c>
      <c r="AC1226" s="13">
        <v>3</v>
      </c>
      <c r="AD1226" s="13">
        <v>3</v>
      </c>
      <c r="AE1226" s="13">
        <v>4</v>
      </c>
      <c r="AF1226" s="14">
        <v>3</v>
      </c>
      <c r="AG1226" s="13">
        <v>2</v>
      </c>
      <c r="AH1226" s="13">
        <v>0</v>
      </c>
      <c r="AI1226" s="13">
        <v>2</v>
      </c>
      <c r="AJ1226" s="13" t="str">
        <f t="shared" si="19"/>
        <v>Under 30</v>
      </c>
      <c r="AK1226" s="13" t="str">
        <f>IF(tblCleanData[[#This Row],[MonthlyIncome]]&lt;5000, "Low Income", IF(tblCleanData[[#This Row],[MonthlyIncome]]&lt;15000, "Medium Income", "High Income"))</f>
        <v>Low Income</v>
      </c>
      <c r="AL1226" s="13">
        <f>IF(tblCleanData[[#This Row],[Attrition]]="No", 0,1)</f>
        <v>0</v>
      </c>
      <c r="AM1226" s="13">
        <f>IF(tblCleanData[[#This Row],[OverTime]] = "No", 0, 1)</f>
        <v>0</v>
      </c>
      <c r="AN1226" s="13" t="str">
        <f>CHOOSE(tblCleanData[[#This Row],[Education]], "Below College","College","Bachelor","Master","Doctor")</f>
        <v>Master</v>
      </c>
      <c r="AO1226" s="13" t="str">
        <f>VLOOKUP(tblCleanData[[#This Row],[EmployeeNumber]],tblHelpers[],15,TRUE)</f>
        <v>High Risk</v>
      </c>
      <c r="AP1226" s="13">
        <f>VLOOKUP(tblCleanData[[#This Row],[EmployeeNumber]],tblHelpers[],14,0)</f>
        <v>63</v>
      </c>
    </row>
    <row r="1227" spans="1:42" x14ac:dyDescent="0.25">
      <c r="A1227" s="13">
        <v>45</v>
      </c>
      <c r="B1227" s="13" t="s">
        <v>59</v>
      </c>
      <c r="C1227" s="13" t="s">
        <v>37</v>
      </c>
      <c r="D1227" s="13">
        <v>1005</v>
      </c>
      <c r="E1227" s="13" t="s">
        <v>62</v>
      </c>
      <c r="F1227" s="13">
        <v>28</v>
      </c>
      <c r="G1227" s="13">
        <v>2</v>
      </c>
      <c r="H1227" s="13" t="s">
        <v>228</v>
      </c>
      <c r="I1227" s="13">
        <v>1</v>
      </c>
      <c r="J1227" s="13">
        <v>1719</v>
      </c>
      <c r="K1227" s="13">
        <v>4</v>
      </c>
      <c r="L1227" s="13" t="s">
        <v>43</v>
      </c>
      <c r="M1227" s="13">
        <v>48</v>
      </c>
      <c r="N1227" s="13">
        <v>2</v>
      </c>
      <c r="O1227" s="13">
        <v>4</v>
      </c>
      <c r="P1227" s="13" t="s">
        <v>186</v>
      </c>
      <c r="Q1227" s="13">
        <v>2</v>
      </c>
      <c r="R1227" s="13" t="s">
        <v>48</v>
      </c>
      <c r="S1227" s="20">
        <v>16704</v>
      </c>
      <c r="T1227" s="13">
        <v>17119</v>
      </c>
      <c r="U1227" s="13">
        <v>1</v>
      </c>
      <c r="V1227" s="13" t="s">
        <v>52</v>
      </c>
      <c r="W1227" s="13" t="s">
        <v>59</v>
      </c>
      <c r="X1227" s="13">
        <v>11</v>
      </c>
      <c r="Y1227" s="13">
        <v>3</v>
      </c>
      <c r="Z1227" s="13">
        <v>3</v>
      </c>
      <c r="AA1227" s="13">
        <v>80</v>
      </c>
      <c r="AB1227" s="13">
        <v>0</v>
      </c>
      <c r="AC1227" s="13">
        <v>21</v>
      </c>
      <c r="AD1227" s="13">
        <v>2</v>
      </c>
      <c r="AE1227" s="13">
        <v>3</v>
      </c>
      <c r="AF1227" s="14">
        <v>21</v>
      </c>
      <c r="AG1227" s="13">
        <v>6</v>
      </c>
      <c r="AH1227" s="13">
        <v>8</v>
      </c>
      <c r="AI1227" s="13">
        <v>6</v>
      </c>
      <c r="AJ1227" s="13" t="str">
        <f t="shared" si="19"/>
        <v>40-49</v>
      </c>
      <c r="AK1227" s="13" t="str">
        <f>IF(tblCleanData[[#This Row],[MonthlyIncome]]&lt;5000, "Low Income", IF(tblCleanData[[#This Row],[MonthlyIncome]]&lt;15000, "Medium Income", "High Income"))</f>
        <v>High Income</v>
      </c>
      <c r="AL1227" s="13">
        <f>IF(tblCleanData[[#This Row],[Attrition]]="No", 0,1)</f>
        <v>0</v>
      </c>
      <c r="AM1227" s="13">
        <f>IF(tblCleanData[[#This Row],[OverTime]] = "No", 0, 1)</f>
        <v>0</v>
      </c>
      <c r="AN1227" s="13" t="str">
        <f>CHOOSE(tblCleanData[[#This Row],[Education]], "Below College","College","Bachelor","Master","Doctor")</f>
        <v>College</v>
      </c>
      <c r="AO1227" s="13" t="str">
        <f>VLOOKUP(tblCleanData[[#This Row],[EmployeeNumber]],tblHelpers[],15,TRUE)</f>
        <v>Medium Risk</v>
      </c>
      <c r="AP1227" s="13">
        <f>VLOOKUP(tblCleanData[[#This Row],[EmployeeNumber]],tblHelpers[],14,0)</f>
        <v>37</v>
      </c>
    </row>
    <row r="1228" spans="1:42" x14ac:dyDescent="0.25">
      <c r="A1228" s="13">
        <v>32</v>
      </c>
      <c r="B1228" s="13" t="s">
        <v>59</v>
      </c>
      <c r="C1228" s="13" t="s">
        <v>60</v>
      </c>
      <c r="D1228" s="13">
        <v>585</v>
      </c>
      <c r="E1228" s="13" t="s">
        <v>62</v>
      </c>
      <c r="F1228" s="13">
        <v>10</v>
      </c>
      <c r="G1228" s="13">
        <v>3</v>
      </c>
      <c r="H1228" s="13" t="s">
        <v>42</v>
      </c>
      <c r="I1228" s="13">
        <v>1</v>
      </c>
      <c r="J1228" s="13">
        <v>1720</v>
      </c>
      <c r="K1228" s="13">
        <v>1</v>
      </c>
      <c r="L1228" s="13" t="s">
        <v>63</v>
      </c>
      <c r="M1228" s="13">
        <v>56</v>
      </c>
      <c r="N1228" s="13">
        <v>3</v>
      </c>
      <c r="O1228" s="13">
        <v>1</v>
      </c>
      <c r="P1228" s="13" t="s">
        <v>65</v>
      </c>
      <c r="Q1228" s="13">
        <v>3</v>
      </c>
      <c r="R1228" s="13" t="s">
        <v>66</v>
      </c>
      <c r="S1228" s="20">
        <v>3433</v>
      </c>
      <c r="T1228" s="13">
        <v>17360</v>
      </c>
      <c r="U1228" s="13">
        <v>6</v>
      </c>
      <c r="V1228" s="13" t="s">
        <v>52</v>
      </c>
      <c r="W1228" s="13" t="s">
        <v>59</v>
      </c>
      <c r="X1228" s="13">
        <v>13</v>
      </c>
      <c r="Y1228" s="13">
        <v>3</v>
      </c>
      <c r="Z1228" s="13">
        <v>1</v>
      </c>
      <c r="AA1228" s="13">
        <v>80</v>
      </c>
      <c r="AB1228" s="13">
        <v>1</v>
      </c>
      <c r="AC1228" s="13">
        <v>10</v>
      </c>
      <c r="AD1228" s="13">
        <v>3</v>
      </c>
      <c r="AE1228" s="13">
        <v>2</v>
      </c>
      <c r="AF1228" s="14">
        <v>5</v>
      </c>
      <c r="AG1228" s="13">
        <v>2</v>
      </c>
      <c r="AH1228" s="13">
        <v>1</v>
      </c>
      <c r="AI1228" s="13">
        <v>3</v>
      </c>
      <c r="AJ1228" s="13" t="str">
        <f t="shared" si="19"/>
        <v>30-39</v>
      </c>
      <c r="AK1228" s="13" t="str">
        <f>IF(tblCleanData[[#This Row],[MonthlyIncome]]&lt;5000, "Low Income", IF(tblCleanData[[#This Row],[MonthlyIncome]]&lt;15000, "Medium Income", "High Income"))</f>
        <v>Low Income</v>
      </c>
      <c r="AL1228" s="13">
        <f>IF(tblCleanData[[#This Row],[Attrition]]="No", 0,1)</f>
        <v>0</v>
      </c>
      <c r="AM1228" s="13">
        <f>IF(tblCleanData[[#This Row],[OverTime]] = "No", 0, 1)</f>
        <v>0</v>
      </c>
      <c r="AN1228" s="13" t="str">
        <f>CHOOSE(tblCleanData[[#This Row],[Education]], "Below College","College","Bachelor","Master","Doctor")</f>
        <v>Bachelor</v>
      </c>
      <c r="AO1228" s="13" t="str">
        <f>VLOOKUP(tblCleanData[[#This Row],[EmployeeNumber]],tblHelpers[],15,TRUE)</f>
        <v>Medium Risk</v>
      </c>
      <c r="AP1228" s="13">
        <f>VLOOKUP(tblCleanData[[#This Row],[EmployeeNumber]],tblHelpers[],14,0)</f>
        <v>53</v>
      </c>
    </row>
    <row r="1229" spans="1:42" x14ac:dyDescent="0.25">
      <c r="A1229" s="13">
        <v>31</v>
      </c>
      <c r="B1229" s="13" t="s">
        <v>59</v>
      </c>
      <c r="C1229" s="13" t="s">
        <v>37</v>
      </c>
      <c r="D1229" s="13">
        <v>741</v>
      </c>
      <c r="E1229" s="13" t="s">
        <v>62</v>
      </c>
      <c r="F1229" s="13">
        <v>2</v>
      </c>
      <c r="G1229" s="13">
        <v>4</v>
      </c>
      <c r="H1229" s="13" t="s">
        <v>42</v>
      </c>
      <c r="I1229" s="13">
        <v>1</v>
      </c>
      <c r="J1229" s="13">
        <v>1721</v>
      </c>
      <c r="K1229" s="13">
        <v>2</v>
      </c>
      <c r="L1229" s="13" t="s">
        <v>63</v>
      </c>
      <c r="M1229" s="13">
        <v>69</v>
      </c>
      <c r="N1229" s="13">
        <v>3</v>
      </c>
      <c r="O1229" s="13">
        <v>1</v>
      </c>
      <c r="P1229" s="13" t="s">
        <v>76</v>
      </c>
      <c r="Q1229" s="13">
        <v>3</v>
      </c>
      <c r="R1229" s="13" t="s">
        <v>66</v>
      </c>
      <c r="S1229" s="20">
        <v>3477</v>
      </c>
      <c r="T1229" s="13">
        <v>18103</v>
      </c>
      <c r="U1229" s="13">
        <v>1</v>
      </c>
      <c r="V1229" s="13" t="s">
        <v>52</v>
      </c>
      <c r="W1229" s="13" t="s">
        <v>59</v>
      </c>
      <c r="X1229" s="13">
        <v>14</v>
      </c>
      <c r="Y1229" s="13">
        <v>3</v>
      </c>
      <c r="Z1229" s="13">
        <v>4</v>
      </c>
      <c r="AA1229" s="13">
        <v>80</v>
      </c>
      <c r="AB1229" s="13">
        <v>1</v>
      </c>
      <c r="AC1229" s="13">
        <v>6</v>
      </c>
      <c r="AD1229" s="13">
        <v>2</v>
      </c>
      <c r="AE1229" s="13">
        <v>4</v>
      </c>
      <c r="AF1229" s="14">
        <v>5</v>
      </c>
      <c r="AG1229" s="13">
        <v>2</v>
      </c>
      <c r="AH1229" s="13">
        <v>0</v>
      </c>
      <c r="AI1229" s="13">
        <v>3</v>
      </c>
      <c r="AJ1229" s="13" t="str">
        <f t="shared" si="19"/>
        <v>30-39</v>
      </c>
      <c r="AK1229" s="13" t="str">
        <f>IF(tblCleanData[[#This Row],[MonthlyIncome]]&lt;5000, "Low Income", IF(tblCleanData[[#This Row],[MonthlyIncome]]&lt;15000, "Medium Income", "High Income"))</f>
        <v>Low Income</v>
      </c>
      <c r="AL1229" s="13">
        <f>IF(tblCleanData[[#This Row],[Attrition]]="No", 0,1)</f>
        <v>0</v>
      </c>
      <c r="AM1229" s="13">
        <f>IF(tblCleanData[[#This Row],[OverTime]] = "No", 0, 1)</f>
        <v>0</v>
      </c>
      <c r="AN1229" s="13" t="str">
        <f>CHOOSE(tblCleanData[[#This Row],[Education]], "Below College","College","Bachelor","Master","Doctor")</f>
        <v>Master</v>
      </c>
      <c r="AO1229" s="13" t="str">
        <f>VLOOKUP(tblCleanData[[#This Row],[EmployeeNumber]],tblHelpers[],15,TRUE)</f>
        <v>Medium Risk</v>
      </c>
      <c r="AP1229" s="13">
        <f>VLOOKUP(tblCleanData[[#This Row],[EmployeeNumber]],tblHelpers[],14,0)</f>
        <v>53</v>
      </c>
    </row>
    <row r="1230" spans="1:42" x14ac:dyDescent="0.25">
      <c r="A1230" s="13">
        <v>41</v>
      </c>
      <c r="B1230" s="13" t="s">
        <v>59</v>
      </c>
      <c r="C1230" s="13" t="s">
        <v>161</v>
      </c>
      <c r="D1230" s="13">
        <v>552</v>
      </c>
      <c r="E1230" s="13" t="s">
        <v>397</v>
      </c>
      <c r="F1230" s="13">
        <v>4</v>
      </c>
      <c r="G1230" s="13">
        <v>3</v>
      </c>
      <c r="H1230" s="13" t="s">
        <v>397</v>
      </c>
      <c r="I1230" s="13">
        <v>1</v>
      </c>
      <c r="J1230" s="13">
        <v>1722</v>
      </c>
      <c r="K1230" s="13">
        <v>3</v>
      </c>
      <c r="L1230" s="13" t="s">
        <v>63</v>
      </c>
      <c r="M1230" s="13">
        <v>60</v>
      </c>
      <c r="N1230" s="13">
        <v>1</v>
      </c>
      <c r="O1230" s="13">
        <v>2</v>
      </c>
      <c r="P1230" s="13" t="s">
        <v>397</v>
      </c>
      <c r="Q1230" s="13">
        <v>2</v>
      </c>
      <c r="R1230" s="13" t="s">
        <v>66</v>
      </c>
      <c r="S1230" s="20">
        <v>6430</v>
      </c>
      <c r="T1230" s="13">
        <v>20794</v>
      </c>
      <c r="U1230" s="13">
        <v>6</v>
      </c>
      <c r="V1230" s="13" t="s">
        <v>52</v>
      </c>
      <c r="W1230" s="13" t="s">
        <v>59</v>
      </c>
      <c r="X1230" s="13">
        <v>19</v>
      </c>
      <c r="Y1230" s="13">
        <v>3</v>
      </c>
      <c r="Z1230" s="13">
        <v>2</v>
      </c>
      <c r="AA1230" s="13">
        <v>80</v>
      </c>
      <c r="AB1230" s="13">
        <v>1</v>
      </c>
      <c r="AC1230" s="13">
        <v>10</v>
      </c>
      <c r="AD1230" s="13">
        <v>4</v>
      </c>
      <c r="AE1230" s="13">
        <v>3</v>
      </c>
      <c r="AF1230" s="14">
        <v>3</v>
      </c>
      <c r="AG1230" s="13">
        <v>2</v>
      </c>
      <c r="AH1230" s="13">
        <v>1</v>
      </c>
      <c r="AI1230" s="13">
        <v>2</v>
      </c>
      <c r="AJ1230" s="13" t="str">
        <f t="shared" si="19"/>
        <v>40-49</v>
      </c>
      <c r="AK1230" s="13" t="str">
        <f>IF(tblCleanData[[#This Row],[MonthlyIncome]]&lt;5000, "Low Income", IF(tblCleanData[[#This Row],[MonthlyIncome]]&lt;15000, "Medium Income", "High Income"))</f>
        <v>Medium Income</v>
      </c>
      <c r="AL1230" s="13">
        <f>IF(tblCleanData[[#This Row],[Attrition]]="No", 0,1)</f>
        <v>0</v>
      </c>
      <c r="AM1230" s="13">
        <f>IF(tblCleanData[[#This Row],[OverTime]] = "No", 0, 1)</f>
        <v>0</v>
      </c>
      <c r="AN1230" s="13" t="str">
        <f>CHOOSE(tblCleanData[[#This Row],[Education]], "Below College","College","Bachelor","Master","Doctor")</f>
        <v>Bachelor</v>
      </c>
      <c r="AO1230" s="13" t="str">
        <f>VLOOKUP(tblCleanData[[#This Row],[EmployeeNumber]],tblHelpers[],15,TRUE)</f>
        <v>Medium Risk</v>
      </c>
      <c r="AP1230" s="13">
        <f>VLOOKUP(tblCleanData[[#This Row],[EmployeeNumber]],tblHelpers[],14,0)</f>
        <v>49</v>
      </c>
    </row>
    <row r="1231" spans="1:42" x14ac:dyDescent="0.25">
      <c r="A1231" s="13">
        <v>40</v>
      </c>
      <c r="B1231" s="13" t="s">
        <v>59</v>
      </c>
      <c r="C1231" s="13" t="s">
        <v>37</v>
      </c>
      <c r="D1231" s="13">
        <v>369</v>
      </c>
      <c r="E1231" s="13" t="s">
        <v>62</v>
      </c>
      <c r="F1231" s="13">
        <v>8</v>
      </c>
      <c r="G1231" s="13">
        <v>2</v>
      </c>
      <c r="H1231" s="13" t="s">
        <v>42</v>
      </c>
      <c r="I1231" s="13">
        <v>1</v>
      </c>
      <c r="J1231" s="13">
        <v>1724</v>
      </c>
      <c r="K1231" s="13">
        <v>2</v>
      </c>
      <c r="L1231" s="13" t="s">
        <v>43</v>
      </c>
      <c r="M1231" s="13">
        <v>92</v>
      </c>
      <c r="N1231" s="13">
        <v>3</v>
      </c>
      <c r="O1231" s="13">
        <v>2</v>
      </c>
      <c r="P1231" s="13" t="s">
        <v>116</v>
      </c>
      <c r="Q1231" s="13">
        <v>1</v>
      </c>
      <c r="R1231" s="13" t="s">
        <v>66</v>
      </c>
      <c r="S1231" s="20">
        <v>6516</v>
      </c>
      <c r="T1231" s="13">
        <v>5041</v>
      </c>
      <c r="U1231" s="13">
        <v>2</v>
      </c>
      <c r="V1231" s="13" t="s">
        <v>52</v>
      </c>
      <c r="W1231" s="13" t="s">
        <v>36</v>
      </c>
      <c r="X1231" s="13">
        <v>16</v>
      </c>
      <c r="Y1231" s="13">
        <v>3</v>
      </c>
      <c r="Z1231" s="13">
        <v>2</v>
      </c>
      <c r="AA1231" s="13">
        <v>80</v>
      </c>
      <c r="AB1231" s="13">
        <v>1</v>
      </c>
      <c r="AC1231" s="13">
        <v>18</v>
      </c>
      <c r="AD1231" s="13">
        <v>3</v>
      </c>
      <c r="AE1231" s="13">
        <v>3</v>
      </c>
      <c r="AF1231" s="14">
        <v>1</v>
      </c>
      <c r="AG1231" s="13">
        <v>0</v>
      </c>
      <c r="AH1231" s="13">
        <v>0</v>
      </c>
      <c r="AI1231" s="13">
        <v>0</v>
      </c>
      <c r="AJ1231" s="13" t="str">
        <f t="shared" si="19"/>
        <v>40-49</v>
      </c>
      <c r="AK1231" s="13" t="str">
        <f>IF(tblCleanData[[#This Row],[MonthlyIncome]]&lt;5000, "Low Income", IF(tblCleanData[[#This Row],[MonthlyIncome]]&lt;15000, "Medium Income", "High Income"))</f>
        <v>Medium Income</v>
      </c>
      <c r="AL1231" s="13">
        <f>IF(tblCleanData[[#This Row],[Attrition]]="No", 0,1)</f>
        <v>0</v>
      </c>
      <c r="AM1231" s="13">
        <f>IF(tblCleanData[[#This Row],[OverTime]] = "No", 0, 1)</f>
        <v>1</v>
      </c>
      <c r="AN1231" s="13" t="str">
        <f>CHOOSE(tblCleanData[[#This Row],[Education]], "Below College","College","Bachelor","Master","Doctor")</f>
        <v>College</v>
      </c>
      <c r="AO1231" s="13" t="str">
        <f>VLOOKUP(tblCleanData[[#This Row],[EmployeeNumber]],tblHelpers[],15,TRUE)</f>
        <v>High Risk</v>
      </c>
      <c r="AP1231" s="13">
        <f>VLOOKUP(tblCleanData[[#This Row],[EmployeeNumber]],tblHelpers[],14,0)</f>
        <v>90</v>
      </c>
    </row>
    <row r="1232" spans="1:42" x14ac:dyDescent="0.25">
      <c r="A1232" s="13">
        <v>24</v>
      </c>
      <c r="B1232" s="13" t="s">
        <v>59</v>
      </c>
      <c r="C1232" s="13" t="s">
        <v>37</v>
      </c>
      <c r="D1232" s="13">
        <v>506</v>
      </c>
      <c r="E1232" s="13" t="s">
        <v>62</v>
      </c>
      <c r="F1232" s="13">
        <v>29</v>
      </c>
      <c r="G1232" s="13">
        <v>1</v>
      </c>
      <c r="H1232" s="13" t="s">
        <v>87</v>
      </c>
      <c r="I1232" s="13">
        <v>1</v>
      </c>
      <c r="J1232" s="13">
        <v>1725</v>
      </c>
      <c r="K1232" s="13">
        <v>2</v>
      </c>
      <c r="L1232" s="13" t="s">
        <v>63</v>
      </c>
      <c r="M1232" s="13">
        <v>91</v>
      </c>
      <c r="N1232" s="13">
        <v>3</v>
      </c>
      <c r="O1232" s="13">
        <v>1</v>
      </c>
      <c r="P1232" s="13" t="s">
        <v>76</v>
      </c>
      <c r="Q1232" s="13">
        <v>1</v>
      </c>
      <c r="R1232" s="13" t="s">
        <v>109</v>
      </c>
      <c r="S1232" s="20">
        <v>3907</v>
      </c>
      <c r="T1232" s="13">
        <v>3622</v>
      </c>
      <c r="U1232" s="13">
        <v>1</v>
      </c>
      <c r="V1232" s="13" t="s">
        <v>52</v>
      </c>
      <c r="W1232" s="13" t="s">
        <v>59</v>
      </c>
      <c r="X1232" s="13">
        <v>13</v>
      </c>
      <c r="Y1232" s="13">
        <v>3</v>
      </c>
      <c r="Z1232" s="13">
        <v>2</v>
      </c>
      <c r="AA1232" s="13">
        <v>80</v>
      </c>
      <c r="AB1232" s="13">
        <v>3</v>
      </c>
      <c r="AC1232" s="13">
        <v>6</v>
      </c>
      <c r="AD1232" s="13">
        <v>2</v>
      </c>
      <c r="AE1232" s="13">
        <v>4</v>
      </c>
      <c r="AF1232" s="14">
        <v>6</v>
      </c>
      <c r="AG1232" s="13">
        <v>2</v>
      </c>
      <c r="AH1232" s="13">
        <v>1</v>
      </c>
      <c r="AI1232" s="13">
        <v>2</v>
      </c>
      <c r="AJ1232" s="13" t="str">
        <f t="shared" si="19"/>
        <v>Under 30</v>
      </c>
      <c r="AK1232" s="13" t="str">
        <f>IF(tblCleanData[[#This Row],[MonthlyIncome]]&lt;5000, "Low Income", IF(tblCleanData[[#This Row],[MonthlyIncome]]&lt;15000, "Medium Income", "High Income"))</f>
        <v>Low Income</v>
      </c>
      <c r="AL1232" s="13">
        <f>IF(tblCleanData[[#This Row],[Attrition]]="No", 0,1)</f>
        <v>0</v>
      </c>
      <c r="AM1232" s="13">
        <f>IF(tblCleanData[[#This Row],[OverTime]] = "No", 0, 1)</f>
        <v>0</v>
      </c>
      <c r="AN1232" s="13" t="str">
        <f>CHOOSE(tblCleanData[[#This Row],[Education]], "Below College","College","Bachelor","Master","Doctor")</f>
        <v>Below College</v>
      </c>
      <c r="AO1232" s="13" t="str">
        <f>VLOOKUP(tblCleanData[[#This Row],[EmployeeNumber]],tblHelpers[],15,TRUE)</f>
        <v>High Risk</v>
      </c>
      <c r="AP1232" s="13">
        <f>VLOOKUP(tblCleanData[[#This Row],[EmployeeNumber]],tblHelpers[],14,0)</f>
        <v>68</v>
      </c>
    </row>
    <row r="1233" spans="1:42" x14ac:dyDescent="0.25">
      <c r="A1233" s="13">
        <v>46</v>
      </c>
      <c r="B1233" s="13" t="s">
        <v>59</v>
      </c>
      <c r="C1233" s="13" t="s">
        <v>37</v>
      </c>
      <c r="D1233" s="13">
        <v>717</v>
      </c>
      <c r="E1233" s="13" t="s">
        <v>62</v>
      </c>
      <c r="F1233" s="13">
        <v>13</v>
      </c>
      <c r="G1233" s="13">
        <v>4</v>
      </c>
      <c r="H1233" s="13" t="s">
        <v>42</v>
      </c>
      <c r="I1233" s="13">
        <v>1</v>
      </c>
      <c r="J1233" s="13">
        <v>1727</v>
      </c>
      <c r="K1233" s="13">
        <v>3</v>
      </c>
      <c r="L1233" s="13" t="s">
        <v>63</v>
      </c>
      <c r="M1233" s="13">
        <v>34</v>
      </c>
      <c r="N1233" s="13">
        <v>3</v>
      </c>
      <c r="O1233" s="13">
        <v>2</v>
      </c>
      <c r="P1233" s="13" t="s">
        <v>122</v>
      </c>
      <c r="Q1233" s="13">
        <v>2</v>
      </c>
      <c r="R1233" s="13" t="s">
        <v>48</v>
      </c>
      <c r="S1233" s="20">
        <v>5562</v>
      </c>
      <c r="T1233" s="13">
        <v>9697</v>
      </c>
      <c r="U1233" s="13">
        <v>6</v>
      </c>
      <c r="V1233" s="13" t="s">
        <v>52</v>
      </c>
      <c r="W1233" s="13" t="s">
        <v>59</v>
      </c>
      <c r="X1233" s="13">
        <v>14</v>
      </c>
      <c r="Y1233" s="13">
        <v>3</v>
      </c>
      <c r="Z1233" s="13">
        <v>4</v>
      </c>
      <c r="AA1233" s="13">
        <v>80</v>
      </c>
      <c r="AB1233" s="13">
        <v>0</v>
      </c>
      <c r="AC1233" s="13">
        <v>19</v>
      </c>
      <c r="AD1233" s="13">
        <v>3</v>
      </c>
      <c r="AE1233" s="13">
        <v>3</v>
      </c>
      <c r="AF1233" s="14">
        <v>10</v>
      </c>
      <c r="AG1233" s="13">
        <v>7</v>
      </c>
      <c r="AH1233" s="13">
        <v>0</v>
      </c>
      <c r="AI1233" s="13">
        <v>9</v>
      </c>
      <c r="AJ1233" s="13" t="str">
        <f t="shared" si="19"/>
        <v>40-49</v>
      </c>
      <c r="AK1233" s="13" t="str">
        <f>IF(tblCleanData[[#This Row],[MonthlyIncome]]&lt;5000, "Low Income", IF(tblCleanData[[#This Row],[MonthlyIncome]]&lt;15000, "Medium Income", "High Income"))</f>
        <v>Medium Income</v>
      </c>
      <c r="AL1233" s="13">
        <f>IF(tblCleanData[[#This Row],[Attrition]]="No", 0,1)</f>
        <v>0</v>
      </c>
      <c r="AM1233" s="13">
        <f>IF(tblCleanData[[#This Row],[OverTime]] = "No", 0, 1)</f>
        <v>0</v>
      </c>
      <c r="AN1233" s="13" t="str">
        <f>CHOOSE(tblCleanData[[#This Row],[Education]], "Below College","College","Bachelor","Master","Doctor")</f>
        <v>Master</v>
      </c>
      <c r="AO1233" s="13" t="str">
        <f>VLOOKUP(tblCleanData[[#This Row],[EmployeeNumber]],tblHelpers[],15,TRUE)</f>
        <v>Medium Risk</v>
      </c>
      <c r="AP1233" s="13">
        <f>VLOOKUP(tblCleanData[[#This Row],[EmployeeNumber]],tblHelpers[],14,0)</f>
        <v>42</v>
      </c>
    </row>
    <row r="1234" spans="1:42" x14ac:dyDescent="0.25">
      <c r="A1234" s="13">
        <v>35</v>
      </c>
      <c r="B1234" s="13" t="s">
        <v>59</v>
      </c>
      <c r="C1234" s="13" t="s">
        <v>37</v>
      </c>
      <c r="D1234" s="13">
        <v>1370</v>
      </c>
      <c r="E1234" s="13" t="s">
        <v>62</v>
      </c>
      <c r="F1234" s="13">
        <v>27</v>
      </c>
      <c r="G1234" s="13">
        <v>4</v>
      </c>
      <c r="H1234" s="13" t="s">
        <v>42</v>
      </c>
      <c r="I1234" s="13">
        <v>1</v>
      </c>
      <c r="J1234" s="13">
        <v>1728</v>
      </c>
      <c r="K1234" s="13">
        <v>4</v>
      </c>
      <c r="L1234" s="13" t="s">
        <v>63</v>
      </c>
      <c r="M1234" s="13">
        <v>49</v>
      </c>
      <c r="N1234" s="13">
        <v>3</v>
      </c>
      <c r="O1234" s="13">
        <v>2</v>
      </c>
      <c r="P1234" s="13" t="s">
        <v>116</v>
      </c>
      <c r="Q1234" s="13">
        <v>3</v>
      </c>
      <c r="R1234" s="13" t="s">
        <v>66</v>
      </c>
      <c r="S1234" s="20">
        <v>6883</v>
      </c>
      <c r="T1234" s="13">
        <v>5151</v>
      </c>
      <c r="U1234" s="13">
        <v>2</v>
      </c>
      <c r="V1234" s="13" t="s">
        <v>52</v>
      </c>
      <c r="W1234" s="13" t="s">
        <v>59</v>
      </c>
      <c r="X1234" s="13">
        <v>16</v>
      </c>
      <c r="Y1234" s="13">
        <v>3</v>
      </c>
      <c r="Z1234" s="13">
        <v>2</v>
      </c>
      <c r="AA1234" s="13">
        <v>80</v>
      </c>
      <c r="AB1234" s="13">
        <v>1</v>
      </c>
      <c r="AC1234" s="13">
        <v>17</v>
      </c>
      <c r="AD1234" s="13">
        <v>3</v>
      </c>
      <c r="AE1234" s="13">
        <v>3</v>
      </c>
      <c r="AF1234" s="14">
        <v>7</v>
      </c>
      <c r="AG1234" s="13">
        <v>7</v>
      </c>
      <c r="AH1234" s="13">
        <v>0</v>
      </c>
      <c r="AI1234" s="13">
        <v>7</v>
      </c>
      <c r="AJ1234" s="13" t="str">
        <f t="shared" si="19"/>
        <v>30-39</v>
      </c>
      <c r="AK1234" s="13" t="str">
        <f>IF(tblCleanData[[#This Row],[MonthlyIncome]]&lt;5000, "Low Income", IF(tblCleanData[[#This Row],[MonthlyIncome]]&lt;15000, "Medium Income", "High Income"))</f>
        <v>Medium Income</v>
      </c>
      <c r="AL1234" s="13">
        <f>IF(tblCleanData[[#This Row],[Attrition]]="No", 0,1)</f>
        <v>0</v>
      </c>
      <c r="AM1234" s="13">
        <f>IF(tblCleanData[[#This Row],[OverTime]] = "No", 0, 1)</f>
        <v>0</v>
      </c>
      <c r="AN1234" s="13" t="str">
        <f>CHOOSE(tblCleanData[[#This Row],[Education]], "Below College","College","Bachelor","Master","Doctor")</f>
        <v>Master</v>
      </c>
      <c r="AO1234" s="13" t="str">
        <f>VLOOKUP(tblCleanData[[#This Row],[EmployeeNumber]],tblHelpers[],15,TRUE)</f>
        <v>Medium Risk</v>
      </c>
      <c r="AP1234" s="13">
        <f>VLOOKUP(tblCleanData[[#This Row],[EmployeeNumber]],tblHelpers[],14,0)</f>
        <v>46</v>
      </c>
    </row>
    <row r="1235" spans="1:42" x14ac:dyDescent="0.25">
      <c r="A1235" s="13">
        <v>30</v>
      </c>
      <c r="B1235" s="13" t="s">
        <v>59</v>
      </c>
      <c r="C1235" s="13" t="s">
        <v>37</v>
      </c>
      <c r="D1235" s="13">
        <v>793</v>
      </c>
      <c r="E1235" s="13" t="s">
        <v>62</v>
      </c>
      <c r="F1235" s="13">
        <v>16</v>
      </c>
      <c r="G1235" s="13">
        <v>1</v>
      </c>
      <c r="H1235" s="13" t="s">
        <v>42</v>
      </c>
      <c r="I1235" s="13">
        <v>1</v>
      </c>
      <c r="J1235" s="13">
        <v>1729</v>
      </c>
      <c r="K1235" s="13">
        <v>2</v>
      </c>
      <c r="L1235" s="13" t="s">
        <v>63</v>
      </c>
      <c r="M1235" s="13">
        <v>33</v>
      </c>
      <c r="N1235" s="13">
        <v>3</v>
      </c>
      <c r="O1235" s="13">
        <v>1</v>
      </c>
      <c r="P1235" s="13" t="s">
        <v>65</v>
      </c>
      <c r="Q1235" s="13">
        <v>4</v>
      </c>
      <c r="R1235" s="13" t="s">
        <v>66</v>
      </c>
      <c r="S1235" s="20">
        <v>2862</v>
      </c>
      <c r="T1235" s="13">
        <v>3811</v>
      </c>
      <c r="U1235" s="13">
        <v>1</v>
      </c>
      <c r="V1235" s="13" t="s">
        <v>52</v>
      </c>
      <c r="W1235" s="13" t="s">
        <v>59</v>
      </c>
      <c r="X1235" s="13">
        <v>12</v>
      </c>
      <c r="Y1235" s="13">
        <v>3</v>
      </c>
      <c r="Z1235" s="13">
        <v>2</v>
      </c>
      <c r="AA1235" s="13">
        <v>80</v>
      </c>
      <c r="AB1235" s="13">
        <v>1</v>
      </c>
      <c r="AC1235" s="13">
        <v>10</v>
      </c>
      <c r="AD1235" s="13">
        <v>2</v>
      </c>
      <c r="AE1235" s="13">
        <v>2</v>
      </c>
      <c r="AF1235" s="14">
        <v>10</v>
      </c>
      <c r="AG1235" s="13">
        <v>0</v>
      </c>
      <c r="AH1235" s="13">
        <v>0</v>
      </c>
      <c r="AI1235" s="13">
        <v>8</v>
      </c>
      <c r="AJ1235" s="13" t="str">
        <f t="shared" si="19"/>
        <v>30-39</v>
      </c>
      <c r="AK1235" s="13" t="str">
        <f>IF(tblCleanData[[#This Row],[MonthlyIncome]]&lt;5000, "Low Income", IF(tblCleanData[[#This Row],[MonthlyIncome]]&lt;15000, "Medium Income", "High Income"))</f>
        <v>Low Income</v>
      </c>
      <c r="AL1235" s="13">
        <f>IF(tblCleanData[[#This Row],[Attrition]]="No", 0,1)</f>
        <v>0</v>
      </c>
      <c r="AM1235" s="13">
        <f>IF(tblCleanData[[#This Row],[OverTime]] = "No", 0, 1)</f>
        <v>0</v>
      </c>
      <c r="AN1235" s="13" t="str">
        <f>CHOOSE(tblCleanData[[#This Row],[Education]], "Below College","College","Bachelor","Master","Doctor")</f>
        <v>Below College</v>
      </c>
      <c r="AO1235" s="13" t="str">
        <f>VLOOKUP(tblCleanData[[#This Row],[EmployeeNumber]],tblHelpers[],15,TRUE)</f>
        <v>Medium Risk</v>
      </c>
      <c r="AP1235" s="13">
        <f>VLOOKUP(tblCleanData[[#This Row],[EmployeeNumber]],tblHelpers[],14,0)</f>
        <v>39</v>
      </c>
    </row>
    <row r="1236" spans="1:42" x14ac:dyDescent="0.25">
      <c r="A1236" s="13">
        <v>47</v>
      </c>
      <c r="B1236" s="13" t="s">
        <v>59</v>
      </c>
      <c r="C1236" s="13" t="s">
        <v>161</v>
      </c>
      <c r="D1236" s="13">
        <v>543</v>
      </c>
      <c r="E1236" s="13" t="s">
        <v>39</v>
      </c>
      <c r="F1236" s="13">
        <v>2</v>
      </c>
      <c r="G1236" s="13">
        <v>4</v>
      </c>
      <c r="H1236" s="13" t="s">
        <v>206</v>
      </c>
      <c r="I1236" s="13">
        <v>1</v>
      </c>
      <c r="J1236" s="13">
        <v>1731</v>
      </c>
      <c r="K1236" s="13">
        <v>3</v>
      </c>
      <c r="L1236" s="13" t="s">
        <v>63</v>
      </c>
      <c r="M1236" s="13">
        <v>87</v>
      </c>
      <c r="N1236" s="13">
        <v>3</v>
      </c>
      <c r="O1236" s="13">
        <v>2</v>
      </c>
      <c r="P1236" s="13" t="s">
        <v>46</v>
      </c>
      <c r="Q1236" s="13">
        <v>2</v>
      </c>
      <c r="R1236" s="13" t="s">
        <v>66</v>
      </c>
      <c r="S1236" s="20">
        <v>4978</v>
      </c>
      <c r="T1236" s="13">
        <v>3536</v>
      </c>
      <c r="U1236" s="13">
        <v>7</v>
      </c>
      <c r="V1236" s="13" t="s">
        <v>52</v>
      </c>
      <c r="W1236" s="13" t="s">
        <v>59</v>
      </c>
      <c r="X1236" s="13">
        <v>11</v>
      </c>
      <c r="Y1236" s="13">
        <v>3</v>
      </c>
      <c r="Z1236" s="13">
        <v>4</v>
      </c>
      <c r="AA1236" s="13">
        <v>80</v>
      </c>
      <c r="AB1236" s="13">
        <v>1</v>
      </c>
      <c r="AC1236" s="13">
        <v>4</v>
      </c>
      <c r="AD1236" s="13">
        <v>3</v>
      </c>
      <c r="AE1236" s="13">
        <v>1</v>
      </c>
      <c r="AF1236" s="14">
        <v>1</v>
      </c>
      <c r="AG1236" s="13">
        <v>0</v>
      </c>
      <c r="AH1236" s="13">
        <v>0</v>
      </c>
      <c r="AI1236" s="13">
        <v>0</v>
      </c>
      <c r="AJ1236" s="13" t="str">
        <f t="shared" si="19"/>
        <v>40-49</v>
      </c>
      <c r="AK1236" s="13" t="str">
        <f>IF(tblCleanData[[#This Row],[MonthlyIncome]]&lt;5000, "Low Income", IF(tblCleanData[[#This Row],[MonthlyIncome]]&lt;15000, "Medium Income", "High Income"))</f>
        <v>Low Income</v>
      </c>
      <c r="AL1236" s="13">
        <f>IF(tblCleanData[[#This Row],[Attrition]]="No", 0,1)</f>
        <v>0</v>
      </c>
      <c r="AM1236" s="13">
        <f>IF(tblCleanData[[#This Row],[OverTime]] = "No", 0, 1)</f>
        <v>0</v>
      </c>
      <c r="AN1236" s="13" t="str">
        <f>CHOOSE(tblCleanData[[#This Row],[Education]], "Below College","College","Bachelor","Master","Doctor")</f>
        <v>Master</v>
      </c>
      <c r="AO1236" s="13" t="str">
        <f>VLOOKUP(tblCleanData[[#This Row],[EmployeeNumber]],tblHelpers[],15,TRUE)</f>
        <v>High Risk</v>
      </c>
      <c r="AP1236" s="13">
        <f>VLOOKUP(tblCleanData[[#This Row],[EmployeeNumber]],tblHelpers[],14,0)</f>
        <v>59</v>
      </c>
    </row>
    <row r="1237" spans="1:42" x14ac:dyDescent="0.25">
      <c r="A1237" s="13">
        <v>46</v>
      </c>
      <c r="B1237" s="13" t="s">
        <v>59</v>
      </c>
      <c r="C1237" s="13" t="s">
        <v>37</v>
      </c>
      <c r="D1237" s="13">
        <v>1277</v>
      </c>
      <c r="E1237" s="13" t="s">
        <v>39</v>
      </c>
      <c r="F1237" s="13">
        <v>2</v>
      </c>
      <c r="G1237" s="13">
        <v>3</v>
      </c>
      <c r="H1237" s="13" t="s">
        <v>42</v>
      </c>
      <c r="I1237" s="13">
        <v>1</v>
      </c>
      <c r="J1237" s="13">
        <v>1732</v>
      </c>
      <c r="K1237" s="13">
        <v>3</v>
      </c>
      <c r="L1237" s="13" t="s">
        <v>63</v>
      </c>
      <c r="M1237" s="13">
        <v>74</v>
      </c>
      <c r="N1237" s="13">
        <v>3</v>
      </c>
      <c r="O1237" s="13">
        <v>3</v>
      </c>
      <c r="P1237" s="13" t="s">
        <v>46</v>
      </c>
      <c r="Q1237" s="13">
        <v>4</v>
      </c>
      <c r="R1237" s="13" t="s">
        <v>109</v>
      </c>
      <c r="S1237" s="20">
        <v>10368</v>
      </c>
      <c r="T1237" s="13">
        <v>5596</v>
      </c>
      <c r="U1237" s="13">
        <v>4</v>
      </c>
      <c r="V1237" s="13" t="s">
        <v>52</v>
      </c>
      <c r="W1237" s="13" t="s">
        <v>36</v>
      </c>
      <c r="X1237" s="13">
        <v>12</v>
      </c>
      <c r="Y1237" s="13">
        <v>3</v>
      </c>
      <c r="Z1237" s="13">
        <v>2</v>
      </c>
      <c r="AA1237" s="13">
        <v>80</v>
      </c>
      <c r="AB1237" s="13">
        <v>1</v>
      </c>
      <c r="AC1237" s="13">
        <v>13</v>
      </c>
      <c r="AD1237" s="13">
        <v>5</v>
      </c>
      <c r="AE1237" s="13">
        <v>2</v>
      </c>
      <c r="AF1237" s="14">
        <v>10</v>
      </c>
      <c r="AG1237" s="13">
        <v>6</v>
      </c>
      <c r="AH1237" s="13">
        <v>0</v>
      </c>
      <c r="AI1237" s="13">
        <v>3</v>
      </c>
      <c r="AJ1237" s="13" t="str">
        <f t="shared" si="19"/>
        <v>40-49</v>
      </c>
      <c r="AK1237" s="13" t="str">
        <f>IF(tblCleanData[[#This Row],[MonthlyIncome]]&lt;5000, "Low Income", IF(tblCleanData[[#This Row],[MonthlyIncome]]&lt;15000, "Medium Income", "High Income"))</f>
        <v>Medium Income</v>
      </c>
      <c r="AL1237" s="13">
        <f>IF(tblCleanData[[#This Row],[Attrition]]="No", 0,1)</f>
        <v>0</v>
      </c>
      <c r="AM1237" s="13">
        <f>IF(tblCleanData[[#This Row],[OverTime]] = "No", 0, 1)</f>
        <v>1</v>
      </c>
      <c r="AN1237" s="13" t="str">
        <f>CHOOSE(tblCleanData[[#This Row],[Education]], "Below College","College","Bachelor","Master","Doctor")</f>
        <v>Bachelor</v>
      </c>
      <c r="AO1237" s="13" t="str">
        <f>VLOOKUP(tblCleanData[[#This Row],[EmployeeNumber]],tblHelpers[],15,TRUE)</f>
        <v>Medium Risk</v>
      </c>
      <c r="AP1237" s="13">
        <f>VLOOKUP(tblCleanData[[#This Row],[EmployeeNumber]],tblHelpers[],14,0)</f>
        <v>54</v>
      </c>
    </row>
    <row r="1238" spans="1:42" x14ac:dyDescent="0.25">
      <c r="A1238" s="13">
        <v>36</v>
      </c>
      <c r="B1238" s="13" t="s">
        <v>36</v>
      </c>
      <c r="C1238" s="13" t="s">
        <v>37</v>
      </c>
      <c r="D1238" s="13">
        <v>1456</v>
      </c>
      <c r="E1238" s="13" t="s">
        <v>39</v>
      </c>
      <c r="F1238" s="13">
        <v>13</v>
      </c>
      <c r="G1238" s="13">
        <v>5</v>
      </c>
      <c r="H1238" s="13" t="s">
        <v>206</v>
      </c>
      <c r="I1238" s="13">
        <v>1</v>
      </c>
      <c r="J1238" s="13">
        <v>1733</v>
      </c>
      <c r="K1238" s="13">
        <v>2</v>
      </c>
      <c r="L1238" s="13" t="s">
        <v>63</v>
      </c>
      <c r="M1238" s="13">
        <v>96</v>
      </c>
      <c r="N1238" s="13">
        <v>2</v>
      </c>
      <c r="O1238" s="13">
        <v>2</v>
      </c>
      <c r="P1238" s="13" t="s">
        <v>46</v>
      </c>
      <c r="Q1238" s="13">
        <v>1</v>
      </c>
      <c r="R1238" s="13" t="s">
        <v>109</v>
      </c>
      <c r="S1238" s="20">
        <v>6134</v>
      </c>
      <c r="T1238" s="13">
        <v>8658</v>
      </c>
      <c r="U1238" s="13">
        <v>5</v>
      </c>
      <c r="V1238" s="13" t="s">
        <v>52</v>
      </c>
      <c r="W1238" s="13" t="s">
        <v>36</v>
      </c>
      <c r="X1238" s="13">
        <v>13</v>
      </c>
      <c r="Y1238" s="13">
        <v>3</v>
      </c>
      <c r="Z1238" s="13">
        <v>2</v>
      </c>
      <c r="AA1238" s="13">
        <v>80</v>
      </c>
      <c r="AB1238" s="13">
        <v>3</v>
      </c>
      <c r="AC1238" s="13">
        <v>16</v>
      </c>
      <c r="AD1238" s="13">
        <v>3</v>
      </c>
      <c r="AE1238" s="13">
        <v>3</v>
      </c>
      <c r="AF1238" s="14">
        <v>2</v>
      </c>
      <c r="AG1238" s="13">
        <v>2</v>
      </c>
      <c r="AH1238" s="13">
        <v>2</v>
      </c>
      <c r="AI1238" s="13">
        <v>2</v>
      </c>
      <c r="AJ1238" s="13" t="str">
        <f t="shared" si="19"/>
        <v>30-39</v>
      </c>
      <c r="AK1238" s="13" t="str">
        <f>IF(tblCleanData[[#This Row],[MonthlyIncome]]&lt;5000, "Low Income", IF(tblCleanData[[#This Row],[MonthlyIncome]]&lt;15000, "Medium Income", "High Income"))</f>
        <v>Medium Income</v>
      </c>
      <c r="AL1238" s="13">
        <f>IF(tblCleanData[[#This Row],[Attrition]]="No", 0,1)</f>
        <v>1</v>
      </c>
      <c r="AM1238" s="13">
        <f>IF(tblCleanData[[#This Row],[OverTime]] = "No", 0, 1)</f>
        <v>1</v>
      </c>
      <c r="AN1238" s="13" t="str">
        <f>CHOOSE(tblCleanData[[#This Row],[Education]], "Below College","College","Bachelor","Master","Doctor")</f>
        <v>Doctor</v>
      </c>
      <c r="AO1238" s="13" t="str">
        <f>VLOOKUP(tblCleanData[[#This Row],[EmployeeNumber]],tblHelpers[],15,TRUE)</f>
        <v>High Risk</v>
      </c>
      <c r="AP1238" s="13">
        <f>VLOOKUP(tblCleanData[[#This Row],[EmployeeNumber]],tblHelpers[],14,0)</f>
        <v>100</v>
      </c>
    </row>
    <row r="1239" spans="1:42" x14ac:dyDescent="0.25">
      <c r="A1239" s="13">
        <v>32</v>
      </c>
      <c r="B1239" s="13" t="s">
        <v>36</v>
      </c>
      <c r="C1239" s="13" t="s">
        <v>37</v>
      </c>
      <c r="D1239" s="13">
        <v>964</v>
      </c>
      <c r="E1239" s="13" t="s">
        <v>39</v>
      </c>
      <c r="F1239" s="13">
        <v>1</v>
      </c>
      <c r="G1239" s="13">
        <v>2</v>
      </c>
      <c r="H1239" s="13" t="s">
        <v>42</v>
      </c>
      <c r="I1239" s="13">
        <v>1</v>
      </c>
      <c r="J1239" s="13">
        <v>1734</v>
      </c>
      <c r="K1239" s="13">
        <v>1</v>
      </c>
      <c r="L1239" s="13" t="s">
        <v>63</v>
      </c>
      <c r="M1239" s="13">
        <v>34</v>
      </c>
      <c r="N1239" s="13">
        <v>1</v>
      </c>
      <c r="O1239" s="13">
        <v>2</v>
      </c>
      <c r="P1239" s="13" t="s">
        <v>46</v>
      </c>
      <c r="Q1239" s="13">
        <v>2</v>
      </c>
      <c r="R1239" s="13" t="s">
        <v>48</v>
      </c>
      <c r="S1239" s="20">
        <v>6735</v>
      </c>
      <c r="T1239" s="13">
        <v>12147</v>
      </c>
      <c r="U1239" s="13">
        <v>6</v>
      </c>
      <c r="V1239" s="13" t="s">
        <v>52</v>
      </c>
      <c r="W1239" s="13" t="s">
        <v>59</v>
      </c>
      <c r="X1239" s="13">
        <v>15</v>
      </c>
      <c r="Y1239" s="13">
        <v>3</v>
      </c>
      <c r="Z1239" s="13">
        <v>2</v>
      </c>
      <c r="AA1239" s="13">
        <v>80</v>
      </c>
      <c r="AB1239" s="13">
        <v>0</v>
      </c>
      <c r="AC1239" s="13">
        <v>10</v>
      </c>
      <c r="AD1239" s="13">
        <v>2</v>
      </c>
      <c r="AE1239" s="13">
        <v>3</v>
      </c>
      <c r="AF1239" s="14">
        <v>0</v>
      </c>
      <c r="AG1239" s="13">
        <v>0</v>
      </c>
      <c r="AH1239" s="13">
        <v>0</v>
      </c>
      <c r="AI1239" s="13">
        <v>0</v>
      </c>
      <c r="AJ1239" s="13" t="str">
        <f t="shared" si="19"/>
        <v>30-39</v>
      </c>
      <c r="AK1239" s="13" t="str">
        <f>IF(tblCleanData[[#This Row],[MonthlyIncome]]&lt;5000, "Low Income", IF(tblCleanData[[#This Row],[MonthlyIncome]]&lt;15000, "Medium Income", "High Income"))</f>
        <v>Medium Income</v>
      </c>
      <c r="AL1239" s="13">
        <f>IF(tblCleanData[[#This Row],[Attrition]]="No", 0,1)</f>
        <v>1</v>
      </c>
      <c r="AM1239" s="13">
        <f>IF(tblCleanData[[#This Row],[OverTime]] = "No", 0, 1)</f>
        <v>0</v>
      </c>
      <c r="AN1239" s="13" t="str">
        <f>CHOOSE(tblCleanData[[#This Row],[Education]], "Below College","College","Bachelor","Master","Doctor")</f>
        <v>College</v>
      </c>
      <c r="AO1239" s="13" t="str">
        <f>VLOOKUP(tblCleanData[[#This Row],[EmployeeNumber]],tblHelpers[],15,TRUE)</f>
        <v>High Risk</v>
      </c>
      <c r="AP1239" s="13">
        <f>VLOOKUP(tblCleanData[[#This Row],[EmployeeNumber]],tblHelpers[],14,0)</f>
        <v>69</v>
      </c>
    </row>
    <row r="1240" spans="1:42" x14ac:dyDescent="0.25">
      <c r="A1240" s="13">
        <v>23</v>
      </c>
      <c r="B1240" s="13" t="s">
        <v>59</v>
      </c>
      <c r="C1240" s="13" t="s">
        <v>37</v>
      </c>
      <c r="D1240" s="13">
        <v>160</v>
      </c>
      <c r="E1240" s="13" t="s">
        <v>62</v>
      </c>
      <c r="F1240" s="13">
        <v>4</v>
      </c>
      <c r="G1240" s="13">
        <v>1</v>
      </c>
      <c r="H1240" s="13" t="s">
        <v>87</v>
      </c>
      <c r="I1240" s="13">
        <v>1</v>
      </c>
      <c r="J1240" s="13">
        <v>1735</v>
      </c>
      <c r="K1240" s="13">
        <v>3</v>
      </c>
      <c r="L1240" s="13" t="s">
        <v>43</v>
      </c>
      <c r="M1240" s="13">
        <v>51</v>
      </c>
      <c r="N1240" s="13">
        <v>3</v>
      </c>
      <c r="O1240" s="13">
        <v>1</v>
      </c>
      <c r="P1240" s="13" t="s">
        <v>76</v>
      </c>
      <c r="Q1240" s="13">
        <v>2</v>
      </c>
      <c r="R1240" s="13" t="s">
        <v>48</v>
      </c>
      <c r="S1240" s="20">
        <v>3295</v>
      </c>
      <c r="T1240" s="13">
        <v>12862</v>
      </c>
      <c r="U1240" s="13">
        <v>1</v>
      </c>
      <c r="V1240" s="13" t="s">
        <v>52</v>
      </c>
      <c r="W1240" s="13" t="s">
        <v>59</v>
      </c>
      <c r="X1240" s="13">
        <v>13</v>
      </c>
      <c r="Y1240" s="13">
        <v>3</v>
      </c>
      <c r="Z1240" s="13">
        <v>3</v>
      </c>
      <c r="AA1240" s="13">
        <v>80</v>
      </c>
      <c r="AB1240" s="13">
        <v>0</v>
      </c>
      <c r="AC1240" s="13">
        <v>3</v>
      </c>
      <c r="AD1240" s="13">
        <v>3</v>
      </c>
      <c r="AE1240" s="13">
        <v>1</v>
      </c>
      <c r="AF1240" s="14">
        <v>3</v>
      </c>
      <c r="AG1240" s="13">
        <v>2</v>
      </c>
      <c r="AH1240" s="13">
        <v>1</v>
      </c>
      <c r="AI1240" s="13">
        <v>2</v>
      </c>
      <c r="AJ1240" s="13" t="str">
        <f t="shared" si="19"/>
        <v>Under 30</v>
      </c>
      <c r="AK1240" s="13" t="str">
        <f>IF(tblCleanData[[#This Row],[MonthlyIncome]]&lt;5000, "Low Income", IF(tblCleanData[[#This Row],[MonthlyIncome]]&lt;15000, "Medium Income", "High Income"))</f>
        <v>Low Income</v>
      </c>
      <c r="AL1240" s="13">
        <f>IF(tblCleanData[[#This Row],[Attrition]]="No", 0,1)</f>
        <v>0</v>
      </c>
      <c r="AM1240" s="13">
        <f>IF(tblCleanData[[#This Row],[OverTime]] = "No", 0, 1)</f>
        <v>0</v>
      </c>
      <c r="AN1240" s="13" t="str">
        <f>CHOOSE(tblCleanData[[#This Row],[Education]], "Below College","College","Bachelor","Master","Doctor")</f>
        <v>Below College</v>
      </c>
      <c r="AO1240" s="13" t="str">
        <f>VLOOKUP(tblCleanData[[#This Row],[EmployeeNumber]],tblHelpers[],15,TRUE)</f>
        <v>High Risk</v>
      </c>
      <c r="AP1240" s="13">
        <f>VLOOKUP(tblCleanData[[#This Row],[EmployeeNumber]],tblHelpers[],14,0)</f>
        <v>69</v>
      </c>
    </row>
    <row r="1241" spans="1:42" x14ac:dyDescent="0.25">
      <c r="A1241" s="13">
        <v>31</v>
      </c>
      <c r="B1241" s="13" t="s">
        <v>59</v>
      </c>
      <c r="C1241" s="13" t="s">
        <v>60</v>
      </c>
      <c r="D1241" s="13">
        <v>163</v>
      </c>
      <c r="E1241" s="13" t="s">
        <v>62</v>
      </c>
      <c r="F1241" s="13">
        <v>24</v>
      </c>
      <c r="G1241" s="13">
        <v>1</v>
      </c>
      <c r="H1241" s="13" t="s">
        <v>228</v>
      </c>
      <c r="I1241" s="13">
        <v>1</v>
      </c>
      <c r="J1241" s="13">
        <v>1736</v>
      </c>
      <c r="K1241" s="13">
        <v>4</v>
      </c>
      <c r="L1241" s="13" t="s">
        <v>43</v>
      </c>
      <c r="M1241" s="13">
        <v>30</v>
      </c>
      <c r="N1241" s="13">
        <v>3</v>
      </c>
      <c r="O1241" s="13">
        <v>2</v>
      </c>
      <c r="P1241" s="13" t="s">
        <v>116</v>
      </c>
      <c r="Q1241" s="13">
        <v>4</v>
      </c>
      <c r="R1241" s="13" t="s">
        <v>48</v>
      </c>
      <c r="S1241" s="20">
        <v>5238</v>
      </c>
      <c r="T1241" s="13">
        <v>6670</v>
      </c>
      <c r="U1241" s="13">
        <v>2</v>
      </c>
      <c r="V1241" s="13" t="s">
        <v>52</v>
      </c>
      <c r="W1241" s="13" t="s">
        <v>59</v>
      </c>
      <c r="X1241" s="13">
        <v>20</v>
      </c>
      <c r="Y1241" s="13">
        <v>4</v>
      </c>
      <c r="Z1241" s="13">
        <v>4</v>
      </c>
      <c r="AA1241" s="13">
        <v>80</v>
      </c>
      <c r="AB1241" s="13">
        <v>0</v>
      </c>
      <c r="AC1241" s="13">
        <v>9</v>
      </c>
      <c r="AD1241" s="13">
        <v>3</v>
      </c>
      <c r="AE1241" s="13">
        <v>2</v>
      </c>
      <c r="AF1241" s="14">
        <v>5</v>
      </c>
      <c r="AG1241" s="13">
        <v>4</v>
      </c>
      <c r="AH1241" s="13">
        <v>1</v>
      </c>
      <c r="AI1241" s="13">
        <v>4</v>
      </c>
      <c r="AJ1241" s="13" t="str">
        <f t="shared" si="19"/>
        <v>30-39</v>
      </c>
      <c r="AK1241" s="13" t="str">
        <f>IF(tblCleanData[[#This Row],[MonthlyIncome]]&lt;5000, "Low Income", IF(tblCleanData[[#This Row],[MonthlyIncome]]&lt;15000, "Medium Income", "High Income"))</f>
        <v>Medium Income</v>
      </c>
      <c r="AL1241" s="13">
        <f>IF(tblCleanData[[#This Row],[Attrition]]="No", 0,1)</f>
        <v>0</v>
      </c>
      <c r="AM1241" s="13">
        <f>IF(tblCleanData[[#This Row],[OverTime]] = "No", 0, 1)</f>
        <v>0</v>
      </c>
      <c r="AN1241" s="13" t="str">
        <f>CHOOSE(tblCleanData[[#This Row],[Education]], "Below College","College","Bachelor","Master","Doctor")</f>
        <v>Below College</v>
      </c>
      <c r="AO1241" s="13" t="str">
        <f>VLOOKUP(tblCleanData[[#This Row],[EmployeeNumber]],tblHelpers[],15,TRUE)</f>
        <v>Medium Risk</v>
      </c>
      <c r="AP1241" s="13">
        <f>VLOOKUP(tblCleanData[[#This Row],[EmployeeNumber]],tblHelpers[],14,0)</f>
        <v>46</v>
      </c>
    </row>
    <row r="1242" spans="1:42" x14ac:dyDescent="0.25">
      <c r="A1242" s="13">
        <v>39</v>
      </c>
      <c r="B1242" s="13" t="s">
        <v>59</v>
      </c>
      <c r="C1242" s="13" t="s">
        <v>161</v>
      </c>
      <c r="D1242" s="13">
        <v>792</v>
      </c>
      <c r="E1242" s="13" t="s">
        <v>62</v>
      </c>
      <c r="F1242" s="13">
        <v>1</v>
      </c>
      <c r="G1242" s="13">
        <v>3</v>
      </c>
      <c r="H1242" s="13" t="s">
        <v>42</v>
      </c>
      <c r="I1242" s="13">
        <v>1</v>
      </c>
      <c r="J1242" s="13">
        <v>1737</v>
      </c>
      <c r="K1242" s="13">
        <v>4</v>
      </c>
      <c r="L1242" s="13" t="s">
        <v>63</v>
      </c>
      <c r="M1242" s="13">
        <v>77</v>
      </c>
      <c r="N1242" s="13">
        <v>3</v>
      </c>
      <c r="O1242" s="13">
        <v>2</v>
      </c>
      <c r="P1242" s="13" t="s">
        <v>76</v>
      </c>
      <c r="Q1242" s="13">
        <v>4</v>
      </c>
      <c r="R1242" s="13" t="s">
        <v>66</v>
      </c>
      <c r="S1242" s="20">
        <v>6472</v>
      </c>
      <c r="T1242" s="13">
        <v>8989</v>
      </c>
      <c r="U1242" s="13">
        <v>1</v>
      </c>
      <c r="V1242" s="13" t="s">
        <v>52</v>
      </c>
      <c r="W1242" s="13" t="s">
        <v>36</v>
      </c>
      <c r="X1242" s="13">
        <v>15</v>
      </c>
      <c r="Y1242" s="13">
        <v>3</v>
      </c>
      <c r="Z1242" s="13">
        <v>4</v>
      </c>
      <c r="AA1242" s="13">
        <v>80</v>
      </c>
      <c r="AB1242" s="13">
        <v>1</v>
      </c>
      <c r="AC1242" s="13">
        <v>9</v>
      </c>
      <c r="AD1242" s="13">
        <v>2</v>
      </c>
      <c r="AE1242" s="13">
        <v>3</v>
      </c>
      <c r="AF1242" s="14">
        <v>9</v>
      </c>
      <c r="AG1242" s="13">
        <v>8</v>
      </c>
      <c r="AH1242" s="13">
        <v>5</v>
      </c>
      <c r="AI1242" s="13">
        <v>8</v>
      </c>
      <c r="AJ1242" s="13" t="str">
        <f t="shared" si="19"/>
        <v>30-39</v>
      </c>
      <c r="AK1242" s="13" t="str">
        <f>IF(tblCleanData[[#This Row],[MonthlyIncome]]&lt;5000, "Low Income", IF(tblCleanData[[#This Row],[MonthlyIncome]]&lt;15000, "Medium Income", "High Income"))</f>
        <v>Medium Income</v>
      </c>
      <c r="AL1242" s="13">
        <f>IF(tblCleanData[[#This Row],[Attrition]]="No", 0,1)</f>
        <v>0</v>
      </c>
      <c r="AM1242" s="13">
        <f>IF(tblCleanData[[#This Row],[OverTime]] = "No", 0, 1)</f>
        <v>1</v>
      </c>
      <c r="AN1242" s="13" t="str">
        <f>CHOOSE(tblCleanData[[#This Row],[Education]], "Below College","College","Bachelor","Master","Doctor")</f>
        <v>Bachelor</v>
      </c>
      <c r="AO1242" s="13" t="str">
        <f>VLOOKUP(tblCleanData[[#This Row],[EmployeeNumber]],tblHelpers[],15,TRUE)</f>
        <v>High Risk</v>
      </c>
      <c r="AP1242" s="13">
        <f>VLOOKUP(tblCleanData[[#This Row],[EmployeeNumber]],tblHelpers[],14,0)</f>
        <v>64</v>
      </c>
    </row>
    <row r="1243" spans="1:42" x14ac:dyDescent="0.25">
      <c r="A1243" s="13">
        <v>32</v>
      </c>
      <c r="B1243" s="13" t="s">
        <v>59</v>
      </c>
      <c r="C1243" s="13" t="s">
        <v>37</v>
      </c>
      <c r="D1243" s="13">
        <v>371</v>
      </c>
      <c r="E1243" s="13" t="s">
        <v>39</v>
      </c>
      <c r="F1243" s="13">
        <v>19</v>
      </c>
      <c r="G1243" s="13">
        <v>3</v>
      </c>
      <c r="H1243" s="13" t="s">
        <v>42</v>
      </c>
      <c r="I1243" s="13">
        <v>1</v>
      </c>
      <c r="J1243" s="13">
        <v>1739</v>
      </c>
      <c r="K1243" s="13">
        <v>4</v>
      </c>
      <c r="L1243" s="13" t="s">
        <v>63</v>
      </c>
      <c r="M1243" s="13">
        <v>80</v>
      </c>
      <c r="N1243" s="13">
        <v>1</v>
      </c>
      <c r="O1243" s="13">
        <v>3</v>
      </c>
      <c r="P1243" s="13" t="s">
        <v>46</v>
      </c>
      <c r="Q1243" s="13">
        <v>3</v>
      </c>
      <c r="R1243" s="13" t="s">
        <v>66</v>
      </c>
      <c r="S1243" s="20">
        <v>9610</v>
      </c>
      <c r="T1243" s="13">
        <v>3840</v>
      </c>
      <c r="U1243" s="13">
        <v>3</v>
      </c>
      <c r="V1243" s="13" t="s">
        <v>52</v>
      </c>
      <c r="W1243" s="13" t="s">
        <v>59</v>
      </c>
      <c r="X1243" s="13">
        <v>13</v>
      </c>
      <c r="Y1243" s="13">
        <v>3</v>
      </c>
      <c r="Z1243" s="13">
        <v>3</v>
      </c>
      <c r="AA1243" s="13">
        <v>80</v>
      </c>
      <c r="AB1243" s="13">
        <v>1</v>
      </c>
      <c r="AC1243" s="13">
        <v>10</v>
      </c>
      <c r="AD1243" s="13">
        <v>2</v>
      </c>
      <c r="AE1243" s="13">
        <v>1</v>
      </c>
      <c r="AF1243" s="14">
        <v>4</v>
      </c>
      <c r="AG1243" s="13">
        <v>3</v>
      </c>
      <c r="AH1243" s="13">
        <v>0</v>
      </c>
      <c r="AI1243" s="13">
        <v>2</v>
      </c>
      <c r="AJ1243" s="13" t="str">
        <f t="shared" si="19"/>
        <v>30-39</v>
      </c>
      <c r="AK1243" s="13" t="str">
        <f>IF(tblCleanData[[#This Row],[MonthlyIncome]]&lt;5000, "Low Income", IF(tblCleanData[[#This Row],[MonthlyIncome]]&lt;15000, "Medium Income", "High Income"))</f>
        <v>Medium Income</v>
      </c>
      <c r="AL1243" s="13">
        <f>IF(tblCleanData[[#This Row],[Attrition]]="No", 0,1)</f>
        <v>0</v>
      </c>
      <c r="AM1243" s="13">
        <f>IF(tblCleanData[[#This Row],[OverTime]] = "No", 0, 1)</f>
        <v>0</v>
      </c>
      <c r="AN1243" s="13" t="str">
        <f>CHOOSE(tblCleanData[[#This Row],[Education]], "Below College","College","Bachelor","Master","Doctor")</f>
        <v>Bachelor</v>
      </c>
      <c r="AO1243" s="13" t="str">
        <f>VLOOKUP(tblCleanData[[#This Row],[EmployeeNumber]],tblHelpers[],15,TRUE)</f>
        <v>Medium Risk</v>
      </c>
      <c r="AP1243" s="13">
        <f>VLOOKUP(tblCleanData[[#This Row],[EmployeeNumber]],tblHelpers[],14,0)</f>
        <v>53</v>
      </c>
    </row>
    <row r="1244" spans="1:42" x14ac:dyDescent="0.25">
      <c r="A1244" s="13">
        <v>40</v>
      </c>
      <c r="B1244" s="13" t="s">
        <v>59</v>
      </c>
      <c r="C1244" s="13" t="s">
        <v>37</v>
      </c>
      <c r="D1244" s="13">
        <v>611</v>
      </c>
      <c r="E1244" s="13" t="s">
        <v>39</v>
      </c>
      <c r="F1244" s="13">
        <v>7</v>
      </c>
      <c r="G1244" s="13">
        <v>4</v>
      </c>
      <c r="H1244" s="13" t="s">
        <v>87</v>
      </c>
      <c r="I1244" s="13">
        <v>1</v>
      </c>
      <c r="J1244" s="13">
        <v>1740</v>
      </c>
      <c r="K1244" s="13">
        <v>2</v>
      </c>
      <c r="L1244" s="13" t="s">
        <v>63</v>
      </c>
      <c r="M1244" s="13">
        <v>88</v>
      </c>
      <c r="N1244" s="13">
        <v>3</v>
      </c>
      <c r="O1244" s="13">
        <v>5</v>
      </c>
      <c r="P1244" s="13" t="s">
        <v>169</v>
      </c>
      <c r="Q1244" s="13">
        <v>2</v>
      </c>
      <c r="R1244" s="13" t="s">
        <v>48</v>
      </c>
      <c r="S1244" s="20">
        <v>19833</v>
      </c>
      <c r="T1244" s="13">
        <v>4349</v>
      </c>
      <c r="U1244" s="13">
        <v>1</v>
      </c>
      <c r="V1244" s="13" t="s">
        <v>52</v>
      </c>
      <c r="W1244" s="13" t="s">
        <v>59</v>
      </c>
      <c r="X1244" s="13">
        <v>14</v>
      </c>
      <c r="Y1244" s="13">
        <v>3</v>
      </c>
      <c r="Z1244" s="13">
        <v>2</v>
      </c>
      <c r="AA1244" s="13">
        <v>80</v>
      </c>
      <c r="AB1244" s="13">
        <v>0</v>
      </c>
      <c r="AC1244" s="13">
        <v>21</v>
      </c>
      <c r="AD1244" s="13">
        <v>3</v>
      </c>
      <c r="AE1244" s="13">
        <v>2</v>
      </c>
      <c r="AF1244" s="14">
        <v>21</v>
      </c>
      <c r="AG1244" s="13">
        <v>8</v>
      </c>
      <c r="AH1244" s="13">
        <v>12</v>
      </c>
      <c r="AI1244" s="13">
        <v>8</v>
      </c>
      <c r="AJ1244" s="13" t="str">
        <f t="shared" si="19"/>
        <v>40-49</v>
      </c>
      <c r="AK1244" s="13" t="str">
        <f>IF(tblCleanData[[#This Row],[MonthlyIncome]]&lt;5000, "Low Income", IF(tblCleanData[[#This Row],[MonthlyIncome]]&lt;15000, "Medium Income", "High Income"))</f>
        <v>High Income</v>
      </c>
      <c r="AL1244" s="13">
        <f>IF(tblCleanData[[#This Row],[Attrition]]="No", 0,1)</f>
        <v>0</v>
      </c>
      <c r="AM1244" s="13">
        <f>IF(tblCleanData[[#This Row],[OverTime]] = "No", 0, 1)</f>
        <v>0</v>
      </c>
      <c r="AN1244" s="13" t="str">
        <f>CHOOSE(tblCleanData[[#This Row],[Education]], "Below College","College","Bachelor","Master","Doctor")</f>
        <v>Master</v>
      </c>
      <c r="AO1244" s="13" t="str">
        <f>VLOOKUP(tblCleanData[[#This Row],[EmployeeNumber]],tblHelpers[],15,TRUE)</f>
        <v>Medium Risk</v>
      </c>
      <c r="AP1244" s="13">
        <f>VLOOKUP(tblCleanData[[#This Row],[EmployeeNumber]],tblHelpers[],14,0)</f>
        <v>37</v>
      </c>
    </row>
    <row r="1245" spans="1:42" x14ac:dyDescent="0.25">
      <c r="A1245" s="13">
        <v>45</v>
      </c>
      <c r="B1245" s="13" t="s">
        <v>59</v>
      </c>
      <c r="C1245" s="13" t="s">
        <v>37</v>
      </c>
      <c r="D1245" s="13">
        <v>176</v>
      </c>
      <c r="E1245" s="13" t="s">
        <v>397</v>
      </c>
      <c r="F1245" s="13">
        <v>4</v>
      </c>
      <c r="G1245" s="13">
        <v>3</v>
      </c>
      <c r="H1245" s="13" t="s">
        <v>42</v>
      </c>
      <c r="I1245" s="13">
        <v>1</v>
      </c>
      <c r="J1245" s="13">
        <v>1744</v>
      </c>
      <c r="K1245" s="13">
        <v>3</v>
      </c>
      <c r="L1245" s="13" t="s">
        <v>43</v>
      </c>
      <c r="M1245" s="13">
        <v>56</v>
      </c>
      <c r="N1245" s="13">
        <v>1</v>
      </c>
      <c r="O1245" s="13">
        <v>3</v>
      </c>
      <c r="P1245" s="13" t="s">
        <v>397</v>
      </c>
      <c r="Q1245" s="13">
        <v>3</v>
      </c>
      <c r="R1245" s="13" t="s">
        <v>66</v>
      </c>
      <c r="S1245" s="20">
        <v>9756</v>
      </c>
      <c r="T1245" s="13">
        <v>6595</v>
      </c>
      <c r="U1245" s="13">
        <v>4</v>
      </c>
      <c r="V1245" s="13" t="s">
        <v>52</v>
      </c>
      <c r="W1245" s="13" t="s">
        <v>59</v>
      </c>
      <c r="X1245" s="13">
        <v>21</v>
      </c>
      <c r="Y1245" s="13">
        <v>4</v>
      </c>
      <c r="Z1245" s="13">
        <v>3</v>
      </c>
      <c r="AA1245" s="13">
        <v>80</v>
      </c>
      <c r="AB1245" s="13">
        <v>2</v>
      </c>
      <c r="AC1245" s="13">
        <v>9</v>
      </c>
      <c r="AD1245" s="13">
        <v>2</v>
      </c>
      <c r="AE1245" s="13">
        <v>4</v>
      </c>
      <c r="AF1245" s="14">
        <v>5</v>
      </c>
      <c r="AG1245" s="13">
        <v>0</v>
      </c>
      <c r="AH1245" s="13">
        <v>0</v>
      </c>
      <c r="AI1245" s="13">
        <v>3</v>
      </c>
      <c r="AJ1245" s="13" t="str">
        <f t="shared" si="19"/>
        <v>40-49</v>
      </c>
      <c r="AK1245" s="13" t="str">
        <f>IF(tblCleanData[[#This Row],[MonthlyIncome]]&lt;5000, "Low Income", IF(tblCleanData[[#This Row],[MonthlyIncome]]&lt;15000, "Medium Income", "High Income"))</f>
        <v>Medium Income</v>
      </c>
      <c r="AL1245" s="13">
        <f>IF(tblCleanData[[#This Row],[Attrition]]="No", 0,1)</f>
        <v>0</v>
      </c>
      <c r="AM1245" s="13">
        <f>IF(tblCleanData[[#This Row],[OverTime]] = "No", 0, 1)</f>
        <v>0</v>
      </c>
      <c r="AN1245" s="13" t="str">
        <f>CHOOSE(tblCleanData[[#This Row],[Education]], "Below College","College","Bachelor","Master","Doctor")</f>
        <v>Bachelor</v>
      </c>
      <c r="AO1245" s="13" t="str">
        <f>VLOOKUP(tblCleanData[[#This Row],[EmployeeNumber]],tblHelpers[],15,TRUE)</f>
        <v>Medium Risk</v>
      </c>
      <c r="AP1245" s="13">
        <f>VLOOKUP(tblCleanData[[#This Row],[EmployeeNumber]],tblHelpers[],14,0)</f>
        <v>43</v>
      </c>
    </row>
    <row r="1246" spans="1:42" x14ac:dyDescent="0.25">
      <c r="A1246" s="13">
        <v>30</v>
      </c>
      <c r="B1246" s="13" t="s">
        <v>59</v>
      </c>
      <c r="C1246" s="13" t="s">
        <v>60</v>
      </c>
      <c r="D1246" s="13">
        <v>1312</v>
      </c>
      <c r="E1246" s="13" t="s">
        <v>62</v>
      </c>
      <c r="F1246" s="13">
        <v>2</v>
      </c>
      <c r="G1246" s="13">
        <v>4</v>
      </c>
      <c r="H1246" s="13" t="s">
        <v>228</v>
      </c>
      <c r="I1246" s="13">
        <v>1</v>
      </c>
      <c r="J1246" s="13">
        <v>1745</v>
      </c>
      <c r="K1246" s="13">
        <v>4</v>
      </c>
      <c r="L1246" s="13" t="s">
        <v>43</v>
      </c>
      <c r="M1246" s="13">
        <v>78</v>
      </c>
      <c r="N1246" s="13">
        <v>2</v>
      </c>
      <c r="O1246" s="13">
        <v>1</v>
      </c>
      <c r="P1246" s="13" t="s">
        <v>65</v>
      </c>
      <c r="Q1246" s="13">
        <v>1</v>
      </c>
      <c r="R1246" s="13" t="s">
        <v>48</v>
      </c>
      <c r="S1246" s="20">
        <v>4968</v>
      </c>
      <c r="T1246" s="13">
        <v>26427</v>
      </c>
      <c r="U1246" s="13">
        <v>0</v>
      </c>
      <c r="V1246" s="13" t="s">
        <v>52</v>
      </c>
      <c r="W1246" s="13" t="s">
        <v>59</v>
      </c>
      <c r="X1246" s="13">
        <v>16</v>
      </c>
      <c r="Y1246" s="13">
        <v>3</v>
      </c>
      <c r="Z1246" s="13">
        <v>4</v>
      </c>
      <c r="AA1246" s="13">
        <v>80</v>
      </c>
      <c r="AB1246" s="13">
        <v>0</v>
      </c>
      <c r="AC1246" s="13">
        <v>10</v>
      </c>
      <c r="AD1246" s="13">
        <v>2</v>
      </c>
      <c r="AE1246" s="13">
        <v>3</v>
      </c>
      <c r="AF1246" s="14">
        <v>9</v>
      </c>
      <c r="AG1246" s="13">
        <v>7</v>
      </c>
      <c r="AH1246" s="13">
        <v>0</v>
      </c>
      <c r="AI1246" s="13">
        <v>7</v>
      </c>
      <c r="AJ1246" s="13" t="str">
        <f t="shared" si="19"/>
        <v>30-39</v>
      </c>
      <c r="AK1246" s="13" t="str">
        <f>IF(tblCleanData[[#This Row],[MonthlyIncome]]&lt;5000, "Low Income", IF(tblCleanData[[#This Row],[MonthlyIncome]]&lt;15000, "Medium Income", "High Income"))</f>
        <v>Low Income</v>
      </c>
      <c r="AL1246" s="13">
        <f>IF(tblCleanData[[#This Row],[Attrition]]="No", 0,1)</f>
        <v>0</v>
      </c>
      <c r="AM1246" s="13">
        <f>IF(tblCleanData[[#This Row],[OverTime]] = "No", 0, 1)</f>
        <v>0</v>
      </c>
      <c r="AN1246" s="13" t="str">
        <f>CHOOSE(tblCleanData[[#This Row],[Education]], "Below College","College","Bachelor","Master","Doctor")</f>
        <v>Master</v>
      </c>
      <c r="AO1246" s="13" t="str">
        <f>VLOOKUP(tblCleanData[[#This Row],[EmployeeNumber]],tblHelpers[],15,TRUE)</f>
        <v>High Risk</v>
      </c>
      <c r="AP1246" s="13">
        <f>VLOOKUP(tblCleanData[[#This Row],[EmployeeNumber]],tblHelpers[],14,0)</f>
        <v>58</v>
      </c>
    </row>
    <row r="1247" spans="1:42" x14ac:dyDescent="0.25">
      <c r="A1247" s="13">
        <v>24</v>
      </c>
      <c r="B1247" s="13" t="s">
        <v>59</v>
      </c>
      <c r="C1247" s="13" t="s">
        <v>60</v>
      </c>
      <c r="D1247" s="13">
        <v>897</v>
      </c>
      <c r="E1247" s="13" t="s">
        <v>397</v>
      </c>
      <c r="F1247" s="13">
        <v>10</v>
      </c>
      <c r="G1247" s="13">
        <v>3</v>
      </c>
      <c r="H1247" s="13" t="s">
        <v>87</v>
      </c>
      <c r="I1247" s="13">
        <v>1</v>
      </c>
      <c r="J1247" s="13">
        <v>1746</v>
      </c>
      <c r="K1247" s="13">
        <v>1</v>
      </c>
      <c r="L1247" s="13" t="s">
        <v>63</v>
      </c>
      <c r="M1247" s="13">
        <v>59</v>
      </c>
      <c r="N1247" s="13">
        <v>3</v>
      </c>
      <c r="O1247" s="13">
        <v>1</v>
      </c>
      <c r="P1247" s="13" t="s">
        <v>397</v>
      </c>
      <c r="Q1247" s="13">
        <v>4</v>
      </c>
      <c r="R1247" s="13" t="s">
        <v>66</v>
      </c>
      <c r="S1247" s="20">
        <v>2145</v>
      </c>
      <c r="T1247" s="13">
        <v>2097</v>
      </c>
      <c r="U1247" s="13">
        <v>0</v>
      </c>
      <c r="V1247" s="13" t="s">
        <v>52</v>
      </c>
      <c r="W1247" s="13" t="s">
        <v>59</v>
      </c>
      <c r="X1247" s="13">
        <v>14</v>
      </c>
      <c r="Y1247" s="13">
        <v>3</v>
      </c>
      <c r="Z1247" s="13">
        <v>4</v>
      </c>
      <c r="AA1247" s="13">
        <v>80</v>
      </c>
      <c r="AB1247" s="13">
        <v>1</v>
      </c>
      <c r="AC1247" s="13">
        <v>3</v>
      </c>
      <c r="AD1247" s="13">
        <v>2</v>
      </c>
      <c r="AE1247" s="13">
        <v>3</v>
      </c>
      <c r="AF1247" s="14">
        <v>2</v>
      </c>
      <c r="AG1247" s="13">
        <v>2</v>
      </c>
      <c r="AH1247" s="13">
        <v>2</v>
      </c>
      <c r="AI1247" s="13">
        <v>1</v>
      </c>
      <c r="AJ1247" s="13" t="str">
        <f t="shared" si="19"/>
        <v>Under 30</v>
      </c>
      <c r="AK1247" s="13" t="str">
        <f>IF(tblCleanData[[#This Row],[MonthlyIncome]]&lt;5000, "Low Income", IF(tblCleanData[[#This Row],[MonthlyIncome]]&lt;15000, "Medium Income", "High Income"))</f>
        <v>Low Income</v>
      </c>
      <c r="AL1247" s="13">
        <f>IF(tblCleanData[[#This Row],[Attrition]]="No", 0,1)</f>
        <v>0</v>
      </c>
      <c r="AM1247" s="13">
        <f>IF(tblCleanData[[#This Row],[OverTime]] = "No", 0, 1)</f>
        <v>0</v>
      </c>
      <c r="AN1247" s="13" t="str">
        <f>CHOOSE(tblCleanData[[#This Row],[Education]], "Below College","College","Bachelor","Master","Doctor")</f>
        <v>Bachelor</v>
      </c>
      <c r="AO1247" s="13" t="str">
        <f>VLOOKUP(tblCleanData[[#This Row],[EmployeeNumber]],tblHelpers[],15,TRUE)</f>
        <v>High Risk</v>
      </c>
      <c r="AP1247" s="13">
        <f>VLOOKUP(tblCleanData[[#This Row],[EmployeeNumber]],tblHelpers[],14,0)</f>
        <v>66</v>
      </c>
    </row>
    <row r="1248" spans="1:42" x14ac:dyDescent="0.25">
      <c r="A1248" s="13">
        <v>30</v>
      </c>
      <c r="B1248" s="13" t="s">
        <v>36</v>
      </c>
      <c r="C1248" s="13" t="s">
        <v>60</v>
      </c>
      <c r="D1248" s="13">
        <v>600</v>
      </c>
      <c r="E1248" s="13" t="s">
        <v>397</v>
      </c>
      <c r="F1248" s="13">
        <v>8</v>
      </c>
      <c r="G1248" s="13">
        <v>3</v>
      </c>
      <c r="H1248" s="13" t="s">
        <v>397</v>
      </c>
      <c r="I1248" s="13">
        <v>1</v>
      </c>
      <c r="J1248" s="13">
        <v>1747</v>
      </c>
      <c r="K1248" s="13">
        <v>3</v>
      </c>
      <c r="L1248" s="13" t="s">
        <v>43</v>
      </c>
      <c r="M1248" s="13">
        <v>66</v>
      </c>
      <c r="N1248" s="13">
        <v>2</v>
      </c>
      <c r="O1248" s="13">
        <v>1</v>
      </c>
      <c r="P1248" s="13" t="s">
        <v>397</v>
      </c>
      <c r="Q1248" s="13">
        <v>4</v>
      </c>
      <c r="R1248" s="13" t="s">
        <v>109</v>
      </c>
      <c r="S1248" s="20">
        <v>2180</v>
      </c>
      <c r="T1248" s="13">
        <v>9732</v>
      </c>
      <c r="U1248" s="13">
        <v>6</v>
      </c>
      <c r="V1248" s="13" t="s">
        <v>52</v>
      </c>
      <c r="W1248" s="13" t="s">
        <v>59</v>
      </c>
      <c r="X1248" s="13">
        <v>11</v>
      </c>
      <c r="Y1248" s="13">
        <v>3</v>
      </c>
      <c r="Z1248" s="13">
        <v>3</v>
      </c>
      <c r="AA1248" s="13">
        <v>80</v>
      </c>
      <c r="AB1248" s="13">
        <v>1</v>
      </c>
      <c r="AC1248" s="13">
        <v>6</v>
      </c>
      <c r="AD1248" s="13">
        <v>0</v>
      </c>
      <c r="AE1248" s="13">
        <v>2</v>
      </c>
      <c r="AF1248" s="14">
        <v>4</v>
      </c>
      <c r="AG1248" s="13">
        <v>2</v>
      </c>
      <c r="AH1248" s="13">
        <v>1</v>
      </c>
      <c r="AI1248" s="13">
        <v>2</v>
      </c>
      <c r="AJ1248" s="13" t="str">
        <f t="shared" si="19"/>
        <v>30-39</v>
      </c>
      <c r="AK1248" s="13" t="str">
        <f>IF(tblCleanData[[#This Row],[MonthlyIncome]]&lt;5000, "Low Income", IF(tblCleanData[[#This Row],[MonthlyIncome]]&lt;15000, "Medium Income", "High Income"))</f>
        <v>Low Income</v>
      </c>
      <c r="AL1248" s="13">
        <f>IF(tblCleanData[[#This Row],[Attrition]]="No", 0,1)</f>
        <v>1</v>
      </c>
      <c r="AM1248" s="13">
        <f>IF(tblCleanData[[#This Row],[OverTime]] = "No", 0, 1)</f>
        <v>0</v>
      </c>
      <c r="AN1248" s="13" t="str">
        <f>CHOOSE(tblCleanData[[#This Row],[Education]], "Below College","College","Bachelor","Master","Doctor")</f>
        <v>Bachelor</v>
      </c>
      <c r="AO1248" s="13" t="str">
        <f>VLOOKUP(tblCleanData[[#This Row],[EmployeeNumber]],tblHelpers[],15,TRUE)</f>
        <v>Medium Risk</v>
      </c>
      <c r="AP1248" s="13">
        <f>VLOOKUP(tblCleanData[[#This Row],[EmployeeNumber]],tblHelpers[],14,0)</f>
        <v>46</v>
      </c>
    </row>
    <row r="1249" spans="1:42" x14ac:dyDescent="0.25">
      <c r="A1249" s="13">
        <v>31</v>
      </c>
      <c r="B1249" s="13" t="s">
        <v>59</v>
      </c>
      <c r="C1249" s="13" t="s">
        <v>37</v>
      </c>
      <c r="D1249" s="13">
        <v>1003</v>
      </c>
      <c r="E1249" s="13" t="s">
        <v>39</v>
      </c>
      <c r="F1249" s="13">
        <v>5</v>
      </c>
      <c r="G1249" s="13">
        <v>3</v>
      </c>
      <c r="H1249" s="13" t="s">
        <v>228</v>
      </c>
      <c r="I1249" s="13">
        <v>1</v>
      </c>
      <c r="J1249" s="13">
        <v>1749</v>
      </c>
      <c r="K1249" s="13">
        <v>1</v>
      </c>
      <c r="L1249" s="13" t="s">
        <v>63</v>
      </c>
      <c r="M1249" s="13">
        <v>51</v>
      </c>
      <c r="N1249" s="13">
        <v>3</v>
      </c>
      <c r="O1249" s="13">
        <v>2</v>
      </c>
      <c r="P1249" s="13" t="s">
        <v>46</v>
      </c>
      <c r="Q1249" s="13">
        <v>3</v>
      </c>
      <c r="R1249" s="13" t="s">
        <v>66</v>
      </c>
      <c r="S1249" s="20">
        <v>8346</v>
      </c>
      <c r="T1249" s="13">
        <v>20943</v>
      </c>
      <c r="U1249" s="13">
        <v>1</v>
      </c>
      <c r="V1249" s="13" t="s">
        <v>52</v>
      </c>
      <c r="W1249" s="13" t="s">
        <v>59</v>
      </c>
      <c r="X1249" s="13">
        <v>19</v>
      </c>
      <c r="Y1249" s="13">
        <v>3</v>
      </c>
      <c r="Z1249" s="13">
        <v>3</v>
      </c>
      <c r="AA1249" s="13">
        <v>80</v>
      </c>
      <c r="AB1249" s="13">
        <v>1</v>
      </c>
      <c r="AC1249" s="13">
        <v>6</v>
      </c>
      <c r="AD1249" s="13">
        <v>3</v>
      </c>
      <c r="AE1249" s="13">
        <v>3</v>
      </c>
      <c r="AF1249" s="14">
        <v>5</v>
      </c>
      <c r="AG1249" s="13">
        <v>2</v>
      </c>
      <c r="AH1249" s="13">
        <v>0</v>
      </c>
      <c r="AI1249" s="13">
        <v>2</v>
      </c>
      <c r="AJ1249" s="13" t="str">
        <f t="shared" si="19"/>
        <v>30-39</v>
      </c>
      <c r="AK1249" s="13" t="str">
        <f>IF(tblCleanData[[#This Row],[MonthlyIncome]]&lt;5000, "Low Income", IF(tblCleanData[[#This Row],[MonthlyIncome]]&lt;15000, "Medium Income", "High Income"))</f>
        <v>Medium Income</v>
      </c>
      <c r="AL1249" s="13">
        <f>IF(tblCleanData[[#This Row],[Attrition]]="No", 0,1)</f>
        <v>0</v>
      </c>
      <c r="AM1249" s="13">
        <f>IF(tblCleanData[[#This Row],[OverTime]] = "No", 0, 1)</f>
        <v>0</v>
      </c>
      <c r="AN1249" s="13" t="str">
        <f>CHOOSE(tblCleanData[[#This Row],[Education]], "Below College","College","Bachelor","Master","Doctor")</f>
        <v>Bachelor</v>
      </c>
      <c r="AO1249" s="13" t="str">
        <f>VLOOKUP(tblCleanData[[#This Row],[EmployeeNumber]],tblHelpers[],15,TRUE)</f>
        <v>Medium Risk</v>
      </c>
      <c r="AP1249" s="13">
        <f>VLOOKUP(tblCleanData[[#This Row],[EmployeeNumber]],tblHelpers[],14,0)</f>
        <v>53</v>
      </c>
    </row>
    <row r="1250" spans="1:42" x14ac:dyDescent="0.25">
      <c r="A1250" s="13">
        <v>27</v>
      </c>
      <c r="B1250" s="13" t="s">
        <v>59</v>
      </c>
      <c r="C1250" s="13" t="s">
        <v>37</v>
      </c>
      <c r="D1250" s="13">
        <v>1054</v>
      </c>
      <c r="E1250" s="13" t="s">
        <v>62</v>
      </c>
      <c r="F1250" s="13">
        <v>8</v>
      </c>
      <c r="G1250" s="13">
        <v>3</v>
      </c>
      <c r="H1250" s="13" t="s">
        <v>87</v>
      </c>
      <c r="I1250" s="13">
        <v>1</v>
      </c>
      <c r="J1250" s="13">
        <v>1751</v>
      </c>
      <c r="K1250" s="13">
        <v>3</v>
      </c>
      <c r="L1250" s="13" t="s">
        <v>43</v>
      </c>
      <c r="M1250" s="13">
        <v>67</v>
      </c>
      <c r="N1250" s="13">
        <v>3</v>
      </c>
      <c r="O1250" s="13">
        <v>1</v>
      </c>
      <c r="P1250" s="13" t="s">
        <v>65</v>
      </c>
      <c r="Q1250" s="13">
        <v>4</v>
      </c>
      <c r="R1250" s="13" t="s">
        <v>48</v>
      </c>
      <c r="S1250" s="20">
        <v>3445</v>
      </c>
      <c r="T1250" s="13">
        <v>6152</v>
      </c>
      <c r="U1250" s="13">
        <v>1</v>
      </c>
      <c r="V1250" s="13" t="s">
        <v>52</v>
      </c>
      <c r="W1250" s="13" t="s">
        <v>59</v>
      </c>
      <c r="X1250" s="13">
        <v>11</v>
      </c>
      <c r="Y1250" s="13">
        <v>3</v>
      </c>
      <c r="Z1250" s="13">
        <v>3</v>
      </c>
      <c r="AA1250" s="13">
        <v>80</v>
      </c>
      <c r="AB1250" s="13">
        <v>0</v>
      </c>
      <c r="AC1250" s="13">
        <v>6</v>
      </c>
      <c r="AD1250" s="13">
        <v>5</v>
      </c>
      <c r="AE1250" s="13">
        <v>2</v>
      </c>
      <c r="AF1250" s="14">
        <v>6</v>
      </c>
      <c r="AG1250" s="13">
        <v>2</v>
      </c>
      <c r="AH1250" s="13">
        <v>1</v>
      </c>
      <c r="AI1250" s="13">
        <v>4</v>
      </c>
      <c r="AJ1250" s="13" t="str">
        <f t="shared" si="19"/>
        <v>Under 30</v>
      </c>
      <c r="AK1250" s="13" t="str">
        <f>IF(tblCleanData[[#This Row],[MonthlyIncome]]&lt;5000, "Low Income", IF(tblCleanData[[#This Row],[MonthlyIncome]]&lt;15000, "Medium Income", "High Income"))</f>
        <v>Low Income</v>
      </c>
      <c r="AL1250" s="13">
        <f>IF(tblCleanData[[#This Row],[Attrition]]="No", 0,1)</f>
        <v>0</v>
      </c>
      <c r="AM1250" s="13">
        <f>IF(tblCleanData[[#This Row],[OverTime]] = "No", 0, 1)</f>
        <v>0</v>
      </c>
      <c r="AN1250" s="13" t="str">
        <f>CHOOSE(tblCleanData[[#This Row],[Education]], "Below College","College","Bachelor","Master","Doctor")</f>
        <v>Bachelor</v>
      </c>
      <c r="AO1250" s="13" t="str">
        <f>VLOOKUP(tblCleanData[[#This Row],[EmployeeNumber]],tblHelpers[],15,TRUE)</f>
        <v>Medium Risk</v>
      </c>
      <c r="AP1250" s="13">
        <f>VLOOKUP(tblCleanData[[#This Row],[EmployeeNumber]],tblHelpers[],14,0)</f>
        <v>49</v>
      </c>
    </row>
    <row r="1251" spans="1:42" x14ac:dyDescent="0.25">
      <c r="A1251" s="13">
        <v>29</v>
      </c>
      <c r="B1251" s="13" t="s">
        <v>36</v>
      </c>
      <c r="C1251" s="13" t="s">
        <v>37</v>
      </c>
      <c r="D1251" s="13">
        <v>428</v>
      </c>
      <c r="E1251" s="13" t="s">
        <v>39</v>
      </c>
      <c r="F1251" s="13">
        <v>9</v>
      </c>
      <c r="G1251" s="13">
        <v>3</v>
      </c>
      <c r="H1251" s="13" t="s">
        <v>206</v>
      </c>
      <c r="I1251" s="13">
        <v>1</v>
      </c>
      <c r="J1251" s="13">
        <v>1752</v>
      </c>
      <c r="K1251" s="13">
        <v>2</v>
      </c>
      <c r="L1251" s="13" t="s">
        <v>43</v>
      </c>
      <c r="M1251" s="13">
        <v>52</v>
      </c>
      <c r="N1251" s="13">
        <v>1</v>
      </c>
      <c r="O1251" s="13">
        <v>1</v>
      </c>
      <c r="P1251" s="13" t="s">
        <v>182</v>
      </c>
      <c r="Q1251" s="13">
        <v>2</v>
      </c>
      <c r="R1251" s="13" t="s">
        <v>48</v>
      </c>
      <c r="S1251" s="20">
        <v>2760</v>
      </c>
      <c r="T1251" s="13">
        <v>14630</v>
      </c>
      <c r="U1251" s="13">
        <v>1</v>
      </c>
      <c r="V1251" s="13" t="s">
        <v>52</v>
      </c>
      <c r="W1251" s="13" t="s">
        <v>59</v>
      </c>
      <c r="X1251" s="13">
        <v>13</v>
      </c>
      <c r="Y1251" s="13">
        <v>3</v>
      </c>
      <c r="Z1251" s="13">
        <v>3</v>
      </c>
      <c r="AA1251" s="13">
        <v>80</v>
      </c>
      <c r="AB1251" s="13">
        <v>0</v>
      </c>
      <c r="AC1251" s="13">
        <v>2</v>
      </c>
      <c r="AD1251" s="13">
        <v>3</v>
      </c>
      <c r="AE1251" s="13">
        <v>3</v>
      </c>
      <c r="AF1251" s="14">
        <v>2</v>
      </c>
      <c r="AG1251" s="13">
        <v>2</v>
      </c>
      <c r="AH1251" s="13">
        <v>2</v>
      </c>
      <c r="AI1251" s="13">
        <v>2</v>
      </c>
      <c r="AJ1251" s="13" t="str">
        <f t="shared" si="19"/>
        <v>Under 30</v>
      </c>
      <c r="AK1251" s="13" t="str">
        <f>IF(tblCleanData[[#This Row],[MonthlyIncome]]&lt;5000, "Low Income", IF(tblCleanData[[#This Row],[MonthlyIncome]]&lt;15000, "Medium Income", "High Income"))</f>
        <v>Low Income</v>
      </c>
      <c r="AL1251" s="13">
        <f>IF(tblCleanData[[#This Row],[Attrition]]="No", 0,1)</f>
        <v>1</v>
      </c>
      <c r="AM1251" s="13">
        <f>IF(tblCleanData[[#This Row],[OverTime]] = "No", 0, 1)</f>
        <v>0</v>
      </c>
      <c r="AN1251" s="13" t="str">
        <f>CHOOSE(tblCleanData[[#This Row],[Education]], "Below College","College","Bachelor","Master","Doctor")</f>
        <v>Bachelor</v>
      </c>
      <c r="AO1251" s="13" t="str">
        <f>VLOOKUP(tblCleanData[[#This Row],[EmployeeNumber]],tblHelpers[],15,TRUE)</f>
        <v>High Risk</v>
      </c>
      <c r="AP1251" s="13">
        <f>VLOOKUP(tblCleanData[[#This Row],[EmployeeNumber]],tblHelpers[],14,0)</f>
        <v>79</v>
      </c>
    </row>
    <row r="1252" spans="1:42" x14ac:dyDescent="0.25">
      <c r="A1252" s="13">
        <v>29</v>
      </c>
      <c r="B1252" s="13" t="s">
        <v>59</v>
      </c>
      <c r="C1252" s="13" t="s">
        <v>60</v>
      </c>
      <c r="D1252" s="13">
        <v>461</v>
      </c>
      <c r="E1252" s="13" t="s">
        <v>62</v>
      </c>
      <c r="F1252" s="13">
        <v>1</v>
      </c>
      <c r="G1252" s="13">
        <v>3</v>
      </c>
      <c r="H1252" s="13" t="s">
        <v>42</v>
      </c>
      <c r="I1252" s="13">
        <v>1</v>
      </c>
      <c r="J1252" s="13">
        <v>1753</v>
      </c>
      <c r="K1252" s="13">
        <v>4</v>
      </c>
      <c r="L1252" s="13" t="s">
        <v>63</v>
      </c>
      <c r="M1252" s="13">
        <v>70</v>
      </c>
      <c r="N1252" s="13">
        <v>4</v>
      </c>
      <c r="O1252" s="13">
        <v>2</v>
      </c>
      <c r="P1252" s="13" t="s">
        <v>122</v>
      </c>
      <c r="Q1252" s="13">
        <v>3</v>
      </c>
      <c r="R1252" s="13" t="s">
        <v>48</v>
      </c>
      <c r="S1252" s="20">
        <v>6294</v>
      </c>
      <c r="T1252" s="13">
        <v>23060</v>
      </c>
      <c r="U1252" s="13">
        <v>8</v>
      </c>
      <c r="V1252" s="13" t="s">
        <v>52</v>
      </c>
      <c r="W1252" s="13" t="s">
        <v>36</v>
      </c>
      <c r="X1252" s="13">
        <v>12</v>
      </c>
      <c r="Y1252" s="13">
        <v>3</v>
      </c>
      <c r="Z1252" s="13">
        <v>4</v>
      </c>
      <c r="AA1252" s="13">
        <v>80</v>
      </c>
      <c r="AB1252" s="13">
        <v>0</v>
      </c>
      <c r="AC1252" s="13">
        <v>10</v>
      </c>
      <c r="AD1252" s="13">
        <v>5</v>
      </c>
      <c r="AE1252" s="13">
        <v>4</v>
      </c>
      <c r="AF1252" s="14">
        <v>3</v>
      </c>
      <c r="AG1252" s="13">
        <v>2</v>
      </c>
      <c r="AH1252" s="13">
        <v>0</v>
      </c>
      <c r="AI1252" s="13">
        <v>2</v>
      </c>
      <c r="AJ1252" s="13" t="str">
        <f t="shared" si="19"/>
        <v>Under 30</v>
      </c>
      <c r="AK1252" s="13" t="str">
        <f>IF(tblCleanData[[#This Row],[MonthlyIncome]]&lt;5000, "Low Income", IF(tblCleanData[[#This Row],[MonthlyIncome]]&lt;15000, "Medium Income", "High Income"))</f>
        <v>Medium Income</v>
      </c>
      <c r="AL1252" s="13">
        <f>IF(tblCleanData[[#This Row],[Attrition]]="No", 0,1)</f>
        <v>0</v>
      </c>
      <c r="AM1252" s="13">
        <f>IF(tblCleanData[[#This Row],[OverTime]] = "No", 0, 1)</f>
        <v>1</v>
      </c>
      <c r="AN1252" s="13" t="str">
        <f>CHOOSE(tblCleanData[[#This Row],[Education]], "Below College","College","Bachelor","Master","Doctor")</f>
        <v>Bachelor</v>
      </c>
      <c r="AO1252" s="13" t="str">
        <f>VLOOKUP(tblCleanData[[#This Row],[EmployeeNumber]],tblHelpers[],15,TRUE)</f>
        <v>High Risk</v>
      </c>
      <c r="AP1252" s="13">
        <f>VLOOKUP(tblCleanData[[#This Row],[EmployeeNumber]],tblHelpers[],14,0)</f>
        <v>88</v>
      </c>
    </row>
    <row r="1253" spans="1:42" x14ac:dyDescent="0.25">
      <c r="A1253" s="13">
        <v>30</v>
      </c>
      <c r="B1253" s="13" t="s">
        <v>59</v>
      </c>
      <c r="C1253" s="13" t="s">
        <v>37</v>
      </c>
      <c r="D1253" s="13">
        <v>979</v>
      </c>
      <c r="E1253" s="13" t="s">
        <v>39</v>
      </c>
      <c r="F1253" s="13">
        <v>15</v>
      </c>
      <c r="G1253" s="13">
        <v>2</v>
      </c>
      <c r="H1253" s="13" t="s">
        <v>206</v>
      </c>
      <c r="I1253" s="13">
        <v>1</v>
      </c>
      <c r="J1253" s="13">
        <v>1754</v>
      </c>
      <c r="K1253" s="13">
        <v>3</v>
      </c>
      <c r="L1253" s="13" t="s">
        <v>63</v>
      </c>
      <c r="M1253" s="13">
        <v>94</v>
      </c>
      <c r="N1253" s="13">
        <v>2</v>
      </c>
      <c r="O1253" s="13">
        <v>3</v>
      </c>
      <c r="P1253" s="13" t="s">
        <v>46</v>
      </c>
      <c r="Q1253" s="13">
        <v>1</v>
      </c>
      <c r="R1253" s="13" t="s">
        <v>109</v>
      </c>
      <c r="S1253" s="20">
        <v>7140</v>
      </c>
      <c r="T1253" s="13">
        <v>3088</v>
      </c>
      <c r="U1253" s="13">
        <v>2</v>
      </c>
      <c r="V1253" s="13" t="s">
        <v>52</v>
      </c>
      <c r="W1253" s="13" t="s">
        <v>59</v>
      </c>
      <c r="X1253" s="13">
        <v>11</v>
      </c>
      <c r="Y1253" s="13">
        <v>3</v>
      </c>
      <c r="Z1253" s="13">
        <v>1</v>
      </c>
      <c r="AA1253" s="13">
        <v>80</v>
      </c>
      <c r="AB1253" s="13">
        <v>1</v>
      </c>
      <c r="AC1253" s="13">
        <v>12</v>
      </c>
      <c r="AD1253" s="13">
        <v>2</v>
      </c>
      <c r="AE1253" s="13">
        <v>3</v>
      </c>
      <c r="AF1253" s="14">
        <v>7</v>
      </c>
      <c r="AG1253" s="13">
        <v>7</v>
      </c>
      <c r="AH1253" s="13">
        <v>1</v>
      </c>
      <c r="AI1253" s="13">
        <v>7</v>
      </c>
      <c r="AJ1253" s="13" t="str">
        <f t="shared" si="19"/>
        <v>30-39</v>
      </c>
      <c r="AK1253" s="13" t="str">
        <f>IF(tblCleanData[[#This Row],[MonthlyIncome]]&lt;5000, "Low Income", IF(tblCleanData[[#This Row],[MonthlyIncome]]&lt;15000, "Medium Income", "High Income"))</f>
        <v>Medium Income</v>
      </c>
      <c r="AL1253" s="13">
        <f>IF(tblCleanData[[#This Row],[Attrition]]="No", 0,1)</f>
        <v>0</v>
      </c>
      <c r="AM1253" s="13">
        <f>IF(tblCleanData[[#This Row],[OverTime]] = "No", 0, 1)</f>
        <v>0</v>
      </c>
      <c r="AN1253" s="13" t="str">
        <f>CHOOSE(tblCleanData[[#This Row],[Education]], "Below College","College","Bachelor","Master","Doctor")</f>
        <v>College</v>
      </c>
      <c r="AO1253" s="13" t="str">
        <f>VLOOKUP(tblCleanData[[#This Row],[EmployeeNumber]],tblHelpers[],15,TRUE)</f>
        <v>High Risk</v>
      </c>
      <c r="AP1253" s="13">
        <f>VLOOKUP(tblCleanData[[#This Row],[EmployeeNumber]],tblHelpers[],14,0)</f>
        <v>58</v>
      </c>
    </row>
    <row r="1254" spans="1:42" x14ac:dyDescent="0.25">
      <c r="A1254" s="13">
        <v>34</v>
      </c>
      <c r="B1254" s="13" t="s">
        <v>59</v>
      </c>
      <c r="C1254" s="13" t="s">
        <v>37</v>
      </c>
      <c r="D1254" s="13">
        <v>181</v>
      </c>
      <c r="E1254" s="13" t="s">
        <v>62</v>
      </c>
      <c r="F1254" s="13">
        <v>2</v>
      </c>
      <c r="G1254" s="13">
        <v>4</v>
      </c>
      <c r="H1254" s="13" t="s">
        <v>87</v>
      </c>
      <c r="I1254" s="13">
        <v>1</v>
      </c>
      <c r="J1254" s="13">
        <v>1755</v>
      </c>
      <c r="K1254" s="13">
        <v>4</v>
      </c>
      <c r="L1254" s="13" t="s">
        <v>63</v>
      </c>
      <c r="M1254" s="13">
        <v>97</v>
      </c>
      <c r="N1254" s="13">
        <v>4</v>
      </c>
      <c r="O1254" s="13">
        <v>1</v>
      </c>
      <c r="P1254" s="13" t="s">
        <v>65</v>
      </c>
      <c r="Q1254" s="13">
        <v>4</v>
      </c>
      <c r="R1254" s="13" t="s">
        <v>66</v>
      </c>
      <c r="S1254" s="20">
        <v>2932</v>
      </c>
      <c r="T1254" s="13">
        <v>5586</v>
      </c>
      <c r="U1254" s="13">
        <v>0</v>
      </c>
      <c r="V1254" s="13" t="s">
        <v>52</v>
      </c>
      <c r="W1254" s="13" t="s">
        <v>36</v>
      </c>
      <c r="X1254" s="13">
        <v>14</v>
      </c>
      <c r="Y1254" s="13">
        <v>3</v>
      </c>
      <c r="Z1254" s="13">
        <v>1</v>
      </c>
      <c r="AA1254" s="13">
        <v>80</v>
      </c>
      <c r="AB1254" s="13">
        <v>3</v>
      </c>
      <c r="AC1254" s="13">
        <v>6</v>
      </c>
      <c r="AD1254" s="13">
        <v>3</v>
      </c>
      <c r="AE1254" s="13">
        <v>3</v>
      </c>
      <c r="AF1254" s="14">
        <v>5</v>
      </c>
      <c r="AG1254" s="13">
        <v>0</v>
      </c>
      <c r="AH1254" s="13">
        <v>1</v>
      </c>
      <c r="AI1254" s="13">
        <v>2</v>
      </c>
      <c r="AJ1254" s="13" t="str">
        <f t="shared" si="19"/>
        <v>30-39</v>
      </c>
      <c r="AK1254" s="13" t="str">
        <f>IF(tblCleanData[[#This Row],[MonthlyIncome]]&lt;5000, "Low Income", IF(tblCleanData[[#This Row],[MonthlyIncome]]&lt;15000, "Medium Income", "High Income"))</f>
        <v>Low Income</v>
      </c>
      <c r="AL1254" s="13">
        <f>IF(tblCleanData[[#This Row],[Attrition]]="No", 0,1)</f>
        <v>0</v>
      </c>
      <c r="AM1254" s="13">
        <f>IF(tblCleanData[[#This Row],[OverTime]] = "No", 0, 1)</f>
        <v>1</v>
      </c>
      <c r="AN1254" s="13" t="str">
        <f>CHOOSE(tblCleanData[[#This Row],[Education]], "Below College","College","Bachelor","Master","Doctor")</f>
        <v>Master</v>
      </c>
      <c r="AO1254" s="13" t="str">
        <f>VLOOKUP(tblCleanData[[#This Row],[EmployeeNumber]],tblHelpers[],15,TRUE)</f>
        <v>High Risk</v>
      </c>
      <c r="AP1254" s="13">
        <f>VLOOKUP(tblCleanData[[#This Row],[EmployeeNumber]],tblHelpers[],14,0)</f>
        <v>71</v>
      </c>
    </row>
    <row r="1255" spans="1:42" x14ac:dyDescent="0.25">
      <c r="A1255" s="13">
        <v>33</v>
      </c>
      <c r="B1255" s="13" t="s">
        <v>59</v>
      </c>
      <c r="C1255" s="13" t="s">
        <v>161</v>
      </c>
      <c r="D1255" s="13">
        <v>1283</v>
      </c>
      <c r="E1255" s="13" t="s">
        <v>39</v>
      </c>
      <c r="F1255" s="13">
        <v>2</v>
      </c>
      <c r="G1255" s="13">
        <v>3</v>
      </c>
      <c r="H1255" s="13" t="s">
        <v>206</v>
      </c>
      <c r="I1255" s="13">
        <v>1</v>
      </c>
      <c r="J1255" s="13">
        <v>1756</v>
      </c>
      <c r="K1255" s="13">
        <v>4</v>
      </c>
      <c r="L1255" s="13" t="s">
        <v>43</v>
      </c>
      <c r="M1255" s="13">
        <v>62</v>
      </c>
      <c r="N1255" s="13">
        <v>3</v>
      </c>
      <c r="O1255" s="13">
        <v>2</v>
      </c>
      <c r="P1255" s="13" t="s">
        <v>46</v>
      </c>
      <c r="Q1255" s="13">
        <v>2</v>
      </c>
      <c r="R1255" s="13" t="s">
        <v>48</v>
      </c>
      <c r="S1255" s="20">
        <v>5147</v>
      </c>
      <c r="T1255" s="13">
        <v>10697</v>
      </c>
      <c r="U1255" s="13">
        <v>8</v>
      </c>
      <c r="V1255" s="13" t="s">
        <v>52</v>
      </c>
      <c r="W1255" s="13" t="s">
        <v>59</v>
      </c>
      <c r="X1255" s="13">
        <v>15</v>
      </c>
      <c r="Y1255" s="13">
        <v>3</v>
      </c>
      <c r="Z1255" s="13">
        <v>4</v>
      </c>
      <c r="AA1255" s="13">
        <v>80</v>
      </c>
      <c r="AB1255" s="13">
        <v>0</v>
      </c>
      <c r="AC1255" s="13">
        <v>13</v>
      </c>
      <c r="AD1255" s="13">
        <v>2</v>
      </c>
      <c r="AE1255" s="13">
        <v>2</v>
      </c>
      <c r="AF1255" s="14">
        <v>11</v>
      </c>
      <c r="AG1255" s="13">
        <v>7</v>
      </c>
      <c r="AH1255" s="13">
        <v>1</v>
      </c>
      <c r="AI1255" s="13">
        <v>7</v>
      </c>
      <c r="AJ1255" s="13" t="str">
        <f t="shared" si="19"/>
        <v>30-39</v>
      </c>
      <c r="AK1255" s="13" t="str">
        <f>IF(tblCleanData[[#This Row],[MonthlyIncome]]&lt;5000, "Low Income", IF(tblCleanData[[#This Row],[MonthlyIncome]]&lt;15000, "Medium Income", "High Income"))</f>
        <v>Medium Income</v>
      </c>
      <c r="AL1255" s="13">
        <f>IF(tblCleanData[[#This Row],[Attrition]]="No", 0,1)</f>
        <v>0</v>
      </c>
      <c r="AM1255" s="13">
        <f>IF(tblCleanData[[#This Row],[OverTime]] = "No", 0, 1)</f>
        <v>0</v>
      </c>
      <c r="AN1255" s="13" t="str">
        <f>CHOOSE(tblCleanData[[#This Row],[Education]], "Below College","College","Bachelor","Master","Doctor")</f>
        <v>Bachelor</v>
      </c>
      <c r="AO1255" s="13" t="str">
        <f>VLOOKUP(tblCleanData[[#This Row],[EmployeeNumber]],tblHelpers[],15,TRUE)</f>
        <v>Medium Risk</v>
      </c>
      <c r="AP1255" s="13">
        <f>VLOOKUP(tblCleanData[[#This Row],[EmployeeNumber]],tblHelpers[],14,0)</f>
        <v>47</v>
      </c>
    </row>
    <row r="1256" spans="1:42" x14ac:dyDescent="0.25">
      <c r="A1256" s="13">
        <v>49</v>
      </c>
      <c r="B1256" s="13" t="s">
        <v>59</v>
      </c>
      <c r="C1256" s="13" t="s">
        <v>37</v>
      </c>
      <c r="D1256" s="13">
        <v>1313</v>
      </c>
      <c r="E1256" s="13" t="s">
        <v>39</v>
      </c>
      <c r="F1256" s="13">
        <v>11</v>
      </c>
      <c r="G1256" s="13">
        <v>4</v>
      </c>
      <c r="H1256" s="13" t="s">
        <v>206</v>
      </c>
      <c r="I1256" s="13">
        <v>1</v>
      </c>
      <c r="J1256" s="13">
        <v>1757</v>
      </c>
      <c r="K1256" s="13">
        <v>4</v>
      </c>
      <c r="L1256" s="13" t="s">
        <v>43</v>
      </c>
      <c r="M1256" s="13">
        <v>80</v>
      </c>
      <c r="N1256" s="13">
        <v>3</v>
      </c>
      <c r="O1256" s="13">
        <v>2</v>
      </c>
      <c r="P1256" s="13" t="s">
        <v>46</v>
      </c>
      <c r="Q1256" s="13">
        <v>4</v>
      </c>
      <c r="R1256" s="13" t="s">
        <v>48</v>
      </c>
      <c r="S1256" s="20">
        <v>4507</v>
      </c>
      <c r="T1256" s="13">
        <v>8191</v>
      </c>
      <c r="U1256" s="13">
        <v>3</v>
      </c>
      <c r="V1256" s="13" t="s">
        <v>52</v>
      </c>
      <c r="W1256" s="13" t="s">
        <v>59</v>
      </c>
      <c r="X1256" s="13">
        <v>12</v>
      </c>
      <c r="Y1256" s="13">
        <v>3</v>
      </c>
      <c r="Z1256" s="13">
        <v>3</v>
      </c>
      <c r="AA1256" s="13">
        <v>80</v>
      </c>
      <c r="AB1256" s="13">
        <v>0</v>
      </c>
      <c r="AC1256" s="13">
        <v>8</v>
      </c>
      <c r="AD1256" s="13">
        <v>1</v>
      </c>
      <c r="AE1256" s="13">
        <v>4</v>
      </c>
      <c r="AF1256" s="14">
        <v>5</v>
      </c>
      <c r="AG1256" s="13">
        <v>1</v>
      </c>
      <c r="AH1256" s="13">
        <v>0</v>
      </c>
      <c r="AI1256" s="13">
        <v>4</v>
      </c>
      <c r="AJ1256" s="13" t="str">
        <f t="shared" si="19"/>
        <v>40-49</v>
      </c>
      <c r="AK1256" s="13" t="str">
        <f>IF(tblCleanData[[#This Row],[MonthlyIncome]]&lt;5000, "Low Income", IF(tblCleanData[[#This Row],[MonthlyIncome]]&lt;15000, "Medium Income", "High Income"))</f>
        <v>Low Income</v>
      </c>
      <c r="AL1256" s="13">
        <f>IF(tblCleanData[[#This Row],[Attrition]]="No", 0,1)</f>
        <v>0</v>
      </c>
      <c r="AM1256" s="13">
        <f>IF(tblCleanData[[#This Row],[OverTime]] = "No", 0, 1)</f>
        <v>0</v>
      </c>
      <c r="AN1256" s="13" t="str">
        <f>CHOOSE(tblCleanData[[#This Row],[Education]], "Below College","College","Bachelor","Master","Doctor")</f>
        <v>Master</v>
      </c>
      <c r="AO1256" s="13" t="str">
        <f>VLOOKUP(tblCleanData[[#This Row],[EmployeeNumber]],tblHelpers[],15,TRUE)</f>
        <v>Medium Risk</v>
      </c>
      <c r="AP1256" s="13">
        <f>VLOOKUP(tblCleanData[[#This Row],[EmployeeNumber]],tblHelpers[],14,0)</f>
        <v>36</v>
      </c>
    </row>
    <row r="1257" spans="1:42" x14ac:dyDescent="0.25">
      <c r="A1257" s="13">
        <v>33</v>
      </c>
      <c r="B1257" s="13" t="s">
        <v>36</v>
      </c>
      <c r="C1257" s="13" t="s">
        <v>37</v>
      </c>
      <c r="D1257" s="13">
        <v>211</v>
      </c>
      <c r="E1257" s="13" t="s">
        <v>39</v>
      </c>
      <c r="F1257" s="13">
        <v>16</v>
      </c>
      <c r="G1257" s="13">
        <v>3</v>
      </c>
      <c r="H1257" s="13" t="s">
        <v>42</v>
      </c>
      <c r="I1257" s="13">
        <v>1</v>
      </c>
      <c r="J1257" s="13">
        <v>1758</v>
      </c>
      <c r="K1257" s="13">
        <v>1</v>
      </c>
      <c r="L1257" s="13" t="s">
        <v>43</v>
      </c>
      <c r="M1257" s="13">
        <v>74</v>
      </c>
      <c r="N1257" s="13">
        <v>3</v>
      </c>
      <c r="O1257" s="13">
        <v>3</v>
      </c>
      <c r="P1257" s="13" t="s">
        <v>46</v>
      </c>
      <c r="Q1257" s="13">
        <v>1</v>
      </c>
      <c r="R1257" s="13" t="s">
        <v>48</v>
      </c>
      <c r="S1257" s="20">
        <v>8564</v>
      </c>
      <c r="T1257" s="13">
        <v>10092</v>
      </c>
      <c r="U1257" s="13">
        <v>2</v>
      </c>
      <c r="V1257" s="13" t="s">
        <v>52</v>
      </c>
      <c r="W1257" s="13" t="s">
        <v>36</v>
      </c>
      <c r="X1257" s="13">
        <v>20</v>
      </c>
      <c r="Y1257" s="13">
        <v>4</v>
      </c>
      <c r="Z1257" s="13">
        <v>3</v>
      </c>
      <c r="AA1257" s="13">
        <v>80</v>
      </c>
      <c r="AB1257" s="13">
        <v>0</v>
      </c>
      <c r="AC1257" s="13">
        <v>11</v>
      </c>
      <c r="AD1257" s="13">
        <v>2</v>
      </c>
      <c r="AE1257" s="13">
        <v>2</v>
      </c>
      <c r="AF1257" s="14">
        <v>0</v>
      </c>
      <c r="AG1257" s="13">
        <v>0</v>
      </c>
      <c r="AH1257" s="13">
        <v>0</v>
      </c>
      <c r="AI1257" s="13">
        <v>0</v>
      </c>
      <c r="AJ1257" s="13" t="str">
        <f t="shared" si="19"/>
        <v>30-39</v>
      </c>
      <c r="AK1257" s="13" t="str">
        <f>IF(tblCleanData[[#This Row],[MonthlyIncome]]&lt;5000, "Low Income", IF(tblCleanData[[#This Row],[MonthlyIncome]]&lt;15000, "Medium Income", "High Income"))</f>
        <v>Medium Income</v>
      </c>
      <c r="AL1257" s="13">
        <f>IF(tblCleanData[[#This Row],[Attrition]]="No", 0,1)</f>
        <v>1</v>
      </c>
      <c r="AM1257" s="13">
        <f>IF(tblCleanData[[#This Row],[OverTime]] = "No", 0, 1)</f>
        <v>1</v>
      </c>
      <c r="AN1257" s="13" t="str">
        <f>CHOOSE(tblCleanData[[#This Row],[Education]], "Below College","College","Bachelor","Master","Doctor")</f>
        <v>Bachelor</v>
      </c>
      <c r="AO1257" s="13" t="str">
        <f>VLOOKUP(tblCleanData[[#This Row],[EmployeeNumber]],tblHelpers[],15,TRUE)</f>
        <v>High Risk</v>
      </c>
      <c r="AP1257" s="13">
        <f>VLOOKUP(tblCleanData[[#This Row],[EmployeeNumber]],tblHelpers[],14,0)</f>
        <v>100</v>
      </c>
    </row>
    <row r="1258" spans="1:42" x14ac:dyDescent="0.25">
      <c r="A1258" s="13">
        <v>38</v>
      </c>
      <c r="B1258" s="13" t="s">
        <v>59</v>
      </c>
      <c r="C1258" s="13" t="s">
        <v>60</v>
      </c>
      <c r="D1258" s="13">
        <v>594</v>
      </c>
      <c r="E1258" s="13" t="s">
        <v>62</v>
      </c>
      <c r="F1258" s="13">
        <v>2</v>
      </c>
      <c r="G1258" s="13">
        <v>2</v>
      </c>
      <c r="H1258" s="13" t="s">
        <v>87</v>
      </c>
      <c r="I1258" s="13">
        <v>1</v>
      </c>
      <c r="J1258" s="13">
        <v>1760</v>
      </c>
      <c r="K1258" s="13">
        <v>3</v>
      </c>
      <c r="L1258" s="13" t="s">
        <v>43</v>
      </c>
      <c r="M1258" s="13">
        <v>75</v>
      </c>
      <c r="N1258" s="13">
        <v>2</v>
      </c>
      <c r="O1258" s="13">
        <v>1</v>
      </c>
      <c r="P1258" s="13" t="s">
        <v>76</v>
      </c>
      <c r="Q1258" s="13">
        <v>2</v>
      </c>
      <c r="R1258" s="13" t="s">
        <v>66</v>
      </c>
      <c r="S1258" s="20">
        <v>2468</v>
      </c>
      <c r="T1258" s="13">
        <v>15963</v>
      </c>
      <c r="U1258" s="13">
        <v>4</v>
      </c>
      <c r="V1258" s="13" t="s">
        <v>52</v>
      </c>
      <c r="W1258" s="13" t="s">
        <v>59</v>
      </c>
      <c r="X1258" s="13">
        <v>14</v>
      </c>
      <c r="Y1258" s="13">
        <v>3</v>
      </c>
      <c r="Z1258" s="13">
        <v>2</v>
      </c>
      <c r="AA1258" s="13">
        <v>80</v>
      </c>
      <c r="AB1258" s="13">
        <v>1</v>
      </c>
      <c r="AC1258" s="13">
        <v>9</v>
      </c>
      <c r="AD1258" s="13">
        <v>4</v>
      </c>
      <c r="AE1258" s="13">
        <v>2</v>
      </c>
      <c r="AF1258" s="14">
        <v>6</v>
      </c>
      <c r="AG1258" s="13">
        <v>1</v>
      </c>
      <c r="AH1258" s="13">
        <v>0</v>
      </c>
      <c r="AI1258" s="13">
        <v>5</v>
      </c>
      <c r="AJ1258" s="13" t="str">
        <f t="shared" si="19"/>
        <v>30-39</v>
      </c>
      <c r="AK1258" s="13" t="str">
        <f>IF(tblCleanData[[#This Row],[MonthlyIncome]]&lt;5000, "Low Income", IF(tblCleanData[[#This Row],[MonthlyIncome]]&lt;15000, "Medium Income", "High Income"))</f>
        <v>Low Income</v>
      </c>
      <c r="AL1258" s="13">
        <f>IF(tblCleanData[[#This Row],[Attrition]]="No", 0,1)</f>
        <v>0</v>
      </c>
      <c r="AM1258" s="13">
        <f>IF(tblCleanData[[#This Row],[OverTime]] = "No", 0, 1)</f>
        <v>0</v>
      </c>
      <c r="AN1258" s="13" t="str">
        <f>CHOOSE(tblCleanData[[#This Row],[Education]], "Below College","College","Bachelor","Master","Doctor")</f>
        <v>College</v>
      </c>
      <c r="AO1258" s="13" t="str">
        <f>VLOOKUP(tblCleanData[[#This Row],[EmployeeNumber]],tblHelpers[],15,TRUE)</f>
        <v>Medium Risk</v>
      </c>
      <c r="AP1258" s="13">
        <f>VLOOKUP(tblCleanData[[#This Row],[EmployeeNumber]],tblHelpers[],14,0)</f>
        <v>52</v>
      </c>
    </row>
    <row r="1259" spans="1:42" x14ac:dyDescent="0.25">
      <c r="A1259" s="13">
        <v>31</v>
      </c>
      <c r="B1259" s="13" t="s">
        <v>36</v>
      </c>
      <c r="C1259" s="13" t="s">
        <v>37</v>
      </c>
      <c r="D1259" s="13">
        <v>1079</v>
      </c>
      <c r="E1259" s="13" t="s">
        <v>39</v>
      </c>
      <c r="F1259" s="13">
        <v>16</v>
      </c>
      <c r="G1259" s="13">
        <v>4</v>
      </c>
      <c r="H1259" s="13" t="s">
        <v>206</v>
      </c>
      <c r="I1259" s="13">
        <v>1</v>
      </c>
      <c r="J1259" s="13">
        <v>1761</v>
      </c>
      <c r="K1259" s="13">
        <v>1</v>
      </c>
      <c r="L1259" s="13" t="s">
        <v>63</v>
      </c>
      <c r="M1259" s="13">
        <v>70</v>
      </c>
      <c r="N1259" s="13">
        <v>3</v>
      </c>
      <c r="O1259" s="13">
        <v>3</v>
      </c>
      <c r="P1259" s="13" t="s">
        <v>46</v>
      </c>
      <c r="Q1259" s="13">
        <v>3</v>
      </c>
      <c r="R1259" s="13" t="s">
        <v>66</v>
      </c>
      <c r="S1259" s="20">
        <v>8161</v>
      </c>
      <c r="T1259" s="13">
        <v>19002</v>
      </c>
      <c r="U1259" s="13">
        <v>2</v>
      </c>
      <c r="V1259" s="13" t="s">
        <v>52</v>
      </c>
      <c r="W1259" s="13" t="s">
        <v>59</v>
      </c>
      <c r="X1259" s="13">
        <v>13</v>
      </c>
      <c r="Y1259" s="13">
        <v>3</v>
      </c>
      <c r="Z1259" s="13">
        <v>1</v>
      </c>
      <c r="AA1259" s="13">
        <v>80</v>
      </c>
      <c r="AB1259" s="13">
        <v>3</v>
      </c>
      <c r="AC1259" s="13">
        <v>10</v>
      </c>
      <c r="AD1259" s="13">
        <v>2</v>
      </c>
      <c r="AE1259" s="13">
        <v>3</v>
      </c>
      <c r="AF1259" s="14">
        <v>1</v>
      </c>
      <c r="AG1259" s="13">
        <v>0</v>
      </c>
      <c r="AH1259" s="13">
        <v>0</v>
      </c>
      <c r="AI1259" s="13">
        <v>0</v>
      </c>
      <c r="AJ1259" s="13" t="str">
        <f t="shared" si="19"/>
        <v>30-39</v>
      </c>
      <c r="AK1259" s="13" t="str">
        <f>IF(tblCleanData[[#This Row],[MonthlyIncome]]&lt;5000, "Low Income", IF(tblCleanData[[#This Row],[MonthlyIncome]]&lt;15000, "Medium Income", "High Income"))</f>
        <v>Medium Income</v>
      </c>
      <c r="AL1259" s="13">
        <f>IF(tblCleanData[[#This Row],[Attrition]]="No", 0,1)</f>
        <v>1</v>
      </c>
      <c r="AM1259" s="13">
        <f>IF(tblCleanData[[#This Row],[OverTime]] = "No", 0, 1)</f>
        <v>0</v>
      </c>
      <c r="AN1259" s="13" t="str">
        <f>CHOOSE(tblCleanData[[#This Row],[Education]], "Below College","College","Bachelor","Master","Doctor")</f>
        <v>Master</v>
      </c>
      <c r="AO1259" s="13" t="str">
        <f>VLOOKUP(tblCleanData[[#This Row],[EmployeeNumber]],tblHelpers[],15,TRUE)</f>
        <v>High Risk</v>
      </c>
      <c r="AP1259" s="13">
        <f>VLOOKUP(tblCleanData[[#This Row],[EmployeeNumber]],tblHelpers[],14,0)</f>
        <v>63</v>
      </c>
    </row>
    <row r="1260" spans="1:42" x14ac:dyDescent="0.25">
      <c r="A1260" s="13">
        <v>29</v>
      </c>
      <c r="B1260" s="13" t="s">
        <v>59</v>
      </c>
      <c r="C1260" s="13" t="s">
        <v>37</v>
      </c>
      <c r="D1260" s="13">
        <v>590</v>
      </c>
      <c r="E1260" s="13" t="s">
        <v>62</v>
      </c>
      <c r="F1260" s="13">
        <v>4</v>
      </c>
      <c r="G1260" s="13">
        <v>3</v>
      </c>
      <c r="H1260" s="13" t="s">
        <v>228</v>
      </c>
      <c r="I1260" s="13">
        <v>1</v>
      </c>
      <c r="J1260" s="13">
        <v>1762</v>
      </c>
      <c r="K1260" s="13">
        <v>4</v>
      </c>
      <c r="L1260" s="13" t="s">
        <v>43</v>
      </c>
      <c r="M1260" s="13">
        <v>91</v>
      </c>
      <c r="N1260" s="13">
        <v>2</v>
      </c>
      <c r="O1260" s="13">
        <v>1</v>
      </c>
      <c r="P1260" s="13" t="s">
        <v>65</v>
      </c>
      <c r="Q1260" s="13">
        <v>1</v>
      </c>
      <c r="R1260" s="13" t="s">
        <v>109</v>
      </c>
      <c r="S1260" s="20">
        <v>2109</v>
      </c>
      <c r="T1260" s="13">
        <v>10007</v>
      </c>
      <c r="U1260" s="13">
        <v>1</v>
      </c>
      <c r="V1260" s="13" t="s">
        <v>52</v>
      </c>
      <c r="W1260" s="13" t="s">
        <v>59</v>
      </c>
      <c r="X1260" s="13">
        <v>13</v>
      </c>
      <c r="Y1260" s="13">
        <v>3</v>
      </c>
      <c r="Z1260" s="13">
        <v>3</v>
      </c>
      <c r="AA1260" s="13">
        <v>80</v>
      </c>
      <c r="AB1260" s="13">
        <v>1</v>
      </c>
      <c r="AC1260" s="13">
        <v>1</v>
      </c>
      <c r="AD1260" s="13">
        <v>2</v>
      </c>
      <c r="AE1260" s="13">
        <v>3</v>
      </c>
      <c r="AF1260" s="14">
        <v>1</v>
      </c>
      <c r="AG1260" s="13">
        <v>0</v>
      </c>
      <c r="AH1260" s="13">
        <v>0</v>
      </c>
      <c r="AI1260" s="13">
        <v>0</v>
      </c>
      <c r="AJ1260" s="13" t="str">
        <f t="shared" si="19"/>
        <v>Under 30</v>
      </c>
      <c r="AK1260" s="13" t="str">
        <f>IF(tblCleanData[[#This Row],[MonthlyIncome]]&lt;5000, "Low Income", IF(tblCleanData[[#This Row],[MonthlyIncome]]&lt;15000, "Medium Income", "High Income"))</f>
        <v>Low Income</v>
      </c>
      <c r="AL1260" s="13">
        <f>IF(tblCleanData[[#This Row],[Attrition]]="No", 0,1)</f>
        <v>0</v>
      </c>
      <c r="AM1260" s="13">
        <f>IF(tblCleanData[[#This Row],[OverTime]] = "No", 0, 1)</f>
        <v>0</v>
      </c>
      <c r="AN1260" s="13" t="str">
        <f>CHOOSE(tblCleanData[[#This Row],[Education]], "Below College","College","Bachelor","Master","Doctor")</f>
        <v>Bachelor</v>
      </c>
      <c r="AO1260" s="13" t="str">
        <f>VLOOKUP(tblCleanData[[#This Row],[EmployeeNumber]],tblHelpers[],15,TRUE)</f>
        <v>High Risk</v>
      </c>
      <c r="AP1260" s="13">
        <f>VLOOKUP(tblCleanData[[#This Row],[EmployeeNumber]],tblHelpers[],14,0)</f>
        <v>85</v>
      </c>
    </row>
    <row r="1261" spans="1:42" x14ac:dyDescent="0.25">
      <c r="A1261" s="13">
        <v>30</v>
      </c>
      <c r="B1261" s="13" t="s">
        <v>59</v>
      </c>
      <c r="C1261" s="13" t="s">
        <v>37</v>
      </c>
      <c r="D1261" s="13">
        <v>305</v>
      </c>
      <c r="E1261" s="13" t="s">
        <v>62</v>
      </c>
      <c r="F1261" s="13">
        <v>16</v>
      </c>
      <c r="G1261" s="13">
        <v>3</v>
      </c>
      <c r="H1261" s="13" t="s">
        <v>42</v>
      </c>
      <c r="I1261" s="13">
        <v>1</v>
      </c>
      <c r="J1261" s="13">
        <v>1763</v>
      </c>
      <c r="K1261" s="13">
        <v>3</v>
      </c>
      <c r="L1261" s="13" t="s">
        <v>63</v>
      </c>
      <c r="M1261" s="13">
        <v>58</v>
      </c>
      <c r="N1261" s="13">
        <v>4</v>
      </c>
      <c r="O1261" s="13">
        <v>2</v>
      </c>
      <c r="P1261" s="13" t="s">
        <v>122</v>
      </c>
      <c r="Q1261" s="13">
        <v>3</v>
      </c>
      <c r="R1261" s="13" t="s">
        <v>66</v>
      </c>
      <c r="S1261" s="20">
        <v>5294</v>
      </c>
      <c r="T1261" s="13">
        <v>9128</v>
      </c>
      <c r="U1261" s="13">
        <v>3</v>
      </c>
      <c r="V1261" s="13" t="s">
        <v>52</v>
      </c>
      <c r="W1261" s="13" t="s">
        <v>59</v>
      </c>
      <c r="X1261" s="13">
        <v>16</v>
      </c>
      <c r="Y1261" s="13">
        <v>3</v>
      </c>
      <c r="Z1261" s="13">
        <v>3</v>
      </c>
      <c r="AA1261" s="13">
        <v>80</v>
      </c>
      <c r="AB1261" s="13">
        <v>1</v>
      </c>
      <c r="AC1261" s="13">
        <v>10</v>
      </c>
      <c r="AD1261" s="13">
        <v>3</v>
      </c>
      <c r="AE1261" s="13">
        <v>3</v>
      </c>
      <c r="AF1261" s="14">
        <v>7</v>
      </c>
      <c r="AG1261" s="13">
        <v>0</v>
      </c>
      <c r="AH1261" s="13">
        <v>1</v>
      </c>
      <c r="AI1261" s="13">
        <v>7</v>
      </c>
      <c r="AJ1261" s="13" t="str">
        <f t="shared" si="19"/>
        <v>30-39</v>
      </c>
      <c r="AK1261" s="13" t="str">
        <f>IF(tblCleanData[[#This Row],[MonthlyIncome]]&lt;5000, "Low Income", IF(tblCleanData[[#This Row],[MonthlyIncome]]&lt;15000, "Medium Income", "High Income"))</f>
        <v>Medium Income</v>
      </c>
      <c r="AL1261" s="13">
        <f>IF(tblCleanData[[#This Row],[Attrition]]="No", 0,1)</f>
        <v>0</v>
      </c>
      <c r="AM1261" s="13">
        <f>IF(tblCleanData[[#This Row],[OverTime]] = "No", 0, 1)</f>
        <v>0</v>
      </c>
      <c r="AN1261" s="13" t="str">
        <f>CHOOSE(tblCleanData[[#This Row],[Education]], "Below College","College","Bachelor","Master","Doctor")</f>
        <v>Bachelor</v>
      </c>
      <c r="AO1261" s="13" t="str">
        <f>VLOOKUP(tblCleanData[[#This Row],[EmployeeNumber]],tblHelpers[],15,TRUE)</f>
        <v>Medium Risk</v>
      </c>
      <c r="AP1261" s="13">
        <f>VLOOKUP(tblCleanData[[#This Row],[EmployeeNumber]],tblHelpers[],14,0)</f>
        <v>46</v>
      </c>
    </row>
    <row r="1262" spans="1:42" x14ac:dyDescent="0.25">
      <c r="A1262" s="13">
        <v>32</v>
      </c>
      <c r="B1262" s="13" t="s">
        <v>59</v>
      </c>
      <c r="C1262" s="13" t="s">
        <v>161</v>
      </c>
      <c r="D1262" s="13">
        <v>953</v>
      </c>
      <c r="E1262" s="13" t="s">
        <v>62</v>
      </c>
      <c r="F1262" s="13">
        <v>5</v>
      </c>
      <c r="G1262" s="13">
        <v>4</v>
      </c>
      <c r="H1262" s="13" t="s">
        <v>228</v>
      </c>
      <c r="I1262" s="13">
        <v>1</v>
      </c>
      <c r="J1262" s="13">
        <v>1764</v>
      </c>
      <c r="K1262" s="13">
        <v>2</v>
      </c>
      <c r="L1262" s="13" t="s">
        <v>63</v>
      </c>
      <c r="M1262" s="13">
        <v>65</v>
      </c>
      <c r="N1262" s="13">
        <v>3</v>
      </c>
      <c r="O1262" s="13">
        <v>1</v>
      </c>
      <c r="P1262" s="13" t="s">
        <v>65</v>
      </c>
      <c r="Q1262" s="13">
        <v>2</v>
      </c>
      <c r="R1262" s="13" t="s">
        <v>48</v>
      </c>
      <c r="S1262" s="20">
        <v>2718</v>
      </c>
      <c r="T1262" s="13">
        <v>17674</v>
      </c>
      <c r="U1262" s="13">
        <v>2</v>
      </c>
      <c r="V1262" s="13" t="s">
        <v>52</v>
      </c>
      <c r="W1262" s="13" t="s">
        <v>59</v>
      </c>
      <c r="X1262" s="13">
        <v>14</v>
      </c>
      <c r="Y1262" s="13">
        <v>3</v>
      </c>
      <c r="Z1262" s="13">
        <v>2</v>
      </c>
      <c r="AA1262" s="13">
        <v>80</v>
      </c>
      <c r="AB1262" s="13">
        <v>0</v>
      </c>
      <c r="AC1262" s="13">
        <v>12</v>
      </c>
      <c r="AD1262" s="13">
        <v>3</v>
      </c>
      <c r="AE1262" s="13">
        <v>3</v>
      </c>
      <c r="AF1262" s="14">
        <v>7</v>
      </c>
      <c r="AG1262" s="13">
        <v>7</v>
      </c>
      <c r="AH1262" s="13">
        <v>0</v>
      </c>
      <c r="AI1262" s="13">
        <v>7</v>
      </c>
      <c r="AJ1262" s="13" t="str">
        <f t="shared" si="19"/>
        <v>30-39</v>
      </c>
      <c r="AK1262" s="13" t="str">
        <f>IF(tblCleanData[[#This Row],[MonthlyIncome]]&lt;5000, "Low Income", IF(tblCleanData[[#This Row],[MonthlyIncome]]&lt;15000, "Medium Income", "High Income"))</f>
        <v>Low Income</v>
      </c>
      <c r="AL1262" s="13">
        <f>IF(tblCleanData[[#This Row],[Attrition]]="No", 0,1)</f>
        <v>0</v>
      </c>
      <c r="AM1262" s="13">
        <f>IF(tblCleanData[[#This Row],[OverTime]] = "No", 0, 1)</f>
        <v>0</v>
      </c>
      <c r="AN1262" s="13" t="str">
        <f>CHOOSE(tblCleanData[[#This Row],[Education]], "Below College","College","Bachelor","Master","Doctor")</f>
        <v>Master</v>
      </c>
      <c r="AO1262" s="13" t="str">
        <f>VLOOKUP(tblCleanData[[#This Row],[EmployeeNumber]],tblHelpers[],15,TRUE)</f>
        <v>Medium Risk</v>
      </c>
      <c r="AP1262" s="13">
        <f>VLOOKUP(tblCleanData[[#This Row],[EmployeeNumber]],tblHelpers[],14,0)</f>
        <v>52</v>
      </c>
    </row>
    <row r="1263" spans="1:42" x14ac:dyDescent="0.25">
      <c r="A1263" s="13">
        <v>38</v>
      </c>
      <c r="B1263" s="13" t="s">
        <v>59</v>
      </c>
      <c r="C1263" s="13" t="s">
        <v>37</v>
      </c>
      <c r="D1263" s="13">
        <v>833</v>
      </c>
      <c r="E1263" s="13" t="s">
        <v>62</v>
      </c>
      <c r="F1263" s="13">
        <v>18</v>
      </c>
      <c r="G1263" s="13">
        <v>3</v>
      </c>
      <c r="H1263" s="13" t="s">
        <v>87</v>
      </c>
      <c r="I1263" s="13">
        <v>1</v>
      </c>
      <c r="J1263" s="13">
        <v>1766</v>
      </c>
      <c r="K1263" s="13">
        <v>2</v>
      </c>
      <c r="L1263" s="13" t="s">
        <v>63</v>
      </c>
      <c r="M1263" s="13">
        <v>60</v>
      </c>
      <c r="N1263" s="13">
        <v>1</v>
      </c>
      <c r="O1263" s="13">
        <v>2</v>
      </c>
      <c r="P1263" s="13" t="s">
        <v>122</v>
      </c>
      <c r="Q1263" s="13">
        <v>4</v>
      </c>
      <c r="R1263" s="13" t="s">
        <v>66</v>
      </c>
      <c r="S1263" s="20">
        <v>5811</v>
      </c>
      <c r="T1263" s="13">
        <v>24539</v>
      </c>
      <c r="U1263" s="13">
        <v>3</v>
      </c>
      <c r="V1263" s="13" t="s">
        <v>52</v>
      </c>
      <c r="W1263" s="13" t="s">
        <v>36</v>
      </c>
      <c r="X1263" s="13">
        <v>16</v>
      </c>
      <c r="Y1263" s="13">
        <v>3</v>
      </c>
      <c r="Z1263" s="13">
        <v>3</v>
      </c>
      <c r="AA1263" s="13">
        <v>80</v>
      </c>
      <c r="AB1263" s="13">
        <v>1</v>
      </c>
      <c r="AC1263" s="13">
        <v>15</v>
      </c>
      <c r="AD1263" s="13">
        <v>2</v>
      </c>
      <c r="AE1263" s="13">
        <v>3</v>
      </c>
      <c r="AF1263" s="14">
        <v>1</v>
      </c>
      <c r="AG1263" s="13">
        <v>0</v>
      </c>
      <c r="AH1263" s="13">
        <v>1</v>
      </c>
      <c r="AI1263" s="13">
        <v>0</v>
      </c>
      <c r="AJ1263" s="13" t="str">
        <f t="shared" si="19"/>
        <v>30-39</v>
      </c>
      <c r="AK1263" s="13" t="str">
        <f>IF(tblCleanData[[#This Row],[MonthlyIncome]]&lt;5000, "Low Income", IF(tblCleanData[[#This Row],[MonthlyIncome]]&lt;15000, "Medium Income", "High Income"))</f>
        <v>Medium Income</v>
      </c>
      <c r="AL1263" s="13">
        <f>IF(tblCleanData[[#This Row],[Attrition]]="No", 0,1)</f>
        <v>0</v>
      </c>
      <c r="AM1263" s="13">
        <f>IF(tblCleanData[[#This Row],[OverTime]] = "No", 0, 1)</f>
        <v>1</v>
      </c>
      <c r="AN1263" s="13" t="str">
        <f>CHOOSE(tblCleanData[[#This Row],[Education]], "Below College","College","Bachelor","Master","Doctor")</f>
        <v>Bachelor</v>
      </c>
      <c r="AO1263" s="13" t="str">
        <f>VLOOKUP(tblCleanData[[#This Row],[EmployeeNumber]],tblHelpers[],15,TRUE)</f>
        <v>High Risk</v>
      </c>
      <c r="AP1263" s="13">
        <f>VLOOKUP(tblCleanData[[#This Row],[EmployeeNumber]],tblHelpers[],14,0)</f>
        <v>81</v>
      </c>
    </row>
    <row r="1264" spans="1:42" x14ac:dyDescent="0.25">
      <c r="A1264" s="13">
        <v>43</v>
      </c>
      <c r="B1264" s="13" t="s">
        <v>36</v>
      </c>
      <c r="C1264" s="13" t="s">
        <v>60</v>
      </c>
      <c r="D1264" s="13">
        <v>807</v>
      </c>
      <c r="E1264" s="13" t="s">
        <v>62</v>
      </c>
      <c r="F1264" s="13">
        <v>17</v>
      </c>
      <c r="G1264" s="13">
        <v>3</v>
      </c>
      <c r="H1264" s="13" t="s">
        <v>228</v>
      </c>
      <c r="I1264" s="13">
        <v>1</v>
      </c>
      <c r="J1264" s="13">
        <v>1767</v>
      </c>
      <c r="K1264" s="13">
        <v>3</v>
      </c>
      <c r="L1264" s="13" t="s">
        <v>63</v>
      </c>
      <c r="M1264" s="13">
        <v>38</v>
      </c>
      <c r="N1264" s="13">
        <v>2</v>
      </c>
      <c r="O1264" s="13">
        <v>1</v>
      </c>
      <c r="P1264" s="13" t="s">
        <v>65</v>
      </c>
      <c r="Q1264" s="13">
        <v>3</v>
      </c>
      <c r="R1264" s="13" t="s">
        <v>66</v>
      </c>
      <c r="S1264" s="20">
        <v>2437</v>
      </c>
      <c r="T1264" s="13">
        <v>15587</v>
      </c>
      <c r="U1264" s="13">
        <v>9</v>
      </c>
      <c r="V1264" s="13" t="s">
        <v>52</v>
      </c>
      <c r="W1264" s="13" t="s">
        <v>36</v>
      </c>
      <c r="X1264" s="13">
        <v>16</v>
      </c>
      <c r="Y1264" s="13">
        <v>3</v>
      </c>
      <c r="Z1264" s="13">
        <v>4</v>
      </c>
      <c r="AA1264" s="13">
        <v>80</v>
      </c>
      <c r="AB1264" s="13">
        <v>1</v>
      </c>
      <c r="AC1264" s="13">
        <v>6</v>
      </c>
      <c r="AD1264" s="13">
        <v>4</v>
      </c>
      <c r="AE1264" s="13">
        <v>3</v>
      </c>
      <c r="AF1264" s="14">
        <v>1</v>
      </c>
      <c r="AG1264" s="13">
        <v>0</v>
      </c>
      <c r="AH1264" s="13">
        <v>0</v>
      </c>
      <c r="AI1264" s="13">
        <v>0</v>
      </c>
      <c r="AJ1264" s="13" t="str">
        <f t="shared" si="19"/>
        <v>40-49</v>
      </c>
      <c r="AK1264" s="13" t="str">
        <f>IF(tblCleanData[[#This Row],[MonthlyIncome]]&lt;5000, "Low Income", IF(tblCleanData[[#This Row],[MonthlyIncome]]&lt;15000, "Medium Income", "High Income"))</f>
        <v>Low Income</v>
      </c>
      <c r="AL1264" s="13">
        <f>IF(tblCleanData[[#This Row],[Attrition]]="No", 0,1)</f>
        <v>1</v>
      </c>
      <c r="AM1264" s="13">
        <f>IF(tblCleanData[[#This Row],[OverTime]] = "No", 0, 1)</f>
        <v>1</v>
      </c>
      <c r="AN1264" s="13" t="str">
        <f>CHOOSE(tblCleanData[[#This Row],[Education]], "Below College","College","Bachelor","Master","Doctor")</f>
        <v>Bachelor</v>
      </c>
      <c r="AO1264" s="13" t="str">
        <f>VLOOKUP(tblCleanData[[#This Row],[EmployeeNumber]],tblHelpers[],15,TRUE)</f>
        <v>High Risk</v>
      </c>
      <c r="AP1264" s="13">
        <f>VLOOKUP(tblCleanData[[#This Row],[EmployeeNumber]],tblHelpers[],14,0)</f>
        <v>78</v>
      </c>
    </row>
    <row r="1265" spans="1:42" x14ac:dyDescent="0.25">
      <c r="A1265" s="13">
        <v>42</v>
      </c>
      <c r="B1265" s="13" t="s">
        <v>59</v>
      </c>
      <c r="C1265" s="13" t="s">
        <v>37</v>
      </c>
      <c r="D1265" s="13">
        <v>855</v>
      </c>
      <c r="E1265" s="13" t="s">
        <v>62</v>
      </c>
      <c r="F1265" s="13">
        <v>12</v>
      </c>
      <c r="G1265" s="13">
        <v>3</v>
      </c>
      <c r="H1265" s="13" t="s">
        <v>87</v>
      </c>
      <c r="I1265" s="13">
        <v>1</v>
      </c>
      <c r="J1265" s="13">
        <v>1768</v>
      </c>
      <c r="K1265" s="13">
        <v>2</v>
      </c>
      <c r="L1265" s="13" t="s">
        <v>63</v>
      </c>
      <c r="M1265" s="13">
        <v>57</v>
      </c>
      <c r="N1265" s="13">
        <v>3</v>
      </c>
      <c r="O1265" s="13">
        <v>1</v>
      </c>
      <c r="P1265" s="13" t="s">
        <v>76</v>
      </c>
      <c r="Q1265" s="13">
        <v>2</v>
      </c>
      <c r="R1265" s="13" t="s">
        <v>109</v>
      </c>
      <c r="S1265" s="20">
        <v>2766</v>
      </c>
      <c r="T1265" s="13">
        <v>8952</v>
      </c>
      <c r="U1265" s="13">
        <v>8</v>
      </c>
      <c r="V1265" s="13" t="s">
        <v>52</v>
      </c>
      <c r="W1265" s="13" t="s">
        <v>59</v>
      </c>
      <c r="X1265" s="13">
        <v>22</v>
      </c>
      <c r="Y1265" s="13">
        <v>4</v>
      </c>
      <c r="Z1265" s="13">
        <v>2</v>
      </c>
      <c r="AA1265" s="13">
        <v>80</v>
      </c>
      <c r="AB1265" s="13">
        <v>3</v>
      </c>
      <c r="AC1265" s="13">
        <v>7</v>
      </c>
      <c r="AD1265" s="13">
        <v>6</v>
      </c>
      <c r="AE1265" s="13">
        <v>2</v>
      </c>
      <c r="AF1265" s="14">
        <v>5</v>
      </c>
      <c r="AG1265" s="13">
        <v>3</v>
      </c>
      <c r="AH1265" s="13">
        <v>0</v>
      </c>
      <c r="AI1265" s="13">
        <v>4</v>
      </c>
      <c r="AJ1265" s="13" t="str">
        <f t="shared" si="19"/>
        <v>40-49</v>
      </c>
      <c r="AK1265" s="13" t="str">
        <f>IF(tblCleanData[[#This Row],[MonthlyIncome]]&lt;5000, "Low Income", IF(tblCleanData[[#This Row],[MonthlyIncome]]&lt;15000, "Medium Income", "High Income"))</f>
        <v>Low Income</v>
      </c>
      <c r="AL1265" s="13">
        <f>IF(tblCleanData[[#This Row],[Attrition]]="No", 0,1)</f>
        <v>0</v>
      </c>
      <c r="AM1265" s="13">
        <f>IF(tblCleanData[[#This Row],[OverTime]] = "No", 0, 1)</f>
        <v>0</v>
      </c>
      <c r="AN1265" s="13" t="str">
        <f>CHOOSE(tblCleanData[[#This Row],[Education]], "Below College","College","Bachelor","Master","Doctor")</f>
        <v>Bachelor</v>
      </c>
      <c r="AO1265" s="13" t="str">
        <f>VLOOKUP(tblCleanData[[#This Row],[EmployeeNumber]],tblHelpers[],15,TRUE)</f>
        <v>Medium Risk</v>
      </c>
      <c r="AP1265" s="13">
        <f>VLOOKUP(tblCleanData[[#This Row],[EmployeeNumber]],tblHelpers[],14,0)</f>
        <v>49</v>
      </c>
    </row>
    <row r="1266" spans="1:42" x14ac:dyDescent="0.25">
      <c r="A1266" s="13">
        <v>55</v>
      </c>
      <c r="B1266" s="13" t="s">
        <v>59</v>
      </c>
      <c r="C1266" s="13" t="s">
        <v>37</v>
      </c>
      <c r="D1266" s="13">
        <v>478</v>
      </c>
      <c r="E1266" s="13" t="s">
        <v>62</v>
      </c>
      <c r="F1266" s="13">
        <v>2</v>
      </c>
      <c r="G1266" s="13">
        <v>3</v>
      </c>
      <c r="H1266" s="13" t="s">
        <v>87</v>
      </c>
      <c r="I1266" s="13">
        <v>1</v>
      </c>
      <c r="J1266" s="13">
        <v>1770</v>
      </c>
      <c r="K1266" s="13">
        <v>3</v>
      </c>
      <c r="L1266" s="13" t="s">
        <v>63</v>
      </c>
      <c r="M1266" s="13">
        <v>60</v>
      </c>
      <c r="N1266" s="13">
        <v>2</v>
      </c>
      <c r="O1266" s="13">
        <v>5</v>
      </c>
      <c r="P1266" s="13" t="s">
        <v>186</v>
      </c>
      <c r="Q1266" s="13">
        <v>1</v>
      </c>
      <c r="R1266" s="13" t="s">
        <v>66</v>
      </c>
      <c r="S1266" s="20">
        <v>19038</v>
      </c>
      <c r="T1266" s="13">
        <v>19805</v>
      </c>
      <c r="U1266" s="13">
        <v>8</v>
      </c>
      <c r="V1266" s="13" t="s">
        <v>52</v>
      </c>
      <c r="W1266" s="13" t="s">
        <v>59</v>
      </c>
      <c r="X1266" s="13">
        <v>12</v>
      </c>
      <c r="Y1266" s="13">
        <v>3</v>
      </c>
      <c r="Z1266" s="13">
        <v>2</v>
      </c>
      <c r="AA1266" s="13">
        <v>80</v>
      </c>
      <c r="AB1266" s="13">
        <v>3</v>
      </c>
      <c r="AC1266" s="13">
        <v>34</v>
      </c>
      <c r="AD1266" s="13">
        <v>2</v>
      </c>
      <c r="AE1266" s="13">
        <v>3</v>
      </c>
      <c r="AF1266" s="14">
        <v>1</v>
      </c>
      <c r="AG1266" s="13">
        <v>0</v>
      </c>
      <c r="AH1266" s="13">
        <v>0</v>
      </c>
      <c r="AI1266" s="13">
        <v>0</v>
      </c>
      <c r="AJ1266" s="13" t="str">
        <f t="shared" si="19"/>
        <v>50+</v>
      </c>
      <c r="AK1266" s="13" t="str">
        <f>IF(tblCleanData[[#This Row],[MonthlyIncome]]&lt;5000, "Low Income", IF(tblCleanData[[#This Row],[MonthlyIncome]]&lt;15000, "Medium Income", "High Income"))</f>
        <v>High Income</v>
      </c>
      <c r="AL1266" s="13">
        <f>IF(tblCleanData[[#This Row],[Attrition]]="No", 0,1)</f>
        <v>0</v>
      </c>
      <c r="AM1266" s="13">
        <f>IF(tblCleanData[[#This Row],[OverTime]] = "No", 0, 1)</f>
        <v>0</v>
      </c>
      <c r="AN1266" s="13" t="str">
        <f>CHOOSE(tblCleanData[[#This Row],[Education]], "Below College","College","Bachelor","Master","Doctor")</f>
        <v>Bachelor</v>
      </c>
      <c r="AO1266" s="13" t="str">
        <f>VLOOKUP(tblCleanData[[#This Row],[EmployeeNumber]],tblHelpers[],15,TRUE)</f>
        <v>High Risk</v>
      </c>
      <c r="AP1266" s="13">
        <f>VLOOKUP(tblCleanData[[#This Row],[EmployeeNumber]],tblHelpers[],14,0)</f>
        <v>70</v>
      </c>
    </row>
    <row r="1267" spans="1:42" x14ac:dyDescent="0.25">
      <c r="A1267" s="13">
        <v>33</v>
      </c>
      <c r="B1267" s="13" t="s">
        <v>59</v>
      </c>
      <c r="C1267" s="13" t="s">
        <v>161</v>
      </c>
      <c r="D1267" s="13">
        <v>775</v>
      </c>
      <c r="E1267" s="13" t="s">
        <v>62</v>
      </c>
      <c r="F1267" s="13">
        <v>4</v>
      </c>
      <c r="G1267" s="13">
        <v>3</v>
      </c>
      <c r="H1267" s="13" t="s">
        <v>228</v>
      </c>
      <c r="I1267" s="13">
        <v>1</v>
      </c>
      <c r="J1267" s="13">
        <v>1771</v>
      </c>
      <c r="K1267" s="13">
        <v>4</v>
      </c>
      <c r="L1267" s="13" t="s">
        <v>63</v>
      </c>
      <c r="M1267" s="13">
        <v>90</v>
      </c>
      <c r="N1267" s="13">
        <v>3</v>
      </c>
      <c r="O1267" s="13">
        <v>2</v>
      </c>
      <c r="P1267" s="13" t="s">
        <v>65</v>
      </c>
      <c r="Q1267" s="13">
        <v>2</v>
      </c>
      <c r="R1267" s="13" t="s">
        <v>109</v>
      </c>
      <c r="S1267" s="20">
        <v>3055</v>
      </c>
      <c r="T1267" s="13">
        <v>6194</v>
      </c>
      <c r="U1267" s="13">
        <v>5</v>
      </c>
      <c r="V1267" s="13" t="s">
        <v>52</v>
      </c>
      <c r="W1267" s="13" t="s">
        <v>59</v>
      </c>
      <c r="X1267" s="13">
        <v>15</v>
      </c>
      <c r="Y1267" s="13">
        <v>3</v>
      </c>
      <c r="Z1267" s="13">
        <v>4</v>
      </c>
      <c r="AA1267" s="13">
        <v>80</v>
      </c>
      <c r="AB1267" s="13">
        <v>2</v>
      </c>
      <c r="AC1267" s="13">
        <v>11</v>
      </c>
      <c r="AD1267" s="13">
        <v>2</v>
      </c>
      <c r="AE1267" s="13">
        <v>2</v>
      </c>
      <c r="AF1267" s="14">
        <v>9</v>
      </c>
      <c r="AG1267" s="13">
        <v>8</v>
      </c>
      <c r="AH1267" s="13">
        <v>1</v>
      </c>
      <c r="AI1267" s="13">
        <v>7</v>
      </c>
      <c r="AJ1267" s="13" t="str">
        <f t="shared" si="19"/>
        <v>30-39</v>
      </c>
      <c r="AK1267" s="13" t="str">
        <f>IF(tblCleanData[[#This Row],[MonthlyIncome]]&lt;5000, "Low Income", IF(tblCleanData[[#This Row],[MonthlyIncome]]&lt;15000, "Medium Income", "High Income"))</f>
        <v>Low Income</v>
      </c>
      <c r="AL1267" s="13">
        <f>IF(tblCleanData[[#This Row],[Attrition]]="No", 0,1)</f>
        <v>0</v>
      </c>
      <c r="AM1267" s="13">
        <f>IF(tblCleanData[[#This Row],[OverTime]] = "No", 0, 1)</f>
        <v>0</v>
      </c>
      <c r="AN1267" s="13" t="str">
        <f>CHOOSE(tblCleanData[[#This Row],[Education]], "Below College","College","Bachelor","Master","Doctor")</f>
        <v>Bachelor</v>
      </c>
      <c r="AO1267" s="13" t="str">
        <f>VLOOKUP(tblCleanData[[#This Row],[EmployeeNumber]],tblHelpers[],15,TRUE)</f>
        <v>Medium Risk</v>
      </c>
      <c r="AP1267" s="13">
        <f>VLOOKUP(tblCleanData[[#This Row],[EmployeeNumber]],tblHelpers[],14,0)</f>
        <v>52</v>
      </c>
    </row>
    <row r="1268" spans="1:42" x14ac:dyDescent="0.25">
      <c r="A1268" s="13">
        <v>41</v>
      </c>
      <c r="B1268" s="13" t="s">
        <v>59</v>
      </c>
      <c r="C1268" s="13" t="s">
        <v>37</v>
      </c>
      <c r="D1268" s="13">
        <v>548</v>
      </c>
      <c r="E1268" s="13" t="s">
        <v>62</v>
      </c>
      <c r="F1268" s="13">
        <v>9</v>
      </c>
      <c r="G1268" s="13">
        <v>4</v>
      </c>
      <c r="H1268" s="13" t="s">
        <v>42</v>
      </c>
      <c r="I1268" s="13">
        <v>1</v>
      </c>
      <c r="J1268" s="13">
        <v>1772</v>
      </c>
      <c r="K1268" s="13">
        <v>3</v>
      </c>
      <c r="L1268" s="13" t="s">
        <v>63</v>
      </c>
      <c r="M1268" s="13">
        <v>94</v>
      </c>
      <c r="N1268" s="13">
        <v>3</v>
      </c>
      <c r="O1268" s="13">
        <v>1</v>
      </c>
      <c r="P1268" s="13" t="s">
        <v>76</v>
      </c>
      <c r="Q1268" s="13">
        <v>1</v>
      </c>
      <c r="R1268" s="13" t="s">
        <v>109</v>
      </c>
      <c r="S1268" s="20">
        <v>2289</v>
      </c>
      <c r="T1268" s="13">
        <v>20520</v>
      </c>
      <c r="U1268" s="13">
        <v>1</v>
      </c>
      <c r="V1268" s="13" t="s">
        <v>52</v>
      </c>
      <c r="W1268" s="13" t="s">
        <v>59</v>
      </c>
      <c r="X1268" s="13">
        <v>20</v>
      </c>
      <c r="Y1268" s="13">
        <v>4</v>
      </c>
      <c r="Z1268" s="13">
        <v>2</v>
      </c>
      <c r="AA1268" s="13">
        <v>80</v>
      </c>
      <c r="AB1268" s="13">
        <v>2</v>
      </c>
      <c r="AC1268" s="13">
        <v>5</v>
      </c>
      <c r="AD1268" s="13">
        <v>2</v>
      </c>
      <c r="AE1268" s="13">
        <v>3</v>
      </c>
      <c r="AF1268" s="14">
        <v>5</v>
      </c>
      <c r="AG1268" s="13">
        <v>3</v>
      </c>
      <c r="AH1268" s="13">
        <v>0</v>
      </c>
      <c r="AI1268" s="13">
        <v>4</v>
      </c>
      <c r="AJ1268" s="13" t="str">
        <f t="shared" si="19"/>
        <v>40-49</v>
      </c>
      <c r="AK1268" s="13" t="str">
        <f>IF(tblCleanData[[#This Row],[MonthlyIncome]]&lt;5000, "Low Income", IF(tblCleanData[[#This Row],[MonthlyIncome]]&lt;15000, "Medium Income", "High Income"))</f>
        <v>Low Income</v>
      </c>
      <c r="AL1268" s="13">
        <f>IF(tblCleanData[[#This Row],[Attrition]]="No", 0,1)</f>
        <v>0</v>
      </c>
      <c r="AM1268" s="13">
        <f>IF(tblCleanData[[#This Row],[OverTime]] = "No", 0, 1)</f>
        <v>0</v>
      </c>
      <c r="AN1268" s="13" t="str">
        <f>CHOOSE(tblCleanData[[#This Row],[Education]], "Below College","College","Bachelor","Master","Doctor")</f>
        <v>Master</v>
      </c>
      <c r="AO1268" s="13" t="str">
        <f>VLOOKUP(tblCleanData[[#This Row],[EmployeeNumber]],tblHelpers[],15,TRUE)</f>
        <v>High Risk</v>
      </c>
      <c r="AP1268" s="13">
        <f>VLOOKUP(tblCleanData[[#This Row],[EmployeeNumber]],tblHelpers[],14,0)</f>
        <v>55</v>
      </c>
    </row>
    <row r="1269" spans="1:42" x14ac:dyDescent="0.25">
      <c r="A1269" s="13">
        <v>34</v>
      </c>
      <c r="B1269" s="13" t="s">
        <v>59</v>
      </c>
      <c r="C1269" s="13" t="s">
        <v>161</v>
      </c>
      <c r="D1269" s="13">
        <v>1375</v>
      </c>
      <c r="E1269" s="13" t="s">
        <v>39</v>
      </c>
      <c r="F1269" s="13">
        <v>10</v>
      </c>
      <c r="G1269" s="13">
        <v>3</v>
      </c>
      <c r="H1269" s="13" t="s">
        <v>42</v>
      </c>
      <c r="I1269" s="13">
        <v>1</v>
      </c>
      <c r="J1269" s="13">
        <v>1774</v>
      </c>
      <c r="K1269" s="13">
        <v>4</v>
      </c>
      <c r="L1269" s="13" t="s">
        <v>63</v>
      </c>
      <c r="M1269" s="13">
        <v>87</v>
      </c>
      <c r="N1269" s="13">
        <v>3</v>
      </c>
      <c r="O1269" s="13">
        <v>2</v>
      </c>
      <c r="P1269" s="13" t="s">
        <v>46</v>
      </c>
      <c r="Q1269" s="13">
        <v>3</v>
      </c>
      <c r="R1269" s="13" t="s">
        <v>109</v>
      </c>
      <c r="S1269" s="20">
        <v>4001</v>
      </c>
      <c r="T1269" s="13">
        <v>12313</v>
      </c>
      <c r="U1269" s="13">
        <v>1</v>
      </c>
      <c r="V1269" s="13" t="s">
        <v>52</v>
      </c>
      <c r="W1269" s="13" t="s">
        <v>36</v>
      </c>
      <c r="X1269" s="13">
        <v>14</v>
      </c>
      <c r="Y1269" s="13">
        <v>3</v>
      </c>
      <c r="Z1269" s="13">
        <v>3</v>
      </c>
      <c r="AA1269" s="13">
        <v>80</v>
      </c>
      <c r="AB1269" s="13">
        <v>1</v>
      </c>
      <c r="AC1269" s="13">
        <v>15</v>
      </c>
      <c r="AD1269" s="13">
        <v>3</v>
      </c>
      <c r="AE1269" s="13">
        <v>3</v>
      </c>
      <c r="AF1269" s="14">
        <v>15</v>
      </c>
      <c r="AG1269" s="13">
        <v>14</v>
      </c>
      <c r="AH1269" s="13">
        <v>0</v>
      </c>
      <c r="AI1269" s="13">
        <v>7</v>
      </c>
      <c r="AJ1269" s="13" t="str">
        <f t="shared" si="19"/>
        <v>30-39</v>
      </c>
      <c r="AK1269" s="13" t="str">
        <f>IF(tblCleanData[[#This Row],[MonthlyIncome]]&lt;5000, "Low Income", IF(tblCleanData[[#This Row],[MonthlyIncome]]&lt;15000, "Medium Income", "High Income"))</f>
        <v>Low Income</v>
      </c>
      <c r="AL1269" s="13">
        <f>IF(tblCleanData[[#This Row],[Attrition]]="No", 0,1)</f>
        <v>0</v>
      </c>
      <c r="AM1269" s="13">
        <f>IF(tblCleanData[[#This Row],[OverTime]] = "No", 0, 1)</f>
        <v>1</v>
      </c>
      <c r="AN1269" s="13" t="str">
        <f>CHOOSE(tblCleanData[[#This Row],[Education]], "Below College","College","Bachelor","Master","Doctor")</f>
        <v>Bachelor</v>
      </c>
      <c r="AO1269" s="13" t="str">
        <f>VLOOKUP(tblCleanData[[#This Row],[EmployeeNumber]],tblHelpers[],15,TRUE)</f>
        <v>High Risk</v>
      </c>
      <c r="AP1269" s="13">
        <f>VLOOKUP(tblCleanData[[#This Row],[EmployeeNumber]],tblHelpers[],14,0)</f>
        <v>66</v>
      </c>
    </row>
    <row r="1270" spans="1:42" x14ac:dyDescent="0.25">
      <c r="A1270" s="13">
        <v>53</v>
      </c>
      <c r="B1270" s="13" t="s">
        <v>59</v>
      </c>
      <c r="C1270" s="13" t="s">
        <v>161</v>
      </c>
      <c r="D1270" s="13">
        <v>661</v>
      </c>
      <c r="E1270" s="13" t="s">
        <v>62</v>
      </c>
      <c r="F1270" s="13">
        <v>1</v>
      </c>
      <c r="G1270" s="13">
        <v>4</v>
      </c>
      <c r="H1270" s="13" t="s">
        <v>87</v>
      </c>
      <c r="I1270" s="13">
        <v>1</v>
      </c>
      <c r="J1270" s="13">
        <v>1775</v>
      </c>
      <c r="K1270" s="13">
        <v>1</v>
      </c>
      <c r="L1270" s="13" t="s">
        <v>43</v>
      </c>
      <c r="M1270" s="13">
        <v>60</v>
      </c>
      <c r="N1270" s="13">
        <v>2</v>
      </c>
      <c r="O1270" s="13">
        <v>4</v>
      </c>
      <c r="P1270" s="13" t="s">
        <v>116</v>
      </c>
      <c r="Q1270" s="13">
        <v>3</v>
      </c>
      <c r="R1270" s="13" t="s">
        <v>66</v>
      </c>
      <c r="S1270" s="20">
        <v>12965</v>
      </c>
      <c r="T1270" s="13">
        <v>22308</v>
      </c>
      <c r="U1270" s="13">
        <v>4</v>
      </c>
      <c r="V1270" s="13" t="s">
        <v>52</v>
      </c>
      <c r="W1270" s="13" t="s">
        <v>36</v>
      </c>
      <c r="X1270" s="13">
        <v>20</v>
      </c>
      <c r="Y1270" s="13">
        <v>4</v>
      </c>
      <c r="Z1270" s="13">
        <v>4</v>
      </c>
      <c r="AA1270" s="13">
        <v>80</v>
      </c>
      <c r="AB1270" s="13">
        <v>3</v>
      </c>
      <c r="AC1270" s="13">
        <v>27</v>
      </c>
      <c r="AD1270" s="13">
        <v>2</v>
      </c>
      <c r="AE1270" s="13">
        <v>2</v>
      </c>
      <c r="AF1270" s="14">
        <v>3</v>
      </c>
      <c r="AG1270" s="13">
        <v>2</v>
      </c>
      <c r="AH1270" s="13">
        <v>0</v>
      </c>
      <c r="AI1270" s="13">
        <v>2</v>
      </c>
      <c r="AJ1270" s="13" t="str">
        <f t="shared" si="19"/>
        <v>50+</v>
      </c>
      <c r="AK1270" s="13" t="str">
        <f>IF(tblCleanData[[#This Row],[MonthlyIncome]]&lt;5000, "Low Income", IF(tblCleanData[[#This Row],[MonthlyIncome]]&lt;15000, "Medium Income", "High Income"))</f>
        <v>Medium Income</v>
      </c>
      <c r="AL1270" s="13">
        <f>IF(tblCleanData[[#This Row],[Attrition]]="No", 0,1)</f>
        <v>0</v>
      </c>
      <c r="AM1270" s="13">
        <f>IF(tblCleanData[[#This Row],[OverTime]] = "No", 0, 1)</f>
        <v>1</v>
      </c>
      <c r="AN1270" s="13" t="str">
        <f>CHOOSE(tblCleanData[[#This Row],[Education]], "Below College","College","Bachelor","Master","Doctor")</f>
        <v>Master</v>
      </c>
      <c r="AO1270" s="13" t="str">
        <f>VLOOKUP(tblCleanData[[#This Row],[EmployeeNumber]],tblHelpers[],15,TRUE)</f>
        <v>High Risk</v>
      </c>
      <c r="AP1270" s="13">
        <f>VLOOKUP(tblCleanData[[#This Row],[EmployeeNumber]],tblHelpers[],14,0)</f>
        <v>73</v>
      </c>
    </row>
    <row r="1271" spans="1:42" x14ac:dyDescent="0.25">
      <c r="A1271" s="13">
        <v>43</v>
      </c>
      <c r="B1271" s="13" t="s">
        <v>59</v>
      </c>
      <c r="C1271" s="13" t="s">
        <v>37</v>
      </c>
      <c r="D1271" s="13">
        <v>244</v>
      </c>
      <c r="E1271" s="13" t="s">
        <v>397</v>
      </c>
      <c r="F1271" s="13">
        <v>2</v>
      </c>
      <c r="G1271" s="13">
        <v>3</v>
      </c>
      <c r="H1271" s="13" t="s">
        <v>42</v>
      </c>
      <c r="I1271" s="13">
        <v>1</v>
      </c>
      <c r="J1271" s="13">
        <v>1778</v>
      </c>
      <c r="K1271" s="13">
        <v>2</v>
      </c>
      <c r="L1271" s="13" t="s">
        <v>63</v>
      </c>
      <c r="M1271" s="13">
        <v>97</v>
      </c>
      <c r="N1271" s="13">
        <v>3</v>
      </c>
      <c r="O1271" s="13">
        <v>1</v>
      </c>
      <c r="P1271" s="13" t="s">
        <v>397</v>
      </c>
      <c r="Q1271" s="13">
        <v>4</v>
      </c>
      <c r="R1271" s="13" t="s">
        <v>48</v>
      </c>
      <c r="S1271" s="20">
        <v>3539</v>
      </c>
      <c r="T1271" s="13">
        <v>5033</v>
      </c>
      <c r="U1271" s="13">
        <v>0</v>
      </c>
      <c r="V1271" s="13" t="s">
        <v>52</v>
      </c>
      <c r="W1271" s="13" t="s">
        <v>59</v>
      </c>
      <c r="X1271" s="13">
        <v>13</v>
      </c>
      <c r="Y1271" s="13">
        <v>3</v>
      </c>
      <c r="Z1271" s="13">
        <v>2</v>
      </c>
      <c r="AA1271" s="13">
        <v>80</v>
      </c>
      <c r="AB1271" s="13">
        <v>0</v>
      </c>
      <c r="AC1271" s="13">
        <v>10</v>
      </c>
      <c r="AD1271" s="13">
        <v>5</v>
      </c>
      <c r="AE1271" s="13">
        <v>3</v>
      </c>
      <c r="AF1271" s="14">
        <v>9</v>
      </c>
      <c r="AG1271" s="13">
        <v>7</v>
      </c>
      <c r="AH1271" s="13">
        <v>1</v>
      </c>
      <c r="AI1271" s="13">
        <v>8</v>
      </c>
      <c r="AJ1271" s="13" t="str">
        <f t="shared" si="19"/>
        <v>40-49</v>
      </c>
      <c r="AK1271" s="13" t="str">
        <f>IF(tblCleanData[[#This Row],[MonthlyIncome]]&lt;5000, "Low Income", IF(tblCleanData[[#This Row],[MonthlyIncome]]&lt;15000, "Medium Income", "High Income"))</f>
        <v>Low Income</v>
      </c>
      <c r="AL1271" s="13">
        <f>IF(tblCleanData[[#This Row],[Attrition]]="No", 0,1)</f>
        <v>0</v>
      </c>
      <c r="AM1271" s="13">
        <f>IF(tblCleanData[[#This Row],[OverTime]] = "No", 0, 1)</f>
        <v>0</v>
      </c>
      <c r="AN1271" s="13" t="str">
        <f>CHOOSE(tblCleanData[[#This Row],[Education]], "Below College","College","Bachelor","Master","Doctor")</f>
        <v>Bachelor</v>
      </c>
      <c r="AO1271" s="13" t="str">
        <f>VLOOKUP(tblCleanData[[#This Row],[EmployeeNumber]],tblHelpers[],15,TRUE)</f>
        <v>Low Risk</v>
      </c>
      <c r="AP1271" s="13">
        <f>VLOOKUP(tblCleanData[[#This Row],[EmployeeNumber]],tblHelpers[],14,0)</f>
        <v>29</v>
      </c>
    </row>
    <row r="1272" spans="1:42" x14ac:dyDescent="0.25">
      <c r="A1272" s="13">
        <v>34</v>
      </c>
      <c r="B1272" s="13" t="s">
        <v>59</v>
      </c>
      <c r="C1272" s="13" t="s">
        <v>37</v>
      </c>
      <c r="D1272" s="13">
        <v>511</v>
      </c>
      <c r="E1272" s="13" t="s">
        <v>39</v>
      </c>
      <c r="F1272" s="13">
        <v>3</v>
      </c>
      <c r="G1272" s="13">
        <v>2</v>
      </c>
      <c r="H1272" s="13" t="s">
        <v>42</v>
      </c>
      <c r="I1272" s="13">
        <v>1</v>
      </c>
      <c r="J1272" s="13">
        <v>1779</v>
      </c>
      <c r="K1272" s="13">
        <v>4</v>
      </c>
      <c r="L1272" s="13" t="s">
        <v>43</v>
      </c>
      <c r="M1272" s="13">
        <v>32</v>
      </c>
      <c r="N1272" s="13">
        <v>1</v>
      </c>
      <c r="O1272" s="13">
        <v>2</v>
      </c>
      <c r="P1272" s="13" t="s">
        <v>46</v>
      </c>
      <c r="Q1272" s="13">
        <v>4</v>
      </c>
      <c r="R1272" s="13" t="s">
        <v>48</v>
      </c>
      <c r="S1272" s="20">
        <v>6029</v>
      </c>
      <c r="T1272" s="13">
        <v>25353</v>
      </c>
      <c r="U1272" s="13">
        <v>5</v>
      </c>
      <c r="V1272" s="13" t="s">
        <v>52</v>
      </c>
      <c r="W1272" s="13" t="s">
        <v>59</v>
      </c>
      <c r="X1272" s="13">
        <v>12</v>
      </c>
      <c r="Y1272" s="13">
        <v>3</v>
      </c>
      <c r="Z1272" s="13">
        <v>1</v>
      </c>
      <c r="AA1272" s="13">
        <v>80</v>
      </c>
      <c r="AB1272" s="13">
        <v>0</v>
      </c>
      <c r="AC1272" s="13">
        <v>6</v>
      </c>
      <c r="AD1272" s="13">
        <v>3</v>
      </c>
      <c r="AE1272" s="13">
        <v>3</v>
      </c>
      <c r="AF1272" s="14">
        <v>2</v>
      </c>
      <c r="AG1272" s="13">
        <v>2</v>
      </c>
      <c r="AH1272" s="13">
        <v>2</v>
      </c>
      <c r="AI1272" s="13">
        <v>2</v>
      </c>
      <c r="AJ1272" s="13" t="str">
        <f t="shared" si="19"/>
        <v>30-39</v>
      </c>
      <c r="AK1272" s="13" t="str">
        <f>IF(tblCleanData[[#This Row],[MonthlyIncome]]&lt;5000, "Low Income", IF(tblCleanData[[#This Row],[MonthlyIncome]]&lt;15000, "Medium Income", "High Income"))</f>
        <v>Medium Income</v>
      </c>
      <c r="AL1272" s="13">
        <f>IF(tblCleanData[[#This Row],[Attrition]]="No", 0,1)</f>
        <v>0</v>
      </c>
      <c r="AM1272" s="13">
        <f>IF(tblCleanData[[#This Row],[OverTime]] = "No", 0, 1)</f>
        <v>0</v>
      </c>
      <c r="AN1272" s="13" t="str">
        <f>CHOOSE(tblCleanData[[#This Row],[Education]], "Below College","College","Bachelor","Master","Doctor")</f>
        <v>College</v>
      </c>
      <c r="AO1272" s="13" t="str">
        <f>VLOOKUP(tblCleanData[[#This Row],[EmployeeNumber]],tblHelpers[],15,TRUE)</f>
        <v>High Risk</v>
      </c>
      <c r="AP1272" s="13">
        <f>VLOOKUP(tblCleanData[[#This Row],[EmployeeNumber]],tblHelpers[],14,0)</f>
        <v>56</v>
      </c>
    </row>
    <row r="1273" spans="1:42" x14ac:dyDescent="0.25">
      <c r="A1273" s="13">
        <v>21</v>
      </c>
      <c r="B1273" s="13" t="s">
        <v>36</v>
      </c>
      <c r="C1273" s="13" t="s">
        <v>37</v>
      </c>
      <c r="D1273" s="13">
        <v>337</v>
      </c>
      <c r="E1273" s="13" t="s">
        <v>39</v>
      </c>
      <c r="F1273" s="13">
        <v>7</v>
      </c>
      <c r="G1273" s="13">
        <v>1</v>
      </c>
      <c r="H1273" s="13" t="s">
        <v>206</v>
      </c>
      <c r="I1273" s="13">
        <v>1</v>
      </c>
      <c r="J1273" s="13">
        <v>1780</v>
      </c>
      <c r="K1273" s="13">
        <v>2</v>
      </c>
      <c r="L1273" s="13" t="s">
        <v>63</v>
      </c>
      <c r="M1273" s="13">
        <v>31</v>
      </c>
      <c r="N1273" s="13">
        <v>3</v>
      </c>
      <c r="O1273" s="13">
        <v>1</v>
      </c>
      <c r="P1273" s="13" t="s">
        <v>182</v>
      </c>
      <c r="Q1273" s="13">
        <v>2</v>
      </c>
      <c r="R1273" s="13" t="s">
        <v>48</v>
      </c>
      <c r="S1273" s="20">
        <v>2679</v>
      </c>
      <c r="T1273" s="13">
        <v>4567</v>
      </c>
      <c r="U1273" s="13">
        <v>1</v>
      </c>
      <c r="V1273" s="13" t="s">
        <v>52</v>
      </c>
      <c r="W1273" s="13" t="s">
        <v>59</v>
      </c>
      <c r="X1273" s="13">
        <v>13</v>
      </c>
      <c r="Y1273" s="13">
        <v>3</v>
      </c>
      <c r="Z1273" s="13">
        <v>2</v>
      </c>
      <c r="AA1273" s="13">
        <v>80</v>
      </c>
      <c r="AB1273" s="13">
        <v>0</v>
      </c>
      <c r="AC1273" s="13">
        <v>1</v>
      </c>
      <c r="AD1273" s="13">
        <v>3</v>
      </c>
      <c r="AE1273" s="13">
        <v>3</v>
      </c>
      <c r="AF1273" s="14">
        <v>1</v>
      </c>
      <c r="AG1273" s="13">
        <v>0</v>
      </c>
      <c r="AH1273" s="13">
        <v>1</v>
      </c>
      <c r="AI1273" s="13">
        <v>0</v>
      </c>
      <c r="AJ1273" s="13" t="str">
        <f t="shared" si="19"/>
        <v>Under 30</v>
      </c>
      <c r="AK1273" s="13" t="str">
        <f>IF(tblCleanData[[#This Row],[MonthlyIncome]]&lt;5000, "Low Income", IF(tblCleanData[[#This Row],[MonthlyIncome]]&lt;15000, "Medium Income", "High Income"))</f>
        <v>Low Income</v>
      </c>
      <c r="AL1273" s="13">
        <f>IF(tblCleanData[[#This Row],[Attrition]]="No", 0,1)</f>
        <v>1</v>
      </c>
      <c r="AM1273" s="13">
        <f>IF(tblCleanData[[#This Row],[OverTime]] = "No", 0, 1)</f>
        <v>0</v>
      </c>
      <c r="AN1273" s="13" t="str">
        <f>CHOOSE(tblCleanData[[#This Row],[Education]], "Below College","College","Bachelor","Master","Doctor")</f>
        <v>Below College</v>
      </c>
      <c r="AO1273" s="13" t="str">
        <f>VLOOKUP(tblCleanData[[#This Row],[EmployeeNumber]],tblHelpers[],15,TRUE)</f>
        <v>High Risk</v>
      </c>
      <c r="AP1273" s="13">
        <f>VLOOKUP(tblCleanData[[#This Row],[EmployeeNumber]],tblHelpers[],14,0)</f>
        <v>79</v>
      </c>
    </row>
    <row r="1274" spans="1:42" x14ac:dyDescent="0.25">
      <c r="A1274" s="13">
        <v>38</v>
      </c>
      <c r="B1274" s="13" t="s">
        <v>59</v>
      </c>
      <c r="C1274" s="13" t="s">
        <v>37</v>
      </c>
      <c r="D1274" s="13">
        <v>1153</v>
      </c>
      <c r="E1274" s="13" t="s">
        <v>62</v>
      </c>
      <c r="F1274" s="13">
        <v>6</v>
      </c>
      <c r="G1274" s="13">
        <v>2</v>
      </c>
      <c r="H1274" s="13" t="s">
        <v>74</v>
      </c>
      <c r="I1274" s="13">
        <v>1</v>
      </c>
      <c r="J1274" s="13">
        <v>1782</v>
      </c>
      <c r="K1274" s="13">
        <v>4</v>
      </c>
      <c r="L1274" s="13" t="s">
        <v>43</v>
      </c>
      <c r="M1274" s="13">
        <v>40</v>
      </c>
      <c r="N1274" s="13">
        <v>2</v>
      </c>
      <c r="O1274" s="13">
        <v>1</v>
      </c>
      <c r="P1274" s="13" t="s">
        <v>76</v>
      </c>
      <c r="Q1274" s="13">
        <v>3</v>
      </c>
      <c r="R1274" s="13" t="s">
        <v>66</v>
      </c>
      <c r="S1274" s="20">
        <v>3702</v>
      </c>
      <c r="T1274" s="13">
        <v>16376</v>
      </c>
      <c r="U1274" s="13">
        <v>1</v>
      </c>
      <c r="V1274" s="13" t="s">
        <v>52</v>
      </c>
      <c r="W1274" s="13" t="s">
        <v>59</v>
      </c>
      <c r="X1274" s="13">
        <v>11</v>
      </c>
      <c r="Y1274" s="13">
        <v>3</v>
      </c>
      <c r="Z1274" s="13">
        <v>2</v>
      </c>
      <c r="AA1274" s="13">
        <v>80</v>
      </c>
      <c r="AB1274" s="13">
        <v>1</v>
      </c>
      <c r="AC1274" s="13">
        <v>5</v>
      </c>
      <c r="AD1274" s="13">
        <v>3</v>
      </c>
      <c r="AE1274" s="13">
        <v>3</v>
      </c>
      <c r="AF1274" s="14">
        <v>5</v>
      </c>
      <c r="AG1274" s="13">
        <v>4</v>
      </c>
      <c r="AH1274" s="13">
        <v>0</v>
      </c>
      <c r="AI1274" s="13">
        <v>4</v>
      </c>
      <c r="AJ1274" s="13" t="str">
        <f t="shared" si="19"/>
        <v>30-39</v>
      </c>
      <c r="AK1274" s="13" t="str">
        <f>IF(tblCleanData[[#This Row],[MonthlyIncome]]&lt;5000, "Low Income", IF(tblCleanData[[#This Row],[MonthlyIncome]]&lt;15000, "Medium Income", "High Income"))</f>
        <v>Low Income</v>
      </c>
      <c r="AL1274" s="13">
        <f>IF(tblCleanData[[#This Row],[Attrition]]="No", 0,1)</f>
        <v>0</v>
      </c>
      <c r="AM1274" s="13">
        <f>IF(tblCleanData[[#This Row],[OverTime]] = "No", 0, 1)</f>
        <v>0</v>
      </c>
      <c r="AN1274" s="13" t="str">
        <f>CHOOSE(tblCleanData[[#This Row],[Education]], "Below College","College","Bachelor","Master","Doctor")</f>
        <v>College</v>
      </c>
      <c r="AO1274" s="13" t="str">
        <f>VLOOKUP(tblCleanData[[#This Row],[EmployeeNumber]],tblHelpers[],15,TRUE)</f>
        <v>Medium Risk</v>
      </c>
      <c r="AP1274" s="13">
        <f>VLOOKUP(tblCleanData[[#This Row],[EmployeeNumber]],tblHelpers[],14,0)</f>
        <v>53</v>
      </c>
    </row>
    <row r="1275" spans="1:42" x14ac:dyDescent="0.25">
      <c r="A1275" s="13">
        <v>22</v>
      </c>
      <c r="B1275" s="13" t="s">
        <v>36</v>
      </c>
      <c r="C1275" s="13" t="s">
        <v>37</v>
      </c>
      <c r="D1275" s="13">
        <v>1294</v>
      </c>
      <c r="E1275" s="13" t="s">
        <v>62</v>
      </c>
      <c r="F1275" s="13">
        <v>8</v>
      </c>
      <c r="G1275" s="13">
        <v>1</v>
      </c>
      <c r="H1275" s="13" t="s">
        <v>87</v>
      </c>
      <c r="I1275" s="13">
        <v>1</v>
      </c>
      <c r="J1275" s="13">
        <v>1783</v>
      </c>
      <c r="K1275" s="13">
        <v>3</v>
      </c>
      <c r="L1275" s="13" t="s">
        <v>43</v>
      </c>
      <c r="M1275" s="13">
        <v>79</v>
      </c>
      <c r="N1275" s="13">
        <v>3</v>
      </c>
      <c r="O1275" s="13">
        <v>1</v>
      </c>
      <c r="P1275" s="13" t="s">
        <v>76</v>
      </c>
      <c r="Q1275" s="13">
        <v>1</v>
      </c>
      <c r="R1275" s="13" t="s">
        <v>66</v>
      </c>
      <c r="S1275" s="20">
        <v>2398</v>
      </c>
      <c r="T1275" s="13">
        <v>15999</v>
      </c>
      <c r="U1275" s="13">
        <v>1</v>
      </c>
      <c r="V1275" s="13" t="s">
        <v>52</v>
      </c>
      <c r="W1275" s="13" t="s">
        <v>36</v>
      </c>
      <c r="X1275" s="13">
        <v>17</v>
      </c>
      <c r="Y1275" s="13">
        <v>3</v>
      </c>
      <c r="Z1275" s="13">
        <v>3</v>
      </c>
      <c r="AA1275" s="13">
        <v>80</v>
      </c>
      <c r="AB1275" s="13">
        <v>0</v>
      </c>
      <c r="AC1275" s="13">
        <v>1</v>
      </c>
      <c r="AD1275" s="13">
        <v>6</v>
      </c>
      <c r="AE1275" s="13">
        <v>3</v>
      </c>
      <c r="AF1275" s="14">
        <v>1</v>
      </c>
      <c r="AG1275" s="13">
        <v>0</v>
      </c>
      <c r="AH1275" s="13">
        <v>0</v>
      </c>
      <c r="AI1275" s="13">
        <v>0</v>
      </c>
      <c r="AJ1275" s="13" t="str">
        <f t="shared" si="19"/>
        <v>Under 30</v>
      </c>
      <c r="AK1275" s="13" t="str">
        <f>IF(tblCleanData[[#This Row],[MonthlyIncome]]&lt;5000, "Low Income", IF(tblCleanData[[#This Row],[MonthlyIncome]]&lt;15000, "Medium Income", "High Income"))</f>
        <v>Low Income</v>
      </c>
      <c r="AL1275" s="13">
        <f>IF(tblCleanData[[#This Row],[Attrition]]="No", 0,1)</f>
        <v>1</v>
      </c>
      <c r="AM1275" s="13">
        <f>IF(tblCleanData[[#This Row],[OverTime]] = "No", 0, 1)</f>
        <v>1</v>
      </c>
      <c r="AN1275" s="13" t="str">
        <f>CHOOSE(tblCleanData[[#This Row],[Education]], "Below College","College","Bachelor","Master","Doctor")</f>
        <v>Below College</v>
      </c>
      <c r="AO1275" s="13" t="str">
        <f>VLOOKUP(tblCleanData[[#This Row],[EmployeeNumber]],tblHelpers[],15,TRUE)</f>
        <v>High Risk</v>
      </c>
      <c r="AP1275" s="13">
        <f>VLOOKUP(tblCleanData[[#This Row],[EmployeeNumber]],tblHelpers[],14,0)</f>
        <v>110</v>
      </c>
    </row>
    <row r="1276" spans="1:42" x14ac:dyDescent="0.25">
      <c r="A1276" s="13">
        <v>31</v>
      </c>
      <c r="B1276" s="13" t="s">
        <v>59</v>
      </c>
      <c r="C1276" s="13" t="s">
        <v>37</v>
      </c>
      <c r="D1276" s="13">
        <v>196</v>
      </c>
      <c r="E1276" s="13" t="s">
        <v>39</v>
      </c>
      <c r="F1276" s="13">
        <v>29</v>
      </c>
      <c r="G1276" s="13">
        <v>4</v>
      </c>
      <c r="H1276" s="13" t="s">
        <v>206</v>
      </c>
      <c r="I1276" s="13">
        <v>1</v>
      </c>
      <c r="J1276" s="13">
        <v>1784</v>
      </c>
      <c r="K1276" s="13">
        <v>1</v>
      </c>
      <c r="L1276" s="13" t="s">
        <v>43</v>
      </c>
      <c r="M1276" s="13">
        <v>91</v>
      </c>
      <c r="N1276" s="13">
        <v>2</v>
      </c>
      <c r="O1276" s="13">
        <v>2</v>
      </c>
      <c r="P1276" s="13" t="s">
        <v>46</v>
      </c>
      <c r="Q1276" s="13">
        <v>4</v>
      </c>
      <c r="R1276" s="13" t="s">
        <v>66</v>
      </c>
      <c r="S1276" s="20">
        <v>5468</v>
      </c>
      <c r="T1276" s="13">
        <v>13402</v>
      </c>
      <c r="U1276" s="13">
        <v>1</v>
      </c>
      <c r="V1276" s="13" t="s">
        <v>52</v>
      </c>
      <c r="W1276" s="13" t="s">
        <v>59</v>
      </c>
      <c r="X1276" s="13">
        <v>14</v>
      </c>
      <c r="Y1276" s="13">
        <v>3</v>
      </c>
      <c r="Z1276" s="13">
        <v>1</v>
      </c>
      <c r="AA1276" s="13">
        <v>80</v>
      </c>
      <c r="AB1276" s="13">
        <v>2</v>
      </c>
      <c r="AC1276" s="13">
        <v>13</v>
      </c>
      <c r="AD1276" s="13">
        <v>3</v>
      </c>
      <c r="AE1276" s="13">
        <v>3</v>
      </c>
      <c r="AF1276" s="14">
        <v>12</v>
      </c>
      <c r="AG1276" s="13">
        <v>7</v>
      </c>
      <c r="AH1276" s="13">
        <v>5</v>
      </c>
      <c r="AI1276" s="13">
        <v>7</v>
      </c>
      <c r="AJ1276" s="13" t="str">
        <f t="shared" si="19"/>
        <v>30-39</v>
      </c>
      <c r="AK1276" s="13" t="str">
        <f>IF(tblCleanData[[#This Row],[MonthlyIncome]]&lt;5000, "Low Income", IF(tblCleanData[[#This Row],[MonthlyIncome]]&lt;15000, "Medium Income", "High Income"))</f>
        <v>Medium Income</v>
      </c>
      <c r="AL1276" s="13">
        <f>IF(tblCleanData[[#This Row],[Attrition]]="No", 0,1)</f>
        <v>0</v>
      </c>
      <c r="AM1276" s="13">
        <f>IF(tblCleanData[[#This Row],[OverTime]] = "No", 0, 1)</f>
        <v>0</v>
      </c>
      <c r="AN1276" s="13" t="str">
        <f>CHOOSE(tblCleanData[[#This Row],[Education]], "Below College","College","Bachelor","Master","Doctor")</f>
        <v>Master</v>
      </c>
      <c r="AO1276" s="13" t="str">
        <f>VLOOKUP(tblCleanData[[#This Row],[EmployeeNumber]],tblHelpers[],15,TRUE)</f>
        <v>Low Risk</v>
      </c>
      <c r="AP1276" s="13">
        <f>VLOOKUP(tblCleanData[[#This Row],[EmployeeNumber]],tblHelpers[],14,0)</f>
        <v>34</v>
      </c>
    </row>
    <row r="1277" spans="1:42" x14ac:dyDescent="0.25">
      <c r="A1277" s="13">
        <v>51</v>
      </c>
      <c r="B1277" s="13" t="s">
        <v>59</v>
      </c>
      <c r="C1277" s="13" t="s">
        <v>37</v>
      </c>
      <c r="D1277" s="13">
        <v>942</v>
      </c>
      <c r="E1277" s="13" t="s">
        <v>62</v>
      </c>
      <c r="F1277" s="13">
        <v>3</v>
      </c>
      <c r="G1277" s="13">
        <v>3</v>
      </c>
      <c r="H1277" s="13" t="s">
        <v>228</v>
      </c>
      <c r="I1277" s="13">
        <v>1</v>
      </c>
      <c r="J1277" s="13">
        <v>1786</v>
      </c>
      <c r="K1277" s="13">
        <v>1</v>
      </c>
      <c r="L1277" s="13" t="s">
        <v>43</v>
      </c>
      <c r="M1277" s="13">
        <v>53</v>
      </c>
      <c r="N1277" s="13">
        <v>3</v>
      </c>
      <c r="O1277" s="13">
        <v>3</v>
      </c>
      <c r="P1277" s="13" t="s">
        <v>169</v>
      </c>
      <c r="Q1277" s="13">
        <v>3</v>
      </c>
      <c r="R1277" s="13" t="s">
        <v>66</v>
      </c>
      <c r="S1277" s="20">
        <v>13116</v>
      </c>
      <c r="T1277" s="13">
        <v>22984</v>
      </c>
      <c r="U1277" s="13">
        <v>2</v>
      </c>
      <c r="V1277" s="13" t="s">
        <v>52</v>
      </c>
      <c r="W1277" s="13" t="s">
        <v>59</v>
      </c>
      <c r="X1277" s="13">
        <v>11</v>
      </c>
      <c r="Y1277" s="13">
        <v>3</v>
      </c>
      <c r="Z1277" s="13">
        <v>4</v>
      </c>
      <c r="AA1277" s="13">
        <v>80</v>
      </c>
      <c r="AB1277" s="13">
        <v>0</v>
      </c>
      <c r="AC1277" s="13">
        <v>15</v>
      </c>
      <c r="AD1277" s="13">
        <v>2</v>
      </c>
      <c r="AE1277" s="13">
        <v>3</v>
      </c>
      <c r="AF1277" s="14">
        <v>2</v>
      </c>
      <c r="AG1277" s="13">
        <v>2</v>
      </c>
      <c r="AH1277" s="13">
        <v>2</v>
      </c>
      <c r="AI1277" s="13">
        <v>2</v>
      </c>
      <c r="AJ1277" s="13" t="str">
        <f t="shared" si="19"/>
        <v>50+</v>
      </c>
      <c r="AK1277" s="13" t="str">
        <f>IF(tblCleanData[[#This Row],[MonthlyIncome]]&lt;5000, "Low Income", IF(tblCleanData[[#This Row],[MonthlyIncome]]&lt;15000, "Medium Income", "High Income"))</f>
        <v>Medium Income</v>
      </c>
      <c r="AL1277" s="13">
        <f>IF(tblCleanData[[#This Row],[Attrition]]="No", 0,1)</f>
        <v>0</v>
      </c>
      <c r="AM1277" s="13">
        <f>IF(tblCleanData[[#This Row],[OverTime]] = "No", 0, 1)</f>
        <v>0</v>
      </c>
      <c r="AN1277" s="13" t="str">
        <f>CHOOSE(tblCleanData[[#This Row],[Education]], "Below College","College","Bachelor","Master","Doctor")</f>
        <v>Bachelor</v>
      </c>
      <c r="AO1277" s="13" t="str">
        <f>VLOOKUP(tblCleanData[[#This Row],[EmployeeNumber]],tblHelpers[],15,TRUE)</f>
        <v>High Risk</v>
      </c>
      <c r="AP1277" s="13">
        <f>VLOOKUP(tblCleanData[[#This Row],[EmployeeNumber]],tblHelpers[],14,0)</f>
        <v>58</v>
      </c>
    </row>
    <row r="1278" spans="1:42" x14ac:dyDescent="0.25">
      <c r="A1278" s="13">
        <v>37</v>
      </c>
      <c r="B1278" s="13" t="s">
        <v>59</v>
      </c>
      <c r="C1278" s="13" t="s">
        <v>37</v>
      </c>
      <c r="D1278" s="13">
        <v>589</v>
      </c>
      <c r="E1278" s="13" t="s">
        <v>39</v>
      </c>
      <c r="F1278" s="13">
        <v>9</v>
      </c>
      <c r="G1278" s="13">
        <v>2</v>
      </c>
      <c r="H1278" s="13" t="s">
        <v>206</v>
      </c>
      <c r="I1278" s="13">
        <v>1</v>
      </c>
      <c r="J1278" s="13">
        <v>1787</v>
      </c>
      <c r="K1278" s="13">
        <v>2</v>
      </c>
      <c r="L1278" s="13" t="s">
        <v>63</v>
      </c>
      <c r="M1278" s="13">
        <v>46</v>
      </c>
      <c r="N1278" s="13">
        <v>2</v>
      </c>
      <c r="O1278" s="13">
        <v>2</v>
      </c>
      <c r="P1278" s="13" t="s">
        <v>46</v>
      </c>
      <c r="Q1278" s="13">
        <v>2</v>
      </c>
      <c r="R1278" s="13" t="s">
        <v>66</v>
      </c>
      <c r="S1278" s="20">
        <v>4189</v>
      </c>
      <c r="T1278" s="13">
        <v>8800</v>
      </c>
      <c r="U1278" s="13">
        <v>1</v>
      </c>
      <c r="V1278" s="13" t="s">
        <v>52</v>
      </c>
      <c r="W1278" s="13" t="s">
        <v>59</v>
      </c>
      <c r="X1278" s="13">
        <v>14</v>
      </c>
      <c r="Y1278" s="13">
        <v>3</v>
      </c>
      <c r="Z1278" s="13">
        <v>1</v>
      </c>
      <c r="AA1278" s="13">
        <v>80</v>
      </c>
      <c r="AB1278" s="13">
        <v>2</v>
      </c>
      <c r="AC1278" s="13">
        <v>5</v>
      </c>
      <c r="AD1278" s="13">
        <v>2</v>
      </c>
      <c r="AE1278" s="13">
        <v>3</v>
      </c>
      <c r="AF1278" s="14">
        <v>5</v>
      </c>
      <c r="AG1278" s="13">
        <v>2</v>
      </c>
      <c r="AH1278" s="13">
        <v>0</v>
      </c>
      <c r="AI1278" s="13">
        <v>3</v>
      </c>
      <c r="AJ1278" s="13" t="str">
        <f t="shared" si="19"/>
        <v>30-39</v>
      </c>
      <c r="AK1278" s="13" t="str">
        <f>IF(tblCleanData[[#This Row],[MonthlyIncome]]&lt;5000, "Low Income", IF(tblCleanData[[#This Row],[MonthlyIncome]]&lt;15000, "Medium Income", "High Income"))</f>
        <v>Low Income</v>
      </c>
      <c r="AL1278" s="13">
        <f>IF(tblCleanData[[#This Row],[Attrition]]="No", 0,1)</f>
        <v>0</v>
      </c>
      <c r="AM1278" s="13">
        <f>IF(tblCleanData[[#This Row],[OverTime]] = "No", 0, 1)</f>
        <v>0</v>
      </c>
      <c r="AN1278" s="13" t="str">
        <f>CHOOSE(tblCleanData[[#This Row],[Education]], "Below College","College","Bachelor","Master","Doctor")</f>
        <v>College</v>
      </c>
      <c r="AO1278" s="13" t="str">
        <f>VLOOKUP(tblCleanData[[#This Row],[EmployeeNumber]],tblHelpers[],15,TRUE)</f>
        <v>High Risk</v>
      </c>
      <c r="AP1278" s="13">
        <f>VLOOKUP(tblCleanData[[#This Row],[EmployeeNumber]],tblHelpers[],14,0)</f>
        <v>59</v>
      </c>
    </row>
    <row r="1279" spans="1:42" x14ac:dyDescent="0.25">
      <c r="A1279" s="13">
        <v>46</v>
      </c>
      <c r="B1279" s="13" t="s">
        <v>59</v>
      </c>
      <c r="C1279" s="13" t="s">
        <v>37</v>
      </c>
      <c r="D1279" s="13">
        <v>734</v>
      </c>
      <c r="E1279" s="13" t="s">
        <v>62</v>
      </c>
      <c r="F1279" s="13">
        <v>2</v>
      </c>
      <c r="G1279" s="13">
        <v>4</v>
      </c>
      <c r="H1279" s="13" t="s">
        <v>87</v>
      </c>
      <c r="I1279" s="13">
        <v>1</v>
      </c>
      <c r="J1279" s="13">
        <v>1789</v>
      </c>
      <c r="K1279" s="13">
        <v>3</v>
      </c>
      <c r="L1279" s="13" t="s">
        <v>63</v>
      </c>
      <c r="M1279" s="13">
        <v>46</v>
      </c>
      <c r="N1279" s="13">
        <v>3</v>
      </c>
      <c r="O1279" s="13">
        <v>5</v>
      </c>
      <c r="P1279" s="13" t="s">
        <v>186</v>
      </c>
      <c r="Q1279" s="13">
        <v>4</v>
      </c>
      <c r="R1279" s="13" t="s">
        <v>109</v>
      </c>
      <c r="S1279" s="20">
        <v>19328</v>
      </c>
      <c r="T1279" s="13">
        <v>14218</v>
      </c>
      <c r="U1279" s="13">
        <v>7</v>
      </c>
      <c r="V1279" s="13" t="s">
        <v>52</v>
      </c>
      <c r="W1279" s="13" t="s">
        <v>36</v>
      </c>
      <c r="X1279" s="13">
        <v>17</v>
      </c>
      <c r="Y1279" s="13">
        <v>3</v>
      </c>
      <c r="Z1279" s="13">
        <v>3</v>
      </c>
      <c r="AA1279" s="13">
        <v>80</v>
      </c>
      <c r="AB1279" s="13">
        <v>1</v>
      </c>
      <c r="AC1279" s="13">
        <v>24</v>
      </c>
      <c r="AD1279" s="13">
        <v>3</v>
      </c>
      <c r="AE1279" s="13">
        <v>3</v>
      </c>
      <c r="AF1279" s="14">
        <v>2</v>
      </c>
      <c r="AG1279" s="13">
        <v>1</v>
      </c>
      <c r="AH1279" s="13">
        <v>2</v>
      </c>
      <c r="AI1279" s="13">
        <v>2</v>
      </c>
      <c r="AJ1279" s="13" t="str">
        <f t="shared" si="19"/>
        <v>40-49</v>
      </c>
      <c r="AK1279" s="13" t="str">
        <f>IF(tblCleanData[[#This Row],[MonthlyIncome]]&lt;5000, "Low Income", IF(tblCleanData[[#This Row],[MonthlyIncome]]&lt;15000, "Medium Income", "High Income"))</f>
        <v>High Income</v>
      </c>
      <c r="AL1279" s="13">
        <f>IF(tblCleanData[[#This Row],[Attrition]]="No", 0,1)</f>
        <v>0</v>
      </c>
      <c r="AM1279" s="13">
        <f>IF(tblCleanData[[#This Row],[OverTime]] = "No", 0, 1)</f>
        <v>1</v>
      </c>
      <c r="AN1279" s="13" t="str">
        <f>CHOOSE(tblCleanData[[#This Row],[Education]], "Below College","College","Bachelor","Master","Doctor")</f>
        <v>Master</v>
      </c>
      <c r="AO1279" s="13" t="str">
        <f>VLOOKUP(tblCleanData[[#This Row],[EmployeeNumber]],tblHelpers[],15,TRUE)</f>
        <v>High Risk</v>
      </c>
      <c r="AP1279" s="13">
        <f>VLOOKUP(tblCleanData[[#This Row],[EmployeeNumber]],tblHelpers[],14,0)</f>
        <v>71</v>
      </c>
    </row>
    <row r="1280" spans="1:42" x14ac:dyDescent="0.25">
      <c r="A1280" s="13">
        <v>36</v>
      </c>
      <c r="B1280" s="13" t="s">
        <v>59</v>
      </c>
      <c r="C1280" s="13" t="s">
        <v>37</v>
      </c>
      <c r="D1280" s="13">
        <v>1383</v>
      </c>
      <c r="E1280" s="13" t="s">
        <v>62</v>
      </c>
      <c r="F1280" s="13">
        <v>10</v>
      </c>
      <c r="G1280" s="13">
        <v>3</v>
      </c>
      <c r="H1280" s="13" t="s">
        <v>42</v>
      </c>
      <c r="I1280" s="13">
        <v>1</v>
      </c>
      <c r="J1280" s="13">
        <v>1790</v>
      </c>
      <c r="K1280" s="13">
        <v>4</v>
      </c>
      <c r="L1280" s="13" t="s">
        <v>63</v>
      </c>
      <c r="M1280" s="13">
        <v>90</v>
      </c>
      <c r="N1280" s="13">
        <v>3</v>
      </c>
      <c r="O1280" s="13">
        <v>3</v>
      </c>
      <c r="P1280" s="13" t="s">
        <v>122</v>
      </c>
      <c r="Q1280" s="13">
        <v>1</v>
      </c>
      <c r="R1280" s="13" t="s">
        <v>66</v>
      </c>
      <c r="S1280" s="20">
        <v>8321</v>
      </c>
      <c r="T1280" s="13">
        <v>25949</v>
      </c>
      <c r="U1280" s="13">
        <v>7</v>
      </c>
      <c r="V1280" s="13" t="s">
        <v>52</v>
      </c>
      <c r="W1280" s="13" t="s">
        <v>36</v>
      </c>
      <c r="X1280" s="13">
        <v>13</v>
      </c>
      <c r="Y1280" s="13">
        <v>3</v>
      </c>
      <c r="Z1280" s="13">
        <v>4</v>
      </c>
      <c r="AA1280" s="13">
        <v>80</v>
      </c>
      <c r="AB1280" s="13">
        <v>1</v>
      </c>
      <c r="AC1280" s="13">
        <v>15</v>
      </c>
      <c r="AD1280" s="13">
        <v>1</v>
      </c>
      <c r="AE1280" s="13">
        <v>3</v>
      </c>
      <c r="AF1280" s="14">
        <v>12</v>
      </c>
      <c r="AG1280" s="13">
        <v>8</v>
      </c>
      <c r="AH1280" s="13">
        <v>5</v>
      </c>
      <c r="AI1280" s="13">
        <v>7</v>
      </c>
      <c r="AJ1280" s="13" t="str">
        <f t="shared" si="19"/>
        <v>30-39</v>
      </c>
      <c r="AK1280" s="13" t="str">
        <f>IF(tblCleanData[[#This Row],[MonthlyIncome]]&lt;5000, "Low Income", IF(tblCleanData[[#This Row],[MonthlyIncome]]&lt;15000, "Medium Income", "High Income"))</f>
        <v>Medium Income</v>
      </c>
      <c r="AL1280" s="13">
        <f>IF(tblCleanData[[#This Row],[Attrition]]="No", 0,1)</f>
        <v>0</v>
      </c>
      <c r="AM1280" s="13">
        <f>IF(tblCleanData[[#This Row],[OverTime]] = "No", 0, 1)</f>
        <v>1</v>
      </c>
      <c r="AN1280" s="13" t="str">
        <f>CHOOSE(tblCleanData[[#This Row],[Education]], "Below College","College","Bachelor","Master","Doctor")</f>
        <v>Bachelor</v>
      </c>
      <c r="AO1280" s="13" t="str">
        <f>VLOOKUP(tblCleanData[[#This Row],[EmployeeNumber]],tblHelpers[],15,TRUE)</f>
        <v>High Risk</v>
      </c>
      <c r="AP1280" s="13">
        <f>VLOOKUP(tblCleanData[[#This Row],[EmployeeNumber]],tblHelpers[],14,0)</f>
        <v>78</v>
      </c>
    </row>
    <row r="1281" spans="1:42" x14ac:dyDescent="0.25">
      <c r="A1281" s="13">
        <v>44</v>
      </c>
      <c r="B1281" s="13" t="s">
        <v>36</v>
      </c>
      <c r="C1281" s="13" t="s">
        <v>60</v>
      </c>
      <c r="D1281" s="13">
        <v>429</v>
      </c>
      <c r="E1281" s="13" t="s">
        <v>62</v>
      </c>
      <c r="F1281" s="13">
        <v>1</v>
      </c>
      <c r="G1281" s="13">
        <v>2</v>
      </c>
      <c r="H1281" s="13" t="s">
        <v>87</v>
      </c>
      <c r="I1281" s="13">
        <v>1</v>
      </c>
      <c r="J1281" s="13">
        <v>1792</v>
      </c>
      <c r="K1281" s="13">
        <v>3</v>
      </c>
      <c r="L1281" s="13" t="s">
        <v>63</v>
      </c>
      <c r="M1281" s="13">
        <v>99</v>
      </c>
      <c r="N1281" s="13">
        <v>3</v>
      </c>
      <c r="O1281" s="13">
        <v>1</v>
      </c>
      <c r="P1281" s="13" t="s">
        <v>65</v>
      </c>
      <c r="Q1281" s="13">
        <v>2</v>
      </c>
      <c r="R1281" s="13" t="s">
        <v>109</v>
      </c>
      <c r="S1281" s="20">
        <v>2342</v>
      </c>
      <c r="T1281" s="13">
        <v>11092</v>
      </c>
      <c r="U1281" s="13">
        <v>1</v>
      </c>
      <c r="V1281" s="13" t="s">
        <v>52</v>
      </c>
      <c r="W1281" s="13" t="s">
        <v>36</v>
      </c>
      <c r="X1281" s="13">
        <v>12</v>
      </c>
      <c r="Y1281" s="13">
        <v>3</v>
      </c>
      <c r="Z1281" s="13">
        <v>3</v>
      </c>
      <c r="AA1281" s="13">
        <v>80</v>
      </c>
      <c r="AB1281" s="13">
        <v>3</v>
      </c>
      <c r="AC1281" s="13">
        <v>6</v>
      </c>
      <c r="AD1281" s="13">
        <v>2</v>
      </c>
      <c r="AE1281" s="13">
        <v>2</v>
      </c>
      <c r="AF1281" s="14">
        <v>5</v>
      </c>
      <c r="AG1281" s="13">
        <v>3</v>
      </c>
      <c r="AH1281" s="13">
        <v>2</v>
      </c>
      <c r="AI1281" s="13">
        <v>3</v>
      </c>
      <c r="AJ1281" s="13" t="str">
        <f t="shared" si="19"/>
        <v>40-49</v>
      </c>
      <c r="AK1281" s="13" t="str">
        <f>IF(tblCleanData[[#This Row],[MonthlyIncome]]&lt;5000, "Low Income", IF(tblCleanData[[#This Row],[MonthlyIncome]]&lt;15000, "Medium Income", "High Income"))</f>
        <v>Low Income</v>
      </c>
      <c r="AL1281" s="13">
        <f>IF(tblCleanData[[#This Row],[Attrition]]="No", 0,1)</f>
        <v>1</v>
      </c>
      <c r="AM1281" s="13">
        <f>IF(tblCleanData[[#This Row],[OverTime]] = "No", 0, 1)</f>
        <v>1</v>
      </c>
      <c r="AN1281" s="13" t="str">
        <f>CHOOSE(tblCleanData[[#This Row],[Education]], "Below College","College","Bachelor","Master","Doctor")</f>
        <v>College</v>
      </c>
      <c r="AO1281" s="13" t="str">
        <f>VLOOKUP(tblCleanData[[#This Row],[EmployeeNumber]],tblHelpers[],15,TRUE)</f>
        <v>High Risk</v>
      </c>
      <c r="AP1281" s="13">
        <f>VLOOKUP(tblCleanData[[#This Row],[EmployeeNumber]],tblHelpers[],14,0)</f>
        <v>74</v>
      </c>
    </row>
    <row r="1282" spans="1:42" x14ac:dyDescent="0.25">
      <c r="A1282" s="13">
        <v>37</v>
      </c>
      <c r="B1282" s="13" t="s">
        <v>59</v>
      </c>
      <c r="C1282" s="13" t="s">
        <v>37</v>
      </c>
      <c r="D1282" s="13">
        <v>1239</v>
      </c>
      <c r="E1282" s="13" t="s">
        <v>397</v>
      </c>
      <c r="F1282" s="13">
        <v>8</v>
      </c>
      <c r="G1282" s="13">
        <v>2</v>
      </c>
      <c r="H1282" s="13" t="s">
        <v>74</v>
      </c>
      <c r="I1282" s="13">
        <v>1</v>
      </c>
      <c r="J1282" s="13">
        <v>1794</v>
      </c>
      <c r="K1282" s="13">
        <v>3</v>
      </c>
      <c r="L1282" s="13" t="s">
        <v>63</v>
      </c>
      <c r="M1282" s="13">
        <v>89</v>
      </c>
      <c r="N1282" s="13">
        <v>3</v>
      </c>
      <c r="O1282" s="13">
        <v>2</v>
      </c>
      <c r="P1282" s="13" t="s">
        <v>397</v>
      </c>
      <c r="Q1282" s="13">
        <v>2</v>
      </c>
      <c r="R1282" s="13" t="s">
        <v>109</v>
      </c>
      <c r="S1282" s="20">
        <v>4071</v>
      </c>
      <c r="T1282" s="13">
        <v>12832</v>
      </c>
      <c r="U1282" s="13">
        <v>2</v>
      </c>
      <c r="V1282" s="13" t="s">
        <v>52</v>
      </c>
      <c r="W1282" s="13" t="s">
        <v>59</v>
      </c>
      <c r="X1282" s="13">
        <v>13</v>
      </c>
      <c r="Y1282" s="13">
        <v>3</v>
      </c>
      <c r="Z1282" s="13">
        <v>3</v>
      </c>
      <c r="AA1282" s="13">
        <v>80</v>
      </c>
      <c r="AB1282" s="13">
        <v>0</v>
      </c>
      <c r="AC1282" s="13">
        <v>19</v>
      </c>
      <c r="AD1282" s="13">
        <v>4</v>
      </c>
      <c r="AE1282" s="13">
        <v>2</v>
      </c>
      <c r="AF1282" s="14">
        <v>10</v>
      </c>
      <c r="AG1282" s="13">
        <v>0</v>
      </c>
      <c r="AH1282" s="13">
        <v>4</v>
      </c>
      <c r="AI1282" s="13">
        <v>7</v>
      </c>
      <c r="AJ1282" s="13" t="str">
        <f t="shared" ref="AJ1282:AJ1345" si="20">IF(A1282&lt;30,"Under 30", IF(A1282&lt;40,"30-39", IF(A1282&lt;50,"40-49", "50+")))</f>
        <v>30-39</v>
      </c>
      <c r="AK1282" s="13" t="str">
        <f>IF(tblCleanData[[#This Row],[MonthlyIncome]]&lt;5000, "Low Income", IF(tblCleanData[[#This Row],[MonthlyIncome]]&lt;15000, "Medium Income", "High Income"))</f>
        <v>Low Income</v>
      </c>
      <c r="AL1282" s="13">
        <f>IF(tblCleanData[[#This Row],[Attrition]]="No", 0,1)</f>
        <v>0</v>
      </c>
      <c r="AM1282" s="13">
        <f>IF(tblCleanData[[#This Row],[OverTime]] = "No", 0, 1)</f>
        <v>0</v>
      </c>
      <c r="AN1282" s="13" t="str">
        <f>CHOOSE(tblCleanData[[#This Row],[Education]], "Below College","College","Bachelor","Master","Doctor")</f>
        <v>College</v>
      </c>
      <c r="AO1282" s="13" t="str">
        <f>VLOOKUP(tblCleanData[[#This Row],[EmployeeNumber]],tblHelpers[],15,TRUE)</f>
        <v>Medium Risk</v>
      </c>
      <c r="AP1282" s="13">
        <f>VLOOKUP(tblCleanData[[#This Row],[EmployeeNumber]],tblHelpers[],14,0)</f>
        <v>52</v>
      </c>
    </row>
    <row r="1283" spans="1:42" x14ac:dyDescent="0.25">
      <c r="A1283" s="13">
        <v>35</v>
      </c>
      <c r="B1283" s="13" t="s">
        <v>36</v>
      </c>
      <c r="C1283" s="13" t="s">
        <v>37</v>
      </c>
      <c r="D1283" s="13">
        <v>303</v>
      </c>
      <c r="E1283" s="13" t="s">
        <v>39</v>
      </c>
      <c r="F1283" s="13">
        <v>27</v>
      </c>
      <c r="G1283" s="13">
        <v>3</v>
      </c>
      <c r="H1283" s="13" t="s">
        <v>42</v>
      </c>
      <c r="I1283" s="13">
        <v>1</v>
      </c>
      <c r="J1283" s="13">
        <v>1797</v>
      </c>
      <c r="K1283" s="13">
        <v>3</v>
      </c>
      <c r="L1283" s="13" t="s">
        <v>63</v>
      </c>
      <c r="M1283" s="13">
        <v>84</v>
      </c>
      <c r="N1283" s="13">
        <v>3</v>
      </c>
      <c r="O1283" s="13">
        <v>2</v>
      </c>
      <c r="P1283" s="13" t="s">
        <v>46</v>
      </c>
      <c r="Q1283" s="13">
        <v>4</v>
      </c>
      <c r="R1283" s="13" t="s">
        <v>48</v>
      </c>
      <c r="S1283" s="20">
        <v>5813</v>
      </c>
      <c r="T1283" s="13">
        <v>13492</v>
      </c>
      <c r="U1283" s="13">
        <v>1</v>
      </c>
      <c r="V1283" s="13" t="s">
        <v>52</v>
      </c>
      <c r="W1283" s="13" t="s">
        <v>36</v>
      </c>
      <c r="X1283" s="13">
        <v>18</v>
      </c>
      <c r="Y1283" s="13">
        <v>3</v>
      </c>
      <c r="Z1283" s="13">
        <v>4</v>
      </c>
      <c r="AA1283" s="13">
        <v>80</v>
      </c>
      <c r="AB1283" s="13">
        <v>0</v>
      </c>
      <c r="AC1283" s="13">
        <v>10</v>
      </c>
      <c r="AD1283" s="13">
        <v>2</v>
      </c>
      <c r="AE1283" s="13">
        <v>3</v>
      </c>
      <c r="AF1283" s="14">
        <v>10</v>
      </c>
      <c r="AG1283" s="13">
        <v>7</v>
      </c>
      <c r="AH1283" s="13">
        <v>7</v>
      </c>
      <c r="AI1283" s="13">
        <v>7</v>
      </c>
      <c r="AJ1283" s="13" t="str">
        <f t="shared" si="20"/>
        <v>30-39</v>
      </c>
      <c r="AK1283" s="13" t="str">
        <f>IF(tblCleanData[[#This Row],[MonthlyIncome]]&lt;5000, "Low Income", IF(tblCleanData[[#This Row],[MonthlyIncome]]&lt;15000, "Medium Income", "High Income"))</f>
        <v>Medium Income</v>
      </c>
      <c r="AL1283" s="13">
        <f>IF(tblCleanData[[#This Row],[Attrition]]="No", 0,1)</f>
        <v>1</v>
      </c>
      <c r="AM1283" s="13">
        <f>IF(tblCleanData[[#This Row],[OverTime]] = "No", 0, 1)</f>
        <v>1</v>
      </c>
      <c r="AN1283" s="13" t="str">
        <f>CHOOSE(tblCleanData[[#This Row],[Education]], "Below College","College","Bachelor","Master","Doctor")</f>
        <v>Bachelor</v>
      </c>
      <c r="AO1283" s="13" t="str">
        <f>VLOOKUP(tblCleanData[[#This Row],[EmployeeNumber]],tblHelpers[],15,TRUE)</f>
        <v>High Risk</v>
      </c>
      <c r="AP1283" s="13">
        <f>VLOOKUP(tblCleanData[[#This Row],[EmployeeNumber]],tblHelpers[],14,0)</f>
        <v>64</v>
      </c>
    </row>
    <row r="1284" spans="1:42" x14ac:dyDescent="0.25">
      <c r="A1284" s="13">
        <v>33</v>
      </c>
      <c r="B1284" s="13" t="s">
        <v>59</v>
      </c>
      <c r="C1284" s="13" t="s">
        <v>37</v>
      </c>
      <c r="D1284" s="13">
        <v>867</v>
      </c>
      <c r="E1284" s="13" t="s">
        <v>62</v>
      </c>
      <c r="F1284" s="13">
        <v>8</v>
      </c>
      <c r="G1284" s="13">
        <v>4</v>
      </c>
      <c r="H1284" s="13" t="s">
        <v>42</v>
      </c>
      <c r="I1284" s="13">
        <v>1</v>
      </c>
      <c r="J1284" s="13">
        <v>1798</v>
      </c>
      <c r="K1284" s="13">
        <v>4</v>
      </c>
      <c r="L1284" s="13" t="s">
        <v>63</v>
      </c>
      <c r="M1284" s="13">
        <v>90</v>
      </c>
      <c r="N1284" s="13">
        <v>4</v>
      </c>
      <c r="O1284" s="13">
        <v>1</v>
      </c>
      <c r="P1284" s="13" t="s">
        <v>65</v>
      </c>
      <c r="Q1284" s="13">
        <v>1</v>
      </c>
      <c r="R1284" s="13" t="s">
        <v>66</v>
      </c>
      <c r="S1284" s="20">
        <v>3143</v>
      </c>
      <c r="T1284" s="13">
        <v>6076</v>
      </c>
      <c r="U1284" s="13">
        <v>6</v>
      </c>
      <c r="V1284" s="13" t="s">
        <v>52</v>
      </c>
      <c r="W1284" s="13" t="s">
        <v>59</v>
      </c>
      <c r="X1284" s="13">
        <v>19</v>
      </c>
      <c r="Y1284" s="13">
        <v>3</v>
      </c>
      <c r="Z1284" s="13">
        <v>2</v>
      </c>
      <c r="AA1284" s="13">
        <v>80</v>
      </c>
      <c r="AB1284" s="13">
        <v>1</v>
      </c>
      <c r="AC1284" s="13">
        <v>14</v>
      </c>
      <c r="AD1284" s="13">
        <v>1</v>
      </c>
      <c r="AE1284" s="13">
        <v>3</v>
      </c>
      <c r="AF1284" s="14">
        <v>10</v>
      </c>
      <c r="AG1284" s="13">
        <v>8</v>
      </c>
      <c r="AH1284" s="13">
        <v>7</v>
      </c>
      <c r="AI1284" s="13">
        <v>6</v>
      </c>
      <c r="AJ1284" s="13" t="str">
        <f t="shared" si="20"/>
        <v>30-39</v>
      </c>
      <c r="AK1284" s="13" t="str">
        <f>IF(tblCleanData[[#This Row],[MonthlyIncome]]&lt;5000, "Low Income", IF(tblCleanData[[#This Row],[MonthlyIncome]]&lt;15000, "Medium Income", "High Income"))</f>
        <v>Low Income</v>
      </c>
      <c r="AL1284" s="13">
        <f>IF(tblCleanData[[#This Row],[Attrition]]="No", 0,1)</f>
        <v>0</v>
      </c>
      <c r="AM1284" s="13">
        <f>IF(tblCleanData[[#This Row],[OverTime]] = "No", 0, 1)</f>
        <v>0</v>
      </c>
      <c r="AN1284" s="13" t="str">
        <f>CHOOSE(tblCleanData[[#This Row],[Education]], "Below College","College","Bachelor","Master","Doctor")</f>
        <v>Master</v>
      </c>
      <c r="AO1284" s="13" t="str">
        <f>VLOOKUP(tblCleanData[[#This Row],[EmployeeNumber]],tblHelpers[],15,TRUE)</f>
        <v>High Risk</v>
      </c>
      <c r="AP1284" s="13">
        <f>VLOOKUP(tblCleanData[[#This Row],[EmployeeNumber]],tblHelpers[],14,0)</f>
        <v>58</v>
      </c>
    </row>
    <row r="1285" spans="1:42" x14ac:dyDescent="0.25">
      <c r="A1285" s="13">
        <v>28</v>
      </c>
      <c r="B1285" s="13" t="s">
        <v>59</v>
      </c>
      <c r="C1285" s="13" t="s">
        <v>37</v>
      </c>
      <c r="D1285" s="13">
        <v>1181</v>
      </c>
      <c r="E1285" s="13" t="s">
        <v>62</v>
      </c>
      <c r="F1285" s="13">
        <v>1</v>
      </c>
      <c r="G1285" s="13">
        <v>3</v>
      </c>
      <c r="H1285" s="13" t="s">
        <v>42</v>
      </c>
      <c r="I1285" s="13">
        <v>1</v>
      </c>
      <c r="J1285" s="13">
        <v>1799</v>
      </c>
      <c r="K1285" s="13">
        <v>3</v>
      </c>
      <c r="L1285" s="13" t="s">
        <v>63</v>
      </c>
      <c r="M1285" s="13">
        <v>82</v>
      </c>
      <c r="N1285" s="13">
        <v>3</v>
      </c>
      <c r="O1285" s="13">
        <v>1</v>
      </c>
      <c r="P1285" s="13" t="s">
        <v>65</v>
      </c>
      <c r="Q1285" s="13">
        <v>4</v>
      </c>
      <c r="R1285" s="13" t="s">
        <v>66</v>
      </c>
      <c r="S1285" s="20">
        <v>2044</v>
      </c>
      <c r="T1285" s="13">
        <v>5531</v>
      </c>
      <c r="U1285" s="13">
        <v>1</v>
      </c>
      <c r="V1285" s="13" t="s">
        <v>52</v>
      </c>
      <c r="W1285" s="13" t="s">
        <v>59</v>
      </c>
      <c r="X1285" s="13">
        <v>11</v>
      </c>
      <c r="Y1285" s="13">
        <v>3</v>
      </c>
      <c r="Z1285" s="13">
        <v>3</v>
      </c>
      <c r="AA1285" s="13">
        <v>80</v>
      </c>
      <c r="AB1285" s="13">
        <v>1</v>
      </c>
      <c r="AC1285" s="13">
        <v>5</v>
      </c>
      <c r="AD1285" s="13">
        <v>6</v>
      </c>
      <c r="AE1285" s="13">
        <v>4</v>
      </c>
      <c r="AF1285" s="14">
        <v>5</v>
      </c>
      <c r="AG1285" s="13">
        <v>3</v>
      </c>
      <c r="AH1285" s="13">
        <v>0</v>
      </c>
      <c r="AI1285" s="13">
        <v>3</v>
      </c>
      <c r="AJ1285" s="13" t="str">
        <f t="shared" si="20"/>
        <v>Under 30</v>
      </c>
      <c r="AK1285" s="13" t="str">
        <f>IF(tblCleanData[[#This Row],[MonthlyIncome]]&lt;5000, "Low Income", IF(tblCleanData[[#This Row],[MonthlyIncome]]&lt;15000, "Medium Income", "High Income"))</f>
        <v>Low Income</v>
      </c>
      <c r="AL1285" s="13">
        <f>IF(tblCleanData[[#This Row],[Attrition]]="No", 0,1)</f>
        <v>0</v>
      </c>
      <c r="AM1285" s="13">
        <f>IF(tblCleanData[[#This Row],[OverTime]] = "No", 0, 1)</f>
        <v>0</v>
      </c>
      <c r="AN1285" s="13" t="str">
        <f>CHOOSE(tblCleanData[[#This Row],[Education]], "Below College","College","Bachelor","Master","Doctor")</f>
        <v>Bachelor</v>
      </c>
      <c r="AO1285" s="13" t="str">
        <f>VLOOKUP(tblCleanData[[#This Row],[EmployeeNumber]],tblHelpers[],15,TRUE)</f>
        <v>High Risk</v>
      </c>
      <c r="AP1285" s="13">
        <f>VLOOKUP(tblCleanData[[#This Row],[EmployeeNumber]],tblHelpers[],14,0)</f>
        <v>56</v>
      </c>
    </row>
    <row r="1286" spans="1:42" x14ac:dyDescent="0.25">
      <c r="A1286" s="13">
        <v>39</v>
      </c>
      <c r="B1286" s="13" t="s">
        <v>59</v>
      </c>
      <c r="C1286" s="13" t="s">
        <v>37</v>
      </c>
      <c r="D1286" s="13">
        <v>1253</v>
      </c>
      <c r="E1286" s="13" t="s">
        <v>62</v>
      </c>
      <c r="F1286" s="13">
        <v>10</v>
      </c>
      <c r="G1286" s="13">
        <v>1</v>
      </c>
      <c r="H1286" s="13" t="s">
        <v>87</v>
      </c>
      <c r="I1286" s="13">
        <v>1</v>
      </c>
      <c r="J1286" s="13">
        <v>1800</v>
      </c>
      <c r="K1286" s="13">
        <v>3</v>
      </c>
      <c r="L1286" s="13" t="s">
        <v>63</v>
      </c>
      <c r="M1286" s="13">
        <v>65</v>
      </c>
      <c r="N1286" s="13">
        <v>3</v>
      </c>
      <c r="O1286" s="13">
        <v>3</v>
      </c>
      <c r="P1286" s="13" t="s">
        <v>186</v>
      </c>
      <c r="Q1286" s="13">
        <v>3</v>
      </c>
      <c r="R1286" s="13" t="s">
        <v>48</v>
      </c>
      <c r="S1286" s="20">
        <v>13464</v>
      </c>
      <c r="T1286" s="13">
        <v>7914</v>
      </c>
      <c r="U1286" s="13">
        <v>7</v>
      </c>
      <c r="V1286" s="13" t="s">
        <v>52</v>
      </c>
      <c r="W1286" s="13" t="s">
        <v>59</v>
      </c>
      <c r="X1286" s="13">
        <v>21</v>
      </c>
      <c r="Y1286" s="13">
        <v>4</v>
      </c>
      <c r="Z1286" s="13">
        <v>3</v>
      </c>
      <c r="AA1286" s="13">
        <v>80</v>
      </c>
      <c r="AB1286" s="13">
        <v>0</v>
      </c>
      <c r="AC1286" s="13">
        <v>9</v>
      </c>
      <c r="AD1286" s="13">
        <v>3</v>
      </c>
      <c r="AE1286" s="13">
        <v>3</v>
      </c>
      <c r="AF1286" s="14">
        <v>4</v>
      </c>
      <c r="AG1286" s="13">
        <v>3</v>
      </c>
      <c r="AH1286" s="13">
        <v>2</v>
      </c>
      <c r="AI1286" s="13">
        <v>2</v>
      </c>
      <c r="AJ1286" s="13" t="str">
        <f t="shared" si="20"/>
        <v>30-39</v>
      </c>
      <c r="AK1286" s="13" t="str">
        <f>IF(tblCleanData[[#This Row],[MonthlyIncome]]&lt;5000, "Low Income", IF(tblCleanData[[#This Row],[MonthlyIncome]]&lt;15000, "Medium Income", "High Income"))</f>
        <v>Medium Income</v>
      </c>
      <c r="AL1286" s="13">
        <f>IF(tblCleanData[[#This Row],[Attrition]]="No", 0,1)</f>
        <v>0</v>
      </c>
      <c r="AM1286" s="13">
        <f>IF(tblCleanData[[#This Row],[OverTime]] = "No", 0, 1)</f>
        <v>0</v>
      </c>
      <c r="AN1286" s="13" t="str">
        <f>CHOOSE(tblCleanData[[#This Row],[Education]], "Below College","College","Bachelor","Master","Doctor")</f>
        <v>Below College</v>
      </c>
      <c r="AO1286" s="13" t="str">
        <f>VLOOKUP(tblCleanData[[#This Row],[EmployeeNumber]],tblHelpers[],15,TRUE)</f>
        <v>Medium Risk</v>
      </c>
      <c r="AP1286" s="13">
        <f>VLOOKUP(tblCleanData[[#This Row],[EmployeeNumber]],tblHelpers[],14,0)</f>
        <v>53</v>
      </c>
    </row>
    <row r="1287" spans="1:42" x14ac:dyDescent="0.25">
      <c r="A1287" s="13">
        <v>46</v>
      </c>
      <c r="B1287" s="13" t="s">
        <v>59</v>
      </c>
      <c r="C1287" s="13" t="s">
        <v>161</v>
      </c>
      <c r="D1287" s="13">
        <v>849</v>
      </c>
      <c r="E1287" s="13" t="s">
        <v>39</v>
      </c>
      <c r="F1287" s="13">
        <v>26</v>
      </c>
      <c r="G1287" s="13">
        <v>2</v>
      </c>
      <c r="H1287" s="13" t="s">
        <v>42</v>
      </c>
      <c r="I1287" s="13">
        <v>1</v>
      </c>
      <c r="J1287" s="13">
        <v>1801</v>
      </c>
      <c r="K1287" s="13">
        <v>2</v>
      </c>
      <c r="L1287" s="13" t="s">
        <v>63</v>
      </c>
      <c r="M1287" s="13">
        <v>98</v>
      </c>
      <c r="N1287" s="13">
        <v>2</v>
      </c>
      <c r="O1287" s="13">
        <v>2</v>
      </c>
      <c r="P1287" s="13" t="s">
        <v>46</v>
      </c>
      <c r="Q1287" s="13">
        <v>2</v>
      </c>
      <c r="R1287" s="13" t="s">
        <v>48</v>
      </c>
      <c r="S1287" s="20">
        <v>7991</v>
      </c>
      <c r="T1287" s="13">
        <v>25166</v>
      </c>
      <c r="U1287" s="13">
        <v>8</v>
      </c>
      <c r="V1287" s="13" t="s">
        <v>52</v>
      </c>
      <c r="W1287" s="13" t="s">
        <v>59</v>
      </c>
      <c r="X1287" s="13">
        <v>15</v>
      </c>
      <c r="Y1287" s="13">
        <v>3</v>
      </c>
      <c r="Z1287" s="13">
        <v>3</v>
      </c>
      <c r="AA1287" s="13">
        <v>80</v>
      </c>
      <c r="AB1287" s="13">
        <v>0</v>
      </c>
      <c r="AC1287" s="13">
        <v>6</v>
      </c>
      <c r="AD1287" s="13">
        <v>3</v>
      </c>
      <c r="AE1287" s="13">
        <v>3</v>
      </c>
      <c r="AF1287" s="14">
        <v>2</v>
      </c>
      <c r="AG1287" s="13">
        <v>2</v>
      </c>
      <c r="AH1287" s="13">
        <v>2</v>
      </c>
      <c r="AI1287" s="13">
        <v>2</v>
      </c>
      <c r="AJ1287" s="13" t="str">
        <f t="shared" si="20"/>
        <v>40-49</v>
      </c>
      <c r="AK1287" s="13" t="str">
        <f>IF(tblCleanData[[#This Row],[MonthlyIncome]]&lt;5000, "Low Income", IF(tblCleanData[[#This Row],[MonthlyIncome]]&lt;15000, "Medium Income", "High Income"))</f>
        <v>Medium Income</v>
      </c>
      <c r="AL1287" s="13">
        <f>IF(tblCleanData[[#This Row],[Attrition]]="No", 0,1)</f>
        <v>0</v>
      </c>
      <c r="AM1287" s="13">
        <f>IF(tblCleanData[[#This Row],[OverTime]] = "No", 0, 1)</f>
        <v>0</v>
      </c>
      <c r="AN1287" s="13" t="str">
        <f>CHOOSE(tblCleanData[[#This Row],[Education]], "Below College","College","Bachelor","Master","Doctor")</f>
        <v>College</v>
      </c>
      <c r="AO1287" s="13" t="str">
        <f>VLOOKUP(tblCleanData[[#This Row],[EmployeeNumber]],tblHelpers[],15,TRUE)</f>
        <v>High Risk</v>
      </c>
      <c r="AP1287" s="13">
        <f>VLOOKUP(tblCleanData[[#This Row],[EmployeeNumber]],tblHelpers[],14,0)</f>
        <v>59</v>
      </c>
    </row>
    <row r="1288" spans="1:42" x14ac:dyDescent="0.25">
      <c r="A1288" s="13">
        <v>40</v>
      </c>
      <c r="B1288" s="13" t="s">
        <v>59</v>
      </c>
      <c r="C1288" s="13" t="s">
        <v>37</v>
      </c>
      <c r="D1288" s="13">
        <v>616</v>
      </c>
      <c r="E1288" s="13" t="s">
        <v>62</v>
      </c>
      <c r="F1288" s="13">
        <v>2</v>
      </c>
      <c r="G1288" s="13">
        <v>2</v>
      </c>
      <c r="H1288" s="13" t="s">
        <v>42</v>
      </c>
      <c r="I1288" s="13">
        <v>1</v>
      </c>
      <c r="J1288" s="13">
        <v>1802</v>
      </c>
      <c r="K1288" s="13">
        <v>3</v>
      </c>
      <c r="L1288" s="13" t="s">
        <v>43</v>
      </c>
      <c r="M1288" s="13">
        <v>99</v>
      </c>
      <c r="N1288" s="13">
        <v>3</v>
      </c>
      <c r="O1288" s="13">
        <v>1</v>
      </c>
      <c r="P1288" s="13" t="s">
        <v>76</v>
      </c>
      <c r="Q1288" s="13">
        <v>1</v>
      </c>
      <c r="R1288" s="13" t="s">
        <v>66</v>
      </c>
      <c r="S1288" s="20">
        <v>3377</v>
      </c>
      <c r="T1288" s="13">
        <v>25605</v>
      </c>
      <c r="U1288" s="13">
        <v>4</v>
      </c>
      <c r="V1288" s="13" t="s">
        <v>52</v>
      </c>
      <c r="W1288" s="13" t="s">
        <v>59</v>
      </c>
      <c r="X1288" s="13">
        <v>17</v>
      </c>
      <c r="Y1288" s="13">
        <v>3</v>
      </c>
      <c r="Z1288" s="13">
        <v>4</v>
      </c>
      <c r="AA1288" s="13">
        <v>80</v>
      </c>
      <c r="AB1288" s="13">
        <v>1</v>
      </c>
      <c r="AC1288" s="13">
        <v>7</v>
      </c>
      <c r="AD1288" s="13">
        <v>5</v>
      </c>
      <c r="AE1288" s="13">
        <v>2</v>
      </c>
      <c r="AF1288" s="14">
        <v>4</v>
      </c>
      <c r="AG1288" s="13">
        <v>3</v>
      </c>
      <c r="AH1288" s="13">
        <v>0</v>
      </c>
      <c r="AI1288" s="13">
        <v>2</v>
      </c>
      <c r="AJ1288" s="13" t="str">
        <f t="shared" si="20"/>
        <v>40-49</v>
      </c>
      <c r="AK1288" s="13" t="str">
        <f>IF(tblCleanData[[#This Row],[MonthlyIncome]]&lt;5000, "Low Income", IF(tblCleanData[[#This Row],[MonthlyIncome]]&lt;15000, "Medium Income", "High Income"))</f>
        <v>Low Income</v>
      </c>
      <c r="AL1288" s="13">
        <f>IF(tblCleanData[[#This Row],[Attrition]]="No", 0,1)</f>
        <v>0</v>
      </c>
      <c r="AM1288" s="13">
        <f>IF(tblCleanData[[#This Row],[OverTime]] = "No", 0, 1)</f>
        <v>0</v>
      </c>
      <c r="AN1288" s="13" t="str">
        <f>CHOOSE(tblCleanData[[#This Row],[Education]], "Below College","College","Bachelor","Master","Doctor")</f>
        <v>College</v>
      </c>
      <c r="AO1288" s="13" t="str">
        <f>VLOOKUP(tblCleanData[[#This Row],[EmployeeNumber]],tblHelpers[],15,TRUE)</f>
        <v>High Risk</v>
      </c>
      <c r="AP1288" s="13">
        <f>VLOOKUP(tblCleanData[[#This Row],[EmployeeNumber]],tblHelpers[],14,0)</f>
        <v>55</v>
      </c>
    </row>
    <row r="1289" spans="1:42" x14ac:dyDescent="0.25">
      <c r="A1289" s="13">
        <v>42</v>
      </c>
      <c r="B1289" s="13" t="s">
        <v>59</v>
      </c>
      <c r="C1289" s="13" t="s">
        <v>37</v>
      </c>
      <c r="D1289" s="13">
        <v>1128</v>
      </c>
      <c r="E1289" s="13" t="s">
        <v>62</v>
      </c>
      <c r="F1289" s="13">
        <v>13</v>
      </c>
      <c r="G1289" s="13">
        <v>3</v>
      </c>
      <c r="H1289" s="13" t="s">
        <v>87</v>
      </c>
      <c r="I1289" s="13">
        <v>1</v>
      </c>
      <c r="J1289" s="13">
        <v>1803</v>
      </c>
      <c r="K1289" s="13">
        <v>2</v>
      </c>
      <c r="L1289" s="13" t="s">
        <v>63</v>
      </c>
      <c r="M1289" s="13">
        <v>95</v>
      </c>
      <c r="N1289" s="13">
        <v>4</v>
      </c>
      <c r="O1289" s="13">
        <v>2</v>
      </c>
      <c r="P1289" s="13" t="s">
        <v>122</v>
      </c>
      <c r="Q1289" s="13">
        <v>1</v>
      </c>
      <c r="R1289" s="13" t="s">
        <v>66</v>
      </c>
      <c r="S1289" s="20">
        <v>5538</v>
      </c>
      <c r="T1289" s="13">
        <v>5696</v>
      </c>
      <c r="U1289" s="13">
        <v>5</v>
      </c>
      <c r="V1289" s="13" t="s">
        <v>52</v>
      </c>
      <c r="W1289" s="13" t="s">
        <v>59</v>
      </c>
      <c r="X1289" s="13">
        <v>18</v>
      </c>
      <c r="Y1289" s="13">
        <v>3</v>
      </c>
      <c r="Z1289" s="13">
        <v>3</v>
      </c>
      <c r="AA1289" s="13">
        <v>80</v>
      </c>
      <c r="AB1289" s="13">
        <v>2</v>
      </c>
      <c r="AC1289" s="13">
        <v>10</v>
      </c>
      <c r="AD1289" s="13">
        <v>2</v>
      </c>
      <c r="AE1289" s="13">
        <v>2</v>
      </c>
      <c r="AF1289" s="14">
        <v>0</v>
      </c>
      <c r="AG1289" s="13">
        <v>0</v>
      </c>
      <c r="AH1289" s="13">
        <v>0</v>
      </c>
      <c r="AI1289" s="13">
        <v>0</v>
      </c>
      <c r="AJ1289" s="13" t="str">
        <f t="shared" si="20"/>
        <v>40-49</v>
      </c>
      <c r="AK1289" s="13" t="str">
        <f>IF(tblCleanData[[#This Row],[MonthlyIncome]]&lt;5000, "Low Income", IF(tblCleanData[[#This Row],[MonthlyIncome]]&lt;15000, "Medium Income", "High Income"))</f>
        <v>Medium Income</v>
      </c>
      <c r="AL1289" s="13">
        <f>IF(tblCleanData[[#This Row],[Attrition]]="No", 0,1)</f>
        <v>0</v>
      </c>
      <c r="AM1289" s="13">
        <f>IF(tblCleanData[[#This Row],[OverTime]] = "No", 0, 1)</f>
        <v>0</v>
      </c>
      <c r="AN1289" s="13" t="str">
        <f>CHOOSE(tblCleanData[[#This Row],[Education]], "Below College","College","Bachelor","Master","Doctor")</f>
        <v>Bachelor</v>
      </c>
      <c r="AO1289" s="13" t="str">
        <f>VLOOKUP(tblCleanData[[#This Row],[EmployeeNumber]],tblHelpers[],15,TRUE)</f>
        <v>High Risk</v>
      </c>
      <c r="AP1289" s="13">
        <f>VLOOKUP(tblCleanData[[#This Row],[EmployeeNumber]],tblHelpers[],14,0)</f>
        <v>65</v>
      </c>
    </row>
    <row r="1290" spans="1:42" x14ac:dyDescent="0.25">
      <c r="A1290" s="13">
        <v>35</v>
      </c>
      <c r="B1290" s="13" t="s">
        <v>59</v>
      </c>
      <c r="C1290" s="13" t="s">
        <v>161</v>
      </c>
      <c r="D1290" s="13">
        <v>1180</v>
      </c>
      <c r="E1290" s="13" t="s">
        <v>62</v>
      </c>
      <c r="F1290" s="13">
        <v>2</v>
      </c>
      <c r="G1290" s="13">
        <v>2</v>
      </c>
      <c r="H1290" s="13" t="s">
        <v>87</v>
      </c>
      <c r="I1290" s="13">
        <v>1</v>
      </c>
      <c r="J1290" s="13">
        <v>1804</v>
      </c>
      <c r="K1290" s="13">
        <v>2</v>
      </c>
      <c r="L1290" s="13" t="s">
        <v>63</v>
      </c>
      <c r="M1290" s="13">
        <v>90</v>
      </c>
      <c r="N1290" s="13">
        <v>3</v>
      </c>
      <c r="O1290" s="13">
        <v>2</v>
      </c>
      <c r="P1290" s="13" t="s">
        <v>116</v>
      </c>
      <c r="Q1290" s="13">
        <v>4</v>
      </c>
      <c r="R1290" s="13" t="s">
        <v>109</v>
      </c>
      <c r="S1290" s="20">
        <v>5762</v>
      </c>
      <c r="T1290" s="13">
        <v>24442</v>
      </c>
      <c r="U1290" s="13">
        <v>2</v>
      </c>
      <c r="V1290" s="13" t="s">
        <v>52</v>
      </c>
      <c r="W1290" s="13" t="s">
        <v>59</v>
      </c>
      <c r="X1290" s="13">
        <v>14</v>
      </c>
      <c r="Y1290" s="13">
        <v>3</v>
      </c>
      <c r="Z1290" s="13">
        <v>3</v>
      </c>
      <c r="AA1290" s="13">
        <v>80</v>
      </c>
      <c r="AB1290" s="13">
        <v>1</v>
      </c>
      <c r="AC1290" s="13">
        <v>15</v>
      </c>
      <c r="AD1290" s="13">
        <v>6</v>
      </c>
      <c r="AE1290" s="13">
        <v>3</v>
      </c>
      <c r="AF1290" s="14">
        <v>7</v>
      </c>
      <c r="AG1290" s="13">
        <v>7</v>
      </c>
      <c r="AH1290" s="13">
        <v>1</v>
      </c>
      <c r="AI1290" s="13">
        <v>7</v>
      </c>
      <c r="AJ1290" s="13" t="str">
        <f t="shared" si="20"/>
        <v>30-39</v>
      </c>
      <c r="AK1290" s="13" t="str">
        <f>IF(tblCleanData[[#This Row],[MonthlyIncome]]&lt;5000, "Low Income", IF(tblCleanData[[#This Row],[MonthlyIncome]]&lt;15000, "Medium Income", "High Income"))</f>
        <v>Medium Income</v>
      </c>
      <c r="AL1290" s="13">
        <f>IF(tblCleanData[[#This Row],[Attrition]]="No", 0,1)</f>
        <v>0</v>
      </c>
      <c r="AM1290" s="13">
        <f>IF(tblCleanData[[#This Row],[OverTime]] = "No", 0, 1)</f>
        <v>0</v>
      </c>
      <c r="AN1290" s="13" t="str">
        <f>CHOOSE(tblCleanData[[#This Row],[Education]], "Below College","College","Bachelor","Master","Doctor")</f>
        <v>College</v>
      </c>
      <c r="AO1290" s="13" t="str">
        <f>VLOOKUP(tblCleanData[[#This Row],[EmployeeNumber]],tblHelpers[],15,TRUE)</f>
        <v>Medium Risk</v>
      </c>
      <c r="AP1290" s="13">
        <f>VLOOKUP(tblCleanData[[#This Row],[EmployeeNumber]],tblHelpers[],14,0)</f>
        <v>39</v>
      </c>
    </row>
    <row r="1291" spans="1:42" x14ac:dyDescent="0.25">
      <c r="A1291" s="13">
        <v>38</v>
      </c>
      <c r="B1291" s="13" t="s">
        <v>59</v>
      </c>
      <c r="C1291" s="13" t="s">
        <v>161</v>
      </c>
      <c r="D1291" s="13">
        <v>1336</v>
      </c>
      <c r="E1291" s="13" t="s">
        <v>397</v>
      </c>
      <c r="F1291" s="13">
        <v>2</v>
      </c>
      <c r="G1291" s="13">
        <v>3</v>
      </c>
      <c r="H1291" s="13" t="s">
        <v>397</v>
      </c>
      <c r="I1291" s="13">
        <v>1</v>
      </c>
      <c r="J1291" s="13">
        <v>1805</v>
      </c>
      <c r="K1291" s="13">
        <v>1</v>
      </c>
      <c r="L1291" s="13" t="s">
        <v>63</v>
      </c>
      <c r="M1291" s="13">
        <v>100</v>
      </c>
      <c r="N1291" s="13">
        <v>3</v>
      </c>
      <c r="O1291" s="13">
        <v>1</v>
      </c>
      <c r="P1291" s="13" t="s">
        <v>397</v>
      </c>
      <c r="Q1291" s="13">
        <v>2</v>
      </c>
      <c r="R1291" s="13" t="s">
        <v>109</v>
      </c>
      <c r="S1291" s="20">
        <v>2592</v>
      </c>
      <c r="T1291" s="13">
        <v>7129</v>
      </c>
      <c r="U1291" s="13">
        <v>5</v>
      </c>
      <c r="V1291" s="13" t="s">
        <v>52</v>
      </c>
      <c r="W1291" s="13" t="s">
        <v>59</v>
      </c>
      <c r="X1291" s="13">
        <v>13</v>
      </c>
      <c r="Y1291" s="13">
        <v>3</v>
      </c>
      <c r="Z1291" s="13">
        <v>4</v>
      </c>
      <c r="AA1291" s="13">
        <v>80</v>
      </c>
      <c r="AB1291" s="13">
        <v>3</v>
      </c>
      <c r="AC1291" s="13">
        <v>13</v>
      </c>
      <c r="AD1291" s="13">
        <v>3</v>
      </c>
      <c r="AE1291" s="13">
        <v>3</v>
      </c>
      <c r="AF1291" s="14">
        <v>11</v>
      </c>
      <c r="AG1291" s="13">
        <v>10</v>
      </c>
      <c r="AH1291" s="13">
        <v>3</v>
      </c>
      <c r="AI1291" s="13">
        <v>8</v>
      </c>
      <c r="AJ1291" s="13" t="str">
        <f t="shared" si="20"/>
        <v>30-39</v>
      </c>
      <c r="AK1291" s="13" t="str">
        <f>IF(tblCleanData[[#This Row],[MonthlyIncome]]&lt;5000, "Low Income", IF(tblCleanData[[#This Row],[MonthlyIncome]]&lt;15000, "Medium Income", "High Income"))</f>
        <v>Low Income</v>
      </c>
      <c r="AL1291" s="13">
        <f>IF(tblCleanData[[#This Row],[Attrition]]="No", 0,1)</f>
        <v>0</v>
      </c>
      <c r="AM1291" s="13">
        <f>IF(tblCleanData[[#This Row],[OverTime]] = "No", 0, 1)</f>
        <v>0</v>
      </c>
      <c r="AN1291" s="13" t="str">
        <f>CHOOSE(tblCleanData[[#This Row],[Education]], "Below College","College","Bachelor","Master","Doctor")</f>
        <v>Bachelor</v>
      </c>
      <c r="AO1291" s="13" t="str">
        <f>VLOOKUP(tblCleanData[[#This Row],[EmployeeNumber]],tblHelpers[],15,TRUE)</f>
        <v>Medium Risk</v>
      </c>
      <c r="AP1291" s="13">
        <f>VLOOKUP(tblCleanData[[#This Row],[EmployeeNumber]],tblHelpers[],14,0)</f>
        <v>47</v>
      </c>
    </row>
    <row r="1292" spans="1:42" x14ac:dyDescent="0.25">
      <c r="A1292" s="13">
        <v>34</v>
      </c>
      <c r="B1292" s="13" t="s">
        <v>36</v>
      </c>
      <c r="C1292" s="13" t="s">
        <v>60</v>
      </c>
      <c r="D1292" s="13">
        <v>234</v>
      </c>
      <c r="E1292" s="13" t="s">
        <v>62</v>
      </c>
      <c r="F1292" s="13">
        <v>9</v>
      </c>
      <c r="G1292" s="13">
        <v>4</v>
      </c>
      <c r="H1292" s="13" t="s">
        <v>42</v>
      </c>
      <c r="I1292" s="13">
        <v>1</v>
      </c>
      <c r="J1292" s="13">
        <v>1807</v>
      </c>
      <c r="K1292" s="13">
        <v>4</v>
      </c>
      <c r="L1292" s="13" t="s">
        <v>63</v>
      </c>
      <c r="M1292" s="13">
        <v>93</v>
      </c>
      <c r="N1292" s="13">
        <v>3</v>
      </c>
      <c r="O1292" s="13">
        <v>2</v>
      </c>
      <c r="P1292" s="13" t="s">
        <v>76</v>
      </c>
      <c r="Q1292" s="13">
        <v>1</v>
      </c>
      <c r="R1292" s="13" t="s">
        <v>66</v>
      </c>
      <c r="S1292" s="20">
        <v>5346</v>
      </c>
      <c r="T1292" s="13">
        <v>6208</v>
      </c>
      <c r="U1292" s="13">
        <v>4</v>
      </c>
      <c r="V1292" s="13" t="s">
        <v>52</v>
      </c>
      <c r="W1292" s="13" t="s">
        <v>59</v>
      </c>
      <c r="X1292" s="13">
        <v>17</v>
      </c>
      <c r="Y1292" s="13">
        <v>3</v>
      </c>
      <c r="Z1292" s="13">
        <v>3</v>
      </c>
      <c r="AA1292" s="13">
        <v>80</v>
      </c>
      <c r="AB1292" s="13">
        <v>1</v>
      </c>
      <c r="AC1292" s="13">
        <v>11</v>
      </c>
      <c r="AD1292" s="13">
        <v>3</v>
      </c>
      <c r="AE1292" s="13">
        <v>2</v>
      </c>
      <c r="AF1292" s="14">
        <v>7</v>
      </c>
      <c r="AG1292" s="13">
        <v>1</v>
      </c>
      <c r="AH1292" s="13">
        <v>0</v>
      </c>
      <c r="AI1292" s="13">
        <v>7</v>
      </c>
      <c r="AJ1292" s="13" t="str">
        <f t="shared" si="20"/>
        <v>30-39</v>
      </c>
      <c r="AK1292" s="13" t="str">
        <f>IF(tblCleanData[[#This Row],[MonthlyIncome]]&lt;5000, "Low Income", IF(tblCleanData[[#This Row],[MonthlyIncome]]&lt;15000, "Medium Income", "High Income"))</f>
        <v>Medium Income</v>
      </c>
      <c r="AL1292" s="13">
        <f>IF(tblCleanData[[#This Row],[Attrition]]="No", 0,1)</f>
        <v>1</v>
      </c>
      <c r="AM1292" s="13">
        <f>IF(tblCleanData[[#This Row],[OverTime]] = "No", 0, 1)</f>
        <v>0</v>
      </c>
      <c r="AN1292" s="13" t="str">
        <f>CHOOSE(tblCleanData[[#This Row],[Education]], "Below College","College","Bachelor","Master","Doctor")</f>
        <v>Master</v>
      </c>
      <c r="AO1292" s="13" t="str">
        <f>VLOOKUP(tblCleanData[[#This Row],[EmployeeNumber]],tblHelpers[],15,TRUE)</f>
        <v>High Risk</v>
      </c>
      <c r="AP1292" s="13">
        <f>VLOOKUP(tblCleanData[[#This Row],[EmployeeNumber]],tblHelpers[],14,0)</f>
        <v>58</v>
      </c>
    </row>
    <row r="1293" spans="1:42" x14ac:dyDescent="0.25">
      <c r="A1293" s="13">
        <v>37</v>
      </c>
      <c r="B1293" s="13" t="s">
        <v>36</v>
      </c>
      <c r="C1293" s="13" t="s">
        <v>37</v>
      </c>
      <c r="D1293" s="13">
        <v>370</v>
      </c>
      <c r="E1293" s="13" t="s">
        <v>62</v>
      </c>
      <c r="F1293" s="13">
        <v>10</v>
      </c>
      <c r="G1293" s="13">
        <v>4</v>
      </c>
      <c r="H1293" s="13" t="s">
        <v>87</v>
      </c>
      <c r="I1293" s="13">
        <v>1</v>
      </c>
      <c r="J1293" s="13">
        <v>1809</v>
      </c>
      <c r="K1293" s="13">
        <v>4</v>
      </c>
      <c r="L1293" s="13" t="s">
        <v>63</v>
      </c>
      <c r="M1293" s="13">
        <v>58</v>
      </c>
      <c r="N1293" s="13">
        <v>3</v>
      </c>
      <c r="O1293" s="13">
        <v>2</v>
      </c>
      <c r="P1293" s="13" t="s">
        <v>116</v>
      </c>
      <c r="Q1293" s="13">
        <v>1</v>
      </c>
      <c r="R1293" s="13" t="s">
        <v>48</v>
      </c>
      <c r="S1293" s="20">
        <v>4213</v>
      </c>
      <c r="T1293" s="13">
        <v>4992</v>
      </c>
      <c r="U1293" s="13">
        <v>1</v>
      </c>
      <c r="V1293" s="13" t="s">
        <v>52</v>
      </c>
      <c r="W1293" s="13" t="s">
        <v>59</v>
      </c>
      <c r="X1293" s="13">
        <v>15</v>
      </c>
      <c r="Y1293" s="13">
        <v>3</v>
      </c>
      <c r="Z1293" s="13">
        <v>2</v>
      </c>
      <c r="AA1293" s="13">
        <v>80</v>
      </c>
      <c r="AB1293" s="13">
        <v>0</v>
      </c>
      <c r="AC1293" s="13">
        <v>10</v>
      </c>
      <c r="AD1293" s="13">
        <v>4</v>
      </c>
      <c r="AE1293" s="13">
        <v>1</v>
      </c>
      <c r="AF1293" s="14">
        <v>10</v>
      </c>
      <c r="AG1293" s="13">
        <v>3</v>
      </c>
      <c r="AH1293" s="13">
        <v>0</v>
      </c>
      <c r="AI1293" s="13">
        <v>8</v>
      </c>
      <c r="AJ1293" s="13" t="str">
        <f t="shared" si="20"/>
        <v>30-39</v>
      </c>
      <c r="AK1293" s="13" t="str">
        <f>IF(tblCleanData[[#This Row],[MonthlyIncome]]&lt;5000, "Low Income", IF(tblCleanData[[#This Row],[MonthlyIncome]]&lt;15000, "Medium Income", "High Income"))</f>
        <v>Low Income</v>
      </c>
      <c r="AL1293" s="13">
        <f>IF(tblCleanData[[#This Row],[Attrition]]="No", 0,1)</f>
        <v>1</v>
      </c>
      <c r="AM1293" s="13">
        <f>IF(tblCleanData[[#This Row],[OverTime]] = "No", 0, 1)</f>
        <v>0</v>
      </c>
      <c r="AN1293" s="13" t="str">
        <f>CHOOSE(tblCleanData[[#This Row],[Education]], "Below College","College","Bachelor","Master","Doctor")</f>
        <v>Master</v>
      </c>
      <c r="AO1293" s="13" t="str">
        <f>VLOOKUP(tblCleanData[[#This Row],[EmployeeNumber]],tblHelpers[],15,TRUE)</f>
        <v>High Risk</v>
      </c>
      <c r="AP1293" s="13">
        <f>VLOOKUP(tblCleanData[[#This Row],[EmployeeNumber]],tblHelpers[],14,0)</f>
        <v>58</v>
      </c>
    </row>
    <row r="1294" spans="1:42" x14ac:dyDescent="0.25">
      <c r="A1294" s="13">
        <v>39</v>
      </c>
      <c r="B1294" s="13" t="s">
        <v>59</v>
      </c>
      <c r="C1294" s="13" t="s">
        <v>60</v>
      </c>
      <c r="D1294" s="13">
        <v>766</v>
      </c>
      <c r="E1294" s="13" t="s">
        <v>39</v>
      </c>
      <c r="F1294" s="13">
        <v>20</v>
      </c>
      <c r="G1294" s="13">
        <v>3</v>
      </c>
      <c r="H1294" s="13" t="s">
        <v>42</v>
      </c>
      <c r="I1294" s="13">
        <v>1</v>
      </c>
      <c r="J1294" s="13">
        <v>1812</v>
      </c>
      <c r="K1294" s="13">
        <v>3</v>
      </c>
      <c r="L1294" s="13" t="s">
        <v>63</v>
      </c>
      <c r="M1294" s="13">
        <v>83</v>
      </c>
      <c r="N1294" s="13">
        <v>3</v>
      </c>
      <c r="O1294" s="13">
        <v>2</v>
      </c>
      <c r="P1294" s="13" t="s">
        <v>46</v>
      </c>
      <c r="Q1294" s="13">
        <v>4</v>
      </c>
      <c r="R1294" s="13" t="s">
        <v>109</v>
      </c>
      <c r="S1294" s="20">
        <v>4127</v>
      </c>
      <c r="T1294" s="13">
        <v>19188</v>
      </c>
      <c r="U1294" s="13">
        <v>2</v>
      </c>
      <c r="V1294" s="13" t="s">
        <v>52</v>
      </c>
      <c r="W1294" s="13" t="s">
        <v>59</v>
      </c>
      <c r="X1294" s="13">
        <v>18</v>
      </c>
      <c r="Y1294" s="13">
        <v>3</v>
      </c>
      <c r="Z1294" s="13">
        <v>4</v>
      </c>
      <c r="AA1294" s="13">
        <v>80</v>
      </c>
      <c r="AB1294" s="13">
        <v>1</v>
      </c>
      <c r="AC1294" s="13">
        <v>7</v>
      </c>
      <c r="AD1294" s="13">
        <v>6</v>
      </c>
      <c r="AE1294" s="13">
        <v>3</v>
      </c>
      <c r="AF1294" s="14">
        <v>2</v>
      </c>
      <c r="AG1294" s="13">
        <v>1</v>
      </c>
      <c r="AH1294" s="13">
        <v>2</v>
      </c>
      <c r="AI1294" s="13">
        <v>2</v>
      </c>
      <c r="AJ1294" s="13" t="str">
        <f t="shared" si="20"/>
        <v>30-39</v>
      </c>
      <c r="AK1294" s="13" t="str">
        <f>IF(tblCleanData[[#This Row],[MonthlyIncome]]&lt;5000, "Low Income", IF(tblCleanData[[#This Row],[MonthlyIncome]]&lt;15000, "Medium Income", "High Income"))</f>
        <v>Low Income</v>
      </c>
      <c r="AL1294" s="13">
        <f>IF(tblCleanData[[#This Row],[Attrition]]="No", 0,1)</f>
        <v>0</v>
      </c>
      <c r="AM1294" s="13">
        <f>IF(tblCleanData[[#This Row],[OverTime]] = "No", 0, 1)</f>
        <v>0</v>
      </c>
      <c r="AN1294" s="13" t="str">
        <f>CHOOSE(tblCleanData[[#This Row],[Education]], "Below College","College","Bachelor","Master","Doctor")</f>
        <v>Bachelor</v>
      </c>
      <c r="AO1294" s="13" t="str">
        <f>VLOOKUP(tblCleanData[[#This Row],[EmployeeNumber]],tblHelpers[],15,TRUE)</f>
        <v>High Risk</v>
      </c>
      <c r="AP1294" s="13">
        <f>VLOOKUP(tblCleanData[[#This Row],[EmployeeNumber]],tblHelpers[],14,0)</f>
        <v>56</v>
      </c>
    </row>
    <row r="1295" spans="1:42" x14ac:dyDescent="0.25">
      <c r="A1295" s="13">
        <v>43</v>
      </c>
      <c r="B1295" s="13" t="s">
        <v>59</v>
      </c>
      <c r="C1295" s="13" t="s">
        <v>161</v>
      </c>
      <c r="D1295" s="13">
        <v>343</v>
      </c>
      <c r="E1295" s="13" t="s">
        <v>62</v>
      </c>
      <c r="F1295" s="13">
        <v>9</v>
      </c>
      <c r="G1295" s="13">
        <v>3</v>
      </c>
      <c r="H1295" s="13" t="s">
        <v>42</v>
      </c>
      <c r="I1295" s="13">
        <v>1</v>
      </c>
      <c r="J1295" s="13">
        <v>1813</v>
      </c>
      <c r="K1295" s="13">
        <v>1</v>
      </c>
      <c r="L1295" s="13" t="s">
        <v>63</v>
      </c>
      <c r="M1295" s="13">
        <v>52</v>
      </c>
      <c r="N1295" s="13">
        <v>3</v>
      </c>
      <c r="O1295" s="13">
        <v>1</v>
      </c>
      <c r="P1295" s="13" t="s">
        <v>65</v>
      </c>
      <c r="Q1295" s="13">
        <v>3</v>
      </c>
      <c r="R1295" s="13" t="s">
        <v>48</v>
      </c>
      <c r="S1295" s="20">
        <v>2438</v>
      </c>
      <c r="T1295" s="13">
        <v>24978</v>
      </c>
      <c r="U1295" s="13">
        <v>4</v>
      </c>
      <c r="V1295" s="13" t="s">
        <v>52</v>
      </c>
      <c r="W1295" s="13" t="s">
        <v>59</v>
      </c>
      <c r="X1295" s="13">
        <v>13</v>
      </c>
      <c r="Y1295" s="13">
        <v>3</v>
      </c>
      <c r="Z1295" s="13">
        <v>3</v>
      </c>
      <c r="AA1295" s="13">
        <v>80</v>
      </c>
      <c r="AB1295" s="13">
        <v>0</v>
      </c>
      <c r="AC1295" s="13">
        <v>7</v>
      </c>
      <c r="AD1295" s="13">
        <v>2</v>
      </c>
      <c r="AE1295" s="13">
        <v>2</v>
      </c>
      <c r="AF1295" s="14">
        <v>3</v>
      </c>
      <c r="AG1295" s="13">
        <v>2</v>
      </c>
      <c r="AH1295" s="13">
        <v>1</v>
      </c>
      <c r="AI1295" s="13">
        <v>2</v>
      </c>
      <c r="AJ1295" s="13" t="str">
        <f t="shared" si="20"/>
        <v>40-49</v>
      </c>
      <c r="AK1295" s="13" t="str">
        <f>IF(tblCleanData[[#This Row],[MonthlyIncome]]&lt;5000, "Low Income", IF(tblCleanData[[#This Row],[MonthlyIncome]]&lt;15000, "Medium Income", "High Income"))</f>
        <v>Low Income</v>
      </c>
      <c r="AL1295" s="13">
        <f>IF(tblCleanData[[#This Row],[Attrition]]="No", 0,1)</f>
        <v>0</v>
      </c>
      <c r="AM1295" s="13">
        <f>IF(tblCleanData[[#This Row],[OverTime]] = "No", 0, 1)</f>
        <v>0</v>
      </c>
      <c r="AN1295" s="13" t="str">
        <f>CHOOSE(tblCleanData[[#This Row],[Education]], "Below College","College","Bachelor","Master","Doctor")</f>
        <v>Bachelor</v>
      </c>
      <c r="AO1295" s="13" t="str">
        <f>VLOOKUP(tblCleanData[[#This Row],[EmployeeNumber]],tblHelpers[],15,TRUE)</f>
        <v>Medium Risk</v>
      </c>
      <c r="AP1295" s="13">
        <f>VLOOKUP(tblCleanData[[#This Row],[EmployeeNumber]],tblHelpers[],14,0)</f>
        <v>43</v>
      </c>
    </row>
    <row r="1296" spans="1:42" x14ac:dyDescent="0.25">
      <c r="A1296" s="13">
        <v>41</v>
      </c>
      <c r="B1296" s="13" t="s">
        <v>59</v>
      </c>
      <c r="C1296" s="13" t="s">
        <v>37</v>
      </c>
      <c r="D1296" s="13">
        <v>447</v>
      </c>
      <c r="E1296" s="13" t="s">
        <v>62</v>
      </c>
      <c r="F1296" s="13">
        <v>5</v>
      </c>
      <c r="G1296" s="13">
        <v>3</v>
      </c>
      <c r="H1296" s="13" t="s">
        <v>42</v>
      </c>
      <c r="I1296" s="13">
        <v>1</v>
      </c>
      <c r="J1296" s="13">
        <v>1814</v>
      </c>
      <c r="K1296" s="13">
        <v>2</v>
      </c>
      <c r="L1296" s="13" t="s">
        <v>63</v>
      </c>
      <c r="M1296" s="13">
        <v>85</v>
      </c>
      <c r="N1296" s="13">
        <v>4</v>
      </c>
      <c r="O1296" s="13">
        <v>2</v>
      </c>
      <c r="P1296" s="13" t="s">
        <v>122</v>
      </c>
      <c r="Q1296" s="13">
        <v>2</v>
      </c>
      <c r="R1296" s="13" t="s">
        <v>48</v>
      </c>
      <c r="S1296" s="20">
        <v>6870</v>
      </c>
      <c r="T1296" s="13">
        <v>15530</v>
      </c>
      <c r="U1296" s="13">
        <v>3</v>
      </c>
      <c r="V1296" s="13" t="s">
        <v>52</v>
      </c>
      <c r="W1296" s="13" t="s">
        <v>59</v>
      </c>
      <c r="X1296" s="13">
        <v>12</v>
      </c>
      <c r="Y1296" s="13">
        <v>3</v>
      </c>
      <c r="Z1296" s="13">
        <v>1</v>
      </c>
      <c r="AA1296" s="13">
        <v>80</v>
      </c>
      <c r="AB1296" s="13">
        <v>0</v>
      </c>
      <c r="AC1296" s="13">
        <v>11</v>
      </c>
      <c r="AD1296" s="13">
        <v>3</v>
      </c>
      <c r="AE1296" s="13">
        <v>1</v>
      </c>
      <c r="AF1296" s="14">
        <v>3</v>
      </c>
      <c r="AG1296" s="13">
        <v>2</v>
      </c>
      <c r="AH1296" s="13">
        <v>1</v>
      </c>
      <c r="AI1296" s="13">
        <v>2</v>
      </c>
      <c r="AJ1296" s="13" t="str">
        <f t="shared" si="20"/>
        <v>40-49</v>
      </c>
      <c r="AK1296" s="13" t="str">
        <f>IF(tblCleanData[[#This Row],[MonthlyIncome]]&lt;5000, "Low Income", IF(tblCleanData[[#This Row],[MonthlyIncome]]&lt;15000, "Medium Income", "High Income"))</f>
        <v>Medium Income</v>
      </c>
      <c r="AL1296" s="13">
        <f>IF(tblCleanData[[#This Row],[Attrition]]="No", 0,1)</f>
        <v>0</v>
      </c>
      <c r="AM1296" s="13">
        <f>IF(tblCleanData[[#This Row],[OverTime]] = "No", 0, 1)</f>
        <v>0</v>
      </c>
      <c r="AN1296" s="13" t="str">
        <f>CHOOSE(tblCleanData[[#This Row],[Education]], "Below College","College","Bachelor","Master","Doctor")</f>
        <v>Bachelor</v>
      </c>
      <c r="AO1296" s="13" t="str">
        <f>VLOOKUP(tblCleanData[[#This Row],[EmployeeNumber]],tblHelpers[],15,TRUE)</f>
        <v>Medium Risk</v>
      </c>
      <c r="AP1296" s="13">
        <f>VLOOKUP(tblCleanData[[#This Row],[EmployeeNumber]],tblHelpers[],14,0)</f>
        <v>49</v>
      </c>
    </row>
    <row r="1297" spans="1:42" x14ac:dyDescent="0.25">
      <c r="A1297" s="13">
        <v>41</v>
      </c>
      <c r="B1297" s="13" t="s">
        <v>59</v>
      </c>
      <c r="C1297" s="13" t="s">
        <v>37</v>
      </c>
      <c r="D1297" s="13">
        <v>796</v>
      </c>
      <c r="E1297" s="13" t="s">
        <v>39</v>
      </c>
      <c r="F1297" s="13">
        <v>4</v>
      </c>
      <c r="G1297" s="13">
        <v>1</v>
      </c>
      <c r="H1297" s="13" t="s">
        <v>206</v>
      </c>
      <c r="I1297" s="13">
        <v>1</v>
      </c>
      <c r="J1297" s="13">
        <v>1815</v>
      </c>
      <c r="K1297" s="13">
        <v>3</v>
      </c>
      <c r="L1297" s="13" t="s">
        <v>43</v>
      </c>
      <c r="M1297" s="13">
        <v>81</v>
      </c>
      <c r="N1297" s="13">
        <v>3</v>
      </c>
      <c r="O1297" s="13">
        <v>3</v>
      </c>
      <c r="P1297" s="13" t="s">
        <v>46</v>
      </c>
      <c r="Q1297" s="13">
        <v>3</v>
      </c>
      <c r="R1297" s="13" t="s">
        <v>109</v>
      </c>
      <c r="S1297" s="20">
        <v>10447</v>
      </c>
      <c r="T1297" s="13">
        <v>26458</v>
      </c>
      <c r="U1297" s="13">
        <v>0</v>
      </c>
      <c r="V1297" s="13" t="s">
        <v>52</v>
      </c>
      <c r="W1297" s="13" t="s">
        <v>36</v>
      </c>
      <c r="X1297" s="13">
        <v>13</v>
      </c>
      <c r="Y1297" s="13">
        <v>3</v>
      </c>
      <c r="Z1297" s="13">
        <v>4</v>
      </c>
      <c r="AA1297" s="13">
        <v>80</v>
      </c>
      <c r="AB1297" s="13">
        <v>1</v>
      </c>
      <c r="AC1297" s="13">
        <v>23</v>
      </c>
      <c r="AD1297" s="13">
        <v>3</v>
      </c>
      <c r="AE1297" s="13">
        <v>4</v>
      </c>
      <c r="AF1297" s="14">
        <v>22</v>
      </c>
      <c r="AG1297" s="13">
        <v>14</v>
      </c>
      <c r="AH1297" s="13">
        <v>13</v>
      </c>
      <c r="AI1297" s="13">
        <v>5</v>
      </c>
      <c r="AJ1297" s="13" t="str">
        <f t="shared" si="20"/>
        <v>40-49</v>
      </c>
      <c r="AK1297" s="13" t="str">
        <f>IF(tblCleanData[[#This Row],[MonthlyIncome]]&lt;5000, "Low Income", IF(tblCleanData[[#This Row],[MonthlyIncome]]&lt;15000, "Medium Income", "High Income"))</f>
        <v>Medium Income</v>
      </c>
      <c r="AL1297" s="13">
        <f>IF(tblCleanData[[#This Row],[Attrition]]="No", 0,1)</f>
        <v>0</v>
      </c>
      <c r="AM1297" s="13">
        <f>IF(tblCleanData[[#This Row],[OverTime]] = "No", 0, 1)</f>
        <v>1</v>
      </c>
      <c r="AN1297" s="13" t="str">
        <f>CHOOSE(tblCleanData[[#This Row],[Education]], "Below College","College","Bachelor","Master","Doctor")</f>
        <v>Below College</v>
      </c>
      <c r="AO1297" s="13" t="str">
        <f>VLOOKUP(tblCleanData[[#This Row],[EmployeeNumber]],tblHelpers[],15,TRUE)</f>
        <v>High Risk</v>
      </c>
      <c r="AP1297" s="13">
        <f>VLOOKUP(tblCleanData[[#This Row],[EmployeeNumber]],tblHelpers[],14,0)</f>
        <v>56</v>
      </c>
    </row>
    <row r="1298" spans="1:42" x14ac:dyDescent="0.25">
      <c r="A1298" s="13">
        <v>30</v>
      </c>
      <c r="B1298" s="13" t="s">
        <v>59</v>
      </c>
      <c r="C1298" s="13" t="s">
        <v>37</v>
      </c>
      <c r="D1298" s="13">
        <v>1092</v>
      </c>
      <c r="E1298" s="13" t="s">
        <v>62</v>
      </c>
      <c r="F1298" s="13">
        <v>10</v>
      </c>
      <c r="G1298" s="13">
        <v>3</v>
      </c>
      <c r="H1298" s="13" t="s">
        <v>87</v>
      </c>
      <c r="I1298" s="13">
        <v>1</v>
      </c>
      <c r="J1298" s="13">
        <v>1816</v>
      </c>
      <c r="K1298" s="13">
        <v>1</v>
      </c>
      <c r="L1298" s="13" t="s">
        <v>43</v>
      </c>
      <c r="M1298" s="13">
        <v>64</v>
      </c>
      <c r="N1298" s="13">
        <v>3</v>
      </c>
      <c r="O1298" s="13">
        <v>3</v>
      </c>
      <c r="P1298" s="13" t="s">
        <v>116</v>
      </c>
      <c r="Q1298" s="13">
        <v>3</v>
      </c>
      <c r="R1298" s="13" t="s">
        <v>48</v>
      </c>
      <c r="S1298" s="20">
        <v>9667</v>
      </c>
      <c r="T1298" s="13">
        <v>2739</v>
      </c>
      <c r="U1298" s="13">
        <v>9</v>
      </c>
      <c r="V1298" s="13" t="s">
        <v>52</v>
      </c>
      <c r="W1298" s="13" t="s">
        <v>59</v>
      </c>
      <c r="X1298" s="13">
        <v>14</v>
      </c>
      <c r="Y1298" s="13">
        <v>3</v>
      </c>
      <c r="Z1298" s="13">
        <v>2</v>
      </c>
      <c r="AA1298" s="13">
        <v>80</v>
      </c>
      <c r="AB1298" s="13">
        <v>0</v>
      </c>
      <c r="AC1298" s="13">
        <v>9</v>
      </c>
      <c r="AD1298" s="13">
        <v>3</v>
      </c>
      <c r="AE1298" s="13">
        <v>3</v>
      </c>
      <c r="AF1298" s="14">
        <v>7</v>
      </c>
      <c r="AG1298" s="13">
        <v>7</v>
      </c>
      <c r="AH1298" s="13">
        <v>0</v>
      </c>
      <c r="AI1298" s="13">
        <v>2</v>
      </c>
      <c r="AJ1298" s="13" t="str">
        <f t="shared" si="20"/>
        <v>30-39</v>
      </c>
      <c r="AK1298" s="13" t="str">
        <f>IF(tblCleanData[[#This Row],[MonthlyIncome]]&lt;5000, "Low Income", IF(tblCleanData[[#This Row],[MonthlyIncome]]&lt;15000, "Medium Income", "High Income"))</f>
        <v>Medium Income</v>
      </c>
      <c r="AL1298" s="13">
        <f>IF(tblCleanData[[#This Row],[Attrition]]="No", 0,1)</f>
        <v>0</v>
      </c>
      <c r="AM1298" s="13">
        <f>IF(tblCleanData[[#This Row],[OverTime]] = "No", 0, 1)</f>
        <v>0</v>
      </c>
      <c r="AN1298" s="13" t="str">
        <f>CHOOSE(tblCleanData[[#This Row],[Education]], "Below College","College","Bachelor","Master","Doctor")</f>
        <v>Bachelor</v>
      </c>
      <c r="AO1298" s="13" t="str">
        <f>VLOOKUP(tblCleanData[[#This Row],[EmployeeNumber]],tblHelpers[],15,TRUE)</f>
        <v>Medium Risk</v>
      </c>
      <c r="AP1298" s="13">
        <f>VLOOKUP(tblCleanData[[#This Row],[EmployeeNumber]],tblHelpers[],14,0)</f>
        <v>46</v>
      </c>
    </row>
    <row r="1299" spans="1:42" x14ac:dyDescent="0.25">
      <c r="A1299" s="13">
        <v>26</v>
      </c>
      <c r="B1299" s="13" t="s">
        <v>36</v>
      </c>
      <c r="C1299" s="13" t="s">
        <v>37</v>
      </c>
      <c r="D1299" s="13">
        <v>920</v>
      </c>
      <c r="E1299" s="13" t="s">
        <v>397</v>
      </c>
      <c r="F1299" s="13">
        <v>20</v>
      </c>
      <c r="G1299" s="13">
        <v>2</v>
      </c>
      <c r="H1299" s="13" t="s">
        <v>87</v>
      </c>
      <c r="I1299" s="13">
        <v>1</v>
      </c>
      <c r="J1299" s="13">
        <v>1818</v>
      </c>
      <c r="K1299" s="13">
        <v>4</v>
      </c>
      <c r="L1299" s="13" t="s">
        <v>43</v>
      </c>
      <c r="M1299" s="13">
        <v>69</v>
      </c>
      <c r="N1299" s="13">
        <v>3</v>
      </c>
      <c r="O1299" s="13">
        <v>1</v>
      </c>
      <c r="P1299" s="13" t="s">
        <v>397</v>
      </c>
      <c r="Q1299" s="13">
        <v>2</v>
      </c>
      <c r="R1299" s="13" t="s">
        <v>66</v>
      </c>
      <c r="S1299" s="20">
        <v>2148</v>
      </c>
      <c r="T1299" s="13">
        <v>6889</v>
      </c>
      <c r="U1299" s="13">
        <v>0</v>
      </c>
      <c r="V1299" s="13" t="s">
        <v>52</v>
      </c>
      <c r="W1299" s="13" t="s">
        <v>36</v>
      </c>
      <c r="X1299" s="13">
        <v>11</v>
      </c>
      <c r="Y1299" s="13">
        <v>3</v>
      </c>
      <c r="Z1299" s="13">
        <v>3</v>
      </c>
      <c r="AA1299" s="13">
        <v>80</v>
      </c>
      <c r="AB1299" s="13">
        <v>0</v>
      </c>
      <c r="AC1299" s="13">
        <v>6</v>
      </c>
      <c r="AD1299" s="13">
        <v>3</v>
      </c>
      <c r="AE1299" s="13">
        <v>3</v>
      </c>
      <c r="AF1299" s="14">
        <v>5</v>
      </c>
      <c r="AG1299" s="13">
        <v>1</v>
      </c>
      <c r="AH1299" s="13">
        <v>1</v>
      </c>
      <c r="AI1299" s="13">
        <v>4</v>
      </c>
      <c r="AJ1299" s="13" t="str">
        <f t="shared" si="20"/>
        <v>Under 30</v>
      </c>
      <c r="AK1299" s="13" t="str">
        <f>IF(tblCleanData[[#This Row],[MonthlyIncome]]&lt;5000, "Low Income", IF(tblCleanData[[#This Row],[MonthlyIncome]]&lt;15000, "Medium Income", "High Income"))</f>
        <v>Low Income</v>
      </c>
      <c r="AL1299" s="13">
        <f>IF(tblCleanData[[#This Row],[Attrition]]="No", 0,1)</f>
        <v>1</v>
      </c>
      <c r="AM1299" s="13">
        <f>IF(tblCleanData[[#This Row],[OverTime]] = "No", 0, 1)</f>
        <v>1</v>
      </c>
      <c r="AN1299" s="13" t="str">
        <f>CHOOSE(tblCleanData[[#This Row],[Education]], "Below College","College","Bachelor","Master","Doctor")</f>
        <v>College</v>
      </c>
      <c r="AO1299" s="13" t="str">
        <f>VLOOKUP(tblCleanData[[#This Row],[EmployeeNumber]],tblHelpers[],15,TRUE)</f>
        <v>High Risk</v>
      </c>
      <c r="AP1299" s="13">
        <f>VLOOKUP(tblCleanData[[#This Row],[EmployeeNumber]],tblHelpers[],14,0)</f>
        <v>94</v>
      </c>
    </row>
    <row r="1300" spans="1:42" x14ac:dyDescent="0.25">
      <c r="A1300" s="13">
        <v>46</v>
      </c>
      <c r="B1300" s="13" t="s">
        <v>36</v>
      </c>
      <c r="C1300" s="13" t="s">
        <v>37</v>
      </c>
      <c r="D1300" s="13">
        <v>261</v>
      </c>
      <c r="E1300" s="13" t="s">
        <v>62</v>
      </c>
      <c r="F1300" s="13">
        <v>21</v>
      </c>
      <c r="G1300" s="13">
        <v>2</v>
      </c>
      <c r="H1300" s="13" t="s">
        <v>87</v>
      </c>
      <c r="I1300" s="13">
        <v>1</v>
      </c>
      <c r="J1300" s="13">
        <v>1821</v>
      </c>
      <c r="K1300" s="13">
        <v>4</v>
      </c>
      <c r="L1300" s="13" t="s">
        <v>43</v>
      </c>
      <c r="M1300" s="13">
        <v>66</v>
      </c>
      <c r="N1300" s="13">
        <v>3</v>
      </c>
      <c r="O1300" s="13">
        <v>2</v>
      </c>
      <c r="P1300" s="13" t="s">
        <v>122</v>
      </c>
      <c r="Q1300" s="13">
        <v>2</v>
      </c>
      <c r="R1300" s="13" t="s">
        <v>66</v>
      </c>
      <c r="S1300" s="20">
        <v>8926</v>
      </c>
      <c r="T1300" s="13">
        <v>10842</v>
      </c>
      <c r="U1300" s="13">
        <v>4</v>
      </c>
      <c r="V1300" s="13" t="s">
        <v>52</v>
      </c>
      <c r="W1300" s="13" t="s">
        <v>59</v>
      </c>
      <c r="X1300" s="13">
        <v>22</v>
      </c>
      <c r="Y1300" s="13">
        <v>4</v>
      </c>
      <c r="Z1300" s="13">
        <v>4</v>
      </c>
      <c r="AA1300" s="13">
        <v>80</v>
      </c>
      <c r="AB1300" s="13">
        <v>1</v>
      </c>
      <c r="AC1300" s="13">
        <v>13</v>
      </c>
      <c r="AD1300" s="13">
        <v>2</v>
      </c>
      <c r="AE1300" s="13">
        <v>4</v>
      </c>
      <c r="AF1300" s="14">
        <v>9</v>
      </c>
      <c r="AG1300" s="13">
        <v>7</v>
      </c>
      <c r="AH1300" s="13">
        <v>3</v>
      </c>
      <c r="AI1300" s="13">
        <v>7</v>
      </c>
      <c r="AJ1300" s="13" t="str">
        <f t="shared" si="20"/>
        <v>40-49</v>
      </c>
      <c r="AK1300" s="13" t="str">
        <f>IF(tblCleanData[[#This Row],[MonthlyIncome]]&lt;5000, "Low Income", IF(tblCleanData[[#This Row],[MonthlyIncome]]&lt;15000, "Medium Income", "High Income"))</f>
        <v>Medium Income</v>
      </c>
      <c r="AL1300" s="13">
        <f>IF(tblCleanData[[#This Row],[Attrition]]="No", 0,1)</f>
        <v>1</v>
      </c>
      <c r="AM1300" s="13">
        <f>IF(tblCleanData[[#This Row],[OverTime]] = "No", 0, 1)</f>
        <v>0</v>
      </c>
      <c r="AN1300" s="13" t="str">
        <f>CHOOSE(tblCleanData[[#This Row],[Education]], "Below College","College","Bachelor","Master","Doctor")</f>
        <v>College</v>
      </c>
      <c r="AO1300" s="13" t="str">
        <f>VLOOKUP(tblCleanData[[#This Row],[EmployeeNumber]],tblHelpers[],15,TRUE)</f>
        <v>Medium Risk</v>
      </c>
      <c r="AP1300" s="13">
        <f>VLOOKUP(tblCleanData[[#This Row],[EmployeeNumber]],tblHelpers[],14,0)</f>
        <v>42</v>
      </c>
    </row>
    <row r="1301" spans="1:42" x14ac:dyDescent="0.25">
      <c r="A1301" s="13">
        <v>40</v>
      </c>
      <c r="B1301" s="13" t="s">
        <v>59</v>
      </c>
      <c r="C1301" s="13" t="s">
        <v>37</v>
      </c>
      <c r="D1301" s="13">
        <v>1194</v>
      </c>
      <c r="E1301" s="13" t="s">
        <v>62</v>
      </c>
      <c r="F1301" s="13">
        <v>1</v>
      </c>
      <c r="G1301" s="13">
        <v>3</v>
      </c>
      <c r="H1301" s="13" t="s">
        <v>42</v>
      </c>
      <c r="I1301" s="13">
        <v>1</v>
      </c>
      <c r="J1301" s="13">
        <v>1822</v>
      </c>
      <c r="K1301" s="13">
        <v>3</v>
      </c>
      <c r="L1301" s="13" t="s">
        <v>43</v>
      </c>
      <c r="M1301" s="13">
        <v>52</v>
      </c>
      <c r="N1301" s="13">
        <v>3</v>
      </c>
      <c r="O1301" s="13">
        <v>2</v>
      </c>
      <c r="P1301" s="13" t="s">
        <v>122</v>
      </c>
      <c r="Q1301" s="13">
        <v>4</v>
      </c>
      <c r="R1301" s="13" t="s">
        <v>109</v>
      </c>
      <c r="S1301" s="20">
        <v>6513</v>
      </c>
      <c r="T1301" s="13">
        <v>9060</v>
      </c>
      <c r="U1301" s="13">
        <v>4</v>
      </c>
      <c r="V1301" s="13" t="s">
        <v>52</v>
      </c>
      <c r="W1301" s="13" t="s">
        <v>59</v>
      </c>
      <c r="X1301" s="13">
        <v>17</v>
      </c>
      <c r="Y1301" s="13">
        <v>3</v>
      </c>
      <c r="Z1301" s="13">
        <v>4</v>
      </c>
      <c r="AA1301" s="13">
        <v>80</v>
      </c>
      <c r="AB1301" s="13">
        <v>1</v>
      </c>
      <c r="AC1301" s="13">
        <v>12</v>
      </c>
      <c r="AD1301" s="13">
        <v>3</v>
      </c>
      <c r="AE1301" s="13">
        <v>3</v>
      </c>
      <c r="AF1301" s="14">
        <v>5</v>
      </c>
      <c r="AG1301" s="13">
        <v>3</v>
      </c>
      <c r="AH1301" s="13">
        <v>0</v>
      </c>
      <c r="AI1301" s="13">
        <v>3</v>
      </c>
      <c r="AJ1301" s="13" t="str">
        <f t="shared" si="20"/>
        <v>40-49</v>
      </c>
      <c r="AK1301" s="13" t="str">
        <f>IF(tblCleanData[[#This Row],[MonthlyIncome]]&lt;5000, "Low Income", IF(tblCleanData[[#This Row],[MonthlyIncome]]&lt;15000, "Medium Income", "High Income"))</f>
        <v>Medium Income</v>
      </c>
      <c r="AL1301" s="13">
        <f>IF(tblCleanData[[#This Row],[Attrition]]="No", 0,1)</f>
        <v>0</v>
      </c>
      <c r="AM1301" s="13">
        <f>IF(tblCleanData[[#This Row],[OverTime]] = "No", 0, 1)</f>
        <v>0</v>
      </c>
      <c r="AN1301" s="13" t="str">
        <f>CHOOSE(tblCleanData[[#This Row],[Education]], "Below College","College","Bachelor","Master","Doctor")</f>
        <v>Bachelor</v>
      </c>
      <c r="AO1301" s="13" t="str">
        <f>VLOOKUP(tblCleanData[[#This Row],[EmployeeNumber]],tblHelpers[],15,TRUE)</f>
        <v>Medium Risk</v>
      </c>
      <c r="AP1301" s="13">
        <f>VLOOKUP(tblCleanData[[#This Row],[EmployeeNumber]],tblHelpers[],14,0)</f>
        <v>36</v>
      </c>
    </row>
    <row r="1302" spans="1:42" x14ac:dyDescent="0.25">
      <c r="A1302" s="13">
        <v>34</v>
      </c>
      <c r="B1302" s="13" t="s">
        <v>59</v>
      </c>
      <c r="C1302" s="13" t="s">
        <v>37</v>
      </c>
      <c r="D1302" s="13">
        <v>810</v>
      </c>
      <c r="E1302" s="13" t="s">
        <v>39</v>
      </c>
      <c r="F1302" s="13">
        <v>8</v>
      </c>
      <c r="G1302" s="13">
        <v>2</v>
      </c>
      <c r="H1302" s="13" t="s">
        <v>228</v>
      </c>
      <c r="I1302" s="13">
        <v>1</v>
      </c>
      <c r="J1302" s="13">
        <v>1823</v>
      </c>
      <c r="K1302" s="13">
        <v>2</v>
      </c>
      <c r="L1302" s="13" t="s">
        <v>63</v>
      </c>
      <c r="M1302" s="13">
        <v>92</v>
      </c>
      <c r="N1302" s="13">
        <v>4</v>
      </c>
      <c r="O1302" s="13">
        <v>2</v>
      </c>
      <c r="P1302" s="13" t="s">
        <v>46</v>
      </c>
      <c r="Q1302" s="13">
        <v>3</v>
      </c>
      <c r="R1302" s="13" t="s">
        <v>66</v>
      </c>
      <c r="S1302" s="20">
        <v>6799</v>
      </c>
      <c r="T1302" s="13">
        <v>22128</v>
      </c>
      <c r="U1302" s="13">
        <v>1</v>
      </c>
      <c r="V1302" s="13" t="s">
        <v>52</v>
      </c>
      <c r="W1302" s="13" t="s">
        <v>59</v>
      </c>
      <c r="X1302" s="13">
        <v>21</v>
      </c>
      <c r="Y1302" s="13">
        <v>4</v>
      </c>
      <c r="Z1302" s="13">
        <v>3</v>
      </c>
      <c r="AA1302" s="13">
        <v>80</v>
      </c>
      <c r="AB1302" s="13">
        <v>2</v>
      </c>
      <c r="AC1302" s="13">
        <v>10</v>
      </c>
      <c r="AD1302" s="13">
        <v>5</v>
      </c>
      <c r="AE1302" s="13">
        <v>3</v>
      </c>
      <c r="AF1302" s="14">
        <v>10</v>
      </c>
      <c r="AG1302" s="13">
        <v>8</v>
      </c>
      <c r="AH1302" s="13">
        <v>4</v>
      </c>
      <c r="AI1302" s="13">
        <v>8</v>
      </c>
      <c r="AJ1302" s="13" t="str">
        <f t="shared" si="20"/>
        <v>30-39</v>
      </c>
      <c r="AK1302" s="13" t="str">
        <f>IF(tblCleanData[[#This Row],[MonthlyIncome]]&lt;5000, "Low Income", IF(tblCleanData[[#This Row],[MonthlyIncome]]&lt;15000, "Medium Income", "High Income"))</f>
        <v>Medium Income</v>
      </c>
      <c r="AL1302" s="13">
        <f>IF(tblCleanData[[#This Row],[Attrition]]="No", 0,1)</f>
        <v>0</v>
      </c>
      <c r="AM1302" s="13">
        <f>IF(tblCleanData[[#This Row],[OverTime]] = "No", 0, 1)</f>
        <v>0</v>
      </c>
      <c r="AN1302" s="13" t="str">
        <f>CHOOSE(tblCleanData[[#This Row],[Education]], "Below College","College","Bachelor","Master","Doctor")</f>
        <v>College</v>
      </c>
      <c r="AO1302" s="13" t="str">
        <f>VLOOKUP(tblCleanData[[#This Row],[EmployeeNumber]],tblHelpers[],15,TRUE)</f>
        <v>Medium Risk</v>
      </c>
      <c r="AP1302" s="13">
        <f>VLOOKUP(tblCleanData[[#This Row],[EmployeeNumber]],tblHelpers[],14,0)</f>
        <v>46</v>
      </c>
    </row>
    <row r="1303" spans="1:42" x14ac:dyDescent="0.25">
      <c r="A1303" s="13">
        <v>58</v>
      </c>
      <c r="B1303" s="13" t="s">
        <v>59</v>
      </c>
      <c r="C1303" s="13" t="s">
        <v>161</v>
      </c>
      <c r="D1303" s="13">
        <v>350</v>
      </c>
      <c r="E1303" s="13" t="s">
        <v>39</v>
      </c>
      <c r="F1303" s="13">
        <v>2</v>
      </c>
      <c r="G1303" s="13">
        <v>3</v>
      </c>
      <c r="H1303" s="13" t="s">
        <v>87</v>
      </c>
      <c r="I1303" s="13">
        <v>1</v>
      </c>
      <c r="J1303" s="13">
        <v>1824</v>
      </c>
      <c r="K1303" s="13">
        <v>2</v>
      </c>
      <c r="L1303" s="13" t="s">
        <v>63</v>
      </c>
      <c r="M1303" s="13">
        <v>52</v>
      </c>
      <c r="N1303" s="13">
        <v>3</v>
      </c>
      <c r="O1303" s="13">
        <v>4</v>
      </c>
      <c r="P1303" s="13" t="s">
        <v>169</v>
      </c>
      <c r="Q1303" s="13">
        <v>2</v>
      </c>
      <c r="R1303" s="13" t="s">
        <v>109</v>
      </c>
      <c r="S1303" s="20">
        <v>16291</v>
      </c>
      <c r="T1303" s="13">
        <v>22577</v>
      </c>
      <c r="U1303" s="13">
        <v>4</v>
      </c>
      <c r="V1303" s="13" t="s">
        <v>52</v>
      </c>
      <c r="W1303" s="13" t="s">
        <v>59</v>
      </c>
      <c r="X1303" s="13">
        <v>22</v>
      </c>
      <c r="Y1303" s="13">
        <v>4</v>
      </c>
      <c r="Z1303" s="13">
        <v>4</v>
      </c>
      <c r="AA1303" s="13">
        <v>80</v>
      </c>
      <c r="AB1303" s="13">
        <v>1</v>
      </c>
      <c r="AC1303" s="13">
        <v>37</v>
      </c>
      <c r="AD1303" s="13">
        <v>0</v>
      </c>
      <c r="AE1303" s="13">
        <v>2</v>
      </c>
      <c r="AF1303" s="14">
        <v>16</v>
      </c>
      <c r="AG1303" s="13">
        <v>9</v>
      </c>
      <c r="AH1303" s="13">
        <v>14</v>
      </c>
      <c r="AI1303" s="13">
        <v>14</v>
      </c>
      <c r="AJ1303" s="13" t="str">
        <f t="shared" si="20"/>
        <v>50+</v>
      </c>
      <c r="AK1303" s="13" t="str">
        <f>IF(tblCleanData[[#This Row],[MonthlyIncome]]&lt;5000, "Low Income", IF(tblCleanData[[#This Row],[MonthlyIncome]]&lt;15000, "Medium Income", "High Income"))</f>
        <v>High Income</v>
      </c>
      <c r="AL1303" s="13">
        <f>IF(tblCleanData[[#This Row],[Attrition]]="No", 0,1)</f>
        <v>0</v>
      </c>
      <c r="AM1303" s="13">
        <f>IF(tblCleanData[[#This Row],[OverTime]] = "No", 0, 1)</f>
        <v>0</v>
      </c>
      <c r="AN1303" s="13" t="str">
        <f>CHOOSE(tblCleanData[[#This Row],[Education]], "Below College","College","Bachelor","Master","Doctor")</f>
        <v>Bachelor</v>
      </c>
      <c r="AO1303" s="13" t="str">
        <f>VLOOKUP(tblCleanData[[#This Row],[EmployeeNumber]],tblHelpers[],15,TRUE)</f>
        <v>Medium Risk</v>
      </c>
      <c r="AP1303" s="13">
        <f>VLOOKUP(tblCleanData[[#This Row],[EmployeeNumber]],tblHelpers[],14,0)</f>
        <v>42</v>
      </c>
    </row>
    <row r="1304" spans="1:42" x14ac:dyDescent="0.25">
      <c r="A1304" s="13">
        <v>35</v>
      </c>
      <c r="B1304" s="13" t="s">
        <v>59</v>
      </c>
      <c r="C1304" s="13" t="s">
        <v>37</v>
      </c>
      <c r="D1304" s="13">
        <v>185</v>
      </c>
      <c r="E1304" s="13" t="s">
        <v>62</v>
      </c>
      <c r="F1304" s="13">
        <v>23</v>
      </c>
      <c r="G1304" s="13">
        <v>4</v>
      </c>
      <c r="H1304" s="13" t="s">
        <v>87</v>
      </c>
      <c r="I1304" s="13">
        <v>1</v>
      </c>
      <c r="J1304" s="13">
        <v>1826</v>
      </c>
      <c r="K1304" s="13">
        <v>2</v>
      </c>
      <c r="L1304" s="13" t="s">
        <v>63</v>
      </c>
      <c r="M1304" s="13">
        <v>91</v>
      </c>
      <c r="N1304" s="13">
        <v>1</v>
      </c>
      <c r="O1304" s="13">
        <v>1</v>
      </c>
      <c r="P1304" s="13" t="s">
        <v>76</v>
      </c>
      <c r="Q1304" s="13">
        <v>3</v>
      </c>
      <c r="R1304" s="13" t="s">
        <v>66</v>
      </c>
      <c r="S1304" s="20">
        <v>2705</v>
      </c>
      <c r="T1304" s="13">
        <v>9696</v>
      </c>
      <c r="U1304" s="13">
        <v>0</v>
      </c>
      <c r="V1304" s="13" t="s">
        <v>52</v>
      </c>
      <c r="W1304" s="13" t="s">
        <v>59</v>
      </c>
      <c r="X1304" s="13">
        <v>16</v>
      </c>
      <c r="Y1304" s="13">
        <v>3</v>
      </c>
      <c r="Z1304" s="13">
        <v>2</v>
      </c>
      <c r="AA1304" s="13">
        <v>80</v>
      </c>
      <c r="AB1304" s="13">
        <v>1</v>
      </c>
      <c r="AC1304" s="13">
        <v>6</v>
      </c>
      <c r="AD1304" s="13">
        <v>2</v>
      </c>
      <c r="AE1304" s="13">
        <v>4</v>
      </c>
      <c r="AF1304" s="14">
        <v>5</v>
      </c>
      <c r="AG1304" s="13">
        <v>4</v>
      </c>
      <c r="AH1304" s="13">
        <v>0</v>
      </c>
      <c r="AI1304" s="13">
        <v>3</v>
      </c>
      <c r="AJ1304" s="13" t="str">
        <f t="shared" si="20"/>
        <v>30-39</v>
      </c>
      <c r="AK1304" s="13" t="str">
        <f>IF(tblCleanData[[#This Row],[MonthlyIncome]]&lt;5000, "Low Income", IF(tblCleanData[[#This Row],[MonthlyIncome]]&lt;15000, "Medium Income", "High Income"))</f>
        <v>Low Income</v>
      </c>
      <c r="AL1304" s="13">
        <f>IF(tblCleanData[[#This Row],[Attrition]]="No", 0,1)</f>
        <v>0</v>
      </c>
      <c r="AM1304" s="13">
        <f>IF(tblCleanData[[#This Row],[OverTime]] = "No", 0, 1)</f>
        <v>0</v>
      </c>
      <c r="AN1304" s="13" t="str">
        <f>CHOOSE(tblCleanData[[#This Row],[Education]], "Below College","College","Bachelor","Master","Doctor")</f>
        <v>Master</v>
      </c>
      <c r="AO1304" s="13" t="str">
        <f>VLOOKUP(tblCleanData[[#This Row],[EmployeeNumber]],tblHelpers[],15,TRUE)</f>
        <v>Medium Risk</v>
      </c>
      <c r="AP1304" s="13">
        <f>VLOOKUP(tblCleanData[[#This Row],[EmployeeNumber]],tblHelpers[],14,0)</f>
        <v>53</v>
      </c>
    </row>
    <row r="1305" spans="1:42" x14ac:dyDescent="0.25">
      <c r="A1305" s="13">
        <v>47</v>
      </c>
      <c r="B1305" s="13" t="s">
        <v>59</v>
      </c>
      <c r="C1305" s="13" t="s">
        <v>37</v>
      </c>
      <c r="D1305" s="13">
        <v>1001</v>
      </c>
      <c r="E1305" s="13" t="s">
        <v>62</v>
      </c>
      <c r="F1305" s="13">
        <v>4</v>
      </c>
      <c r="G1305" s="13">
        <v>3</v>
      </c>
      <c r="H1305" s="13" t="s">
        <v>42</v>
      </c>
      <c r="I1305" s="13">
        <v>1</v>
      </c>
      <c r="J1305" s="13">
        <v>1827</v>
      </c>
      <c r="K1305" s="13">
        <v>3</v>
      </c>
      <c r="L1305" s="13" t="s">
        <v>43</v>
      </c>
      <c r="M1305" s="13">
        <v>92</v>
      </c>
      <c r="N1305" s="13">
        <v>2</v>
      </c>
      <c r="O1305" s="13">
        <v>3</v>
      </c>
      <c r="P1305" s="13" t="s">
        <v>116</v>
      </c>
      <c r="Q1305" s="13">
        <v>2</v>
      </c>
      <c r="R1305" s="13" t="s">
        <v>109</v>
      </c>
      <c r="S1305" s="20">
        <v>10333</v>
      </c>
      <c r="T1305" s="13">
        <v>19271</v>
      </c>
      <c r="U1305" s="13">
        <v>8</v>
      </c>
      <c r="V1305" s="13" t="s">
        <v>52</v>
      </c>
      <c r="W1305" s="13" t="s">
        <v>36</v>
      </c>
      <c r="X1305" s="13">
        <v>12</v>
      </c>
      <c r="Y1305" s="13">
        <v>3</v>
      </c>
      <c r="Z1305" s="13">
        <v>3</v>
      </c>
      <c r="AA1305" s="13">
        <v>80</v>
      </c>
      <c r="AB1305" s="13">
        <v>1</v>
      </c>
      <c r="AC1305" s="13">
        <v>28</v>
      </c>
      <c r="AD1305" s="13">
        <v>4</v>
      </c>
      <c r="AE1305" s="13">
        <v>3</v>
      </c>
      <c r="AF1305" s="14">
        <v>22</v>
      </c>
      <c r="AG1305" s="13">
        <v>11</v>
      </c>
      <c r="AH1305" s="13">
        <v>14</v>
      </c>
      <c r="AI1305" s="13">
        <v>10</v>
      </c>
      <c r="AJ1305" s="13" t="str">
        <f t="shared" si="20"/>
        <v>40-49</v>
      </c>
      <c r="AK1305" s="13" t="str">
        <f>IF(tblCleanData[[#This Row],[MonthlyIncome]]&lt;5000, "Low Income", IF(tblCleanData[[#This Row],[MonthlyIncome]]&lt;15000, "Medium Income", "High Income"))</f>
        <v>Medium Income</v>
      </c>
      <c r="AL1305" s="13">
        <f>IF(tblCleanData[[#This Row],[Attrition]]="No", 0,1)</f>
        <v>0</v>
      </c>
      <c r="AM1305" s="13">
        <f>IF(tblCleanData[[#This Row],[OverTime]] = "No", 0, 1)</f>
        <v>1</v>
      </c>
      <c r="AN1305" s="13" t="str">
        <f>CHOOSE(tblCleanData[[#This Row],[Education]], "Below College","College","Bachelor","Master","Doctor")</f>
        <v>Bachelor</v>
      </c>
      <c r="AO1305" s="13" t="str">
        <f>VLOOKUP(tblCleanData[[#This Row],[EmployeeNumber]],tblHelpers[],15,TRUE)</f>
        <v>High Risk</v>
      </c>
      <c r="AP1305" s="13">
        <f>VLOOKUP(tblCleanData[[#This Row],[EmployeeNumber]],tblHelpers[],14,0)</f>
        <v>62</v>
      </c>
    </row>
    <row r="1306" spans="1:42" x14ac:dyDescent="0.25">
      <c r="A1306" s="13">
        <v>40</v>
      </c>
      <c r="B1306" s="13" t="s">
        <v>59</v>
      </c>
      <c r="C1306" s="13" t="s">
        <v>37</v>
      </c>
      <c r="D1306" s="13">
        <v>750</v>
      </c>
      <c r="E1306" s="13" t="s">
        <v>62</v>
      </c>
      <c r="F1306" s="13">
        <v>12</v>
      </c>
      <c r="G1306" s="13">
        <v>3</v>
      </c>
      <c r="H1306" s="13" t="s">
        <v>42</v>
      </c>
      <c r="I1306" s="13">
        <v>1</v>
      </c>
      <c r="J1306" s="13">
        <v>1829</v>
      </c>
      <c r="K1306" s="13">
        <v>2</v>
      </c>
      <c r="L1306" s="13" t="s">
        <v>43</v>
      </c>
      <c r="M1306" s="13">
        <v>47</v>
      </c>
      <c r="N1306" s="13">
        <v>3</v>
      </c>
      <c r="O1306" s="13">
        <v>2</v>
      </c>
      <c r="P1306" s="13" t="s">
        <v>122</v>
      </c>
      <c r="Q1306" s="13">
        <v>1</v>
      </c>
      <c r="R1306" s="13" t="s">
        <v>109</v>
      </c>
      <c r="S1306" s="20">
        <v>4448</v>
      </c>
      <c r="T1306" s="13">
        <v>10748</v>
      </c>
      <c r="U1306" s="13">
        <v>2</v>
      </c>
      <c r="V1306" s="13" t="s">
        <v>52</v>
      </c>
      <c r="W1306" s="13" t="s">
        <v>59</v>
      </c>
      <c r="X1306" s="13">
        <v>12</v>
      </c>
      <c r="Y1306" s="13">
        <v>3</v>
      </c>
      <c r="Z1306" s="13">
        <v>2</v>
      </c>
      <c r="AA1306" s="13">
        <v>80</v>
      </c>
      <c r="AB1306" s="13">
        <v>1</v>
      </c>
      <c r="AC1306" s="13">
        <v>15</v>
      </c>
      <c r="AD1306" s="13">
        <v>3</v>
      </c>
      <c r="AE1306" s="13">
        <v>3</v>
      </c>
      <c r="AF1306" s="14">
        <v>7</v>
      </c>
      <c r="AG1306" s="13">
        <v>4</v>
      </c>
      <c r="AH1306" s="13">
        <v>7</v>
      </c>
      <c r="AI1306" s="13">
        <v>7</v>
      </c>
      <c r="AJ1306" s="13" t="str">
        <f t="shared" si="20"/>
        <v>40-49</v>
      </c>
      <c r="AK1306" s="13" t="str">
        <f>IF(tblCleanData[[#This Row],[MonthlyIncome]]&lt;5000, "Low Income", IF(tblCleanData[[#This Row],[MonthlyIncome]]&lt;15000, "Medium Income", "High Income"))</f>
        <v>Low Income</v>
      </c>
      <c r="AL1306" s="13">
        <f>IF(tblCleanData[[#This Row],[Attrition]]="No", 0,1)</f>
        <v>0</v>
      </c>
      <c r="AM1306" s="13">
        <f>IF(tblCleanData[[#This Row],[OverTime]] = "No", 0, 1)</f>
        <v>0</v>
      </c>
      <c r="AN1306" s="13" t="str">
        <f>CHOOSE(tblCleanData[[#This Row],[Education]], "Below College","College","Bachelor","Master","Doctor")</f>
        <v>Bachelor</v>
      </c>
      <c r="AO1306" s="13" t="str">
        <f>VLOOKUP(tblCleanData[[#This Row],[EmployeeNumber]],tblHelpers[],15,TRUE)</f>
        <v>Medium Risk</v>
      </c>
      <c r="AP1306" s="13">
        <f>VLOOKUP(tblCleanData[[#This Row],[EmployeeNumber]],tblHelpers[],14,0)</f>
        <v>48</v>
      </c>
    </row>
    <row r="1307" spans="1:42" x14ac:dyDescent="0.25">
      <c r="A1307" s="13">
        <v>54</v>
      </c>
      <c r="B1307" s="13" t="s">
        <v>59</v>
      </c>
      <c r="C1307" s="13" t="s">
        <v>37</v>
      </c>
      <c r="D1307" s="13">
        <v>431</v>
      </c>
      <c r="E1307" s="13" t="s">
        <v>62</v>
      </c>
      <c r="F1307" s="13">
        <v>7</v>
      </c>
      <c r="G1307" s="13">
        <v>4</v>
      </c>
      <c r="H1307" s="13" t="s">
        <v>87</v>
      </c>
      <c r="I1307" s="13">
        <v>1</v>
      </c>
      <c r="J1307" s="13">
        <v>1830</v>
      </c>
      <c r="K1307" s="13">
        <v>4</v>
      </c>
      <c r="L1307" s="13" t="s">
        <v>43</v>
      </c>
      <c r="M1307" s="13">
        <v>68</v>
      </c>
      <c r="N1307" s="13">
        <v>3</v>
      </c>
      <c r="O1307" s="13">
        <v>2</v>
      </c>
      <c r="P1307" s="13" t="s">
        <v>65</v>
      </c>
      <c r="Q1307" s="13">
        <v>4</v>
      </c>
      <c r="R1307" s="13" t="s">
        <v>66</v>
      </c>
      <c r="S1307" s="20">
        <v>6854</v>
      </c>
      <c r="T1307" s="13">
        <v>15696</v>
      </c>
      <c r="U1307" s="13">
        <v>4</v>
      </c>
      <c r="V1307" s="13" t="s">
        <v>52</v>
      </c>
      <c r="W1307" s="13" t="s">
        <v>59</v>
      </c>
      <c r="X1307" s="13">
        <v>15</v>
      </c>
      <c r="Y1307" s="13">
        <v>3</v>
      </c>
      <c r="Z1307" s="13">
        <v>2</v>
      </c>
      <c r="AA1307" s="13">
        <v>80</v>
      </c>
      <c r="AB1307" s="13">
        <v>1</v>
      </c>
      <c r="AC1307" s="13">
        <v>14</v>
      </c>
      <c r="AD1307" s="13">
        <v>2</v>
      </c>
      <c r="AE1307" s="13">
        <v>2</v>
      </c>
      <c r="AF1307" s="14">
        <v>7</v>
      </c>
      <c r="AG1307" s="13">
        <v>1</v>
      </c>
      <c r="AH1307" s="13">
        <v>1</v>
      </c>
      <c r="AI1307" s="13">
        <v>7</v>
      </c>
      <c r="AJ1307" s="13" t="str">
        <f t="shared" si="20"/>
        <v>50+</v>
      </c>
      <c r="AK1307" s="13" t="str">
        <f>IF(tblCleanData[[#This Row],[MonthlyIncome]]&lt;5000, "Low Income", IF(tblCleanData[[#This Row],[MonthlyIncome]]&lt;15000, "Medium Income", "High Income"))</f>
        <v>Medium Income</v>
      </c>
      <c r="AL1307" s="13">
        <f>IF(tblCleanData[[#This Row],[Attrition]]="No", 0,1)</f>
        <v>0</v>
      </c>
      <c r="AM1307" s="13">
        <f>IF(tblCleanData[[#This Row],[OverTime]] = "No", 0, 1)</f>
        <v>0</v>
      </c>
      <c r="AN1307" s="13" t="str">
        <f>CHOOSE(tblCleanData[[#This Row],[Education]], "Below College","College","Bachelor","Master","Doctor")</f>
        <v>Master</v>
      </c>
      <c r="AO1307" s="13" t="str">
        <f>VLOOKUP(tblCleanData[[#This Row],[EmployeeNumber]],tblHelpers[],15,TRUE)</f>
        <v>Low Risk</v>
      </c>
      <c r="AP1307" s="13">
        <f>VLOOKUP(tblCleanData[[#This Row],[EmployeeNumber]],tblHelpers[],14,0)</f>
        <v>34</v>
      </c>
    </row>
    <row r="1308" spans="1:42" x14ac:dyDescent="0.25">
      <c r="A1308" s="13">
        <v>31</v>
      </c>
      <c r="B1308" s="13" t="s">
        <v>59</v>
      </c>
      <c r="C1308" s="13" t="s">
        <v>60</v>
      </c>
      <c r="D1308" s="13">
        <v>1125</v>
      </c>
      <c r="E1308" s="13" t="s">
        <v>39</v>
      </c>
      <c r="F1308" s="13">
        <v>7</v>
      </c>
      <c r="G1308" s="13">
        <v>4</v>
      </c>
      <c r="H1308" s="13" t="s">
        <v>206</v>
      </c>
      <c r="I1308" s="13">
        <v>1</v>
      </c>
      <c r="J1308" s="13">
        <v>1833</v>
      </c>
      <c r="K1308" s="13">
        <v>1</v>
      </c>
      <c r="L1308" s="13" t="s">
        <v>43</v>
      </c>
      <c r="M1308" s="13">
        <v>68</v>
      </c>
      <c r="N1308" s="13">
        <v>3</v>
      </c>
      <c r="O1308" s="13">
        <v>3</v>
      </c>
      <c r="P1308" s="13" t="s">
        <v>46</v>
      </c>
      <c r="Q1308" s="13">
        <v>1</v>
      </c>
      <c r="R1308" s="13" t="s">
        <v>66</v>
      </c>
      <c r="S1308" s="20">
        <v>9637</v>
      </c>
      <c r="T1308" s="13">
        <v>8277</v>
      </c>
      <c r="U1308" s="13">
        <v>2</v>
      </c>
      <c r="V1308" s="13" t="s">
        <v>52</v>
      </c>
      <c r="W1308" s="13" t="s">
        <v>59</v>
      </c>
      <c r="X1308" s="13">
        <v>14</v>
      </c>
      <c r="Y1308" s="13">
        <v>3</v>
      </c>
      <c r="Z1308" s="13">
        <v>4</v>
      </c>
      <c r="AA1308" s="13">
        <v>80</v>
      </c>
      <c r="AB1308" s="13">
        <v>2</v>
      </c>
      <c r="AC1308" s="13">
        <v>9</v>
      </c>
      <c r="AD1308" s="13">
        <v>3</v>
      </c>
      <c r="AE1308" s="13">
        <v>3</v>
      </c>
      <c r="AF1308" s="14">
        <v>3</v>
      </c>
      <c r="AG1308" s="13">
        <v>2</v>
      </c>
      <c r="AH1308" s="13">
        <v>2</v>
      </c>
      <c r="AI1308" s="13">
        <v>2</v>
      </c>
      <c r="AJ1308" s="13" t="str">
        <f t="shared" si="20"/>
        <v>30-39</v>
      </c>
      <c r="AK1308" s="13" t="str">
        <f>IF(tblCleanData[[#This Row],[MonthlyIncome]]&lt;5000, "Low Income", IF(tblCleanData[[#This Row],[MonthlyIncome]]&lt;15000, "Medium Income", "High Income"))</f>
        <v>Medium Income</v>
      </c>
      <c r="AL1308" s="13">
        <f>IF(tblCleanData[[#This Row],[Attrition]]="No", 0,1)</f>
        <v>0</v>
      </c>
      <c r="AM1308" s="13">
        <f>IF(tblCleanData[[#This Row],[OverTime]] = "No", 0, 1)</f>
        <v>0</v>
      </c>
      <c r="AN1308" s="13" t="str">
        <f>CHOOSE(tblCleanData[[#This Row],[Education]], "Below College","College","Bachelor","Master","Doctor")</f>
        <v>Master</v>
      </c>
      <c r="AO1308" s="13" t="str">
        <f>VLOOKUP(tblCleanData[[#This Row],[EmployeeNumber]],tblHelpers[],15,TRUE)</f>
        <v>High Risk</v>
      </c>
      <c r="AP1308" s="13">
        <f>VLOOKUP(tblCleanData[[#This Row],[EmployeeNumber]],tblHelpers[],14,0)</f>
        <v>65</v>
      </c>
    </row>
    <row r="1309" spans="1:42" x14ac:dyDescent="0.25">
      <c r="A1309" s="13">
        <v>28</v>
      </c>
      <c r="B1309" s="13" t="s">
        <v>59</v>
      </c>
      <c r="C1309" s="13" t="s">
        <v>37</v>
      </c>
      <c r="D1309" s="13">
        <v>1217</v>
      </c>
      <c r="E1309" s="13" t="s">
        <v>62</v>
      </c>
      <c r="F1309" s="13">
        <v>1</v>
      </c>
      <c r="G1309" s="13">
        <v>3</v>
      </c>
      <c r="H1309" s="13" t="s">
        <v>87</v>
      </c>
      <c r="I1309" s="13">
        <v>1</v>
      </c>
      <c r="J1309" s="13">
        <v>1834</v>
      </c>
      <c r="K1309" s="13">
        <v>3</v>
      </c>
      <c r="L1309" s="13" t="s">
        <v>43</v>
      </c>
      <c r="M1309" s="13">
        <v>67</v>
      </c>
      <c r="N1309" s="13">
        <v>3</v>
      </c>
      <c r="O1309" s="13">
        <v>1</v>
      </c>
      <c r="P1309" s="13" t="s">
        <v>65</v>
      </c>
      <c r="Q1309" s="13">
        <v>1</v>
      </c>
      <c r="R1309" s="13" t="s">
        <v>66</v>
      </c>
      <c r="S1309" s="20">
        <v>3591</v>
      </c>
      <c r="T1309" s="13">
        <v>12719</v>
      </c>
      <c r="U1309" s="13">
        <v>1</v>
      </c>
      <c r="V1309" s="13" t="s">
        <v>52</v>
      </c>
      <c r="W1309" s="13" t="s">
        <v>59</v>
      </c>
      <c r="X1309" s="13">
        <v>25</v>
      </c>
      <c r="Y1309" s="13">
        <v>4</v>
      </c>
      <c r="Z1309" s="13">
        <v>3</v>
      </c>
      <c r="AA1309" s="13">
        <v>80</v>
      </c>
      <c r="AB1309" s="13">
        <v>1</v>
      </c>
      <c r="AC1309" s="13">
        <v>3</v>
      </c>
      <c r="AD1309" s="13">
        <v>3</v>
      </c>
      <c r="AE1309" s="13">
        <v>3</v>
      </c>
      <c r="AF1309" s="14">
        <v>3</v>
      </c>
      <c r="AG1309" s="13">
        <v>2</v>
      </c>
      <c r="AH1309" s="13">
        <v>1</v>
      </c>
      <c r="AI1309" s="13">
        <v>2</v>
      </c>
      <c r="AJ1309" s="13" t="str">
        <f t="shared" si="20"/>
        <v>Under 30</v>
      </c>
      <c r="AK1309" s="13" t="str">
        <f>IF(tblCleanData[[#This Row],[MonthlyIncome]]&lt;5000, "Low Income", IF(tblCleanData[[#This Row],[MonthlyIncome]]&lt;15000, "Medium Income", "High Income"))</f>
        <v>Low Income</v>
      </c>
      <c r="AL1309" s="13">
        <f>IF(tblCleanData[[#This Row],[Attrition]]="No", 0,1)</f>
        <v>0</v>
      </c>
      <c r="AM1309" s="13">
        <f>IF(tblCleanData[[#This Row],[OverTime]] = "No", 0, 1)</f>
        <v>0</v>
      </c>
      <c r="AN1309" s="13" t="str">
        <f>CHOOSE(tblCleanData[[#This Row],[Education]], "Below College","College","Bachelor","Master","Doctor")</f>
        <v>Bachelor</v>
      </c>
      <c r="AO1309" s="13" t="str">
        <f>VLOOKUP(tblCleanData[[#This Row],[EmployeeNumber]],tblHelpers[],15,TRUE)</f>
        <v>High Risk</v>
      </c>
      <c r="AP1309" s="13">
        <f>VLOOKUP(tblCleanData[[#This Row],[EmployeeNumber]],tblHelpers[],14,0)</f>
        <v>75</v>
      </c>
    </row>
    <row r="1310" spans="1:42" x14ac:dyDescent="0.25">
      <c r="A1310" s="13">
        <v>38</v>
      </c>
      <c r="B1310" s="13" t="s">
        <v>59</v>
      </c>
      <c r="C1310" s="13" t="s">
        <v>37</v>
      </c>
      <c r="D1310" s="13">
        <v>723</v>
      </c>
      <c r="E1310" s="13" t="s">
        <v>39</v>
      </c>
      <c r="F1310" s="13">
        <v>2</v>
      </c>
      <c r="G1310" s="13">
        <v>4</v>
      </c>
      <c r="H1310" s="13" t="s">
        <v>206</v>
      </c>
      <c r="I1310" s="13">
        <v>1</v>
      </c>
      <c r="J1310" s="13">
        <v>1835</v>
      </c>
      <c r="K1310" s="13">
        <v>2</v>
      </c>
      <c r="L1310" s="13" t="s">
        <v>43</v>
      </c>
      <c r="M1310" s="13">
        <v>77</v>
      </c>
      <c r="N1310" s="13">
        <v>1</v>
      </c>
      <c r="O1310" s="13">
        <v>2</v>
      </c>
      <c r="P1310" s="13" t="s">
        <v>182</v>
      </c>
      <c r="Q1310" s="13">
        <v>4</v>
      </c>
      <c r="R1310" s="13" t="s">
        <v>66</v>
      </c>
      <c r="S1310" s="20">
        <v>5405</v>
      </c>
      <c r="T1310" s="13">
        <v>4244</v>
      </c>
      <c r="U1310" s="13">
        <v>2</v>
      </c>
      <c r="V1310" s="13" t="s">
        <v>52</v>
      </c>
      <c r="W1310" s="13" t="s">
        <v>36</v>
      </c>
      <c r="X1310" s="13">
        <v>20</v>
      </c>
      <c r="Y1310" s="13">
        <v>4</v>
      </c>
      <c r="Z1310" s="13">
        <v>1</v>
      </c>
      <c r="AA1310" s="13">
        <v>80</v>
      </c>
      <c r="AB1310" s="13">
        <v>2</v>
      </c>
      <c r="AC1310" s="13">
        <v>20</v>
      </c>
      <c r="AD1310" s="13">
        <v>4</v>
      </c>
      <c r="AE1310" s="13">
        <v>2</v>
      </c>
      <c r="AF1310" s="14">
        <v>4</v>
      </c>
      <c r="AG1310" s="13">
        <v>2</v>
      </c>
      <c r="AH1310" s="13">
        <v>0</v>
      </c>
      <c r="AI1310" s="13">
        <v>3</v>
      </c>
      <c r="AJ1310" s="13" t="str">
        <f t="shared" si="20"/>
        <v>30-39</v>
      </c>
      <c r="AK1310" s="13" t="str">
        <f>IF(tblCleanData[[#This Row],[MonthlyIncome]]&lt;5000, "Low Income", IF(tblCleanData[[#This Row],[MonthlyIncome]]&lt;15000, "Medium Income", "High Income"))</f>
        <v>Medium Income</v>
      </c>
      <c r="AL1310" s="13">
        <f>IF(tblCleanData[[#This Row],[Attrition]]="No", 0,1)</f>
        <v>0</v>
      </c>
      <c r="AM1310" s="13">
        <f>IF(tblCleanData[[#This Row],[OverTime]] = "No", 0, 1)</f>
        <v>1</v>
      </c>
      <c r="AN1310" s="13" t="str">
        <f>CHOOSE(tblCleanData[[#This Row],[Education]], "Below College","College","Bachelor","Master","Doctor")</f>
        <v>Master</v>
      </c>
      <c r="AO1310" s="13" t="str">
        <f>VLOOKUP(tblCleanData[[#This Row],[EmployeeNumber]],tblHelpers[],15,TRUE)</f>
        <v>High Risk</v>
      </c>
      <c r="AP1310" s="13">
        <f>VLOOKUP(tblCleanData[[#This Row],[EmployeeNumber]],tblHelpers[],14,0)</f>
        <v>71</v>
      </c>
    </row>
    <row r="1311" spans="1:42" x14ac:dyDescent="0.25">
      <c r="A1311" s="13">
        <v>26</v>
      </c>
      <c r="B1311" s="13" t="s">
        <v>59</v>
      </c>
      <c r="C1311" s="13" t="s">
        <v>37</v>
      </c>
      <c r="D1311" s="13">
        <v>572</v>
      </c>
      <c r="E1311" s="13" t="s">
        <v>39</v>
      </c>
      <c r="F1311" s="13">
        <v>10</v>
      </c>
      <c r="G1311" s="13">
        <v>3</v>
      </c>
      <c r="H1311" s="13" t="s">
        <v>87</v>
      </c>
      <c r="I1311" s="13">
        <v>1</v>
      </c>
      <c r="J1311" s="13">
        <v>1836</v>
      </c>
      <c r="K1311" s="13">
        <v>3</v>
      </c>
      <c r="L1311" s="13" t="s">
        <v>63</v>
      </c>
      <c r="M1311" s="13">
        <v>46</v>
      </c>
      <c r="N1311" s="13">
        <v>3</v>
      </c>
      <c r="O1311" s="13">
        <v>2</v>
      </c>
      <c r="P1311" s="13" t="s">
        <v>46</v>
      </c>
      <c r="Q1311" s="13">
        <v>4</v>
      </c>
      <c r="R1311" s="13" t="s">
        <v>48</v>
      </c>
      <c r="S1311" s="20">
        <v>4684</v>
      </c>
      <c r="T1311" s="13">
        <v>9125</v>
      </c>
      <c r="U1311" s="13">
        <v>1</v>
      </c>
      <c r="V1311" s="13" t="s">
        <v>52</v>
      </c>
      <c r="W1311" s="13" t="s">
        <v>59</v>
      </c>
      <c r="X1311" s="13">
        <v>13</v>
      </c>
      <c r="Y1311" s="13">
        <v>3</v>
      </c>
      <c r="Z1311" s="13">
        <v>1</v>
      </c>
      <c r="AA1311" s="13">
        <v>80</v>
      </c>
      <c r="AB1311" s="13">
        <v>0</v>
      </c>
      <c r="AC1311" s="13">
        <v>5</v>
      </c>
      <c r="AD1311" s="13">
        <v>4</v>
      </c>
      <c r="AE1311" s="13">
        <v>3</v>
      </c>
      <c r="AF1311" s="14">
        <v>5</v>
      </c>
      <c r="AG1311" s="13">
        <v>3</v>
      </c>
      <c r="AH1311" s="13">
        <v>1</v>
      </c>
      <c r="AI1311" s="13">
        <v>2</v>
      </c>
      <c r="AJ1311" s="13" t="str">
        <f t="shared" si="20"/>
        <v>Under 30</v>
      </c>
      <c r="AK1311" s="13" t="str">
        <f>IF(tblCleanData[[#This Row],[MonthlyIncome]]&lt;5000, "Low Income", IF(tblCleanData[[#This Row],[MonthlyIncome]]&lt;15000, "Medium Income", "High Income"))</f>
        <v>Low Income</v>
      </c>
      <c r="AL1311" s="13">
        <f>IF(tblCleanData[[#This Row],[Attrition]]="No", 0,1)</f>
        <v>0</v>
      </c>
      <c r="AM1311" s="13">
        <f>IF(tblCleanData[[#This Row],[OverTime]] = "No", 0, 1)</f>
        <v>0</v>
      </c>
      <c r="AN1311" s="13" t="str">
        <f>CHOOSE(tblCleanData[[#This Row],[Education]], "Below College","College","Bachelor","Master","Doctor")</f>
        <v>Bachelor</v>
      </c>
      <c r="AO1311" s="13" t="str">
        <f>VLOOKUP(tblCleanData[[#This Row],[EmployeeNumber]],tblHelpers[],15,TRUE)</f>
        <v>High Risk</v>
      </c>
      <c r="AP1311" s="13">
        <f>VLOOKUP(tblCleanData[[#This Row],[EmployeeNumber]],tblHelpers[],14,0)</f>
        <v>56</v>
      </c>
    </row>
    <row r="1312" spans="1:42" x14ac:dyDescent="0.25">
      <c r="A1312" s="13">
        <v>58</v>
      </c>
      <c r="B1312" s="13" t="s">
        <v>59</v>
      </c>
      <c r="C1312" s="13" t="s">
        <v>60</v>
      </c>
      <c r="D1312" s="13">
        <v>1216</v>
      </c>
      <c r="E1312" s="13" t="s">
        <v>62</v>
      </c>
      <c r="F1312" s="13">
        <v>15</v>
      </c>
      <c r="G1312" s="13">
        <v>4</v>
      </c>
      <c r="H1312" s="13" t="s">
        <v>42</v>
      </c>
      <c r="I1312" s="13">
        <v>1</v>
      </c>
      <c r="J1312" s="13">
        <v>1837</v>
      </c>
      <c r="K1312" s="13">
        <v>1</v>
      </c>
      <c r="L1312" s="13" t="s">
        <v>63</v>
      </c>
      <c r="M1312" s="13">
        <v>87</v>
      </c>
      <c r="N1312" s="13">
        <v>3</v>
      </c>
      <c r="O1312" s="13">
        <v>4</v>
      </c>
      <c r="P1312" s="13" t="s">
        <v>186</v>
      </c>
      <c r="Q1312" s="13">
        <v>3</v>
      </c>
      <c r="R1312" s="13" t="s">
        <v>66</v>
      </c>
      <c r="S1312" s="20">
        <v>15787</v>
      </c>
      <c r="T1312" s="13">
        <v>21624</v>
      </c>
      <c r="U1312" s="13">
        <v>2</v>
      </c>
      <c r="V1312" s="13" t="s">
        <v>52</v>
      </c>
      <c r="W1312" s="13" t="s">
        <v>36</v>
      </c>
      <c r="X1312" s="13">
        <v>14</v>
      </c>
      <c r="Y1312" s="13">
        <v>3</v>
      </c>
      <c r="Z1312" s="13">
        <v>2</v>
      </c>
      <c r="AA1312" s="13">
        <v>80</v>
      </c>
      <c r="AB1312" s="13">
        <v>0</v>
      </c>
      <c r="AC1312" s="13">
        <v>23</v>
      </c>
      <c r="AD1312" s="13">
        <v>3</v>
      </c>
      <c r="AE1312" s="13">
        <v>3</v>
      </c>
      <c r="AF1312" s="14">
        <v>2</v>
      </c>
      <c r="AG1312" s="13">
        <v>2</v>
      </c>
      <c r="AH1312" s="13">
        <v>2</v>
      </c>
      <c r="AI1312" s="13">
        <v>2</v>
      </c>
      <c r="AJ1312" s="13" t="str">
        <f t="shared" si="20"/>
        <v>50+</v>
      </c>
      <c r="AK1312" s="13" t="str">
        <f>IF(tblCleanData[[#This Row],[MonthlyIncome]]&lt;5000, "Low Income", IF(tblCleanData[[#This Row],[MonthlyIncome]]&lt;15000, "Medium Income", "High Income"))</f>
        <v>High Income</v>
      </c>
      <c r="AL1312" s="13">
        <f>IF(tblCleanData[[#This Row],[Attrition]]="No", 0,1)</f>
        <v>0</v>
      </c>
      <c r="AM1312" s="13">
        <f>IF(tblCleanData[[#This Row],[OverTime]] = "No", 0, 1)</f>
        <v>1</v>
      </c>
      <c r="AN1312" s="13" t="str">
        <f>CHOOSE(tblCleanData[[#This Row],[Education]], "Below College","College","Bachelor","Master","Doctor")</f>
        <v>Master</v>
      </c>
      <c r="AO1312" s="13" t="str">
        <f>VLOOKUP(tblCleanData[[#This Row],[EmployeeNumber]],tblHelpers[],15,TRUE)</f>
        <v>High Risk</v>
      </c>
      <c r="AP1312" s="13">
        <f>VLOOKUP(tblCleanData[[#This Row],[EmployeeNumber]],tblHelpers[],14,0)</f>
        <v>83</v>
      </c>
    </row>
    <row r="1313" spans="1:42" x14ac:dyDescent="0.25">
      <c r="A1313" s="13">
        <v>18</v>
      </c>
      <c r="B1313" s="13" t="s">
        <v>59</v>
      </c>
      <c r="C1313" s="13" t="s">
        <v>161</v>
      </c>
      <c r="D1313" s="13">
        <v>1431</v>
      </c>
      <c r="E1313" s="13" t="s">
        <v>62</v>
      </c>
      <c r="F1313" s="13">
        <v>14</v>
      </c>
      <c r="G1313" s="13">
        <v>3</v>
      </c>
      <c r="H1313" s="13" t="s">
        <v>87</v>
      </c>
      <c r="I1313" s="13">
        <v>1</v>
      </c>
      <c r="J1313" s="13">
        <v>1839</v>
      </c>
      <c r="K1313" s="13">
        <v>2</v>
      </c>
      <c r="L1313" s="13" t="s">
        <v>43</v>
      </c>
      <c r="M1313" s="13">
        <v>33</v>
      </c>
      <c r="N1313" s="13">
        <v>3</v>
      </c>
      <c r="O1313" s="13">
        <v>1</v>
      </c>
      <c r="P1313" s="13" t="s">
        <v>65</v>
      </c>
      <c r="Q1313" s="13">
        <v>3</v>
      </c>
      <c r="R1313" s="13" t="s">
        <v>48</v>
      </c>
      <c r="S1313" s="20">
        <v>1514</v>
      </c>
      <c r="T1313" s="13">
        <v>8018</v>
      </c>
      <c r="U1313" s="13">
        <v>1</v>
      </c>
      <c r="V1313" s="13" t="s">
        <v>52</v>
      </c>
      <c r="W1313" s="13" t="s">
        <v>59</v>
      </c>
      <c r="X1313" s="13">
        <v>16</v>
      </c>
      <c r="Y1313" s="13">
        <v>3</v>
      </c>
      <c r="Z1313" s="13">
        <v>3</v>
      </c>
      <c r="AA1313" s="13">
        <v>80</v>
      </c>
      <c r="AB1313" s="13">
        <v>0</v>
      </c>
      <c r="AC1313" s="13">
        <v>0</v>
      </c>
      <c r="AD1313" s="13">
        <v>4</v>
      </c>
      <c r="AE1313" s="13">
        <v>1</v>
      </c>
      <c r="AF1313" s="14">
        <v>0</v>
      </c>
      <c r="AG1313" s="13">
        <v>0</v>
      </c>
      <c r="AH1313" s="13">
        <v>0</v>
      </c>
      <c r="AI1313" s="13">
        <v>0</v>
      </c>
      <c r="AJ1313" s="13" t="str">
        <f t="shared" si="20"/>
        <v>Under 30</v>
      </c>
      <c r="AK1313" s="13" t="str">
        <f>IF(tblCleanData[[#This Row],[MonthlyIncome]]&lt;5000, "Low Income", IF(tblCleanData[[#This Row],[MonthlyIncome]]&lt;15000, "Medium Income", "High Income"))</f>
        <v>Low Income</v>
      </c>
      <c r="AL1313" s="13">
        <f>IF(tblCleanData[[#This Row],[Attrition]]="No", 0,1)</f>
        <v>0</v>
      </c>
      <c r="AM1313" s="13">
        <f>IF(tblCleanData[[#This Row],[OverTime]] = "No", 0, 1)</f>
        <v>0</v>
      </c>
      <c r="AN1313" s="13" t="str">
        <f>CHOOSE(tblCleanData[[#This Row],[Education]], "Below College","College","Bachelor","Master","Doctor")</f>
        <v>Bachelor</v>
      </c>
      <c r="AO1313" s="13" t="str">
        <f>VLOOKUP(tblCleanData[[#This Row],[EmployeeNumber]],tblHelpers[],15,TRUE)</f>
        <v>High Risk</v>
      </c>
      <c r="AP1313" s="13">
        <f>VLOOKUP(tblCleanData[[#This Row],[EmployeeNumber]],tblHelpers[],14,0)</f>
        <v>73</v>
      </c>
    </row>
    <row r="1314" spans="1:42" x14ac:dyDescent="0.25">
      <c r="A1314" s="13">
        <v>31</v>
      </c>
      <c r="B1314" s="13" t="s">
        <v>36</v>
      </c>
      <c r="C1314" s="13" t="s">
        <v>37</v>
      </c>
      <c r="D1314" s="13">
        <v>359</v>
      </c>
      <c r="E1314" s="13" t="s">
        <v>397</v>
      </c>
      <c r="F1314" s="13">
        <v>18</v>
      </c>
      <c r="G1314" s="13">
        <v>5</v>
      </c>
      <c r="H1314" s="13" t="s">
        <v>397</v>
      </c>
      <c r="I1314" s="13">
        <v>1</v>
      </c>
      <c r="J1314" s="13">
        <v>1842</v>
      </c>
      <c r="K1314" s="13">
        <v>4</v>
      </c>
      <c r="L1314" s="13" t="s">
        <v>63</v>
      </c>
      <c r="M1314" s="13">
        <v>89</v>
      </c>
      <c r="N1314" s="13">
        <v>4</v>
      </c>
      <c r="O1314" s="13">
        <v>1</v>
      </c>
      <c r="P1314" s="13" t="s">
        <v>397</v>
      </c>
      <c r="Q1314" s="13">
        <v>1</v>
      </c>
      <c r="R1314" s="13" t="s">
        <v>66</v>
      </c>
      <c r="S1314" s="20">
        <v>2956</v>
      </c>
      <c r="T1314" s="13">
        <v>21495</v>
      </c>
      <c r="U1314" s="13">
        <v>0</v>
      </c>
      <c r="V1314" s="13" t="s">
        <v>52</v>
      </c>
      <c r="W1314" s="13" t="s">
        <v>59</v>
      </c>
      <c r="X1314" s="13">
        <v>17</v>
      </c>
      <c r="Y1314" s="13">
        <v>3</v>
      </c>
      <c r="Z1314" s="13">
        <v>3</v>
      </c>
      <c r="AA1314" s="13">
        <v>80</v>
      </c>
      <c r="AB1314" s="13">
        <v>0</v>
      </c>
      <c r="AC1314" s="13">
        <v>2</v>
      </c>
      <c r="AD1314" s="13">
        <v>4</v>
      </c>
      <c r="AE1314" s="13">
        <v>3</v>
      </c>
      <c r="AF1314" s="14">
        <v>1</v>
      </c>
      <c r="AG1314" s="13">
        <v>0</v>
      </c>
      <c r="AH1314" s="13">
        <v>0</v>
      </c>
      <c r="AI1314" s="13">
        <v>0</v>
      </c>
      <c r="AJ1314" s="13" t="str">
        <f t="shared" si="20"/>
        <v>30-39</v>
      </c>
      <c r="AK1314" s="13" t="str">
        <f>IF(tblCleanData[[#This Row],[MonthlyIncome]]&lt;5000, "Low Income", IF(tblCleanData[[#This Row],[MonthlyIncome]]&lt;15000, "Medium Income", "High Income"))</f>
        <v>Low Income</v>
      </c>
      <c r="AL1314" s="13">
        <f>IF(tblCleanData[[#This Row],[Attrition]]="No", 0,1)</f>
        <v>1</v>
      </c>
      <c r="AM1314" s="13">
        <f>IF(tblCleanData[[#This Row],[OverTime]] = "No", 0, 1)</f>
        <v>0</v>
      </c>
      <c r="AN1314" s="13" t="str">
        <f>CHOOSE(tblCleanData[[#This Row],[Education]], "Below College","College","Bachelor","Master","Doctor")</f>
        <v>Doctor</v>
      </c>
      <c r="AO1314" s="13" t="str">
        <f>VLOOKUP(tblCleanData[[#This Row],[EmployeeNumber]],tblHelpers[],15,TRUE)</f>
        <v>High Risk</v>
      </c>
      <c r="AP1314" s="13">
        <f>VLOOKUP(tblCleanData[[#This Row],[EmployeeNumber]],tblHelpers[],14,0)</f>
        <v>75</v>
      </c>
    </row>
    <row r="1315" spans="1:42" x14ac:dyDescent="0.25">
      <c r="A1315" s="13">
        <v>29</v>
      </c>
      <c r="B1315" s="13" t="s">
        <v>36</v>
      </c>
      <c r="C1315" s="13" t="s">
        <v>37</v>
      </c>
      <c r="D1315" s="13">
        <v>350</v>
      </c>
      <c r="E1315" s="13" t="s">
        <v>397</v>
      </c>
      <c r="F1315" s="13">
        <v>13</v>
      </c>
      <c r="G1315" s="13">
        <v>3</v>
      </c>
      <c r="H1315" s="13" t="s">
        <v>397</v>
      </c>
      <c r="I1315" s="13">
        <v>1</v>
      </c>
      <c r="J1315" s="13">
        <v>1844</v>
      </c>
      <c r="K1315" s="13">
        <v>1</v>
      </c>
      <c r="L1315" s="13" t="s">
        <v>63</v>
      </c>
      <c r="M1315" s="13">
        <v>56</v>
      </c>
      <c r="N1315" s="13">
        <v>2</v>
      </c>
      <c r="O1315" s="13">
        <v>1</v>
      </c>
      <c r="P1315" s="13" t="s">
        <v>397</v>
      </c>
      <c r="Q1315" s="13">
        <v>1</v>
      </c>
      <c r="R1315" s="13" t="s">
        <v>109</v>
      </c>
      <c r="S1315" s="20">
        <v>2335</v>
      </c>
      <c r="T1315" s="13">
        <v>3157</v>
      </c>
      <c r="U1315" s="13">
        <v>4</v>
      </c>
      <c r="V1315" s="13" t="s">
        <v>52</v>
      </c>
      <c r="W1315" s="13" t="s">
        <v>36</v>
      </c>
      <c r="X1315" s="13">
        <v>15</v>
      </c>
      <c r="Y1315" s="13">
        <v>3</v>
      </c>
      <c r="Z1315" s="13">
        <v>4</v>
      </c>
      <c r="AA1315" s="13">
        <v>80</v>
      </c>
      <c r="AB1315" s="13">
        <v>3</v>
      </c>
      <c r="AC1315" s="13">
        <v>4</v>
      </c>
      <c r="AD1315" s="13">
        <v>3</v>
      </c>
      <c r="AE1315" s="13">
        <v>3</v>
      </c>
      <c r="AF1315" s="14">
        <v>2</v>
      </c>
      <c r="AG1315" s="13">
        <v>2</v>
      </c>
      <c r="AH1315" s="13">
        <v>2</v>
      </c>
      <c r="AI1315" s="13">
        <v>0</v>
      </c>
      <c r="AJ1315" s="13" t="str">
        <f t="shared" si="20"/>
        <v>Under 30</v>
      </c>
      <c r="AK1315" s="13" t="str">
        <f>IF(tblCleanData[[#This Row],[MonthlyIncome]]&lt;5000, "Low Income", IF(tblCleanData[[#This Row],[MonthlyIncome]]&lt;15000, "Medium Income", "High Income"))</f>
        <v>Low Income</v>
      </c>
      <c r="AL1315" s="13">
        <f>IF(tblCleanData[[#This Row],[Attrition]]="No", 0,1)</f>
        <v>1</v>
      </c>
      <c r="AM1315" s="13">
        <f>IF(tblCleanData[[#This Row],[OverTime]] = "No", 0, 1)</f>
        <v>1</v>
      </c>
      <c r="AN1315" s="13" t="str">
        <f>CHOOSE(tblCleanData[[#This Row],[Education]], "Below College","College","Bachelor","Master","Doctor")</f>
        <v>Bachelor</v>
      </c>
      <c r="AO1315" s="13" t="str">
        <f>VLOOKUP(tblCleanData[[#This Row],[EmployeeNumber]],tblHelpers[],15,TRUE)</f>
        <v>High Risk</v>
      </c>
      <c r="AP1315" s="13">
        <f>VLOOKUP(tblCleanData[[#This Row],[EmployeeNumber]],tblHelpers[],14,0)</f>
        <v>110</v>
      </c>
    </row>
    <row r="1316" spans="1:42" x14ac:dyDescent="0.25">
      <c r="A1316" s="13">
        <v>45</v>
      </c>
      <c r="B1316" s="13" t="s">
        <v>59</v>
      </c>
      <c r="C1316" s="13" t="s">
        <v>161</v>
      </c>
      <c r="D1316" s="13">
        <v>589</v>
      </c>
      <c r="E1316" s="13" t="s">
        <v>39</v>
      </c>
      <c r="F1316" s="13">
        <v>2</v>
      </c>
      <c r="G1316" s="13">
        <v>4</v>
      </c>
      <c r="H1316" s="13" t="s">
        <v>42</v>
      </c>
      <c r="I1316" s="13">
        <v>1</v>
      </c>
      <c r="J1316" s="13">
        <v>1845</v>
      </c>
      <c r="K1316" s="13">
        <v>3</v>
      </c>
      <c r="L1316" s="13" t="s">
        <v>43</v>
      </c>
      <c r="M1316" s="13">
        <v>67</v>
      </c>
      <c r="N1316" s="13">
        <v>3</v>
      </c>
      <c r="O1316" s="13">
        <v>2</v>
      </c>
      <c r="P1316" s="13" t="s">
        <v>46</v>
      </c>
      <c r="Q1316" s="13">
        <v>3</v>
      </c>
      <c r="R1316" s="13" t="s">
        <v>66</v>
      </c>
      <c r="S1316" s="20">
        <v>5154</v>
      </c>
      <c r="T1316" s="13">
        <v>19665</v>
      </c>
      <c r="U1316" s="13">
        <v>4</v>
      </c>
      <c r="V1316" s="13" t="s">
        <v>52</v>
      </c>
      <c r="W1316" s="13" t="s">
        <v>59</v>
      </c>
      <c r="X1316" s="13">
        <v>22</v>
      </c>
      <c r="Y1316" s="13">
        <v>4</v>
      </c>
      <c r="Z1316" s="13">
        <v>2</v>
      </c>
      <c r="AA1316" s="13">
        <v>80</v>
      </c>
      <c r="AB1316" s="13">
        <v>2</v>
      </c>
      <c r="AC1316" s="13">
        <v>10</v>
      </c>
      <c r="AD1316" s="13">
        <v>3</v>
      </c>
      <c r="AE1316" s="13">
        <v>4</v>
      </c>
      <c r="AF1316" s="14">
        <v>8</v>
      </c>
      <c r="AG1316" s="13">
        <v>7</v>
      </c>
      <c r="AH1316" s="13">
        <v>5</v>
      </c>
      <c r="AI1316" s="13">
        <v>7</v>
      </c>
      <c r="AJ1316" s="13" t="str">
        <f t="shared" si="20"/>
        <v>40-49</v>
      </c>
      <c r="AK1316" s="13" t="str">
        <f>IF(tblCleanData[[#This Row],[MonthlyIncome]]&lt;5000, "Low Income", IF(tblCleanData[[#This Row],[MonthlyIncome]]&lt;15000, "Medium Income", "High Income"))</f>
        <v>Medium Income</v>
      </c>
      <c r="AL1316" s="13">
        <f>IF(tblCleanData[[#This Row],[Attrition]]="No", 0,1)</f>
        <v>0</v>
      </c>
      <c r="AM1316" s="13">
        <f>IF(tblCleanData[[#This Row],[OverTime]] = "No", 0, 1)</f>
        <v>0</v>
      </c>
      <c r="AN1316" s="13" t="str">
        <f>CHOOSE(tblCleanData[[#This Row],[Education]], "Below College","College","Bachelor","Master","Doctor")</f>
        <v>Master</v>
      </c>
      <c r="AO1316" s="13" t="str">
        <f>VLOOKUP(tblCleanData[[#This Row],[EmployeeNumber]],tblHelpers[],15,TRUE)</f>
        <v>Medium Risk</v>
      </c>
      <c r="AP1316" s="13">
        <f>VLOOKUP(tblCleanData[[#This Row],[EmployeeNumber]],tblHelpers[],14,0)</f>
        <v>36</v>
      </c>
    </row>
    <row r="1317" spans="1:42" x14ac:dyDescent="0.25">
      <c r="A1317" s="13">
        <v>36</v>
      </c>
      <c r="B1317" s="13" t="s">
        <v>59</v>
      </c>
      <c r="C1317" s="13" t="s">
        <v>37</v>
      </c>
      <c r="D1317" s="13">
        <v>430</v>
      </c>
      <c r="E1317" s="13" t="s">
        <v>62</v>
      </c>
      <c r="F1317" s="13">
        <v>2</v>
      </c>
      <c r="G1317" s="13">
        <v>4</v>
      </c>
      <c r="H1317" s="13" t="s">
        <v>74</v>
      </c>
      <c r="I1317" s="13">
        <v>1</v>
      </c>
      <c r="J1317" s="13">
        <v>1847</v>
      </c>
      <c r="K1317" s="13">
        <v>4</v>
      </c>
      <c r="L1317" s="13" t="s">
        <v>43</v>
      </c>
      <c r="M1317" s="13">
        <v>73</v>
      </c>
      <c r="N1317" s="13">
        <v>3</v>
      </c>
      <c r="O1317" s="13">
        <v>2</v>
      </c>
      <c r="P1317" s="13" t="s">
        <v>65</v>
      </c>
      <c r="Q1317" s="13">
        <v>2</v>
      </c>
      <c r="R1317" s="13" t="s">
        <v>66</v>
      </c>
      <c r="S1317" s="20">
        <v>6962</v>
      </c>
      <c r="T1317" s="13">
        <v>19573</v>
      </c>
      <c r="U1317" s="13">
        <v>4</v>
      </c>
      <c r="V1317" s="13" t="s">
        <v>52</v>
      </c>
      <c r="W1317" s="13" t="s">
        <v>36</v>
      </c>
      <c r="X1317" s="13">
        <v>22</v>
      </c>
      <c r="Y1317" s="13">
        <v>4</v>
      </c>
      <c r="Z1317" s="13">
        <v>4</v>
      </c>
      <c r="AA1317" s="13">
        <v>80</v>
      </c>
      <c r="AB1317" s="13">
        <v>1</v>
      </c>
      <c r="AC1317" s="13">
        <v>15</v>
      </c>
      <c r="AD1317" s="13">
        <v>2</v>
      </c>
      <c r="AE1317" s="13">
        <v>3</v>
      </c>
      <c r="AF1317" s="14">
        <v>1</v>
      </c>
      <c r="AG1317" s="13">
        <v>0</v>
      </c>
      <c r="AH1317" s="13">
        <v>0</v>
      </c>
      <c r="AI1317" s="13">
        <v>0</v>
      </c>
      <c r="AJ1317" s="13" t="str">
        <f t="shared" si="20"/>
        <v>30-39</v>
      </c>
      <c r="AK1317" s="13" t="str">
        <f>IF(tblCleanData[[#This Row],[MonthlyIncome]]&lt;5000, "Low Income", IF(tblCleanData[[#This Row],[MonthlyIncome]]&lt;15000, "Medium Income", "High Income"))</f>
        <v>Medium Income</v>
      </c>
      <c r="AL1317" s="13">
        <f>IF(tblCleanData[[#This Row],[Attrition]]="No", 0,1)</f>
        <v>0</v>
      </c>
      <c r="AM1317" s="13">
        <f>IF(tblCleanData[[#This Row],[OverTime]] = "No", 0, 1)</f>
        <v>1</v>
      </c>
      <c r="AN1317" s="13" t="str">
        <f>CHOOSE(tblCleanData[[#This Row],[Education]], "Below College","College","Bachelor","Master","Doctor")</f>
        <v>Master</v>
      </c>
      <c r="AO1317" s="13" t="str">
        <f>VLOOKUP(tblCleanData[[#This Row],[EmployeeNumber]],tblHelpers[],15,TRUE)</f>
        <v>High Risk</v>
      </c>
      <c r="AP1317" s="13">
        <f>VLOOKUP(tblCleanData[[#This Row],[EmployeeNumber]],tblHelpers[],14,0)</f>
        <v>94</v>
      </c>
    </row>
    <row r="1318" spans="1:42" x14ac:dyDescent="0.25">
      <c r="A1318" s="13">
        <v>43</v>
      </c>
      <c r="B1318" s="13" t="s">
        <v>59</v>
      </c>
      <c r="C1318" s="13" t="s">
        <v>60</v>
      </c>
      <c r="D1318" s="13">
        <v>1422</v>
      </c>
      <c r="E1318" s="13" t="s">
        <v>39</v>
      </c>
      <c r="F1318" s="13">
        <v>2</v>
      </c>
      <c r="G1318" s="13">
        <v>4</v>
      </c>
      <c r="H1318" s="13" t="s">
        <v>42</v>
      </c>
      <c r="I1318" s="13">
        <v>1</v>
      </c>
      <c r="J1318" s="13">
        <v>1849</v>
      </c>
      <c r="K1318" s="13">
        <v>1</v>
      </c>
      <c r="L1318" s="13" t="s">
        <v>63</v>
      </c>
      <c r="M1318" s="13">
        <v>92</v>
      </c>
      <c r="N1318" s="13">
        <v>3</v>
      </c>
      <c r="O1318" s="13">
        <v>2</v>
      </c>
      <c r="P1318" s="13" t="s">
        <v>46</v>
      </c>
      <c r="Q1318" s="13">
        <v>4</v>
      </c>
      <c r="R1318" s="13" t="s">
        <v>66</v>
      </c>
      <c r="S1318" s="20">
        <v>5675</v>
      </c>
      <c r="T1318" s="13">
        <v>19246</v>
      </c>
      <c r="U1318" s="13">
        <v>1</v>
      </c>
      <c r="V1318" s="13" t="s">
        <v>52</v>
      </c>
      <c r="W1318" s="13" t="s">
        <v>59</v>
      </c>
      <c r="X1318" s="13">
        <v>20</v>
      </c>
      <c r="Y1318" s="13">
        <v>4</v>
      </c>
      <c r="Z1318" s="13">
        <v>3</v>
      </c>
      <c r="AA1318" s="13">
        <v>80</v>
      </c>
      <c r="AB1318" s="13">
        <v>1</v>
      </c>
      <c r="AC1318" s="13">
        <v>7</v>
      </c>
      <c r="AD1318" s="13">
        <v>5</v>
      </c>
      <c r="AE1318" s="13">
        <v>3</v>
      </c>
      <c r="AF1318" s="14">
        <v>7</v>
      </c>
      <c r="AG1318" s="13">
        <v>7</v>
      </c>
      <c r="AH1318" s="13">
        <v>7</v>
      </c>
      <c r="AI1318" s="13">
        <v>7</v>
      </c>
      <c r="AJ1318" s="13" t="str">
        <f t="shared" si="20"/>
        <v>40-49</v>
      </c>
      <c r="AK1318" s="13" t="str">
        <f>IF(tblCleanData[[#This Row],[MonthlyIncome]]&lt;5000, "Low Income", IF(tblCleanData[[#This Row],[MonthlyIncome]]&lt;15000, "Medium Income", "High Income"))</f>
        <v>Medium Income</v>
      </c>
      <c r="AL1318" s="13">
        <f>IF(tblCleanData[[#This Row],[Attrition]]="No", 0,1)</f>
        <v>0</v>
      </c>
      <c r="AM1318" s="13">
        <f>IF(tblCleanData[[#This Row],[OverTime]] = "No", 0, 1)</f>
        <v>0</v>
      </c>
      <c r="AN1318" s="13" t="str">
        <f>CHOOSE(tblCleanData[[#This Row],[Education]], "Below College","College","Bachelor","Master","Doctor")</f>
        <v>Master</v>
      </c>
      <c r="AO1318" s="13" t="str">
        <f>VLOOKUP(tblCleanData[[#This Row],[EmployeeNumber]],tblHelpers[],15,TRUE)</f>
        <v>Low Risk</v>
      </c>
      <c r="AP1318" s="13">
        <f>VLOOKUP(tblCleanData[[#This Row],[EmployeeNumber]],tblHelpers[],14,0)</f>
        <v>29</v>
      </c>
    </row>
    <row r="1319" spans="1:42" x14ac:dyDescent="0.25">
      <c r="A1319" s="13">
        <v>27</v>
      </c>
      <c r="B1319" s="13" t="s">
        <v>59</v>
      </c>
      <c r="C1319" s="13" t="s">
        <v>60</v>
      </c>
      <c r="D1319" s="13">
        <v>1297</v>
      </c>
      <c r="E1319" s="13" t="s">
        <v>62</v>
      </c>
      <c r="F1319" s="13">
        <v>5</v>
      </c>
      <c r="G1319" s="13">
        <v>2</v>
      </c>
      <c r="H1319" s="13" t="s">
        <v>42</v>
      </c>
      <c r="I1319" s="13">
        <v>1</v>
      </c>
      <c r="J1319" s="13">
        <v>1850</v>
      </c>
      <c r="K1319" s="13">
        <v>4</v>
      </c>
      <c r="L1319" s="13" t="s">
        <v>43</v>
      </c>
      <c r="M1319" s="13">
        <v>53</v>
      </c>
      <c r="N1319" s="13">
        <v>3</v>
      </c>
      <c r="O1319" s="13">
        <v>1</v>
      </c>
      <c r="P1319" s="13" t="s">
        <v>76</v>
      </c>
      <c r="Q1319" s="13">
        <v>4</v>
      </c>
      <c r="R1319" s="13" t="s">
        <v>48</v>
      </c>
      <c r="S1319" s="20">
        <v>2379</v>
      </c>
      <c r="T1319" s="13">
        <v>19826</v>
      </c>
      <c r="U1319" s="13">
        <v>0</v>
      </c>
      <c r="V1319" s="13" t="s">
        <v>52</v>
      </c>
      <c r="W1319" s="13" t="s">
        <v>36</v>
      </c>
      <c r="X1319" s="13">
        <v>14</v>
      </c>
      <c r="Y1319" s="13">
        <v>3</v>
      </c>
      <c r="Z1319" s="13">
        <v>3</v>
      </c>
      <c r="AA1319" s="13">
        <v>80</v>
      </c>
      <c r="AB1319" s="13">
        <v>0</v>
      </c>
      <c r="AC1319" s="13">
        <v>6</v>
      </c>
      <c r="AD1319" s="13">
        <v>3</v>
      </c>
      <c r="AE1319" s="13">
        <v>2</v>
      </c>
      <c r="AF1319" s="14">
        <v>5</v>
      </c>
      <c r="AG1319" s="13">
        <v>4</v>
      </c>
      <c r="AH1319" s="13">
        <v>0</v>
      </c>
      <c r="AI1319" s="13">
        <v>2</v>
      </c>
      <c r="AJ1319" s="13" t="str">
        <f t="shared" si="20"/>
        <v>Under 30</v>
      </c>
      <c r="AK1319" s="13" t="str">
        <f>IF(tblCleanData[[#This Row],[MonthlyIncome]]&lt;5000, "Low Income", IF(tblCleanData[[#This Row],[MonthlyIncome]]&lt;15000, "Medium Income", "High Income"))</f>
        <v>Low Income</v>
      </c>
      <c r="AL1319" s="13">
        <f>IF(tblCleanData[[#This Row],[Attrition]]="No", 0,1)</f>
        <v>0</v>
      </c>
      <c r="AM1319" s="13">
        <f>IF(tblCleanData[[#This Row],[OverTime]] = "No", 0, 1)</f>
        <v>1</v>
      </c>
      <c r="AN1319" s="13" t="str">
        <f>CHOOSE(tblCleanData[[#This Row],[Education]], "Below College","College","Bachelor","Master","Doctor")</f>
        <v>College</v>
      </c>
      <c r="AO1319" s="13" t="str">
        <f>VLOOKUP(tblCleanData[[#This Row],[EmployeeNumber]],tblHelpers[],15,TRUE)</f>
        <v>High Risk</v>
      </c>
      <c r="AP1319" s="13">
        <f>VLOOKUP(tblCleanData[[#This Row],[EmployeeNumber]],tblHelpers[],14,0)</f>
        <v>81</v>
      </c>
    </row>
    <row r="1320" spans="1:42" x14ac:dyDescent="0.25">
      <c r="A1320" s="13">
        <v>29</v>
      </c>
      <c r="B1320" s="13" t="s">
        <v>59</v>
      </c>
      <c r="C1320" s="13" t="s">
        <v>60</v>
      </c>
      <c r="D1320" s="13">
        <v>574</v>
      </c>
      <c r="E1320" s="13" t="s">
        <v>62</v>
      </c>
      <c r="F1320" s="13">
        <v>20</v>
      </c>
      <c r="G1320" s="13">
        <v>1</v>
      </c>
      <c r="H1320" s="13" t="s">
        <v>87</v>
      </c>
      <c r="I1320" s="13">
        <v>1</v>
      </c>
      <c r="J1320" s="13">
        <v>1852</v>
      </c>
      <c r="K1320" s="13">
        <v>4</v>
      </c>
      <c r="L1320" s="13" t="s">
        <v>63</v>
      </c>
      <c r="M1320" s="13">
        <v>40</v>
      </c>
      <c r="N1320" s="13">
        <v>3</v>
      </c>
      <c r="O1320" s="13">
        <v>1</v>
      </c>
      <c r="P1320" s="13" t="s">
        <v>76</v>
      </c>
      <c r="Q1320" s="13">
        <v>4</v>
      </c>
      <c r="R1320" s="13" t="s">
        <v>66</v>
      </c>
      <c r="S1320" s="20">
        <v>3812</v>
      </c>
      <c r="T1320" s="13">
        <v>7003</v>
      </c>
      <c r="U1320" s="13">
        <v>1</v>
      </c>
      <c r="V1320" s="13" t="s">
        <v>52</v>
      </c>
      <c r="W1320" s="13" t="s">
        <v>59</v>
      </c>
      <c r="X1320" s="13">
        <v>13</v>
      </c>
      <c r="Y1320" s="13">
        <v>3</v>
      </c>
      <c r="Z1320" s="13">
        <v>2</v>
      </c>
      <c r="AA1320" s="13">
        <v>80</v>
      </c>
      <c r="AB1320" s="13">
        <v>0</v>
      </c>
      <c r="AC1320" s="13">
        <v>11</v>
      </c>
      <c r="AD1320" s="13">
        <v>3</v>
      </c>
      <c r="AE1320" s="13">
        <v>4</v>
      </c>
      <c r="AF1320" s="14">
        <v>11</v>
      </c>
      <c r="AG1320" s="13">
        <v>8</v>
      </c>
      <c r="AH1320" s="13">
        <v>3</v>
      </c>
      <c r="AI1320" s="13">
        <v>10</v>
      </c>
      <c r="AJ1320" s="13" t="str">
        <f t="shared" si="20"/>
        <v>Under 30</v>
      </c>
      <c r="AK1320" s="13" t="str">
        <f>IF(tblCleanData[[#This Row],[MonthlyIncome]]&lt;5000, "Low Income", IF(tblCleanData[[#This Row],[MonthlyIncome]]&lt;15000, "Medium Income", "High Income"))</f>
        <v>Low Income</v>
      </c>
      <c r="AL1320" s="13">
        <f>IF(tblCleanData[[#This Row],[Attrition]]="No", 0,1)</f>
        <v>0</v>
      </c>
      <c r="AM1320" s="13">
        <f>IF(tblCleanData[[#This Row],[OverTime]] = "No", 0, 1)</f>
        <v>0</v>
      </c>
      <c r="AN1320" s="13" t="str">
        <f>CHOOSE(tblCleanData[[#This Row],[Education]], "Below College","College","Bachelor","Master","Doctor")</f>
        <v>Below College</v>
      </c>
      <c r="AO1320" s="13" t="str">
        <f>VLOOKUP(tblCleanData[[#This Row],[EmployeeNumber]],tblHelpers[],15,TRUE)</f>
        <v>Medium Risk</v>
      </c>
      <c r="AP1320" s="13">
        <f>VLOOKUP(tblCleanData[[#This Row],[EmployeeNumber]],tblHelpers[],14,0)</f>
        <v>44</v>
      </c>
    </row>
    <row r="1321" spans="1:42" x14ac:dyDescent="0.25">
      <c r="A1321" s="13">
        <v>32</v>
      </c>
      <c r="B1321" s="13" t="s">
        <v>59</v>
      </c>
      <c r="C1321" s="13" t="s">
        <v>60</v>
      </c>
      <c r="D1321" s="13">
        <v>1318</v>
      </c>
      <c r="E1321" s="13" t="s">
        <v>39</v>
      </c>
      <c r="F1321" s="13">
        <v>10</v>
      </c>
      <c r="G1321" s="13">
        <v>4</v>
      </c>
      <c r="H1321" s="13" t="s">
        <v>206</v>
      </c>
      <c r="I1321" s="13">
        <v>1</v>
      </c>
      <c r="J1321" s="13">
        <v>1853</v>
      </c>
      <c r="K1321" s="13">
        <v>4</v>
      </c>
      <c r="L1321" s="13" t="s">
        <v>63</v>
      </c>
      <c r="M1321" s="13">
        <v>79</v>
      </c>
      <c r="N1321" s="13">
        <v>3</v>
      </c>
      <c r="O1321" s="13">
        <v>2</v>
      </c>
      <c r="P1321" s="13" t="s">
        <v>46</v>
      </c>
      <c r="Q1321" s="13">
        <v>4</v>
      </c>
      <c r="R1321" s="13" t="s">
        <v>48</v>
      </c>
      <c r="S1321" s="20">
        <v>4648</v>
      </c>
      <c r="T1321" s="13">
        <v>26075</v>
      </c>
      <c r="U1321" s="13">
        <v>8</v>
      </c>
      <c r="V1321" s="13" t="s">
        <v>52</v>
      </c>
      <c r="W1321" s="13" t="s">
        <v>59</v>
      </c>
      <c r="X1321" s="13">
        <v>13</v>
      </c>
      <c r="Y1321" s="13">
        <v>3</v>
      </c>
      <c r="Z1321" s="13">
        <v>3</v>
      </c>
      <c r="AA1321" s="13">
        <v>80</v>
      </c>
      <c r="AB1321" s="13">
        <v>0</v>
      </c>
      <c r="AC1321" s="13">
        <v>4</v>
      </c>
      <c r="AD1321" s="13">
        <v>2</v>
      </c>
      <c r="AE1321" s="13">
        <v>4</v>
      </c>
      <c r="AF1321" s="14">
        <v>0</v>
      </c>
      <c r="AG1321" s="13">
        <v>0</v>
      </c>
      <c r="AH1321" s="13">
        <v>0</v>
      </c>
      <c r="AI1321" s="13">
        <v>0</v>
      </c>
      <c r="AJ1321" s="13" t="str">
        <f t="shared" si="20"/>
        <v>30-39</v>
      </c>
      <c r="AK1321" s="13" t="str">
        <f>IF(tblCleanData[[#This Row],[MonthlyIncome]]&lt;5000, "Low Income", IF(tblCleanData[[#This Row],[MonthlyIncome]]&lt;15000, "Medium Income", "High Income"))</f>
        <v>Low Income</v>
      </c>
      <c r="AL1321" s="13">
        <f>IF(tblCleanData[[#This Row],[Attrition]]="No", 0,1)</f>
        <v>0</v>
      </c>
      <c r="AM1321" s="13">
        <f>IF(tblCleanData[[#This Row],[OverTime]] = "No", 0, 1)</f>
        <v>0</v>
      </c>
      <c r="AN1321" s="13" t="str">
        <f>CHOOSE(tblCleanData[[#This Row],[Education]], "Below College","College","Bachelor","Master","Doctor")</f>
        <v>Master</v>
      </c>
      <c r="AO1321" s="13" t="str">
        <f>VLOOKUP(tblCleanData[[#This Row],[EmployeeNumber]],tblHelpers[],15,TRUE)</f>
        <v>High Risk</v>
      </c>
      <c r="AP1321" s="13">
        <f>VLOOKUP(tblCleanData[[#This Row],[EmployeeNumber]],tblHelpers[],14,0)</f>
        <v>56</v>
      </c>
    </row>
    <row r="1322" spans="1:42" x14ac:dyDescent="0.25">
      <c r="A1322" s="13">
        <v>42</v>
      </c>
      <c r="B1322" s="13" t="s">
        <v>59</v>
      </c>
      <c r="C1322" s="13" t="s">
        <v>161</v>
      </c>
      <c r="D1322" s="13">
        <v>355</v>
      </c>
      <c r="E1322" s="13" t="s">
        <v>62</v>
      </c>
      <c r="F1322" s="13">
        <v>10</v>
      </c>
      <c r="G1322" s="13">
        <v>4</v>
      </c>
      <c r="H1322" s="13" t="s">
        <v>228</v>
      </c>
      <c r="I1322" s="13">
        <v>1</v>
      </c>
      <c r="J1322" s="13">
        <v>1854</v>
      </c>
      <c r="K1322" s="13">
        <v>3</v>
      </c>
      <c r="L1322" s="13" t="s">
        <v>63</v>
      </c>
      <c r="M1322" s="13">
        <v>38</v>
      </c>
      <c r="N1322" s="13">
        <v>3</v>
      </c>
      <c r="O1322" s="13">
        <v>1</v>
      </c>
      <c r="P1322" s="13" t="s">
        <v>65</v>
      </c>
      <c r="Q1322" s="13">
        <v>3</v>
      </c>
      <c r="R1322" s="13" t="s">
        <v>66</v>
      </c>
      <c r="S1322" s="20">
        <v>2936</v>
      </c>
      <c r="T1322" s="13">
        <v>6161</v>
      </c>
      <c r="U1322" s="13">
        <v>3</v>
      </c>
      <c r="V1322" s="13" t="s">
        <v>52</v>
      </c>
      <c r="W1322" s="13" t="s">
        <v>59</v>
      </c>
      <c r="X1322" s="13">
        <v>22</v>
      </c>
      <c r="Y1322" s="13">
        <v>4</v>
      </c>
      <c r="Z1322" s="13">
        <v>2</v>
      </c>
      <c r="AA1322" s="13">
        <v>80</v>
      </c>
      <c r="AB1322" s="13">
        <v>2</v>
      </c>
      <c r="AC1322" s="13">
        <v>10</v>
      </c>
      <c r="AD1322" s="13">
        <v>1</v>
      </c>
      <c r="AE1322" s="13">
        <v>2</v>
      </c>
      <c r="AF1322" s="14">
        <v>6</v>
      </c>
      <c r="AG1322" s="13">
        <v>3</v>
      </c>
      <c r="AH1322" s="13">
        <v>3</v>
      </c>
      <c r="AI1322" s="13">
        <v>3</v>
      </c>
      <c r="AJ1322" s="13" t="str">
        <f t="shared" si="20"/>
        <v>40-49</v>
      </c>
      <c r="AK1322" s="13" t="str">
        <f>IF(tblCleanData[[#This Row],[MonthlyIncome]]&lt;5000, "Low Income", IF(tblCleanData[[#This Row],[MonthlyIncome]]&lt;15000, "Medium Income", "High Income"))</f>
        <v>Low Income</v>
      </c>
      <c r="AL1322" s="13">
        <f>IF(tblCleanData[[#This Row],[Attrition]]="No", 0,1)</f>
        <v>0</v>
      </c>
      <c r="AM1322" s="13">
        <f>IF(tblCleanData[[#This Row],[OverTime]] = "No", 0, 1)</f>
        <v>0</v>
      </c>
      <c r="AN1322" s="13" t="str">
        <f>CHOOSE(tblCleanData[[#This Row],[Education]], "Below College","College","Bachelor","Master","Doctor")</f>
        <v>Master</v>
      </c>
      <c r="AO1322" s="13" t="str">
        <f>VLOOKUP(tblCleanData[[#This Row],[EmployeeNumber]],tblHelpers[],15,TRUE)</f>
        <v>Medium Risk</v>
      </c>
      <c r="AP1322" s="13">
        <f>VLOOKUP(tblCleanData[[#This Row],[EmployeeNumber]],tblHelpers[],14,0)</f>
        <v>36</v>
      </c>
    </row>
    <row r="1323" spans="1:42" x14ac:dyDescent="0.25">
      <c r="A1323" s="13">
        <v>47</v>
      </c>
      <c r="B1323" s="13" t="s">
        <v>59</v>
      </c>
      <c r="C1323" s="13" t="s">
        <v>37</v>
      </c>
      <c r="D1323" s="13">
        <v>207</v>
      </c>
      <c r="E1323" s="13" t="s">
        <v>62</v>
      </c>
      <c r="F1323" s="13">
        <v>9</v>
      </c>
      <c r="G1323" s="13">
        <v>4</v>
      </c>
      <c r="H1323" s="13" t="s">
        <v>42</v>
      </c>
      <c r="I1323" s="13">
        <v>1</v>
      </c>
      <c r="J1323" s="13">
        <v>1856</v>
      </c>
      <c r="K1323" s="13">
        <v>2</v>
      </c>
      <c r="L1323" s="13" t="s">
        <v>43</v>
      </c>
      <c r="M1323" s="13">
        <v>64</v>
      </c>
      <c r="N1323" s="13">
        <v>3</v>
      </c>
      <c r="O1323" s="13">
        <v>1</v>
      </c>
      <c r="P1323" s="13" t="s">
        <v>76</v>
      </c>
      <c r="Q1323" s="13">
        <v>3</v>
      </c>
      <c r="R1323" s="13" t="s">
        <v>48</v>
      </c>
      <c r="S1323" s="20">
        <v>2105</v>
      </c>
      <c r="T1323" s="13">
        <v>5411</v>
      </c>
      <c r="U1323" s="13">
        <v>4</v>
      </c>
      <c r="V1323" s="13" t="s">
        <v>52</v>
      </c>
      <c r="W1323" s="13" t="s">
        <v>59</v>
      </c>
      <c r="X1323" s="13">
        <v>12</v>
      </c>
      <c r="Y1323" s="13">
        <v>3</v>
      </c>
      <c r="Z1323" s="13">
        <v>3</v>
      </c>
      <c r="AA1323" s="13">
        <v>80</v>
      </c>
      <c r="AB1323" s="13">
        <v>0</v>
      </c>
      <c r="AC1323" s="13">
        <v>7</v>
      </c>
      <c r="AD1323" s="13">
        <v>2</v>
      </c>
      <c r="AE1323" s="13">
        <v>3</v>
      </c>
      <c r="AF1323" s="14">
        <v>2</v>
      </c>
      <c r="AG1323" s="13">
        <v>2</v>
      </c>
      <c r="AH1323" s="13">
        <v>2</v>
      </c>
      <c r="AI1323" s="13">
        <v>0</v>
      </c>
      <c r="AJ1323" s="13" t="str">
        <f t="shared" si="20"/>
        <v>40-49</v>
      </c>
      <c r="AK1323" s="13" t="str">
        <f>IF(tblCleanData[[#This Row],[MonthlyIncome]]&lt;5000, "Low Income", IF(tblCleanData[[#This Row],[MonthlyIncome]]&lt;15000, "Medium Income", "High Income"))</f>
        <v>Low Income</v>
      </c>
      <c r="AL1323" s="13">
        <f>IF(tblCleanData[[#This Row],[Attrition]]="No", 0,1)</f>
        <v>0</v>
      </c>
      <c r="AM1323" s="13">
        <f>IF(tblCleanData[[#This Row],[OverTime]] = "No", 0, 1)</f>
        <v>0</v>
      </c>
      <c r="AN1323" s="13" t="str">
        <f>CHOOSE(tblCleanData[[#This Row],[Education]], "Below College","College","Bachelor","Master","Doctor")</f>
        <v>Master</v>
      </c>
      <c r="AO1323" s="13" t="str">
        <f>VLOOKUP(tblCleanData[[#This Row],[EmployeeNumber]],tblHelpers[],15,TRUE)</f>
        <v>Medium Risk</v>
      </c>
      <c r="AP1323" s="13">
        <f>VLOOKUP(tblCleanData[[#This Row],[EmployeeNumber]],tblHelpers[],14,0)</f>
        <v>53</v>
      </c>
    </row>
    <row r="1324" spans="1:42" x14ac:dyDescent="0.25">
      <c r="A1324" s="13">
        <v>46</v>
      </c>
      <c r="B1324" s="13" t="s">
        <v>59</v>
      </c>
      <c r="C1324" s="13" t="s">
        <v>37</v>
      </c>
      <c r="D1324" s="13">
        <v>706</v>
      </c>
      <c r="E1324" s="13" t="s">
        <v>62</v>
      </c>
      <c r="F1324" s="13">
        <v>2</v>
      </c>
      <c r="G1324" s="13">
        <v>2</v>
      </c>
      <c r="H1324" s="13" t="s">
        <v>42</v>
      </c>
      <c r="I1324" s="13">
        <v>1</v>
      </c>
      <c r="J1324" s="13">
        <v>1857</v>
      </c>
      <c r="K1324" s="13">
        <v>4</v>
      </c>
      <c r="L1324" s="13" t="s">
        <v>63</v>
      </c>
      <c r="M1324" s="13">
        <v>82</v>
      </c>
      <c r="N1324" s="13">
        <v>3</v>
      </c>
      <c r="O1324" s="13">
        <v>3</v>
      </c>
      <c r="P1324" s="13" t="s">
        <v>116</v>
      </c>
      <c r="Q1324" s="13">
        <v>4</v>
      </c>
      <c r="R1324" s="13" t="s">
        <v>109</v>
      </c>
      <c r="S1324" s="20">
        <v>8578</v>
      </c>
      <c r="T1324" s="13">
        <v>19989</v>
      </c>
      <c r="U1324" s="13">
        <v>3</v>
      </c>
      <c r="V1324" s="13" t="s">
        <v>52</v>
      </c>
      <c r="W1324" s="13" t="s">
        <v>59</v>
      </c>
      <c r="X1324" s="13">
        <v>14</v>
      </c>
      <c r="Y1324" s="13">
        <v>3</v>
      </c>
      <c r="Z1324" s="13">
        <v>3</v>
      </c>
      <c r="AA1324" s="13">
        <v>80</v>
      </c>
      <c r="AB1324" s="13">
        <v>1</v>
      </c>
      <c r="AC1324" s="13">
        <v>12</v>
      </c>
      <c r="AD1324" s="13">
        <v>4</v>
      </c>
      <c r="AE1324" s="13">
        <v>2</v>
      </c>
      <c r="AF1324" s="14">
        <v>9</v>
      </c>
      <c r="AG1324" s="13">
        <v>8</v>
      </c>
      <c r="AH1324" s="13">
        <v>4</v>
      </c>
      <c r="AI1324" s="13">
        <v>7</v>
      </c>
      <c r="AJ1324" s="13" t="str">
        <f t="shared" si="20"/>
        <v>40-49</v>
      </c>
      <c r="AK1324" s="13" t="str">
        <f>IF(tblCleanData[[#This Row],[MonthlyIncome]]&lt;5000, "Low Income", IF(tblCleanData[[#This Row],[MonthlyIncome]]&lt;15000, "Medium Income", "High Income"))</f>
        <v>Medium Income</v>
      </c>
      <c r="AL1324" s="13">
        <f>IF(tblCleanData[[#This Row],[Attrition]]="No", 0,1)</f>
        <v>0</v>
      </c>
      <c r="AM1324" s="13">
        <f>IF(tblCleanData[[#This Row],[OverTime]] = "No", 0, 1)</f>
        <v>0</v>
      </c>
      <c r="AN1324" s="13" t="str">
        <f>CHOOSE(tblCleanData[[#This Row],[Education]], "Below College","College","Bachelor","Master","Doctor")</f>
        <v>College</v>
      </c>
      <c r="AO1324" s="13" t="str">
        <f>VLOOKUP(tblCleanData[[#This Row],[EmployeeNumber]],tblHelpers[],15,TRUE)</f>
        <v>Low Risk</v>
      </c>
      <c r="AP1324" s="13">
        <f>VLOOKUP(tblCleanData[[#This Row],[EmployeeNumber]],tblHelpers[],14,0)</f>
        <v>29</v>
      </c>
    </row>
    <row r="1325" spans="1:42" x14ac:dyDescent="0.25">
      <c r="A1325" s="13">
        <v>28</v>
      </c>
      <c r="B1325" s="13" t="s">
        <v>59</v>
      </c>
      <c r="C1325" s="13" t="s">
        <v>161</v>
      </c>
      <c r="D1325" s="13">
        <v>280</v>
      </c>
      <c r="E1325" s="13" t="s">
        <v>397</v>
      </c>
      <c r="F1325" s="13">
        <v>1</v>
      </c>
      <c r="G1325" s="13">
        <v>2</v>
      </c>
      <c r="H1325" s="13" t="s">
        <v>42</v>
      </c>
      <c r="I1325" s="13">
        <v>1</v>
      </c>
      <c r="J1325" s="13">
        <v>1858</v>
      </c>
      <c r="K1325" s="13">
        <v>3</v>
      </c>
      <c r="L1325" s="13" t="s">
        <v>63</v>
      </c>
      <c r="M1325" s="13">
        <v>43</v>
      </c>
      <c r="N1325" s="13">
        <v>3</v>
      </c>
      <c r="O1325" s="13">
        <v>1</v>
      </c>
      <c r="P1325" s="13" t="s">
        <v>397</v>
      </c>
      <c r="Q1325" s="13">
        <v>4</v>
      </c>
      <c r="R1325" s="13" t="s">
        <v>109</v>
      </c>
      <c r="S1325" s="20">
        <v>2706</v>
      </c>
      <c r="T1325" s="13">
        <v>10494</v>
      </c>
      <c r="U1325" s="13">
        <v>1</v>
      </c>
      <c r="V1325" s="13" t="s">
        <v>52</v>
      </c>
      <c r="W1325" s="13" t="s">
        <v>59</v>
      </c>
      <c r="X1325" s="13">
        <v>15</v>
      </c>
      <c r="Y1325" s="13">
        <v>3</v>
      </c>
      <c r="Z1325" s="13">
        <v>2</v>
      </c>
      <c r="AA1325" s="13">
        <v>80</v>
      </c>
      <c r="AB1325" s="13">
        <v>1</v>
      </c>
      <c r="AC1325" s="13">
        <v>3</v>
      </c>
      <c r="AD1325" s="13">
        <v>2</v>
      </c>
      <c r="AE1325" s="13">
        <v>3</v>
      </c>
      <c r="AF1325" s="14">
        <v>3</v>
      </c>
      <c r="AG1325" s="13">
        <v>2</v>
      </c>
      <c r="AH1325" s="13">
        <v>2</v>
      </c>
      <c r="AI1325" s="13">
        <v>2</v>
      </c>
      <c r="AJ1325" s="13" t="str">
        <f t="shared" si="20"/>
        <v>Under 30</v>
      </c>
      <c r="AK1325" s="13" t="str">
        <f>IF(tblCleanData[[#This Row],[MonthlyIncome]]&lt;5000, "Low Income", IF(tblCleanData[[#This Row],[MonthlyIncome]]&lt;15000, "Medium Income", "High Income"))</f>
        <v>Low Income</v>
      </c>
      <c r="AL1325" s="13">
        <f>IF(tblCleanData[[#This Row],[Attrition]]="No", 0,1)</f>
        <v>0</v>
      </c>
      <c r="AM1325" s="13">
        <f>IF(tblCleanData[[#This Row],[OverTime]] = "No", 0, 1)</f>
        <v>0</v>
      </c>
      <c r="AN1325" s="13" t="str">
        <f>CHOOSE(tblCleanData[[#This Row],[Education]], "Below College","College","Bachelor","Master","Doctor")</f>
        <v>College</v>
      </c>
      <c r="AO1325" s="13" t="str">
        <f>VLOOKUP(tblCleanData[[#This Row],[EmployeeNumber]],tblHelpers[],15,TRUE)</f>
        <v>High Risk</v>
      </c>
      <c r="AP1325" s="13">
        <f>VLOOKUP(tblCleanData[[#This Row],[EmployeeNumber]],tblHelpers[],14,0)</f>
        <v>56</v>
      </c>
    </row>
    <row r="1326" spans="1:42" x14ac:dyDescent="0.25">
      <c r="A1326" s="13">
        <v>29</v>
      </c>
      <c r="B1326" s="13" t="s">
        <v>59</v>
      </c>
      <c r="C1326" s="13" t="s">
        <v>37</v>
      </c>
      <c r="D1326" s="13">
        <v>726</v>
      </c>
      <c r="E1326" s="13" t="s">
        <v>62</v>
      </c>
      <c r="F1326" s="13">
        <v>29</v>
      </c>
      <c r="G1326" s="13">
        <v>1</v>
      </c>
      <c r="H1326" s="13" t="s">
        <v>42</v>
      </c>
      <c r="I1326" s="13">
        <v>1</v>
      </c>
      <c r="J1326" s="13">
        <v>1859</v>
      </c>
      <c r="K1326" s="13">
        <v>4</v>
      </c>
      <c r="L1326" s="13" t="s">
        <v>63</v>
      </c>
      <c r="M1326" s="13">
        <v>93</v>
      </c>
      <c r="N1326" s="13">
        <v>1</v>
      </c>
      <c r="O1326" s="13">
        <v>2</v>
      </c>
      <c r="P1326" s="13" t="s">
        <v>122</v>
      </c>
      <c r="Q1326" s="13">
        <v>3</v>
      </c>
      <c r="R1326" s="13" t="s">
        <v>109</v>
      </c>
      <c r="S1326" s="20">
        <v>6384</v>
      </c>
      <c r="T1326" s="13">
        <v>21143</v>
      </c>
      <c r="U1326" s="13">
        <v>8</v>
      </c>
      <c r="V1326" s="13" t="s">
        <v>52</v>
      </c>
      <c r="W1326" s="13" t="s">
        <v>59</v>
      </c>
      <c r="X1326" s="13">
        <v>17</v>
      </c>
      <c r="Y1326" s="13">
        <v>3</v>
      </c>
      <c r="Z1326" s="13">
        <v>4</v>
      </c>
      <c r="AA1326" s="13">
        <v>80</v>
      </c>
      <c r="AB1326" s="13">
        <v>2</v>
      </c>
      <c r="AC1326" s="13">
        <v>11</v>
      </c>
      <c r="AD1326" s="13">
        <v>3</v>
      </c>
      <c r="AE1326" s="13">
        <v>3</v>
      </c>
      <c r="AF1326" s="14">
        <v>7</v>
      </c>
      <c r="AG1326" s="13">
        <v>0</v>
      </c>
      <c r="AH1326" s="13">
        <v>1</v>
      </c>
      <c r="AI1326" s="13">
        <v>6</v>
      </c>
      <c r="AJ1326" s="13" t="str">
        <f t="shared" si="20"/>
        <v>Under 30</v>
      </c>
      <c r="AK1326" s="13" t="str">
        <f>IF(tblCleanData[[#This Row],[MonthlyIncome]]&lt;5000, "Low Income", IF(tblCleanData[[#This Row],[MonthlyIncome]]&lt;15000, "Medium Income", "High Income"))</f>
        <v>Medium Income</v>
      </c>
      <c r="AL1326" s="13">
        <f>IF(tblCleanData[[#This Row],[Attrition]]="No", 0,1)</f>
        <v>0</v>
      </c>
      <c r="AM1326" s="13">
        <f>IF(tblCleanData[[#This Row],[OverTime]] = "No", 0, 1)</f>
        <v>0</v>
      </c>
      <c r="AN1326" s="13" t="str">
        <f>CHOOSE(tblCleanData[[#This Row],[Education]], "Below College","College","Bachelor","Master","Doctor")</f>
        <v>Below College</v>
      </c>
      <c r="AO1326" s="13" t="str">
        <f>VLOOKUP(tblCleanData[[#This Row],[EmployeeNumber]],tblHelpers[],15,TRUE)</f>
        <v>High Risk</v>
      </c>
      <c r="AP1326" s="13">
        <f>VLOOKUP(tblCleanData[[#This Row],[EmployeeNumber]],tblHelpers[],14,0)</f>
        <v>56</v>
      </c>
    </row>
    <row r="1327" spans="1:42" x14ac:dyDescent="0.25">
      <c r="A1327" s="13">
        <v>42</v>
      </c>
      <c r="B1327" s="13" t="s">
        <v>59</v>
      </c>
      <c r="C1327" s="13" t="s">
        <v>37</v>
      </c>
      <c r="D1327" s="13">
        <v>1142</v>
      </c>
      <c r="E1327" s="13" t="s">
        <v>62</v>
      </c>
      <c r="F1327" s="13">
        <v>8</v>
      </c>
      <c r="G1327" s="13">
        <v>3</v>
      </c>
      <c r="H1327" s="13" t="s">
        <v>42</v>
      </c>
      <c r="I1327" s="13">
        <v>1</v>
      </c>
      <c r="J1327" s="13">
        <v>1860</v>
      </c>
      <c r="K1327" s="13">
        <v>4</v>
      </c>
      <c r="L1327" s="13" t="s">
        <v>63</v>
      </c>
      <c r="M1327" s="13">
        <v>81</v>
      </c>
      <c r="N1327" s="13">
        <v>3</v>
      </c>
      <c r="O1327" s="13">
        <v>1</v>
      </c>
      <c r="P1327" s="13" t="s">
        <v>76</v>
      </c>
      <c r="Q1327" s="13">
        <v>3</v>
      </c>
      <c r="R1327" s="13" t="s">
        <v>48</v>
      </c>
      <c r="S1327" s="20">
        <v>3968</v>
      </c>
      <c r="T1327" s="13">
        <v>13624</v>
      </c>
      <c r="U1327" s="13">
        <v>4</v>
      </c>
      <c r="V1327" s="13" t="s">
        <v>52</v>
      </c>
      <c r="W1327" s="13" t="s">
        <v>59</v>
      </c>
      <c r="X1327" s="13">
        <v>13</v>
      </c>
      <c r="Y1327" s="13">
        <v>3</v>
      </c>
      <c r="Z1327" s="13">
        <v>4</v>
      </c>
      <c r="AA1327" s="13">
        <v>80</v>
      </c>
      <c r="AB1327" s="13">
        <v>0</v>
      </c>
      <c r="AC1327" s="13">
        <v>8</v>
      </c>
      <c r="AD1327" s="13">
        <v>3</v>
      </c>
      <c r="AE1327" s="13">
        <v>3</v>
      </c>
      <c r="AF1327" s="14">
        <v>0</v>
      </c>
      <c r="AG1327" s="13">
        <v>0</v>
      </c>
      <c r="AH1327" s="13">
        <v>0</v>
      </c>
      <c r="AI1327" s="13">
        <v>0</v>
      </c>
      <c r="AJ1327" s="13" t="str">
        <f t="shared" si="20"/>
        <v>40-49</v>
      </c>
      <c r="AK1327" s="13" t="str">
        <f>IF(tblCleanData[[#This Row],[MonthlyIncome]]&lt;5000, "Low Income", IF(tblCleanData[[#This Row],[MonthlyIncome]]&lt;15000, "Medium Income", "High Income"))</f>
        <v>Low Income</v>
      </c>
      <c r="AL1327" s="13">
        <f>IF(tblCleanData[[#This Row],[Attrition]]="No", 0,1)</f>
        <v>0</v>
      </c>
      <c r="AM1327" s="13">
        <f>IF(tblCleanData[[#This Row],[OverTime]] = "No", 0, 1)</f>
        <v>0</v>
      </c>
      <c r="AN1327" s="13" t="str">
        <f>CHOOSE(tblCleanData[[#This Row],[Education]], "Below College","College","Bachelor","Master","Doctor")</f>
        <v>Bachelor</v>
      </c>
      <c r="AO1327" s="13" t="str">
        <f>VLOOKUP(tblCleanData[[#This Row],[EmployeeNumber]],tblHelpers[],15,TRUE)</f>
        <v>Medium Risk</v>
      </c>
      <c r="AP1327" s="13">
        <f>VLOOKUP(tblCleanData[[#This Row],[EmployeeNumber]],tblHelpers[],14,0)</f>
        <v>53</v>
      </c>
    </row>
    <row r="1328" spans="1:42" x14ac:dyDescent="0.25">
      <c r="A1328" s="13">
        <v>32</v>
      </c>
      <c r="B1328" s="13" t="s">
        <v>36</v>
      </c>
      <c r="C1328" s="13" t="s">
        <v>37</v>
      </c>
      <c r="D1328" s="13">
        <v>414</v>
      </c>
      <c r="E1328" s="13" t="s">
        <v>39</v>
      </c>
      <c r="F1328" s="13">
        <v>2</v>
      </c>
      <c r="G1328" s="13">
        <v>4</v>
      </c>
      <c r="H1328" s="13" t="s">
        <v>206</v>
      </c>
      <c r="I1328" s="13">
        <v>1</v>
      </c>
      <c r="J1328" s="13">
        <v>1862</v>
      </c>
      <c r="K1328" s="13">
        <v>3</v>
      </c>
      <c r="L1328" s="13" t="s">
        <v>63</v>
      </c>
      <c r="M1328" s="13">
        <v>82</v>
      </c>
      <c r="N1328" s="13">
        <v>2</v>
      </c>
      <c r="O1328" s="13">
        <v>2</v>
      </c>
      <c r="P1328" s="13" t="s">
        <v>46</v>
      </c>
      <c r="Q1328" s="13">
        <v>2</v>
      </c>
      <c r="R1328" s="13" t="s">
        <v>48</v>
      </c>
      <c r="S1328" s="20">
        <v>9907</v>
      </c>
      <c r="T1328" s="13">
        <v>26186</v>
      </c>
      <c r="U1328" s="13">
        <v>7</v>
      </c>
      <c r="V1328" s="13" t="s">
        <v>52</v>
      </c>
      <c r="W1328" s="13" t="s">
        <v>36</v>
      </c>
      <c r="X1328" s="13">
        <v>12</v>
      </c>
      <c r="Y1328" s="13">
        <v>3</v>
      </c>
      <c r="Z1328" s="13">
        <v>3</v>
      </c>
      <c r="AA1328" s="13">
        <v>80</v>
      </c>
      <c r="AB1328" s="13">
        <v>0</v>
      </c>
      <c r="AC1328" s="13">
        <v>7</v>
      </c>
      <c r="AD1328" s="13">
        <v>3</v>
      </c>
      <c r="AE1328" s="13">
        <v>2</v>
      </c>
      <c r="AF1328" s="14">
        <v>2</v>
      </c>
      <c r="AG1328" s="13">
        <v>2</v>
      </c>
      <c r="AH1328" s="13">
        <v>2</v>
      </c>
      <c r="AI1328" s="13">
        <v>2</v>
      </c>
      <c r="AJ1328" s="13" t="str">
        <f t="shared" si="20"/>
        <v>30-39</v>
      </c>
      <c r="AK1328" s="13" t="str">
        <f>IF(tblCleanData[[#This Row],[MonthlyIncome]]&lt;5000, "Low Income", IF(tblCleanData[[#This Row],[MonthlyIncome]]&lt;15000, "Medium Income", "High Income"))</f>
        <v>Medium Income</v>
      </c>
      <c r="AL1328" s="13">
        <f>IF(tblCleanData[[#This Row],[Attrition]]="No", 0,1)</f>
        <v>1</v>
      </c>
      <c r="AM1328" s="13">
        <f>IF(tblCleanData[[#This Row],[OverTime]] = "No", 0, 1)</f>
        <v>1</v>
      </c>
      <c r="AN1328" s="13" t="str">
        <f>CHOOSE(tblCleanData[[#This Row],[Education]], "Below College","College","Bachelor","Master","Doctor")</f>
        <v>Master</v>
      </c>
      <c r="AO1328" s="13" t="str">
        <f>VLOOKUP(tblCleanData[[#This Row],[EmployeeNumber]],tblHelpers[],15,TRUE)</f>
        <v>High Risk</v>
      </c>
      <c r="AP1328" s="13">
        <f>VLOOKUP(tblCleanData[[#This Row],[EmployeeNumber]],tblHelpers[],14,0)</f>
        <v>94</v>
      </c>
    </row>
    <row r="1329" spans="1:42" x14ac:dyDescent="0.25">
      <c r="A1329" s="13">
        <v>46</v>
      </c>
      <c r="B1329" s="13" t="s">
        <v>59</v>
      </c>
      <c r="C1329" s="13" t="s">
        <v>37</v>
      </c>
      <c r="D1329" s="13">
        <v>1319</v>
      </c>
      <c r="E1329" s="13" t="s">
        <v>39</v>
      </c>
      <c r="F1329" s="13">
        <v>3</v>
      </c>
      <c r="G1329" s="13">
        <v>3</v>
      </c>
      <c r="H1329" s="13" t="s">
        <v>228</v>
      </c>
      <c r="I1329" s="13">
        <v>1</v>
      </c>
      <c r="J1329" s="13">
        <v>1863</v>
      </c>
      <c r="K1329" s="13">
        <v>1</v>
      </c>
      <c r="L1329" s="13" t="s">
        <v>43</v>
      </c>
      <c r="M1329" s="13">
        <v>45</v>
      </c>
      <c r="N1329" s="13">
        <v>4</v>
      </c>
      <c r="O1329" s="13">
        <v>4</v>
      </c>
      <c r="P1329" s="13" t="s">
        <v>46</v>
      </c>
      <c r="Q1329" s="13">
        <v>1</v>
      </c>
      <c r="R1329" s="13" t="s">
        <v>109</v>
      </c>
      <c r="S1329" s="20">
        <v>13225</v>
      </c>
      <c r="T1329" s="13">
        <v>7739</v>
      </c>
      <c r="U1329" s="13">
        <v>2</v>
      </c>
      <c r="V1329" s="13" t="s">
        <v>52</v>
      </c>
      <c r="W1329" s="13" t="s">
        <v>59</v>
      </c>
      <c r="X1329" s="13">
        <v>12</v>
      </c>
      <c r="Y1329" s="13">
        <v>3</v>
      </c>
      <c r="Z1329" s="13">
        <v>4</v>
      </c>
      <c r="AA1329" s="13">
        <v>80</v>
      </c>
      <c r="AB1329" s="13">
        <v>1</v>
      </c>
      <c r="AC1329" s="13">
        <v>25</v>
      </c>
      <c r="AD1329" s="13">
        <v>5</v>
      </c>
      <c r="AE1329" s="13">
        <v>3</v>
      </c>
      <c r="AF1329" s="14">
        <v>19</v>
      </c>
      <c r="AG1329" s="13">
        <v>17</v>
      </c>
      <c r="AH1329" s="13">
        <v>2</v>
      </c>
      <c r="AI1329" s="13">
        <v>8</v>
      </c>
      <c r="AJ1329" s="13" t="str">
        <f t="shared" si="20"/>
        <v>40-49</v>
      </c>
      <c r="AK1329" s="13" t="str">
        <f>IF(tblCleanData[[#This Row],[MonthlyIncome]]&lt;5000, "Low Income", IF(tblCleanData[[#This Row],[MonthlyIncome]]&lt;15000, "Medium Income", "High Income"))</f>
        <v>Medium Income</v>
      </c>
      <c r="AL1329" s="13">
        <f>IF(tblCleanData[[#This Row],[Attrition]]="No", 0,1)</f>
        <v>0</v>
      </c>
      <c r="AM1329" s="13">
        <f>IF(tblCleanData[[#This Row],[OverTime]] = "No", 0, 1)</f>
        <v>0</v>
      </c>
      <c r="AN1329" s="13" t="str">
        <f>CHOOSE(tblCleanData[[#This Row],[Education]], "Below College","College","Bachelor","Master","Doctor")</f>
        <v>Bachelor</v>
      </c>
      <c r="AO1329" s="13" t="str">
        <f>VLOOKUP(tblCleanData[[#This Row],[EmployeeNumber]],tblHelpers[],15,TRUE)</f>
        <v>Medium Risk</v>
      </c>
      <c r="AP1329" s="13">
        <f>VLOOKUP(tblCleanData[[#This Row],[EmployeeNumber]],tblHelpers[],14,0)</f>
        <v>43</v>
      </c>
    </row>
    <row r="1330" spans="1:42" x14ac:dyDescent="0.25">
      <c r="A1330" s="13">
        <v>27</v>
      </c>
      <c r="B1330" s="13" t="s">
        <v>59</v>
      </c>
      <c r="C1330" s="13" t="s">
        <v>37</v>
      </c>
      <c r="D1330" s="13">
        <v>728</v>
      </c>
      <c r="E1330" s="13" t="s">
        <v>39</v>
      </c>
      <c r="F1330" s="13">
        <v>23</v>
      </c>
      <c r="G1330" s="13">
        <v>1</v>
      </c>
      <c r="H1330" s="13" t="s">
        <v>87</v>
      </c>
      <c r="I1330" s="13">
        <v>1</v>
      </c>
      <c r="J1330" s="13">
        <v>1864</v>
      </c>
      <c r="K1330" s="13">
        <v>2</v>
      </c>
      <c r="L1330" s="13" t="s">
        <v>43</v>
      </c>
      <c r="M1330" s="13">
        <v>36</v>
      </c>
      <c r="N1330" s="13">
        <v>2</v>
      </c>
      <c r="O1330" s="13">
        <v>2</v>
      </c>
      <c r="P1330" s="13" t="s">
        <v>182</v>
      </c>
      <c r="Q1330" s="13">
        <v>3</v>
      </c>
      <c r="R1330" s="13" t="s">
        <v>66</v>
      </c>
      <c r="S1330" s="20">
        <v>3540</v>
      </c>
      <c r="T1330" s="13">
        <v>7018</v>
      </c>
      <c r="U1330" s="13">
        <v>1</v>
      </c>
      <c r="V1330" s="13" t="s">
        <v>52</v>
      </c>
      <c r="W1330" s="13" t="s">
        <v>59</v>
      </c>
      <c r="X1330" s="13">
        <v>21</v>
      </c>
      <c r="Y1330" s="13">
        <v>4</v>
      </c>
      <c r="Z1330" s="13">
        <v>4</v>
      </c>
      <c r="AA1330" s="13">
        <v>80</v>
      </c>
      <c r="AB1330" s="13">
        <v>1</v>
      </c>
      <c r="AC1330" s="13">
        <v>9</v>
      </c>
      <c r="AD1330" s="13">
        <v>5</v>
      </c>
      <c r="AE1330" s="13">
        <v>3</v>
      </c>
      <c r="AF1330" s="14">
        <v>9</v>
      </c>
      <c r="AG1330" s="13">
        <v>8</v>
      </c>
      <c r="AH1330" s="13">
        <v>5</v>
      </c>
      <c r="AI1330" s="13">
        <v>8</v>
      </c>
      <c r="AJ1330" s="13" t="str">
        <f t="shared" si="20"/>
        <v>Under 30</v>
      </c>
      <c r="AK1330" s="13" t="str">
        <f>IF(tblCleanData[[#This Row],[MonthlyIncome]]&lt;5000, "Low Income", IF(tblCleanData[[#This Row],[MonthlyIncome]]&lt;15000, "Medium Income", "High Income"))</f>
        <v>Low Income</v>
      </c>
      <c r="AL1330" s="13">
        <f>IF(tblCleanData[[#This Row],[Attrition]]="No", 0,1)</f>
        <v>0</v>
      </c>
      <c r="AM1330" s="13">
        <f>IF(tblCleanData[[#This Row],[OverTime]] = "No", 0, 1)</f>
        <v>0</v>
      </c>
      <c r="AN1330" s="13" t="str">
        <f>CHOOSE(tblCleanData[[#This Row],[Education]], "Below College","College","Bachelor","Master","Doctor")</f>
        <v>Below College</v>
      </c>
      <c r="AO1330" s="13" t="str">
        <f>VLOOKUP(tblCleanData[[#This Row],[EmployeeNumber]],tblHelpers[],15,TRUE)</f>
        <v>High Risk</v>
      </c>
      <c r="AP1330" s="13">
        <f>VLOOKUP(tblCleanData[[#This Row],[EmployeeNumber]],tblHelpers[],14,0)</f>
        <v>56</v>
      </c>
    </row>
    <row r="1331" spans="1:42" x14ac:dyDescent="0.25">
      <c r="A1331" s="13">
        <v>29</v>
      </c>
      <c r="B1331" s="13" t="s">
        <v>59</v>
      </c>
      <c r="C1331" s="13" t="s">
        <v>37</v>
      </c>
      <c r="D1331" s="13">
        <v>352</v>
      </c>
      <c r="E1331" s="13" t="s">
        <v>397</v>
      </c>
      <c r="F1331" s="13">
        <v>6</v>
      </c>
      <c r="G1331" s="13">
        <v>1</v>
      </c>
      <c r="H1331" s="13" t="s">
        <v>87</v>
      </c>
      <c r="I1331" s="13">
        <v>1</v>
      </c>
      <c r="J1331" s="13">
        <v>1865</v>
      </c>
      <c r="K1331" s="13">
        <v>4</v>
      </c>
      <c r="L1331" s="13" t="s">
        <v>63</v>
      </c>
      <c r="M1331" s="13">
        <v>87</v>
      </c>
      <c r="N1331" s="13">
        <v>2</v>
      </c>
      <c r="O1331" s="13">
        <v>1</v>
      </c>
      <c r="P1331" s="13" t="s">
        <v>397</v>
      </c>
      <c r="Q1331" s="13">
        <v>2</v>
      </c>
      <c r="R1331" s="13" t="s">
        <v>66</v>
      </c>
      <c r="S1331" s="20">
        <v>2804</v>
      </c>
      <c r="T1331" s="13">
        <v>15434</v>
      </c>
      <c r="U1331" s="13">
        <v>1</v>
      </c>
      <c r="V1331" s="13" t="s">
        <v>52</v>
      </c>
      <c r="W1331" s="13" t="s">
        <v>59</v>
      </c>
      <c r="X1331" s="13">
        <v>11</v>
      </c>
      <c r="Y1331" s="13">
        <v>3</v>
      </c>
      <c r="Z1331" s="13">
        <v>4</v>
      </c>
      <c r="AA1331" s="13">
        <v>80</v>
      </c>
      <c r="AB1331" s="13">
        <v>0</v>
      </c>
      <c r="AC1331" s="13">
        <v>1</v>
      </c>
      <c r="AD1331" s="13">
        <v>3</v>
      </c>
      <c r="AE1331" s="13">
        <v>3</v>
      </c>
      <c r="AF1331" s="14">
        <v>1</v>
      </c>
      <c r="AG1331" s="13">
        <v>0</v>
      </c>
      <c r="AH1331" s="13">
        <v>0</v>
      </c>
      <c r="AI1331" s="13">
        <v>0</v>
      </c>
      <c r="AJ1331" s="13" t="str">
        <f t="shared" si="20"/>
        <v>Under 30</v>
      </c>
      <c r="AK1331" s="13" t="str">
        <f>IF(tblCleanData[[#This Row],[MonthlyIncome]]&lt;5000, "Low Income", IF(tblCleanData[[#This Row],[MonthlyIncome]]&lt;15000, "Medium Income", "High Income"))</f>
        <v>Low Income</v>
      </c>
      <c r="AL1331" s="13">
        <f>IF(tblCleanData[[#This Row],[Attrition]]="No", 0,1)</f>
        <v>0</v>
      </c>
      <c r="AM1331" s="13">
        <f>IF(tblCleanData[[#This Row],[OverTime]] = "No", 0, 1)</f>
        <v>0</v>
      </c>
      <c r="AN1331" s="13" t="str">
        <f>CHOOSE(tblCleanData[[#This Row],[Education]], "Below College","College","Bachelor","Master","Doctor")</f>
        <v>Below College</v>
      </c>
      <c r="AO1331" s="13" t="str">
        <f>VLOOKUP(tblCleanData[[#This Row],[EmployeeNumber]],tblHelpers[],15,TRUE)</f>
        <v>High Risk</v>
      </c>
      <c r="AP1331" s="13">
        <f>VLOOKUP(tblCleanData[[#This Row],[EmployeeNumber]],tblHelpers[],14,0)</f>
        <v>79</v>
      </c>
    </row>
    <row r="1332" spans="1:42" x14ac:dyDescent="0.25">
      <c r="A1332" s="13">
        <v>43</v>
      </c>
      <c r="B1332" s="13" t="s">
        <v>59</v>
      </c>
      <c r="C1332" s="13" t="s">
        <v>37</v>
      </c>
      <c r="D1332" s="13">
        <v>823</v>
      </c>
      <c r="E1332" s="13" t="s">
        <v>62</v>
      </c>
      <c r="F1332" s="13">
        <v>6</v>
      </c>
      <c r="G1332" s="13">
        <v>3</v>
      </c>
      <c r="H1332" s="13" t="s">
        <v>87</v>
      </c>
      <c r="I1332" s="13">
        <v>1</v>
      </c>
      <c r="J1332" s="13">
        <v>1866</v>
      </c>
      <c r="K1332" s="13">
        <v>1</v>
      </c>
      <c r="L1332" s="13" t="s">
        <v>43</v>
      </c>
      <c r="M1332" s="13">
        <v>81</v>
      </c>
      <c r="N1332" s="13">
        <v>2</v>
      </c>
      <c r="O1332" s="13">
        <v>5</v>
      </c>
      <c r="P1332" s="13" t="s">
        <v>169</v>
      </c>
      <c r="Q1332" s="13">
        <v>3</v>
      </c>
      <c r="R1332" s="13" t="s">
        <v>66</v>
      </c>
      <c r="S1332" s="20">
        <v>19392</v>
      </c>
      <c r="T1332" s="13">
        <v>22539</v>
      </c>
      <c r="U1332" s="13">
        <v>7</v>
      </c>
      <c r="V1332" s="13" t="s">
        <v>52</v>
      </c>
      <c r="W1332" s="13" t="s">
        <v>59</v>
      </c>
      <c r="X1332" s="13">
        <v>13</v>
      </c>
      <c r="Y1332" s="13">
        <v>3</v>
      </c>
      <c r="Z1332" s="13">
        <v>4</v>
      </c>
      <c r="AA1332" s="13">
        <v>80</v>
      </c>
      <c r="AB1332" s="13">
        <v>0</v>
      </c>
      <c r="AC1332" s="13">
        <v>21</v>
      </c>
      <c r="AD1332" s="13">
        <v>2</v>
      </c>
      <c r="AE1332" s="13">
        <v>3</v>
      </c>
      <c r="AF1332" s="14">
        <v>16</v>
      </c>
      <c r="AG1332" s="13">
        <v>12</v>
      </c>
      <c r="AH1332" s="13">
        <v>6</v>
      </c>
      <c r="AI1332" s="13">
        <v>14</v>
      </c>
      <c r="AJ1332" s="13" t="str">
        <f t="shared" si="20"/>
        <v>40-49</v>
      </c>
      <c r="AK1332" s="13" t="str">
        <f>IF(tblCleanData[[#This Row],[MonthlyIncome]]&lt;5000, "Low Income", IF(tblCleanData[[#This Row],[MonthlyIncome]]&lt;15000, "Medium Income", "High Income"))</f>
        <v>High Income</v>
      </c>
      <c r="AL1332" s="13">
        <f>IF(tblCleanData[[#This Row],[Attrition]]="No", 0,1)</f>
        <v>0</v>
      </c>
      <c r="AM1332" s="13">
        <f>IF(tblCleanData[[#This Row],[OverTime]] = "No", 0, 1)</f>
        <v>0</v>
      </c>
      <c r="AN1332" s="13" t="str">
        <f>CHOOSE(tblCleanData[[#This Row],[Education]], "Below College","College","Bachelor","Master","Doctor")</f>
        <v>Bachelor</v>
      </c>
      <c r="AO1332" s="13" t="str">
        <f>VLOOKUP(tblCleanData[[#This Row],[EmployeeNumber]],tblHelpers[],15,TRUE)</f>
        <v>Low Risk</v>
      </c>
      <c r="AP1332" s="13">
        <f>VLOOKUP(tblCleanData[[#This Row],[EmployeeNumber]],tblHelpers[],14,0)</f>
        <v>31</v>
      </c>
    </row>
    <row r="1333" spans="1:42" x14ac:dyDescent="0.25">
      <c r="A1333" s="13">
        <v>48</v>
      </c>
      <c r="B1333" s="13" t="s">
        <v>59</v>
      </c>
      <c r="C1333" s="13" t="s">
        <v>37</v>
      </c>
      <c r="D1333" s="13">
        <v>1224</v>
      </c>
      <c r="E1333" s="13" t="s">
        <v>62</v>
      </c>
      <c r="F1333" s="13">
        <v>10</v>
      </c>
      <c r="G1333" s="13">
        <v>3</v>
      </c>
      <c r="H1333" s="13" t="s">
        <v>42</v>
      </c>
      <c r="I1333" s="13">
        <v>1</v>
      </c>
      <c r="J1333" s="13">
        <v>1867</v>
      </c>
      <c r="K1333" s="13">
        <v>4</v>
      </c>
      <c r="L1333" s="13" t="s">
        <v>63</v>
      </c>
      <c r="M1333" s="13">
        <v>91</v>
      </c>
      <c r="N1333" s="13">
        <v>2</v>
      </c>
      <c r="O1333" s="13">
        <v>5</v>
      </c>
      <c r="P1333" s="13" t="s">
        <v>186</v>
      </c>
      <c r="Q1333" s="13">
        <v>2</v>
      </c>
      <c r="R1333" s="13" t="s">
        <v>66</v>
      </c>
      <c r="S1333" s="20">
        <v>19665</v>
      </c>
      <c r="T1333" s="13">
        <v>13583</v>
      </c>
      <c r="U1333" s="13">
        <v>4</v>
      </c>
      <c r="V1333" s="13" t="s">
        <v>52</v>
      </c>
      <c r="W1333" s="13" t="s">
        <v>59</v>
      </c>
      <c r="X1333" s="13">
        <v>12</v>
      </c>
      <c r="Y1333" s="13">
        <v>3</v>
      </c>
      <c r="Z1333" s="13">
        <v>4</v>
      </c>
      <c r="AA1333" s="13">
        <v>80</v>
      </c>
      <c r="AB1333" s="13">
        <v>0</v>
      </c>
      <c r="AC1333" s="13">
        <v>29</v>
      </c>
      <c r="AD1333" s="13">
        <v>3</v>
      </c>
      <c r="AE1333" s="13">
        <v>3</v>
      </c>
      <c r="AF1333" s="14">
        <v>22</v>
      </c>
      <c r="AG1333" s="13">
        <v>10</v>
      </c>
      <c r="AH1333" s="13">
        <v>12</v>
      </c>
      <c r="AI1333" s="13">
        <v>9</v>
      </c>
      <c r="AJ1333" s="13" t="str">
        <f t="shared" si="20"/>
        <v>40-49</v>
      </c>
      <c r="AK1333" s="13" t="str">
        <f>IF(tblCleanData[[#This Row],[MonthlyIncome]]&lt;5000, "Low Income", IF(tblCleanData[[#This Row],[MonthlyIncome]]&lt;15000, "Medium Income", "High Income"))</f>
        <v>High Income</v>
      </c>
      <c r="AL1333" s="13">
        <f>IF(tblCleanData[[#This Row],[Attrition]]="No", 0,1)</f>
        <v>0</v>
      </c>
      <c r="AM1333" s="13">
        <f>IF(tblCleanData[[#This Row],[OverTime]] = "No", 0, 1)</f>
        <v>0</v>
      </c>
      <c r="AN1333" s="13" t="str">
        <f>CHOOSE(tblCleanData[[#This Row],[Education]], "Below College","College","Bachelor","Master","Doctor")</f>
        <v>Bachelor</v>
      </c>
      <c r="AO1333" s="13" t="str">
        <f>VLOOKUP(tblCleanData[[#This Row],[EmployeeNumber]],tblHelpers[],15,TRUE)</f>
        <v>Medium Risk</v>
      </c>
      <c r="AP1333" s="13">
        <f>VLOOKUP(tblCleanData[[#This Row],[EmployeeNumber]],tblHelpers[],14,0)</f>
        <v>37</v>
      </c>
    </row>
    <row r="1334" spans="1:42" x14ac:dyDescent="0.25">
      <c r="A1334" s="13">
        <v>29</v>
      </c>
      <c r="B1334" s="13" t="s">
        <v>36</v>
      </c>
      <c r="C1334" s="13" t="s">
        <v>60</v>
      </c>
      <c r="D1334" s="13">
        <v>459</v>
      </c>
      <c r="E1334" s="13" t="s">
        <v>62</v>
      </c>
      <c r="F1334" s="13">
        <v>24</v>
      </c>
      <c r="G1334" s="13">
        <v>2</v>
      </c>
      <c r="H1334" s="13" t="s">
        <v>42</v>
      </c>
      <c r="I1334" s="13">
        <v>1</v>
      </c>
      <c r="J1334" s="13">
        <v>1868</v>
      </c>
      <c r="K1334" s="13">
        <v>4</v>
      </c>
      <c r="L1334" s="13" t="s">
        <v>63</v>
      </c>
      <c r="M1334" s="13">
        <v>73</v>
      </c>
      <c r="N1334" s="13">
        <v>2</v>
      </c>
      <c r="O1334" s="13">
        <v>1</v>
      </c>
      <c r="P1334" s="13" t="s">
        <v>65</v>
      </c>
      <c r="Q1334" s="13">
        <v>4</v>
      </c>
      <c r="R1334" s="13" t="s">
        <v>48</v>
      </c>
      <c r="S1334" s="20">
        <v>2439</v>
      </c>
      <c r="T1334" s="13">
        <v>14753</v>
      </c>
      <c r="U1334" s="13">
        <v>1</v>
      </c>
      <c r="V1334" s="13" t="s">
        <v>52</v>
      </c>
      <c r="W1334" s="13" t="s">
        <v>36</v>
      </c>
      <c r="X1334" s="13">
        <v>24</v>
      </c>
      <c r="Y1334" s="13">
        <v>4</v>
      </c>
      <c r="Z1334" s="13">
        <v>2</v>
      </c>
      <c r="AA1334" s="13">
        <v>80</v>
      </c>
      <c r="AB1334" s="13">
        <v>0</v>
      </c>
      <c r="AC1334" s="13">
        <v>1</v>
      </c>
      <c r="AD1334" s="13">
        <v>3</v>
      </c>
      <c r="AE1334" s="13">
        <v>2</v>
      </c>
      <c r="AF1334" s="14">
        <v>1</v>
      </c>
      <c r="AG1334" s="13">
        <v>0</v>
      </c>
      <c r="AH1334" s="13">
        <v>1</v>
      </c>
      <c r="AI1334" s="13">
        <v>0</v>
      </c>
      <c r="AJ1334" s="13" t="str">
        <f t="shared" si="20"/>
        <v>Under 30</v>
      </c>
      <c r="AK1334" s="13" t="str">
        <f>IF(tblCleanData[[#This Row],[MonthlyIncome]]&lt;5000, "Low Income", IF(tblCleanData[[#This Row],[MonthlyIncome]]&lt;15000, "Medium Income", "High Income"))</f>
        <v>Low Income</v>
      </c>
      <c r="AL1334" s="13">
        <f>IF(tblCleanData[[#This Row],[Attrition]]="No", 0,1)</f>
        <v>1</v>
      </c>
      <c r="AM1334" s="13">
        <f>IF(tblCleanData[[#This Row],[OverTime]] = "No", 0, 1)</f>
        <v>1</v>
      </c>
      <c r="AN1334" s="13" t="str">
        <f>CHOOSE(tblCleanData[[#This Row],[Education]], "Below College","College","Bachelor","Master","Doctor")</f>
        <v>College</v>
      </c>
      <c r="AO1334" s="13" t="str">
        <f>VLOOKUP(tblCleanData[[#This Row],[EmployeeNumber]],tblHelpers[],15,TRUE)</f>
        <v>High Risk</v>
      </c>
      <c r="AP1334" s="13">
        <f>VLOOKUP(tblCleanData[[#This Row],[EmployeeNumber]],tblHelpers[],14,0)</f>
        <v>91</v>
      </c>
    </row>
    <row r="1335" spans="1:42" x14ac:dyDescent="0.25">
      <c r="A1335" s="13">
        <v>46</v>
      </c>
      <c r="B1335" s="13" t="s">
        <v>36</v>
      </c>
      <c r="C1335" s="13" t="s">
        <v>37</v>
      </c>
      <c r="D1335" s="13">
        <v>1254</v>
      </c>
      <c r="E1335" s="13" t="s">
        <v>39</v>
      </c>
      <c r="F1335" s="13">
        <v>10</v>
      </c>
      <c r="G1335" s="13">
        <v>3</v>
      </c>
      <c r="H1335" s="13" t="s">
        <v>42</v>
      </c>
      <c r="I1335" s="13">
        <v>1</v>
      </c>
      <c r="J1335" s="13">
        <v>1869</v>
      </c>
      <c r="K1335" s="13">
        <v>3</v>
      </c>
      <c r="L1335" s="13" t="s">
        <v>43</v>
      </c>
      <c r="M1335" s="13">
        <v>64</v>
      </c>
      <c r="N1335" s="13">
        <v>3</v>
      </c>
      <c r="O1335" s="13">
        <v>3</v>
      </c>
      <c r="P1335" s="13" t="s">
        <v>46</v>
      </c>
      <c r="Q1335" s="13">
        <v>2</v>
      </c>
      <c r="R1335" s="13" t="s">
        <v>66</v>
      </c>
      <c r="S1335" s="20">
        <v>7314</v>
      </c>
      <c r="T1335" s="13">
        <v>14011</v>
      </c>
      <c r="U1335" s="13">
        <v>5</v>
      </c>
      <c r="V1335" s="13" t="s">
        <v>52</v>
      </c>
      <c r="W1335" s="13" t="s">
        <v>59</v>
      </c>
      <c r="X1335" s="13">
        <v>21</v>
      </c>
      <c r="Y1335" s="13">
        <v>4</v>
      </c>
      <c r="Z1335" s="13">
        <v>3</v>
      </c>
      <c r="AA1335" s="13">
        <v>80</v>
      </c>
      <c r="AB1335" s="13">
        <v>3</v>
      </c>
      <c r="AC1335" s="13">
        <v>14</v>
      </c>
      <c r="AD1335" s="13">
        <v>2</v>
      </c>
      <c r="AE1335" s="13">
        <v>3</v>
      </c>
      <c r="AF1335" s="14">
        <v>8</v>
      </c>
      <c r="AG1335" s="13">
        <v>7</v>
      </c>
      <c r="AH1335" s="13">
        <v>0</v>
      </c>
      <c r="AI1335" s="13">
        <v>7</v>
      </c>
      <c r="AJ1335" s="13" t="str">
        <f t="shared" si="20"/>
        <v>40-49</v>
      </c>
      <c r="AK1335" s="13" t="str">
        <f>IF(tblCleanData[[#This Row],[MonthlyIncome]]&lt;5000, "Low Income", IF(tblCleanData[[#This Row],[MonthlyIncome]]&lt;15000, "Medium Income", "High Income"))</f>
        <v>Medium Income</v>
      </c>
      <c r="AL1335" s="13">
        <f>IF(tblCleanData[[#This Row],[Attrition]]="No", 0,1)</f>
        <v>1</v>
      </c>
      <c r="AM1335" s="13">
        <f>IF(tblCleanData[[#This Row],[OverTime]] = "No", 0, 1)</f>
        <v>0</v>
      </c>
      <c r="AN1335" s="13" t="str">
        <f>CHOOSE(tblCleanData[[#This Row],[Education]], "Below College","College","Bachelor","Master","Doctor")</f>
        <v>Bachelor</v>
      </c>
      <c r="AO1335" s="13" t="str">
        <f>VLOOKUP(tblCleanData[[#This Row],[EmployeeNumber]],tblHelpers[],15,TRUE)</f>
        <v>Medium Risk</v>
      </c>
      <c r="AP1335" s="13">
        <f>VLOOKUP(tblCleanData[[#This Row],[EmployeeNumber]],tblHelpers[],14,0)</f>
        <v>42</v>
      </c>
    </row>
    <row r="1336" spans="1:42" x14ac:dyDescent="0.25">
      <c r="A1336" s="13">
        <v>27</v>
      </c>
      <c r="B1336" s="13" t="s">
        <v>59</v>
      </c>
      <c r="C1336" s="13" t="s">
        <v>60</v>
      </c>
      <c r="D1336" s="13">
        <v>1131</v>
      </c>
      <c r="E1336" s="13" t="s">
        <v>62</v>
      </c>
      <c r="F1336" s="13">
        <v>15</v>
      </c>
      <c r="G1336" s="13">
        <v>3</v>
      </c>
      <c r="H1336" s="13" t="s">
        <v>42</v>
      </c>
      <c r="I1336" s="13">
        <v>1</v>
      </c>
      <c r="J1336" s="13">
        <v>1870</v>
      </c>
      <c r="K1336" s="13">
        <v>4</v>
      </c>
      <c r="L1336" s="13" t="s">
        <v>43</v>
      </c>
      <c r="M1336" s="13">
        <v>77</v>
      </c>
      <c r="N1336" s="13">
        <v>2</v>
      </c>
      <c r="O1336" s="13">
        <v>1</v>
      </c>
      <c r="P1336" s="13" t="s">
        <v>65</v>
      </c>
      <c r="Q1336" s="13">
        <v>1</v>
      </c>
      <c r="R1336" s="13" t="s">
        <v>66</v>
      </c>
      <c r="S1336" s="20">
        <v>4774</v>
      </c>
      <c r="T1336" s="13">
        <v>23844</v>
      </c>
      <c r="U1336" s="13">
        <v>0</v>
      </c>
      <c r="V1336" s="13" t="s">
        <v>52</v>
      </c>
      <c r="W1336" s="13" t="s">
        <v>59</v>
      </c>
      <c r="X1336" s="13">
        <v>19</v>
      </c>
      <c r="Y1336" s="13">
        <v>3</v>
      </c>
      <c r="Z1336" s="13">
        <v>4</v>
      </c>
      <c r="AA1336" s="13">
        <v>80</v>
      </c>
      <c r="AB1336" s="13">
        <v>1</v>
      </c>
      <c r="AC1336" s="13">
        <v>8</v>
      </c>
      <c r="AD1336" s="13">
        <v>2</v>
      </c>
      <c r="AE1336" s="13">
        <v>2</v>
      </c>
      <c r="AF1336" s="14">
        <v>7</v>
      </c>
      <c r="AG1336" s="13">
        <v>6</v>
      </c>
      <c r="AH1336" s="13">
        <v>7</v>
      </c>
      <c r="AI1336" s="13">
        <v>3</v>
      </c>
      <c r="AJ1336" s="13" t="str">
        <f t="shared" si="20"/>
        <v>Under 30</v>
      </c>
      <c r="AK1336" s="13" t="str">
        <f>IF(tblCleanData[[#This Row],[MonthlyIncome]]&lt;5000, "Low Income", IF(tblCleanData[[#This Row],[MonthlyIncome]]&lt;15000, "Medium Income", "High Income"))</f>
        <v>Low Income</v>
      </c>
      <c r="AL1336" s="13">
        <f>IF(tblCleanData[[#This Row],[Attrition]]="No", 0,1)</f>
        <v>0</v>
      </c>
      <c r="AM1336" s="13">
        <f>IF(tblCleanData[[#This Row],[OverTime]] = "No", 0, 1)</f>
        <v>0</v>
      </c>
      <c r="AN1336" s="13" t="str">
        <f>CHOOSE(tblCleanData[[#This Row],[Education]], "Below College","College","Bachelor","Master","Doctor")</f>
        <v>Bachelor</v>
      </c>
      <c r="AO1336" s="13" t="str">
        <f>VLOOKUP(tblCleanData[[#This Row],[EmployeeNumber]],tblHelpers[],15,TRUE)</f>
        <v>High Risk</v>
      </c>
      <c r="AP1336" s="13">
        <f>VLOOKUP(tblCleanData[[#This Row],[EmployeeNumber]],tblHelpers[],14,0)</f>
        <v>68</v>
      </c>
    </row>
    <row r="1337" spans="1:42" x14ac:dyDescent="0.25">
      <c r="A1337" s="13">
        <v>39</v>
      </c>
      <c r="B1337" s="13" t="s">
        <v>59</v>
      </c>
      <c r="C1337" s="13" t="s">
        <v>37</v>
      </c>
      <c r="D1337" s="13">
        <v>835</v>
      </c>
      <c r="E1337" s="13" t="s">
        <v>62</v>
      </c>
      <c r="F1337" s="13">
        <v>19</v>
      </c>
      <c r="G1337" s="13">
        <v>4</v>
      </c>
      <c r="H1337" s="13" t="s">
        <v>74</v>
      </c>
      <c r="I1337" s="13">
        <v>1</v>
      </c>
      <c r="J1337" s="13">
        <v>1871</v>
      </c>
      <c r="K1337" s="13">
        <v>4</v>
      </c>
      <c r="L1337" s="13" t="s">
        <v>63</v>
      </c>
      <c r="M1337" s="13">
        <v>41</v>
      </c>
      <c r="N1337" s="13">
        <v>3</v>
      </c>
      <c r="O1337" s="13">
        <v>2</v>
      </c>
      <c r="P1337" s="13" t="s">
        <v>65</v>
      </c>
      <c r="Q1337" s="13">
        <v>4</v>
      </c>
      <c r="R1337" s="13" t="s">
        <v>109</v>
      </c>
      <c r="S1337" s="20">
        <v>3902</v>
      </c>
      <c r="T1337" s="13">
        <v>5141</v>
      </c>
      <c r="U1337" s="13">
        <v>8</v>
      </c>
      <c r="V1337" s="13" t="s">
        <v>52</v>
      </c>
      <c r="W1337" s="13" t="s">
        <v>59</v>
      </c>
      <c r="X1337" s="13">
        <v>14</v>
      </c>
      <c r="Y1337" s="13">
        <v>3</v>
      </c>
      <c r="Z1337" s="13">
        <v>2</v>
      </c>
      <c r="AA1337" s="13">
        <v>80</v>
      </c>
      <c r="AB1337" s="13">
        <v>3</v>
      </c>
      <c r="AC1337" s="13">
        <v>7</v>
      </c>
      <c r="AD1337" s="13">
        <v>2</v>
      </c>
      <c r="AE1337" s="13">
        <v>3</v>
      </c>
      <c r="AF1337" s="14">
        <v>2</v>
      </c>
      <c r="AG1337" s="13">
        <v>2</v>
      </c>
      <c r="AH1337" s="13">
        <v>2</v>
      </c>
      <c r="AI1337" s="13">
        <v>2</v>
      </c>
      <c r="AJ1337" s="13" t="str">
        <f t="shared" si="20"/>
        <v>30-39</v>
      </c>
      <c r="AK1337" s="13" t="str">
        <f>IF(tblCleanData[[#This Row],[MonthlyIncome]]&lt;5000, "Low Income", IF(tblCleanData[[#This Row],[MonthlyIncome]]&lt;15000, "Medium Income", "High Income"))</f>
        <v>Low Income</v>
      </c>
      <c r="AL1337" s="13">
        <f>IF(tblCleanData[[#This Row],[Attrition]]="No", 0,1)</f>
        <v>0</v>
      </c>
      <c r="AM1337" s="13">
        <f>IF(tblCleanData[[#This Row],[OverTime]] = "No", 0, 1)</f>
        <v>0</v>
      </c>
      <c r="AN1337" s="13" t="str">
        <f>CHOOSE(tblCleanData[[#This Row],[Education]], "Below College","College","Bachelor","Master","Doctor")</f>
        <v>Master</v>
      </c>
      <c r="AO1337" s="13" t="str">
        <f>VLOOKUP(tblCleanData[[#This Row],[EmployeeNumber]],tblHelpers[],15,TRUE)</f>
        <v>High Risk</v>
      </c>
      <c r="AP1337" s="13">
        <f>VLOOKUP(tblCleanData[[#This Row],[EmployeeNumber]],tblHelpers[],14,0)</f>
        <v>56</v>
      </c>
    </row>
    <row r="1338" spans="1:42" x14ac:dyDescent="0.25">
      <c r="A1338" s="13">
        <v>55</v>
      </c>
      <c r="B1338" s="13" t="s">
        <v>59</v>
      </c>
      <c r="C1338" s="13" t="s">
        <v>37</v>
      </c>
      <c r="D1338" s="13">
        <v>836</v>
      </c>
      <c r="E1338" s="13" t="s">
        <v>62</v>
      </c>
      <c r="F1338" s="13">
        <v>2</v>
      </c>
      <c r="G1338" s="13">
        <v>4</v>
      </c>
      <c r="H1338" s="13" t="s">
        <v>228</v>
      </c>
      <c r="I1338" s="13">
        <v>1</v>
      </c>
      <c r="J1338" s="13">
        <v>1873</v>
      </c>
      <c r="K1338" s="13">
        <v>2</v>
      </c>
      <c r="L1338" s="13" t="s">
        <v>63</v>
      </c>
      <c r="M1338" s="13">
        <v>98</v>
      </c>
      <c r="N1338" s="13">
        <v>2</v>
      </c>
      <c r="O1338" s="13">
        <v>1</v>
      </c>
      <c r="P1338" s="13" t="s">
        <v>65</v>
      </c>
      <c r="Q1338" s="13">
        <v>4</v>
      </c>
      <c r="R1338" s="13" t="s">
        <v>66</v>
      </c>
      <c r="S1338" s="20">
        <v>2662</v>
      </c>
      <c r="T1338" s="13">
        <v>7975</v>
      </c>
      <c r="U1338" s="13">
        <v>8</v>
      </c>
      <c r="V1338" s="13" t="s">
        <v>52</v>
      </c>
      <c r="W1338" s="13" t="s">
        <v>59</v>
      </c>
      <c r="X1338" s="13">
        <v>20</v>
      </c>
      <c r="Y1338" s="13">
        <v>4</v>
      </c>
      <c r="Z1338" s="13">
        <v>2</v>
      </c>
      <c r="AA1338" s="13">
        <v>80</v>
      </c>
      <c r="AB1338" s="13">
        <v>1</v>
      </c>
      <c r="AC1338" s="13">
        <v>19</v>
      </c>
      <c r="AD1338" s="13">
        <v>2</v>
      </c>
      <c r="AE1338" s="13">
        <v>4</v>
      </c>
      <c r="AF1338" s="14">
        <v>5</v>
      </c>
      <c r="AG1338" s="13">
        <v>2</v>
      </c>
      <c r="AH1338" s="13">
        <v>0</v>
      </c>
      <c r="AI1338" s="13">
        <v>4</v>
      </c>
      <c r="AJ1338" s="13" t="str">
        <f t="shared" si="20"/>
        <v>50+</v>
      </c>
      <c r="AK1338" s="13" t="str">
        <f>IF(tblCleanData[[#This Row],[MonthlyIncome]]&lt;5000, "Low Income", IF(tblCleanData[[#This Row],[MonthlyIncome]]&lt;15000, "Medium Income", "High Income"))</f>
        <v>Low Income</v>
      </c>
      <c r="AL1338" s="13">
        <f>IF(tblCleanData[[#This Row],[Attrition]]="No", 0,1)</f>
        <v>0</v>
      </c>
      <c r="AM1338" s="13">
        <f>IF(tblCleanData[[#This Row],[OverTime]] = "No", 0, 1)</f>
        <v>0</v>
      </c>
      <c r="AN1338" s="13" t="str">
        <f>CHOOSE(tblCleanData[[#This Row],[Education]], "Below College","College","Bachelor","Master","Doctor")</f>
        <v>Master</v>
      </c>
      <c r="AO1338" s="13" t="str">
        <f>VLOOKUP(tblCleanData[[#This Row],[EmployeeNumber]],tblHelpers[],15,TRUE)</f>
        <v>Medium Risk</v>
      </c>
      <c r="AP1338" s="13">
        <f>VLOOKUP(tblCleanData[[#This Row],[EmployeeNumber]],tblHelpers[],14,0)</f>
        <v>41</v>
      </c>
    </row>
    <row r="1339" spans="1:42" x14ac:dyDescent="0.25">
      <c r="A1339" s="13">
        <v>28</v>
      </c>
      <c r="B1339" s="13" t="s">
        <v>59</v>
      </c>
      <c r="C1339" s="13" t="s">
        <v>37</v>
      </c>
      <c r="D1339" s="13">
        <v>1172</v>
      </c>
      <c r="E1339" s="13" t="s">
        <v>39</v>
      </c>
      <c r="F1339" s="13">
        <v>3</v>
      </c>
      <c r="G1339" s="13">
        <v>3</v>
      </c>
      <c r="H1339" s="13" t="s">
        <v>87</v>
      </c>
      <c r="I1339" s="13">
        <v>1</v>
      </c>
      <c r="J1339" s="13">
        <v>1875</v>
      </c>
      <c r="K1339" s="13">
        <v>2</v>
      </c>
      <c r="L1339" s="13" t="s">
        <v>43</v>
      </c>
      <c r="M1339" s="13">
        <v>78</v>
      </c>
      <c r="N1339" s="13">
        <v>3</v>
      </c>
      <c r="O1339" s="13">
        <v>1</v>
      </c>
      <c r="P1339" s="13" t="s">
        <v>182</v>
      </c>
      <c r="Q1339" s="13">
        <v>2</v>
      </c>
      <c r="R1339" s="13" t="s">
        <v>66</v>
      </c>
      <c r="S1339" s="20">
        <v>2856</v>
      </c>
      <c r="T1339" s="13">
        <v>3692</v>
      </c>
      <c r="U1339" s="13">
        <v>1</v>
      </c>
      <c r="V1339" s="13" t="s">
        <v>52</v>
      </c>
      <c r="W1339" s="13" t="s">
        <v>59</v>
      </c>
      <c r="X1339" s="13">
        <v>19</v>
      </c>
      <c r="Y1339" s="13">
        <v>3</v>
      </c>
      <c r="Z1339" s="13">
        <v>4</v>
      </c>
      <c r="AA1339" s="13">
        <v>80</v>
      </c>
      <c r="AB1339" s="13">
        <v>1</v>
      </c>
      <c r="AC1339" s="13">
        <v>1</v>
      </c>
      <c r="AD1339" s="13">
        <v>3</v>
      </c>
      <c r="AE1339" s="13">
        <v>3</v>
      </c>
      <c r="AF1339" s="14">
        <v>1</v>
      </c>
      <c r="AG1339" s="13">
        <v>0</v>
      </c>
      <c r="AH1339" s="13">
        <v>0</v>
      </c>
      <c r="AI1339" s="13">
        <v>0</v>
      </c>
      <c r="AJ1339" s="13" t="str">
        <f t="shared" si="20"/>
        <v>Under 30</v>
      </c>
      <c r="AK1339" s="13" t="str">
        <f>IF(tblCleanData[[#This Row],[MonthlyIncome]]&lt;5000, "Low Income", IF(tblCleanData[[#This Row],[MonthlyIncome]]&lt;15000, "Medium Income", "High Income"))</f>
        <v>Low Income</v>
      </c>
      <c r="AL1339" s="13">
        <f>IF(tblCleanData[[#This Row],[Attrition]]="No", 0,1)</f>
        <v>0</v>
      </c>
      <c r="AM1339" s="13">
        <f>IF(tblCleanData[[#This Row],[OverTime]] = "No", 0, 1)</f>
        <v>0</v>
      </c>
      <c r="AN1339" s="13" t="str">
        <f>CHOOSE(tblCleanData[[#This Row],[Education]], "Below College","College","Bachelor","Master","Doctor")</f>
        <v>Bachelor</v>
      </c>
      <c r="AO1339" s="13" t="str">
        <f>VLOOKUP(tblCleanData[[#This Row],[EmployeeNumber]],tblHelpers[],15,TRUE)</f>
        <v>High Risk</v>
      </c>
      <c r="AP1339" s="13">
        <f>VLOOKUP(tblCleanData[[#This Row],[EmployeeNumber]],tblHelpers[],14,0)</f>
        <v>79</v>
      </c>
    </row>
    <row r="1340" spans="1:42" x14ac:dyDescent="0.25">
      <c r="A1340" s="13">
        <v>30</v>
      </c>
      <c r="B1340" s="13" t="s">
        <v>36</v>
      </c>
      <c r="C1340" s="13" t="s">
        <v>37</v>
      </c>
      <c r="D1340" s="13">
        <v>945</v>
      </c>
      <c r="E1340" s="13" t="s">
        <v>39</v>
      </c>
      <c r="F1340" s="13">
        <v>9</v>
      </c>
      <c r="G1340" s="13">
        <v>3</v>
      </c>
      <c r="H1340" s="13" t="s">
        <v>87</v>
      </c>
      <c r="I1340" s="13">
        <v>1</v>
      </c>
      <c r="J1340" s="13">
        <v>1876</v>
      </c>
      <c r="K1340" s="13">
        <v>2</v>
      </c>
      <c r="L1340" s="13" t="s">
        <v>63</v>
      </c>
      <c r="M1340" s="13">
        <v>89</v>
      </c>
      <c r="N1340" s="13">
        <v>3</v>
      </c>
      <c r="O1340" s="13">
        <v>1</v>
      </c>
      <c r="P1340" s="13" t="s">
        <v>182</v>
      </c>
      <c r="Q1340" s="13">
        <v>4</v>
      </c>
      <c r="R1340" s="13" t="s">
        <v>48</v>
      </c>
      <c r="S1340" s="20">
        <v>1081</v>
      </c>
      <c r="T1340" s="13">
        <v>16019</v>
      </c>
      <c r="U1340" s="13">
        <v>1</v>
      </c>
      <c r="V1340" s="13" t="s">
        <v>52</v>
      </c>
      <c r="W1340" s="13" t="s">
        <v>59</v>
      </c>
      <c r="X1340" s="13">
        <v>13</v>
      </c>
      <c r="Y1340" s="13">
        <v>3</v>
      </c>
      <c r="Z1340" s="13">
        <v>3</v>
      </c>
      <c r="AA1340" s="13">
        <v>80</v>
      </c>
      <c r="AB1340" s="13">
        <v>0</v>
      </c>
      <c r="AC1340" s="13">
        <v>1</v>
      </c>
      <c r="AD1340" s="13">
        <v>3</v>
      </c>
      <c r="AE1340" s="13">
        <v>2</v>
      </c>
      <c r="AF1340" s="14">
        <v>1</v>
      </c>
      <c r="AG1340" s="13">
        <v>0</v>
      </c>
      <c r="AH1340" s="13">
        <v>0</v>
      </c>
      <c r="AI1340" s="13">
        <v>0</v>
      </c>
      <c r="AJ1340" s="13" t="str">
        <f t="shared" si="20"/>
        <v>30-39</v>
      </c>
      <c r="AK1340" s="13" t="str">
        <f>IF(tblCleanData[[#This Row],[MonthlyIncome]]&lt;5000, "Low Income", IF(tblCleanData[[#This Row],[MonthlyIncome]]&lt;15000, "Medium Income", "High Income"))</f>
        <v>Low Income</v>
      </c>
      <c r="AL1340" s="13">
        <f>IF(tblCleanData[[#This Row],[Attrition]]="No", 0,1)</f>
        <v>1</v>
      </c>
      <c r="AM1340" s="13">
        <f>IF(tblCleanData[[#This Row],[OverTime]] = "No", 0, 1)</f>
        <v>0</v>
      </c>
      <c r="AN1340" s="13" t="str">
        <f>CHOOSE(tblCleanData[[#This Row],[Education]], "Below College","College","Bachelor","Master","Doctor")</f>
        <v>Bachelor</v>
      </c>
      <c r="AO1340" s="13" t="str">
        <f>VLOOKUP(tblCleanData[[#This Row],[EmployeeNumber]],tblHelpers[],15,TRUE)</f>
        <v>High Risk</v>
      </c>
      <c r="AP1340" s="13">
        <f>VLOOKUP(tblCleanData[[#This Row],[EmployeeNumber]],tblHelpers[],14,0)</f>
        <v>56</v>
      </c>
    </row>
    <row r="1341" spans="1:42" x14ac:dyDescent="0.25">
      <c r="A1341" s="13">
        <v>22</v>
      </c>
      <c r="B1341" s="13" t="s">
        <v>36</v>
      </c>
      <c r="C1341" s="13" t="s">
        <v>37</v>
      </c>
      <c r="D1341" s="13">
        <v>391</v>
      </c>
      <c r="E1341" s="13" t="s">
        <v>62</v>
      </c>
      <c r="F1341" s="13">
        <v>7</v>
      </c>
      <c r="G1341" s="13">
        <v>1</v>
      </c>
      <c r="H1341" s="13" t="s">
        <v>42</v>
      </c>
      <c r="I1341" s="13">
        <v>1</v>
      </c>
      <c r="J1341" s="13">
        <v>1878</v>
      </c>
      <c r="K1341" s="13">
        <v>4</v>
      </c>
      <c r="L1341" s="13" t="s">
        <v>63</v>
      </c>
      <c r="M1341" s="13">
        <v>75</v>
      </c>
      <c r="N1341" s="13">
        <v>3</v>
      </c>
      <c r="O1341" s="13">
        <v>1</v>
      </c>
      <c r="P1341" s="13" t="s">
        <v>65</v>
      </c>
      <c r="Q1341" s="13">
        <v>2</v>
      </c>
      <c r="R1341" s="13" t="s">
        <v>48</v>
      </c>
      <c r="S1341" s="20">
        <v>2472</v>
      </c>
      <c r="T1341" s="13">
        <v>26092</v>
      </c>
      <c r="U1341" s="13">
        <v>1</v>
      </c>
      <c r="V1341" s="13" t="s">
        <v>52</v>
      </c>
      <c r="W1341" s="13" t="s">
        <v>36</v>
      </c>
      <c r="X1341" s="13">
        <v>23</v>
      </c>
      <c r="Y1341" s="13">
        <v>4</v>
      </c>
      <c r="Z1341" s="13">
        <v>1</v>
      </c>
      <c r="AA1341" s="13">
        <v>80</v>
      </c>
      <c r="AB1341" s="13">
        <v>0</v>
      </c>
      <c r="AC1341" s="13">
        <v>1</v>
      </c>
      <c r="AD1341" s="13">
        <v>2</v>
      </c>
      <c r="AE1341" s="13">
        <v>3</v>
      </c>
      <c r="AF1341" s="14">
        <v>1</v>
      </c>
      <c r="AG1341" s="13">
        <v>0</v>
      </c>
      <c r="AH1341" s="13">
        <v>0</v>
      </c>
      <c r="AI1341" s="13">
        <v>0</v>
      </c>
      <c r="AJ1341" s="13" t="str">
        <f t="shared" si="20"/>
        <v>Under 30</v>
      </c>
      <c r="AK1341" s="13" t="str">
        <f>IF(tblCleanData[[#This Row],[MonthlyIncome]]&lt;5000, "Low Income", IF(tblCleanData[[#This Row],[MonthlyIncome]]&lt;15000, "Medium Income", "High Income"))</f>
        <v>Low Income</v>
      </c>
      <c r="AL1341" s="13">
        <f>IF(tblCleanData[[#This Row],[Attrition]]="No", 0,1)</f>
        <v>1</v>
      </c>
      <c r="AM1341" s="13">
        <f>IF(tblCleanData[[#This Row],[OverTime]] = "No", 0, 1)</f>
        <v>1</v>
      </c>
      <c r="AN1341" s="13" t="str">
        <f>CHOOSE(tblCleanData[[#This Row],[Education]], "Below College","College","Bachelor","Master","Doctor")</f>
        <v>Below College</v>
      </c>
      <c r="AO1341" s="13" t="str">
        <f>VLOOKUP(tblCleanData[[#This Row],[EmployeeNumber]],tblHelpers[],15,TRUE)</f>
        <v>High Risk</v>
      </c>
      <c r="AP1341" s="13">
        <f>VLOOKUP(tblCleanData[[#This Row],[EmployeeNumber]],tblHelpers[],14,0)</f>
        <v>104</v>
      </c>
    </row>
    <row r="1342" spans="1:42" x14ac:dyDescent="0.25">
      <c r="A1342" s="13">
        <v>36</v>
      </c>
      <c r="B1342" s="13" t="s">
        <v>59</v>
      </c>
      <c r="C1342" s="13" t="s">
        <v>37</v>
      </c>
      <c r="D1342" s="13">
        <v>1266</v>
      </c>
      <c r="E1342" s="13" t="s">
        <v>39</v>
      </c>
      <c r="F1342" s="13">
        <v>10</v>
      </c>
      <c r="G1342" s="13">
        <v>4</v>
      </c>
      <c r="H1342" s="13" t="s">
        <v>228</v>
      </c>
      <c r="I1342" s="13">
        <v>1</v>
      </c>
      <c r="J1342" s="13">
        <v>1880</v>
      </c>
      <c r="K1342" s="13">
        <v>2</v>
      </c>
      <c r="L1342" s="13" t="s">
        <v>43</v>
      </c>
      <c r="M1342" s="13">
        <v>63</v>
      </c>
      <c r="N1342" s="13">
        <v>2</v>
      </c>
      <c r="O1342" s="13">
        <v>2</v>
      </c>
      <c r="P1342" s="13" t="s">
        <v>46</v>
      </c>
      <c r="Q1342" s="13">
        <v>3</v>
      </c>
      <c r="R1342" s="13" t="s">
        <v>66</v>
      </c>
      <c r="S1342" s="20">
        <v>5673</v>
      </c>
      <c r="T1342" s="13">
        <v>6060</v>
      </c>
      <c r="U1342" s="13">
        <v>1</v>
      </c>
      <c r="V1342" s="13" t="s">
        <v>52</v>
      </c>
      <c r="W1342" s="13" t="s">
        <v>36</v>
      </c>
      <c r="X1342" s="13">
        <v>13</v>
      </c>
      <c r="Y1342" s="13">
        <v>3</v>
      </c>
      <c r="Z1342" s="13">
        <v>1</v>
      </c>
      <c r="AA1342" s="13">
        <v>80</v>
      </c>
      <c r="AB1342" s="13">
        <v>1</v>
      </c>
      <c r="AC1342" s="13">
        <v>10</v>
      </c>
      <c r="AD1342" s="13">
        <v>4</v>
      </c>
      <c r="AE1342" s="13">
        <v>3</v>
      </c>
      <c r="AF1342" s="14">
        <v>10</v>
      </c>
      <c r="AG1342" s="13">
        <v>9</v>
      </c>
      <c r="AH1342" s="13">
        <v>1</v>
      </c>
      <c r="AI1342" s="13">
        <v>7</v>
      </c>
      <c r="AJ1342" s="13" t="str">
        <f t="shared" si="20"/>
        <v>30-39</v>
      </c>
      <c r="AK1342" s="13" t="str">
        <f>IF(tblCleanData[[#This Row],[MonthlyIncome]]&lt;5000, "Low Income", IF(tblCleanData[[#This Row],[MonthlyIncome]]&lt;15000, "Medium Income", "High Income"))</f>
        <v>Medium Income</v>
      </c>
      <c r="AL1342" s="13">
        <f>IF(tblCleanData[[#This Row],[Attrition]]="No", 0,1)</f>
        <v>0</v>
      </c>
      <c r="AM1342" s="13">
        <f>IF(tblCleanData[[#This Row],[OverTime]] = "No", 0, 1)</f>
        <v>1</v>
      </c>
      <c r="AN1342" s="13" t="str">
        <f>CHOOSE(tblCleanData[[#This Row],[Education]], "Below College","College","Bachelor","Master","Doctor")</f>
        <v>Master</v>
      </c>
      <c r="AO1342" s="13" t="str">
        <f>VLOOKUP(tblCleanData[[#This Row],[EmployeeNumber]],tblHelpers[],15,TRUE)</f>
        <v>High Risk</v>
      </c>
      <c r="AP1342" s="13">
        <f>VLOOKUP(tblCleanData[[#This Row],[EmployeeNumber]],tblHelpers[],14,0)</f>
        <v>71</v>
      </c>
    </row>
    <row r="1343" spans="1:42" x14ac:dyDescent="0.25">
      <c r="A1343" s="13">
        <v>31</v>
      </c>
      <c r="B1343" s="13" t="s">
        <v>59</v>
      </c>
      <c r="C1343" s="13" t="s">
        <v>37</v>
      </c>
      <c r="D1343" s="13">
        <v>311</v>
      </c>
      <c r="E1343" s="13" t="s">
        <v>62</v>
      </c>
      <c r="F1343" s="13">
        <v>20</v>
      </c>
      <c r="G1343" s="13">
        <v>3</v>
      </c>
      <c r="H1343" s="13" t="s">
        <v>42</v>
      </c>
      <c r="I1343" s="13">
        <v>1</v>
      </c>
      <c r="J1343" s="13">
        <v>1881</v>
      </c>
      <c r="K1343" s="13">
        <v>2</v>
      </c>
      <c r="L1343" s="13" t="s">
        <v>63</v>
      </c>
      <c r="M1343" s="13">
        <v>89</v>
      </c>
      <c r="N1343" s="13">
        <v>3</v>
      </c>
      <c r="O1343" s="13">
        <v>2</v>
      </c>
      <c r="P1343" s="13" t="s">
        <v>76</v>
      </c>
      <c r="Q1343" s="13">
        <v>3</v>
      </c>
      <c r="R1343" s="13" t="s">
        <v>109</v>
      </c>
      <c r="S1343" s="20">
        <v>4197</v>
      </c>
      <c r="T1343" s="13">
        <v>18624</v>
      </c>
      <c r="U1343" s="13">
        <v>1</v>
      </c>
      <c r="V1343" s="13" t="s">
        <v>52</v>
      </c>
      <c r="W1343" s="13" t="s">
        <v>59</v>
      </c>
      <c r="X1343" s="13">
        <v>11</v>
      </c>
      <c r="Y1343" s="13">
        <v>3</v>
      </c>
      <c r="Z1343" s="13">
        <v>1</v>
      </c>
      <c r="AA1343" s="13">
        <v>80</v>
      </c>
      <c r="AB1343" s="13">
        <v>1</v>
      </c>
      <c r="AC1343" s="13">
        <v>10</v>
      </c>
      <c r="AD1343" s="13">
        <v>2</v>
      </c>
      <c r="AE1343" s="13">
        <v>3</v>
      </c>
      <c r="AF1343" s="14">
        <v>10</v>
      </c>
      <c r="AG1343" s="13">
        <v>8</v>
      </c>
      <c r="AH1343" s="13">
        <v>0</v>
      </c>
      <c r="AI1343" s="13">
        <v>2</v>
      </c>
      <c r="AJ1343" s="13" t="str">
        <f t="shared" si="20"/>
        <v>30-39</v>
      </c>
      <c r="AK1343" s="13" t="str">
        <f>IF(tblCleanData[[#This Row],[MonthlyIncome]]&lt;5000, "Low Income", IF(tblCleanData[[#This Row],[MonthlyIncome]]&lt;15000, "Medium Income", "High Income"))</f>
        <v>Low Income</v>
      </c>
      <c r="AL1343" s="13">
        <f>IF(tblCleanData[[#This Row],[Attrition]]="No", 0,1)</f>
        <v>0</v>
      </c>
      <c r="AM1343" s="13">
        <f>IF(tblCleanData[[#This Row],[OverTime]] = "No", 0, 1)</f>
        <v>0</v>
      </c>
      <c r="AN1343" s="13" t="str">
        <f>CHOOSE(tblCleanData[[#This Row],[Education]], "Below College","College","Bachelor","Master","Doctor")</f>
        <v>Bachelor</v>
      </c>
      <c r="AO1343" s="13" t="str">
        <f>VLOOKUP(tblCleanData[[#This Row],[EmployeeNumber]],tblHelpers[],15,TRUE)</f>
        <v>Medium Risk</v>
      </c>
      <c r="AP1343" s="13">
        <f>VLOOKUP(tblCleanData[[#This Row],[EmployeeNumber]],tblHelpers[],14,0)</f>
        <v>46</v>
      </c>
    </row>
    <row r="1344" spans="1:42" x14ac:dyDescent="0.25">
      <c r="A1344" s="13">
        <v>34</v>
      </c>
      <c r="B1344" s="13" t="s">
        <v>59</v>
      </c>
      <c r="C1344" s="13" t="s">
        <v>37</v>
      </c>
      <c r="D1344" s="13">
        <v>1480</v>
      </c>
      <c r="E1344" s="13" t="s">
        <v>39</v>
      </c>
      <c r="F1344" s="13">
        <v>4</v>
      </c>
      <c r="G1344" s="13">
        <v>3</v>
      </c>
      <c r="H1344" s="13" t="s">
        <v>42</v>
      </c>
      <c r="I1344" s="13">
        <v>1</v>
      </c>
      <c r="J1344" s="13">
        <v>1882</v>
      </c>
      <c r="K1344" s="13">
        <v>3</v>
      </c>
      <c r="L1344" s="13" t="s">
        <v>63</v>
      </c>
      <c r="M1344" s="13">
        <v>64</v>
      </c>
      <c r="N1344" s="13">
        <v>3</v>
      </c>
      <c r="O1344" s="13">
        <v>3</v>
      </c>
      <c r="P1344" s="13" t="s">
        <v>46</v>
      </c>
      <c r="Q1344" s="13">
        <v>4</v>
      </c>
      <c r="R1344" s="13" t="s">
        <v>66</v>
      </c>
      <c r="S1344" s="20">
        <v>9713</v>
      </c>
      <c r="T1344" s="13">
        <v>24444</v>
      </c>
      <c r="U1344" s="13">
        <v>2</v>
      </c>
      <c r="V1344" s="13" t="s">
        <v>52</v>
      </c>
      <c r="W1344" s="13" t="s">
        <v>36</v>
      </c>
      <c r="X1344" s="13">
        <v>13</v>
      </c>
      <c r="Y1344" s="13">
        <v>3</v>
      </c>
      <c r="Z1344" s="13">
        <v>4</v>
      </c>
      <c r="AA1344" s="13">
        <v>80</v>
      </c>
      <c r="AB1344" s="13">
        <v>3</v>
      </c>
      <c r="AC1344" s="13">
        <v>9</v>
      </c>
      <c r="AD1344" s="13">
        <v>3</v>
      </c>
      <c r="AE1344" s="13">
        <v>3</v>
      </c>
      <c r="AF1344" s="14">
        <v>5</v>
      </c>
      <c r="AG1344" s="13">
        <v>3</v>
      </c>
      <c r="AH1344" s="13">
        <v>1</v>
      </c>
      <c r="AI1344" s="13">
        <v>0</v>
      </c>
      <c r="AJ1344" s="13" t="str">
        <f t="shared" si="20"/>
        <v>30-39</v>
      </c>
      <c r="AK1344" s="13" t="str">
        <f>IF(tblCleanData[[#This Row],[MonthlyIncome]]&lt;5000, "Low Income", IF(tblCleanData[[#This Row],[MonthlyIncome]]&lt;15000, "Medium Income", "High Income"))</f>
        <v>Medium Income</v>
      </c>
      <c r="AL1344" s="13">
        <f>IF(tblCleanData[[#This Row],[Attrition]]="No", 0,1)</f>
        <v>0</v>
      </c>
      <c r="AM1344" s="13">
        <f>IF(tblCleanData[[#This Row],[OverTime]] = "No", 0, 1)</f>
        <v>1</v>
      </c>
      <c r="AN1344" s="13" t="str">
        <f>CHOOSE(tblCleanData[[#This Row],[Education]], "Below College","College","Bachelor","Master","Doctor")</f>
        <v>Bachelor</v>
      </c>
      <c r="AO1344" s="13" t="str">
        <f>VLOOKUP(tblCleanData[[#This Row],[EmployeeNumber]],tblHelpers[],15,TRUE)</f>
        <v>High Risk</v>
      </c>
      <c r="AP1344" s="13">
        <f>VLOOKUP(tblCleanData[[#This Row],[EmployeeNumber]],tblHelpers[],14,0)</f>
        <v>71</v>
      </c>
    </row>
    <row r="1345" spans="1:42" x14ac:dyDescent="0.25">
      <c r="A1345" s="13">
        <v>29</v>
      </c>
      <c r="B1345" s="13" t="s">
        <v>59</v>
      </c>
      <c r="C1345" s="13" t="s">
        <v>37</v>
      </c>
      <c r="D1345" s="13">
        <v>592</v>
      </c>
      <c r="E1345" s="13" t="s">
        <v>62</v>
      </c>
      <c r="F1345" s="13">
        <v>7</v>
      </c>
      <c r="G1345" s="13">
        <v>3</v>
      </c>
      <c r="H1345" s="13" t="s">
        <v>42</v>
      </c>
      <c r="I1345" s="13">
        <v>1</v>
      </c>
      <c r="J1345" s="13">
        <v>1883</v>
      </c>
      <c r="K1345" s="13">
        <v>4</v>
      </c>
      <c r="L1345" s="13" t="s">
        <v>63</v>
      </c>
      <c r="M1345" s="13">
        <v>59</v>
      </c>
      <c r="N1345" s="13">
        <v>3</v>
      </c>
      <c r="O1345" s="13">
        <v>1</v>
      </c>
      <c r="P1345" s="13" t="s">
        <v>76</v>
      </c>
      <c r="Q1345" s="13">
        <v>1</v>
      </c>
      <c r="R1345" s="13" t="s">
        <v>48</v>
      </c>
      <c r="S1345" s="20">
        <v>2062</v>
      </c>
      <c r="T1345" s="13">
        <v>19384</v>
      </c>
      <c r="U1345" s="13">
        <v>3</v>
      </c>
      <c r="V1345" s="13" t="s">
        <v>52</v>
      </c>
      <c r="W1345" s="13" t="s">
        <v>59</v>
      </c>
      <c r="X1345" s="13">
        <v>14</v>
      </c>
      <c r="Y1345" s="13">
        <v>3</v>
      </c>
      <c r="Z1345" s="13">
        <v>2</v>
      </c>
      <c r="AA1345" s="13">
        <v>80</v>
      </c>
      <c r="AB1345" s="13">
        <v>0</v>
      </c>
      <c r="AC1345" s="13">
        <v>11</v>
      </c>
      <c r="AD1345" s="13">
        <v>2</v>
      </c>
      <c r="AE1345" s="13">
        <v>3</v>
      </c>
      <c r="AF1345" s="14">
        <v>3</v>
      </c>
      <c r="AG1345" s="13">
        <v>2</v>
      </c>
      <c r="AH1345" s="13">
        <v>1</v>
      </c>
      <c r="AI1345" s="13">
        <v>2</v>
      </c>
      <c r="AJ1345" s="13" t="str">
        <f t="shared" si="20"/>
        <v>Under 30</v>
      </c>
      <c r="AK1345" s="13" t="str">
        <f>IF(tblCleanData[[#This Row],[MonthlyIncome]]&lt;5000, "Low Income", IF(tblCleanData[[#This Row],[MonthlyIncome]]&lt;15000, "Medium Income", "High Income"))</f>
        <v>Low Income</v>
      </c>
      <c r="AL1345" s="13">
        <f>IF(tblCleanData[[#This Row],[Attrition]]="No", 0,1)</f>
        <v>0</v>
      </c>
      <c r="AM1345" s="13">
        <f>IF(tblCleanData[[#This Row],[OverTime]] = "No", 0, 1)</f>
        <v>0</v>
      </c>
      <c r="AN1345" s="13" t="str">
        <f>CHOOSE(tblCleanData[[#This Row],[Education]], "Below College","College","Bachelor","Master","Doctor")</f>
        <v>Bachelor</v>
      </c>
      <c r="AO1345" s="13" t="str">
        <f>VLOOKUP(tblCleanData[[#This Row],[EmployeeNumber]],tblHelpers[],15,TRUE)</f>
        <v>High Risk</v>
      </c>
      <c r="AP1345" s="13">
        <f>VLOOKUP(tblCleanData[[#This Row],[EmployeeNumber]],tblHelpers[],14,0)</f>
        <v>75</v>
      </c>
    </row>
    <row r="1346" spans="1:42" x14ac:dyDescent="0.25">
      <c r="A1346" s="13">
        <v>37</v>
      </c>
      <c r="B1346" s="13" t="s">
        <v>59</v>
      </c>
      <c r="C1346" s="13" t="s">
        <v>37</v>
      </c>
      <c r="D1346" s="13">
        <v>783</v>
      </c>
      <c r="E1346" s="13" t="s">
        <v>62</v>
      </c>
      <c r="F1346" s="13">
        <v>7</v>
      </c>
      <c r="G1346" s="13">
        <v>4</v>
      </c>
      <c r="H1346" s="13" t="s">
        <v>87</v>
      </c>
      <c r="I1346" s="13">
        <v>1</v>
      </c>
      <c r="J1346" s="13">
        <v>1885</v>
      </c>
      <c r="K1346" s="13">
        <v>4</v>
      </c>
      <c r="L1346" s="13" t="s">
        <v>63</v>
      </c>
      <c r="M1346" s="13">
        <v>78</v>
      </c>
      <c r="N1346" s="13">
        <v>3</v>
      </c>
      <c r="O1346" s="13">
        <v>2</v>
      </c>
      <c r="P1346" s="13" t="s">
        <v>65</v>
      </c>
      <c r="Q1346" s="13">
        <v>1</v>
      </c>
      <c r="R1346" s="13" t="s">
        <v>66</v>
      </c>
      <c r="S1346" s="20">
        <v>4284</v>
      </c>
      <c r="T1346" s="13">
        <v>13588</v>
      </c>
      <c r="U1346" s="13">
        <v>5</v>
      </c>
      <c r="V1346" s="13" t="s">
        <v>52</v>
      </c>
      <c r="W1346" s="13" t="s">
        <v>36</v>
      </c>
      <c r="X1346" s="13">
        <v>22</v>
      </c>
      <c r="Y1346" s="13">
        <v>4</v>
      </c>
      <c r="Z1346" s="13">
        <v>3</v>
      </c>
      <c r="AA1346" s="13">
        <v>80</v>
      </c>
      <c r="AB1346" s="13">
        <v>1</v>
      </c>
      <c r="AC1346" s="13">
        <v>16</v>
      </c>
      <c r="AD1346" s="13">
        <v>2</v>
      </c>
      <c r="AE1346" s="13">
        <v>3</v>
      </c>
      <c r="AF1346" s="14">
        <v>5</v>
      </c>
      <c r="AG1346" s="13">
        <v>3</v>
      </c>
      <c r="AH1346" s="13">
        <v>0</v>
      </c>
      <c r="AI1346" s="13">
        <v>4</v>
      </c>
      <c r="AJ1346" s="13" t="str">
        <f t="shared" ref="AJ1346:AJ1409" si="21">IF(A1346&lt;30,"Under 30", IF(A1346&lt;40,"30-39", IF(A1346&lt;50,"40-49", "50+")))</f>
        <v>30-39</v>
      </c>
      <c r="AK1346" s="13" t="str">
        <f>IF(tblCleanData[[#This Row],[MonthlyIncome]]&lt;5000, "Low Income", IF(tblCleanData[[#This Row],[MonthlyIncome]]&lt;15000, "Medium Income", "High Income"))</f>
        <v>Low Income</v>
      </c>
      <c r="AL1346" s="13">
        <f>IF(tblCleanData[[#This Row],[Attrition]]="No", 0,1)</f>
        <v>0</v>
      </c>
      <c r="AM1346" s="13">
        <f>IF(tblCleanData[[#This Row],[OverTime]] = "No", 0, 1)</f>
        <v>1</v>
      </c>
      <c r="AN1346" s="13" t="str">
        <f>CHOOSE(tblCleanData[[#This Row],[Education]], "Below College","College","Bachelor","Master","Doctor")</f>
        <v>Master</v>
      </c>
      <c r="AO1346" s="13" t="str">
        <f>VLOOKUP(tblCleanData[[#This Row],[EmployeeNumber]],tblHelpers[],15,TRUE)</f>
        <v>High Risk</v>
      </c>
      <c r="AP1346" s="13">
        <f>VLOOKUP(tblCleanData[[#This Row],[EmployeeNumber]],tblHelpers[],14,0)</f>
        <v>90</v>
      </c>
    </row>
    <row r="1347" spans="1:42" x14ac:dyDescent="0.25">
      <c r="A1347" s="13">
        <v>35</v>
      </c>
      <c r="B1347" s="13" t="s">
        <v>59</v>
      </c>
      <c r="C1347" s="13" t="s">
        <v>37</v>
      </c>
      <c r="D1347" s="13">
        <v>219</v>
      </c>
      <c r="E1347" s="13" t="s">
        <v>62</v>
      </c>
      <c r="F1347" s="13">
        <v>16</v>
      </c>
      <c r="G1347" s="13">
        <v>2</v>
      </c>
      <c r="H1347" s="13" t="s">
        <v>74</v>
      </c>
      <c r="I1347" s="13">
        <v>1</v>
      </c>
      <c r="J1347" s="13">
        <v>1886</v>
      </c>
      <c r="K1347" s="13">
        <v>4</v>
      </c>
      <c r="L1347" s="13" t="s">
        <v>43</v>
      </c>
      <c r="M1347" s="13">
        <v>44</v>
      </c>
      <c r="N1347" s="13">
        <v>2</v>
      </c>
      <c r="O1347" s="13">
        <v>2</v>
      </c>
      <c r="P1347" s="13" t="s">
        <v>116</v>
      </c>
      <c r="Q1347" s="13">
        <v>2</v>
      </c>
      <c r="R1347" s="13" t="s">
        <v>66</v>
      </c>
      <c r="S1347" s="20">
        <v>4788</v>
      </c>
      <c r="T1347" s="13">
        <v>25388</v>
      </c>
      <c r="U1347" s="13">
        <v>0</v>
      </c>
      <c r="V1347" s="13" t="s">
        <v>52</v>
      </c>
      <c r="W1347" s="13" t="s">
        <v>36</v>
      </c>
      <c r="X1347" s="13">
        <v>11</v>
      </c>
      <c r="Y1347" s="13">
        <v>3</v>
      </c>
      <c r="Z1347" s="13">
        <v>4</v>
      </c>
      <c r="AA1347" s="13">
        <v>80</v>
      </c>
      <c r="AB1347" s="13">
        <v>0</v>
      </c>
      <c r="AC1347" s="13">
        <v>4</v>
      </c>
      <c r="AD1347" s="13">
        <v>2</v>
      </c>
      <c r="AE1347" s="13">
        <v>3</v>
      </c>
      <c r="AF1347" s="14">
        <v>3</v>
      </c>
      <c r="AG1347" s="13">
        <v>2</v>
      </c>
      <c r="AH1347" s="13">
        <v>0</v>
      </c>
      <c r="AI1347" s="13">
        <v>2</v>
      </c>
      <c r="AJ1347" s="13" t="str">
        <f t="shared" si="21"/>
        <v>30-39</v>
      </c>
      <c r="AK1347" s="13" t="str">
        <f>IF(tblCleanData[[#This Row],[MonthlyIncome]]&lt;5000, "Low Income", IF(tblCleanData[[#This Row],[MonthlyIncome]]&lt;15000, "Medium Income", "High Income"))</f>
        <v>Low Income</v>
      </c>
      <c r="AL1347" s="13">
        <f>IF(tblCleanData[[#This Row],[Attrition]]="No", 0,1)</f>
        <v>0</v>
      </c>
      <c r="AM1347" s="13">
        <f>IF(tblCleanData[[#This Row],[OverTime]] = "No", 0, 1)</f>
        <v>1</v>
      </c>
      <c r="AN1347" s="13" t="str">
        <f>CHOOSE(tblCleanData[[#This Row],[Education]], "Below College","College","Bachelor","Master","Doctor")</f>
        <v>College</v>
      </c>
      <c r="AO1347" s="13" t="str">
        <f>VLOOKUP(tblCleanData[[#This Row],[EmployeeNumber]],tblHelpers[],15,TRUE)</f>
        <v>High Risk</v>
      </c>
      <c r="AP1347" s="13">
        <f>VLOOKUP(tblCleanData[[#This Row],[EmployeeNumber]],tblHelpers[],14,0)</f>
        <v>84</v>
      </c>
    </row>
    <row r="1348" spans="1:42" x14ac:dyDescent="0.25">
      <c r="A1348" s="13">
        <v>45</v>
      </c>
      <c r="B1348" s="13" t="s">
        <v>59</v>
      </c>
      <c r="C1348" s="13" t="s">
        <v>37</v>
      </c>
      <c r="D1348" s="13">
        <v>556</v>
      </c>
      <c r="E1348" s="13" t="s">
        <v>62</v>
      </c>
      <c r="F1348" s="13">
        <v>25</v>
      </c>
      <c r="G1348" s="13">
        <v>2</v>
      </c>
      <c r="H1348" s="13" t="s">
        <v>42</v>
      </c>
      <c r="I1348" s="13">
        <v>1</v>
      </c>
      <c r="J1348" s="13">
        <v>1888</v>
      </c>
      <c r="K1348" s="13">
        <v>2</v>
      </c>
      <c r="L1348" s="13" t="s">
        <v>43</v>
      </c>
      <c r="M1348" s="13">
        <v>93</v>
      </c>
      <c r="N1348" s="13">
        <v>2</v>
      </c>
      <c r="O1348" s="13">
        <v>2</v>
      </c>
      <c r="P1348" s="13" t="s">
        <v>116</v>
      </c>
      <c r="Q1348" s="13">
        <v>4</v>
      </c>
      <c r="R1348" s="13" t="s">
        <v>66</v>
      </c>
      <c r="S1348" s="20">
        <v>5906</v>
      </c>
      <c r="T1348" s="13">
        <v>23888</v>
      </c>
      <c r="U1348" s="13">
        <v>0</v>
      </c>
      <c r="V1348" s="13" t="s">
        <v>52</v>
      </c>
      <c r="W1348" s="13" t="s">
        <v>59</v>
      </c>
      <c r="X1348" s="13">
        <v>13</v>
      </c>
      <c r="Y1348" s="13">
        <v>3</v>
      </c>
      <c r="Z1348" s="13">
        <v>4</v>
      </c>
      <c r="AA1348" s="13">
        <v>80</v>
      </c>
      <c r="AB1348" s="13">
        <v>2</v>
      </c>
      <c r="AC1348" s="13">
        <v>10</v>
      </c>
      <c r="AD1348" s="13">
        <v>2</v>
      </c>
      <c r="AE1348" s="13">
        <v>2</v>
      </c>
      <c r="AF1348" s="14">
        <v>9</v>
      </c>
      <c r="AG1348" s="13">
        <v>8</v>
      </c>
      <c r="AH1348" s="13">
        <v>3</v>
      </c>
      <c r="AI1348" s="13">
        <v>8</v>
      </c>
      <c r="AJ1348" s="13" t="str">
        <f t="shared" si="21"/>
        <v>40-49</v>
      </c>
      <c r="AK1348" s="13" t="str">
        <f>IF(tblCleanData[[#This Row],[MonthlyIncome]]&lt;5000, "Low Income", IF(tblCleanData[[#This Row],[MonthlyIncome]]&lt;15000, "Medium Income", "High Income"))</f>
        <v>Medium Income</v>
      </c>
      <c r="AL1348" s="13">
        <f>IF(tblCleanData[[#This Row],[Attrition]]="No", 0,1)</f>
        <v>0</v>
      </c>
      <c r="AM1348" s="13">
        <f>IF(tblCleanData[[#This Row],[OverTime]] = "No", 0, 1)</f>
        <v>0</v>
      </c>
      <c r="AN1348" s="13" t="str">
        <f>CHOOSE(tblCleanData[[#This Row],[Education]], "Below College","College","Bachelor","Master","Doctor")</f>
        <v>College</v>
      </c>
      <c r="AO1348" s="13" t="str">
        <f>VLOOKUP(tblCleanData[[#This Row],[EmployeeNumber]],tblHelpers[],15,TRUE)</f>
        <v>Low Risk</v>
      </c>
      <c r="AP1348" s="13">
        <f>VLOOKUP(tblCleanData[[#This Row],[EmployeeNumber]],tblHelpers[],14,0)</f>
        <v>29</v>
      </c>
    </row>
    <row r="1349" spans="1:42" x14ac:dyDescent="0.25">
      <c r="A1349" s="13">
        <v>36</v>
      </c>
      <c r="B1349" s="13" t="s">
        <v>59</v>
      </c>
      <c r="C1349" s="13" t="s">
        <v>60</v>
      </c>
      <c r="D1349" s="13">
        <v>1213</v>
      </c>
      <c r="E1349" s="13" t="s">
        <v>397</v>
      </c>
      <c r="F1349" s="13">
        <v>2</v>
      </c>
      <c r="G1349" s="13">
        <v>1</v>
      </c>
      <c r="H1349" s="13" t="s">
        <v>397</v>
      </c>
      <c r="I1349" s="13">
        <v>1</v>
      </c>
      <c r="J1349" s="13">
        <v>1890</v>
      </c>
      <c r="K1349" s="13">
        <v>2</v>
      </c>
      <c r="L1349" s="13" t="s">
        <v>63</v>
      </c>
      <c r="M1349" s="13">
        <v>94</v>
      </c>
      <c r="N1349" s="13">
        <v>2</v>
      </c>
      <c r="O1349" s="13">
        <v>2</v>
      </c>
      <c r="P1349" s="13" t="s">
        <v>397</v>
      </c>
      <c r="Q1349" s="13">
        <v>4</v>
      </c>
      <c r="R1349" s="13" t="s">
        <v>48</v>
      </c>
      <c r="S1349" s="20">
        <v>3886</v>
      </c>
      <c r="T1349" s="13">
        <v>4223</v>
      </c>
      <c r="U1349" s="13">
        <v>1</v>
      </c>
      <c r="V1349" s="13" t="s">
        <v>52</v>
      </c>
      <c r="W1349" s="13" t="s">
        <v>59</v>
      </c>
      <c r="X1349" s="13">
        <v>21</v>
      </c>
      <c r="Y1349" s="13">
        <v>4</v>
      </c>
      <c r="Z1349" s="13">
        <v>4</v>
      </c>
      <c r="AA1349" s="13">
        <v>80</v>
      </c>
      <c r="AB1349" s="13">
        <v>0</v>
      </c>
      <c r="AC1349" s="13">
        <v>10</v>
      </c>
      <c r="AD1349" s="13">
        <v>2</v>
      </c>
      <c r="AE1349" s="13">
        <v>2</v>
      </c>
      <c r="AF1349" s="14">
        <v>10</v>
      </c>
      <c r="AG1349" s="13">
        <v>1</v>
      </c>
      <c r="AH1349" s="13">
        <v>0</v>
      </c>
      <c r="AI1349" s="13">
        <v>8</v>
      </c>
      <c r="AJ1349" s="13" t="str">
        <f t="shared" si="21"/>
        <v>30-39</v>
      </c>
      <c r="AK1349" s="13" t="str">
        <f>IF(tblCleanData[[#This Row],[MonthlyIncome]]&lt;5000, "Low Income", IF(tblCleanData[[#This Row],[MonthlyIncome]]&lt;15000, "Medium Income", "High Income"))</f>
        <v>Low Income</v>
      </c>
      <c r="AL1349" s="13">
        <f>IF(tblCleanData[[#This Row],[Attrition]]="No", 0,1)</f>
        <v>0</v>
      </c>
      <c r="AM1349" s="13">
        <f>IF(tblCleanData[[#This Row],[OverTime]] = "No", 0, 1)</f>
        <v>0</v>
      </c>
      <c r="AN1349" s="13" t="str">
        <f>CHOOSE(tblCleanData[[#This Row],[Education]], "Below College","College","Bachelor","Master","Doctor")</f>
        <v>Below College</v>
      </c>
      <c r="AO1349" s="13" t="str">
        <f>VLOOKUP(tblCleanData[[#This Row],[EmployeeNumber]],tblHelpers[],15,TRUE)</f>
        <v>Medium Risk</v>
      </c>
      <c r="AP1349" s="13">
        <f>VLOOKUP(tblCleanData[[#This Row],[EmployeeNumber]],tblHelpers[],14,0)</f>
        <v>39</v>
      </c>
    </row>
    <row r="1350" spans="1:42" x14ac:dyDescent="0.25">
      <c r="A1350" s="13">
        <v>40</v>
      </c>
      <c r="B1350" s="13" t="s">
        <v>59</v>
      </c>
      <c r="C1350" s="13" t="s">
        <v>37</v>
      </c>
      <c r="D1350" s="13">
        <v>1137</v>
      </c>
      <c r="E1350" s="13" t="s">
        <v>62</v>
      </c>
      <c r="F1350" s="13">
        <v>1</v>
      </c>
      <c r="G1350" s="13">
        <v>4</v>
      </c>
      <c r="H1350" s="13" t="s">
        <v>42</v>
      </c>
      <c r="I1350" s="13">
        <v>1</v>
      </c>
      <c r="J1350" s="13">
        <v>1892</v>
      </c>
      <c r="K1350" s="13">
        <v>1</v>
      </c>
      <c r="L1350" s="13" t="s">
        <v>63</v>
      </c>
      <c r="M1350" s="13">
        <v>98</v>
      </c>
      <c r="N1350" s="13">
        <v>3</v>
      </c>
      <c r="O1350" s="13">
        <v>4</v>
      </c>
      <c r="P1350" s="13" t="s">
        <v>169</v>
      </c>
      <c r="Q1350" s="13">
        <v>1</v>
      </c>
      <c r="R1350" s="13" t="s">
        <v>109</v>
      </c>
      <c r="S1350" s="20">
        <v>16823</v>
      </c>
      <c r="T1350" s="13">
        <v>18991</v>
      </c>
      <c r="U1350" s="13">
        <v>2</v>
      </c>
      <c r="V1350" s="13" t="s">
        <v>52</v>
      </c>
      <c r="W1350" s="13" t="s">
        <v>59</v>
      </c>
      <c r="X1350" s="13">
        <v>11</v>
      </c>
      <c r="Y1350" s="13">
        <v>3</v>
      </c>
      <c r="Z1350" s="13">
        <v>1</v>
      </c>
      <c r="AA1350" s="13">
        <v>80</v>
      </c>
      <c r="AB1350" s="13">
        <v>1</v>
      </c>
      <c r="AC1350" s="13">
        <v>22</v>
      </c>
      <c r="AD1350" s="13">
        <v>3</v>
      </c>
      <c r="AE1350" s="13">
        <v>3</v>
      </c>
      <c r="AF1350" s="14">
        <v>19</v>
      </c>
      <c r="AG1350" s="13">
        <v>7</v>
      </c>
      <c r="AH1350" s="13">
        <v>11</v>
      </c>
      <c r="AI1350" s="13">
        <v>16</v>
      </c>
      <c r="AJ1350" s="13" t="str">
        <f t="shared" si="21"/>
        <v>40-49</v>
      </c>
      <c r="AK1350" s="13" t="str">
        <f>IF(tblCleanData[[#This Row],[MonthlyIncome]]&lt;5000, "Low Income", IF(tblCleanData[[#This Row],[MonthlyIncome]]&lt;15000, "Medium Income", "High Income"))</f>
        <v>High Income</v>
      </c>
      <c r="AL1350" s="13">
        <f>IF(tblCleanData[[#This Row],[Attrition]]="No", 0,1)</f>
        <v>0</v>
      </c>
      <c r="AM1350" s="13">
        <f>IF(tblCleanData[[#This Row],[OverTime]] = "No", 0, 1)</f>
        <v>0</v>
      </c>
      <c r="AN1350" s="13" t="str">
        <f>CHOOSE(tblCleanData[[#This Row],[Education]], "Below College","College","Bachelor","Master","Doctor")</f>
        <v>Master</v>
      </c>
      <c r="AO1350" s="13" t="str">
        <f>VLOOKUP(tblCleanData[[#This Row],[EmployeeNumber]],tblHelpers[],15,TRUE)</f>
        <v>Medium Risk</v>
      </c>
      <c r="AP1350" s="13">
        <f>VLOOKUP(tblCleanData[[#This Row],[EmployeeNumber]],tblHelpers[],14,0)</f>
        <v>43</v>
      </c>
    </row>
    <row r="1351" spans="1:42" x14ac:dyDescent="0.25">
      <c r="A1351" s="13">
        <v>26</v>
      </c>
      <c r="B1351" s="13" t="s">
        <v>59</v>
      </c>
      <c r="C1351" s="13" t="s">
        <v>37</v>
      </c>
      <c r="D1351" s="13">
        <v>482</v>
      </c>
      <c r="E1351" s="13" t="s">
        <v>62</v>
      </c>
      <c r="F1351" s="13">
        <v>1</v>
      </c>
      <c r="G1351" s="13">
        <v>2</v>
      </c>
      <c r="H1351" s="13" t="s">
        <v>42</v>
      </c>
      <c r="I1351" s="13">
        <v>1</v>
      </c>
      <c r="J1351" s="13">
        <v>1893</v>
      </c>
      <c r="K1351" s="13">
        <v>2</v>
      </c>
      <c r="L1351" s="13" t="s">
        <v>43</v>
      </c>
      <c r="M1351" s="13">
        <v>90</v>
      </c>
      <c r="N1351" s="13">
        <v>2</v>
      </c>
      <c r="O1351" s="13">
        <v>1</v>
      </c>
      <c r="P1351" s="13" t="s">
        <v>65</v>
      </c>
      <c r="Q1351" s="13">
        <v>3</v>
      </c>
      <c r="R1351" s="13" t="s">
        <v>66</v>
      </c>
      <c r="S1351" s="20">
        <v>2933</v>
      </c>
      <c r="T1351" s="13">
        <v>14908</v>
      </c>
      <c r="U1351" s="13">
        <v>1</v>
      </c>
      <c r="V1351" s="13" t="s">
        <v>52</v>
      </c>
      <c r="W1351" s="13" t="s">
        <v>36</v>
      </c>
      <c r="X1351" s="13">
        <v>13</v>
      </c>
      <c r="Y1351" s="13">
        <v>3</v>
      </c>
      <c r="Z1351" s="13">
        <v>3</v>
      </c>
      <c r="AA1351" s="13">
        <v>80</v>
      </c>
      <c r="AB1351" s="13">
        <v>1</v>
      </c>
      <c r="AC1351" s="13">
        <v>1</v>
      </c>
      <c r="AD1351" s="13">
        <v>3</v>
      </c>
      <c r="AE1351" s="13">
        <v>2</v>
      </c>
      <c r="AF1351" s="14">
        <v>1</v>
      </c>
      <c r="AG1351" s="13">
        <v>0</v>
      </c>
      <c r="AH1351" s="13">
        <v>1</v>
      </c>
      <c r="AI1351" s="13">
        <v>0</v>
      </c>
      <c r="AJ1351" s="13" t="str">
        <f t="shared" si="21"/>
        <v>Under 30</v>
      </c>
      <c r="AK1351" s="13" t="str">
        <f>IF(tblCleanData[[#This Row],[MonthlyIncome]]&lt;5000, "Low Income", IF(tblCleanData[[#This Row],[MonthlyIncome]]&lt;15000, "Medium Income", "High Income"))</f>
        <v>Low Income</v>
      </c>
      <c r="AL1351" s="13">
        <f>IF(tblCleanData[[#This Row],[Attrition]]="No", 0,1)</f>
        <v>0</v>
      </c>
      <c r="AM1351" s="13">
        <f>IF(tblCleanData[[#This Row],[OverTime]] = "No", 0, 1)</f>
        <v>1</v>
      </c>
      <c r="AN1351" s="13" t="str">
        <f>CHOOSE(tblCleanData[[#This Row],[Education]], "Below College","College","Bachelor","Master","Doctor")</f>
        <v>College</v>
      </c>
      <c r="AO1351" s="13" t="str">
        <f>VLOOKUP(tblCleanData[[#This Row],[EmployeeNumber]],tblHelpers[],15,TRUE)</f>
        <v>High Risk</v>
      </c>
      <c r="AP1351" s="13">
        <f>VLOOKUP(tblCleanData[[#This Row],[EmployeeNumber]],tblHelpers[],14,0)</f>
        <v>98</v>
      </c>
    </row>
    <row r="1352" spans="1:42" x14ac:dyDescent="0.25">
      <c r="A1352" s="13">
        <v>27</v>
      </c>
      <c r="B1352" s="13" t="s">
        <v>59</v>
      </c>
      <c r="C1352" s="13" t="s">
        <v>37</v>
      </c>
      <c r="D1352" s="13">
        <v>511</v>
      </c>
      <c r="E1352" s="13" t="s">
        <v>39</v>
      </c>
      <c r="F1352" s="13">
        <v>2</v>
      </c>
      <c r="G1352" s="13">
        <v>2</v>
      </c>
      <c r="H1352" s="13" t="s">
        <v>87</v>
      </c>
      <c r="I1352" s="13">
        <v>1</v>
      </c>
      <c r="J1352" s="13">
        <v>1898</v>
      </c>
      <c r="K1352" s="13">
        <v>1</v>
      </c>
      <c r="L1352" s="13" t="s">
        <v>43</v>
      </c>
      <c r="M1352" s="13">
        <v>89</v>
      </c>
      <c r="N1352" s="13">
        <v>4</v>
      </c>
      <c r="O1352" s="13">
        <v>2</v>
      </c>
      <c r="P1352" s="13" t="s">
        <v>46</v>
      </c>
      <c r="Q1352" s="13">
        <v>3</v>
      </c>
      <c r="R1352" s="13" t="s">
        <v>48</v>
      </c>
      <c r="S1352" s="20">
        <v>6500</v>
      </c>
      <c r="T1352" s="13">
        <v>26997</v>
      </c>
      <c r="U1352" s="13">
        <v>0</v>
      </c>
      <c r="V1352" s="13" t="s">
        <v>52</v>
      </c>
      <c r="W1352" s="13" t="s">
        <v>59</v>
      </c>
      <c r="X1352" s="13">
        <v>14</v>
      </c>
      <c r="Y1352" s="13">
        <v>3</v>
      </c>
      <c r="Z1352" s="13">
        <v>2</v>
      </c>
      <c r="AA1352" s="13">
        <v>80</v>
      </c>
      <c r="AB1352" s="13">
        <v>0</v>
      </c>
      <c r="AC1352" s="13">
        <v>9</v>
      </c>
      <c r="AD1352" s="13">
        <v>5</v>
      </c>
      <c r="AE1352" s="13">
        <v>2</v>
      </c>
      <c r="AF1352" s="14">
        <v>8</v>
      </c>
      <c r="AG1352" s="13">
        <v>7</v>
      </c>
      <c r="AH1352" s="13">
        <v>0</v>
      </c>
      <c r="AI1352" s="13">
        <v>7</v>
      </c>
      <c r="AJ1352" s="13" t="str">
        <f t="shared" si="21"/>
        <v>Under 30</v>
      </c>
      <c r="AK1352" s="13" t="str">
        <f>IF(tblCleanData[[#This Row],[MonthlyIncome]]&lt;5000, "Low Income", IF(tblCleanData[[#This Row],[MonthlyIncome]]&lt;15000, "Medium Income", "High Income"))</f>
        <v>Medium Income</v>
      </c>
      <c r="AL1352" s="13">
        <f>IF(tblCleanData[[#This Row],[Attrition]]="No", 0,1)</f>
        <v>0</v>
      </c>
      <c r="AM1352" s="13">
        <f>IF(tblCleanData[[#This Row],[OverTime]] = "No", 0, 1)</f>
        <v>0</v>
      </c>
      <c r="AN1352" s="13" t="str">
        <f>CHOOSE(tblCleanData[[#This Row],[Education]], "Below College","College","Bachelor","Master","Doctor")</f>
        <v>College</v>
      </c>
      <c r="AO1352" s="13" t="str">
        <f>VLOOKUP(tblCleanData[[#This Row],[EmployeeNumber]],tblHelpers[],15,TRUE)</f>
        <v>High Risk</v>
      </c>
      <c r="AP1352" s="13">
        <f>VLOOKUP(tblCleanData[[#This Row],[EmployeeNumber]],tblHelpers[],14,0)</f>
        <v>56</v>
      </c>
    </row>
    <row r="1353" spans="1:42" x14ac:dyDescent="0.25">
      <c r="A1353" s="13">
        <v>48</v>
      </c>
      <c r="B1353" s="13" t="s">
        <v>59</v>
      </c>
      <c r="C1353" s="13" t="s">
        <v>60</v>
      </c>
      <c r="D1353" s="13">
        <v>117</v>
      </c>
      <c r="E1353" s="13" t="s">
        <v>62</v>
      </c>
      <c r="F1353" s="13">
        <v>22</v>
      </c>
      <c r="G1353" s="13">
        <v>3</v>
      </c>
      <c r="H1353" s="13" t="s">
        <v>87</v>
      </c>
      <c r="I1353" s="13">
        <v>1</v>
      </c>
      <c r="J1353" s="13">
        <v>1900</v>
      </c>
      <c r="K1353" s="13">
        <v>4</v>
      </c>
      <c r="L1353" s="13" t="s">
        <v>43</v>
      </c>
      <c r="M1353" s="13">
        <v>58</v>
      </c>
      <c r="N1353" s="13">
        <v>3</v>
      </c>
      <c r="O1353" s="13">
        <v>4</v>
      </c>
      <c r="P1353" s="13" t="s">
        <v>169</v>
      </c>
      <c r="Q1353" s="13">
        <v>4</v>
      </c>
      <c r="R1353" s="13" t="s">
        <v>109</v>
      </c>
      <c r="S1353" s="20">
        <v>17174</v>
      </c>
      <c r="T1353" s="13">
        <v>2437</v>
      </c>
      <c r="U1353" s="13">
        <v>3</v>
      </c>
      <c r="V1353" s="13" t="s">
        <v>52</v>
      </c>
      <c r="W1353" s="13" t="s">
        <v>59</v>
      </c>
      <c r="X1353" s="13">
        <v>11</v>
      </c>
      <c r="Y1353" s="13">
        <v>3</v>
      </c>
      <c r="Z1353" s="13">
        <v>2</v>
      </c>
      <c r="AA1353" s="13">
        <v>80</v>
      </c>
      <c r="AB1353" s="13">
        <v>1</v>
      </c>
      <c r="AC1353" s="13">
        <v>24</v>
      </c>
      <c r="AD1353" s="13">
        <v>3</v>
      </c>
      <c r="AE1353" s="13">
        <v>3</v>
      </c>
      <c r="AF1353" s="14">
        <v>22</v>
      </c>
      <c r="AG1353" s="13">
        <v>17</v>
      </c>
      <c r="AH1353" s="13">
        <v>4</v>
      </c>
      <c r="AI1353" s="13">
        <v>7</v>
      </c>
      <c r="AJ1353" s="13" t="str">
        <f t="shared" si="21"/>
        <v>40-49</v>
      </c>
      <c r="AK1353" s="13" t="str">
        <f>IF(tblCleanData[[#This Row],[MonthlyIncome]]&lt;5000, "Low Income", IF(tblCleanData[[#This Row],[MonthlyIncome]]&lt;15000, "Medium Income", "High Income"))</f>
        <v>High Income</v>
      </c>
      <c r="AL1353" s="13">
        <f>IF(tblCleanData[[#This Row],[Attrition]]="No", 0,1)</f>
        <v>0</v>
      </c>
      <c r="AM1353" s="13">
        <f>IF(tblCleanData[[#This Row],[OverTime]] = "No", 0, 1)</f>
        <v>0</v>
      </c>
      <c r="AN1353" s="13" t="str">
        <f>CHOOSE(tblCleanData[[#This Row],[Education]], "Below College","College","Bachelor","Master","Doctor")</f>
        <v>Bachelor</v>
      </c>
      <c r="AO1353" s="13" t="str">
        <f>VLOOKUP(tblCleanData[[#This Row],[EmployeeNumber]],tblHelpers[],15,TRUE)</f>
        <v>Low Risk</v>
      </c>
      <c r="AP1353" s="13">
        <f>VLOOKUP(tblCleanData[[#This Row],[EmployeeNumber]],tblHelpers[],14,0)</f>
        <v>24</v>
      </c>
    </row>
    <row r="1354" spans="1:42" x14ac:dyDescent="0.25">
      <c r="A1354" s="13">
        <v>44</v>
      </c>
      <c r="B1354" s="13" t="s">
        <v>59</v>
      </c>
      <c r="C1354" s="13" t="s">
        <v>37</v>
      </c>
      <c r="D1354" s="13">
        <v>170</v>
      </c>
      <c r="E1354" s="13" t="s">
        <v>62</v>
      </c>
      <c r="F1354" s="13">
        <v>1</v>
      </c>
      <c r="G1354" s="13">
        <v>4</v>
      </c>
      <c r="H1354" s="13" t="s">
        <v>42</v>
      </c>
      <c r="I1354" s="13">
        <v>1</v>
      </c>
      <c r="J1354" s="13">
        <v>1903</v>
      </c>
      <c r="K1354" s="13">
        <v>2</v>
      </c>
      <c r="L1354" s="13" t="s">
        <v>63</v>
      </c>
      <c r="M1354" s="13">
        <v>78</v>
      </c>
      <c r="N1354" s="13">
        <v>4</v>
      </c>
      <c r="O1354" s="13">
        <v>2</v>
      </c>
      <c r="P1354" s="13" t="s">
        <v>122</v>
      </c>
      <c r="Q1354" s="13">
        <v>1</v>
      </c>
      <c r="R1354" s="13" t="s">
        <v>66</v>
      </c>
      <c r="S1354" s="20">
        <v>5033</v>
      </c>
      <c r="T1354" s="13">
        <v>9364</v>
      </c>
      <c r="U1354" s="13">
        <v>2</v>
      </c>
      <c r="V1354" s="13" t="s">
        <v>52</v>
      </c>
      <c r="W1354" s="13" t="s">
        <v>59</v>
      </c>
      <c r="X1354" s="13">
        <v>15</v>
      </c>
      <c r="Y1354" s="13">
        <v>3</v>
      </c>
      <c r="Z1354" s="13">
        <v>4</v>
      </c>
      <c r="AA1354" s="13">
        <v>80</v>
      </c>
      <c r="AB1354" s="13">
        <v>1</v>
      </c>
      <c r="AC1354" s="13">
        <v>10</v>
      </c>
      <c r="AD1354" s="13">
        <v>5</v>
      </c>
      <c r="AE1354" s="13">
        <v>3</v>
      </c>
      <c r="AF1354" s="14">
        <v>2</v>
      </c>
      <c r="AG1354" s="13">
        <v>0</v>
      </c>
      <c r="AH1354" s="13">
        <v>2</v>
      </c>
      <c r="AI1354" s="13">
        <v>2</v>
      </c>
      <c r="AJ1354" s="13" t="str">
        <f t="shared" si="21"/>
        <v>40-49</v>
      </c>
      <c r="AK1354" s="13" t="str">
        <f>IF(tblCleanData[[#This Row],[MonthlyIncome]]&lt;5000, "Low Income", IF(tblCleanData[[#This Row],[MonthlyIncome]]&lt;15000, "Medium Income", "High Income"))</f>
        <v>Medium Income</v>
      </c>
      <c r="AL1354" s="13">
        <f>IF(tblCleanData[[#This Row],[Attrition]]="No", 0,1)</f>
        <v>0</v>
      </c>
      <c r="AM1354" s="13">
        <f>IF(tblCleanData[[#This Row],[OverTime]] = "No", 0, 1)</f>
        <v>0</v>
      </c>
      <c r="AN1354" s="13" t="str">
        <f>CHOOSE(tblCleanData[[#This Row],[Education]], "Below College","College","Bachelor","Master","Doctor")</f>
        <v>Master</v>
      </c>
      <c r="AO1354" s="13" t="str">
        <f>VLOOKUP(tblCleanData[[#This Row],[EmployeeNumber]],tblHelpers[],15,TRUE)</f>
        <v>High Risk</v>
      </c>
      <c r="AP1354" s="13">
        <f>VLOOKUP(tblCleanData[[#This Row],[EmployeeNumber]],tblHelpers[],14,0)</f>
        <v>65</v>
      </c>
    </row>
    <row r="1355" spans="1:42" x14ac:dyDescent="0.25">
      <c r="A1355" s="13">
        <v>34</v>
      </c>
      <c r="B1355" s="13" t="s">
        <v>36</v>
      </c>
      <c r="C1355" s="13" t="s">
        <v>161</v>
      </c>
      <c r="D1355" s="13">
        <v>967</v>
      </c>
      <c r="E1355" s="13" t="s">
        <v>62</v>
      </c>
      <c r="F1355" s="13">
        <v>16</v>
      </c>
      <c r="G1355" s="13">
        <v>4</v>
      </c>
      <c r="H1355" s="13" t="s">
        <v>228</v>
      </c>
      <c r="I1355" s="13">
        <v>1</v>
      </c>
      <c r="J1355" s="13">
        <v>1905</v>
      </c>
      <c r="K1355" s="13">
        <v>4</v>
      </c>
      <c r="L1355" s="13" t="s">
        <v>63</v>
      </c>
      <c r="M1355" s="13">
        <v>85</v>
      </c>
      <c r="N1355" s="13">
        <v>1</v>
      </c>
      <c r="O1355" s="13">
        <v>1</v>
      </c>
      <c r="P1355" s="13" t="s">
        <v>65</v>
      </c>
      <c r="Q1355" s="13">
        <v>1</v>
      </c>
      <c r="R1355" s="13" t="s">
        <v>66</v>
      </c>
      <c r="S1355" s="20">
        <v>2307</v>
      </c>
      <c r="T1355" s="13">
        <v>14460</v>
      </c>
      <c r="U1355" s="13">
        <v>1</v>
      </c>
      <c r="V1355" s="13" t="s">
        <v>52</v>
      </c>
      <c r="W1355" s="13" t="s">
        <v>36</v>
      </c>
      <c r="X1355" s="13">
        <v>23</v>
      </c>
      <c r="Y1355" s="13">
        <v>4</v>
      </c>
      <c r="Z1355" s="13">
        <v>2</v>
      </c>
      <c r="AA1355" s="13">
        <v>80</v>
      </c>
      <c r="AB1355" s="13">
        <v>1</v>
      </c>
      <c r="AC1355" s="13">
        <v>5</v>
      </c>
      <c r="AD1355" s="13">
        <v>2</v>
      </c>
      <c r="AE1355" s="13">
        <v>3</v>
      </c>
      <c r="AF1355" s="14">
        <v>5</v>
      </c>
      <c r="AG1355" s="13">
        <v>2</v>
      </c>
      <c r="AH1355" s="13">
        <v>3</v>
      </c>
      <c r="AI1355" s="13">
        <v>0</v>
      </c>
      <c r="AJ1355" s="13" t="str">
        <f t="shared" si="21"/>
        <v>30-39</v>
      </c>
      <c r="AK1355" s="13" t="str">
        <f>IF(tblCleanData[[#This Row],[MonthlyIncome]]&lt;5000, "Low Income", IF(tblCleanData[[#This Row],[MonthlyIncome]]&lt;15000, "Medium Income", "High Income"))</f>
        <v>Low Income</v>
      </c>
      <c r="AL1355" s="13">
        <f>IF(tblCleanData[[#This Row],[Attrition]]="No", 0,1)</f>
        <v>1</v>
      </c>
      <c r="AM1355" s="13">
        <f>IF(tblCleanData[[#This Row],[OverTime]] = "No", 0, 1)</f>
        <v>1</v>
      </c>
      <c r="AN1355" s="13" t="str">
        <f>CHOOSE(tblCleanData[[#This Row],[Education]], "Below College","College","Bachelor","Master","Doctor")</f>
        <v>Master</v>
      </c>
      <c r="AO1355" s="13" t="str">
        <f>VLOOKUP(tblCleanData[[#This Row],[EmployeeNumber]],tblHelpers[],15,TRUE)</f>
        <v>High Risk</v>
      </c>
      <c r="AP1355" s="13">
        <f>VLOOKUP(tblCleanData[[#This Row],[EmployeeNumber]],tblHelpers[],14,0)</f>
        <v>90</v>
      </c>
    </row>
    <row r="1356" spans="1:42" x14ac:dyDescent="0.25">
      <c r="A1356" s="13">
        <v>56</v>
      </c>
      <c r="B1356" s="13" t="s">
        <v>36</v>
      </c>
      <c r="C1356" s="13" t="s">
        <v>37</v>
      </c>
      <c r="D1356" s="13">
        <v>1162</v>
      </c>
      <c r="E1356" s="13" t="s">
        <v>62</v>
      </c>
      <c r="F1356" s="13">
        <v>24</v>
      </c>
      <c r="G1356" s="13">
        <v>2</v>
      </c>
      <c r="H1356" s="13" t="s">
        <v>42</v>
      </c>
      <c r="I1356" s="13">
        <v>1</v>
      </c>
      <c r="J1356" s="13">
        <v>1907</v>
      </c>
      <c r="K1356" s="13">
        <v>1</v>
      </c>
      <c r="L1356" s="13" t="s">
        <v>63</v>
      </c>
      <c r="M1356" s="13">
        <v>97</v>
      </c>
      <c r="N1356" s="13">
        <v>3</v>
      </c>
      <c r="O1356" s="13">
        <v>1</v>
      </c>
      <c r="P1356" s="13" t="s">
        <v>76</v>
      </c>
      <c r="Q1356" s="13">
        <v>4</v>
      </c>
      <c r="R1356" s="13" t="s">
        <v>48</v>
      </c>
      <c r="S1356" s="20">
        <v>2587</v>
      </c>
      <c r="T1356" s="13">
        <v>10261</v>
      </c>
      <c r="U1356" s="13">
        <v>1</v>
      </c>
      <c r="V1356" s="13" t="s">
        <v>52</v>
      </c>
      <c r="W1356" s="13" t="s">
        <v>59</v>
      </c>
      <c r="X1356" s="13">
        <v>16</v>
      </c>
      <c r="Y1356" s="13">
        <v>3</v>
      </c>
      <c r="Z1356" s="13">
        <v>4</v>
      </c>
      <c r="AA1356" s="13">
        <v>80</v>
      </c>
      <c r="AB1356" s="13">
        <v>0</v>
      </c>
      <c r="AC1356" s="13">
        <v>5</v>
      </c>
      <c r="AD1356" s="13">
        <v>3</v>
      </c>
      <c r="AE1356" s="13">
        <v>3</v>
      </c>
      <c r="AF1356" s="14">
        <v>4</v>
      </c>
      <c r="AG1356" s="13">
        <v>2</v>
      </c>
      <c r="AH1356" s="13">
        <v>1</v>
      </c>
      <c r="AI1356" s="13">
        <v>0</v>
      </c>
      <c r="AJ1356" s="13" t="str">
        <f t="shared" si="21"/>
        <v>50+</v>
      </c>
      <c r="AK1356" s="13" t="str">
        <f>IF(tblCleanData[[#This Row],[MonthlyIncome]]&lt;5000, "Low Income", IF(tblCleanData[[#This Row],[MonthlyIncome]]&lt;15000, "Medium Income", "High Income"))</f>
        <v>Low Income</v>
      </c>
      <c r="AL1356" s="13">
        <f>IF(tblCleanData[[#This Row],[Attrition]]="No", 0,1)</f>
        <v>1</v>
      </c>
      <c r="AM1356" s="13">
        <f>IF(tblCleanData[[#This Row],[OverTime]] = "No", 0, 1)</f>
        <v>0</v>
      </c>
      <c r="AN1356" s="13" t="str">
        <f>CHOOSE(tblCleanData[[#This Row],[Education]], "Below College","College","Bachelor","Master","Doctor")</f>
        <v>College</v>
      </c>
      <c r="AO1356" s="13" t="str">
        <f>VLOOKUP(tblCleanData[[#This Row],[EmployeeNumber]],tblHelpers[],15,TRUE)</f>
        <v>Medium Risk</v>
      </c>
      <c r="AP1356" s="13">
        <f>VLOOKUP(tblCleanData[[#This Row],[EmployeeNumber]],tblHelpers[],14,0)</f>
        <v>41</v>
      </c>
    </row>
    <row r="1357" spans="1:42" x14ac:dyDescent="0.25">
      <c r="A1357" s="13">
        <v>36</v>
      </c>
      <c r="B1357" s="13" t="s">
        <v>59</v>
      </c>
      <c r="C1357" s="13" t="s">
        <v>37</v>
      </c>
      <c r="D1357" s="13">
        <v>335</v>
      </c>
      <c r="E1357" s="13" t="s">
        <v>39</v>
      </c>
      <c r="F1357" s="13">
        <v>17</v>
      </c>
      <c r="G1357" s="13">
        <v>2</v>
      </c>
      <c r="H1357" s="13" t="s">
        <v>206</v>
      </c>
      <c r="I1357" s="13">
        <v>1</v>
      </c>
      <c r="J1357" s="13">
        <v>1908</v>
      </c>
      <c r="K1357" s="13">
        <v>3</v>
      </c>
      <c r="L1357" s="13" t="s">
        <v>63</v>
      </c>
      <c r="M1357" s="13">
        <v>33</v>
      </c>
      <c r="N1357" s="13">
        <v>2</v>
      </c>
      <c r="O1357" s="13">
        <v>2</v>
      </c>
      <c r="P1357" s="13" t="s">
        <v>46</v>
      </c>
      <c r="Q1357" s="13">
        <v>2</v>
      </c>
      <c r="R1357" s="13" t="s">
        <v>66</v>
      </c>
      <c r="S1357" s="20">
        <v>5507</v>
      </c>
      <c r="T1357" s="13">
        <v>16822</v>
      </c>
      <c r="U1357" s="13">
        <v>2</v>
      </c>
      <c r="V1357" s="13" t="s">
        <v>52</v>
      </c>
      <c r="W1357" s="13" t="s">
        <v>59</v>
      </c>
      <c r="X1357" s="13">
        <v>16</v>
      </c>
      <c r="Y1357" s="13">
        <v>3</v>
      </c>
      <c r="Z1357" s="13">
        <v>3</v>
      </c>
      <c r="AA1357" s="13">
        <v>80</v>
      </c>
      <c r="AB1357" s="13">
        <v>2</v>
      </c>
      <c r="AC1357" s="13">
        <v>12</v>
      </c>
      <c r="AD1357" s="13">
        <v>1</v>
      </c>
      <c r="AE1357" s="13">
        <v>1</v>
      </c>
      <c r="AF1357" s="14">
        <v>4</v>
      </c>
      <c r="AG1357" s="13">
        <v>2</v>
      </c>
      <c r="AH1357" s="13">
        <v>1</v>
      </c>
      <c r="AI1357" s="13">
        <v>3</v>
      </c>
      <c r="AJ1357" s="13" t="str">
        <f t="shared" si="21"/>
        <v>30-39</v>
      </c>
      <c r="AK1357" s="13" t="str">
        <f>IF(tblCleanData[[#This Row],[MonthlyIncome]]&lt;5000, "Low Income", IF(tblCleanData[[#This Row],[MonthlyIncome]]&lt;15000, "Medium Income", "High Income"))</f>
        <v>Medium Income</v>
      </c>
      <c r="AL1357" s="13">
        <f>IF(tblCleanData[[#This Row],[Attrition]]="No", 0,1)</f>
        <v>0</v>
      </c>
      <c r="AM1357" s="13">
        <f>IF(tblCleanData[[#This Row],[OverTime]] = "No", 0, 1)</f>
        <v>0</v>
      </c>
      <c r="AN1357" s="13" t="str">
        <f>CHOOSE(tblCleanData[[#This Row],[Education]], "Below College","College","Bachelor","Master","Doctor")</f>
        <v>College</v>
      </c>
      <c r="AO1357" s="13" t="str">
        <f>VLOOKUP(tblCleanData[[#This Row],[EmployeeNumber]],tblHelpers[],15,TRUE)</f>
        <v>High Risk</v>
      </c>
      <c r="AP1357" s="13">
        <f>VLOOKUP(tblCleanData[[#This Row],[EmployeeNumber]],tblHelpers[],14,0)</f>
        <v>59</v>
      </c>
    </row>
    <row r="1358" spans="1:42" x14ac:dyDescent="0.25">
      <c r="A1358" s="13">
        <v>41</v>
      </c>
      <c r="B1358" s="13" t="s">
        <v>59</v>
      </c>
      <c r="C1358" s="13" t="s">
        <v>37</v>
      </c>
      <c r="D1358" s="13">
        <v>337</v>
      </c>
      <c r="E1358" s="13" t="s">
        <v>39</v>
      </c>
      <c r="F1358" s="13">
        <v>8</v>
      </c>
      <c r="G1358" s="13">
        <v>3</v>
      </c>
      <c r="H1358" s="13" t="s">
        <v>206</v>
      </c>
      <c r="I1358" s="13">
        <v>1</v>
      </c>
      <c r="J1358" s="13">
        <v>1909</v>
      </c>
      <c r="K1358" s="13">
        <v>3</v>
      </c>
      <c r="L1358" s="13" t="s">
        <v>43</v>
      </c>
      <c r="M1358" s="13">
        <v>54</v>
      </c>
      <c r="N1358" s="13">
        <v>3</v>
      </c>
      <c r="O1358" s="13">
        <v>2</v>
      </c>
      <c r="P1358" s="13" t="s">
        <v>46</v>
      </c>
      <c r="Q1358" s="13">
        <v>2</v>
      </c>
      <c r="R1358" s="13" t="s">
        <v>66</v>
      </c>
      <c r="S1358" s="20">
        <v>4393</v>
      </c>
      <c r="T1358" s="13">
        <v>26841</v>
      </c>
      <c r="U1358" s="13">
        <v>5</v>
      </c>
      <c r="V1358" s="13" t="s">
        <v>52</v>
      </c>
      <c r="W1358" s="13" t="s">
        <v>59</v>
      </c>
      <c r="X1358" s="13">
        <v>21</v>
      </c>
      <c r="Y1358" s="13">
        <v>4</v>
      </c>
      <c r="Z1358" s="13">
        <v>3</v>
      </c>
      <c r="AA1358" s="13">
        <v>80</v>
      </c>
      <c r="AB1358" s="13">
        <v>1</v>
      </c>
      <c r="AC1358" s="13">
        <v>14</v>
      </c>
      <c r="AD1358" s="13">
        <v>3</v>
      </c>
      <c r="AE1358" s="13">
        <v>3</v>
      </c>
      <c r="AF1358" s="14">
        <v>5</v>
      </c>
      <c r="AG1358" s="13">
        <v>4</v>
      </c>
      <c r="AH1358" s="13">
        <v>1</v>
      </c>
      <c r="AI1358" s="13">
        <v>4</v>
      </c>
      <c r="AJ1358" s="13" t="str">
        <f t="shared" si="21"/>
        <v>40-49</v>
      </c>
      <c r="AK1358" s="13" t="str">
        <f>IF(tblCleanData[[#This Row],[MonthlyIncome]]&lt;5000, "Low Income", IF(tblCleanData[[#This Row],[MonthlyIncome]]&lt;15000, "Medium Income", "High Income"))</f>
        <v>Low Income</v>
      </c>
      <c r="AL1358" s="13">
        <f>IF(tblCleanData[[#This Row],[Attrition]]="No", 0,1)</f>
        <v>0</v>
      </c>
      <c r="AM1358" s="13">
        <f>IF(tblCleanData[[#This Row],[OverTime]] = "No", 0, 1)</f>
        <v>0</v>
      </c>
      <c r="AN1358" s="13" t="str">
        <f>CHOOSE(tblCleanData[[#This Row],[Education]], "Below College","College","Bachelor","Master","Doctor")</f>
        <v>Bachelor</v>
      </c>
      <c r="AO1358" s="13" t="str">
        <f>VLOOKUP(tblCleanData[[#This Row],[EmployeeNumber]],tblHelpers[],15,TRUE)</f>
        <v>Medium Risk</v>
      </c>
      <c r="AP1358" s="13">
        <f>VLOOKUP(tblCleanData[[#This Row],[EmployeeNumber]],tblHelpers[],14,0)</f>
        <v>49</v>
      </c>
    </row>
    <row r="1359" spans="1:42" x14ac:dyDescent="0.25">
      <c r="A1359" s="13">
        <v>42</v>
      </c>
      <c r="B1359" s="13" t="s">
        <v>59</v>
      </c>
      <c r="C1359" s="13" t="s">
        <v>37</v>
      </c>
      <c r="D1359" s="13">
        <v>1396</v>
      </c>
      <c r="E1359" s="13" t="s">
        <v>62</v>
      </c>
      <c r="F1359" s="13">
        <v>6</v>
      </c>
      <c r="G1359" s="13">
        <v>3</v>
      </c>
      <c r="H1359" s="13" t="s">
        <v>87</v>
      </c>
      <c r="I1359" s="13">
        <v>1</v>
      </c>
      <c r="J1359" s="13">
        <v>1911</v>
      </c>
      <c r="K1359" s="13">
        <v>3</v>
      </c>
      <c r="L1359" s="13" t="s">
        <v>63</v>
      </c>
      <c r="M1359" s="13">
        <v>83</v>
      </c>
      <c r="N1359" s="13">
        <v>3</v>
      </c>
      <c r="O1359" s="13">
        <v>3</v>
      </c>
      <c r="P1359" s="13" t="s">
        <v>186</v>
      </c>
      <c r="Q1359" s="13">
        <v>1</v>
      </c>
      <c r="R1359" s="13" t="s">
        <v>66</v>
      </c>
      <c r="S1359" s="20">
        <v>13348</v>
      </c>
      <c r="T1359" s="13">
        <v>14842</v>
      </c>
      <c r="U1359" s="13">
        <v>9</v>
      </c>
      <c r="V1359" s="13" t="s">
        <v>52</v>
      </c>
      <c r="W1359" s="13" t="s">
        <v>59</v>
      </c>
      <c r="X1359" s="13">
        <v>13</v>
      </c>
      <c r="Y1359" s="13">
        <v>3</v>
      </c>
      <c r="Z1359" s="13">
        <v>2</v>
      </c>
      <c r="AA1359" s="13">
        <v>80</v>
      </c>
      <c r="AB1359" s="13">
        <v>1</v>
      </c>
      <c r="AC1359" s="13">
        <v>18</v>
      </c>
      <c r="AD1359" s="13">
        <v>3</v>
      </c>
      <c r="AE1359" s="13">
        <v>4</v>
      </c>
      <c r="AF1359" s="14">
        <v>13</v>
      </c>
      <c r="AG1359" s="13">
        <v>7</v>
      </c>
      <c r="AH1359" s="13">
        <v>5</v>
      </c>
      <c r="AI1359" s="13">
        <v>7</v>
      </c>
      <c r="AJ1359" s="13" t="str">
        <f t="shared" si="21"/>
        <v>40-49</v>
      </c>
      <c r="AK1359" s="13" t="str">
        <f>IF(tblCleanData[[#This Row],[MonthlyIncome]]&lt;5000, "Low Income", IF(tblCleanData[[#This Row],[MonthlyIncome]]&lt;15000, "Medium Income", "High Income"))</f>
        <v>Medium Income</v>
      </c>
      <c r="AL1359" s="13">
        <f>IF(tblCleanData[[#This Row],[Attrition]]="No", 0,1)</f>
        <v>0</v>
      </c>
      <c r="AM1359" s="13">
        <f>IF(tblCleanData[[#This Row],[OverTime]] = "No", 0, 1)</f>
        <v>0</v>
      </c>
      <c r="AN1359" s="13" t="str">
        <f>CHOOSE(tblCleanData[[#This Row],[Education]], "Below College","College","Bachelor","Master","Doctor")</f>
        <v>Bachelor</v>
      </c>
      <c r="AO1359" s="13" t="str">
        <f>VLOOKUP(tblCleanData[[#This Row],[EmployeeNumber]],tblHelpers[],15,TRUE)</f>
        <v>Medium Risk</v>
      </c>
      <c r="AP1359" s="13">
        <f>VLOOKUP(tblCleanData[[#This Row],[EmployeeNumber]],tblHelpers[],14,0)</f>
        <v>43</v>
      </c>
    </row>
    <row r="1360" spans="1:42" x14ac:dyDescent="0.25">
      <c r="A1360" s="13">
        <v>31</v>
      </c>
      <c r="B1360" s="13" t="s">
        <v>59</v>
      </c>
      <c r="C1360" s="13" t="s">
        <v>37</v>
      </c>
      <c r="D1360" s="13">
        <v>1079</v>
      </c>
      <c r="E1360" s="13" t="s">
        <v>39</v>
      </c>
      <c r="F1360" s="13">
        <v>10</v>
      </c>
      <c r="G1360" s="13">
        <v>2</v>
      </c>
      <c r="H1360" s="13" t="s">
        <v>87</v>
      </c>
      <c r="I1360" s="13">
        <v>1</v>
      </c>
      <c r="J1360" s="13">
        <v>1912</v>
      </c>
      <c r="K1360" s="13">
        <v>3</v>
      </c>
      <c r="L1360" s="13" t="s">
        <v>43</v>
      </c>
      <c r="M1360" s="13">
        <v>86</v>
      </c>
      <c r="N1360" s="13">
        <v>3</v>
      </c>
      <c r="O1360" s="13">
        <v>2</v>
      </c>
      <c r="P1360" s="13" t="s">
        <v>46</v>
      </c>
      <c r="Q1360" s="13">
        <v>4</v>
      </c>
      <c r="R1360" s="13" t="s">
        <v>109</v>
      </c>
      <c r="S1360" s="20">
        <v>6583</v>
      </c>
      <c r="T1360" s="13">
        <v>20115</v>
      </c>
      <c r="U1360" s="13">
        <v>2</v>
      </c>
      <c r="V1360" s="13" t="s">
        <v>52</v>
      </c>
      <c r="W1360" s="13" t="s">
        <v>36</v>
      </c>
      <c r="X1360" s="13">
        <v>11</v>
      </c>
      <c r="Y1360" s="13">
        <v>3</v>
      </c>
      <c r="Z1360" s="13">
        <v>4</v>
      </c>
      <c r="AA1360" s="13">
        <v>80</v>
      </c>
      <c r="AB1360" s="13">
        <v>1</v>
      </c>
      <c r="AC1360" s="13">
        <v>8</v>
      </c>
      <c r="AD1360" s="13">
        <v>2</v>
      </c>
      <c r="AE1360" s="13">
        <v>3</v>
      </c>
      <c r="AF1360" s="14">
        <v>5</v>
      </c>
      <c r="AG1360" s="13">
        <v>2</v>
      </c>
      <c r="AH1360" s="13">
        <v>1</v>
      </c>
      <c r="AI1360" s="13">
        <v>4</v>
      </c>
      <c r="AJ1360" s="13" t="str">
        <f t="shared" si="21"/>
        <v>30-39</v>
      </c>
      <c r="AK1360" s="13" t="str">
        <f>IF(tblCleanData[[#This Row],[MonthlyIncome]]&lt;5000, "Low Income", IF(tblCleanData[[#This Row],[MonthlyIncome]]&lt;15000, "Medium Income", "High Income"))</f>
        <v>Medium Income</v>
      </c>
      <c r="AL1360" s="13">
        <f>IF(tblCleanData[[#This Row],[Attrition]]="No", 0,1)</f>
        <v>0</v>
      </c>
      <c r="AM1360" s="13">
        <f>IF(tblCleanData[[#This Row],[OverTime]] = "No", 0, 1)</f>
        <v>1</v>
      </c>
      <c r="AN1360" s="13" t="str">
        <f>CHOOSE(tblCleanData[[#This Row],[Education]], "Below College","College","Bachelor","Master","Doctor")</f>
        <v>College</v>
      </c>
      <c r="AO1360" s="13" t="str">
        <f>VLOOKUP(tblCleanData[[#This Row],[EmployeeNumber]],tblHelpers[],15,TRUE)</f>
        <v>High Risk</v>
      </c>
      <c r="AP1360" s="13">
        <f>VLOOKUP(tblCleanData[[#This Row],[EmployeeNumber]],tblHelpers[],14,0)</f>
        <v>71</v>
      </c>
    </row>
    <row r="1361" spans="1:42" x14ac:dyDescent="0.25">
      <c r="A1361" s="13">
        <v>34</v>
      </c>
      <c r="B1361" s="13" t="s">
        <v>59</v>
      </c>
      <c r="C1361" s="13" t="s">
        <v>37</v>
      </c>
      <c r="D1361" s="13">
        <v>735</v>
      </c>
      <c r="E1361" s="13" t="s">
        <v>39</v>
      </c>
      <c r="F1361" s="13">
        <v>3</v>
      </c>
      <c r="G1361" s="13">
        <v>1</v>
      </c>
      <c r="H1361" s="13" t="s">
        <v>87</v>
      </c>
      <c r="I1361" s="13">
        <v>1</v>
      </c>
      <c r="J1361" s="13">
        <v>1915</v>
      </c>
      <c r="K1361" s="13">
        <v>4</v>
      </c>
      <c r="L1361" s="13" t="s">
        <v>43</v>
      </c>
      <c r="M1361" s="13">
        <v>75</v>
      </c>
      <c r="N1361" s="13">
        <v>2</v>
      </c>
      <c r="O1361" s="13">
        <v>2</v>
      </c>
      <c r="P1361" s="13" t="s">
        <v>46</v>
      </c>
      <c r="Q1361" s="13">
        <v>4</v>
      </c>
      <c r="R1361" s="13" t="s">
        <v>66</v>
      </c>
      <c r="S1361" s="20">
        <v>8103</v>
      </c>
      <c r="T1361" s="13">
        <v>16495</v>
      </c>
      <c r="U1361" s="13">
        <v>3</v>
      </c>
      <c r="V1361" s="13" t="s">
        <v>52</v>
      </c>
      <c r="W1361" s="13" t="s">
        <v>36</v>
      </c>
      <c r="X1361" s="13">
        <v>12</v>
      </c>
      <c r="Y1361" s="13">
        <v>3</v>
      </c>
      <c r="Z1361" s="13">
        <v>3</v>
      </c>
      <c r="AA1361" s="13">
        <v>80</v>
      </c>
      <c r="AB1361" s="13">
        <v>0</v>
      </c>
      <c r="AC1361" s="13">
        <v>9</v>
      </c>
      <c r="AD1361" s="13">
        <v>3</v>
      </c>
      <c r="AE1361" s="13">
        <v>2</v>
      </c>
      <c r="AF1361" s="14">
        <v>4</v>
      </c>
      <c r="AG1361" s="13">
        <v>2</v>
      </c>
      <c r="AH1361" s="13">
        <v>0</v>
      </c>
      <c r="AI1361" s="13">
        <v>1</v>
      </c>
      <c r="AJ1361" s="13" t="str">
        <f t="shared" si="21"/>
        <v>30-39</v>
      </c>
      <c r="AK1361" s="13" t="str">
        <f>IF(tblCleanData[[#This Row],[MonthlyIncome]]&lt;5000, "Low Income", IF(tblCleanData[[#This Row],[MonthlyIncome]]&lt;15000, "Medium Income", "High Income"))</f>
        <v>Medium Income</v>
      </c>
      <c r="AL1361" s="13">
        <f>IF(tblCleanData[[#This Row],[Attrition]]="No", 0,1)</f>
        <v>0</v>
      </c>
      <c r="AM1361" s="13">
        <f>IF(tblCleanData[[#This Row],[OverTime]] = "No", 0, 1)</f>
        <v>1</v>
      </c>
      <c r="AN1361" s="13" t="str">
        <f>CHOOSE(tblCleanData[[#This Row],[Education]], "Below College","College","Bachelor","Master","Doctor")</f>
        <v>Below College</v>
      </c>
      <c r="AO1361" s="13" t="str">
        <f>VLOOKUP(tblCleanData[[#This Row],[EmployeeNumber]],tblHelpers[],15,TRUE)</f>
        <v>High Risk</v>
      </c>
      <c r="AP1361" s="13">
        <f>VLOOKUP(tblCleanData[[#This Row],[EmployeeNumber]],tblHelpers[],14,0)</f>
        <v>71</v>
      </c>
    </row>
    <row r="1362" spans="1:42" x14ac:dyDescent="0.25">
      <c r="A1362" s="13">
        <v>31</v>
      </c>
      <c r="B1362" s="13" t="s">
        <v>59</v>
      </c>
      <c r="C1362" s="13" t="s">
        <v>37</v>
      </c>
      <c r="D1362" s="13">
        <v>471</v>
      </c>
      <c r="E1362" s="13" t="s">
        <v>62</v>
      </c>
      <c r="F1362" s="13">
        <v>4</v>
      </c>
      <c r="G1362" s="13">
        <v>3</v>
      </c>
      <c r="H1362" s="13" t="s">
        <v>87</v>
      </c>
      <c r="I1362" s="13">
        <v>1</v>
      </c>
      <c r="J1362" s="13">
        <v>1916</v>
      </c>
      <c r="K1362" s="13">
        <v>1</v>
      </c>
      <c r="L1362" s="13" t="s">
        <v>43</v>
      </c>
      <c r="M1362" s="13">
        <v>62</v>
      </c>
      <c r="N1362" s="13">
        <v>4</v>
      </c>
      <c r="O1362" s="13">
        <v>1</v>
      </c>
      <c r="P1362" s="13" t="s">
        <v>76</v>
      </c>
      <c r="Q1362" s="13">
        <v>3</v>
      </c>
      <c r="R1362" s="13" t="s">
        <v>109</v>
      </c>
      <c r="S1362" s="20">
        <v>3978</v>
      </c>
      <c r="T1362" s="13">
        <v>16031</v>
      </c>
      <c r="U1362" s="13">
        <v>8</v>
      </c>
      <c r="V1362" s="13" t="s">
        <v>52</v>
      </c>
      <c r="W1362" s="13" t="s">
        <v>59</v>
      </c>
      <c r="X1362" s="13">
        <v>12</v>
      </c>
      <c r="Y1362" s="13">
        <v>3</v>
      </c>
      <c r="Z1362" s="13">
        <v>2</v>
      </c>
      <c r="AA1362" s="13">
        <v>80</v>
      </c>
      <c r="AB1362" s="13">
        <v>1</v>
      </c>
      <c r="AC1362" s="13">
        <v>4</v>
      </c>
      <c r="AD1362" s="13">
        <v>0</v>
      </c>
      <c r="AE1362" s="13">
        <v>2</v>
      </c>
      <c r="AF1362" s="14">
        <v>2</v>
      </c>
      <c r="AG1362" s="13">
        <v>2</v>
      </c>
      <c r="AH1362" s="13">
        <v>2</v>
      </c>
      <c r="AI1362" s="13">
        <v>2</v>
      </c>
      <c r="AJ1362" s="13" t="str">
        <f t="shared" si="21"/>
        <v>30-39</v>
      </c>
      <c r="AK1362" s="13" t="str">
        <f>IF(tblCleanData[[#This Row],[MonthlyIncome]]&lt;5000, "Low Income", IF(tblCleanData[[#This Row],[MonthlyIncome]]&lt;15000, "Medium Income", "High Income"))</f>
        <v>Low Income</v>
      </c>
      <c r="AL1362" s="13">
        <f>IF(tblCleanData[[#This Row],[Attrition]]="No", 0,1)</f>
        <v>0</v>
      </c>
      <c r="AM1362" s="13">
        <f>IF(tblCleanData[[#This Row],[OverTime]] = "No", 0, 1)</f>
        <v>0</v>
      </c>
      <c r="AN1362" s="13" t="str">
        <f>CHOOSE(tblCleanData[[#This Row],[Education]], "Below College","College","Bachelor","Master","Doctor")</f>
        <v>Bachelor</v>
      </c>
      <c r="AO1362" s="13" t="str">
        <f>VLOOKUP(tblCleanData[[#This Row],[EmployeeNumber]],tblHelpers[],15,TRUE)</f>
        <v>High Risk</v>
      </c>
      <c r="AP1362" s="13">
        <f>VLOOKUP(tblCleanData[[#This Row],[EmployeeNumber]],tblHelpers[],14,0)</f>
        <v>63</v>
      </c>
    </row>
    <row r="1363" spans="1:42" x14ac:dyDescent="0.25">
      <c r="A1363" s="13">
        <v>26</v>
      </c>
      <c r="B1363" s="13" t="s">
        <v>59</v>
      </c>
      <c r="C1363" s="13" t="s">
        <v>60</v>
      </c>
      <c r="D1363" s="13">
        <v>1096</v>
      </c>
      <c r="E1363" s="13" t="s">
        <v>62</v>
      </c>
      <c r="F1363" s="13">
        <v>6</v>
      </c>
      <c r="G1363" s="13">
        <v>3</v>
      </c>
      <c r="H1363" s="13" t="s">
        <v>74</v>
      </c>
      <c r="I1363" s="13">
        <v>1</v>
      </c>
      <c r="J1363" s="13">
        <v>1918</v>
      </c>
      <c r="K1363" s="13">
        <v>3</v>
      </c>
      <c r="L1363" s="13" t="s">
        <v>63</v>
      </c>
      <c r="M1363" s="13">
        <v>61</v>
      </c>
      <c r="N1363" s="13">
        <v>4</v>
      </c>
      <c r="O1363" s="13">
        <v>1</v>
      </c>
      <c r="P1363" s="13" t="s">
        <v>76</v>
      </c>
      <c r="Q1363" s="13">
        <v>4</v>
      </c>
      <c r="R1363" s="13" t="s">
        <v>66</v>
      </c>
      <c r="S1363" s="20">
        <v>2544</v>
      </c>
      <c r="T1363" s="13">
        <v>7102</v>
      </c>
      <c r="U1363" s="13">
        <v>0</v>
      </c>
      <c r="V1363" s="13" t="s">
        <v>52</v>
      </c>
      <c r="W1363" s="13" t="s">
        <v>59</v>
      </c>
      <c r="X1363" s="13">
        <v>18</v>
      </c>
      <c r="Y1363" s="13">
        <v>3</v>
      </c>
      <c r="Z1363" s="13">
        <v>1</v>
      </c>
      <c r="AA1363" s="13">
        <v>80</v>
      </c>
      <c r="AB1363" s="13">
        <v>1</v>
      </c>
      <c r="AC1363" s="13">
        <v>8</v>
      </c>
      <c r="AD1363" s="13">
        <v>3</v>
      </c>
      <c r="AE1363" s="13">
        <v>3</v>
      </c>
      <c r="AF1363" s="14">
        <v>7</v>
      </c>
      <c r="AG1363" s="13">
        <v>7</v>
      </c>
      <c r="AH1363" s="13">
        <v>7</v>
      </c>
      <c r="AI1363" s="13">
        <v>7</v>
      </c>
      <c r="AJ1363" s="13" t="str">
        <f t="shared" si="21"/>
        <v>Under 30</v>
      </c>
      <c r="AK1363" s="13" t="str">
        <f>IF(tblCleanData[[#This Row],[MonthlyIncome]]&lt;5000, "Low Income", IF(tblCleanData[[#This Row],[MonthlyIncome]]&lt;15000, "Medium Income", "High Income"))</f>
        <v>Low Income</v>
      </c>
      <c r="AL1363" s="13">
        <f>IF(tblCleanData[[#This Row],[Attrition]]="No", 0,1)</f>
        <v>0</v>
      </c>
      <c r="AM1363" s="13">
        <f>IF(tblCleanData[[#This Row],[OverTime]] = "No", 0, 1)</f>
        <v>0</v>
      </c>
      <c r="AN1363" s="13" t="str">
        <f>CHOOSE(tblCleanData[[#This Row],[Education]], "Below College","College","Bachelor","Master","Doctor")</f>
        <v>Bachelor</v>
      </c>
      <c r="AO1363" s="13" t="str">
        <f>VLOOKUP(tblCleanData[[#This Row],[EmployeeNumber]],tblHelpers[],15,TRUE)</f>
        <v>Medium Risk</v>
      </c>
      <c r="AP1363" s="13">
        <f>VLOOKUP(tblCleanData[[#This Row],[EmployeeNumber]],tblHelpers[],14,0)</f>
        <v>49</v>
      </c>
    </row>
    <row r="1364" spans="1:42" x14ac:dyDescent="0.25">
      <c r="A1364" s="13">
        <v>45</v>
      </c>
      <c r="B1364" s="13" t="s">
        <v>59</v>
      </c>
      <c r="C1364" s="13" t="s">
        <v>60</v>
      </c>
      <c r="D1364" s="13">
        <v>1297</v>
      </c>
      <c r="E1364" s="13" t="s">
        <v>62</v>
      </c>
      <c r="F1364" s="13">
        <v>1</v>
      </c>
      <c r="G1364" s="13">
        <v>4</v>
      </c>
      <c r="H1364" s="13" t="s">
        <v>87</v>
      </c>
      <c r="I1364" s="13">
        <v>1</v>
      </c>
      <c r="J1364" s="13">
        <v>1922</v>
      </c>
      <c r="K1364" s="13">
        <v>2</v>
      </c>
      <c r="L1364" s="13" t="s">
        <v>63</v>
      </c>
      <c r="M1364" s="13">
        <v>44</v>
      </c>
      <c r="N1364" s="13">
        <v>3</v>
      </c>
      <c r="O1364" s="13">
        <v>2</v>
      </c>
      <c r="P1364" s="13" t="s">
        <v>122</v>
      </c>
      <c r="Q1364" s="13">
        <v>3</v>
      </c>
      <c r="R1364" s="13" t="s">
        <v>48</v>
      </c>
      <c r="S1364" s="20">
        <v>5399</v>
      </c>
      <c r="T1364" s="13">
        <v>14511</v>
      </c>
      <c r="U1364" s="13">
        <v>4</v>
      </c>
      <c r="V1364" s="13" t="s">
        <v>52</v>
      </c>
      <c r="W1364" s="13" t="s">
        <v>59</v>
      </c>
      <c r="X1364" s="13">
        <v>12</v>
      </c>
      <c r="Y1364" s="13">
        <v>3</v>
      </c>
      <c r="Z1364" s="13">
        <v>3</v>
      </c>
      <c r="AA1364" s="13">
        <v>80</v>
      </c>
      <c r="AB1364" s="13">
        <v>0</v>
      </c>
      <c r="AC1364" s="13">
        <v>12</v>
      </c>
      <c r="AD1364" s="13">
        <v>3</v>
      </c>
      <c r="AE1364" s="13">
        <v>3</v>
      </c>
      <c r="AF1364" s="14">
        <v>4</v>
      </c>
      <c r="AG1364" s="13">
        <v>2</v>
      </c>
      <c r="AH1364" s="13">
        <v>0</v>
      </c>
      <c r="AI1364" s="13">
        <v>3</v>
      </c>
      <c r="AJ1364" s="13" t="str">
        <f t="shared" si="21"/>
        <v>40-49</v>
      </c>
      <c r="AK1364" s="13" t="str">
        <f>IF(tblCleanData[[#This Row],[MonthlyIncome]]&lt;5000, "Low Income", IF(tblCleanData[[#This Row],[MonthlyIncome]]&lt;15000, "Medium Income", "High Income"))</f>
        <v>Medium Income</v>
      </c>
      <c r="AL1364" s="13">
        <f>IF(tblCleanData[[#This Row],[Attrition]]="No", 0,1)</f>
        <v>0</v>
      </c>
      <c r="AM1364" s="13">
        <f>IF(tblCleanData[[#This Row],[OverTime]] = "No", 0, 1)</f>
        <v>0</v>
      </c>
      <c r="AN1364" s="13" t="str">
        <f>CHOOSE(tblCleanData[[#This Row],[Education]], "Below College","College","Bachelor","Master","Doctor")</f>
        <v>Master</v>
      </c>
      <c r="AO1364" s="13" t="str">
        <f>VLOOKUP(tblCleanData[[#This Row],[EmployeeNumber]],tblHelpers[],15,TRUE)</f>
        <v>Medium Risk</v>
      </c>
      <c r="AP1364" s="13">
        <f>VLOOKUP(tblCleanData[[#This Row],[EmployeeNumber]],tblHelpers[],14,0)</f>
        <v>43</v>
      </c>
    </row>
    <row r="1365" spans="1:42" x14ac:dyDescent="0.25">
      <c r="A1365" s="13">
        <v>33</v>
      </c>
      <c r="B1365" s="13" t="s">
        <v>59</v>
      </c>
      <c r="C1365" s="13" t="s">
        <v>37</v>
      </c>
      <c r="D1365" s="13">
        <v>217</v>
      </c>
      <c r="E1365" s="13" t="s">
        <v>39</v>
      </c>
      <c r="F1365" s="13">
        <v>10</v>
      </c>
      <c r="G1365" s="13">
        <v>4</v>
      </c>
      <c r="H1365" s="13" t="s">
        <v>206</v>
      </c>
      <c r="I1365" s="13">
        <v>1</v>
      </c>
      <c r="J1365" s="13">
        <v>1924</v>
      </c>
      <c r="K1365" s="13">
        <v>2</v>
      </c>
      <c r="L1365" s="13" t="s">
        <v>63</v>
      </c>
      <c r="M1365" s="13">
        <v>43</v>
      </c>
      <c r="N1365" s="13">
        <v>3</v>
      </c>
      <c r="O1365" s="13">
        <v>2</v>
      </c>
      <c r="P1365" s="13" t="s">
        <v>46</v>
      </c>
      <c r="Q1365" s="13">
        <v>3</v>
      </c>
      <c r="R1365" s="13" t="s">
        <v>48</v>
      </c>
      <c r="S1365" s="20">
        <v>5487</v>
      </c>
      <c r="T1365" s="13">
        <v>10410</v>
      </c>
      <c r="U1365" s="13">
        <v>1</v>
      </c>
      <c r="V1365" s="13" t="s">
        <v>52</v>
      </c>
      <c r="W1365" s="13" t="s">
        <v>59</v>
      </c>
      <c r="X1365" s="13">
        <v>14</v>
      </c>
      <c r="Y1365" s="13">
        <v>3</v>
      </c>
      <c r="Z1365" s="13">
        <v>2</v>
      </c>
      <c r="AA1365" s="13">
        <v>80</v>
      </c>
      <c r="AB1365" s="13">
        <v>0</v>
      </c>
      <c r="AC1365" s="13">
        <v>10</v>
      </c>
      <c r="AD1365" s="13">
        <v>2</v>
      </c>
      <c r="AE1365" s="13">
        <v>2</v>
      </c>
      <c r="AF1365" s="14">
        <v>10</v>
      </c>
      <c r="AG1365" s="13">
        <v>4</v>
      </c>
      <c r="AH1365" s="13">
        <v>0</v>
      </c>
      <c r="AI1365" s="13">
        <v>9</v>
      </c>
      <c r="AJ1365" s="13" t="str">
        <f t="shared" si="21"/>
        <v>30-39</v>
      </c>
      <c r="AK1365" s="13" t="str">
        <f>IF(tblCleanData[[#This Row],[MonthlyIncome]]&lt;5000, "Low Income", IF(tblCleanData[[#This Row],[MonthlyIncome]]&lt;15000, "Medium Income", "High Income"))</f>
        <v>Medium Income</v>
      </c>
      <c r="AL1365" s="13">
        <f>IF(tblCleanData[[#This Row],[Attrition]]="No", 0,1)</f>
        <v>0</v>
      </c>
      <c r="AM1365" s="13">
        <f>IF(tblCleanData[[#This Row],[OverTime]] = "No", 0, 1)</f>
        <v>0</v>
      </c>
      <c r="AN1365" s="13" t="str">
        <f>CHOOSE(tblCleanData[[#This Row],[Education]], "Below College","College","Bachelor","Master","Doctor")</f>
        <v>Master</v>
      </c>
      <c r="AO1365" s="13" t="str">
        <f>VLOOKUP(tblCleanData[[#This Row],[EmployeeNumber]],tblHelpers[],15,TRUE)</f>
        <v>Medium Risk</v>
      </c>
      <c r="AP1365" s="13">
        <f>VLOOKUP(tblCleanData[[#This Row],[EmployeeNumber]],tblHelpers[],14,0)</f>
        <v>46</v>
      </c>
    </row>
    <row r="1366" spans="1:42" x14ac:dyDescent="0.25">
      <c r="A1366" s="13">
        <v>28</v>
      </c>
      <c r="B1366" s="13" t="s">
        <v>59</v>
      </c>
      <c r="C1366" s="13" t="s">
        <v>60</v>
      </c>
      <c r="D1366" s="13">
        <v>783</v>
      </c>
      <c r="E1366" s="13" t="s">
        <v>39</v>
      </c>
      <c r="F1366" s="13">
        <v>1</v>
      </c>
      <c r="G1366" s="13">
        <v>2</v>
      </c>
      <c r="H1366" s="13" t="s">
        <v>42</v>
      </c>
      <c r="I1366" s="13">
        <v>1</v>
      </c>
      <c r="J1366" s="13">
        <v>1927</v>
      </c>
      <c r="K1366" s="13">
        <v>3</v>
      </c>
      <c r="L1366" s="13" t="s">
        <v>63</v>
      </c>
      <c r="M1366" s="13">
        <v>42</v>
      </c>
      <c r="N1366" s="13">
        <v>2</v>
      </c>
      <c r="O1366" s="13">
        <v>2</v>
      </c>
      <c r="P1366" s="13" t="s">
        <v>46</v>
      </c>
      <c r="Q1366" s="13">
        <v>4</v>
      </c>
      <c r="R1366" s="13" t="s">
        <v>66</v>
      </c>
      <c r="S1366" s="20">
        <v>6834</v>
      </c>
      <c r="T1366" s="13">
        <v>19255</v>
      </c>
      <c r="U1366" s="13">
        <v>1</v>
      </c>
      <c r="V1366" s="13" t="s">
        <v>52</v>
      </c>
      <c r="W1366" s="13" t="s">
        <v>36</v>
      </c>
      <c r="X1366" s="13">
        <v>12</v>
      </c>
      <c r="Y1366" s="13">
        <v>3</v>
      </c>
      <c r="Z1366" s="13">
        <v>3</v>
      </c>
      <c r="AA1366" s="13">
        <v>80</v>
      </c>
      <c r="AB1366" s="13">
        <v>1</v>
      </c>
      <c r="AC1366" s="13">
        <v>7</v>
      </c>
      <c r="AD1366" s="13">
        <v>2</v>
      </c>
      <c r="AE1366" s="13">
        <v>3</v>
      </c>
      <c r="AF1366" s="14">
        <v>7</v>
      </c>
      <c r="AG1366" s="13">
        <v>7</v>
      </c>
      <c r="AH1366" s="13">
        <v>0</v>
      </c>
      <c r="AI1366" s="13">
        <v>7</v>
      </c>
      <c r="AJ1366" s="13" t="str">
        <f t="shared" si="21"/>
        <v>Under 30</v>
      </c>
      <c r="AK1366" s="13" t="str">
        <f>IF(tblCleanData[[#This Row],[MonthlyIncome]]&lt;5000, "Low Income", IF(tblCleanData[[#This Row],[MonthlyIncome]]&lt;15000, "Medium Income", "High Income"))</f>
        <v>Medium Income</v>
      </c>
      <c r="AL1366" s="13">
        <f>IF(tblCleanData[[#This Row],[Attrition]]="No", 0,1)</f>
        <v>0</v>
      </c>
      <c r="AM1366" s="13">
        <f>IF(tblCleanData[[#This Row],[OverTime]] = "No", 0, 1)</f>
        <v>1</v>
      </c>
      <c r="AN1366" s="13" t="str">
        <f>CHOOSE(tblCleanData[[#This Row],[Education]], "Below College","College","Bachelor","Master","Doctor")</f>
        <v>College</v>
      </c>
      <c r="AO1366" s="13" t="str">
        <f>VLOOKUP(tblCleanData[[#This Row],[EmployeeNumber]],tblHelpers[],15,TRUE)</f>
        <v>High Risk</v>
      </c>
      <c r="AP1366" s="13">
        <f>VLOOKUP(tblCleanData[[#This Row],[EmployeeNumber]],tblHelpers[],14,0)</f>
        <v>74</v>
      </c>
    </row>
    <row r="1367" spans="1:42" x14ac:dyDescent="0.25">
      <c r="A1367" s="13">
        <v>29</v>
      </c>
      <c r="B1367" s="13" t="s">
        <v>36</v>
      </c>
      <c r="C1367" s="13" t="s">
        <v>60</v>
      </c>
      <c r="D1367" s="13">
        <v>746</v>
      </c>
      <c r="E1367" s="13" t="s">
        <v>39</v>
      </c>
      <c r="F1367" s="13">
        <v>24</v>
      </c>
      <c r="G1367" s="13">
        <v>3</v>
      </c>
      <c r="H1367" s="13" t="s">
        <v>228</v>
      </c>
      <c r="I1367" s="13">
        <v>1</v>
      </c>
      <c r="J1367" s="13">
        <v>1928</v>
      </c>
      <c r="K1367" s="13">
        <v>3</v>
      </c>
      <c r="L1367" s="13" t="s">
        <v>63</v>
      </c>
      <c r="M1367" s="13">
        <v>45</v>
      </c>
      <c r="N1367" s="13">
        <v>4</v>
      </c>
      <c r="O1367" s="13">
        <v>1</v>
      </c>
      <c r="P1367" s="13" t="s">
        <v>182</v>
      </c>
      <c r="Q1367" s="13">
        <v>1</v>
      </c>
      <c r="R1367" s="13" t="s">
        <v>48</v>
      </c>
      <c r="S1367" s="20">
        <v>1091</v>
      </c>
      <c r="T1367" s="13">
        <v>10642</v>
      </c>
      <c r="U1367" s="13">
        <v>1</v>
      </c>
      <c r="V1367" s="13" t="s">
        <v>52</v>
      </c>
      <c r="W1367" s="13" t="s">
        <v>59</v>
      </c>
      <c r="X1367" s="13">
        <v>17</v>
      </c>
      <c r="Y1367" s="13">
        <v>3</v>
      </c>
      <c r="Z1367" s="13">
        <v>4</v>
      </c>
      <c r="AA1367" s="13">
        <v>80</v>
      </c>
      <c r="AB1367" s="13">
        <v>0</v>
      </c>
      <c r="AC1367" s="13">
        <v>1</v>
      </c>
      <c r="AD1367" s="13">
        <v>3</v>
      </c>
      <c r="AE1367" s="13">
        <v>3</v>
      </c>
      <c r="AF1367" s="14">
        <v>1</v>
      </c>
      <c r="AG1367" s="13">
        <v>0</v>
      </c>
      <c r="AH1367" s="13">
        <v>0</v>
      </c>
      <c r="AI1367" s="13">
        <v>0</v>
      </c>
      <c r="AJ1367" s="13" t="str">
        <f t="shared" si="21"/>
        <v>Under 30</v>
      </c>
      <c r="AK1367" s="13" t="str">
        <f>IF(tblCleanData[[#This Row],[MonthlyIncome]]&lt;5000, "Low Income", IF(tblCleanData[[#This Row],[MonthlyIncome]]&lt;15000, "Medium Income", "High Income"))</f>
        <v>Low Income</v>
      </c>
      <c r="AL1367" s="13">
        <f>IF(tblCleanData[[#This Row],[Attrition]]="No", 0,1)</f>
        <v>1</v>
      </c>
      <c r="AM1367" s="13">
        <f>IF(tblCleanData[[#This Row],[OverTime]] = "No", 0, 1)</f>
        <v>0</v>
      </c>
      <c r="AN1367" s="13" t="str">
        <f>CHOOSE(tblCleanData[[#This Row],[Education]], "Below College","College","Bachelor","Master","Doctor")</f>
        <v>Bachelor</v>
      </c>
      <c r="AO1367" s="13" t="str">
        <f>VLOOKUP(tblCleanData[[#This Row],[EmployeeNumber]],tblHelpers[],15,TRUE)</f>
        <v>High Risk</v>
      </c>
      <c r="AP1367" s="13">
        <f>VLOOKUP(tblCleanData[[#This Row],[EmployeeNumber]],tblHelpers[],14,0)</f>
        <v>85</v>
      </c>
    </row>
    <row r="1368" spans="1:42" x14ac:dyDescent="0.25">
      <c r="A1368" s="13">
        <v>39</v>
      </c>
      <c r="B1368" s="13" t="s">
        <v>59</v>
      </c>
      <c r="C1368" s="13" t="s">
        <v>161</v>
      </c>
      <c r="D1368" s="13">
        <v>1251</v>
      </c>
      <c r="E1368" s="13" t="s">
        <v>39</v>
      </c>
      <c r="F1368" s="13">
        <v>21</v>
      </c>
      <c r="G1368" s="13">
        <v>4</v>
      </c>
      <c r="H1368" s="13" t="s">
        <v>42</v>
      </c>
      <c r="I1368" s="13">
        <v>1</v>
      </c>
      <c r="J1368" s="13">
        <v>1929</v>
      </c>
      <c r="K1368" s="13">
        <v>1</v>
      </c>
      <c r="L1368" s="13" t="s">
        <v>43</v>
      </c>
      <c r="M1368" s="13">
        <v>32</v>
      </c>
      <c r="N1368" s="13">
        <v>1</v>
      </c>
      <c r="O1368" s="13">
        <v>2</v>
      </c>
      <c r="P1368" s="13" t="s">
        <v>46</v>
      </c>
      <c r="Q1368" s="13">
        <v>3</v>
      </c>
      <c r="R1368" s="13" t="s">
        <v>66</v>
      </c>
      <c r="S1368" s="20">
        <v>5736</v>
      </c>
      <c r="T1368" s="13">
        <v>3987</v>
      </c>
      <c r="U1368" s="13">
        <v>6</v>
      </c>
      <c r="V1368" s="13" t="s">
        <v>52</v>
      </c>
      <c r="W1368" s="13" t="s">
        <v>59</v>
      </c>
      <c r="X1368" s="13">
        <v>19</v>
      </c>
      <c r="Y1368" s="13">
        <v>3</v>
      </c>
      <c r="Z1368" s="13">
        <v>3</v>
      </c>
      <c r="AA1368" s="13">
        <v>80</v>
      </c>
      <c r="AB1368" s="13">
        <v>1</v>
      </c>
      <c r="AC1368" s="13">
        <v>10</v>
      </c>
      <c r="AD1368" s="13">
        <v>1</v>
      </c>
      <c r="AE1368" s="13">
        <v>3</v>
      </c>
      <c r="AF1368" s="14">
        <v>3</v>
      </c>
      <c r="AG1368" s="13">
        <v>2</v>
      </c>
      <c r="AH1368" s="13">
        <v>1</v>
      </c>
      <c r="AI1368" s="13">
        <v>2</v>
      </c>
      <c r="AJ1368" s="13" t="str">
        <f t="shared" si="21"/>
        <v>30-39</v>
      </c>
      <c r="AK1368" s="13" t="str">
        <f>IF(tblCleanData[[#This Row],[MonthlyIncome]]&lt;5000, "Low Income", IF(tblCleanData[[#This Row],[MonthlyIncome]]&lt;15000, "Medium Income", "High Income"))</f>
        <v>Medium Income</v>
      </c>
      <c r="AL1368" s="13">
        <f>IF(tblCleanData[[#This Row],[Attrition]]="No", 0,1)</f>
        <v>0</v>
      </c>
      <c r="AM1368" s="13">
        <f>IF(tblCleanData[[#This Row],[OverTime]] = "No", 0, 1)</f>
        <v>0</v>
      </c>
      <c r="AN1368" s="13" t="str">
        <f>CHOOSE(tblCleanData[[#This Row],[Education]], "Below College","College","Bachelor","Master","Doctor")</f>
        <v>Master</v>
      </c>
      <c r="AO1368" s="13" t="str">
        <f>VLOOKUP(tblCleanData[[#This Row],[EmployeeNumber]],tblHelpers[],15,TRUE)</f>
        <v>Medium Risk</v>
      </c>
      <c r="AP1368" s="13">
        <f>VLOOKUP(tblCleanData[[#This Row],[EmployeeNumber]],tblHelpers[],14,0)</f>
        <v>53</v>
      </c>
    </row>
    <row r="1369" spans="1:42" x14ac:dyDescent="0.25">
      <c r="A1369" s="13">
        <v>27</v>
      </c>
      <c r="B1369" s="13" t="s">
        <v>59</v>
      </c>
      <c r="C1369" s="13" t="s">
        <v>37</v>
      </c>
      <c r="D1369" s="13">
        <v>1354</v>
      </c>
      <c r="E1369" s="13" t="s">
        <v>62</v>
      </c>
      <c r="F1369" s="13">
        <v>2</v>
      </c>
      <c r="G1369" s="13">
        <v>4</v>
      </c>
      <c r="H1369" s="13" t="s">
        <v>228</v>
      </c>
      <c r="I1369" s="13">
        <v>1</v>
      </c>
      <c r="J1369" s="13">
        <v>1931</v>
      </c>
      <c r="K1369" s="13">
        <v>2</v>
      </c>
      <c r="L1369" s="13" t="s">
        <v>63</v>
      </c>
      <c r="M1369" s="13">
        <v>41</v>
      </c>
      <c r="N1369" s="13">
        <v>3</v>
      </c>
      <c r="O1369" s="13">
        <v>1</v>
      </c>
      <c r="P1369" s="13" t="s">
        <v>65</v>
      </c>
      <c r="Q1369" s="13">
        <v>2</v>
      </c>
      <c r="R1369" s="13" t="s">
        <v>66</v>
      </c>
      <c r="S1369" s="20">
        <v>2226</v>
      </c>
      <c r="T1369" s="13">
        <v>6073</v>
      </c>
      <c r="U1369" s="13">
        <v>1</v>
      </c>
      <c r="V1369" s="13" t="s">
        <v>52</v>
      </c>
      <c r="W1369" s="13" t="s">
        <v>59</v>
      </c>
      <c r="X1369" s="13">
        <v>11</v>
      </c>
      <c r="Y1369" s="13">
        <v>3</v>
      </c>
      <c r="Z1369" s="13">
        <v>3</v>
      </c>
      <c r="AA1369" s="13">
        <v>80</v>
      </c>
      <c r="AB1369" s="13">
        <v>1</v>
      </c>
      <c r="AC1369" s="13">
        <v>6</v>
      </c>
      <c r="AD1369" s="13">
        <v>3</v>
      </c>
      <c r="AE1369" s="13">
        <v>2</v>
      </c>
      <c r="AF1369" s="14">
        <v>5</v>
      </c>
      <c r="AG1369" s="13">
        <v>3</v>
      </c>
      <c r="AH1369" s="13">
        <v>1</v>
      </c>
      <c r="AI1369" s="13">
        <v>2</v>
      </c>
      <c r="AJ1369" s="13" t="str">
        <f t="shared" si="21"/>
        <v>Under 30</v>
      </c>
      <c r="AK1369" s="13" t="str">
        <f>IF(tblCleanData[[#This Row],[MonthlyIncome]]&lt;5000, "Low Income", IF(tblCleanData[[#This Row],[MonthlyIncome]]&lt;15000, "Medium Income", "High Income"))</f>
        <v>Low Income</v>
      </c>
      <c r="AL1369" s="13">
        <f>IF(tblCleanData[[#This Row],[Attrition]]="No", 0,1)</f>
        <v>0</v>
      </c>
      <c r="AM1369" s="13">
        <f>IF(tblCleanData[[#This Row],[OverTime]] = "No", 0, 1)</f>
        <v>0</v>
      </c>
      <c r="AN1369" s="13" t="str">
        <f>CHOOSE(tblCleanData[[#This Row],[Education]], "Below College","College","Bachelor","Master","Doctor")</f>
        <v>Master</v>
      </c>
      <c r="AO1369" s="13" t="str">
        <f>VLOOKUP(tblCleanData[[#This Row],[EmployeeNumber]],tblHelpers[],15,TRUE)</f>
        <v>High Risk</v>
      </c>
      <c r="AP1369" s="13">
        <f>VLOOKUP(tblCleanData[[#This Row],[EmployeeNumber]],tblHelpers[],14,0)</f>
        <v>69</v>
      </c>
    </row>
    <row r="1370" spans="1:42" x14ac:dyDescent="0.25">
      <c r="A1370" s="13">
        <v>34</v>
      </c>
      <c r="B1370" s="13" t="s">
        <v>59</v>
      </c>
      <c r="C1370" s="13" t="s">
        <v>60</v>
      </c>
      <c r="D1370" s="13">
        <v>735</v>
      </c>
      <c r="E1370" s="13" t="s">
        <v>62</v>
      </c>
      <c r="F1370" s="13">
        <v>22</v>
      </c>
      <c r="G1370" s="13">
        <v>4</v>
      </c>
      <c r="H1370" s="13" t="s">
        <v>74</v>
      </c>
      <c r="I1370" s="13">
        <v>1</v>
      </c>
      <c r="J1370" s="13">
        <v>1932</v>
      </c>
      <c r="K1370" s="13">
        <v>3</v>
      </c>
      <c r="L1370" s="13" t="s">
        <v>63</v>
      </c>
      <c r="M1370" s="13">
        <v>86</v>
      </c>
      <c r="N1370" s="13">
        <v>2</v>
      </c>
      <c r="O1370" s="13">
        <v>2</v>
      </c>
      <c r="P1370" s="13" t="s">
        <v>65</v>
      </c>
      <c r="Q1370" s="13">
        <v>4</v>
      </c>
      <c r="R1370" s="13" t="s">
        <v>66</v>
      </c>
      <c r="S1370" s="20">
        <v>5747</v>
      </c>
      <c r="T1370" s="13">
        <v>26496</v>
      </c>
      <c r="U1370" s="13">
        <v>1</v>
      </c>
      <c r="V1370" s="13" t="s">
        <v>52</v>
      </c>
      <c r="W1370" s="13" t="s">
        <v>36</v>
      </c>
      <c r="X1370" s="13">
        <v>15</v>
      </c>
      <c r="Y1370" s="13">
        <v>3</v>
      </c>
      <c r="Z1370" s="13">
        <v>2</v>
      </c>
      <c r="AA1370" s="13">
        <v>80</v>
      </c>
      <c r="AB1370" s="13">
        <v>0</v>
      </c>
      <c r="AC1370" s="13">
        <v>16</v>
      </c>
      <c r="AD1370" s="13">
        <v>3</v>
      </c>
      <c r="AE1370" s="13">
        <v>3</v>
      </c>
      <c r="AF1370" s="14">
        <v>15</v>
      </c>
      <c r="AG1370" s="13">
        <v>10</v>
      </c>
      <c r="AH1370" s="13">
        <v>6</v>
      </c>
      <c r="AI1370" s="13">
        <v>11</v>
      </c>
      <c r="AJ1370" s="13" t="str">
        <f t="shared" si="21"/>
        <v>30-39</v>
      </c>
      <c r="AK1370" s="13" t="str">
        <f>IF(tblCleanData[[#This Row],[MonthlyIncome]]&lt;5000, "Low Income", IF(tblCleanData[[#This Row],[MonthlyIncome]]&lt;15000, "Medium Income", "High Income"))</f>
        <v>Medium Income</v>
      </c>
      <c r="AL1370" s="13">
        <f>IF(tblCleanData[[#This Row],[Attrition]]="No", 0,1)</f>
        <v>0</v>
      </c>
      <c r="AM1370" s="13">
        <f>IF(tblCleanData[[#This Row],[OverTime]] = "No", 0, 1)</f>
        <v>1</v>
      </c>
      <c r="AN1370" s="13" t="str">
        <f>CHOOSE(tblCleanData[[#This Row],[Education]], "Below College","College","Bachelor","Master","Doctor")</f>
        <v>Master</v>
      </c>
      <c r="AO1370" s="13" t="str">
        <f>VLOOKUP(tblCleanData[[#This Row],[EmployeeNumber]],tblHelpers[],15,TRUE)</f>
        <v>High Risk</v>
      </c>
      <c r="AP1370" s="13">
        <f>VLOOKUP(tblCleanData[[#This Row],[EmployeeNumber]],tblHelpers[],14,0)</f>
        <v>59</v>
      </c>
    </row>
    <row r="1371" spans="1:42" x14ac:dyDescent="0.25">
      <c r="A1371" s="13">
        <v>28</v>
      </c>
      <c r="B1371" s="13" t="s">
        <v>36</v>
      </c>
      <c r="C1371" s="13" t="s">
        <v>37</v>
      </c>
      <c r="D1371" s="13">
        <v>1475</v>
      </c>
      <c r="E1371" s="13" t="s">
        <v>39</v>
      </c>
      <c r="F1371" s="13">
        <v>13</v>
      </c>
      <c r="G1371" s="13">
        <v>2</v>
      </c>
      <c r="H1371" s="13" t="s">
        <v>206</v>
      </c>
      <c r="I1371" s="13">
        <v>1</v>
      </c>
      <c r="J1371" s="13">
        <v>1933</v>
      </c>
      <c r="K1371" s="13">
        <v>4</v>
      </c>
      <c r="L1371" s="13" t="s">
        <v>43</v>
      </c>
      <c r="M1371" s="13">
        <v>84</v>
      </c>
      <c r="N1371" s="13">
        <v>3</v>
      </c>
      <c r="O1371" s="13">
        <v>2</v>
      </c>
      <c r="P1371" s="13" t="s">
        <v>46</v>
      </c>
      <c r="Q1371" s="13">
        <v>3</v>
      </c>
      <c r="R1371" s="13" t="s">
        <v>48</v>
      </c>
      <c r="S1371" s="20">
        <v>9854</v>
      </c>
      <c r="T1371" s="13">
        <v>23352</v>
      </c>
      <c r="U1371" s="13">
        <v>3</v>
      </c>
      <c r="V1371" s="13" t="s">
        <v>52</v>
      </c>
      <c r="W1371" s="13" t="s">
        <v>36</v>
      </c>
      <c r="X1371" s="13">
        <v>11</v>
      </c>
      <c r="Y1371" s="13">
        <v>3</v>
      </c>
      <c r="Z1371" s="13">
        <v>4</v>
      </c>
      <c r="AA1371" s="13">
        <v>80</v>
      </c>
      <c r="AB1371" s="13">
        <v>0</v>
      </c>
      <c r="AC1371" s="13">
        <v>6</v>
      </c>
      <c r="AD1371" s="13">
        <v>0</v>
      </c>
      <c r="AE1371" s="13">
        <v>3</v>
      </c>
      <c r="AF1371" s="14">
        <v>2</v>
      </c>
      <c r="AG1371" s="13">
        <v>0</v>
      </c>
      <c r="AH1371" s="13">
        <v>2</v>
      </c>
      <c r="AI1371" s="13">
        <v>2</v>
      </c>
      <c r="AJ1371" s="13" t="str">
        <f t="shared" si="21"/>
        <v>Under 30</v>
      </c>
      <c r="AK1371" s="13" t="str">
        <f>IF(tblCleanData[[#This Row],[MonthlyIncome]]&lt;5000, "Low Income", IF(tblCleanData[[#This Row],[MonthlyIncome]]&lt;15000, "Medium Income", "High Income"))</f>
        <v>Medium Income</v>
      </c>
      <c r="AL1371" s="13">
        <f>IF(tblCleanData[[#This Row],[Attrition]]="No", 0,1)</f>
        <v>1</v>
      </c>
      <c r="AM1371" s="13">
        <f>IF(tblCleanData[[#This Row],[OverTime]] = "No", 0, 1)</f>
        <v>1</v>
      </c>
      <c r="AN1371" s="13" t="str">
        <f>CHOOSE(tblCleanData[[#This Row],[Education]], "Below College","College","Bachelor","Master","Doctor")</f>
        <v>College</v>
      </c>
      <c r="AO1371" s="13" t="str">
        <f>VLOOKUP(tblCleanData[[#This Row],[EmployeeNumber]],tblHelpers[],15,TRUE)</f>
        <v>High Risk</v>
      </c>
      <c r="AP1371" s="13">
        <f>VLOOKUP(tblCleanData[[#This Row],[EmployeeNumber]],tblHelpers[],14,0)</f>
        <v>98</v>
      </c>
    </row>
    <row r="1372" spans="1:42" x14ac:dyDescent="0.25">
      <c r="A1372" s="13">
        <v>47</v>
      </c>
      <c r="B1372" s="13" t="s">
        <v>59</v>
      </c>
      <c r="C1372" s="13" t="s">
        <v>161</v>
      </c>
      <c r="D1372" s="13">
        <v>1169</v>
      </c>
      <c r="E1372" s="13" t="s">
        <v>62</v>
      </c>
      <c r="F1372" s="13">
        <v>14</v>
      </c>
      <c r="G1372" s="13">
        <v>4</v>
      </c>
      <c r="H1372" s="13" t="s">
        <v>228</v>
      </c>
      <c r="I1372" s="13">
        <v>1</v>
      </c>
      <c r="J1372" s="13">
        <v>1934</v>
      </c>
      <c r="K1372" s="13">
        <v>3</v>
      </c>
      <c r="L1372" s="13" t="s">
        <v>63</v>
      </c>
      <c r="M1372" s="13">
        <v>64</v>
      </c>
      <c r="N1372" s="13">
        <v>3</v>
      </c>
      <c r="O1372" s="13">
        <v>2</v>
      </c>
      <c r="P1372" s="13" t="s">
        <v>65</v>
      </c>
      <c r="Q1372" s="13">
        <v>2</v>
      </c>
      <c r="R1372" s="13" t="s">
        <v>66</v>
      </c>
      <c r="S1372" s="20">
        <v>5467</v>
      </c>
      <c r="T1372" s="13">
        <v>2125</v>
      </c>
      <c r="U1372" s="13">
        <v>8</v>
      </c>
      <c r="V1372" s="13" t="s">
        <v>52</v>
      </c>
      <c r="W1372" s="13" t="s">
        <v>59</v>
      </c>
      <c r="X1372" s="13">
        <v>18</v>
      </c>
      <c r="Y1372" s="13">
        <v>3</v>
      </c>
      <c r="Z1372" s="13">
        <v>3</v>
      </c>
      <c r="AA1372" s="13">
        <v>80</v>
      </c>
      <c r="AB1372" s="13">
        <v>1</v>
      </c>
      <c r="AC1372" s="13">
        <v>16</v>
      </c>
      <c r="AD1372" s="13">
        <v>4</v>
      </c>
      <c r="AE1372" s="13">
        <v>4</v>
      </c>
      <c r="AF1372" s="14">
        <v>8</v>
      </c>
      <c r="AG1372" s="13">
        <v>7</v>
      </c>
      <c r="AH1372" s="13">
        <v>1</v>
      </c>
      <c r="AI1372" s="13">
        <v>7</v>
      </c>
      <c r="AJ1372" s="13" t="str">
        <f t="shared" si="21"/>
        <v>40-49</v>
      </c>
      <c r="AK1372" s="13" t="str">
        <f>IF(tblCleanData[[#This Row],[MonthlyIncome]]&lt;5000, "Low Income", IF(tblCleanData[[#This Row],[MonthlyIncome]]&lt;15000, "Medium Income", "High Income"))</f>
        <v>Medium Income</v>
      </c>
      <c r="AL1372" s="13">
        <f>IF(tblCleanData[[#This Row],[Attrition]]="No", 0,1)</f>
        <v>0</v>
      </c>
      <c r="AM1372" s="13">
        <f>IF(tblCleanData[[#This Row],[OverTime]] = "No", 0, 1)</f>
        <v>0</v>
      </c>
      <c r="AN1372" s="13" t="str">
        <f>CHOOSE(tblCleanData[[#This Row],[Education]], "Below College","College","Bachelor","Master","Doctor")</f>
        <v>Master</v>
      </c>
      <c r="AO1372" s="13" t="str">
        <f>VLOOKUP(tblCleanData[[#This Row],[EmployeeNumber]],tblHelpers[],15,TRUE)</f>
        <v>Medium Risk</v>
      </c>
      <c r="AP1372" s="13">
        <f>VLOOKUP(tblCleanData[[#This Row],[EmployeeNumber]],tblHelpers[],14,0)</f>
        <v>42</v>
      </c>
    </row>
    <row r="1373" spans="1:42" x14ac:dyDescent="0.25">
      <c r="A1373" s="13">
        <v>56</v>
      </c>
      <c r="B1373" s="13" t="s">
        <v>59</v>
      </c>
      <c r="C1373" s="13" t="s">
        <v>37</v>
      </c>
      <c r="D1373" s="13">
        <v>1443</v>
      </c>
      <c r="E1373" s="13" t="s">
        <v>39</v>
      </c>
      <c r="F1373" s="13">
        <v>11</v>
      </c>
      <c r="G1373" s="13">
        <v>5</v>
      </c>
      <c r="H1373" s="13" t="s">
        <v>206</v>
      </c>
      <c r="I1373" s="13">
        <v>1</v>
      </c>
      <c r="J1373" s="13">
        <v>1935</v>
      </c>
      <c r="K1373" s="13">
        <v>4</v>
      </c>
      <c r="L1373" s="13" t="s">
        <v>43</v>
      </c>
      <c r="M1373" s="13">
        <v>89</v>
      </c>
      <c r="N1373" s="13">
        <v>2</v>
      </c>
      <c r="O1373" s="13">
        <v>2</v>
      </c>
      <c r="P1373" s="13" t="s">
        <v>46</v>
      </c>
      <c r="Q1373" s="13">
        <v>1</v>
      </c>
      <c r="R1373" s="13" t="s">
        <v>66</v>
      </c>
      <c r="S1373" s="20">
        <v>5380</v>
      </c>
      <c r="T1373" s="13">
        <v>20328</v>
      </c>
      <c r="U1373" s="13">
        <v>4</v>
      </c>
      <c r="V1373" s="13" t="s">
        <v>52</v>
      </c>
      <c r="W1373" s="13" t="s">
        <v>59</v>
      </c>
      <c r="X1373" s="13">
        <v>16</v>
      </c>
      <c r="Y1373" s="13">
        <v>3</v>
      </c>
      <c r="Z1373" s="13">
        <v>3</v>
      </c>
      <c r="AA1373" s="13">
        <v>80</v>
      </c>
      <c r="AB1373" s="13">
        <v>1</v>
      </c>
      <c r="AC1373" s="13">
        <v>6</v>
      </c>
      <c r="AD1373" s="13">
        <v>3</v>
      </c>
      <c r="AE1373" s="13">
        <v>3</v>
      </c>
      <c r="AF1373" s="14">
        <v>0</v>
      </c>
      <c r="AG1373" s="13">
        <v>0</v>
      </c>
      <c r="AH1373" s="13">
        <v>0</v>
      </c>
      <c r="AI1373" s="13">
        <v>0</v>
      </c>
      <c r="AJ1373" s="13" t="str">
        <f t="shared" si="21"/>
        <v>50+</v>
      </c>
      <c r="AK1373" s="13" t="str">
        <f>IF(tblCleanData[[#This Row],[MonthlyIncome]]&lt;5000, "Low Income", IF(tblCleanData[[#This Row],[MonthlyIncome]]&lt;15000, "Medium Income", "High Income"))</f>
        <v>Medium Income</v>
      </c>
      <c r="AL1373" s="13">
        <f>IF(tblCleanData[[#This Row],[Attrition]]="No", 0,1)</f>
        <v>0</v>
      </c>
      <c r="AM1373" s="13">
        <f>IF(tblCleanData[[#This Row],[OverTime]] = "No", 0, 1)</f>
        <v>0</v>
      </c>
      <c r="AN1373" s="13" t="str">
        <f>CHOOSE(tblCleanData[[#This Row],[Education]], "Below College","College","Bachelor","Master","Doctor")</f>
        <v>Doctor</v>
      </c>
      <c r="AO1373" s="13" t="str">
        <f>VLOOKUP(tblCleanData[[#This Row],[EmployeeNumber]],tblHelpers[],15,TRUE)</f>
        <v>High Risk</v>
      </c>
      <c r="AP1373" s="13">
        <f>VLOOKUP(tblCleanData[[#This Row],[EmployeeNumber]],tblHelpers[],14,0)</f>
        <v>70</v>
      </c>
    </row>
    <row r="1374" spans="1:42" x14ac:dyDescent="0.25">
      <c r="A1374" s="13">
        <v>39</v>
      </c>
      <c r="B1374" s="13" t="s">
        <v>59</v>
      </c>
      <c r="C1374" s="13" t="s">
        <v>37</v>
      </c>
      <c r="D1374" s="13">
        <v>867</v>
      </c>
      <c r="E1374" s="13" t="s">
        <v>62</v>
      </c>
      <c r="F1374" s="13">
        <v>9</v>
      </c>
      <c r="G1374" s="13">
        <v>2</v>
      </c>
      <c r="H1374" s="13" t="s">
        <v>87</v>
      </c>
      <c r="I1374" s="13">
        <v>1</v>
      </c>
      <c r="J1374" s="13">
        <v>1936</v>
      </c>
      <c r="K1374" s="13">
        <v>1</v>
      </c>
      <c r="L1374" s="13" t="s">
        <v>63</v>
      </c>
      <c r="M1374" s="13">
        <v>87</v>
      </c>
      <c r="N1374" s="13">
        <v>3</v>
      </c>
      <c r="O1374" s="13">
        <v>2</v>
      </c>
      <c r="P1374" s="13" t="s">
        <v>116</v>
      </c>
      <c r="Q1374" s="13">
        <v>1</v>
      </c>
      <c r="R1374" s="13" t="s">
        <v>66</v>
      </c>
      <c r="S1374" s="20">
        <v>5151</v>
      </c>
      <c r="T1374" s="13">
        <v>12315</v>
      </c>
      <c r="U1374" s="13">
        <v>1</v>
      </c>
      <c r="V1374" s="13" t="s">
        <v>52</v>
      </c>
      <c r="W1374" s="13" t="s">
        <v>59</v>
      </c>
      <c r="X1374" s="13">
        <v>25</v>
      </c>
      <c r="Y1374" s="13">
        <v>4</v>
      </c>
      <c r="Z1374" s="13">
        <v>4</v>
      </c>
      <c r="AA1374" s="13">
        <v>80</v>
      </c>
      <c r="AB1374" s="13">
        <v>1</v>
      </c>
      <c r="AC1374" s="13">
        <v>10</v>
      </c>
      <c r="AD1374" s="13">
        <v>3</v>
      </c>
      <c r="AE1374" s="13">
        <v>3</v>
      </c>
      <c r="AF1374" s="14">
        <v>10</v>
      </c>
      <c r="AG1374" s="13">
        <v>0</v>
      </c>
      <c r="AH1374" s="13">
        <v>7</v>
      </c>
      <c r="AI1374" s="13">
        <v>9</v>
      </c>
      <c r="AJ1374" s="13" t="str">
        <f t="shared" si="21"/>
        <v>30-39</v>
      </c>
      <c r="AK1374" s="13" t="str">
        <f>IF(tblCleanData[[#This Row],[MonthlyIncome]]&lt;5000, "Low Income", IF(tblCleanData[[#This Row],[MonthlyIncome]]&lt;15000, "Medium Income", "High Income"))</f>
        <v>Medium Income</v>
      </c>
      <c r="AL1374" s="13">
        <f>IF(tblCleanData[[#This Row],[Attrition]]="No", 0,1)</f>
        <v>0</v>
      </c>
      <c r="AM1374" s="13">
        <f>IF(tblCleanData[[#This Row],[OverTime]] = "No", 0, 1)</f>
        <v>0</v>
      </c>
      <c r="AN1374" s="13" t="str">
        <f>CHOOSE(tblCleanData[[#This Row],[Education]], "Below College","College","Bachelor","Master","Doctor")</f>
        <v>College</v>
      </c>
      <c r="AO1374" s="13" t="str">
        <f>VLOOKUP(tblCleanData[[#This Row],[EmployeeNumber]],tblHelpers[],15,TRUE)</f>
        <v>High Risk</v>
      </c>
      <c r="AP1374" s="13">
        <f>VLOOKUP(tblCleanData[[#This Row],[EmployeeNumber]],tblHelpers[],14,0)</f>
        <v>58</v>
      </c>
    </row>
    <row r="1375" spans="1:42" x14ac:dyDescent="0.25">
      <c r="A1375" s="13">
        <v>38</v>
      </c>
      <c r="B1375" s="13" t="s">
        <v>59</v>
      </c>
      <c r="C1375" s="13" t="s">
        <v>60</v>
      </c>
      <c r="D1375" s="13">
        <v>1394</v>
      </c>
      <c r="E1375" s="13" t="s">
        <v>62</v>
      </c>
      <c r="F1375" s="13">
        <v>8</v>
      </c>
      <c r="G1375" s="13">
        <v>3</v>
      </c>
      <c r="H1375" s="13" t="s">
        <v>87</v>
      </c>
      <c r="I1375" s="13">
        <v>1</v>
      </c>
      <c r="J1375" s="13">
        <v>1937</v>
      </c>
      <c r="K1375" s="13">
        <v>4</v>
      </c>
      <c r="L1375" s="13" t="s">
        <v>43</v>
      </c>
      <c r="M1375" s="13">
        <v>58</v>
      </c>
      <c r="N1375" s="13">
        <v>2</v>
      </c>
      <c r="O1375" s="13">
        <v>2</v>
      </c>
      <c r="P1375" s="13" t="s">
        <v>65</v>
      </c>
      <c r="Q1375" s="13">
        <v>2</v>
      </c>
      <c r="R1375" s="13" t="s">
        <v>109</v>
      </c>
      <c r="S1375" s="20">
        <v>2133</v>
      </c>
      <c r="T1375" s="13">
        <v>18115</v>
      </c>
      <c r="U1375" s="13">
        <v>1</v>
      </c>
      <c r="V1375" s="13" t="s">
        <v>52</v>
      </c>
      <c r="W1375" s="13" t="s">
        <v>36</v>
      </c>
      <c r="X1375" s="13">
        <v>16</v>
      </c>
      <c r="Y1375" s="13">
        <v>3</v>
      </c>
      <c r="Z1375" s="13">
        <v>3</v>
      </c>
      <c r="AA1375" s="13">
        <v>80</v>
      </c>
      <c r="AB1375" s="13">
        <v>1</v>
      </c>
      <c r="AC1375" s="13">
        <v>20</v>
      </c>
      <c r="AD1375" s="13">
        <v>3</v>
      </c>
      <c r="AE1375" s="13">
        <v>3</v>
      </c>
      <c r="AF1375" s="14">
        <v>20</v>
      </c>
      <c r="AG1375" s="13">
        <v>11</v>
      </c>
      <c r="AH1375" s="13">
        <v>0</v>
      </c>
      <c r="AI1375" s="13">
        <v>7</v>
      </c>
      <c r="AJ1375" s="13" t="str">
        <f t="shared" si="21"/>
        <v>30-39</v>
      </c>
      <c r="AK1375" s="13" t="str">
        <f>IF(tblCleanData[[#This Row],[MonthlyIncome]]&lt;5000, "Low Income", IF(tblCleanData[[#This Row],[MonthlyIncome]]&lt;15000, "Medium Income", "High Income"))</f>
        <v>Low Income</v>
      </c>
      <c r="AL1375" s="13">
        <f>IF(tblCleanData[[#This Row],[Attrition]]="No", 0,1)</f>
        <v>0</v>
      </c>
      <c r="AM1375" s="13">
        <f>IF(tblCleanData[[#This Row],[OverTime]] = "No", 0, 1)</f>
        <v>1</v>
      </c>
      <c r="AN1375" s="13" t="str">
        <f>CHOOSE(tblCleanData[[#This Row],[Education]], "Below College","College","Bachelor","Master","Doctor")</f>
        <v>Bachelor</v>
      </c>
      <c r="AO1375" s="13" t="str">
        <f>VLOOKUP(tblCleanData[[#This Row],[EmployeeNumber]],tblHelpers[],15,TRUE)</f>
        <v>High Risk</v>
      </c>
      <c r="AP1375" s="13">
        <f>VLOOKUP(tblCleanData[[#This Row],[EmployeeNumber]],tblHelpers[],14,0)</f>
        <v>72</v>
      </c>
    </row>
    <row r="1376" spans="1:42" x14ac:dyDescent="0.25">
      <c r="A1376" s="13">
        <v>58</v>
      </c>
      <c r="B1376" s="13" t="s">
        <v>59</v>
      </c>
      <c r="C1376" s="13" t="s">
        <v>37</v>
      </c>
      <c r="D1376" s="13">
        <v>605</v>
      </c>
      <c r="E1376" s="13" t="s">
        <v>39</v>
      </c>
      <c r="F1376" s="13">
        <v>21</v>
      </c>
      <c r="G1376" s="13">
        <v>3</v>
      </c>
      <c r="H1376" s="13" t="s">
        <v>42</v>
      </c>
      <c r="I1376" s="13">
        <v>1</v>
      </c>
      <c r="J1376" s="13">
        <v>1938</v>
      </c>
      <c r="K1376" s="13">
        <v>4</v>
      </c>
      <c r="L1376" s="13" t="s">
        <v>43</v>
      </c>
      <c r="M1376" s="13">
        <v>72</v>
      </c>
      <c r="N1376" s="13">
        <v>3</v>
      </c>
      <c r="O1376" s="13">
        <v>4</v>
      </c>
      <c r="P1376" s="13" t="s">
        <v>169</v>
      </c>
      <c r="Q1376" s="13">
        <v>4</v>
      </c>
      <c r="R1376" s="13" t="s">
        <v>66</v>
      </c>
      <c r="S1376" s="20">
        <v>17875</v>
      </c>
      <c r="T1376" s="13">
        <v>11761</v>
      </c>
      <c r="U1376" s="13">
        <v>4</v>
      </c>
      <c r="V1376" s="13" t="s">
        <v>52</v>
      </c>
      <c r="W1376" s="13" t="s">
        <v>36</v>
      </c>
      <c r="X1376" s="13">
        <v>13</v>
      </c>
      <c r="Y1376" s="13">
        <v>3</v>
      </c>
      <c r="Z1376" s="13">
        <v>3</v>
      </c>
      <c r="AA1376" s="13">
        <v>80</v>
      </c>
      <c r="AB1376" s="13">
        <v>1</v>
      </c>
      <c r="AC1376" s="13">
        <v>29</v>
      </c>
      <c r="AD1376" s="13">
        <v>2</v>
      </c>
      <c r="AE1376" s="13">
        <v>2</v>
      </c>
      <c r="AF1376" s="14">
        <v>1</v>
      </c>
      <c r="AG1376" s="13">
        <v>0</v>
      </c>
      <c r="AH1376" s="13">
        <v>0</v>
      </c>
      <c r="AI1376" s="13">
        <v>0</v>
      </c>
      <c r="AJ1376" s="13" t="str">
        <f t="shared" si="21"/>
        <v>50+</v>
      </c>
      <c r="AK1376" s="13" t="str">
        <f>IF(tblCleanData[[#This Row],[MonthlyIncome]]&lt;5000, "Low Income", IF(tblCleanData[[#This Row],[MonthlyIncome]]&lt;15000, "Medium Income", "High Income"))</f>
        <v>High Income</v>
      </c>
      <c r="AL1376" s="13">
        <f>IF(tblCleanData[[#This Row],[Attrition]]="No", 0,1)</f>
        <v>0</v>
      </c>
      <c r="AM1376" s="13">
        <f>IF(tblCleanData[[#This Row],[OverTime]] = "No", 0, 1)</f>
        <v>1</v>
      </c>
      <c r="AN1376" s="13" t="str">
        <f>CHOOSE(tblCleanData[[#This Row],[Education]], "Below College","College","Bachelor","Master","Doctor")</f>
        <v>Bachelor</v>
      </c>
      <c r="AO1376" s="13" t="str">
        <f>VLOOKUP(tblCleanData[[#This Row],[EmployeeNumber]],tblHelpers[],15,TRUE)</f>
        <v>High Risk</v>
      </c>
      <c r="AP1376" s="13">
        <f>VLOOKUP(tblCleanData[[#This Row],[EmployeeNumber]],tblHelpers[],14,0)</f>
        <v>76</v>
      </c>
    </row>
    <row r="1377" spans="1:42" x14ac:dyDescent="0.25">
      <c r="A1377" s="13">
        <v>32</v>
      </c>
      <c r="B1377" s="13" t="s">
        <v>36</v>
      </c>
      <c r="C1377" s="13" t="s">
        <v>60</v>
      </c>
      <c r="D1377" s="13">
        <v>238</v>
      </c>
      <c r="E1377" s="13" t="s">
        <v>62</v>
      </c>
      <c r="F1377" s="13">
        <v>5</v>
      </c>
      <c r="G1377" s="13">
        <v>2</v>
      </c>
      <c r="H1377" s="13" t="s">
        <v>42</v>
      </c>
      <c r="I1377" s="13">
        <v>1</v>
      </c>
      <c r="J1377" s="13">
        <v>1939</v>
      </c>
      <c r="K1377" s="13">
        <v>1</v>
      </c>
      <c r="L1377" s="13" t="s">
        <v>43</v>
      </c>
      <c r="M1377" s="13">
        <v>47</v>
      </c>
      <c r="N1377" s="13">
        <v>4</v>
      </c>
      <c r="O1377" s="13">
        <v>1</v>
      </c>
      <c r="P1377" s="13" t="s">
        <v>65</v>
      </c>
      <c r="Q1377" s="13">
        <v>3</v>
      </c>
      <c r="R1377" s="13" t="s">
        <v>48</v>
      </c>
      <c r="S1377" s="20">
        <v>2432</v>
      </c>
      <c r="T1377" s="13">
        <v>15318</v>
      </c>
      <c r="U1377" s="13">
        <v>3</v>
      </c>
      <c r="V1377" s="13" t="s">
        <v>52</v>
      </c>
      <c r="W1377" s="13" t="s">
        <v>36</v>
      </c>
      <c r="X1377" s="13">
        <v>14</v>
      </c>
      <c r="Y1377" s="13">
        <v>3</v>
      </c>
      <c r="Z1377" s="13">
        <v>1</v>
      </c>
      <c r="AA1377" s="13">
        <v>80</v>
      </c>
      <c r="AB1377" s="13">
        <v>0</v>
      </c>
      <c r="AC1377" s="13">
        <v>8</v>
      </c>
      <c r="AD1377" s="13">
        <v>2</v>
      </c>
      <c r="AE1377" s="13">
        <v>3</v>
      </c>
      <c r="AF1377" s="14">
        <v>4</v>
      </c>
      <c r="AG1377" s="13">
        <v>1</v>
      </c>
      <c r="AH1377" s="13">
        <v>0</v>
      </c>
      <c r="AI1377" s="13">
        <v>3</v>
      </c>
      <c r="AJ1377" s="13" t="str">
        <f t="shared" si="21"/>
        <v>30-39</v>
      </c>
      <c r="AK1377" s="13" t="str">
        <f>IF(tblCleanData[[#This Row],[MonthlyIncome]]&lt;5000, "Low Income", IF(tblCleanData[[#This Row],[MonthlyIncome]]&lt;15000, "Medium Income", "High Income"))</f>
        <v>Low Income</v>
      </c>
      <c r="AL1377" s="13">
        <f>IF(tblCleanData[[#This Row],[Attrition]]="No", 0,1)</f>
        <v>1</v>
      </c>
      <c r="AM1377" s="13">
        <f>IF(tblCleanData[[#This Row],[OverTime]] = "No", 0, 1)</f>
        <v>1</v>
      </c>
      <c r="AN1377" s="13" t="str">
        <f>CHOOSE(tblCleanData[[#This Row],[Education]], "Below College","College","Bachelor","Master","Doctor")</f>
        <v>College</v>
      </c>
      <c r="AO1377" s="13" t="str">
        <f>VLOOKUP(tblCleanData[[#This Row],[EmployeeNumber]],tblHelpers[],15,TRUE)</f>
        <v>High Risk</v>
      </c>
      <c r="AP1377" s="13">
        <f>VLOOKUP(tblCleanData[[#This Row],[EmployeeNumber]],tblHelpers[],14,0)</f>
        <v>78</v>
      </c>
    </row>
    <row r="1378" spans="1:42" x14ac:dyDescent="0.25">
      <c r="A1378" s="13">
        <v>38</v>
      </c>
      <c r="B1378" s="13" t="s">
        <v>59</v>
      </c>
      <c r="C1378" s="13" t="s">
        <v>37</v>
      </c>
      <c r="D1378" s="13">
        <v>1206</v>
      </c>
      <c r="E1378" s="13" t="s">
        <v>62</v>
      </c>
      <c r="F1378" s="13">
        <v>9</v>
      </c>
      <c r="G1378" s="13">
        <v>2</v>
      </c>
      <c r="H1378" s="13" t="s">
        <v>42</v>
      </c>
      <c r="I1378" s="13">
        <v>1</v>
      </c>
      <c r="J1378" s="13">
        <v>1940</v>
      </c>
      <c r="K1378" s="13">
        <v>2</v>
      </c>
      <c r="L1378" s="13" t="s">
        <v>63</v>
      </c>
      <c r="M1378" s="13">
        <v>71</v>
      </c>
      <c r="N1378" s="13">
        <v>3</v>
      </c>
      <c r="O1378" s="13">
        <v>1</v>
      </c>
      <c r="P1378" s="13" t="s">
        <v>65</v>
      </c>
      <c r="Q1378" s="13">
        <v>4</v>
      </c>
      <c r="R1378" s="13" t="s">
        <v>109</v>
      </c>
      <c r="S1378" s="20">
        <v>4771</v>
      </c>
      <c r="T1378" s="13">
        <v>14293</v>
      </c>
      <c r="U1378" s="13">
        <v>2</v>
      </c>
      <c r="V1378" s="13" t="s">
        <v>52</v>
      </c>
      <c r="W1378" s="13" t="s">
        <v>59</v>
      </c>
      <c r="X1378" s="13">
        <v>19</v>
      </c>
      <c r="Y1378" s="13">
        <v>3</v>
      </c>
      <c r="Z1378" s="13">
        <v>4</v>
      </c>
      <c r="AA1378" s="13">
        <v>80</v>
      </c>
      <c r="AB1378" s="13">
        <v>2</v>
      </c>
      <c r="AC1378" s="13">
        <v>10</v>
      </c>
      <c r="AD1378" s="13">
        <v>0</v>
      </c>
      <c r="AE1378" s="13">
        <v>4</v>
      </c>
      <c r="AF1378" s="14">
        <v>5</v>
      </c>
      <c r="AG1378" s="13">
        <v>2</v>
      </c>
      <c r="AH1378" s="13">
        <v>0</v>
      </c>
      <c r="AI1378" s="13">
        <v>3</v>
      </c>
      <c r="AJ1378" s="13" t="str">
        <f t="shared" si="21"/>
        <v>30-39</v>
      </c>
      <c r="AK1378" s="13" t="str">
        <f>IF(tblCleanData[[#This Row],[MonthlyIncome]]&lt;5000, "Low Income", IF(tblCleanData[[#This Row],[MonthlyIncome]]&lt;15000, "Medium Income", "High Income"))</f>
        <v>Low Income</v>
      </c>
      <c r="AL1378" s="13">
        <f>IF(tblCleanData[[#This Row],[Attrition]]="No", 0,1)</f>
        <v>0</v>
      </c>
      <c r="AM1378" s="13">
        <f>IF(tblCleanData[[#This Row],[OverTime]] = "No", 0, 1)</f>
        <v>0</v>
      </c>
      <c r="AN1378" s="13" t="str">
        <f>CHOOSE(tblCleanData[[#This Row],[Education]], "Below College","College","Bachelor","Master","Doctor")</f>
        <v>College</v>
      </c>
      <c r="AO1378" s="13" t="str">
        <f>VLOOKUP(tblCleanData[[#This Row],[EmployeeNumber]],tblHelpers[],15,TRUE)</f>
        <v>Medium Risk</v>
      </c>
      <c r="AP1378" s="13">
        <f>VLOOKUP(tblCleanData[[#This Row],[EmployeeNumber]],tblHelpers[],14,0)</f>
        <v>46</v>
      </c>
    </row>
    <row r="1379" spans="1:42" x14ac:dyDescent="0.25">
      <c r="A1379" s="13">
        <v>49</v>
      </c>
      <c r="B1379" s="13" t="s">
        <v>59</v>
      </c>
      <c r="C1379" s="13" t="s">
        <v>60</v>
      </c>
      <c r="D1379" s="13">
        <v>1064</v>
      </c>
      <c r="E1379" s="13" t="s">
        <v>62</v>
      </c>
      <c r="F1379" s="13">
        <v>2</v>
      </c>
      <c r="G1379" s="13">
        <v>1</v>
      </c>
      <c r="H1379" s="13" t="s">
        <v>42</v>
      </c>
      <c r="I1379" s="13">
        <v>1</v>
      </c>
      <c r="J1379" s="13">
        <v>1941</v>
      </c>
      <c r="K1379" s="13">
        <v>2</v>
      </c>
      <c r="L1379" s="13" t="s">
        <v>63</v>
      </c>
      <c r="M1379" s="13">
        <v>42</v>
      </c>
      <c r="N1379" s="13">
        <v>3</v>
      </c>
      <c r="O1379" s="13">
        <v>5</v>
      </c>
      <c r="P1379" s="13" t="s">
        <v>186</v>
      </c>
      <c r="Q1379" s="13">
        <v>4</v>
      </c>
      <c r="R1379" s="13" t="s">
        <v>66</v>
      </c>
      <c r="S1379" s="20">
        <v>19161</v>
      </c>
      <c r="T1379" s="13">
        <v>13738</v>
      </c>
      <c r="U1379" s="13">
        <v>3</v>
      </c>
      <c r="V1379" s="13" t="s">
        <v>52</v>
      </c>
      <c r="W1379" s="13" t="s">
        <v>59</v>
      </c>
      <c r="X1379" s="13">
        <v>15</v>
      </c>
      <c r="Y1379" s="13">
        <v>3</v>
      </c>
      <c r="Z1379" s="13">
        <v>4</v>
      </c>
      <c r="AA1379" s="13">
        <v>80</v>
      </c>
      <c r="AB1379" s="13">
        <v>0</v>
      </c>
      <c r="AC1379" s="13">
        <v>28</v>
      </c>
      <c r="AD1379" s="13">
        <v>3</v>
      </c>
      <c r="AE1379" s="13">
        <v>3</v>
      </c>
      <c r="AF1379" s="14">
        <v>5</v>
      </c>
      <c r="AG1379" s="13">
        <v>4</v>
      </c>
      <c r="AH1379" s="13">
        <v>4</v>
      </c>
      <c r="AI1379" s="13">
        <v>3</v>
      </c>
      <c r="AJ1379" s="13" t="str">
        <f t="shared" si="21"/>
        <v>40-49</v>
      </c>
      <c r="AK1379" s="13" t="str">
        <f>IF(tblCleanData[[#This Row],[MonthlyIncome]]&lt;5000, "Low Income", IF(tblCleanData[[#This Row],[MonthlyIncome]]&lt;15000, "Medium Income", "High Income"))</f>
        <v>High Income</v>
      </c>
      <c r="AL1379" s="13">
        <f>IF(tblCleanData[[#This Row],[Attrition]]="No", 0,1)</f>
        <v>0</v>
      </c>
      <c r="AM1379" s="13">
        <f>IF(tblCleanData[[#This Row],[OverTime]] = "No", 0, 1)</f>
        <v>0</v>
      </c>
      <c r="AN1379" s="13" t="str">
        <f>CHOOSE(tblCleanData[[#This Row],[Education]], "Below College","College","Bachelor","Master","Doctor")</f>
        <v>Below College</v>
      </c>
      <c r="AO1379" s="13" t="str">
        <f>VLOOKUP(tblCleanData[[#This Row],[EmployeeNumber]],tblHelpers[],15,TRUE)</f>
        <v>Medium Risk</v>
      </c>
      <c r="AP1379" s="13">
        <f>VLOOKUP(tblCleanData[[#This Row],[EmployeeNumber]],tblHelpers[],14,0)</f>
        <v>36</v>
      </c>
    </row>
    <row r="1380" spans="1:42" x14ac:dyDescent="0.25">
      <c r="A1380" s="13">
        <v>42</v>
      </c>
      <c r="B1380" s="13" t="s">
        <v>59</v>
      </c>
      <c r="C1380" s="13" t="s">
        <v>37</v>
      </c>
      <c r="D1380" s="13">
        <v>419</v>
      </c>
      <c r="E1380" s="13" t="s">
        <v>39</v>
      </c>
      <c r="F1380" s="13">
        <v>12</v>
      </c>
      <c r="G1380" s="13">
        <v>4</v>
      </c>
      <c r="H1380" s="13" t="s">
        <v>206</v>
      </c>
      <c r="I1380" s="13">
        <v>1</v>
      </c>
      <c r="J1380" s="13">
        <v>1943</v>
      </c>
      <c r="K1380" s="13">
        <v>2</v>
      </c>
      <c r="L1380" s="13" t="s">
        <v>63</v>
      </c>
      <c r="M1380" s="13">
        <v>77</v>
      </c>
      <c r="N1380" s="13">
        <v>3</v>
      </c>
      <c r="O1380" s="13">
        <v>2</v>
      </c>
      <c r="P1380" s="13" t="s">
        <v>46</v>
      </c>
      <c r="Q1380" s="13">
        <v>4</v>
      </c>
      <c r="R1380" s="13" t="s">
        <v>109</v>
      </c>
      <c r="S1380" s="20">
        <v>5087</v>
      </c>
      <c r="T1380" s="13">
        <v>2900</v>
      </c>
      <c r="U1380" s="13">
        <v>3</v>
      </c>
      <c r="V1380" s="13" t="s">
        <v>52</v>
      </c>
      <c r="W1380" s="13" t="s">
        <v>36</v>
      </c>
      <c r="X1380" s="13">
        <v>12</v>
      </c>
      <c r="Y1380" s="13">
        <v>3</v>
      </c>
      <c r="Z1380" s="13">
        <v>3</v>
      </c>
      <c r="AA1380" s="13">
        <v>80</v>
      </c>
      <c r="AB1380" s="13">
        <v>2</v>
      </c>
      <c r="AC1380" s="13">
        <v>14</v>
      </c>
      <c r="AD1380" s="13">
        <v>4</v>
      </c>
      <c r="AE1380" s="13">
        <v>3</v>
      </c>
      <c r="AF1380" s="14">
        <v>0</v>
      </c>
      <c r="AG1380" s="13">
        <v>0</v>
      </c>
      <c r="AH1380" s="13">
        <v>0</v>
      </c>
      <c r="AI1380" s="13">
        <v>0</v>
      </c>
      <c r="AJ1380" s="13" t="str">
        <f t="shared" si="21"/>
        <v>40-49</v>
      </c>
      <c r="AK1380" s="13" t="str">
        <f>IF(tblCleanData[[#This Row],[MonthlyIncome]]&lt;5000, "Low Income", IF(tblCleanData[[#This Row],[MonthlyIncome]]&lt;15000, "Medium Income", "High Income"))</f>
        <v>Medium Income</v>
      </c>
      <c r="AL1380" s="13">
        <f>IF(tblCleanData[[#This Row],[Attrition]]="No", 0,1)</f>
        <v>0</v>
      </c>
      <c r="AM1380" s="13">
        <f>IF(tblCleanData[[#This Row],[OverTime]] = "No", 0, 1)</f>
        <v>1</v>
      </c>
      <c r="AN1380" s="13" t="str">
        <f>CHOOSE(tblCleanData[[#This Row],[Education]], "Below College","College","Bachelor","Master","Doctor")</f>
        <v>Master</v>
      </c>
      <c r="AO1380" s="13" t="str">
        <f>VLOOKUP(tblCleanData[[#This Row],[EmployeeNumber]],tblHelpers[],15,TRUE)</f>
        <v>High Risk</v>
      </c>
      <c r="AP1380" s="13">
        <f>VLOOKUP(tblCleanData[[#This Row],[EmployeeNumber]],tblHelpers[],14,0)</f>
        <v>71</v>
      </c>
    </row>
    <row r="1381" spans="1:42" x14ac:dyDescent="0.25">
      <c r="A1381" s="13">
        <v>27</v>
      </c>
      <c r="B1381" s="13" t="s">
        <v>36</v>
      </c>
      <c r="C1381" s="13" t="s">
        <v>60</v>
      </c>
      <c r="D1381" s="13">
        <v>1337</v>
      </c>
      <c r="E1381" s="13" t="s">
        <v>397</v>
      </c>
      <c r="F1381" s="13">
        <v>22</v>
      </c>
      <c r="G1381" s="13">
        <v>3</v>
      </c>
      <c r="H1381" s="13" t="s">
        <v>397</v>
      </c>
      <c r="I1381" s="13">
        <v>1</v>
      </c>
      <c r="J1381" s="13">
        <v>1944</v>
      </c>
      <c r="K1381" s="13">
        <v>1</v>
      </c>
      <c r="L1381" s="13" t="s">
        <v>43</v>
      </c>
      <c r="M1381" s="13">
        <v>58</v>
      </c>
      <c r="N1381" s="13">
        <v>2</v>
      </c>
      <c r="O1381" s="13">
        <v>1</v>
      </c>
      <c r="P1381" s="13" t="s">
        <v>397</v>
      </c>
      <c r="Q1381" s="13">
        <v>2</v>
      </c>
      <c r="R1381" s="13" t="s">
        <v>66</v>
      </c>
      <c r="S1381" s="20">
        <v>2863</v>
      </c>
      <c r="T1381" s="13">
        <v>19555</v>
      </c>
      <c r="U1381" s="13">
        <v>1</v>
      </c>
      <c r="V1381" s="13" t="s">
        <v>52</v>
      </c>
      <c r="W1381" s="13" t="s">
        <v>59</v>
      </c>
      <c r="X1381" s="13">
        <v>12</v>
      </c>
      <c r="Y1381" s="13">
        <v>3</v>
      </c>
      <c r="Z1381" s="13">
        <v>1</v>
      </c>
      <c r="AA1381" s="13">
        <v>80</v>
      </c>
      <c r="AB1381" s="13">
        <v>0</v>
      </c>
      <c r="AC1381" s="13">
        <v>1</v>
      </c>
      <c r="AD1381" s="13">
        <v>2</v>
      </c>
      <c r="AE1381" s="13">
        <v>3</v>
      </c>
      <c r="AF1381" s="14">
        <v>1</v>
      </c>
      <c r="AG1381" s="13">
        <v>0</v>
      </c>
      <c r="AH1381" s="13">
        <v>0</v>
      </c>
      <c r="AI1381" s="13">
        <v>0</v>
      </c>
      <c r="AJ1381" s="13" t="str">
        <f t="shared" si="21"/>
        <v>Under 30</v>
      </c>
      <c r="AK1381" s="13" t="str">
        <f>IF(tblCleanData[[#This Row],[MonthlyIncome]]&lt;5000, "Low Income", IF(tblCleanData[[#This Row],[MonthlyIncome]]&lt;15000, "Medium Income", "High Income"))</f>
        <v>Low Income</v>
      </c>
      <c r="AL1381" s="13">
        <f>IF(tblCleanData[[#This Row],[Attrition]]="No", 0,1)</f>
        <v>1</v>
      </c>
      <c r="AM1381" s="13">
        <f>IF(tblCleanData[[#This Row],[OverTime]] = "No", 0, 1)</f>
        <v>0</v>
      </c>
      <c r="AN1381" s="13" t="str">
        <f>CHOOSE(tblCleanData[[#This Row],[Education]], "Below College","College","Bachelor","Master","Doctor")</f>
        <v>Bachelor</v>
      </c>
      <c r="AO1381" s="13" t="str">
        <f>VLOOKUP(tblCleanData[[#This Row],[EmployeeNumber]],tblHelpers[],15,TRUE)</f>
        <v>High Risk</v>
      </c>
      <c r="AP1381" s="13">
        <f>VLOOKUP(tblCleanData[[#This Row],[EmployeeNumber]],tblHelpers[],14,0)</f>
        <v>79</v>
      </c>
    </row>
    <row r="1382" spans="1:42" x14ac:dyDescent="0.25">
      <c r="A1382" s="13">
        <v>35</v>
      </c>
      <c r="B1382" s="13" t="s">
        <v>59</v>
      </c>
      <c r="C1382" s="13" t="s">
        <v>37</v>
      </c>
      <c r="D1382" s="13">
        <v>682</v>
      </c>
      <c r="E1382" s="13" t="s">
        <v>39</v>
      </c>
      <c r="F1382" s="13">
        <v>18</v>
      </c>
      <c r="G1382" s="13">
        <v>4</v>
      </c>
      <c r="H1382" s="13" t="s">
        <v>87</v>
      </c>
      <c r="I1382" s="13">
        <v>1</v>
      </c>
      <c r="J1382" s="13">
        <v>1945</v>
      </c>
      <c r="K1382" s="13">
        <v>2</v>
      </c>
      <c r="L1382" s="13" t="s">
        <v>63</v>
      </c>
      <c r="M1382" s="13">
        <v>71</v>
      </c>
      <c r="N1382" s="13">
        <v>3</v>
      </c>
      <c r="O1382" s="13">
        <v>2</v>
      </c>
      <c r="P1382" s="13" t="s">
        <v>46</v>
      </c>
      <c r="Q1382" s="13">
        <v>1</v>
      </c>
      <c r="R1382" s="13" t="s">
        <v>66</v>
      </c>
      <c r="S1382" s="20">
        <v>5561</v>
      </c>
      <c r="T1382" s="13">
        <v>15975</v>
      </c>
      <c r="U1382" s="13">
        <v>0</v>
      </c>
      <c r="V1382" s="13" t="s">
        <v>52</v>
      </c>
      <c r="W1382" s="13" t="s">
        <v>59</v>
      </c>
      <c r="X1382" s="13">
        <v>16</v>
      </c>
      <c r="Y1382" s="13">
        <v>3</v>
      </c>
      <c r="Z1382" s="13">
        <v>4</v>
      </c>
      <c r="AA1382" s="13">
        <v>80</v>
      </c>
      <c r="AB1382" s="13">
        <v>1</v>
      </c>
      <c r="AC1382" s="13">
        <v>6</v>
      </c>
      <c r="AD1382" s="13">
        <v>2</v>
      </c>
      <c r="AE1382" s="13">
        <v>1</v>
      </c>
      <c r="AF1382" s="14">
        <v>5</v>
      </c>
      <c r="AG1382" s="13">
        <v>3</v>
      </c>
      <c r="AH1382" s="13">
        <v>0</v>
      </c>
      <c r="AI1382" s="13">
        <v>4</v>
      </c>
      <c r="AJ1382" s="13" t="str">
        <f t="shared" si="21"/>
        <v>30-39</v>
      </c>
      <c r="AK1382" s="13" t="str">
        <f>IF(tblCleanData[[#This Row],[MonthlyIncome]]&lt;5000, "Low Income", IF(tblCleanData[[#This Row],[MonthlyIncome]]&lt;15000, "Medium Income", "High Income"))</f>
        <v>Medium Income</v>
      </c>
      <c r="AL1382" s="13">
        <f>IF(tblCleanData[[#This Row],[Attrition]]="No", 0,1)</f>
        <v>0</v>
      </c>
      <c r="AM1382" s="13">
        <f>IF(tblCleanData[[#This Row],[OverTime]] = "No", 0, 1)</f>
        <v>0</v>
      </c>
      <c r="AN1382" s="13" t="str">
        <f>CHOOSE(tblCleanData[[#This Row],[Education]], "Below College","College","Bachelor","Master","Doctor")</f>
        <v>Master</v>
      </c>
      <c r="AO1382" s="13" t="str">
        <f>VLOOKUP(tblCleanData[[#This Row],[EmployeeNumber]],tblHelpers[],15,TRUE)</f>
        <v>High Risk</v>
      </c>
      <c r="AP1382" s="13">
        <f>VLOOKUP(tblCleanData[[#This Row],[EmployeeNumber]],tblHelpers[],14,0)</f>
        <v>65</v>
      </c>
    </row>
    <row r="1383" spans="1:42" x14ac:dyDescent="0.25">
      <c r="A1383" s="13">
        <v>28</v>
      </c>
      <c r="B1383" s="13" t="s">
        <v>59</v>
      </c>
      <c r="C1383" s="13" t="s">
        <v>161</v>
      </c>
      <c r="D1383" s="13">
        <v>1103</v>
      </c>
      <c r="E1383" s="13" t="s">
        <v>62</v>
      </c>
      <c r="F1383" s="13">
        <v>16</v>
      </c>
      <c r="G1383" s="13">
        <v>3</v>
      </c>
      <c r="H1383" s="13" t="s">
        <v>87</v>
      </c>
      <c r="I1383" s="13">
        <v>1</v>
      </c>
      <c r="J1383" s="13">
        <v>1947</v>
      </c>
      <c r="K1383" s="13">
        <v>3</v>
      </c>
      <c r="L1383" s="13" t="s">
        <v>63</v>
      </c>
      <c r="M1383" s="13">
        <v>49</v>
      </c>
      <c r="N1383" s="13">
        <v>3</v>
      </c>
      <c r="O1383" s="13">
        <v>1</v>
      </c>
      <c r="P1383" s="13" t="s">
        <v>65</v>
      </c>
      <c r="Q1383" s="13">
        <v>3</v>
      </c>
      <c r="R1383" s="13" t="s">
        <v>48</v>
      </c>
      <c r="S1383" s="20">
        <v>2144</v>
      </c>
      <c r="T1383" s="13">
        <v>2122</v>
      </c>
      <c r="U1383" s="13">
        <v>1</v>
      </c>
      <c r="V1383" s="13" t="s">
        <v>52</v>
      </c>
      <c r="W1383" s="13" t="s">
        <v>59</v>
      </c>
      <c r="X1383" s="13">
        <v>14</v>
      </c>
      <c r="Y1383" s="13">
        <v>3</v>
      </c>
      <c r="Z1383" s="13">
        <v>3</v>
      </c>
      <c r="AA1383" s="13">
        <v>80</v>
      </c>
      <c r="AB1383" s="13">
        <v>0</v>
      </c>
      <c r="AC1383" s="13">
        <v>5</v>
      </c>
      <c r="AD1383" s="13">
        <v>3</v>
      </c>
      <c r="AE1383" s="13">
        <v>2</v>
      </c>
      <c r="AF1383" s="14">
        <v>5</v>
      </c>
      <c r="AG1383" s="13">
        <v>3</v>
      </c>
      <c r="AH1383" s="13">
        <v>1</v>
      </c>
      <c r="AI1383" s="13">
        <v>4</v>
      </c>
      <c r="AJ1383" s="13" t="str">
        <f t="shared" si="21"/>
        <v>Under 30</v>
      </c>
      <c r="AK1383" s="13" t="str">
        <f>IF(tblCleanData[[#This Row],[MonthlyIncome]]&lt;5000, "Low Income", IF(tblCleanData[[#This Row],[MonthlyIncome]]&lt;15000, "Medium Income", "High Income"))</f>
        <v>Low Income</v>
      </c>
      <c r="AL1383" s="13">
        <f>IF(tblCleanData[[#This Row],[Attrition]]="No", 0,1)</f>
        <v>0</v>
      </c>
      <c r="AM1383" s="13">
        <f>IF(tblCleanData[[#This Row],[OverTime]] = "No", 0, 1)</f>
        <v>0</v>
      </c>
      <c r="AN1383" s="13" t="str">
        <f>CHOOSE(tblCleanData[[#This Row],[Education]], "Below College","College","Bachelor","Master","Doctor")</f>
        <v>Bachelor</v>
      </c>
      <c r="AO1383" s="13" t="str">
        <f>VLOOKUP(tblCleanData[[#This Row],[EmployeeNumber]],tblHelpers[],15,TRUE)</f>
        <v>High Risk</v>
      </c>
      <c r="AP1383" s="13">
        <f>VLOOKUP(tblCleanData[[#This Row],[EmployeeNumber]],tblHelpers[],14,0)</f>
        <v>63</v>
      </c>
    </row>
    <row r="1384" spans="1:42" x14ac:dyDescent="0.25">
      <c r="A1384" s="13">
        <v>31</v>
      </c>
      <c r="B1384" s="13" t="s">
        <v>59</v>
      </c>
      <c r="C1384" s="13" t="s">
        <v>161</v>
      </c>
      <c r="D1384" s="13">
        <v>976</v>
      </c>
      <c r="E1384" s="13" t="s">
        <v>62</v>
      </c>
      <c r="F1384" s="13">
        <v>3</v>
      </c>
      <c r="G1384" s="13">
        <v>2</v>
      </c>
      <c r="H1384" s="13" t="s">
        <v>87</v>
      </c>
      <c r="I1384" s="13">
        <v>1</v>
      </c>
      <c r="J1384" s="13">
        <v>1948</v>
      </c>
      <c r="K1384" s="13">
        <v>3</v>
      </c>
      <c r="L1384" s="13" t="s">
        <v>63</v>
      </c>
      <c r="M1384" s="13">
        <v>48</v>
      </c>
      <c r="N1384" s="13">
        <v>3</v>
      </c>
      <c r="O1384" s="13">
        <v>1</v>
      </c>
      <c r="P1384" s="13" t="s">
        <v>65</v>
      </c>
      <c r="Q1384" s="13">
        <v>1</v>
      </c>
      <c r="R1384" s="13" t="s">
        <v>109</v>
      </c>
      <c r="S1384" s="20">
        <v>3065</v>
      </c>
      <c r="T1384" s="13">
        <v>3995</v>
      </c>
      <c r="U1384" s="13">
        <v>1</v>
      </c>
      <c r="V1384" s="13" t="s">
        <v>52</v>
      </c>
      <c r="W1384" s="13" t="s">
        <v>36</v>
      </c>
      <c r="X1384" s="13">
        <v>13</v>
      </c>
      <c r="Y1384" s="13">
        <v>3</v>
      </c>
      <c r="Z1384" s="13">
        <v>4</v>
      </c>
      <c r="AA1384" s="13">
        <v>80</v>
      </c>
      <c r="AB1384" s="13">
        <v>1</v>
      </c>
      <c r="AC1384" s="13">
        <v>4</v>
      </c>
      <c r="AD1384" s="13">
        <v>3</v>
      </c>
      <c r="AE1384" s="13">
        <v>4</v>
      </c>
      <c r="AF1384" s="14">
        <v>4</v>
      </c>
      <c r="AG1384" s="13">
        <v>2</v>
      </c>
      <c r="AH1384" s="13">
        <v>2</v>
      </c>
      <c r="AI1384" s="13">
        <v>3</v>
      </c>
      <c r="AJ1384" s="13" t="str">
        <f t="shared" si="21"/>
        <v>30-39</v>
      </c>
      <c r="AK1384" s="13" t="str">
        <f>IF(tblCleanData[[#This Row],[MonthlyIncome]]&lt;5000, "Low Income", IF(tblCleanData[[#This Row],[MonthlyIncome]]&lt;15000, "Medium Income", "High Income"))</f>
        <v>Low Income</v>
      </c>
      <c r="AL1384" s="13">
        <f>IF(tblCleanData[[#This Row],[Attrition]]="No", 0,1)</f>
        <v>0</v>
      </c>
      <c r="AM1384" s="13">
        <f>IF(tblCleanData[[#This Row],[OverTime]] = "No", 0, 1)</f>
        <v>1</v>
      </c>
      <c r="AN1384" s="13" t="str">
        <f>CHOOSE(tblCleanData[[#This Row],[Education]], "Below College","College","Bachelor","Master","Doctor")</f>
        <v>College</v>
      </c>
      <c r="AO1384" s="13" t="str">
        <f>VLOOKUP(tblCleanData[[#This Row],[EmployeeNumber]],tblHelpers[],15,TRUE)</f>
        <v>High Risk</v>
      </c>
      <c r="AP1384" s="13">
        <f>VLOOKUP(tblCleanData[[#This Row],[EmployeeNumber]],tblHelpers[],14,0)</f>
        <v>90</v>
      </c>
    </row>
    <row r="1385" spans="1:42" x14ac:dyDescent="0.25">
      <c r="A1385" s="13">
        <v>36</v>
      </c>
      <c r="B1385" s="13" t="s">
        <v>59</v>
      </c>
      <c r="C1385" s="13" t="s">
        <v>161</v>
      </c>
      <c r="D1385" s="13">
        <v>1351</v>
      </c>
      <c r="E1385" s="13" t="s">
        <v>62</v>
      </c>
      <c r="F1385" s="13">
        <v>9</v>
      </c>
      <c r="G1385" s="13">
        <v>4</v>
      </c>
      <c r="H1385" s="13" t="s">
        <v>42</v>
      </c>
      <c r="I1385" s="13">
        <v>1</v>
      </c>
      <c r="J1385" s="13">
        <v>1949</v>
      </c>
      <c r="K1385" s="13">
        <v>1</v>
      </c>
      <c r="L1385" s="13" t="s">
        <v>63</v>
      </c>
      <c r="M1385" s="13">
        <v>66</v>
      </c>
      <c r="N1385" s="13">
        <v>4</v>
      </c>
      <c r="O1385" s="13">
        <v>1</v>
      </c>
      <c r="P1385" s="13" t="s">
        <v>76</v>
      </c>
      <c r="Q1385" s="13">
        <v>2</v>
      </c>
      <c r="R1385" s="13" t="s">
        <v>66</v>
      </c>
      <c r="S1385" s="20">
        <v>2810</v>
      </c>
      <c r="T1385" s="13">
        <v>9238</v>
      </c>
      <c r="U1385" s="13">
        <v>1</v>
      </c>
      <c r="V1385" s="13" t="s">
        <v>52</v>
      </c>
      <c r="W1385" s="13" t="s">
        <v>59</v>
      </c>
      <c r="X1385" s="13">
        <v>22</v>
      </c>
      <c r="Y1385" s="13">
        <v>4</v>
      </c>
      <c r="Z1385" s="13">
        <v>2</v>
      </c>
      <c r="AA1385" s="13">
        <v>80</v>
      </c>
      <c r="AB1385" s="13">
        <v>0</v>
      </c>
      <c r="AC1385" s="13">
        <v>5</v>
      </c>
      <c r="AD1385" s="13">
        <v>3</v>
      </c>
      <c r="AE1385" s="13">
        <v>3</v>
      </c>
      <c r="AF1385" s="14">
        <v>5</v>
      </c>
      <c r="AG1385" s="13">
        <v>4</v>
      </c>
      <c r="AH1385" s="13">
        <v>0</v>
      </c>
      <c r="AI1385" s="13">
        <v>2</v>
      </c>
      <c r="AJ1385" s="13" t="str">
        <f t="shared" si="21"/>
        <v>30-39</v>
      </c>
      <c r="AK1385" s="13" t="str">
        <f>IF(tblCleanData[[#This Row],[MonthlyIncome]]&lt;5000, "Low Income", IF(tblCleanData[[#This Row],[MonthlyIncome]]&lt;15000, "Medium Income", "High Income"))</f>
        <v>Low Income</v>
      </c>
      <c r="AL1385" s="13">
        <f>IF(tblCleanData[[#This Row],[Attrition]]="No", 0,1)</f>
        <v>0</v>
      </c>
      <c r="AM1385" s="13">
        <f>IF(tblCleanData[[#This Row],[OverTime]] = "No", 0, 1)</f>
        <v>0</v>
      </c>
      <c r="AN1385" s="13" t="str">
        <f>CHOOSE(tblCleanData[[#This Row],[Education]], "Below College","College","Bachelor","Master","Doctor")</f>
        <v>Master</v>
      </c>
      <c r="AO1385" s="13" t="str">
        <f>VLOOKUP(tblCleanData[[#This Row],[EmployeeNumber]],tblHelpers[],15,TRUE)</f>
        <v>High Risk</v>
      </c>
      <c r="AP1385" s="13">
        <f>VLOOKUP(tblCleanData[[#This Row],[EmployeeNumber]],tblHelpers[],14,0)</f>
        <v>59</v>
      </c>
    </row>
    <row r="1386" spans="1:42" x14ac:dyDescent="0.25">
      <c r="A1386" s="13">
        <v>34</v>
      </c>
      <c r="B1386" s="13" t="s">
        <v>59</v>
      </c>
      <c r="C1386" s="13" t="s">
        <v>37</v>
      </c>
      <c r="D1386" s="13">
        <v>937</v>
      </c>
      <c r="E1386" s="13" t="s">
        <v>39</v>
      </c>
      <c r="F1386" s="13">
        <v>1</v>
      </c>
      <c r="G1386" s="13">
        <v>3</v>
      </c>
      <c r="H1386" s="13" t="s">
        <v>206</v>
      </c>
      <c r="I1386" s="13">
        <v>1</v>
      </c>
      <c r="J1386" s="13">
        <v>1950</v>
      </c>
      <c r="K1386" s="13">
        <v>1</v>
      </c>
      <c r="L1386" s="13" t="s">
        <v>63</v>
      </c>
      <c r="M1386" s="13">
        <v>32</v>
      </c>
      <c r="N1386" s="13">
        <v>3</v>
      </c>
      <c r="O1386" s="13">
        <v>3</v>
      </c>
      <c r="P1386" s="13" t="s">
        <v>46</v>
      </c>
      <c r="Q1386" s="13">
        <v>4</v>
      </c>
      <c r="R1386" s="13" t="s">
        <v>48</v>
      </c>
      <c r="S1386" s="20">
        <v>9888</v>
      </c>
      <c r="T1386" s="13">
        <v>6770</v>
      </c>
      <c r="U1386" s="13">
        <v>1</v>
      </c>
      <c r="V1386" s="13" t="s">
        <v>52</v>
      </c>
      <c r="W1386" s="13" t="s">
        <v>59</v>
      </c>
      <c r="X1386" s="13">
        <v>21</v>
      </c>
      <c r="Y1386" s="13">
        <v>4</v>
      </c>
      <c r="Z1386" s="13">
        <v>1</v>
      </c>
      <c r="AA1386" s="13">
        <v>80</v>
      </c>
      <c r="AB1386" s="13">
        <v>0</v>
      </c>
      <c r="AC1386" s="13">
        <v>14</v>
      </c>
      <c r="AD1386" s="13">
        <v>3</v>
      </c>
      <c r="AE1386" s="13">
        <v>2</v>
      </c>
      <c r="AF1386" s="14">
        <v>14</v>
      </c>
      <c r="AG1386" s="13">
        <v>8</v>
      </c>
      <c r="AH1386" s="13">
        <v>2</v>
      </c>
      <c r="AI1386" s="13">
        <v>1</v>
      </c>
      <c r="AJ1386" s="13" t="str">
        <f t="shared" si="21"/>
        <v>30-39</v>
      </c>
      <c r="AK1386" s="13" t="str">
        <f>IF(tblCleanData[[#This Row],[MonthlyIncome]]&lt;5000, "Low Income", IF(tblCleanData[[#This Row],[MonthlyIncome]]&lt;15000, "Medium Income", "High Income"))</f>
        <v>Medium Income</v>
      </c>
      <c r="AL1386" s="13">
        <f>IF(tblCleanData[[#This Row],[Attrition]]="No", 0,1)</f>
        <v>0</v>
      </c>
      <c r="AM1386" s="13">
        <f>IF(tblCleanData[[#This Row],[OverTime]] = "No", 0, 1)</f>
        <v>0</v>
      </c>
      <c r="AN1386" s="13" t="str">
        <f>CHOOSE(tblCleanData[[#This Row],[Education]], "Below College","College","Bachelor","Master","Doctor")</f>
        <v>Bachelor</v>
      </c>
      <c r="AO1386" s="13" t="str">
        <f>VLOOKUP(tblCleanData[[#This Row],[EmployeeNumber]],tblHelpers[],15,TRUE)</f>
        <v>Low Risk</v>
      </c>
      <c r="AP1386" s="13">
        <f>VLOOKUP(tblCleanData[[#This Row],[EmployeeNumber]],tblHelpers[],14,0)</f>
        <v>34</v>
      </c>
    </row>
    <row r="1387" spans="1:42" x14ac:dyDescent="0.25">
      <c r="A1387" s="13">
        <v>34</v>
      </c>
      <c r="B1387" s="13" t="s">
        <v>59</v>
      </c>
      <c r="C1387" s="13" t="s">
        <v>37</v>
      </c>
      <c r="D1387" s="13">
        <v>1239</v>
      </c>
      <c r="E1387" s="13" t="s">
        <v>39</v>
      </c>
      <c r="F1387" s="13">
        <v>13</v>
      </c>
      <c r="G1387" s="13">
        <v>4</v>
      </c>
      <c r="H1387" s="13" t="s">
        <v>87</v>
      </c>
      <c r="I1387" s="13">
        <v>1</v>
      </c>
      <c r="J1387" s="13">
        <v>1951</v>
      </c>
      <c r="K1387" s="13">
        <v>4</v>
      </c>
      <c r="L1387" s="13" t="s">
        <v>63</v>
      </c>
      <c r="M1387" s="13">
        <v>39</v>
      </c>
      <c r="N1387" s="13">
        <v>3</v>
      </c>
      <c r="O1387" s="13">
        <v>3</v>
      </c>
      <c r="P1387" s="13" t="s">
        <v>46</v>
      </c>
      <c r="Q1387" s="13">
        <v>3</v>
      </c>
      <c r="R1387" s="13" t="s">
        <v>109</v>
      </c>
      <c r="S1387" s="20">
        <v>8628</v>
      </c>
      <c r="T1387" s="13">
        <v>22914</v>
      </c>
      <c r="U1387" s="13">
        <v>1</v>
      </c>
      <c r="V1387" s="13" t="s">
        <v>52</v>
      </c>
      <c r="W1387" s="13" t="s">
        <v>59</v>
      </c>
      <c r="X1387" s="13">
        <v>18</v>
      </c>
      <c r="Y1387" s="13">
        <v>3</v>
      </c>
      <c r="Z1387" s="13">
        <v>3</v>
      </c>
      <c r="AA1387" s="13">
        <v>80</v>
      </c>
      <c r="AB1387" s="13">
        <v>1</v>
      </c>
      <c r="AC1387" s="13">
        <v>9</v>
      </c>
      <c r="AD1387" s="13">
        <v>2</v>
      </c>
      <c r="AE1387" s="13">
        <v>2</v>
      </c>
      <c r="AF1387" s="14">
        <v>8</v>
      </c>
      <c r="AG1387" s="13">
        <v>7</v>
      </c>
      <c r="AH1387" s="13">
        <v>1</v>
      </c>
      <c r="AI1387" s="13">
        <v>1</v>
      </c>
      <c r="AJ1387" s="13" t="str">
        <f t="shared" si="21"/>
        <v>30-39</v>
      </c>
      <c r="AK1387" s="13" t="str">
        <f>IF(tblCleanData[[#This Row],[MonthlyIncome]]&lt;5000, "Low Income", IF(tblCleanData[[#This Row],[MonthlyIncome]]&lt;15000, "Medium Income", "High Income"))</f>
        <v>Medium Income</v>
      </c>
      <c r="AL1387" s="13">
        <f>IF(tblCleanData[[#This Row],[Attrition]]="No", 0,1)</f>
        <v>0</v>
      </c>
      <c r="AM1387" s="13">
        <f>IF(tblCleanData[[#This Row],[OverTime]] = "No", 0, 1)</f>
        <v>0</v>
      </c>
      <c r="AN1387" s="13" t="str">
        <f>CHOOSE(tblCleanData[[#This Row],[Education]], "Below College","College","Bachelor","Master","Doctor")</f>
        <v>Master</v>
      </c>
      <c r="AO1387" s="13" t="str">
        <f>VLOOKUP(tblCleanData[[#This Row],[EmployeeNumber]],tblHelpers[],15,TRUE)</f>
        <v>Medium Risk</v>
      </c>
      <c r="AP1387" s="13">
        <f>VLOOKUP(tblCleanData[[#This Row],[EmployeeNumber]],tblHelpers[],14,0)</f>
        <v>46</v>
      </c>
    </row>
    <row r="1388" spans="1:42" x14ac:dyDescent="0.25">
      <c r="A1388" s="13">
        <v>26</v>
      </c>
      <c r="B1388" s="13" t="s">
        <v>59</v>
      </c>
      <c r="C1388" s="13" t="s">
        <v>37</v>
      </c>
      <c r="D1388" s="13">
        <v>157</v>
      </c>
      <c r="E1388" s="13" t="s">
        <v>62</v>
      </c>
      <c r="F1388" s="13">
        <v>1</v>
      </c>
      <c r="G1388" s="13">
        <v>3</v>
      </c>
      <c r="H1388" s="13" t="s">
        <v>87</v>
      </c>
      <c r="I1388" s="13">
        <v>1</v>
      </c>
      <c r="J1388" s="13">
        <v>1952</v>
      </c>
      <c r="K1388" s="13">
        <v>3</v>
      </c>
      <c r="L1388" s="13" t="s">
        <v>63</v>
      </c>
      <c r="M1388" s="13">
        <v>95</v>
      </c>
      <c r="N1388" s="13">
        <v>3</v>
      </c>
      <c r="O1388" s="13">
        <v>1</v>
      </c>
      <c r="P1388" s="13" t="s">
        <v>76</v>
      </c>
      <c r="Q1388" s="13">
        <v>1</v>
      </c>
      <c r="R1388" s="13" t="s">
        <v>48</v>
      </c>
      <c r="S1388" s="20">
        <v>2867</v>
      </c>
      <c r="T1388" s="13">
        <v>20006</v>
      </c>
      <c r="U1388" s="13">
        <v>0</v>
      </c>
      <c r="V1388" s="13" t="s">
        <v>52</v>
      </c>
      <c r="W1388" s="13" t="s">
        <v>59</v>
      </c>
      <c r="X1388" s="13">
        <v>13</v>
      </c>
      <c r="Y1388" s="13">
        <v>3</v>
      </c>
      <c r="Z1388" s="13">
        <v>4</v>
      </c>
      <c r="AA1388" s="13">
        <v>80</v>
      </c>
      <c r="AB1388" s="13">
        <v>0</v>
      </c>
      <c r="AC1388" s="13">
        <v>8</v>
      </c>
      <c r="AD1388" s="13">
        <v>6</v>
      </c>
      <c r="AE1388" s="13">
        <v>2</v>
      </c>
      <c r="AF1388" s="14">
        <v>7</v>
      </c>
      <c r="AG1388" s="13">
        <v>7</v>
      </c>
      <c r="AH1388" s="13">
        <v>7</v>
      </c>
      <c r="AI1388" s="13">
        <v>6</v>
      </c>
      <c r="AJ1388" s="13" t="str">
        <f t="shared" si="21"/>
        <v>Under 30</v>
      </c>
      <c r="AK1388" s="13" t="str">
        <f>IF(tblCleanData[[#This Row],[MonthlyIncome]]&lt;5000, "Low Income", IF(tblCleanData[[#This Row],[MonthlyIncome]]&lt;15000, "Medium Income", "High Income"))</f>
        <v>Low Income</v>
      </c>
      <c r="AL1388" s="13">
        <f>IF(tblCleanData[[#This Row],[Attrition]]="No", 0,1)</f>
        <v>0</v>
      </c>
      <c r="AM1388" s="13">
        <f>IF(tblCleanData[[#This Row],[OverTime]] = "No", 0, 1)</f>
        <v>0</v>
      </c>
      <c r="AN1388" s="13" t="str">
        <f>CHOOSE(tblCleanData[[#This Row],[Education]], "Below College","College","Bachelor","Master","Doctor")</f>
        <v>Bachelor</v>
      </c>
      <c r="AO1388" s="13" t="str">
        <f>VLOOKUP(tblCleanData[[#This Row],[EmployeeNumber]],tblHelpers[],15,TRUE)</f>
        <v>High Risk</v>
      </c>
      <c r="AP1388" s="13">
        <f>VLOOKUP(tblCleanData[[#This Row],[EmployeeNumber]],tblHelpers[],14,0)</f>
        <v>68</v>
      </c>
    </row>
    <row r="1389" spans="1:42" x14ac:dyDescent="0.25">
      <c r="A1389" s="13">
        <v>29</v>
      </c>
      <c r="B1389" s="13" t="s">
        <v>59</v>
      </c>
      <c r="C1389" s="13" t="s">
        <v>37</v>
      </c>
      <c r="D1389" s="13">
        <v>136</v>
      </c>
      <c r="E1389" s="13" t="s">
        <v>62</v>
      </c>
      <c r="F1389" s="13">
        <v>1</v>
      </c>
      <c r="G1389" s="13">
        <v>3</v>
      </c>
      <c r="H1389" s="13" t="s">
        <v>42</v>
      </c>
      <c r="I1389" s="13">
        <v>1</v>
      </c>
      <c r="J1389" s="13">
        <v>1954</v>
      </c>
      <c r="K1389" s="13">
        <v>1</v>
      </c>
      <c r="L1389" s="13" t="s">
        <v>63</v>
      </c>
      <c r="M1389" s="13">
        <v>89</v>
      </c>
      <c r="N1389" s="13">
        <v>3</v>
      </c>
      <c r="O1389" s="13">
        <v>2</v>
      </c>
      <c r="P1389" s="13" t="s">
        <v>122</v>
      </c>
      <c r="Q1389" s="13">
        <v>1</v>
      </c>
      <c r="R1389" s="13" t="s">
        <v>66</v>
      </c>
      <c r="S1389" s="20">
        <v>5373</v>
      </c>
      <c r="T1389" s="13">
        <v>6225</v>
      </c>
      <c r="U1389" s="13">
        <v>0</v>
      </c>
      <c r="V1389" s="13" t="s">
        <v>52</v>
      </c>
      <c r="W1389" s="13" t="s">
        <v>59</v>
      </c>
      <c r="X1389" s="13">
        <v>12</v>
      </c>
      <c r="Y1389" s="13">
        <v>3</v>
      </c>
      <c r="Z1389" s="13">
        <v>1</v>
      </c>
      <c r="AA1389" s="13">
        <v>80</v>
      </c>
      <c r="AB1389" s="13">
        <v>1</v>
      </c>
      <c r="AC1389" s="13">
        <v>6</v>
      </c>
      <c r="AD1389" s="13">
        <v>5</v>
      </c>
      <c r="AE1389" s="13">
        <v>2</v>
      </c>
      <c r="AF1389" s="14">
        <v>5</v>
      </c>
      <c r="AG1389" s="13">
        <v>3</v>
      </c>
      <c r="AH1389" s="13">
        <v>0</v>
      </c>
      <c r="AI1389" s="13">
        <v>2</v>
      </c>
      <c r="AJ1389" s="13" t="str">
        <f t="shared" si="21"/>
        <v>Under 30</v>
      </c>
      <c r="AK1389" s="13" t="str">
        <f>IF(tblCleanData[[#This Row],[MonthlyIncome]]&lt;5000, "Low Income", IF(tblCleanData[[#This Row],[MonthlyIncome]]&lt;15000, "Medium Income", "High Income"))</f>
        <v>Medium Income</v>
      </c>
      <c r="AL1389" s="13">
        <f>IF(tblCleanData[[#This Row],[Attrition]]="No", 0,1)</f>
        <v>0</v>
      </c>
      <c r="AM1389" s="13">
        <f>IF(tblCleanData[[#This Row],[OverTime]] = "No", 0, 1)</f>
        <v>0</v>
      </c>
      <c r="AN1389" s="13" t="str">
        <f>CHOOSE(tblCleanData[[#This Row],[Education]], "Below College","College","Bachelor","Master","Doctor")</f>
        <v>Bachelor</v>
      </c>
      <c r="AO1389" s="13" t="str">
        <f>VLOOKUP(tblCleanData[[#This Row],[EmployeeNumber]],tblHelpers[],15,TRUE)</f>
        <v>High Risk</v>
      </c>
      <c r="AP1389" s="13">
        <f>VLOOKUP(tblCleanData[[#This Row],[EmployeeNumber]],tblHelpers[],14,0)</f>
        <v>75</v>
      </c>
    </row>
    <row r="1390" spans="1:42" x14ac:dyDescent="0.25">
      <c r="A1390" s="13">
        <v>32</v>
      </c>
      <c r="B1390" s="13" t="s">
        <v>59</v>
      </c>
      <c r="C1390" s="13" t="s">
        <v>161</v>
      </c>
      <c r="D1390" s="13">
        <v>1146</v>
      </c>
      <c r="E1390" s="13" t="s">
        <v>62</v>
      </c>
      <c r="F1390" s="13">
        <v>15</v>
      </c>
      <c r="G1390" s="13">
        <v>4</v>
      </c>
      <c r="H1390" s="13" t="s">
        <v>87</v>
      </c>
      <c r="I1390" s="13">
        <v>1</v>
      </c>
      <c r="J1390" s="13">
        <v>1955</v>
      </c>
      <c r="K1390" s="13">
        <v>3</v>
      </c>
      <c r="L1390" s="13" t="s">
        <v>43</v>
      </c>
      <c r="M1390" s="13">
        <v>34</v>
      </c>
      <c r="N1390" s="13">
        <v>3</v>
      </c>
      <c r="O1390" s="13">
        <v>2</v>
      </c>
      <c r="P1390" s="13" t="s">
        <v>122</v>
      </c>
      <c r="Q1390" s="13">
        <v>4</v>
      </c>
      <c r="R1390" s="13" t="s">
        <v>109</v>
      </c>
      <c r="S1390" s="20">
        <v>6667</v>
      </c>
      <c r="T1390" s="13">
        <v>16542</v>
      </c>
      <c r="U1390" s="13">
        <v>5</v>
      </c>
      <c r="V1390" s="13" t="s">
        <v>52</v>
      </c>
      <c r="W1390" s="13" t="s">
        <v>59</v>
      </c>
      <c r="X1390" s="13">
        <v>18</v>
      </c>
      <c r="Y1390" s="13">
        <v>3</v>
      </c>
      <c r="Z1390" s="13">
        <v>2</v>
      </c>
      <c r="AA1390" s="13">
        <v>80</v>
      </c>
      <c r="AB1390" s="13">
        <v>1</v>
      </c>
      <c r="AC1390" s="13">
        <v>9</v>
      </c>
      <c r="AD1390" s="13">
        <v>6</v>
      </c>
      <c r="AE1390" s="13">
        <v>3</v>
      </c>
      <c r="AF1390" s="14">
        <v>5</v>
      </c>
      <c r="AG1390" s="13">
        <v>1</v>
      </c>
      <c r="AH1390" s="13">
        <v>1</v>
      </c>
      <c r="AI1390" s="13">
        <v>2</v>
      </c>
      <c r="AJ1390" s="13" t="str">
        <f t="shared" si="21"/>
        <v>30-39</v>
      </c>
      <c r="AK1390" s="13" t="str">
        <f>IF(tblCleanData[[#This Row],[MonthlyIncome]]&lt;5000, "Low Income", IF(tblCleanData[[#This Row],[MonthlyIncome]]&lt;15000, "Medium Income", "High Income"))</f>
        <v>Medium Income</v>
      </c>
      <c r="AL1390" s="13">
        <f>IF(tblCleanData[[#This Row],[Attrition]]="No", 0,1)</f>
        <v>0</v>
      </c>
      <c r="AM1390" s="13">
        <f>IF(tblCleanData[[#This Row],[OverTime]] = "No", 0, 1)</f>
        <v>0</v>
      </c>
      <c r="AN1390" s="13" t="str">
        <f>CHOOSE(tblCleanData[[#This Row],[Education]], "Below College","College","Bachelor","Master","Doctor")</f>
        <v>Master</v>
      </c>
      <c r="AO1390" s="13" t="str">
        <f>VLOOKUP(tblCleanData[[#This Row],[EmployeeNumber]],tblHelpers[],15,TRUE)</f>
        <v>Medium Risk</v>
      </c>
      <c r="AP1390" s="13">
        <f>VLOOKUP(tblCleanData[[#This Row],[EmployeeNumber]],tblHelpers[],14,0)</f>
        <v>46</v>
      </c>
    </row>
    <row r="1391" spans="1:42" x14ac:dyDescent="0.25">
      <c r="A1391" s="13">
        <v>31</v>
      </c>
      <c r="B1391" s="13" t="s">
        <v>59</v>
      </c>
      <c r="C1391" s="13" t="s">
        <v>60</v>
      </c>
      <c r="D1391" s="13">
        <v>1125</v>
      </c>
      <c r="E1391" s="13" t="s">
        <v>62</v>
      </c>
      <c r="F1391" s="13">
        <v>1</v>
      </c>
      <c r="G1391" s="13">
        <v>3</v>
      </c>
      <c r="H1391" s="13" t="s">
        <v>42</v>
      </c>
      <c r="I1391" s="13">
        <v>1</v>
      </c>
      <c r="J1391" s="13">
        <v>1956</v>
      </c>
      <c r="K1391" s="13">
        <v>4</v>
      </c>
      <c r="L1391" s="13" t="s">
        <v>63</v>
      </c>
      <c r="M1391" s="13">
        <v>48</v>
      </c>
      <c r="N1391" s="13">
        <v>1</v>
      </c>
      <c r="O1391" s="13">
        <v>2</v>
      </c>
      <c r="P1391" s="13" t="s">
        <v>65</v>
      </c>
      <c r="Q1391" s="13">
        <v>1</v>
      </c>
      <c r="R1391" s="13" t="s">
        <v>66</v>
      </c>
      <c r="S1391" s="20">
        <v>5003</v>
      </c>
      <c r="T1391" s="13">
        <v>5771</v>
      </c>
      <c r="U1391" s="13">
        <v>1</v>
      </c>
      <c r="V1391" s="13" t="s">
        <v>52</v>
      </c>
      <c r="W1391" s="13" t="s">
        <v>59</v>
      </c>
      <c r="X1391" s="13">
        <v>21</v>
      </c>
      <c r="Y1391" s="13">
        <v>4</v>
      </c>
      <c r="Z1391" s="13">
        <v>2</v>
      </c>
      <c r="AA1391" s="13">
        <v>80</v>
      </c>
      <c r="AB1391" s="13">
        <v>0</v>
      </c>
      <c r="AC1391" s="13">
        <v>10</v>
      </c>
      <c r="AD1391" s="13">
        <v>6</v>
      </c>
      <c r="AE1391" s="13">
        <v>3</v>
      </c>
      <c r="AF1391" s="14">
        <v>10</v>
      </c>
      <c r="AG1391" s="13">
        <v>8</v>
      </c>
      <c r="AH1391" s="13">
        <v>8</v>
      </c>
      <c r="AI1391" s="13">
        <v>7</v>
      </c>
      <c r="AJ1391" s="13" t="str">
        <f t="shared" si="21"/>
        <v>30-39</v>
      </c>
      <c r="AK1391" s="13" t="str">
        <f>IF(tblCleanData[[#This Row],[MonthlyIncome]]&lt;5000, "Low Income", IF(tblCleanData[[#This Row],[MonthlyIncome]]&lt;15000, "Medium Income", "High Income"))</f>
        <v>Medium Income</v>
      </c>
      <c r="AL1391" s="13">
        <f>IF(tblCleanData[[#This Row],[Attrition]]="No", 0,1)</f>
        <v>0</v>
      </c>
      <c r="AM1391" s="13">
        <f>IF(tblCleanData[[#This Row],[OverTime]] = "No", 0, 1)</f>
        <v>0</v>
      </c>
      <c r="AN1391" s="13" t="str">
        <f>CHOOSE(tblCleanData[[#This Row],[Education]], "Below College","College","Bachelor","Master","Doctor")</f>
        <v>Bachelor</v>
      </c>
      <c r="AO1391" s="13" t="str">
        <f>VLOOKUP(tblCleanData[[#This Row],[EmployeeNumber]],tblHelpers[],15,TRUE)</f>
        <v>High Risk</v>
      </c>
      <c r="AP1391" s="13">
        <f>VLOOKUP(tblCleanData[[#This Row],[EmployeeNumber]],tblHelpers[],14,0)</f>
        <v>58</v>
      </c>
    </row>
    <row r="1392" spans="1:42" x14ac:dyDescent="0.25">
      <c r="A1392" s="13">
        <v>28</v>
      </c>
      <c r="B1392" s="13" t="s">
        <v>36</v>
      </c>
      <c r="C1392" s="13" t="s">
        <v>37</v>
      </c>
      <c r="D1392" s="13">
        <v>1404</v>
      </c>
      <c r="E1392" s="13" t="s">
        <v>62</v>
      </c>
      <c r="F1392" s="13">
        <v>17</v>
      </c>
      <c r="G1392" s="13">
        <v>3</v>
      </c>
      <c r="H1392" s="13" t="s">
        <v>228</v>
      </c>
      <c r="I1392" s="13">
        <v>1</v>
      </c>
      <c r="J1392" s="13">
        <v>1960</v>
      </c>
      <c r="K1392" s="13">
        <v>3</v>
      </c>
      <c r="L1392" s="13" t="s">
        <v>63</v>
      </c>
      <c r="M1392" s="13">
        <v>32</v>
      </c>
      <c r="N1392" s="13">
        <v>2</v>
      </c>
      <c r="O1392" s="13">
        <v>1</v>
      </c>
      <c r="P1392" s="13" t="s">
        <v>76</v>
      </c>
      <c r="Q1392" s="13">
        <v>4</v>
      </c>
      <c r="R1392" s="13" t="s">
        <v>109</v>
      </c>
      <c r="S1392" s="20">
        <v>2367</v>
      </c>
      <c r="T1392" s="13">
        <v>18779</v>
      </c>
      <c r="U1392" s="13">
        <v>5</v>
      </c>
      <c r="V1392" s="13" t="s">
        <v>52</v>
      </c>
      <c r="W1392" s="13" t="s">
        <v>59</v>
      </c>
      <c r="X1392" s="13">
        <v>12</v>
      </c>
      <c r="Y1392" s="13">
        <v>3</v>
      </c>
      <c r="Z1392" s="13">
        <v>1</v>
      </c>
      <c r="AA1392" s="13">
        <v>80</v>
      </c>
      <c r="AB1392" s="13">
        <v>1</v>
      </c>
      <c r="AC1392" s="13">
        <v>6</v>
      </c>
      <c r="AD1392" s="13">
        <v>2</v>
      </c>
      <c r="AE1392" s="13">
        <v>2</v>
      </c>
      <c r="AF1392" s="14">
        <v>4</v>
      </c>
      <c r="AG1392" s="13">
        <v>1</v>
      </c>
      <c r="AH1392" s="13">
        <v>0</v>
      </c>
      <c r="AI1392" s="13">
        <v>3</v>
      </c>
      <c r="AJ1392" s="13" t="str">
        <f t="shared" si="21"/>
        <v>Under 30</v>
      </c>
      <c r="AK1392" s="13" t="str">
        <f>IF(tblCleanData[[#This Row],[MonthlyIncome]]&lt;5000, "Low Income", IF(tblCleanData[[#This Row],[MonthlyIncome]]&lt;15000, "Medium Income", "High Income"))</f>
        <v>Low Income</v>
      </c>
      <c r="AL1392" s="13">
        <f>IF(tblCleanData[[#This Row],[Attrition]]="No", 0,1)</f>
        <v>1</v>
      </c>
      <c r="AM1392" s="13">
        <f>IF(tblCleanData[[#This Row],[OverTime]] = "No", 0, 1)</f>
        <v>0</v>
      </c>
      <c r="AN1392" s="13" t="str">
        <f>CHOOSE(tblCleanData[[#This Row],[Education]], "Below College","College","Bachelor","Master","Doctor")</f>
        <v>Bachelor</v>
      </c>
      <c r="AO1392" s="13" t="str">
        <f>VLOOKUP(tblCleanData[[#This Row],[EmployeeNumber]],tblHelpers[],15,TRUE)</f>
        <v>High Risk</v>
      </c>
      <c r="AP1392" s="13">
        <f>VLOOKUP(tblCleanData[[#This Row],[EmployeeNumber]],tblHelpers[],14,0)</f>
        <v>56</v>
      </c>
    </row>
    <row r="1393" spans="1:42" x14ac:dyDescent="0.25">
      <c r="A1393" s="13">
        <v>38</v>
      </c>
      <c r="B1393" s="13" t="s">
        <v>59</v>
      </c>
      <c r="C1393" s="13" t="s">
        <v>37</v>
      </c>
      <c r="D1393" s="13">
        <v>1404</v>
      </c>
      <c r="E1393" s="13" t="s">
        <v>39</v>
      </c>
      <c r="F1393" s="13">
        <v>1</v>
      </c>
      <c r="G1393" s="13">
        <v>3</v>
      </c>
      <c r="H1393" s="13" t="s">
        <v>42</v>
      </c>
      <c r="I1393" s="13">
        <v>1</v>
      </c>
      <c r="J1393" s="13">
        <v>1961</v>
      </c>
      <c r="K1393" s="13">
        <v>1</v>
      </c>
      <c r="L1393" s="13" t="s">
        <v>63</v>
      </c>
      <c r="M1393" s="13">
        <v>59</v>
      </c>
      <c r="N1393" s="13">
        <v>2</v>
      </c>
      <c r="O1393" s="13">
        <v>1</v>
      </c>
      <c r="P1393" s="13" t="s">
        <v>182</v>
      </c>
      <c r="Q1393" s="13">
        <v>1</v>
      </c>
      <c r="R1393" s="13" t="s">
        <v>48</v>
      </c>
      <c r="S1393" s="20">
        <v>2858</v>
      </c>
      <c r="T1393" s="13">
        <v>11473</v>
      </c>
      <c r="U1393" s="13">
        <v>4</v>
      </c>
      <c r="V1393" s="13" t="s">
        <v>52</v>
      </c>
      <c r="W1393" s="13" t="s">
        <v>59</v>
      </c>
      <c r="X1393" s="13">
        <v>14</v>
      </c>
      <c r="Y1393" s="13">
        <v>3</v>
      </c>
      <c r="Z1393" s="13">
        <v>1</v>
      </c>
      <c r="AA1393" s="13">
        <v>80</v>
      </c>
      <c r="AB1393" s="13">
        <v>0</v>
      </c>
      <c r="AC1393" s="13">
        <v>20</v>
      </c>
      <c r="AD1393" s="13">
        <v>3</v>
      </c>
      <c r="AE1393" s="13">
        <v>2</v>
      </c>
      <c r="AF1393" s="14">
        <v>1</v>
      </c>
      <c r="AG1393" s="13">
        <v>0</v>
      </c>
      <c r="AH1393" s="13">
        <v>0</v>
      </c>
      <c r="AI1393" s="13">
        <v>0</v>
      </c>
      <c r="AJ1393" s="13" t="str">
        <f t="shared" si="21"/>
        <v>30-39</v>
      </c>
      <c r="AK1393" s="13" t="str">
        <f>IF(tblCleanData[[#This Row],[MonthlyIncome]]&lt;5000, "Low Income", IF(tblCleanData[[#This Row],[MonthlyIncome]]&lt;15000, "Medium Income", "High Income"))</f>
        <v>Low Income</v>
      </c>
      <c r="AL1393" s="13">
        <f>IF(tblCleanData[[#This Row],[Attrition]]="No", 0,1)</f>
        <v>0</v>
      </c>
      <c r="AM1393" s="13">
        <f>IF(tblCleanData[[#This Row],[OverTime]] = "No", 0, 1)</f>
        <v>0</v>
      </c>
      <c r="AN1393" s="13" t="str">
        <f>CHOOSE(tblCleanData[[#This Row],[Education]], "Below College","College","Bachelor","Master","Doctor")</f>
        <v>Bachelor</v>
      </c>
      <c r="AO1393" s="13" t="str">
        <f>VLOOKUP(tblCleanData[[#This Row],[EmployeeNumber]],tblHelpers[],15,TRUE)</f>
        <v>High Risk</v>
      </c>
      <c r="AP1393" s="13">
        <f>VLOOKUP(tblCleanData[[#This Row],[EmployeeNumber]],tblHelpers[],14,0)</f>
        <v>75</v>
      </c>
    </row>
    <row r="1394" spans="1:42" x14ac:dyDescent="0.25">
      <c r="A1394" s="13">
        <v>35</v>
      </c>
      <c r="B1394" s="13" t="s">
        <v>59</v>
      </c>
      <c r="C1394" s="13" t="s">
        <v>37</v>
      </c>
      <c r="D1394" s="13">
        <v>1224</v>
      </c>
      <c r="E1394" s="13" t="s">
        <v>39</v>
      </c>
      <c r="F1394" s="13">
        <v>7</v>
      </c>
      <c r="G1394" s="13">
        <v>4</v>
      </c>
      <c r="H1394" s="13" t="s">
        <v>42</v>
      </c>
      <c r="I1394" s="13">
        <v>1</v>
      </c>
      <c r="J1394" s="13">
        <v>1962</v>
      </c>
      <c r="K1394" s="13">
        <v>3</v>
      </c>
      <c r="L1394" s="13" t="s">
        <v>43</v>
      </c>
      <c r="M1394" s="13">
        <v>55</v>
      </c>
      <c r="N1394" s="13">
        <v>3</v>
      </c>
      <c r="O1394" s="13">
        <v>2</v>
      </c>
      <c r="P1394" s="13" t="s">
        <v>46</v>
      </c>
      <c r="Q1394" s="13">
        <v>4</v>
      </c>
      <c r="R1394" s="13" t="s">
        <v>66</v>
      </c>
      <c r="S1394" s="20">
        <v>5204</v>
      </c>
      <c r="T1394" s="13">
        <v>13586</v>
      </c>
      <c r="U1394" s="13">
        <v>1</v>
      </c>
      <c r="V1394" s="13" t="s">
        <v>52</v>
      </c>
      <c r="W1394" s="13" t="s">
        <v>36</v>
      </c>
      <c r="X1394" s="13">
        <v>11</v>
      </c>
      <c r="Y1394" s="13">
        <v>3</v>
      </c>
      <c r="Z1394" s="13">
        <v>4</v>
      </c>
      <c r="AA1394" s="13">
        <v>80</v>
      </c>
      <c r="AB1394" s="13">
        <v>0</v>
      </c>
      <c r="AC1394" s="13">
        <v>10</v>
      </c>
      <c r="AD1394" s="13">
        <v>2</v>
      </c>
      <c r="AE1394" s="13">
        <v>3</v>
      </c>
      <c r="AF1394" s="14">
        <v>10</v>
      </c>
      <c r="AG1394" s="13">
        <v>8</v>
      </c>
      <c r="AH1394" s="13">
        <v>0</v>
      </c>
      <c r="AI1394" s="13">
        <v>9</v>
      </c>
      <c r="AJ1394" s="13" t="str">
        <f t="shared" si="21"/>
        <v>30-39</v>
      </c>
      <c r="AK1394" s="13" t="str">
        <f>IF(tblCleanData[[#This Row],[MonthlyIncome]]&lt;5000, "Low Income", IF(tblCleanData[[#This Row],[MonthlyIncome]]&lt;15000, "Medium Income", "High Income"))</f>
        <v>Medium Income</v>
      </c>
      <c r="AL1394" s="13">
        <f>IF(tblCleanData[[#This Row],[Attrition]]="No", 0,1)</f>
        <v>0</v>
      </c>
      <c r="AM1394" s="13">
        <f>IF(tblCleanData[[#This Row],[OverTime]] = "No", 0, 1)</f>
        <v>1</v>
      </c>
      <c r="AN1394" s="13" t="str">
        <f>CHOOSE(tblCleanData[[#This Row],[Education]], "Below College","College","Bachelor","Master","Doctor")</f>
        <v>Master</v>
      </c>
      <c r="AO1394" s="13" t="str">
        <f>VLOOKUP(tblCleanData[[#This Row],[EmployeeNumber]],tblHelpers[],15,TRUE)</f>
        <v>High Risk</v>
      </c>
      <c r="AP1394" s="13">
        <f>VLOOKUP(tblCleanData[[#This Row],[EmployeeNumber]],tblHelpers[],14,0)</f>
        <v>64</v>
      </c>
    </row>
    <row r="1395" spans="1:42" x14ac:dyDescent="0.25">
      <c r="A1395" s="13">
        <v>27</v>
      </c>
      <c r="B1395" s="13" t="s">
        <v>59</v>
      </c>
      <c r="C1395" s="13" t="s">
        <v>37</v>
      </c>
      <c r="D1395" s="13">
        <v>954</v>
      </c>
      <c r="E1395" s="13" t="s">
        <v>39</v>
      </c>
      <c r="F1395" s="13">
        <v>9</v>
      </c>
      <c r="G1395" s="13">
        <v>3</v>
      </c>
      <c r="H1395" s="13" t="s">
        <v>206</v>
      </c>
      <c r="I1395" s="13">
        <v>1</v>
      </c>
      <c r="J1395" s="13">
        <v>1965</v>
      </c>
      <c r="K1395" s="13">
        <v>4</v>
      </c>
      <c r="L1395" s="13" t="s">
        <v>63</v>
      </c>
      <c r="M1395" s="13">
        <v>44</v>
      </c>
      <c r="N1395" s="13">
        <v>3</v>
      </c>
      <c r="O1395" s="13">
        <v>2</v>
      </c>
      <c r="P1395" s="13" t="s">
        <v>46</v>
      </c>
      <c r="Q1395" s="13">
        <v>4</v>
      </c>
      <c r="R1395" s="13" t="s">
        <v>48</v>
      </c>
      <c r="S1395" s="20">
        <v>4105</v>
      </c>
      <c r="T1395" s="13">
        <v>5099</v>
      </c>
      <c r="U1395" s="13">
        <v>1</v>
      </c>
      <c r="V1395" s="13" t="s">
        <v>52</v>
      </c>
      <c r="W1395" s="13" t="s">
        <v>59</v>
      </c>
      <c r="X1395" s="13">
        <v>14</v>
      </c>
      <c r="Y1395" s="13">
        <v>3</v>
      </c>
      <c r="Z1395" s="13">
        <v>1</v>
      </c>
      <c r="AA1395" s="13">
        <v>80</v>
      </c>
      <c r="AB1395" s="13">
        <v>0</v>
      </c>
      <c r="AC1395" s="13">
        <v>7</v>
      </c>
      <c r="AD1395" s="13">
        <v>5</v>
      </c>
      <c r="AE1395" s="13">
        <v>3</v>
      </c>
      <c r="AF1395" s="14">
        <v>7</v>
      </c>
      <c r="AG1395" s="13">
        <v>7</v>
      </c>
      <c r="AH1395" s="13">
        <v>0</v>
      </c>
      <c r="AI1395" s="13">
        <v>7</v>
      </c>
      <c r="AJ1395" s="13" t="str">
        <f t="shared" si="21"/>
        <v>Under 30</v>
      </c>
      <c r="AK1395" s="13" t="str">
        <f>IF(tblCleanData[[#This Row],[MonthlyIncome]]&lt;5000, "Low Income", IF(tblCleanData[[#This Row],[MonthlyIncome]]&lt;15000, "Medium Income", "High Income"))</f>
        <v>Low Income</v>
      </c>
      <c r="AL1395" s="13">
        <f>IF(tblCleanData[[#This Row],[Attrition]]="No", 0,1)</f>
        <v>0</v>
      </c>
      <c r="AM1395" s="13">
        <f>IF(tblCleanData[[#This Row],[OverTime]] = "No", 0, 1)</f>
        <v>0</v>
      </c>
      <c r="AN1395" s="13" t="str">
        <f>CHOOSE(tblCleanData[[#This Row],[Education]], "Below College","College","Bachelor","Master","Doctor")</f>
        <v>Bachelor</v>
      </c>
      <c r="AO1395" s="13" t="str">
        <f>VLOOKUP(tblCleanData[[#This Row],[EmployeeNumber]],tblHelpers[],15,TRUE)</f>
        <v>Medium Risk</v>
      </c>
      <c r="AP1395" s="13">
        <f>VLOOKUP(tblCleanData[[#This Row],[EmployeeNumber]],tblHelpers[],14,0)</f>
        <v>49</v>
      </c>
    </row>
    <row r="1396" spans="1:42" x14ac:dyDescent="0.25">
      <c r="A1396" s="13">
        <v>32</v>
      </c>
      <c r="B1396" s="13" t="s">
        <v>59</v>
      </c>
      <c r="C1396" s="13" t="s">
        <v>37</v>
      </c>
      <c r="D1396" s="13">
        <v>1373</v>
      </c>
      <c r="E1396" s="13" t="s">
        <v>62</v>
      </c>
      <c r="F1396" s="13">
        <v>5</v>
      </c>
      <c r="G1396" s="13">
        <v>4</v>
      </c>
      <c r="H1396" s="13" t="s">
        <v>42</v>
      </c>
      <c r="I1396" s="13">
        <v>1</v>
      </c>
      <c r="J1396" s="13">
        <v>1966</v>
      </c>
      <c r="K1396" s="13">
        <v>4</v>
      </c>
      <c r="L1396" s="13" t="s">
        <v>63</v>
      </c>
      <c r="M1396" s="13">
        <v>56</v>
      </c>
      <c r="N1396" s="13">
        <v>2</v>
      </c>
      <c r="O1396" s="13">
        <v>2</v>
      </c>
      <c r="P1396" s="13" t="s">
        <v>116</v>
      </c>
      <c r="Q1396" s="13">
        <v>4</v>
      </c>
      <c r="R1396" s="13" t="s">
        <v>48</v>
      </c>
      <c r="S1396" s="20">
        <v>9679</v>
      </c>
      <c r="T1396" s="13">
        <v>10138</v>
      </c>
      <c r="U1396" s="13">
        <v>8</v>
      </c>
      <c r="V1396" s="13" t="s">
        <v>52</v>
      </c>
      <c r="W1396" s="13" t="s">
        <v>59</v>
      </c>
      <c r="X1396" s="13">
        <v>24</v>
      </c>
      <c r="Y1396" s="13">
        <v>4</v>
      </c>
      <c r="Z1396" s="13">
        <v>2</v>
      </c>
      <c r="AA1396" s="13">
        <v>80</v>
      </c>
      <c r="AB1396" s="13">
        <v>0</v>
      </c>
      <c r="AC1396" s="13">
        <v>8</v>
      </c>
      <c r="AD1396" s="13">
        <v>1</v>
      </c>
      <c r="AE1396" s="13">
        <v>3</v>
      </c>
      <c r="AF1396" s="14">
        <v>1</v>
      </c>
      <c r="AG1396" s="13">
        <v>0</v>
      </c>
      <c r="AH1396" s="13">
        <v>0</v>
      </c>
      <c r="AI1396" s="13">
        <v>0</v>
      </c>
      <c r="AJ1396" s="13" t="str">
        <f t="shared" si="21"/>
        <v>30-39</v>
      </c>
      <c r="AK1396" s="13" t="str">
        <f>IF(tblCleanData[[#This Row],[MonthlyIncome]]&lt;5000, "Low Income", IF(tblCleanData[[#This Row],[MonthlyIncome]]&lt;15000, "Medium Income", "High Income"))</f>
        <v>Medium Income</v>
      </c>
      <c r="AL1396" s="13">
        <f>IF(tblCleanData[[#This Row],[Attrition]]="No", 0,1)</f>
        <v>0</v>
      </c>
      <c r="AM1396" s="13">
        <f>IF(tblCleanData[[#This Row],[OverTime]] = "No", 0, 1)</f>
        <v>0</v>
      </c>
      <c r="AN1396" s="13" t="str">
        <f>CHOOSE(tblCleanData[[#This Row],[Education]], "Below College","College","Bachelor","Master","Doctor")</f>
        <v>Master</v>
      </c>
      <c r="AO1396" s="13" t="str">
        <f>VLOOKUP(tblCleanData[[#This Row],[EmployeeNumber]],tblHelpers[],15,TRUE)</f>
        <v>High Risk</v>
      </c>
      <c r="AP1396" s="13">
        <f>VLOOKUP(tblCleanData[[#This Row],[EmployeeNumber]],tblHelpers[],14,0)</f>
        <v>56</v>
      </c>
    </row>
    <row r="1397" spans="1:42" x14ac:dyDescent="0.25">
      <c r="A1397" s="13">
        <v>31</v>
      </c>
      <c r="B1397" s="13" t="s">
        <v>36</v>
      </c>
      <c r="C1397" s="13" t="s">
        <v>60</v>
      </c>
      <c r="D1397" s="13">
        <v>754</v>
      </c>
      <c r="E1397" s="13" t="s">
        <v>39</v>
      </c>
      <c r="F1397" s="13">
        <v>26</v>
      </c>
      <c r="G1397" s="13">
        <v>4</v>
      </c>
      <c r="H1397" s="13" t="s">
        <v>206</v>
      </c>
      <c r="I1397" s="13">
        <v>1</v>
      </c>
      <c r="J1397" s="13">
        <v>1967</v>
      </c>
      <c r="K1397" s="13">
        <v>1</v>
      </c>
      <c r="L1397" s="13" t="s">
        <v>63</v>
      </c>
      <c r="M1397" s="13">
        <v>63</v>
      </c>
      <c r="N1397" s="13">
        <v>3</v>
      </c>
      <c r="O1397" s="13">
        <v>2</v>
      </c>
      <c r="P1397" s="13" t="s">
        <v>46</v>
      </c>
      <c r="Q1397" s="13">
        <v>4</v>
      </c>
      <c r="R1397" s="13" t="s">
        <v>66</v>
      </c>
      <c r="S1397" s="20">
        <v>5617</v>
      </c>
      <c r="T1397" s="13">
        <v>21075</v>
      </c>
      <c r="U1397" s="13">
        <v>1</v>
      </c>
      <c r="V1397" s="13" t="s">
        <v>52</v>
      </c>
      <c r="W1397" s="13" t="s">
        <v>36</v>
      </c>
      <c r="X1397" s="13">
        <v>11</v>
      </c>
      <c r="Y1397" s="13">
        <v>3</v>
      </c>
      <c r="Z1397" s="13">
        <v>3</v>
      </c>
      <c r="AA1397" s="13">
        <v>80</v>
      </c>
      <c r="AB1397" s="13">
        <v>0</v>
      </c>
      <c r="AC1397" s="13">
        <v>10</v>
      </c>
      <c r="AD1397" s="13">
        <v>4</v>
      </c>
      <c r="AE1397" s="13">
        <v>3</v>
      </c>
      <c r="AF1397" s="14">
        <v>10</v>
      </c>
      <c r="AG1397" s="13">
        <v>7</v>
      </c>
      <c r="AH1397" s="13">
        <v>0</v>
      </c>
      <c r="AI1397" s="13">
        <v>8</v>
      </c>
      <c r="AJ1397" s="13" t="str">
        <f t="shared" si="21"/>
        <v>30-39</v>
      </c>
      <c r="AK1397" s="13" t="str">
        <f>IF(tblCleanData[[#This Row],[MonthlyIncome]]&lt;5000, "Low Income", IF(tblCleanData[[#This Row],[MonthlyIncome]]&lt;15000, "Medium Income", "High Income"))</f>
        <v>Medium Income</v>
      </c>
      <c r="AL1397" s="13">
        <f>IF(tblCleanData[[#This Row],[Attrition]]="No", 0,1)</f>
        <v>1</v>
      </c>
      <c r="AM1397" s="13">
        <f>IF(tblCleanData[[#This Row],[OverTime]] = "No", 0, 1)</f>
        <v>1</v>
      </c>
      <c r="AN1397" s="13" t="str">
        <f>CHOOSE(tblCleanData[[#This Row],[Education]], "Below College","College","Bachelor","Master","Doctor")</f>
        <v>Master</v>
      </c>
      <c r="AO1397" s="13" t="str">
        <f>VLOOKUP(tblCleanData[[#This Row],[EmployeeNumber]],tblHelpers[],15,TRUE)</f>
        <v>High Risk</v>
      </c>
      <c r="AP1397" s="13">
        <f>VLOOKUP(tblCleanData[[#This Row],[EmployeeNumber]],tblHelpers[],14,0)</f>
        <v>64</v>
      </c>
    </row>
    <row r="1398" spans="1:42" x14ac:dyDescent="0.25">
      <c r="A1398" s="13">
        <v>53</v>
      </c>
      <c r="B1398" s="13" t="s">
        <v>36</v>
      </c>
      <c r="C1398" s="13" t="s">
        <v>37</v>
      </c>
      <c r="D1398" s="13">
        <v>1168</v>
      </c>
      <c r="E1398" s="13" t="s">
        <v>39</v>
      </c>
      <c r="F1398" s="13">
        <v>24</v>
      </c>
      <c r="G1398" s="13">
        <v>4</v>
      </c>
      <c r="H1398" s="13" t="s">
        <v>42</v>
      </c>
      <c r="I1398" s="13">
        <v>1</v>
      </c>
      <c r="J1398" s="13">
        <v>1968</v>
      </c>
      <c r="K1398" s="13">
        <v>1</v>
      </c>
      <c r="L1398" s="13" t="s">
        <v>63</v>
      </c>
      <c r="M1398" s="13">
        <v>66</v>
      </c>
      <c r="N1398" s="13">
        <v>3</v>
      </c>
      <c r="O1398" s="13">
        <v>3</v>
      </c>
      <c r="P1398" s="13" t="s">
        <v>46</v>
      </c>
      <c r="Q1398" s="13">
        <v>1</v>
      </c>
      <c r="R1398" s="13" t="s">
        <v>48</v>
      </c>
      <c r="S1398" s="20">
        <v>10448</v>
      </c>
      <c r="T1398" s="13">
        <v>5843</v>
      </c>
      <c r="U1398" s="13">
        <v>6</v>
      </c>
      <c r="V1398" s="13" t="s">
        <v>52</v>
      </c>
      <c r="W1398" s="13" t="s">
        <v>36</v>
      </c>
      <c r="X1398" s="13">
        <v>13</v>
      </c>
      <c r="Y1398" s="13">
        <v>3</v>
      </c>
      <c r="Z1398" s="13">
        <v>2</v>
      </c>
      <c r="AA1398" s="13">
        <v>80</v>
      </c>
      <c r="AB1398" s="13">
        <v>0</v>
      </c>
      <c r="AC1398" s="13">
        <v>15</v>
      </c>
      <c r="AD1398" s="13">
        <v>2</v>
      </c>
      <c r="AE1398" s="13">
        <v>2</v>
      </c>
      <c r="AF1398" s="14">
        <v>2</v>
      </c>
      <c r="AG1398" s="13">
        <v>2</v>
      </c>
      <c r="AH1398" s="13">
        <v>2</v>
      </c>
      <c r="AI1398" s="13">
        <v>2</v>
      </c>
      <c r="AJ1398" s="13" t="str">
        <f t="shared" si="21"/>
        <v>50+</v>
      </c>
      <c r="AK1398" s="13" t="str">
        <f>IF(tblCleanData[[#This Row],[MonthlyIncome]]&lt;5000, "Low Income", IF(tblCleanData[[#This Row],[MonthlyIncome]]&lt;15000, "Medium Income", "High Income"))</f>
        <v>Medium Income</v>
      </c>
      <c r="AL1398" s="13">
        <f>IF(tblCleanData[[#This Row],[Attrition]]="No", 0,1)</f>
        <v>1</v>
      </c>
      <c r="AM1398" s="13">
        <f>IF(tblCleanData[[#This Row],[OverTime]] = "No", 0, 1)</f>
        <v>1</v>
      </c>
      <c r="AN1398" s="13" t="str">
        <f>CHOOSE(tblCleanData[[#This Row],[Education]], "Below College","College","Bachelor","Master","Doctor")</f>
        <v>Master</v>
      </c>
      <c r="AO1398" s="13" t="str">
        <f>VLOOKUP(tblCleanData[[#This Row],[EmployeeNumber]],tblHelpers[],15,TRUE)</f>
        <v>High Risk</v>
      </c>
      <c r="AP1398" s="13">
        <f>VLOOKUP(tblCleanData[[#This Row],[EmployeeNumber]],tblHelpers[],14,0)</f>
        <v>95</v>
      </c>
    </row>
    <row r="1399" spans="1:42" x14ac:dyDescent="0.25">
      <c r="A1399" s="13">
        <v>54</v>
      </c>
      <c r="B1399" s="13" t="s">
        <v>59</v>
      </c>
      <c r="C1399" s="13" t="s">
        <v>37</v>
      </c>
      <c r="D1399" s="13">
        <v>155</v>
      </c>
      <c r="E1399" s="13" t="s">
        <v>62</v>
      </c>
      <c r="F1399" s="13">
        <v>9</v>
      </c>
      <c r="G1399" s="13">
        <v>2</v>
      </c>
      <c r="H1399" s="13" t="s">
        <v>42</v>
      </c>
      <c r="I1399" s="13">
        <v>1</v>
      </c>
      <c r="J1399" s="13">
        <v>1969</v>
      </c>
      <c r="K1399" s="13">
        <v>1</v>
      </c>
      <c r="L1399" s="13" t="s">
        <v>43</v>
      </c>
      <c r="M1399" s="13">
        <v>67</v>
      </c>
      <c r="N1399" s="13">
        <v>3</v>
      </c>
      <c r="O1399" s="13">
        <v>2</v>
      </c>
      <c r="P1399" s="13" t="s">
        <v>65</v>
      </c>
      <c r="Q1399" s="13">
        <v>3</v>
      </c>
      <c r="R1399" s="13" t="s">
        <v>66</v>
      </c>
      <c r="S1399" s="20">
        <v>2897</v>
      </c>
      <c r="T1399" s="13">
        <v>22474</v>
      </c>
      <c r="U1399" s="13">
        <v>3</v>
      </c>
      <c r="V1399" s="13" t="s">
        <v>52</v>
      </c>
      <c r="W1399" s="13" t="s">
        <v>59</v>
      </c>
      <c r="X1399" s="13">
        <v>11</v>
      </c>
      <c r="Y1399" s="13">
        <v>3</v>
      </c>
      <c r="Z1399" s="13">
        <v>3</v>
      </c>
      <c r="AA1399" s="13">
        <v>80</v>
      </c>
      <c r="AB1399" s="13">
        <v>2</v>
      </c>
      <c r="AC1399" s="13">
        <v>9</v>
      </c>
      <c r="AD1399" s="13">
        <v>6</v>
      </c>
      <c r="AE1399" s="13">
        <v>2</v>
      </c>
      <c r="AF1399" s="14">
        <v>4</v>
      </c>
      <c r="AG1399" s="13">
        <v>3</v>
      </c>
      <c r="AH1399" s="13">
        <v>2</v>
      </c>
      <c r="AI1399" s="13">
        <v>3</v>
      </c>
      <c r="AJ1399" s="13" t="str">
        <f t="shared" si="21"/>
        <v>50+</v>
      </c>
      <c r="AK1399" s="13" t="str">
        <f>IF(tblCleanData[[#This Row],[MonthlyIncome]]&lt;5000, "Low Income", IF(tblCleanData[[#This Row],[MonthlyIncome]]&lt;15000, "Medium Income", "High Income"))</f>
        <v>Low Income</v>
      </c>
      <c r="AL1399" s="13">
        <f>IF(tblCleanData[[#This Row],[Attrition]]="No", 0,1)</f>
        <v>0</v>
      </c>
      <c r="AM1399" s="13">
        <f>IF(tblCleanData[[#This Row],[OverTime]] = "No", 0, 1)</f>
        <v>0</v>
      </c>
      <c r="AN1399" s="13" t="str">
        <f>CHOOSE(tblCleanData[[#This Row],[Education]], "Below College","College","Bachelor","Master","Doctor")</f>
        <v>College</v>
      </c>
      <c r="AO1399" s="13" t="str">
        <f>VLOOKUP(tblCleanData[[#This Row],[EmployeeNumber]],tblHelpers[],15,TRUE)</f>
        <v>Medium Risk</v>
      </c>
      <c r="AP1399" s="13">
        <f>VLOOKUP(tblCleanData[[#This Row],[EmployeeNumber]],tblHelpers[],14,0)</f>
        <v>48</v>
      </c>
    </row>
    <row r="1400" spans="1:42" x14ac:dyDescent="0.25">
      <c r="A1400" s="13">
        <v>33</v>
      </c>
      <c r="B1400" s="13" t="s">
        <v>59</v>
      </c>
      <c r="C1400" s="13" t="s">
        <v>60</v>
      </c>
      <c r="D1400" s="13">
        <v>1303</v>
      </c>
      <c r="E1400" s="13" t="s">
        <v>62</v>
      </c>
      <c r="F1400" s="13">
        <v>7</v>
      </c>
      <c r="G1400" s="13">
        <v>2</v>
      </c>
      <c r="H1400" s="13" t="s">
        <v>42</v>
      </c>
      <c r="I1400" s="13">
        <v>1</v>
      </c>
      <c r="J1400" s="13">
        <v>1970</v>
      </c>
      <c r="K1400" s="13">
        <v>4</v>
      </c>
      <c r="L1400" s="13" t="s">
        <v>63</v>
      </c>
      <c r="M1400" s="13">
        <v>36</v>
      </c>
      <c r="N1400" s="13">
        <v>3</v>
      </c>
      <c r="O1400" s="13">
        <v>2</v>
      </c>
      <c r="P1400" s="13" t="s">
        <v>122</v>
      </c>
      <c r="Q1400" s="13">
        <v>3</v>
      </c>
      <c r="R1400" s="13" t="s">
        <v>109</v>
      </c>
      <c r="S1400" s="20">
        <v>5968</v>
      </c>
      <c r="T1400" s="13">
        <v>18079</v>
      </c>
      <c r="U1400" s="13">
        <v>1</v>
      </c>
      <c r="V1400" s="13" t="s">
        <v>52</v>
      </c>
      <c r="W1400" s="13" t="s">
        <v>59</v>
      </c>
      <c r="X1400" s="13">
        <v>20</v>
      </c>
      <c r="Y1400" s="13">
        <v>4</v>
      </c>
      <c r="Z1400" s="13">
        <v>3</v>
      </c>
      <c r="AA1400" s="13">
        <v>80</v>
      </c>
      <c r="AB1400" s="13">
        <v>3</v>
      </c>
      <c r="AC1400" s="13">
        <v>9</v>
      </c>
      <c r="AD1400" s="13">
        <v>2</v>
      </c>
      <c r="AE1400" s="13">
        <v>3</v>
      </c>
      <c r="AF1400" s="14">
        <v>9</v>
      </c>
      <c r="AG1400" s="13">
        <v>7</v>
      </c>
      <c r="AH1400" s="13">
        <v>2</v>
      </c>
      <c r="AI1400" s="13">
        <v>8</v>
      </c>
      <c r="AJ1400" s="13" t="str">
        <f t="shared" si="21"/>
        <v>30-39</v>
      </c>
      <c r="AK1400" s="13" t="str">
        <f>IF(tblCleanData[[#This Row],[MonthlyIncome]]&lt;5000, "Low Income", IF(tblCleanData[[#This Row],[MonthlyIncome]]&lt;15000, "Medium Income", "High Income"))</f>
        <v>Medium Income</v>
      </c>
      <c r="AL1400" s="13">
        <f>IF(tblCleanData[[#This Row],[Attrition]]="No", 0,1)</f>
        <v>0</v>
      </c>
      <c r="AM1400" s="13">
        <f>IF(tblCleanData[[#This Row],[OverTime]] = "No", 0, 1)</f>
        <v>0</v>
      </c>
      <c r="AN1400" s="13" t="str">
        <f>CHOOSE(tblCleanData[[#This Row],[Education]], "Below College","College","Bachelor","Master","Doctor")</f>
        <v>College</v>
      </c>
      <c r="AO1400" s="13" t="str">
        <f>VLOOKUP(tblCleanData[[#This Row],[EmployeeNumber]],tblHelpers[],15,TRUE)</f>
        <v>Medium Risk</v>
      </c>
      <c r="AP1400" s="13">
        <f>VLOOKUP(tblCleanData[[#This Row],[EmployeeNumber]],tblHelpers[],14,0)</f>
        <v>46</v>
      </c>
    </row>
    <row r="1401" spans="1:42" x14ac:dyDescent="0.25">
      <c r="A1401" s="13">
        <v>43</v>
      </c>
      <c r="B1401" s="13" t="s">
        <v>59</v>
      </c>
      <c r="C1401" s="13" t="s">
        <v>37</v>
      </c>
      <c r="D1401" s="13">
        <v>574</v>
      </c>
      <c r="E1401" s="13" t="s">
        <v>62</v>
      </c>
      <c r="F1401" s="13">
        <v>11</v>
      </c>
      <c r="G1401" s="13">
        <v>3</v>
      </c>
      <c r="H1401" s="13" t="s">
        <v>42</v>
      </c>
      <c r="I1401" s="13">
        <v>1</v>
      </c>
      <c r="J1401" s="13">
        <v>1971</v>
      </c>
      <c r="K1401" s="13">
        <v>1</v>
      </c>
      <c r="L1401" s="13" t="s">
        <v>63</v>
      </c>
      <c r="M1401" s="13">
        <v>30</v>
      </c>
      <c r="N1401" s="13">
        <v>3</v>
      </c>
      <c r="O1401" s="13">
        <v>3</v>
      </c>
      <c r="P1401" s="13" t="s">
        <v>122</v>
      </c>
      <c r="Q1401" s="13">
        <v>3</v>
      </c>
      <c r="R1401" s="13" t="s">
        <v>66</v>
      </c>
      <c r="S1401" s="20">
        <v>7510</v>
      </c>
      <c r="T1401" s="13">
        <v>16873</v>
      </c>
      <c r="U1401" s="13">
        <v>1</v>
      </c>
      <c r="V1401" s="13" t="s">
        <v>52</v>
      </c>
      <c r="W1401" s="13" t="s">
        <v>59</v>
      </c>
      <c r="X1401" s="13">
        <v>17</v>
      </c>
      <c r="Y1401" s="13">
        <v>3</v>
      </c>
      <c r="Z1401" s="13">
        <v>2</v>
      </c>
      <c r="AA1401" s="13">
        <v>80</v>
      </c>
      <c r="AB1401" s="13">
        <v>1</v>
      </c>
      <c r="AC1401" s="13">
        <v>10</v>
      </c>
      <c r="AD1401" s="13">
        <v>1</v>
      </c>
      <c r="AE1401" s="13">
        <v>3</v>
      </c>
      <c r="AF1401" s="14">
        <v>10</v>
      </c>
      <c r="AG1401" s="13">
        <v>9</v>
      </c>
      <c r="AH1401" s="13">
        <v>0</v>
      </c>
      <c r="AI1401" s="13">
        <v>9</v>
      </c>
      <c r="AJ1401" s="13" t="str">
        <f t="shared" si="21"/>
        <v>40-49</v>
      </c>
      <c r="AK1401" s="13" t="str">
        <f>IF(tblCleanData[[#This Row],[MonthlyIncome]]&lt;5000, "Low Income", IF(tblCleanData[[#This Row],[MonthlyIncome]]&lt;15000, "Medium Income", "High Income"))</f>
        <v>Medium Income</v>
      </c>
      <c r="AL1401" s="13">
        <f>IF(tblCleanData[[#This Row],[Attrition]]="No", 0,1)</f>
        <v>0</v>
      </c>
      <c r="AM1401" s="13">
        <f>IF(tblCleanData[[#This Row],[OverTime]] = "No", 0, 1)</f>
        <v>0</v>
      </c>
      <c r="AN1401" s="13" t="str">
        <f>CHOOSE(tblCleanData[[#This Row],[Education]], "Below College","College","Bachelor","Master","Doctor")</f>
        <v>Bachelor</v>
      </c>
      <c r="AO1401" s="13" t="str">
        <f>VLOOKUP(tblCleanData[[#This Row],[EmployeeNumber]],tblHelpers[],15,TRUE)</f>
        <v>Medium Risk</v>
      </c>
      <c r="AP1401" s="13">
        <f>VLOOKUP(tblCleanData[[#This Row],[EmployeeNumber]],tblHelpers[],14,0)</f>
        <v>36</v>
      </c>
    </row>
    <row r="1402" spans="1:42" x14ac:dyDescent="0.25">
      <c r="A1402" s="13">
        <v>38</v>
      </c>
      <c r="B1402" s="13" t="s">
        <v>59</v>
      </c>
      <c r="C1402" s="13" t="s">
        <v>60</v>
      </c>
      <c r="D1402" s="13">
        <v>1444</v>
      </c>
      <c r="E1402" s="13" t="s">
        <v>397</v>
      </c>
      <c r="F1402" s="13">
        <v>1</v>
      </c>
      <c r="G1402" s="13">
        <v>4</v>
      </c>
      <c r="H1402" s="13" t="s">
        <v>74</v>
      </c>
      <c r="I1402" s="13">
        <v>1</v>
      </c>
      <c r="J1402" s="13">
        <v>1972</v>
      </c>
      <c r="K1402" s="13">
        <v>4</v>
      </c>
      <c r="L1402" s="13" t="s">
        <v>63</v>
      </c>
      <c r="M1402" s="13">
        <v>88</v>
      </c>
      <c r="N1402" s="13">
        <v>3</v>
      </c>
      <c r="O1402" s="13">
        <v>1</v>
      </c>
      <c r="P1402" s="13" t="s">
        <v>397</v>
      </c>
      <c r="Q1402" s="13">
        <v>2</v>
      </c>
      <c r="R1402" s="13" t="s">
        <v>66</v>
      </c>
      <c r="S1402" s="20">
        <v>2991</v>
      </c>
      <c r="T1402" s="13">
        <v>5224</v>
      </c>
      <c r="U1402" s="13">
        <v>0</v>
      </c>
      <c r="V1402" s="13" t="s">
        <v>52</v>
      </c>
      <c r="W1402" s="13" t="s">
        <v>36</v>
      </c>
      <c r="X1402" s="13">
        <v>11</v>
      </c>
      <c r="Y1402" s="13">
        <v>3</v>
      </c>
      <c r="Z1402" s="13">
        <v>2</v>
      </c>
      <c r="AA1402" s="13">
        <v>80</v>
      </c>
      <c r="AB1402" s="13">
        <v>1</v>
      </c>
      <c r="AC1402" s="13">
        <v>7</v>
      </c>
      <c r="AD1402" s="13">
        <v>2</v>
      </c>
      <c r="AE1402" s="13">
        <v>3</v>
      </c>
      <c r="AF1402" s="14">
        <v>6</v>
      </c>
      <c r="AG1402" s="13">
        <v>2</v>
      </c>
      <c r="AH1402" s="13">
        <v>1</v>
      </c>
      <c r="AI1402" s="13">
        <v>2</v>
      </c>
      <c r="AJ1402" s="13" t="str">
        <f t="shared" si="21"/>
        <v>30-39</v>
      </c>
      <c r="AK1402" s="13" t="str">
        <f>IF(tblCleanData[[#This Row],[MonthlyIncome]]&lt;5000, "Low Income", IF(tblCleanData[[#This Row],[MonthlyIncome]]&lt;15000, "Medium Income", "High Income"))</f>
        <v>Low Income</v>
      </c>
      <c r="AL1402" s="13">
        <f>IF(tblCleanData[[#This Row],[Attrition]]="No", 0,1)</f>
        <v>0</v>
      </c>
      <c r="AM1402" s="13">
        <f>IF(tblCleanData[[#This Row],[OverTime]] = "No", 0, 1)</f>
        <v>1</v>
      </c>
      <c r="AN1402" s="13" t="str">
        <f>CHOOSE(tblCleanData[[#This Row],[Education]], "Below College","College","Bachelor","Master","Doctor")</f>
        <v>Master</v>
      </c>
      <c r="AO1402" s="13" t="str">
        <f>VLOOKUP(tblCleanData[[#This Row],[EmployeeNumber]],tblHelpers[],15,TRUE)</f>
        <v>High Risk</v>
      </c>
      <c r="AP1402" s="13">
        <f>VLOOKUP(tblCleanData[[#This Row],[EmployeeNumber]],tblHelpers[],14,0)</f>
        <v>77</v>
      </c>
    </row>
    <row r="1403" spans="1:42" x14ac:dyDescent="0.25">
      <c r="A1403" s="13">
        <v>55</v>
      </c>
      <c r="B1403" s="13" t="s">
        <v>59</v>
      </c>
      <c r="C1403" s="13" t="s">
        <v>37</v>
      </c>
      <c r="D1403" s="13">
        <v>189</v>
      </c>
      <c r="E1403" s="13" t="s">
        <v>397</v>
      </c>
      <c r="F1403" s="13">
        <v>26</v>
      </c>
      <c r="G1403" s="13">
        <v>4</v>
      </c>
      <c r="H1403" s="13" t="s">
        <v>397</v>
      </c>
      <c r="I1403" s="13">
        <v>1</v>
      </c>
      <c r="J1403" s="13">
        <v>1973</v>
      </c>
      <c r="K1403" s="13">
        <v>3</v>
      </c>
      <c r="L1403" s="13" t="s">
        <v>63</v>
      </c>
      <c r="M1403" s="13">
        <v>71</v>
      </c>
      <c r="N1403" s="13">
        <v>4</v>
      </c>
      <c r="O1403" s="13">
        <v>5</v>
      </c>
      <c r="P1403" s="13" t="s">
        <v>169</v>
      </c>
      <c r="Q1403" s="13">
        <v>2</v>
      </c>
      <c r="R1403" s="13" t="s">
        <v>66</v>
      </c>
      <c r="S1403" s="20">
        <v>19636</v>
      </c>
      <c r="T1403" s="13">
        <v>25811</v>
      </c>
      <c r="U1403" s="13">
        <v>4</v>
      </c>
      <c r="V1403" s="13" t="s">
        <v>52</v>
      </c>
      <c r="W1403" s="13" t="s">
        <v>36</v>
      </c>
      <c r="X1403" s="13">
        <v>18</v>
      </c>
      <c r="Y1403" s="13">
        <v>3</v>
      </c>
      <c r="Z1403" s="13">
        <v>1</v>
      </c>
      <c r="AA1403" s="13">
        <v>80</v>
      </c>
      <c r="AB1403" s="13">
        <v>1</v>
      </c>
      <c r="AC1403" s="13">
        <v>35</v>
      </c>
      <c r="AD1403" s="13">
        <v>0</v>
      </c>
      <c r="AE1403" s="13">
        <v>3</v>
      </c>
      <c r="AF1403" s="14">
        <v>10</v>
      </c>
      <c r="AG1403" s="13">
        <v>9</v>
      </c>
      <c r="AH1403" s="13">
        <v>1</v>
      </c>
      <c r="AI1403" s="13">
        <v>4</v>
      </c>
      <c r="AJ1403" s="13" t="str">
        <f t="shared" si="21"/>
        <v>50+</v>
      </c>
      <c r="AK1403" s="13" t="str">
        <f>IF(tblCleanData[[#This Row],[MonthlyIncome]]&lt;5000, "Low Income", IF(tblCleanData[[#This Row],[MonthlyIncome]]&lt;15000, "Medium Income", "High Income"))</f>
        <v>High Income</v>
      </c>
      <c r="AL1403" s="13">
        <f>IF(tblCleanData[[#This Row],[Attrition]]="No", 0,1)</f>
        <v>0</v>
      </c>
      <c r="AM1403" s="13">
        <f>IF(tblCleanData[[#This Row],[OverTime]] = "No", 0, 1)</f>
        <v>1</v>
      </c>
      <c r="AN1403" s="13" t="str">
        <f>CHOOSE(tblCleanData[[#This Row],[Education]], "Below College","College","Bachelor","Master","Doctor")</f>
        <v>Master</v>
      </c>
      <c r="AO1403" s="13" t="str">
        <f>VLOOKUP(tblCleanData[[#This Row],[EmployeeNumber]],tblHelpers[],15,TRUE)</f>
        <v>High Risk</v>
      </c>
      <c r="AP1403" s="13">
        <f>VLOOKUP(tblCleanData[[#This Row],[EmployeeNumber]],tblHelpers[],14,0)</f>
        <v>72</v>
      </c>
    </row>
    <row r="1404" spans="1:42" x14ac:dyDescent="0.25">
      <c r="A1404" s="13">
        <v>31</v>
      </c>
      <c r="B1404" s="13" t="s">
        <v>59</v>
      </c>
      <c r="C1404" s="13" t="s">
        <v>37</v>
      </c>
      <c r="D1404" s="13">
        <v>1276</v>
      </c>
      <c r="E1404" s="13" t="s">
        <v>62</v>
      </c>
      <c r="F1404" s="13">
        <v>2</v>
      </c>
      <c r="G1404" s="13">
        <v>1</v>
      </c>
      <c r="H1404" s="13" t="s">
        <v>87</v>
      </c>
      <c r="I1404" s="13">
        <v>1</v>
      </c>
      <c r="J1404" s="13">
        <v>1974</v>
      </c>
      <c r="K1404" s="13">
        <v>4</v>
      </c>
      <c r="L1404" s="13" t="s">
        <v>43</v>
      </c>
      <c r="M1404" s="13">
        <v>59</v>
      </c>
      <c r="N1404" s="13">
        <v>1</v>
      </c>
      <c r="O1404" s="13">
        <v>1</v>
      </c>
      <c r="P1404" s="13" t="s">
        <v>76</v>
      </c>
      <c r="Q1404" s="13">
        <v>4</v>
      </c>
      <c r="R1404" s="13" t="s">
        <v>109</v>
      </c>
      <c r="S1404" s="20">
        <v>1129</v>
      </c>
      <c r="T1404" s="13">
        <v>17536</v>
      </c>
      <c r="U1404" s="13">
        <v>1</v>
      </c>
      <c r="V1404" s="13" t="s">
        <v>52</v>
      </c>
      <c r="W1404" s="13" t="s">
        <v>36</v>
      </c>
      <c r="X1404" s="13">
        <v>11</v>
      </c>
      <c r="Y1404" s="13">
        <v>3</v>
      </c>
      <c r="Z1404" s="13">
        <v>3</v>
      </c>
      <c r="AA1404" s="13">
        <v>80</v>
      </c>
      <c r="AB1404" s="13">
        <v>3</v>
      </c>
      <c r="AC1404" s="13">
        <v>1</v>
      </c>
      <c r="AD1404" s="13">
        <v>4</v>
      </c>
      <c r="AE1404" s="13">
        <v>3</v>
      </c>
      <c r="AF1404" s="14">
        <v>1</v>
      </c>
      <c r="AG1404" s="13">
        <v>0</v>
      </c>
      <c r="AH1404" s="13">
        <v>0</v>
      </c>
      <c r="AI1404" s="13">
        <v>0</v>
      </c>
      <c r="AJ1404" s="13" t="str">
        <f t="shared" si="21"/>
        <v>30-39</v>
      </c>
      <c r="AK1404" s="13" t="str">
        <f>IF(tblCleanData[[#This Row],[MonthlyIncome]]&lt;5000, "Low Income", IF(tblCleanData[[#This Row],[MonthlyIncome]]&lt;15000, "Medium Income", "High Income"))</f>
        <v>Low Income</v>
      </c>
      <c r="AL1404" s="13">
        <f>IF(tblCleanData[[#This Row],[Attrition]]="No", 0,1)</f>
        <v>0</v>
      </c>
      <c r="AM1404" s="13">
        <f>IF(tblCleanData[[#This Row],[OverTime]] = "No", 0, 1)</f>
        <v>1</v>
      </c>
      <c r="AN1404" s="13" t="str">
        <f>CHOOSE(tblCleanData[[#This Row],[Education]], "Below College","College","Bachelor","Master","Doctor")</f>
        <v>Below College</v>
      </c>
      <c r="AO1404" s="13" t="str">
        <f>VLOOKUP(tblCleanData[[#This Row],[EmployeeNumber]],tblHelpers[],15,TRUE)</f>
        <v>High Risk</v>
      </c>
      <c r="AP1404" s="13">
        <f>VLOOKUP(tblCleanData[[#This Row],[EmployeeNumber]],tblHelpers[],14,0)</f>
        <v>81</v>
      </c>
    </row>
    <row r="1405" spans="1:42" x14ac:dyDescent="0.25">
      <c r="A1405" s="13">
        <v>39</v>
      </c>
      <c r="B1405" s="13" t="s">
        <v>59</v>
      </c>
      <c r="C1405" s="13" t="s">
        <v>37</v>
      </c>
      <c r="D1405" s="13">
        <v>119</v>
      </c>
      <c r="E1405" s="13" t="s">
        <v>39</v>
      </c>
      <c r="F1405" s="13">
        <v>15</v>
      </c>
      <c r="G1405" s="13">
        <v>4</v>
      </c>
      <c r="H1405" s="13" t="s">
        <v>206</v>
      </c>
      <c r="I1405" s="13">
        <v>1</v>
      </c>
      <c r="J1405" s="13">
        <v>1975</v>
      </c>
      <c r="K1405" s="13">
        <v>2</v>
      </c>
      <c r="L1405" s="13" t="s">
        <v>63</v>
      </c>
      <c r="M1405" s="13">
        <v>77</v>
      </c>
      <c r="N1405" s="13">
        <v>3</v>
      </c>
      <c r="O1405" s="13">
        <v>4</v>
      </c>
      <c r="P1405" s="13" t="s">
        <v>46</v>
      </c>
      <c r="Q1405" s="13">
        <v>1</v>
      </c>
      <c r="R1405" s="13" t="s">
        <v>48</v>
      </c>
      <c r="S1405" s="20">
        <v>13341</v>
      </c>
      <c r="T1405" s="13">
        <v>25098</v>
      </c>
      <c r="U1405" s="13">
        <v>0</v>
      </c>
      <c r="V1405" s="13" t="s">
        <v>52</v>
      </c>
      <c r="W1405" s="13" t="s">
        <v>59</v>
      </c>
      <c r="X1405" s="13">
        <v>12</v>
      </c>
      <c r="Y1405" s="13">
        <v>3</v>
      </c>
      <c r="Z1405" s="13">
        <v>1</v>
      </c>
      <c r="AA1405" s="13">
        <v>80</v>
      </c>
      <c r="AB1405" s="13">
        <v>0</v>
      </c>
      <c r="AC1405" s="13">
        <v>21</v>
      </c>
      <c r="AD1405" s="13">
        <v>3</v>
      </c>
      <c r="AE1405" s="13">
        <v>3</v>
      </c>
      <c r="AF1405" s="14">
        <v>20</v>
      </c>
      <c r="AG1405" s="13">
        <v>8</v>
      </c>
      <c r="AH1405" s="13">
        <v>11</v>
      </c>
      <c r="AI1405" s="13">
        <v>10</v>
      </c>
      <c r="AJ1405" s="13" t="str">
        <f t="shared" si="21"/>
        <v>30-39</v>
      </c>
      <c r="AK1405" s="13" t="str">
        <f>IF(tblCleanData[[#This Row],[MonthlyIncome]]&lt;5000, "Low Income", IF(tblCleanData[[#This Row],[MonthlyIncome]]&lt;15000, "Medium Income", "High Income"))</f>
        <v>Medium Income</v>
      </c>
      <c r="AL1405" s="13">
        <f>IF(tblCleanData[[#This Row],[Attrition]]="No", 0,1)</f>
        <v>0</v>
      </c>
      <c r="AM1405" s="13">
        <f>IF(tblCleanData[[#This Row],[OverTime]] = "No", 0, 1)</f>
        <v>0</v>
      </c>
      <c r="AN1405" s="13" t="str">
        <f>CHOOSE(tblCleanData[[#This Row],[Education]], "Below College","College","Bachelor","Master","Doctor")</f>
        <v>Master</v>
      </c>
      <c r="AO1405" s="13" t="str">
        <f>VLOOKUP(tblCleanData[[#This Row],[EmployeeNumber]],tblHelpers[],15,TRUE)</f>
        <v>Medium Risk</v>
      </c>
      <c r="AP1405" s="13">
        <f>VLOOKUP(tblCleanData[[#This Row],[EmployeeNumber]],tblHelpers[],14,0)</f>
        <v>53</v>
      </c>
    </row>
    <row r="1406" spans="1:42" x14ac:dyDescent="0.25">
      <c r="A1406" s="13">
        <v>42</v>
      </c>
      <c r="B1406" s="13" t="s">
        <v>59</v>
      </c>
      <c r="C1406" s="13" t="s">
        <v>161</v>
      </c>
      <c r="D1406" s="13">
        <v>335</v>
      </c>
      <c r="E1406" s="13" t="s">
        <v>62</v>
      </c>
      <c r="F1406" s="13">
        <v>23</v>
      </c>
      <c r="G1406" s="13">
        <v>2</v>
      </c>
      <c r="H1406" s="13" t="s">
        <v>42</v>
      </c>
      <c r="I1406" s="13">
        <v>1</v>
      </c>
      <c r="J1406" s="13">
        <v>1976</v>
      </c>
      <c r="K1406" s="13">
        <v>4</v>
      </c>
      <c r="L1406" s="13" t="s">
        <v>63</v>
      </c>
      <c r="M1406" s="13">
        <v>37</v>
      </c>
      <c r="N1406" s="13">
        <v>2</v>
      </c>
      <c r="O1406" s="13">
        <v>2</v>
      </c>
      <c r="P1406" s="13" t="s">
        <v>65</v>
      </c>
      <c r="Q1406" s="13">
        <v>3</v>
      </c>
      <c r="R1406" s="13" t="s">
        <v>48</v>
      </c>
      <c r="S1406" s="20">
        <v>4332</v>
      </c>
      <c r="T1406" s="13">
        <v>14811</v>
      </c>
      <c r="U1406" s="13">
        <v>1</v>
      </c>
      <c r="V1406" s="13" t="s">
        <v>52</v>
      </c>
      <c r="W1406" s="13" t="s">
        <v>59</v>
      </c>
      <c r="X1406" s="13">
        <v>12</v>
      </c>
      <c r="Y1406" s="13">
        <v>3</v>
      </c>
      <c r="Z1406" s="13">
        <v>4</v>
      </c>
      <c r="AA1406" s="13">
        <v>80</v>
      </c>
      <c r="AB1406" s="13">
        <v>0</v>
      </c>
      <c r="AC1406" s="13">
        <v>20</v>
      </c>
      <c r="AD1406" s="13">
        <v>2</v>
      </c>
      <c r="AE1406" s="13">
        <v>3</v>
      </c>
      <c r="AF1406" s="14">
        <v>20</v>
      </c>
      <c r="AG1406" s="13">
        <v>9</v>
      </c>
      <c r="AH1406" s="13">
        <v>3</v>
      </c>
      <c r="AI1406" s="13">
        <v>7</v>
      </c>
      <c r="AJ1406" s="13" t="str">
        <f t="shared" si="21"/>
        <v>40-49</v>
      </c>
      <c r="AK1406" s="13" t="str">
        <f>IF(tblCleanData[[#This Row],[MonthlyIncome]]&lt;5000, "Low Income", IF(tblCleanData[[#This Row],[MonthlyIncome]]&lt;15000, "Medium Income", "High Income"))</f>
        <v>Low Income</v>
      </c>
      <c r="AL1406" s="13">
        <f>IF(tblCleanData[[#This Row],[Attrition]]="No", 0,1)</f>
        <v>0</v>
      </c>
      <c r="AM1406" s="13">
        <f>IF(tblCleanData[[#This Row],[OverTime]] = "No", 0, 1)</f>
        <v>0</v>
      </c>
      <c r="AN1406" s="13" t="str">
        <f>CHOOSE(tblCleanData[[#This Row],[Education]], "Below College","College","Bachelor","Master","Doctor")</f>
        <v>College</v>
      </c>
      <c r="AO1406" s="13" t="str">
        <f>VLOOKUP(tblCleanData[[#This Row],[EmployeeNumber]],tblHelpers[],15,TRUE)</f>
        <v>Low Risk</v>
      </c>
      <c r="AP1406" s="13">
        <f>VLOOKUP(tblCleanData[[#This Row],[EmployeeNumber]],tblHelpers[],14,0)</f>
        <v>31</v>
      </c>
    </row>
    <row r="1407" spans="1:42" x14ac:dyDescent="0.25">
      <c r="A1407" s="13">
        <v>31</v>
      </c>
      <c r="B1407" s="13" t="s">
        <v>59</v>
      </c>
      <c r="C1407" s="13" t="s">
        <v>161</v>
      </c>
      <c r="D1407" s="13">
        <v>697</v>
      </c>
      <c r="E1407" s="13" t="s">
        <v>62</v>
      </c>
      <c r="F1407" s="13">
        <v>10</v>
      </c>
      <c r="G1407" s="13">
        <v>3</v>
      </c>
      <c r="H1407" s="13" t="s">
        <v>87</v>
      </c>
      <c r="I1407" s="13">
        <v>1</v>
      </c>
      <c r="J1407" s="13">
        <v>1979</v>
      </c>
      <c r="K1407" s="13">
        <v>3</v>
      </c>
      <c r="L1407" s="13" t="s">
        <v>43</v>
      </c>
      <c r="M1407" s="13">
        <v>40</v>
      </c>
      <c r="N1407" s="13">
        <v>3</v>
      </c>
      <c r="O1407" s="13">
        <v>3</v>
      </c>
      <c r="P1407" s="13" t="s">
        <v>186</v>
      </c>
      <c r="Q1407" s="13">
        <v>3</v>
      </c>
      <c r="R1407" s="13" t="s">
        <v>66</v>
      </c>
      <c r="S1407" s="20">
        <v>11031</v>
      </c>
      <c r="T1407" s="13">
        <v>26862</v>
      </c>
      <c r="U1407" s="13">
        <v>4</v>
      </c>
      <c r="V1407" s="13" t="s">
        <v>52</v>
      </c>
      <c r="W1407" s="13" t="s">
        <v>59</v>
      </c>
      <c r="X1407" s="13">
        <v>20</v>
      </c>
      <c r="Y1407" s="13">
        <v>4</v>
      </c>
      <c r="Z1407" s="13">
        <v>3</v>
      </c>
      <c r="AA1407" s="13">
        <v>80</v>
      </c>
      <c r="AB1407" s="13">
        <v>1</v>
      </c>
      <c r="AC1407" s="13">
        <v>13</v>
      </c>
      <c r="AD1407" s="13">
        <v>2</v>
      </c>
      <c r="AE1407" s="13">
        <v>4</v>
      </c>
      <c r="AF1407" s="14">
        <v>11</v>
      </c>
      <c r="AG1407" s="13">
        <v>7</v>
      </c>
      <c r="AH1407" s="13">
        <v>4</v>
      </c>
      <c r="AI1407" s="13">
        <v>8</v>
      </c>
      <c r="AJ1407" s="13" t="str">
        <f t="shared" si="21"/>
        <v>30-39</v>
      </c>
      <c r="AK1407" s="13" t="str">
        <f>IF(tblCleanData[[#This Row],[MonthlyIncome]]&lt;5000, "Low Income", IF(tblCleanData[[#This Row],[MonthlyIncome]]&lt;15000, "Medium Income", "High Income"))</f>
        <v>Medium Income</v>
      </c>
      <c r="AL1407" s="13">
        <f>IF(tblCleanData[[#This Row],[Attrition]]="No", 0,1)</f>
        <v>0</v>
      </c>
      <c r="AM1407" s="13">
        <f>IF(tblCleanData[[#This Row],[OverTime]] = "No", 0, 1)</f>
        <v>0</v>
      </c>
      <c r="AN1407" s="13" t="str">
        <f>CHOOSE(tblCleanData[[#This Row],[Education]], "Below College","College","Bachelor","Master","Doctor")</f>
        <v>Bachelor</v>
      </c>
      <c r="AO1407" s="13" t="str">
        <f>VLOOKUP(tblCleanData[[#This Row],[EmployeeNumber]],tblHelpers[],15,TRUE)</f>
        <v>Medium Risk</v>
      </c>
      <c r="AP1407" s="13">
        <f>VLOOKUP(tblCleanData[[#This Row],[EmployeeNumber]],tblHelpers[],14,0)</f>
        <v>41</v>
      </c>
    </row>
    <row r="1408" spans="1:42" x14ac:dyDescent="0.25">
      <c r="A1408" s="13">
        <v>54</v>
      </c>
      <c r="B1408" s="13" t="s">
        <v>59</v>
      </c>
      <c r="C1408" s="13" t="s">
        <v>37</v>
      </c>
      <c r="D1408" s="13">
        <v>157</v>
      </c>
      <c r="E1408" s="13" t="s">
        <v>62</v>
      </c>
      <c r="F1408" s="13">
        <v>10</v>
      </c>
      <c r="G1408" s="13">
        <v>3</v>
      </c>
      <c r="H1408" s="13" t="s">
        <v>87</v>
      </c>
      <c r="I1408" s="13">
        <v>1</v>
      </c>
      <c r="J1408" s="13">
        <v>1980</v>
      </c>
      <c r="K1408" s="13">
        <v>3</v>
      </c>
      <c r="L1408" s="13" t="s">
        <v>43</v>
      </c>
      <c r="M1408" s="13">
        <v>77</v>
      </c>
      <c r="N1408" s="13">
        <v>3</v>
      </c>
      <c r="O1408" s="13">
        <v>2</v>
      </c>
      <c r="P1408" s="13" t="s">
        <v>116</v>
      </c>
      <c r="Q1408" s="13">
        <v>1</v>
      </c>
      <c r="R1408" s="13" t="s">
        <v>48</v>
      </c>
      <c r="S1408" s="20">
        <v>4440</v>
      </c>
      <c r="T1408" s="13">
        <v>25198</v>
      </c>
      <c r="U1408" s="13">
        <v>6</v>
      </c>
      <c r="V1408" s="13" t="s">
        <v>52</v>
      </c>
      <c r="W1408" s="13" t="s">
        <v>36</v>
      </c>
      <c r="X1408" s="13">
        <v>19</v>
      </c>
      <c r="Y1408" s="13">
        <v>3</v>
      </c>
      <c r="Z1408" s="13">
        <v>4</v>
      </c>
      <c r="AA1408" s="13">
        <v>80</v>
      </c>
      <c r="AB1408" s="13">
        <v>0</v>
      </c>
      <c r="AC1408" s="13">
        <v>9</v>
      </c>
      <c r="AD1408" s="13">
        <v>3</v>
      </c>
      <c r="AE1408" s="13">
        <v>3</v>
      </c>
      <c r="AF1408" s="14">
        <v>5</v>
      </c>
      <c r="AG1408" s="13">
        <v>2</v>
      </c>
      <c r="AH1408" s="13">
        <v>1</v>
      </c>
      <c r="AI1408" s="13">
        <v>4</v>
      </c>
      <c r="AJ1408" s="13" t="str">
        <f t="shared" si="21"/>
        <v>50+</v>
      </c>
      <c r="AK1408" s="13" t="str">
        <f>IF(tblCleanData[[#This Row],[MonthlyIncome]]&lt;5000, "Low Income", IF(tblCleanData[[#This Row],[MonthlyIncome]]&lt;15000, "Medium Income", "High Income"))</f>
        <v>Low Income</v>
      </c>
      <c r="AL1408" s="13">
        <f>IF(tblCleanData[[#This Row],[Attrition]]="No", 0,1)</f>
        <v>0</v>
      </c>
      <c r="AM1408" s="13">
        <f>IF(tblCleanData[[#This Row],[OverTime]] = "No", 0, 1)</f>
        <v>1</v>
      </c>
      <c r="AN1408" s="13" t="str">
        <f>CHOOSE(tblCleanData[[#This Row],[Education]], "Below College","College","Bachelor","Master","Doctor")</f>
        <v>Bachelor</v>
      </c>
      <c r="AO1408" s="13" t="str">
        <f>VLOOKUP(tblCleanData[[#This Row],[EmployeeNumber]],tblHelpers[],15,TRUE)</f>
        <v>High Risk</v>
      </c>
      <c r="AP1408" s="13">
        <f>VLOOKUP(tblCleanData[[#This Row],[EmployeeNumber]],tblHelpers[],14,0)</f>
        <v>85</v>
      </c>
    </row>
    <row r="1409" spans="1:42" x14ac:dyDescent="0.25">
      <c r="A1409" s="13">
        <v>24</v>
      </c>
      <c r="B1409" s="13" t="s">
        <v>59</v>
      </c>
      <c r="C1409" s="13" t="s">
        <v>37</v>
      </c>
      <c r="D1409" s="13">
        <v>771</v>
      </c>
      <c r="E1409" s="13" t="s">
        <v>62</v>
      </c>
      <c r="F1409" s="13">
        <v>1</v>
      </c>
      <c r="G1409" s="13">
        <v>2</v>
      </c>
      <c r="H1409" s="13" t="s">
        <v>42</v>
      </c>
      <c r="I1409" s="13">
        <v>1</v>
      </c>
      <c r="J1409" s="13">
        <v>1981</v>
      </c>
      <c r="K1409" s="13">
        <v>2</v>
      </c>
      <c r="L1409" s="13" t="s">
        <v>63</v>
      </c>
      <c r="M1409" s="13">
        <v>45</v>
      </c>
      <c r="N1409" s="13">
        <v>2</v>
      </c>
      <c r="O1409" s="13">
        <v>2</v>
      </c>
      <c r="P1409" s="13" t="s">
        <v>122</v>
      </c>
      <c r="Q1409" s="13">
        <v>3</v>
      </c>
      <c r="R1409" s="13" t="s">
        <v>48</v>
      </c>
      <c r="S1409" s="20">
        <v>4617</v>
      </c>
      <c r="T1409" s="13">
        <v>14120</v>
      </c>
      <c r="U1409" s="13">
        <v>1</v>
      </c>
      <c r="V1409" s="13" t="s">
        <v>52</v>
      </c>
      <c r="W1409" s="13" t="s">
        <v>59</v>
      </c>
      <c r="X1409" s="13">
        <v>12</v>
      </c>
      <c r="Y1409" s="13">
        <v>3</v>
      </c>
      <c r="Z1409" s="13">
        <v>2</v>
      </c>
      <c r="AA1409" s="13">
        <v>80</v>
      </c>
      <c r="AB1409" s="13">
        <v>0</v>
      </c>
      <c r="AC1409" s="13">
        <v>4</v>
      </c>
      <c r="AD1409" s="13">
        <v>2</v>
      </c>
      <c r="AE1409" s="13">
        <v>2</v>
      </c>
      <c r="AF1409" s="14">
        <v>4</v>
      </c>
      <c r="AG1409" s="13">
        <v>3</v>
      </c>
      <c r="AH1409" s="13">
        <v>1</v>
      </c>
      <c r="AI1409" s="13">
        <v>2</v>
      </c>
      <c r="AJ1409" s="13" t="str">
        <f t="shared" si="21"/>
        <v>Under 30</v>
      </c>
      <c r="AK1409" s="13" t="str">
        <f>IF(tblCleanData[[#This Row],[MonthlyIncome]]&lt;5000, "Low Income", IF(tblCleanData[[#This Row],[MonthlyIncome]]&lt;15000, "Medium Income", "High Income"))</f>
        <v>Low Income</v>
      </c>
      <c r="AL1409" s="13">
        <f>IF(tblCleanData[[#This Row],[Attrition]]="No", 0,1)</f>
        <v>0</v>
      </c>
      <c r="AM1409" s="13">
        <f>IF(tblCleanData[[#This Row],[OverTime]] = "No", 0, 1)</f>
        <v>0</v>
      </c>
      <c r="AN1409" s="13" t="str">
        <f>CHOOSE(tblCleanData[[#This Row],[Education]], "Below College","College","Bachelor","Master","Doctor")</f>
        <v>College</v>
      </c>
      <c r="AO1409" s="13" t="str">
        <f>VLOOKUP(tblCleanData[[#This Row],[EmployeeNumber]],tblHelpers[],15,TRUE)</f>
        <v>High Risk</v>
      </c>
      <c r="AP1409" s="13">
        <f>VLOOKUP(tblCleanData[[#This Row],[EmployeeNumber]],tblHelpers[],14,0)</f>
        <v>63</v>
      </c>
    </row>
    <row r="1410" spans="1:42" x14ac:dyDescent="0.25">
      <c r="A1410" s="13">
        <v>23</v>
      </c>
      <c r="B1410" s="13" t="s">
        <v>59</v>
      </c>
      <c r="C1410" s="13" t="s">
        <v>37</v>
      </c>
      <c r="D1410" s="13">
        <v>571</v>
      </c>
      <c r="E1410" s="13" t="s">
        <v>62</v>
      </c>
      <c r="F1410" s="13">
        <v>12</v>
      </c>
      <c r="G1410" s="13">
        <v>2</v>
      </c>
      <c r="H1410" s="13" t="s">
        <v>74</v>
      </c>
      <c r="I1410" s="13">
        <v>1</v>
      </c>
      <c r="J1410" s="13">
        <v>1982</v>
      </c>
      <c r="K1410" s="13">
        <v>4</v>
      </c>
      <c r="L1410" s="13" t="s">
        <v>63</v>
      </c>
      <c r="M1410" s="13">
        <v>78</v>
      </c>
      <c r="N1410" s="13">
        <v>3</v>
      </c>
      <c r="O1410" s="13">
        <v>1</v>
      </c>
      <c r="P1410" s="13" t="s">
        <v>76</v>
      </c>
      <c r="Q1410" s="13">
        <v>4</v>
      </c>
      <c r="R1410" s="13" t="s">
        <v>48</v>
      </c>
      <c r="S1410" s="20">
        <v>2647</v>
      </c>
      <c r="T1410" s="13">
        <v>13672</v>
      </c>
      <c r="U1410" s="13">
        <v>1</v>
      </c>
      <c r="V1410" s="13" t="s">
        <v>52</v>
      </c>
      <c r="W1410" s="13" t="s">
        <v>59</v>
      </c>
      <c r="X1410" s="13">
        <v>13</v>
      </c>
      <c r="Y1410" s="13">
        <v>3</v>
      </c>
      <c r="Z1410" s="13">
        <v>3</v>
      </c>
      <c r="AA1410" s="13">
        <v>80</v>
      </c>
      <c r="AB1410" s="13">
        <v>0</v>
      </c>
      <c r="AC1410" s="13">
        <v>5</v>
      </c>
      <c r="AD1410" s="13">
        <v>6</v>
      </c>
      <c r="AE1410" s="13">
        <v>4</v>
      </c>
      <c r="AF1410" s="14">
        <v>5</v>
      </c>
      <c r="AG1410" s="13">
        <v>2</v>
      </c>
      <c r="AH1410" s="13">
        <v>1</v>
      </c>
      <c r="AI1410" s="13">
        <v>4</v>
      </c>
      <c r="AJ1410" s="13" t="str">
        <f t="shared" ref="AJ1410:AJ1471" si="22">IF(A1410&lt;30,"Under 30", IF(A1410&lt;40,"30-39", IF(A1410&lt;50,"40-49", "50+")))</f>
        <v>Under 30</v>
      </c>
      <c r="AK1410" s="13" t="str">
        <f>IF(tblCleanData[[#This Row],[MonthlyIncome]]&lt;5000, "Low Income", IF(tblCleanData[[#This Row],[MonthlyIncome]]&lt;15000, "Medium Income", "High Income"))</f>
        <v>Low Income</v>
      </c>
      <c r="AL1410" s="13">
        <f>IF(tblCleanData[[#This Row],[Attrition]]="No", 0,1)</f>
        <v>0</v>
      </c>
      <c r="AM1410" s="13">
        <f>IF(tblCleanData[[#This Row],[OverTime]] = "No", 0, 1)</f>
        <v>0</v>
      </c>
      <c r="AN1410" s="13" t="str">
        <f>CHOOSE(tblCleanData[[#This Row],[Education]], "Below College","College","Bachelor","Master","Doctor")</f>
        <v>College</v>
      </c>
      <c r="AO1410" s="13" t="str">
        <f>VLOOKUP(tblCleanData[[#This Row],[EmployeeNumber]],tblHelpers[],15,TRUE)</f>
        <v>High Risk</v>
      </c>
      <c r="AP1410" s="13">
        <f>VLOOKUP(tblCleanData[[#This Row],[EmployeeNumber]],tblHelpers[],14,0)</f>
        <v>56</v>
      </c>
    </row>
    <row r="1411" spans="1:42" x14ac:dyDescent="0.25">
      <c r="A1411" s="13">
        <v>40</v>
      </c>
      <c r="B1411" s="13" t="s">
        <v>59</v>
      </c>
      <c r="C1411" s="13" t="s">
        <v>60</v>
      </c>
      <c r="D1411" s="13">
        <v>692</v>
      </c>
      <c r="E1411" s="13" t="s">
        <v>62</v>
      </c>
      <c r="F1411" s="13">
        <v>11</v>
      </c>
      <c r="G1411" s="13">
        <v>3</v>
      </c>
      <c r="H1411" s="13" t="s">
        <v>228</v>
      </c>
      <c r="I1411" s="13">
        <v>1</v>
      </c>
      <c r="J1411" s="13">
        <v>1985</v>
      </c>
      <c r="K1411" s="13">
        <v>4</v>
      </c>
      <c r="L1411" s="13" t="s">
        <v>43</v>
      </c>
      <c r="M1411" s="13">
        <v>73</v>
      </c>
      <c r="N1411" s="13">
        <v>3</v>
      </c>
      <c r="O1411" s="13">
        <v>2</v>
      </c>
      <c r="P1411" s="13" t="s">
        <v>76</v>
      </c>
      <c r="Q1411" s="13">
        <v>3</v>
      </c>
      <c r="R1411" s="13" t="s">
        <v>66</v>
      </c>
      <c r="S1411" s="20">
        <v>6323</v>
      </c>
      <c r="T1411" s="13">
        <v>26849</v>
      </c>
      <c r="U1411" s="13">
        <v>1</v>
      </c>
      <c r="V1411" s="13" t="s">
        <v>52</v>
      </c>
      <c r="W1411" s="13" t="s">
        <v>59</v>
      </c>
      <c r="X1411" s="13">
        <v>11</v>
      </c>
      <c r="Y1411" s="13">
        <v>3</v>
      </c>
      <c r="Z1411" s="13">
        <v>1</v>
      </c>
      <c r="AA1411" s="13">
        <v>80</v>
      </c>
      <c r="AB1411" s="13">
        <v>1</v>
      </c>
      <c r="AC1411" s="13">
        <v>10</v>
      </c>
      <c r="AD1411" s="13">
        <v>2</v>
      </c>
      <c r="AE1411" s="13">
        <v>4</v>
      </c>
      <c r="AF1411" s="14">
        <v>10</v>
      </c>
      <c r="AG1411" s="13">
        <v>9</v>
      </c>
      <c r="AH1411" s="13">
        <v>9</v>
      </c>
      <c r="AI1411" s="13">
        <v>4</v>
      </c>
      <c r="AJ1411" s="13" t="str">
        <f t="shared" si="22"/>
        <v>40-49</v>
      </c>
      <c r="AK1411" s="13" t="str">
        <f>IF(tblCleanData[[#This Row],[MonthlyIncome]]&lt;5000, "Low Income", IF(tblCleanData[[#This Row],[MonthlyIncome]]&lt;15000, "Medium Income", "High Income"))</f>
        <v>Medium Income</v>
      </c>
      <c r="AL1411" s="13">
        <f>IF(tblCleanData[[#This Row],[Attrition]]="No", 0,1)</f>
        <v>0</v>
      </c>
      <c r="AM1411" s="13">
        <f>IF(tblCleanData[[#This Row],[OverTime]] = "No", 0, 1)</f>
        <v>0</v>
      </c>
      <c r="AN1411" s="13" t="str">
        <f>CHOOSE(tblCleanData[[#This Row],[Education]], "Below College","College","Bachelor","Master","Doctor")</f>
        <v>Bachelor</v>
      </c>
      <c r="AO1411" s="13" t="str">
        <f>VLOOKUP(tblCleanData[[#This Row],[EmployeeNumber]],tblHelpers[],15,TRUE)</f>
        <v>Medium Risk</v>
      </c>
      <c r="AP1411" s="13">
        <f>VLOOKUP(tblCleanData[[#This Row],[EmployeeNumber]],tblHelpers[],14,0)</f>
        <v>36</v>
      </c>
    </row>
    <row r="1412" spans="1:42" x14ac:dyDescent="0.25">
      <c r="A1412" s="13">
        <v>40</v>
      </c>
      <c r="B1412" s="13" t="s">
        <v>59</v>
      </c>
      <c r="C1412" s="13" t="s">
        <v>37</v>
      </c>
      <c r="D1412" s="13">
        <v>444</v>
      </c>
      <c r="E1412" s="13" t="s">
        <v>39</v>
      </c>
      <c r="F1412" s="13">
        <v>2</v>
      </c>
      <c r="G1412" s="13">
        <v>2</v>
      </c>
      <c r="H1412" s="13" t="s">
        <v>206</v>
      </c>
      <c r="I1412" s="13">
        <v>1</v>
      </c>
      <c r="J1412" s="13">
        <v>1986</v>
      </c>
      <c r="K1412" s="13">
        <v>2</v>
      </c>
      <c r="L1412" s="13" t="s">
        <v>43</v>
      </c>
      <c r="M1412" s="13">
        <v>92</v>
      </c>
      <c r="N1412" s="13">
        <v>3</v>
      </c>
      <c r="O1412" s="13">
        <v>2</v>
      </c>
      <c r="P1412" s="13" t="s">
        <v>46</v>
      </c>
      <c r="Q1412" s="13">
        <v>2</v>
      </c>
      <c r="R1412" s="13" t="s">
        <v>66</v>
      </c>
      <c r="S1412" s="20">
        <v>5677</v>
      </c>
      <c r="T1412" s="13">
        <v>4258</v>
      </c>
      <c r="U1412" s="13">
        <v>3</v>
      </c>
      <c r="V1412" s="13" t="s">
        <v>52</v>
      </c>
      <c r="W1412" s="13" t="s">
        <v>59</v>
      </c>
      <c r="X1412" s="13">
        <v>14</v>
      </c>
      <c r="Y1412" s="13">
        <v>3</v>
      </c>
      <c r="Z1412" s="13">
        <v>3</v>
      </c>
      <c r="AA1412" s="13">
        <v>80</v>
      </c>
      <c r="AB1412" s="13">
        <v>1</v>
      </c>
      <c r="AC1412" s="13">
        <v>15</v>
      </c>
      <c r="AD1412" s="13">
        <v>4</v>
      </c>
      <c r="AE1412" s="13">
        <v>3</v>
      </c>
      <c r="AF1412" s="14">
        <v>11</v>
      </c>
      <c r="AG1412" s="13">
        <v>8</v>
      </c>
      <c r="AH1412" s="13">
        <v>5</v>
      </c>
      <c r="AI1412" s="13">
        <v>10</v>
      </c>
      <c r="AJ1412" s="13" t="str">
        <f t="shared" si="22"/>
        <v>40-49</v>
      </c>
      <c r="AK1412" s="13" t="str">
        <f>IF(tblCleanData[[#This Row],[MonthlyIncome]]&lt;5000, "Low Income", IF(tblCleanData[[#This Row],[MonthlyIncome]]&lt;15000, "Medium Income", "High Income"))</f>
        <v>Medium Income</v>
      </c>
      <c r="AL1412" s="13">
        <f>IF(tblCleanData[[#This Row],[Attrition]]="No", 0,1)</f>
        <v>0</v>
      </c>
      <c r="AM1412" s="13">
        <f>IF(tblCleanData[[#This Row],[OverTime]] = "No", 0, 1)</f>
        <v>0</v>
      </c>
      <c r="AN1412" s="13" t="str">
        <f>CHOOSE(tblCleanData[[#This Row],[Education]], "Below College","College","Bachelor","Master","Doctor")</f>
        <v>College</v>
      </c>
      <c r="AO1412" s="13" t="str">
        <f>VLOOKUP(tblCleanData[[#This Row],[EmployeeNumber]],tblHelpers[],15,TRUE)</f>
        <v>Medium Risk</v>
      </c>
      <c r="AP1412" s="13">
        <f>VLOOKUP(tblCleanData[[#This Row],[EmployeeNumber]],tblHelpers[],14,0)</f>
        <v>37</v>
      </c>
    </row>
    <row r="1413" spans="1:42" x14ac:dyDescent="0.25">
      <c r="A1413" s="13">
        <v>25</v>
      </c>
      <c r="B1413" s="13" t="s">
        <v>59</v>
      </c>
      <c r="C1413" s="13" t="s">
        <v>37</v>
      </c>
      <c r="D1413" s="13">
        <v>309</v>
      </c>
      <c r="E1413" s="13" t="s">
        <v>397</v>
      </c>
      <c r="F1413" s="13">
        <v>2</v>
      </c>
      <c r="G1413" s="13">
        <v>3</v>
      </c>
      <c r="H1413" s="13" t="s">
        <v>397</v>
      </c>
      <c r="I1413" s="13">
        <v>1</v>
      </c>
      <c r="J1413" s="13">
        <v>1987</v>
      </c>
      <c r="K1413" s="13">
        <v>3</v>
      </c>
      <c r="L1413" s="13" t="s">
        <v>43</v>
      </c>
      <c r="M1413" s="13">
        <v>82</v>
      </c>
      <c r="N1413" s="13">
        <v>3</v>
      </c>
      <c r="O1413" s="13">
        <v>1</v>
      </c>
      <c r="P1413" s="13" t="s">
        <v>397</v>
      </c>
      <c r="Q1413" s="13">
        <v>2</v>
      </c>
      <c r="R1413" s="13" t="s">
        <v>66</v>
      </c>
      <c r="S1413" s="20">
        <v>2187</v>
      </c>
      <c r="T1413" s="13">
        <v>19655</v>
      </c>
      <c r="U1413" s="13">
        <v>4</v>
      </c>
      <c r="V1413" s="13" t="s">
        <v>52</v>
      </c>
      <c r="W1413" s="13" t="s">
        <v>59</v>
      </c>
      <c r="X1413" s="13">
        <v>14</v>
      </c>
      <c r="Y1413" s="13">
        <v>3</v>
      </c>
      <c r="Z1413" s="13">
        <v>3</v>
      </c>
      <c r="AA1413" s="13">
        <v>80</v>
      </c>
      <c r="AB1413" s="13">
        <v>0</v>
      </c>
      <c r="AC1413" s="13">
        <v>6</v>
      </c>
      <c r="AD1413" s="13">
        <v>3</v>
      </c>
      <c r="AE1413" s="13">
        <v>3</v>
      </c>
      <c r="AF1413" s="14">
        <v>2</v>
      </c>
      <c r="AG1413" s="13">
        <v>0</v>
      </c>
      <c r="AH1413" s="13">
        <v>1</v>
      </c>
      <c r="AI1413" s="13">
        <v>2</v>
      </c>
      <c r="AJ1413" s="13" t="str">
        <f t="shared" si="22"/>
        <v>Under 30</v>
      </c>
      <c r="AK1413" s="13" t="str">
        <f>IF(tblCleanData[[#This Row],[MonthlyIncome]]&lt;5000, "Low Income", IF(tblCleanData[[#This Row],[MonthlyIncome]]&lt;15000, "Medium Income", "High Income"))</f>
        <v>Low Income</v>
      </c>
      <c r="AL1413" s="13">
        <f>IF(tblCleanData[[#This Row],[Attrition]]="No", 0,1)</f>
        <v>0</v>
      </c>
      <c r="AM1413" s="13">
        <f>IF(tblCleanData[[#This Row],[OverTime]] = "No", 0, 1)</f>
        <v>0</v>
      </c>
      <c r="AN1413" s="13" t="str">
        <f>CHOOSE(tblCleanData[[#This Row],[Education]], "Below College","College","Bachelor","Master","Doctor")</f>
        <v>Bachelor</v>
      </c>
      <c r="AO1413" s="13" t="str">
        <f>VLOOKUP(tblCleanData[[#This Row],[EmployeeNumber]],tblHelpers[],15,TRUE)</f>
        <v>High Risk</v>
      </c>
      <c r="AP1413" s="13">
        <f>VLOOKUP(tblCleanData[[#This Row],[EmployeeNumber]],tblHelpers[],14,0)</f>
        <v>79</v>
      </c>
    </row>
    <row r="1414" spans="1:42" x14ac:dyDescent="0.25">
      <c r="A1414" s="13">
        <v>30</v>
      </c>
      <c r="B1414" s="13" t="s">
        <v>59</v>
      </c>
      <c r="C1414" s="13" t="s">
        <v>37</v>
      </c>
      <c r="D1414" s="13">
        <v>911</v>
      </c>
      <c r="E1414" s="13" t="s">
        <v>62</v>
      </c>
      <c r="F1414" s="13">
        <v>1</v>
      </c>
      <c r="G1414" s="13">
        <v>2</v>
      </c>
      <c r="H1414" s="13" t="s">
        <v>87</v>
      </c>
      <c r="I1414" s="13">
        <v>1</v>
      </c>
      <c r="J1414" s="13">
        <v>1989</v>
      </c>
      <c r="K1414" s="13">
        <v>4</v>
      </c>
      <c r="L1414" s="13" t="s">
        <v>63</v>
      </c>
      <c r="M1414" s="13">
        <v>76</v>
      </c>
      <c r="N1414" s="13">
        <v>3</v>
      </c>
      <c r="O1414" s="13">
        <v>1</v>
      </c>
      <c r="P1414" s="13" t="s">
        <v>76</v>
      </c>
      <c r="Q1414" s="13">
        <v>2</v>
      </c>
      <c r="R1414" s="13" t="s">
        <v>66</v>
      </c>
      <c r="S1414" s="20">
        <v>3748</v>
      </c>
      <c r="T1414" s="13">
        <v>4077</v>
      </c>
      <c r="U1414" s="13">
        <v>1</v>
      </c>
      <c r="V1414" s="13" t="s">
        <v>52</v>
      </c>
      <c r="W1414" s="13" t="s">
        <v>59</v>
      </c>
      <c r="X1414" s="13">
        <v>13</v>
      </c>
      <c r="Y1414" s="13">
        <v>3</v>
      </c>
      <c r="Z1414" s="13">
        <v>3</v>
      </c>
      <c r="AA1414" s="13">
        <v>80</v>
      </c>
      <c r="AB1414" s="13">
        <v>0</v>
      </c>
      <c r="AC1414" s="13">
        <v>12</v>
      </c>
      <c r="AD1414" s="13">
        <v>6</v>
      </c>
      <c r="AE1414" s="13">
        <v>2</v>
      </c>
      <c r="AF1414" s="14">
        <v>12</v>
      </c>
      <c r="AG1414" s="13">
        <v>8</v>
      </c>
      <c r="AH1414" s="13">
        <v>1</v>
      </c>
      <c r="AI1414" s="13">
        <v>7</v>
      </c>
      <c r="AJ1414" s="13" t="str">
        <f t="shared" si="22"/>
        <v>30-39</v>
      </c>
      <c r="AK1414" s="13" t="str">
        <f>IF(tblCleanData[[#This Row],[MonthlyIncome]]&lt;5000, "Low Income", IF(tblCleanData[[#This Row],[MonthlyIncome]]&lt;15000, "Medium Income", "High Income"))</f>
        <v>Low Income</v>
      </c>
      <c r="AL1414" s="13">
        <f>IF(tblCleanData[[#This Row],[Attrition]]="No", 0,1)</f>
        <v>0</v>
      </c>
      <c r="AM1414" s="13">
        <f>IF(tblCleanData[[#This Row],[OverTime]] = "No", 0, 1)</f>
        <v>0</v>
      </c>
      <c r="AN1414" s="13" t="str">
        <f>CHOOSE(tblCleanData[[#This Row],[Education]], "Below College","College","Bachelor","Master","Doctor")</f>
        <v>College</v>
      </c>
      <c r="AO1414" s="13" t="str">
        <f>VLOOKUP(tblCleanData[[#This Row],[EmployeeNumber]],tblHelpers[],15,TRUE)</f>
        <v>Medium Risk</v>
      </c>
      <c r="AP1414" s="13">
        <f>VLOOKUP(tblCleanData[[#This Row],[EmployeeNumber]],tblHelpers[],14,0)</f>
        <v>47</v>
      </c>
    </row>
    <row r="1415" spans="1:42" x14ac:dyDescent="0.25">
      <c r="A1415" s="13">
        <v>25</v>
      </c>
      <c r="B1415" s="13" t="s">
        <v>59</v>
      </c>
      <c r="C1415" s="13" t="s">
        <v>37</v>
      </c>
      <c r="D1415" s="13">
        <v>977</v>
      </c>
      <c r="E1415" s="13" t="s">
        <v>62</v>
      </c>
      <c r="F1415" s="13">
        <v>2</v>
      </c>
      <c r="G1415" s="13">
        <v>1</v>
      </c>
      <c r="H1415" s="13" t="s">
        <v>74</v>
      </c>
      <c r="I1415" s="13">
        <v>1</v>
      </c>
      <c r="J1415" s="13">
        <v>1992</v>
      </c>
      <c r="K1415" s="13">
        <v>4</v>
      </c>
      <c r="L1415" s="13" t="s">
        <v>63</v>
      </c>
      <c r="M1415" s="13">
        <v>57</v>
      </c>
      <c r="N1415" s="13">
        <v>3</v>
      </c>
      <c r="O1415" s="13">
        <v>1</v>
      </c>
      <c r="P1415" s="13" t="s">
        <v>76</v>
      </c>
      <c r="Q1415" s="13">
        <v>3</v>
      </c>
      <c r="R1415" s="13" t="s">
        <v>109</v>
      </c>
      <c r="S1415" s="20">
        <v>3977</v>
      </c>
      <c r="T1415" s="13">
        <v>7298</v>
      </c>
      <c r="U1415" s="13">
        <v>6</v>
      </c>
      <c r="V1415" s="13" t="s">
        <v>52</v>
      </c>
      <c r="W1415" s="13" t="s">
        <v>36</v>
      </c>
      <c r="X1415" s="13">
        <v>19</v>
      </c>
      <c r="Y1415" s="13">
        <v>3</v>
      </c>
      <c r="Z1415" s="13">
        <v>3</v>
      </c>
      <c r="AA1415" s="13">
        <v>80</v>
      </c>
      <c r="AB1415" s="13">
        <v>1</v>
      </c>
      <c r="AC1415" s="13">
        <v>7</v>
      </c>
      <c r="AD1415" s="13">
        <v>2</v>
      </c>
      <c r="AE1415" s="13">
        <v>2</v>
      </c>
      <c r="AF1415" s="14">
        <v>2</v>
      </c>
      <c r="AG1415" s="13">
        <v>2</v>
      </c>
      <c r="AH1415" s="13">
        <v>0</v>
      </c>
      <c r="AI1415" s="13">
        <v>2</v>
      </c>
      <c r="AJ1415" s="13" t="str">
        <f t="shared" si="22"/>
        <v>Under 30</v>
      </c>
      <c r="AK1415" s="13" t="str">
        <f>IF(tblCleanData[[#This Row],[MonthlyIncome]]&lt;5000, "Low Income", IF(tblCleanData[[#This Row],[MonthlyIncome]]&lt;15000, "Medium Income", "High Income"))</f>
        <v>Low Income</v>
      </c>
      <c r="AL1415" s="13">
        <f>IF(tblCleanData[[#This Row],[Attrition]]="No", 0,1)</f>
        <v>0</v>
      </c>
      <c r="AM1415" s="13">
        <f>IF(tblCleanData[[#This Row],[OverTime]] = "No", 0, 1)</f>
        <v>1</v>
      </c>
      <c r="AN1415" s="13" t="str">
        <f>CHOOSE(tblCleanData[[#This Row],[Education]], "Below College","College","Bachelor","Master","Doctor")</f>
        <v>Below College</v>
      </c>
      <c r="AO1415" s="13" t="str">
        <f>VLOOKUP(tblCleanData[[#This Row],[EmployeeNumber]],tblHelpers[],15,TRUE)</f>
        <v>High Risk</v>
      </c>
      <c r="AP1415" s="13">
        <f>VLOOKUP(tblCleanData[[#This Row],[EmployeeNumber]],tblHelpers[],14,0)</f>
        <v>98</v>
      </c>
    </row>
    <row r="1416" spans="1:42" x14ac:dyDescent="0.25">
      <c r="A1416" s="13">
        <v>47</v>
      </c>
      <c r="B1416" s="13" t="s">
        <v>59</v>
      </c>
      <c r="C1416" s="13" t="s">
        <v>37</v>
      </c>
      <c r="D1416" s="13">
        <v>1180</v>
      </c>
      <c r="E1416" s="13" t="s">
        <v>62</v>
      </c>
      <c r="F1416" s="13">
        <v>25</v>
      </c>
      <c r="G1416" s="13">
        <v>3</v>
      </c>
      <c r="H1416" s="13" t="s">
        <v>87</v>
      </c>
      <c r="I1416" s="13">
        <v>1</v>
      </c>
      <c r="J1416" s="13">
        <v>1993</v>
      </c>
      <c r="K1416" s="13">
        <v>1</v>
      </c>
      <c r="L1416" s="13" t="s">
        <v>63</v>
      </c>
      <c r="M1416" s="13">
        <v>84</v>
      </c>
      <c r="N1416" s="13">
        <v>3</v>
      </c>
      <c r="O1416" s="13">
        <v>3</v>
      </c>
      <c r="P1416" s="13" t="s">
        <v>122</v>
      </c>
      <c r="Q1416" s="13">
        <v>3</v>
      </c>
      <c r="R1416" s="13" t="s">
        <v>48</v>
      </c>
      <c r="S1416" s="20">
        <v>8633</v>
      </c>
      <c r="T1416" s="13">
        <v>13084</v>
      </c>
      <c r="U1416" s="13">
        <v>2</v>
      </c>
      <c r="V1416" s="13" t="s">
        <v>52</v>
      </c>
      <c r="W1416" s="13" t="s">
        <v>59</v>
      </c>
      <c r="X1416" s="13">
        <v>23</v>
      </c>
      <c r="Y1416" s="13">
        <v>4</v>
      </c>
      <c r="Z1416" s="13">
        <v>2</v>
      </c>
      <c r="AA1416" s="13">
        <v>80</v>
      </c>
      <c r="AB1416" s="13">
        <v>0</v>
      </c>
      <c r="AC1416" s="13">
        <v>25</v>
      </c>
      <c r="AD1416" s="13">
        <v>3</v>
      </c>
      <c r="AE1416" s="13">
        <v>3</v>
      </c>
      <c r="AF1416" s="14">
        <v>17</v>
      </c>
      <c r="AG1416" s="13">
        <v>14</v>
      </c>
      <c r="AH1416" s="13">
        <v>12</v>
      </c>
      <c r="AI1416" s="13">
        <v>11</v>
      </c>
      <c r="AJ1416" s="13" t="str">
        <f t="shared" si="22"/>
        <v>40-49</v>
      </c>
      <c r="AK1416" s="13" t="str">
        <f>IF(tblCleanData[[#This Row],[MonthlyIncome]]&lt;5000, "Low Income", IF(tblCleanData[[#This Row],[MonthlyIncome]]&lt;15000, "Medium Income", "High Income"))</f>
        <v>Medium Income</v>
      </c>
      <c r="AL1416" s="13">
        <f>IF(tblCleanData[[#This Row],[Attrition]]="No", 0,1)</f>
        <v>0</v>
      </c>
      <c r="AM1416" s="13">
        <f>IF(tblCleanData[[#This Row],[OverTime]] = "No", 0, 1)</f>
        <v>0</v>
      </c>
      <c r="AN1416" s="13" t="str">
        <f>CHOOSE(tblCleanData[[#This Row],[Education]], "Below College","College","Bachelor","Master","Doctor")</f>
        <v>Bachelor</v>
      </c>
      <c r="AO1416" s="13" t="str">
        <f>VLOOKUP(tblCleanData[[#This Row],[EmployeeNumber]],tblHelpers[],15,TRUE)</f>
        <v>Low Risk</v>
      </c>
      <c r="AP1416" s="13">
        <f>VLOOKUP(tblCleanData[[#This Row],[EmployeeNumber]],tblHelpers[],14,0)</f>
        <v>31</v>
      </c>
    </row>
    <row r="1417" spans="1:42" x14ac:dyDescent="0.25">
      <c r="A1417" s="13">
        <v>33</v>
      </c>
      <c r="B1417" s="13" t="s">
        <v>59</v>
      </c>
      <c r="C1417" s="13" t="s">
        <v>161</v>
      </c>
      <c r="D1417" s="13">
        <v>1313</v>
      </c>
      <c r="E1417" s="13" t="s">
        <v>62</v>
      </c>
      <c r="F1417" s="13">
        <v>1</v>
      </c>
      <c r="G1417" s="13">
        <v>2</v>
      </c>
      <c r="H1417" s="13" t="s">
        <v>87</v>
      </c>
      <c r="I1417" s="13">
        <v>1</v>
      </c>
      <c r="J1417" s="13">
        <v>1994</v>
      </c>
      <c r="K1417" s="13">
        <v>2</v>
      </c>
      <c r="L1417" s="13" t="s">
        <v>63</v>
      </c>
      <c r="M1417" s="13">
        <v>59</v>
      </c>
      <c r="N1417" s="13">
        <v>2</v>
      </c>
      <c r="O1417" s="13">
        <v>1</v>
      </c>
      <c r="P1417" s="13" t="s">
        <v>76</v>
      </c>
      <c r="Q1417" s="13">
        <v>3</v>
      </c>
      <c r="R1417" s="13" t="s">
        <v>109</v>
      </c>
      <c r="S1417" s="20">
        <v>2008</v>
      </c>
      <c r="T1417" s="13">
        <v>20439</v>
      </c>
      <c r="U1417" s="13">
        <v>1</v>
      </c>
      <c r="V1417" s="13" t="s">
        <v>52</v>
      </c>
      <c r="W1417" s="13" t="s">
        <v>59</v>
      </c>
      <c r="X1417" s="13">
        <v>12</v>
      </c>
      <c r="Y1417" s="13">
        <v>3</v>
      </c>
      <c r="Z1417" s="13">
        <v>3</v>
      </c>
      <c r="AA1417" s="13">
        <v>80</v>
      </c>
      <c r="AB1417" s="13">
        <v>3</v>
      </c>
      <c r="AC1417" s="13">
        <v>1</v>
      </c>
      <c r="AD1417" s="13">
        <v>2</v>
      </c>
      <c r="AE1417" s="13">
        <v>2</v>
      </c>
      <c r="AF1417" s="14">
        <v>1</v>
      </c>
      <c r="AG1417" s="13">
        <v>1</v>
      </c>
      <c r="AH1417" s="13">
        <v>0</v>
      </c>
      <c r="AI1417" s="13">
        <v>0</v>
      </c>
      <c r="AJ1417" s="13" t="str">
        <f t="shared" si="22"/>
        <v>30-39</v>
      </c>
      <c r="AK1417" s="13" t="str">
        <f>IF(tblCleanData[[#This Row],[MonthlyIncome]]&lt;5000, "Low Income", IF(tblCleanData[[#This Row],[MonthlyIncome]]&lt;15000, "Medium Income", "High Income"))</f>
        <v>Low Income</v>
      </c>
      <c r="AL1417" s="13">
        <f>IF(tblCleanData[[#This Row],[Attrition]]="No", 0,1)</f>
        <v>0</v>
      </c>
      <c r="AM1417" s="13">
        <f>IF(tblCleanData[[#This Row],[OverTime]] = "No", 0, 1)</f>
        <v>0</v>
      </c>
      <c r="AN1417" s="13" t="str">
        <f>CHOOSE(tblCleanData[[#This Row],[Education]], "Below College","College","Bachelor","Master","Doctor")</f>
        <v>College</v>
      </c>
      <c r="AO1417" s="13" t="str">
        <f>VLOOKUP(tblCleanData[[#This Row],[EmployeeNumber]],tblHelpers[],15,TRUE)</f>
        <v>High Risk</v>
      </c>
      <c r="AP1417" s="13">
        <f>VLOOKUP(tblCleanData[[#This Row],[EmployeeNumber]],tblHelpers[],14,0)</f>
        <v>63</v>
      </c>
    </row>
    <row r="1418" spans="1:42" x14ac:dyDescent="0.25">
      <c r="A1418" s="13">
        <v>38</v>
      </c>
      <c r="B1418" s="13" t="s">
        <v>59</v>
      </c>
      <c r="C1418" s="13" t="s">
        <v>37</v>
      </c>
      <c r="D1418" s="13">
        <v>1321</v>
      </c>
      <c r="E1418" s="13" t="s">
        <v>39</v>
      </c>
      <c r="F1418" s="13">
        <v>1</v>
      </c>
      <c r="G1418" s="13">
        <v>4</v>
      </c>
      <c r="H1418" s="13" t="s">
        <v>42</v>
      </c>
      <c r="I1418" s="13">
        <v>1</v>
      </c>
      <c r="J1418" s="13">
        <v>1995</v>
      </c>
      <c r="K1418" s="13">
        <v>4</v>
      </c>
      <c r="L1418" s="13" t="s">
        <v>63</v>
      </c>
      <c r="M1418" s="13">
        <v>86</v>
      </c>
      <c r="N1418" s="13">
        <v>3</v>
      </c>
      <c r="O1418" s="13">
        <v>2</v>
      </c>
      <c r="P1418" s="13" t="s">
        <v>46</v>
      </c>
      <c r="Q1418" s="13">
        <v>2</v>
      </c>
      <c r="R1418" s="13" t="s">
        <v>66</v>
      </c>
      <c r="S1418" s="20">
        <v>4440</v>
      </c>
      <c r="T1418" s="13">
        <v>7636</v>
      </c>
      <c r="U1418" s="13">
        <v>0</v>
      </c>
      <c r="V1418" s="13" t="s">
        <v>52</v>
      </c>
      <c r="W1418" s="13" t="s">
        <v>59</v>
      </c>
      <c r="X1418" s="13">
        <v>15</v>
      </c>
      <c r="Y1418" s="13">
        <v>3</v>
      </c>
      <c r="Z1418" s="13">
        <v>1</v>
      </c>
      <c r="AA1418" s="13">
        <v>80</v>
      </c>
      <c r="AB1418" s="13">
        <v>2</v>
      </c>
      <c r="AC1418" s="13">
        <v>16</v>
      </c>
      <c r="AD1418" s="13">
        <v>3</v>
      </c>
      <c r="AE1418" s="13">
        <v>3</v>
      </c>
      <c r="AF1418" s="14">
        <v>15</v>
      </c>
      <c r="AG1418" s="13">
        <v>13</v>
      </c>
      <c r="AH1418" s="13">
        <v>5</v>
      </c>
      <c r="AI1418" s="13">
        <v>8</v>
      </c>
      <c r="AJ1418" s="13" t="str">
        <f t="shared" si="22"/>
        <v>30-39</v>
      </c>
      <c r="AK1418" s="13" t="str">
        <f>IF(tblCleanData[[#This Row],[MonthlyIncome]]&lt;5000, "Low Income", IF(tblCleanData[[#This Row],[MonthlyIncome]]&lt;15000, "Medium Income", "High Income"))</f>
        <v>Low Income</v>
      </c>
      <c r="AL1418" s="13">
        <f>IF(tblCleanData[[#This Row],[Attrition]]="No", 0,1)</f>
        <v>0</v>
      </c>
      <c r="AM1418" s="13">
        <f>IF(tblCleanData[[#This Row],[OverTime]] = "No", 0, 1)</f>
        <v>0</v>
      </c>
      <c r="AN1418" s="13" t="str">
        <f>CHOOSE(tblCleanData[[#This Row],[Education]], "Below College","College","Bachelor","Master","Doctor")</f>
        <v>Master</v>
      </c>
      <c r="AO1418" s="13" t="str">
        <f>VLOOKUP(tblCleanData[[#This Row],[EmployeeNumber]],tblHelpers[],15,TRUE)</f>
        <v>Medium Risk</v>
      </c>
      <c r="AP1418" s="13">
        <f>VLOOKUP(tblCleanData[[#This Row],[EmployeeNumber]],tblHelpers[],14,0)</f>
        <v>47</v>
      </c>
    </row>
    <row r="1419" spans="1:42" x14ac:dyDescent="0.25">
      <c r="A1419" s="13">
        <v>31</v>
      </c>
      <c r="B1419" s="13" t="s">
        <v>59</v>
      </c>
      <c r="C1419" s="13" t="s">
        <v>37</v>
      </c>
      <c r="D1419" s="13">
        <v>1154</v>
      </c>
      <c r="E1419" s="13" t="s">
        <v>39</v>
      </c>
      <c r="F1419" s="13">
        <v>2</v>
      </c>
      <c r="G1419" s="13">
        <v>2</v>
      </c>
      <c r="H1419" s="13" t="s">
        <v>42</v>
      </c>
      <c r="I1419" s="13">
        <v>1</v>
      </c>
      <c r="J1419" s="13">
        <v>1996</v>
      </c>
      <c r="K1419" s="13">
        <v>1</v>
      </c>
      <c r="L1419" s="13" t="s">
        <v>63</v>
      </c>
      <c r="M1419" s="13">
        <v>54</v>
      </c>
      <c r="N1419" s="13">
        <v>3</v>
      </c>
      <c r="O1419" s="13">
        <v>1</v>
      </c>
      <c r="P1419" s="13" t="s">
        <v>182</v>
      </c>
      <c r="Q1419" s="13">
        <v>3</v>
      </c>
      <c r="R1419" s="13" t="s">
        <v>66</v>
      </c>
      <c r="S1419" s="20">
        <v>3067</v>
      </c>
      <c r="T1419" s="13">
        <v>6393</v>
      </c>
      <c r="U1419" s="13">
        <v>0</v>
      </c>
      <c r="V1419" s="13" t="s">
        <v>52</v>
      </c>
      <c r="W1419" s="13" t="s">
        <v>59</v>
      </c>
      <c r="X1419" s="13">
        <v>19</v>
      </c>
      <c r="Y1419" s="13">
        <v>3</v>
      </c>
      <c r="Z1419" s="13">
        <v>3</v>
      </c>
      <c r="AA1419" s="13">
        <v>80</v>
      </c>
      <c r="AB1419" s="13">
        <v>1</v>
      </c>
      <c r="AC1419" s="13">
        <v>3</v>
      </c>
      <c r="AD1419" s="13">
        <v>1</v>
      </c>
      <c r="AE1419" s="13">
        <v>3</v>
      </c>
      <c r="AF1419" s="14">
        <v>2</v>
      </c>
      <c r="AG1419" s="13">
        <v>2</v>
      </c>
      <c r="AH1419" s="13">
        <v>1</v>
      </c>
      <c r="AI1419" s="13">
        <v>2</v>
      </c>
      <c r="AJ1419" s="13" t="str">
        <f t="shared" si="22"/>
        <v>30-39</v>
      </c>
      <c r="AK1419" s="13" t="str">
        <f>IF(tblCleanData[[#This Row],[MonthlyIncome]]&lt;5000, "Low Income", IF(tblCleanData[[#This Row],[MonthlyIncome]]&lt;15000, "Medium Income", "High Income"))</f>
        <v>Low Income</v>
      </c>
      <c r="AL1419" s="13">
        <f>IF(tblCleanData[[#This Row],[Attrition]]="No", 0,1)</f>
        <v>0</v>
      </c>
      <c r="AM1419" s="13">
        <f>IF(tblCleanData[[#This Row],[OverTime]] = "No", 0, 1)</f>
        <v>0</v>
      </c>
      <c r="AN1419" s="13" t="str">
        <f>CHOOSE(tblCleanData[[#This Row],[Education]], "Below College","College","Bachelor","Master","Doctor")</f>
        <v>College</v>
      </c>
      <c r="AO1419" s="13" t="str">
        <f>VLOOKUP(tblCleanData[[#This Row],[EmployeeNumber]],tblHelpers[],15,TRUE)</f>
        <v>High Risk</v>
      </c>
      <c r="AP1419" s="13">
        <f>VLOOKUP(tblCleanData[[#This Row],[EmployeeNumber]],tblHelpers[],14,0)</f>
        <v>63</v>
      </c>
    </row>
    <row r="1420" spans="1:42" x14ac:dyDescent="0.25">
      <c r="A1420" s="13">
        <v>38</v>
      </c>
      <c r="B1420" s="13" t="s">
        <v>59</v>
      </c>
      <c r="C1420" s="13" t="s">
        <v>60</v>
      </c>
      <c r="D1420" s="13">
        <v>508</v>
      </c>
      <c r="E1420" s="13" t="s">
        <v>62</v>
      </c>
      <c r="F1420" s="13">
        <v>6</v>
      </c>
      <c r="G1420" s="13">
        <v>4</v>
      </c>
      <c r="H1420" s="13" t="s">
        <v>42</v>
      </c>
      <c r="I1420" s="13">
        <v>1</v>
      </c>
      <c r="J1420" s="13">
        <v>1997</v>
      </c>
      <c r="K1420" s="13">
        <v>1</v>
      </c>
      <c r="L1420" s="13" t="s">
        <v>63</v>
      </c>
      <c r="M1420" s="13">
        <v>72</v>
      </c>
      <c r="N1420" s="13">
        <v>2</v>
      </c>
      <c r="O1420" s="13">
        <v>2</v>
      </c>
      <c r="P1420" s="13" t="s">
        <v>116</v>
      </c>
      <c r="Q1420" s="13">
        <v>3</v>
      </c>
      <c r="R1420" s="13" t="s">
        <v>66</v>
      </c>
      <c r="S1420" s="20">
        <v>5321</v>
      </c>
      <c r="T1420" s="13">
        <v>14284</v>
      </c>
      <c r="U1420" s="13">
        <v>2</v>
      </c>
      <c r="V1420" s="13" t="s">
        <v>52</v>
      </c>
      <c r="W1420" s="13" t="s">
        <v>59</v>
      </c>
      <c r="X1420" s="13">
        <v>11</v>
      </c>
      <c r="Y1420" s="13">
        <v>3</v>
      </c>
      <c r="Z1420" s="13">
        <v>4</v>
      </c>
      <c r="AA1420" s="13">
        <v>80</v>
      </c>
      <c r="AB1420" s="13">
        <v>1</v>
      </c>
      <c r="AC1420" s="13">
        <v>10</v>
      </c>
      <c r="AD1420" s="13">
        <v>1</v>
      </c>
      <c r="AE1420" s="13">
        <v>3</v>
      </c>
      <c r="AF1420" s="14">
        <v>8</v>
      </c>
      <c r="AG1420" s="13">
        <v>3</v>
      </c>
      <c r="AH1420" s="13">
        <v>7</v>
      </c>
      <c r="AI1420" s="13">
        <v>7</v>
      </c>
      <c r="AJ1420" s="13" t="str">
        <f t="shared" si="22"/>
        <v>30-39</v>
      </c>
      <c r="AK1420" s="13" t="str">
        <f>IF(tblCleanData[[#This Row],[MonthlyIncome]]&lt;5000, "Low Income", IF(tblCleanData[[#This Row],[MonthlyIncome]]&lt;15000, "Medium Income", "High Income"))</f>
        <v>Medium Income</v>
      </c>
      <c r="AL1420" s="13">
        <f>IF(tblCleanData[[#This Row],[Attrition]]="No", 0,1)</f>
        <v>0</v>
      </c>
      <c r="AM1420" s="13">
        <f>IF(tblCleanData[[#This Row],[OverTime]] = "No", 0, 1)</f>
        <v>0</v>
      </c>
      <c r="AN1420" s="13" t="str">
        <f>CHOOSE(tblCleanData[[#This Row],[Education]], "Below College","College","Bachelor","Master","Doctor")</f>
        <v>Master</v>
      </c>
      <c r="AO1420" s="13" t="str">
        <f>VLOOKUP(tblCleanData[[#This Row],[EmployeeNumber]],tblHelpers[],15,TRUE)</f>
        <v>Medium Risk</v>
      </c>
      <c r="AP1420" s="13">
        <f>VLOOKUP(tblCleanData[[#This Row],[EmployeeNumber]],tblHelpers[],14,0)</f>
        <v>46</v>
      </c>
    </row>
    <row r="1421" spans="1:42" x14ac:dyDescent="0.25">
      <c r="A1421" s="13">
        <v>42</v>
      </c>
      <c r="B1421" s="13" t="s">
        <v>59</v>
      </c>
      <c r="C1421" s="13" t="s">
        <v>37</v>
      </c>
      <c r="D1421" s="13">
        <v>557</v>
      </c>
      <c r="E1421" s="13" t="s">
        <v>62</v>
      </c>
      <c r="F1421" s="13">
        <v>18</v>
      </c>
      <c r="G1421" s="13">
        <v>4</v>
      </c>
      <c r="H1421" s="13" t="s">
        <v>42</v>
      </c>
      <c r="I1421" s="13">
        <v>1</v>
      </c>
      <c r="J1421" s="13">
        <v>1998</v>
      </c>
      <c r="K1421" s="13">
        <v>4</v>
      </c>
      <c r="L1421" s="13" t="s">
        <v>63</v>
      </c>
      <c r="M1421" s="13">
        <v>35</v>
      </c>
      <c r="N1421" s="13">
        <v>3</v>
      </c>
      <c r="O1421" s="13">
        <v>2</v>
      </c>
      <c r="P1421" s="13" t="s">
        <v>65</v>
      </c>
      <c r="Q1421" s="13">
        <v>1</v>
      </c>
      <c r="R1421" s="13" t="s">
        <v>109</v>
      </c>
      <c r="S1421" s="20">
        <v>5410</v>
      </c>
      <c r="T1421" s="13">
        <v>11189</v>
      </c>
      <c r="U1421" s="13">
        <v>6</v>
      </c>
      <c r="V1421" s="13" t="s">
        <v>52</v>
      </c>
      <c r="W1421" s="13" t="s">
        <v>36</v>
      </c>
      <c r="X1421" s="13">
        <v>17</v>
      </c>
      <c r="Y1421" s="13">
        <v>3</v>
      </c>
      <c r="Z1421" s="13">
        <v>3</v>
      </c>
      <c r="AA1421" s="13">
        <v>80</v>
      </c>
      <c r="AB1421" s="13">
        <v>1</v>
      </c>
      <c r="AC1421" s="13">
        <v>9</v>
      </c>
      <c r="AD1421" s="13">
        <v>3</v>
      </c>
      <c r="AE1421" s="13">
        <v>2</v>
      </c>
      <c r="AF1421" s="14">
        <v>4</v>
      </c>
      <c r="AG1421" s="13">
        <v>3</v>
      </c>
      <c r="AH1421" s="13">
        <v>1</v>
      </c>
      <c r="AI1421" s="13">
        <v>2</v>
      </c>
      <c r="AJ1421" s="13" t="str">
        <f t="shared" si="22"/>
        <v>40-49</v>
      </c>
      <c r="AK1421" s="13" t="str">
        <f>IF(tblCleanData[[#This Row],[MonthlyIncome]]&lt;5000, "Low Income", IF(tblCleanData[[#This Row],[MonthlyIncome]]&lt;15000, "Medium Income", "High Income"))</f>
        <v>Medium Income</v>
      </c>
      <c r="AL1421" s="13">
        <f>IF(tblCleanData[[#This Row],[Attrition]]="No", 0,1)</f>
        <v>0</v>
      </c>
      <c r="AM1421" s="13">
        <f>IF(tblCleanData[[#This Row],[OverTime]] = "No", 0, 1)</f>
        <v>1</v>
      </c>
      <c r="AN1421" s="13" t="str">
        <f>CHOOSE(tblCleanData[[#This Row],[Education]], "Below College","College","Bachelor","Master","Doctor")</f>
        <v>Master</v>
      </c>
      <c r="AO1421" s="13" t="str">
        <f>VLOOKUP(tblCleanData[[#This Row],[EmployeeNumber]],tblHelpers[],15,TRUE)</f>
        <v>High Risk</v>
      </c>
      <c r="AP1421" s="13">
        <f>VLOOKUP(tblCleanData[[#This Row],[EmployeeNumber]],tblHelpers[],14,0)</f>
        <v>80</v>
      </c>
    </row>
    <row r="1422" spans="1:42" x14ac:dyDescent="0.25">
      <c r="A1422" s="13">
        <v>41</v>
      </c>
      <c r="B1422" s="13" t="s">
        <v>59</v>
      </c>
      <c r="C1422" s="13" t="s">
        <v>37</v>
      </c>
      <c r="D1422" s="13">
        <v>642</v>
      </c>
      <c r="E1422" s="13" t="s">
        <v>62</v>
      </c>
      <c r="F1422" s="13">
        <v>1</v>
      </c>
      <c r="G1422" s="13">
        <v>3</v>
      </c>
      <c r="H1422" s="13" t="s">
        <v>42</v>
      </c>
      <c r="I1422" s="13">
        <v>1</v>
      </c>
      <c r="J1422" s="13">
        <v>1999</v>
      </c>
      <c r="K1422" s="13">
        <v>4</v>
      </c>
      <c r="L1422" s="13" t="s">
        <v>63</v>
      </c>
      <c r="M1422" s="13">
        <v>76</v>
      </c>
      <c r="N1422" s="13">
        <v>3</v>
      </c>
      <c r="O1422" s="13">
        <v>1</v>
      </c>
      <c r="P1422" s="13" t="s">
        <v>65</v>
      </c>
      <c r="Q1422" s="13">
        <v>4</v>
      </c>
      <c r="R1422" s="13" t="s">
        <v>66</v>
      </c>
      <c r="S1422" s="20">
        <v>2782</v>
      </c>
      <c r="T1422" s="13">
        <v>21412</v>
      </c>
      <c r="U1422" s="13">
        <v>3</v>
      </c>
      <c r="V1422" s="13" t="s">
        <v>52</v>
      </c>
      <c r="W1422" s="13" t="s">
        <v>59</v>
      </c>
      <c r="X1422" s="13">
        <v>22</v>
      </c>
      <c r="Y1422" s="13">
        <v>4</v>
      </c>
      <c r="Z1422" s="13">
        <v>1</v>
      </c>
      <c r="AA1422" s="13">
        <v>80</v>
      </c>
      <c r="AB1422" s="13">
        <v>1</v>
      </c>
      <c r="AC1422" s="13">
        <v>12</v>
      </c>
      <c r="AD1422" s="13">
        <v>3</v>
      </c>
      <c r="AE1422" s="13">
        <v>3</v>
      </c>
      <c r="AF1422" s="14">
        <v>5</v>
      </c>
      <c r="AG1422" s="13">
        <v>3</v>
      </c>
      <c r="AH1422" s="13">
        <v>1</v>
      </c>
      <c r="AI1422" s="13">
        <v>0</v>
      </c>
      <c r="AJ1422" s="13" t="str">
        <f t="shared" si="22"/>
        <v>40-49</v>
      </c>
      <c r="AK1422" s="13" t="str">
        <f>IF(tblCleanData[[#This Row],[MonthlyIncome]]&lt;5000, "Low Income", IF(tblCleanData[[#This Row],[MonthlyIncome]]&lt;15000, "Medium Income", "High Income"))</f>
        <v>Low Income</v>
      </c>
      <c r="AL1422" s="13">
        <f>IF(tblCleanData[[#This Row],[Attrition]]="No", 0,1)</f>
        <v>0</v>
      </c>
      <c r="AM1422" s="13">
        <f>IF(tblCleanData[[#This Row],[OverTime]] = "No", 0, 1)</f>
        <v>0</v>
      </c>
      <c r="AN1422" s="13" t="str">
        <f>CHOOSE(tblCleanData[[#This Row],[Education]], "Below College","College","Bachelor","Master","Doctor")</f>
        <v>Bachelor</v>
      </c>
      <c r="AO1422" s="13" t="str">
        <f>VLOOKUP(tblCleanData[[#This Row],[EmployeeNumber]],tblHelpers[],15,TRUE)</f>
        <v>Medium Risk</v>
      </c>
      <c r="AP1422" s="13">
        <f>VLOOKUP(tblCleanData[[#This Row],[EmployeeNumber]],tblHelpers[],14,0)</f>
        <v>36</v>
      </c>
    </row>
    <row r="1423" spans="1:42" x14ac:dyDescent="0.25">
      <c r="A1423" s="13">
        <v>47</v>
      </c>
      <c r="B1423" s="13" t="s">
        <v>59</v>
      </c>
      <c r="C1423" s="13" t="s">
        <v>161</v>
      </c>
      <c r="D1423" s="13">
        <v>1162</v>
      </c>
      <c r="E1423" s="13" t="s">
        <v>62</v>
      </c>
      <c r="F1423" s="13">
        <v>1</v>
      </c>
      <c r="G1423" s="13">
        <v>1</v>
      </c>
      <c r="H1423" s="13" t="s">
        <v>87</v>
      </c>
      <c r="I1423" s="13">
        <v>1</v>
      </c>
      <c r="J1423" s="13">
        <v>2000</v>
      </c>
      <c r="K1423" s="13">
        <v>3</v>
      </c>
      <c r="L1423" s="13" t="s">
        <v>43</v>
      </c>
      <c r="M1423" s="13">
        <v>98</v>
      </c>
      <c r="N1423" s="13">
        <v>3</v>
      </c>
      <c r="O1423" s="13">
        <v>3</v>
      </c>
      <c r="P1423" s="13" t="s">
        <v>186</v>
      </c>
      <c r="Q1423" s="13">
        <v>2</v>
      </c>
      <c r="R1423" s="13" t="s">
        <v>66</v>
      </c>
      <c r="S1423" s="20">
        <v>11957</v>
      </c>
      <c r="T1423" s="13">
        <v>17231</v>
      </c>
      <c r="U1423" s="13">
        <v>0</v>
      </c>
      <c r="V1423" s="13" t="s">
        <v>52</v>
      </c>
      <c r="W1423" s="13" t="s">
        <v>59</v>
      </c>
      <c r="X1423" s="13">
        <v>18</v>
      </c>
      <c r="Y1423" s="13">
        <v>3</v>
      </c>
      <c r="Z1423" s="13">
        <v>1</v>
      </c>
      <c r="AA1423" s="13">
        <v>80</v>
      </c>
      <c r="AB1423" s="13">
        <v>2</v>
      </c>
      <c r="AC1423" s="13">
        <v>14</v>
      </c>
      <c r="AD1423" s="13">
        <v>3</v>
      </c>
      <c r="AE1423" s="13">
        <v>1</v>
      </c>
      <c r="AF1423" s="14">
        <v>13</v>
      </c>
      <c r="AG1423" s="13">
        <v>8</v>
      </c>
      <c r="AH1423" s="13">
        <v>5</v>
      </c>
      <c r="AI1423" s="13">
        <v>12</v>
      </c>
      <c r="AJ1423" s="13" t="str">
        <f t="shared" si="22"/>
        <v>40-49</v>
      </c>
      <c r="AK1423" s="13" t="str">
        <f>IF(tblCleanData[[#This Row],[MonthlyIncome]]&lt;5000, "Low Income", IF(tblCleanData[[#This Row],[MonthlyIncome]]&lt;15000, "Medium Income", "High Income"))</f>
        <v>Medium Income</v>
      </c>
      <c r="AL1423" s="13">
        <f>IF(tblCleanData[[#This Row],[Attrition]]="No", 0,1)</f>
        <v>0</v>
      </c>
      <c r="AM1423" s="13">
        <f>IF(tblCleanData[[#This Row],[OverTime]] = "No", 0, 1)</f>
        <v>0</v>
      </c>
      <c r="AN1423" s="13" t="str">
        <f>CHOOSE(tblCleanData[[#This Row],[Education]], "Below College","College","Bachelor","Master","Doctor")</f>
        <v>Below College</v>
      </c>
      <c r="AO1423" s="13" t="str">
        <f>VLOOKUP(tblCleanData[[#This Row],[EmployeeNumber]],tblHelpers[],15,TRUE)</f>
        <v>Medium Risk</v>
      </c>
      <c r="AP1423" s="13">
        <f>VLOOKUP(tblCleanData[[#This Row],[EmployeeNumber]],tblHelpers[],14,0)</f>
        <v>37</v>
      </c>
    </row>
    <row r="1424" spans="1:42" x14ac:dyDescent="0.25">
      <c r="A1424" s="13">
        <v>35</v>
      </c>
      <c r="B1424" s="13" t="s">
        <v>59</v>
      </c>
      <c r="C1424" s="13" t="s">
        <v>37</v>
      </c>
      <c r="D1424" s="13">
        <v>1490</v>
      </c>
      <c r="E1424" s="13" t="s">
        <v>62</v>
      </c>
      <c r="F1424" s="13">
        <v>11</v>
      </c>
      <c r="G1424" s="13">
        <v>4</v>
      </c>
      <c r="H1424" s="13" t="s">
        <v>87</v>
      </c>
      <c r="I1424" s="13">
        <v>1</v>
      </c>
      <c r="J1424" s="13">
        <v>2003</v>
      </c>
      <c r="K1424" s="13">
        <v>4</v>
      </c>
      <c r="L1424" s="13" t="s">
        <v>63</v>
      </c>
      <c r="M1424" s="13">
        <v>43</v>
      </c>
      <c r="N1424" s="13">
        <v>3</v>
      </c>
      <c r="O1424" s="13">
        <v>1</v>
      </c>
      <c r="P1424" s="13" t="s">
        <v>76</v>
      </c>
      <c r="Q1424" s="13">
        <v>3</v>
      </c>
      <c r="R1424" s="13" t="s">
        <v>66</v>
      </c>
      <c r="S1424" s="20">
        <v>2660</v>
      </c>
      <c r="T1424" s="13">
        <v>20232</v>
      </c>
      <c r="U1424" s="13">
        <v>7</v>
      </c>
      <c r="V1424" s="13" t="s">
        <v>52</v>
      </c>
      <c r="W1424" s="13" t="s">
        <v>36</v>
      </c>
      <c r="X1424" s="13">
        <v>11</v>
      </c>
      <c r="Y1424" s="13">
        <v>3</v>
      </c>
      <c r="Z1424" s="13">
        <v>3</v>
      </c>
      <c r="AA1424" s="13">
        <v>80</v>
      </c>
      <c r="AB1424" s="13">
        <v>1</v>
      </c>
      <c r="AC1424" s="13">
        <v>5</v>
      </c>
      <c r="AD1424" s="13">
        <v>3</v>
      </c>
      <c r="AE1424" s="13">
        <v>3</v>
      </c>
      <c r="AF1424" s="14">
        <v>2</v>
      </c>
      <c r="AG1424" s="13">
        <v>2</v>
      </c>
      <c r="AH1424" s="13">
        <v>2</v>
      </c>
      <c r="AI1424" s="13">
        <v>2</v>
      </c>
      <c r="AJ1424" s="13" t="str">
        <f t="shared" si="22"/>
        <v>30-39</v>
      </c>
      <c r="AK1424" s="13" t="str">
        <f>IF(tblCleanData[[#This Row],[MonthlyIncome]]&lt;5000, "Low Income", IF(tblCleanData[[#This Row],[MonthlyIncome]]&lt;15000, "Medium Income", "High Income"))</f>
        <v>Low Income</v>
      </c>
      <c r="AL1424" s="13">
        <f>IF(tblCleanData[[#This Row],[Attrition]]="No", 0,1)</f>
        <v>0</v>
      </c>
      <c r="AM1424" s="13">
        <f>IF(tblCleanData[[#This Row],[OverTime]] = "No", 0, 1)</f>
        <v>1</v>
      </c>
      <c r="AN1424" s="13" t="str">
        <f>CHOOSE(tblCleanData[[#This Row],[Education]], "Below College","College","Bachelor","Master","Doctor")</f>
        <v>Master</v>
      </c>
      <c r="AO1424" s="13" t="str">
        <f>VLOOKUP(tblCleanData[[#This Row],[EmployeeNumber]],tblHelpers[],15,TRUE)</f>
        <v>High Risk</v>
      </c>
      <c r="AP1424" s="13">
        <f>VLOOKUP(tblCleanData[[#This Row],[EmployeeNumber]],tblHelpers[],14,0)</f>
        <v>88</v>
      </c>
    </row>
    <row r="1425" spans="1:42" x14ac:dyDescent="0.25">
      <c r="A1425" s="13">
        <v>22</v>
      </c>
      <c r="B1425" s="13" t="s">
        <v>59</v>
      </c>
      <c r="C1425" s="13" t="s">
        <v>37</v>
      </c>
      <c r="D1425" s="13">
        <v>581</v>
      </c>
      <c r="E1425" s="13" t="s">
        <v>62</v>
      </c>
      <c r="F1425" s="13">
        <v>1</v>
      </c>
      <c r="G1425" s="13">
        <v>2</v>
      </c>
      <c r="H1425" s="13" t="s">
        <v>42</v>
      </c>
      <c r="I1425" s="13">
        <v>1</v>
      </c>
      <c r="J1425" s="13">
        <v>2007</v>
      </c>
      <c r="K1425" s="13">
        <v>4</v>
      </c>
      <c r="L1425" s="13" t="s">
        <v>63</v>
      </c>
      <c r="M1425" s="13">
        <v>63</v>
      </c>
      <c r="N1425" s="13">
        <v>3</v>
      </c>
      <c r="O1425" s="13">
        <v>1</v>
      </c>
      <c r="P1425" s="13" t="s">
        <v>65</v>
      </c>
      <c r="Q1425" s="13">
        <v>3</v>
      </c>
      <c r="R1425" s="13" t="s">
        <v>48</v>
      </c>
      <c r="S1425" s="20">
        <v>3375</v>
      </c>
      <c r="T1425" s="13">
        <v>17624</v>
      </c>
      <c r="U1425" s="13">
        <v>0</v>
      </c>
      <c r="V1425" s="13" t="s">
        <v>52</v>
      </c>
      <c r="W1425" s="13" t="s">
        <v>59</v>
      </c>
      <c r="X1425" s="13">
        <v>12</v>
      </c>
      <c r="Y1425" s="13">
        <v>3</v>
      </c>
      <c r="Z1425" s="13">
        <v>4</v>
      </c>
      <c r="AA1425" s="13">
        <v>80</v>
      </c>
      <c r="AB1425" s="13">
        <v>0</v>
      </c>
      <c r="AC1425" s="13">
        <v>4</v>
      </c>
      <c r="AD1425" s="13">
        <v>2</v>
      </c>
      <c r="AE1425" s="13">
        <v>4</v>
      </c>
      <c r="AF1425" s="14">
        <v>3</v>
      </c>
      <c r="AG1425" s="13">
        <v>2</v>
      </c>
      <c r="AH1425" s="13">
        <v>1</v>
      </c>
      <c r="AI1425" s="13">
        <v>2</v>
      </c>
      <c r="AJ1425" s="13" t="str">
        <f t="shared" si="22"/>
        <v>Under 30</v>
      </c>
      <c r="AK1425" s="13" t="str">
        <f>IF(tblCleanData[[#This Row],[MonthlyIncome]]&lt;5000, "Low Income", IF(tblCleanData[[#This Row],[MonthlyIncome]]&lt;15000, "Medium Income", "High Income"))</f>
        <v>Low Income</v>
      </c>
      <c r="AL1425" s="13">
        <f>IF(tblCleanData[[#This Row],[Attrition]]="No", 0,1)</f>
        <v>0</v>
      </c>
      <c r="AM1425" s="13">
        <f>IF(tblCleanData[[#This Row],[OverTime]] = "No", 0, 1)</f>
        <v>0</v>
      </c>
      <c r="AN1425" s="13" t="str">
        <f>CHOOSE(tblCleanData[[#This Row],[Education]], "Below College","College","Bachelor","Master","Doctor")</f>
        <v>College</v>
      </c>
      <c r="AO1425" s="13" t="str">
        <f>VLOOKUP(tblCleanData[[#This Row],[EmployeeNumber]],tblHelpers[],15,TRUE)</f>
        <v>High Risk</v>
      </c>
      <c r="AP1425" s="13">
        <f>VLOOKUP(tblCleanData[[#This Row],[EmployeeNumber]],tblHelpers[],14,0)</f>
        <v>63</v>
      </c>
    </row>
    <row r="1426" spans="1:42" x14ac:dyDescent="0.25">
      <c r="A1426" s="13">
        <v>35</v>
      </c>
      <c r="B1426" s="13" t="s">
        <v>59</v>
      </c>
      <c r="C1426" s="13" t="s">
        <v>37</v>
      </c>
      <c r="D1426" s="13">
        <v>1395</v>
      </c>
      <c r="E1426" s="13" t="s">
        <v>62</v>
      </c>
      <c r="F1426" s="13">
        <v>9</v>
      </c>
      <c r="G1426" s="13">
        <v>4</v>
      </c>
      <c r="H1426" s="13" t="s">
        <v>87</v>
      </c>
      <c r="I1426" s="13">
        <v>1</v>
      </c>
      <c r="J1426" s="13">
        <v>2008</v>
      </c>
      <c r="K1426" s="13">
        <v>2</v>
      </c>
      <c r="L1426" s="13" t="s">
        <v>63</v>
      </c>
      <c r="M1426" s="13">
        <v>48</v>
      </c>
      <c r="N1426" s="13">
        <v>3</v>
      </c>
      <c r="O1426" s="13">
        <v>2</v>
      </c>
      <c r="P1426" s="13" t="s">
        <v>65</v>
      </c>
      <c r="Q1426" s="13">
        <v>3</v>
      </c>
      <c r="R1426" s="13" t="s">
        <v>48</v>
      </c>
      <c r="S1426" s="20">
        <v>5098</v>
      </c>
      <c r="T1426" s="13">
        <v>18698</v>
      </c>
      <c r="U1426" s="13">
        <v>1</v>
      </c>
      <c r="V1426" s="13" t="s">
        <v>52</v>
      </c>
      <c r="W1426" s="13" t="s">
        <v>59</v>
      </c>
      <c r="X1426" s="13">
        <v>19</v>
      </c>
      <c r="Y1426" s="13">
        <v>3</v>
      </c>
      <c r="Z1426" s="13">
        <v>2</v>
      </c>
      <c r="AA1426" s="13">
        <v>80</v>
      </c>
      <c r="AB1426" s="13">
        <v>0</v>
      </c>
      <c r="AC1426" s="13">
        <v>10</v>
      </c>
      <c r="AD1426" s="13">
        <v>5</v>
      </c>
      <c r="AE1426" s="13">
        <v>3</v>
      </c>
      <c r="AF1426" s="14">
        <v>10</v>
      </c>
      <c r="AG1426" s="13">
        <v>7</v>
      </c>
      <c r="AH1426" s="13">
        <v>0</v>
      </c>
      <c r="AI1426" s="13">
        <v>8</v>
      </c>
      <c r="AJ1426" s="13" t="str">
        <f t="shared" si="22"/>
        <v>30-39</v>
      </c>
      <c r="AK1426" s="13" t="str">
        <f>IF(tblCleanData[[#This Row],[MonthlyIncome]]&lt;5000, "Low Income", IF(tblCleanData[[#This Row],[MonthlyIncome]]&lt;15000, "Medium Income", "High Income"))</f>
        <v>Medium Income</v>
      </c>
      <c r="AL1426" s="13">
        <f>IF(tblCleanData[[#This Row],[Attrition]]="No", 0,1)</f>
        <v>0</v>
      </c>
      <c r="AM1426" s="13">
        <f>IF(tblCleanData[[#This Row],[OverTime]] = "No", 0, 1)</f>
        <v>0</v>
      </c>
      <c r="AN1426" s="13" t="str">
        <f>CHOOSE(tblCleanData[[#This Row],[Education]], "Below College","College","Bachelor","Master","Doctor")</f>
        <v>Master</v>
      </c>
      <c r="AO1426" s="13" t="str">
        <f>VLOOKUP(tblCleanData[[#This Row],[EmployeeNumber]],tblHelpers[],15,TRUE)</f>
        <v>Medium Risk</v>
      </c>
      <c r="AP1426" s="13">
        <f>VLOOKUP(tblCleanData[[#This Row],[EmployeeNumber]],tblHelpers[],14,0)</f>
        <v>46</v>
      </c>
    </row>
    <row r="1427" spans="1:42" x14ac:dyDescent="0.25">
      <c r="A1427" s="13">
        <v>33</v>
      </c>
      <c r="B1427" s="13" t="s">
        <v>59</v>
      </c>
      <c r="C1427" s="13" t="s">
        <v>37</v>
      </c>
      <c r="D1427" s="13">
        <v>501</v>
      </c>
      <c r="E1427" s="13" t="s">
        <v>62</v>
      </c>
      <c r="F1427" s="13">
        <v>15</v>
      </c>
      <c r="G1427" s="13">
        <v>2</v>
      </c>
      <c r="H1427" s="13" t="s">
        <v>87</v>
      </c>
      <c r="I1427" s="13">
        <v>1</v>
      </c>
      <c r="J1427" s="13">
        <v>2009</v>
      </c>
      <c r="K1427" s="13">
        <v>2</v>
      </c>
      <c r="L1427" s="13" t="s">
        <v>43</v>
      </c>
      <c r="M1427" s="13">
        <v>95</v>
      </c>
      <c r="N1427" s="13">
        <v>3</v>
      </c>
      <c r="O1427" s="13">
        <v>2</v>
      </c>
      <c r="P1427" s="13" t="s">
        <v>122</v>
      </c>
      <c r="Q1427" s="13">
        <v>4</v>
      </c>
      <c r="R1427" s="13" t="s">
        <v>66</v>
      </c>
      <c r="S1427" s="20">
        <v>4878</v>
      </c>
      <c r="T1427" s="13">
        <v>21653</v>
      </c>
      <c r="U1427" s="13">
        <v>0</v>
      </c>
      <c r="V1427" s="13" t="s">
        <v>52</v>
      </c>
      <c r="W1427" s="13" t="s">
        <v>36</v>
      </c>
      <c r="X1427" s="13">
        <v>13</v>
      </c>
      <c r="Y1427" s="13">
        <v>3</v>
      </c>
      <c r="Z1427" s="13">
        <v>1</v>
      </c>
      <c r="AA1427" s="13">
        <v>80</v>
      </c>
      <c r="AB1427" s="13">
        <v>1</v>
      </c>
      <c r="AC1427" s="13">
        <v>10</v>
      </c>
      <c r="AD1427" s="13">
        <v>6</v>
      </c>
      <c r="AE1427" s="13">
        <v>3</v>
      </c>
      <c r="AF1427" s="14">
        <v>9</v>
      </c>
      <c r="AG1427" s="13">
        <v>7</v>
      </c>
      <c r="AH1427" s="13">
        <v>8</v>
      </c>
      <c r="AI1427" s="13">
        <v>1</v>
      </c>
      <c r="AJ1427" s="13" t="str">
        <f t="shared" si="22"/>
        <v>30-39</v>
      </c>
      <c r="AK1427" s="13" t="str">
        <f>IF(tblCleanData[[#This Row],[MonthlyIncome]]&lt;5000, "Low Income", IF(tblCleanData[[#This Row],[MonthlyIncome]]&lt;15000, "Medium Income", "High Income"))</f>
        <v>Low Income</v>
      </c>
      <c r="AL1427" s="13">
        <f>IF(tblCleanData[[#This Row],[Attrition]]="No", 0,1)</f>
        <v>0</v>
      </c>
      <c r="AM1427" s="13">
        <f>IF(tblCleanData[[#This Row],[OverTime]] = "No", 0, 1)</f>
        <v>1</v>
      </c>
      <c r="AN1427" s="13" t="str">
        <f>CHOOSE(tblCleanData[[#This Row],[Education]], "Below College","College","Bachelor","Master","Doctor")</f>
        <v>College</v>
      </c>
      <c r="AO1427" s="13" t="str">
        <f>VLOOKUP(tblCleanData[[#This Row],[EmployeeNumber]],tblHelpers[],15,TRUE)</f>
        <v>High Risk</v>
      </c>
      <c r="AP1427" s="13">
        <f>VLOOKUP(tblCleanData[[#This Row],[EmployeeNumber]],tblHelpers[],14,0)</f>
        <v>64</v>
      </c>
    </row>
    <row r="1428" spans="1:42" x14ac:dyDescent="0.25">
      <c r="A1428" s="13">
        <v>32</v>
      </c>
      <c r="B1428" s="13" t="s">
        <v>59</v>
      </c>
      <c r="C1428" s="13" t="s">
        <v>37</v>
      </c>
      <c r="D1428" s="13">
        <v>267</v>
      </c>
      <c r="E1428" s="13" t="s">
        <v>62</v>
      </c>
      <c r="F1428" s="13">
        <v>29</v>
      </c>
      <c r="G1428" s="13">
        <v>4</v>
      </c>
      <c r="H1428" s="13" t="s">
        <v>42</v>
      </c>
      <c r="I1428" s="13">
        <v>1</v>
      </c>
      <c r="J1428" s="13">
        <v>2010</v>
      </c>
      <c r="K1428" s="13">
        <v>3</v>
      </c>
      <c r="L1428" s="13" t="s">
        <v>43</v>
      </c>
      <c r="M1428" s="13">
        <v>49</v>
      </c>
      <c r="N1428" s="13">
        <v>2</v>
      </c>
      <c r="O1428" s="13">
        <v>1</v>
      </c>
      <c r="P1428" s="13" t="s">
        <v>76</v>
      </c>
      <c r="Q1428" s="13">
        <v>2</v>
      </c>
      <c r="R1428" s="13" t="s">
        <v>48</v>
      </c>
      <c r="S1428" s="20">
        <v>2837</v>
      </c>
      <c r="T1428" s="13">
        <v>15919</v>
      </c>
      <c r="U1428" s="13">
        <v>1</v>
      </c>
      <c r="V1428" s="13" t="s">
        <v>52</v>
      </c>
      <c r="W1428" s="13" t="s">
        <v>59</v>
      </c>
      <c r="X1428" s="13">
        <v>13</v>
      </c>
      <c r="Y1428" s="13">
        <v>3</v>
      </c>
      <c r="Z1428" s="13">
        <v>3</v>
      </c>
      <c r="AA1428" s="13">
        <v>80</v>
      </c>
      <c r="AB1428" s="13">
        <v>0</v>
      </c>
      <c r="AC1428" s="13">
        <v>6</v>
      </c>
      <c r="AD1428" s="13">
        <v>3</v>
      </c>
      <c r="AE1428" s="13">
        <v>3</v>
      </c>
      <c r="AF1428" s="14">
        <v>6</v>
      </c>
      <c r="AG1428" s="13">
        <v>2</v>
      </c>
      <c r="AH1428" s="13">
        <v>4</v>
      </c>
      <c r="AI1428" s="13">
        <v>1</v>
      </c>
      <c r="AJ1428" s="13" t="str">
        <f t="shared" si="22"/>
        <v>30-39</v>
      </c>
      <c r="AK1428" s="13" t="str">
        <f>IF(tblCleanData[[#This Row],[MonthlyIncome]]&lt;5000, "Low Income", IF(tblCleanData[[#This Row],[MonthlyIncome]]&lt;15000, "Medium Income", "High Income"))</f>
        <v>Low Income</v>
      </c>
      <c r="AL1428" s="13">
        <f>IF(tblCleanData[[#This Row],[Attrition]]="No", 0,1)</f>
        <v>0</v>
      </c>
      <c r="AM1428" s="13">
        <f>IF(tblCleanData[[#This Row],[OverTime]] = "No", 0, 1)</f>
        <v>0</v>
      </c>
      <c r="AN1428" s="13" t="str">
        <f>CHOOSE(tblCleanData[[#This Row],[Education]], "Below College","College","Bachelor","Master","Doctor")</f>
        <v>Master</v>
      </c>
      <c r="AO1428" s="13" t="str">
        <f>VLOOKUP(tblCleanData[[#This Row],[EmployeeNumber]],tblHelpers[],15,TRUE)</f>
        <v>Medium Risk</v>
      </c>
      <c r="AP1428" s="13">
        <f>VLOOKUP(tblCleanData[[#This Row],[EmployeeNumber]],tblHelpers[],14,0)</f>
        <v>52</v>
      </c>
    </row>
    <row r="1429" spans="1:42" x14ac:dyDescent="0.25">
      <c r="A1429" s="13">
        <v>40</v>
      </c>
      <c r="B1429" s="13" t="s">
        <v>59</v>
      </c>
      <c r="C1429" s="13" t="s">
        <v>37</v>
      </c>
      <c r="D1429" s="13">
        <v>543</v>
      </c>
      <c r="E1429" s="13" t="s">
        <v>62</v>
      </c>
      <c r="F1429" s="13">
        <v>1</v>
      </c>
      <c r="G1429" s="13">
        <v>4</v>
      </c>
      <c r="H1429" s="13" t="s">
        <v>42</v>
      </c>
      <c r="I1429" s="13">
        <v>1</v>
      </c>
      <c r="J1429" s="13">
        <v>2012</v>
      </c>
      <c r="K1429" s="13">
        <v>1</v>
      </c>
      <c r="L1429" s="13" t="s">
        <v>63</v>
      </c>
      <c r="M1429" s="13">
        <v>83</v>
      </c>
      <c r="N1429" s="13">
        <v>3</v>
      </c>
      <c r="O1429" s="13">
        <v>1</v>
      </c>
      <c r="P1429" s="13" t="s">
        <v>76</v>
      </c>
      <c r="Q1429" s="13">
        <v>4</v>
      </c>
      <c r="R1429" s="13" t="s">
        <v>66</v>
      </c>
      <c r="S1429" s="20">
        <v>2406</v>
      </c>
      <c r="T1429" s="13">
        <v>4060</v>
      </c>
      <c r="U1429" s="13">
        <v>8</v>
      </c>
      <c r="V1429" s="13" t="s">
        <v>52</v>
      </c>
      <c r="W1429" s="13" t="s">
        <v>59</v>
      </c>
      <c r="X1429" s="13">
        <v>19</v>
      </c>
      <c r="Y1429" s="13">
        <v>3</v>
      </c>
      <c r="Z1429" s="13">
        <v>3</v>
      </c>
      <c r="AA1429" s="13">
        <v>80</v>
      </c>
      <c r="AB1429" s="13">
        <v>2</v>
      </c>
      <c r="AC1429" s="13">
        <v>8</v>
      </c>
      <c r="AD1429" s="13">
        <v>3</v>
      </c>
      <c r="AE1429" s="13">
        <v>2</v>
      </c>
      <c r="AF1429" s="14">
        <v>1</v>
      </c>
      <c r="AG1429" s="13">
        <v>0</v>
      </c>
      <c r="AH1429" s="13">
        <v>0</v>
      </c>
      <c r="AI1429" s="13">
        <v>0</v>
      </c>
      <c r="AJ1429" s="13" t="str">
        <f t="shared" si="22"/>
        <v>40-49</v>
      </c>
      <c r="AK1429" s="13" t="str">
        <f>IF(tblCleanData[[#This Row],[MonthlyIncome]]&lt;5000, "Low Income", IF(tblCleanData[[#This Row],[MonthlyIncome]]&lt;15000, "Medium Income", "High Income"))</f>
        <v>Low Income</v>
      </c>
      <c r="AL1429" s="13">
        <f>IF(tblCleanData[[#This Row],[Attrition]]="No", 0,1)</f>
        <v>0</v>
      </c>
      <c r="AM1429" s="13">
        <f>IF(tblCleanData[[#This Row],[OverTime]] = "No", 0, 1)</f>
        <v>0</v>
      </c>
      <c r="AN1429" s="13" t="str">
        <f>CHOOSE(tblCleanData[[#This Row],[Education]], "Below College","College","Bachelor","Master","Doctor")</f>
        <v>Master</v>
      </c>
      <c r="AO1429" s="13" t="str">
        <f>VLOOKUP(tblCleanData[[#This Row],[EmployeeNumber]],tblHelpers[],15,TRUE)</f>
        <v>Medium Risk</v>
      </c>
      <c r="AP1429" s="13">
        <f>VLOOKUP(tblCleanData[[#This Row],[EmployeeNumber]],tblHelpers[],14,0)</f>
        <v>46</v>
      </c>
    </row>
    <row r="1430" spans="1:42" x14ac:dyDescent="0.25">
      <c r="A1430" s="13">
        <v>32</v>
      </c>
      <c r="B1430" s="13" t="s">
        <v>59</v>
      </c>
      <c r="C1430" s="13" t="s">
        <v>37</v>
      </c>
      <c r="D1430" s="13">
        <v>234</v>
      </c>
      <c r="E1430" s="13" t="s">
        <v>39</v>
      </c>
      <c r="F1430" s="13">
        <v>1</v>
      </c>
      <c r="G1430" s="13">
        <v>4</v>
      </c>
      <c r="H1430" s="13" t="s">
        <v>87</v>
      </c>
      <c r="I1430" s="13">
        <v>1</v>
      </c>
      <c r="J1430" s="13">
        <v>2013</v>
      </c>
      <c r="K1430" s="13">
        <v>2</v>
      </c>
      <c r="L1430" s="13" t="s">
        <v>63</v>
      </c>
      <c r="M1430" s="13">
        <v>68</v>
      </c>
      <c r="N1430" s="13">
        <v>2</v>
      </c>
      <c r="O1430" s="13">
        <v>1</v>
      </c>
      <c r="P1430" s="13" t="s">
        <v>182</v>
      </c>
      <c r="Q1430" s="13">
        <v>2</v>
      </c>
      <c r="R1430" s="13" t="s">
        <v>66</v>
      </c>
      <c r="S1430" s="20">
        <v>2269</v>
      </c>
      <c r="T1430" s="13">
        <v>18024</v>
      </c>
      <c r="U1430" s="13">
        <v>0</v>
      </c>
      <c r="V1430" s="13" t="s">
        <v>52</v>
      </c>
      <c r="W1430" s="13" t="s">
        <v>59</v>
      </c>
      <c r="X1430" s="13">
        <v>14</v>
      </c>
      <c r="Y1430" s="13">
        <v>3</v>
      </c>
      <c r="Z1430" s="13">
        <v>2</v>
      </c>
      <c r="AA1430" s="13">
        <v>80</v>
      </c>
      <c r="AB1430" s="13">
        <v>1</v>
      </c>
      <c r="AC1430" s="13">
        <v>3</v>
      </c>
      <c r="AD1430" s="13">
        <v>2</v>
      </c>
      <c r="AE1430" s="13">
        <v>3</v>
      </c>
      <c r="AF1430" s="14">
        <v>2</v>
      </c>
      <c r="AG1430" s="13">
        <v>2</v>
      </c>
      <c r="AH1430" s="13">
        <v>2</v>
      </c>
      <c r="AI1430" s="13">
        <v>2</v>
      </c>
      <c r="AJ1430" s="13" t="str">
        <f t="shared" si="22"/>
        <v>30-39</v>
      </c>
      <c r="AK1430" s="13" t="str">
        <f>IF(tblCleanData[[#This Row],[MonthlyIncome]]&lt;5000, "Low Income", IF(tblCleanData[[#This Row],[MonthlyIncome]]&lt;15000, "Medium Income", "High Income"))</f>
        <v>Low Income</v>
      </c>
      <c r="AL1430" s="13">
        <f>IF(tblCleanData[[#This Row],[Attrition]]="No", 0,1)</f>
        <v>0</v>
      </c>
      <c r="AM1430" s="13">
        <f>IF(tblCleanData[[#This Row],[OverTime]] = "No", 0, 1)</f>
        <v>0</v>
      </c>
      <c r="AN1430" s="13" t="str">
        <f>CHOOSE(tblCleanData[[#This Row],[Education]], "Below College","College","Bachelor","Master","Doctor")</f>
        <v>Master</v>
      </c>
      <c r="AO1430" s="13" t="str">
        <f>VLOOKUP(tblCleanData[[#This Row],[EmployeeNumber]],tblHelpers[],15,TRUE)</f>
        <v>High Risk</v>
      </c>
      <c r="AP1430" s="13">
        <f>VLOOKUP(tblCleanData[[#This Row],[EmployeeNumber]],tblHelpers[],14,0)</f>
        <v>69</v>
      </c>
    </row>
    <row r="1431" spans="1:42" x14ac:dyDescent="0.25">
      <c r="A1431" s="13">
        <v>39</v>
      </c>
      <c r="B1431" s="13" t="s">
        <v>59</v>
      </c>
      <c r="C1431" s="13" t="s">
        <v>37</v>
      </c>
      <c r="D1431" s="13">
        <v>116</v>
      </c>
      <c r="E1431" s="13" t="s">
        <v>62</v>
      </c>
      <c r="F1431" s="13">
        <v>24</v>
      </c>
      <c r="G1431" s="13">
        <v>1</v>
      </c>
      <c r="H1431" s="13" t="s">
        <v>42</v>
      </c>
      <c r="I1431" s="13">
        <v>1</v>
      </c>
      <c r="J1431" s="13">
        <v>2014</v>
      </c>
      <c r="K1431" s="13">
        <v>1</v>
      </c>
      <c r="L1431" s="13" t="s">
        <v>63</v>
      </c>
      <c r="M1431" s="13">
        <v>52</v>
      </c>
      <c r="N1431" s="13">
        <v>3</v>
      </c>
      <c r="O1431" s="13">
        <v>2</v>
      </c>
      <c r="P1431" s="13" t="s">
        <v>65</v>
      </c>
      <c r="Q1431" s="13">
        <v>4</v>
      </c>
      <c r="R1431" s="13" t="s">
        <v>48</v>
      </c>
      <c r="S1431" s="20">
        <v>4108</v>
      </c>
      <c r="T1431" s="13">
        <v>5340</v>
      </c>
      <c r="U1431" s="13">
        <v>7</v>
      </c>
      <c r="V1431" s="13" t="s">
        <v>52</v>
      </c>
      <c r="W1431" s="13" t="s">
        <v>59</v>
      </c>
      <c r="X1431" s="13">
        <v>13</v>
      </c>
      <c r="Y1431" s="13">
        <v>3</v>
      </c>
      <c r="Z1431" s="13">
        <v>1</v>
      </c>
      <c r="AA1431" s="13">
        <v>80</v>
      </c>
      <c r="AB1431" s="13">
        <v>0</v>
      </c>
      <c r="AC1431" s="13">
        <v>18</v>
      </c>
      <c r="AD1431" s="13">
        <v>2</v>
      </c>
      <c r="AE1431" s="13">
        <v>3</v>
      </c>
      <c r="AF1431" s="14">
        <v>7</v>
      </c>
      <c r="AG1431" s="13">
        <v>7</v>
      </c>
      <c r="AH1431" s="13">
        <v>1</v>
      </c>
      <c r="AI1431" s="13">
        <v>7</v>
      </c>
      <c r="AJ1431" s="13" t="str">
        <f t="shared" si="22"/>
        <v>30-39</v>
      </c>
      <c r="AK1431" s="13" t="str">
        <f>IF(tblCleanData[[#This Row],[MonthlyIncome]]&lt;5000, "Low Income", IF(tblCleanData[[#This Row],[MonthlyIncome]]&lt;15000, "Medium Income", "High Income"))</f>
        <v>Low Income</v>
      </c>
      <c r="AL1431" s="13">
        <f>IF(tblCleanData[[#This Row],[Attrition]]="No", 0,1)</f>
        <v>0</v>
      </c>
      <c r="AM1431" s="13">
        <f>IF(tblCleanData[[#This Row],[OverTime]] = "No", 0, 1)</f>
        <v>0</v>
      </c>
      <c r="AN1431" s="13" t="str">
        <f>CHOOSE(tblCleanData[[#This Row],[Education]], "Below College","College","Bachelor","Master","Doctor")</f>
        <v>Below College</v>
      </c>
      <c r="AO1431" s="13" t="str">
        <f>VLOOKUP(tblCleanData[[#This Row],[EmployeeNumber]],tblHelpers[],15,TRUE)</f>
        <v>Medium Risk</v>
      </c>
      <c r="AP1431" s="13">
        <f>VLOOKUP(tblCleanData[[#This Row],[EmployeeNumber]],tblHelpers[],14,0)</f>
        <v>39</v>
      </c>
    </row>
    <row r="1432" spans="1:42" x14ac:dyDescent="0.25">
      <c r="A1432" s="13">
        <v>38</v>
      </c>
      <c r="B1432" s="13" t="s">
        <v>59</v>
      </c>
      <c r="C1432" s="13" t="s">
        <v>37</v>
      </c>
      <c r="D1432" s="13">
        <v>201</v>
      </c>
      <c r="E1432" s="13" t="s">
        <v>62</v>
      </c>
      <c r="F1432" s="13">
        <v>10</v>
      </c>
      <c r="G1432" s="13">
        <v>3</v>
      </c>
      <c r="H1432" s="13" t="s">
        <v>87</v>
      </c>
      <c r="I1432" s="13">
        <v>1</v>
      </c>
      <c r="J1432" s="13">
        <v>2015</v>
      </c>
      <c r="K1432" s="13">
        <v>2</v>
      </c>
      <c r="L1432" s="13" t="s">
        <v>43</v>
      </c>
      <c r="M1432" s="13">
        <v>99</v>
      </c>
      <c r="N1432" s="13">
        <v>1</v>
      </c>
      <c r="O1432" s="13">
        <v>3</v>
      </c>
      <c r="P1432" s="13" t="s">
        <v>186</v>
      </c>
      <c r="Q1432" s="13">
        <v>3</v>
      </c>
      <c r="R1432" s="13" t="s">
        <v>66</v>
      </c>
      <c r="S1432" s="20">
        <v>13206</v>
      </c>
      <c r="T1432" s="13">
        <v>3376</v>
      </c>
      <c r="U1432" s="13">
        <v>3</v>
      </c>
      <c r="V1432" s="13" t="s">
        <v>52</v>
      </c>
      <c r="W1432" s="13" t="s">
        <v>59</v>
      </c>
      <c r="X1432" s="13">
        <v>12</v>
      </c>
      <c r="Y1432" s="13">
        <v>3</v>
      </c>
      <c r="Z1432" s="13">
        <v>1</v>
      </c>
      <c r="AA1432" s="13">
        <v>80</v>
      </c>
      <c r="AB1432" s="13">
        <v>1</v>
      </c>
      <c r="AC1432" s="13">
        <v>20</v>
      </c>
      <c r="AD1432" s="13">
        <v>3</v>
      </c>
      <c r="AE1432" s="13">
        <v>3</v>
      </c>
      <c r="AF1432" s="14">
        <v>18</v>
      </c>
      <c r="AG1432" s="13">
        <v>16</v>
      </c>
      <c r="AH1432" s="13">
        <v>1</v>
      </c>
      <c r="AI1432" s="13">
        <v>11</v>
      </c>
      <c r="AJ1432" s="13" t="str">
        <f t="shared" si="22"/>
        <v>30-39</v>
      </c>
      <c r="AK1432" s="13" t="str">
        <f>IF(tblCleanData[[#This Row],[MonthlyIncome]]&lt;5000, "Low Income", IF(tblCleanData[[#This Row],[MonthlyIncome]]&lt;15000, "Medium Income", "High Income"))</f>
        <v>Medium Income</v>
      </c>
      <c r="AL1432" s="13">
        <f>IF(tblCleanData[[#This Row],[Attrition]]="No", 0,1)</f>
        <v>0</v>
      </c>
      <c r="AM1432" s="13">
        <f>IF(tblCleanData[[#This Row],[OverTime]] = "No", 0, 1)</f>
        <v>0</v>
      </c>
      <c r="AN1432" s="13" t="str">
        <f>CHOOSE(tblCleanData[[#This Row],[Education]], "Below College","College","Bachelor","Master","Doctor")</f>
        <v>Bachelor</v>
      </c>
      <c r="AO1432" s="13" t="str">
        <f>VLOOKUP(tblCleanData[[#This Row],[EmployeeNumber]],tblHelpers[],15,TRUE)</f>
        <v>Medium Risk</v>
      </c>
      <c r="AP1432" s="13">
        <f>VLOOKUP(tblCleanData[[#This Row],[EmployeeNumber]],tblHelpers[],14,0)</f>
        <v>41</v>
      </c>
    </row>
    <row r="1433" spans="1:42" x14ac:dyDescent="0.25">
      <c r="A1433" s="13">
        <v>32</v>
      </c>
      <c r="B1433" s="13" t="s">
        <v>59</v>
      </c>
      <c r="C1433" s="13" t="s">
        <v>37</v>
      </c>
      <c r="D1433" s="13">
        <v>801</v>
      </c>
      <c r="E1433" s="13" t="s">
        <v>39</v>
      </c>
      <c r="F1433" s="13">
        <v>1</v>
      </c>
      <c r="G1433" s="13">
        <v>4</v>
      </c>
      <c r="H1433" s="13" t="s">
        <v>206</v>
      </c>
      <c r="I1433" s="13">
        <v>1</v>
      </c>
      <c r="J1433" s="13">
        <v>2016</v>
      </c>
      <c r="K1433" s="13">
        <v>3</v>
      </c>
      <c r="L1433" s="13" t="s">
        <v>43</v>
      </c>
      <c r="M1433" s="13">
        <v>48</v>
      </c>
      <c r="N1433" s="13">
        <v>3</v>
      </c>
      <c r="O1433" s="13">
        <v>3</v>
      </c>
      <c r="P1433" s="13" t="s">
        <v>46</v>
      </c>
      <c r="Q1433" s="13">
        <v>4</v>
      </c>
      <c r="R1433" s="13" t="s">
        <v>66</v>
      </c>
      <c r="S1433" s="20">
        <v>10422</v>
      </c>
      <c r="T1433" s="13">
        <v>24032</v>
      </c>
      <c r="U1433" s="13">
        <v>1</v>
      </c>
      <c r="V1433" s="13" t="s">
        <v>52</v>
      </c>
      <c r="W1433" s="13" t="s">
        <v>59</v>
      </c>
      <c r="X1433" s="13">
        <v>19</v>
      </c>
      <c r="Y1433" s="13">
        <v>3</v>
      </c>
      <c r="Z1433" s="13">
        <v>3</v>
      </c>
      <c r="AA1433" s="13">
        <v>80</v>
      </c>
      <c r="AB1433" s="13">
        <v>2</v>
      </c>
      <c r="AC1433" s="13">
        <v>14</v>
      </c>
      <c r="AD1433" s="13">
        <v>3</v>
      </c>
      <c r="AE1433" s="13">
        <v>3</v>
      </c>
      <c r="AF1433" s="14">
        <v>14</v>
      </c>
      <c r="AG1433" s="13">
        <v>10</v>
      </c>
      <c r="AH1433" s="13">
        <v>5</v>
      </c>
      <c r="AI1433" s="13">
        <v>7</v>
      </c>
      <c r="AJ1433" s="13" t="str">
        <f t="shared" si="22"/>
        <v>30-39</v>
      </c>
      <c r="AK1433" s="13" t="str">
        <f>IF(tblCleanData[[#This Row],[MonthlyIncome]]&lt;5000, "Low Income", IF(tblCleanData[[#This Row],[MonthlyIncome]]&lt;15000, "Medium Income", "High Income"))</f>
        <v>Medium Income</v>
      </c>
      <c r="AL1433" s="13">
        <f>IF(tblCleanData[[#This Row],[Attrition]]="No", 0,1)</f>
        <v>0</v>
      </c>
      <c r="AM1433" s="13">
        <f>IF(tblCleanData[[#This Row],[OverTime]] = "No", 0, 1)</f>
        <v>0</v>
      </c>
      <c r="AN1433" s="13" t="str">
        <f>CHOOSE(tblCleanData[[#This Row],[Education]], "Below College","College","Bachelor","Master","Doctor")</f>
        <v>Master</v>
      </c>
      <c r="AO1433" s="13" t="str">
        <f>VLOOKUP(tblCleanData[[#This Row],[EmployeeNumber]],tblHelpers[],15,TRUE)</f>
        <v>Low Risk</v>
      </c>
      <c r="AP1433" s="13">
        <f>VLOOKUP(tblCleanData[[#This Row],[EmployeeNumber]],tblHelpers[],14,0)</f>
        <v>34</v>
      </c>
    </row>
    <row r="1434" spans="1:42" x14ac:dyDescent="0.25">
      <c r="A1434" s="13">
        <v>37</v>
      </c>
      <c r="B1434" s="13" t="s">
        <v>59</v>
      </c>
      <c r="C1434" s="13" t="s">
        <v>37</v>
      </c>
      <c r="D1434" s="13">
        <v>161</v>
      </c>
      <c r="E1434" s="13" t="s">
        <v>62</v>
      </c>
      <c r="F1434" s="13">
        <v>10</v>
      </c>
      <c r="G1434" s="13">
        <v>3</v>
      </c>
      <c r="H1434" s="13" t="s">
        <v>42</v>
      </c>
      <c r="I1434" s="13">
        <v>1</v>
      </c>
      <c r="J1434" s="13">
        <v>2017</v>
      </c>
      <c r="K1434" s="13">
        <v>3</v>
      </c>
      <c r="L1434" s="13" t="s">
        <v>43</v>
      </c>
      <c r="M1434" s="13">
        <v>42</v>
      </c>
      <c r="N1434" s="13">
        <v>4</v>
      </c>
      <c r="O1434" s="13">
        <v>3</v>
      </c>
      <c r="P1434" s="13" t="s">
        <v>186</v>
      </c>
      <c r="Q1434" s="13">
        <v>4</v>
      </c>
      <c r="R1434" s="13" t="s">
        <v>66</v>
      </c>
      <c r="S1434" s="20">
        <v>13744</v>
      </c>
      <c r="T1434" s="13">
        <v>15471</v>
      </c>
      <c r="U1434" s="13">
        <v>1</v>
      </c>
      <c r="V1434" s="13" t="s">
        <v>52</v>
      </c>
      <c r="W1434" s="13" t="s">
        <v>36</v>
      </c>
      <c r="X1434" s="13">
        <v>25</v>
      </c>
      <c r="Y1434" s="13">
        <v>4</v>
      </c>
      <c r="Z1434" s="13">
        <v>1</v>
      </c>
      <c r="AA1434" s="13">
        <v>80</v>
      </c>
      <c r="AB1434" s="13">
        <v>1</v>
      </c>
      <c r="AC1434" s="13">
        <v>16</v>
      </c>
      <c r="AD1434" s="13">
        <v>2</v>
      </c>
      <c r="AE1434" s="13">
        <v>3</v>
      </c>
      <c r="AF1434" s="14">
        <v>16</v>
      </c>
      <c r="AG1434" s="13">
        <v>11</v>
      </c>
      <c r="AH1434" s="13">
        <v>6</v>
      </c>
      <c r="AI1434" s="13">
        <v>8</v>
      </c>
      <c r="AJ1434" s="13" t="str">
        <f t="shared" si="22"/>
        <v>30-39</v>
      </c>
      <c r="AK1434" s="13" t="str">
        <f>IF(tblCleanData[[#This Row],[MonthlyIncome]]&lt;5000, "Low Income", IF(tblCleanData[[#This Row],[MonthlyIncome]]&lt;15000, "Medium Income", "High Income"))</f>
        <v>Medium Income</v>
      </c>
      <c r="AL1434" s="13">
        <f>IF(tblCleanData[[#This Row],[Attrition]]="No", 0,1)</f>
        <v>0</v>
      </c>
      <c r="AM1434" s="13">
        <f>IF(tblCleanData[[#This Row],[OverTime]] = "No", 0, 1)</f>
        <v>1</v>
      </c>
      <c r="AN1434" s="13" t="str">
        <f>CHOOSE(tblCleanData[[#This Row],[Education]], "Below College","College","Bachelor","Master","Doctor")</f>
        <v>Bachelor</v>
      </c>
      <c r="AO1434" s="13" t="str">
        <f>VLOOKUP(tblCleanData[[#This Row],[EmployeeNumber]],tblHelpers[],15,TRUE)</f>
        <v>High Risk</v>
      </c>
      <c r="AP1434" s="13">
        <f>VLOOKUP(tblCleanData[[#This Row],[EmployeeNumber]],tblHelpers[],14,0)</f>
        <v>59</v>
      </c>
    </row>
    <row r="1435" spans="1:42" x14ac:dyDescent="0.25">
      <c r="A1435" s="13">
        <v>25</v>
      </c>
      <c r="B1435" s="13" t="s">
        <v>59</v>
      </c>
      <c r="C1435" s="13" t="s">
        <v>37</v>
      </c>
      <c r="D1435" s="13">
        <v>1382</v>
      </c>
      <c r="E1435" s="13" t="s">
        <v>39</v>
      </c>
      <c r="F1435" s="13">
        <v>8</v>
      </c>
      <c r="G1435" s="13">
        <v>2</v>
      </c>
      <c r="H1435" s="13" t="s">
        <v>74</v>
      </c>
      <c r="I1435" s="13">
        <v>1</v>
      </c>
      <c r="J1435" s="13">
        <v>2018</v>
      </c>
      <c r="K1435" s="13">
        <v>1</v>
      </c>
      <c r="L1435" s="13" t="s">
        <v>43</v>
      </c>
      <c r="M1435" s="13">
        <v>85</v>
      </c>
      <c r="N1435" s="13">
        <v>3</v>
      </c>
      <c r="O1435" s="13">
        <v>2</v>
      </c>
      <c r="P1435" s="13" t="s">
        <v>46</v>
      </c>
      <c r="Q1435" s="13">
        <v>3</v>
      </c>
      <c r="R1435" s="13" t="s">
        <v>109</v>
      </c>
      <c r="S1435" s="20">
        <v>4907</v>
      </c>
      <c r="T1435" s="13">
        <v>13684</v>
      </c>
      <c r="U1435" s="13">
        <v>0</v>
      </c>
      <c r="V1435" s="13" t="s">
        <v>52</v>
      </c>
      <c r="W1435" s="13" t="s">
        <v>36</v>
      </c>
      <c r="X1435" s="13">
        <v>22</v>
      </c>
      <c r="Y1435" s="13">
        <v>4</v>
      </c>
      <c r="Z1435" s="13">
        <v>2</v>
      </c>
      <c r="AA1435" s="13">
        <v>80</v>
      </c>
      <c r="AB1435" s="13">
        <v>1</v>
      </c>
      <c r="AC1435" s="13">
        <v>6</v>
      </c>
      <c r="AD1435" s="13">
        <v>3</v>
      </c>
      <c r="AE1435" s="13">
        <v>2</v>
      </c>
      <c r="AF1435" s="14">
        <v>5</v>
      </c>
      <c r="AG1435" s="13">
        <v>3</v>
      </c>
      <c r="AH1435" s="13">
        <v>0</v>
      </c>
      <c r="AI1435" s="13">
        <v>4</v>
      </c>
      <c r="AJ1435" s="13" t="str">
        <f t="shared" si="22"/>
        <v>Under 30</v>
      </c>
      <c r="AK1435" s="13" t="str">
        <f>IF(tblCleanData[[#This Row],[MonthlyIncome]]&lt;5000, "Low Income", IF(tblCleanData[[#This Row],[MonthlyIncome]]&lt;15000, "Medium Income", "High Income"))</f>
        <v>Low Income</v>
      </c>
      <c r="AL1435" s="13">
        <f>IF(tblCleanData[[#This Row],[Attrition]]="No", 0,1)</f>
        <v>0</v>
      </c>
      <c r="AM1435" s="13">
        <f>IF(tblCleanData[[#This Row],[OverTime]] = "No", 0, 1)</f>
        <v>1</v>
      </c>
      <c r="AN1435" s="13" t="str">
        <f>CHOOSE(tblCleanData[[#This Row],[Education]], "Below College","College","Bachelor","Master","Doctor")</f>
        <v>College</v>
      </c>
      <c r="AO1435" s="13" t="str">
        <f>VLOOKUP(tblCleanData[[#This Row],[EmployeeNumber]],tblHelpers[],15,TRUE)</f>
        <v>High Risk</v>
      </c>
      <c r="AP1435" s="13">
        <f>VLOOKUP(tblCleanData[[#This Row],[EmployeeNumber]],tblHelpers[],14,0)</f>
        <v>88</v>
      </c>
    </row>
    <row r="1436" spans="1:42" x14ac:dyDescent="0.25">
      <c r="A1436" s="13">
        <v>52</v>
      </c>
      <c r="B1436" s="13" t="s">
        <v>59</v>
      </c>
      <c r="C1436" s="13" t="s">
        <v>161</v>
      </c>
      <c r="D1436" s="13">
        <v>585</v>
      </c>
      <c r="E1436" s="13" t="s">
        <v>39</v>
      </c>
      <c r="F1436" s="13">
        <v>29</v>
      </c>
      <c r="G1436" s="13">
        <v>4</v>
      </c>
      <c r="H1436" s="13" t="s">
        <v>42</v>
      </c>
      <c r="I1436" s="13">
        <v>1</v>
      </c>
      <c r="J1436" s="13">
        <v>2019</v>
      </c>
      <c r="K1436" s="13">
        <v>1</v>
      </c>
      <c r="L1436" s="13" t="s">
        <v>63</v>
      </c>
      <c r="M1436" s="13">
        <v>40</v>
      </c>
      <c r="N1436" s="13">
        <v>3</v>
      </c>
      <c r="O1436" s="13">
        <v>1</v>
      </c>
      <c r="P1436" s="13" t="s">
        <v>182</v>
      </c>
      <c r="Q1436" s="13">
        <v>4</v>
      </c>
      <c r="R1436" s="13" t="s">
        <v>109</v>
      </c>
      <c r="S1436" s="20">
        <v>3482</v>
      </c>
      <c r="T1436" s="13">
        <v>19788</v>
      </c>
      <c r="U1436" s="13">
        <v>2</v>
      </c>
      <c r="V1436" s="13" t="s">
        <v>52</v>
      </c>
      <c r="W1436" s="13" t="s">
        <v>59</v>
      </c>
      <c r="X1436" s="13">
        <v>15</v>
      </c>
      <c r="Y1436" s="13">
        <v>3</v>
      </c>
      <c r="Z1436" s="13">
        <v>2</v>
      </c>
      <c r="AA1436" s="13">
        <v>80</v>
      </c>
      <c r="AB1436" s="13">
        <v>2</v>
      </c>
      <c r="AC1436" s="13">
        <v>16</v>
      </c>
      <c r="AD1436" s="13">
        <v>3</v>
      </c>
      <c r="AE1436" s="13">
        <v>2</v>
      </c>
      <c r="AF1436" s="14">
        <v>9</v>
      </c>
      <c r="AG1436" s="13">
        <v>8</v>
      </c>
      <c r="AH1436" s="13">
        <v>0</v>
      </c>
      <c r="AI1436" s="13">
        <v>0</v>
      </c>
      <c r="AJ1436" s="13" t="str">
        <f t="shared" si="22"/>
        <v>50+</v>
      </c>
      <c r="AK1436" s="13" t="str">
        <f>IF(tblCleanData[[#This Row],[MonthlyIncome]]&lt;5000, "Low Income", IF(tblCleanData[[#This Row],[MonthlyIncome]]&lt;15000, "Medium Income", "High Income"))</f>
        <v>Low Income</v>
      </c>
      <c r="AL1436" s="13">
        <f>IF(tblCleanData[[#This Row],[Attrition]]="No", 0,1)</f>
        <v>0</v>
      </c>
      <c r="AM1436" s="13">
        <f>IF(tblCleanData[[#This Row],[OverTime]] = "No", 0, 1)</f>
        <v>0</v>
      </c>
      <c r="AN1436" s="13" t="str">
        <f>CHOOSE(tblCleanData[[#This Row],[Education]], "Below College","College","Bachelor","Master","Doctor")</f>
        <v>Master</v>
      </c>
      <c r="AO1436" s="13" t="str">
        <f>VLOOKUP(tblCleanData[[#This Row],[EmployeeNumber]],tblHelpers[],15,TRUE)</f>
        <v>Low Risk</v>
      </c>
      <c r="AP1436" s="13">
        <f>VLOOKUP(tblCleanData[[#This Row],[EmployeeNumber]],tblHelpers[],14,0)</f>
        <v>34</v>
      </c>
    </row>
    <row r="1437" spans="1:42" x14ac:dyDescent="0.25">
      <c r="A1437" s="13">
        <v>44</v>
      </c>
      <c r="B1437" s="13" t="s">
        <v>59</v>
      </c>
      <c r="C1437" s="13" t="s">
        <v>37</v>
      </c>
      <c r="D1437" s="13">
        <v>1037</v>
      </c>
      <c r="E1437" s="13" t="s">
        <v>62</v>
      </c>
      <c r="F1437" s="13">
        <v>1</v>
      </c>
      <c r="G1437" s="13">
        <v>3</v>
      </c>
      <c r="H1437" s="13" t="s">
        <v>87</v>
      </c>
      <c r="I1437" s="13">
        <v>1</v>
      </c>
      <c r="J1437" s="13">
        <v>2020</v>
      </c>
      <c r="K1437" s="13">
        <v>2</v>
      </c>
      <c r="L1437" s="13" t="s">
        <v>63</v>
      </c>
      <c r="M1437" s="13">
        <v>42</v>
      </c>
      <c r="N1437" s="13">
        <v>3</v>
      </c>
      <c r="O1437" s="13">
        <v>1</v>
      </c>
      <c r="P1437" s="13" t="s">
        <v>65</v>
      </c>
      <c r="Q1437" s="13">
        <v>4</v>
      </c>
      <c r="R1437" s="13" t="s">
        <v>48</v>
      </c>
      <c r="S1437" s="20">
        <v>2436</v>
      </c>
      <c r="T1437" s="13">
        <v>13422</v>
      </c>
      <c r="U1437" s="13">
        <v>6</v>
      </c>
      <c r="V1437" s="13" t="s">
        <v>52</v>
      </c>
      <c r="W1437" s="13" t="s">
        <v>36</v>
      </c>
      <c r="X1437" s="13">
        <v>12</v>
      </c>
      <c r="Y1437" s="13">
        <v>3</v>
      </c>
      <c r="Z1437" s="13">
        <v>3</v>
      </c>
      <c r="AA1437" s="13">
        <v>80</v>
      </c>
      <c r="AB1437" s="13">
        <v>0</v>
      </c>
      <c r="AC1437" s="13">
        <v>6</v>
      </c>
      <c r="AD1437" s="13">
        <v>2</v>
      </c>
      <c r="AE1437" s="13">
        <v>3</v>
      </c>
      <c r="AF1437" s="14">
        <v>4</v>
      </c>
      <c r="AG1437" s="13">
        <v>3</v>
      </c>
      <c r="AH1437" s="13">
        <v>1</v>
      </c>
      <c r="AI1437" s="13">
        <v>2</v>
      </c>
      <c r="AJ1437" s="13" t="str">
        <f t="shared" si="22"/>
        <v>40-49</v>
      </c>
      <c r="AK1437" s="13" t="str">
        <f>IF(tblCleanData[[#This Row],[MonthlyIncome]]&lt;5000, "Low Income", IF(tblCleanData[[#This Row],[MonthlyIncome]]&lt;15000, "Medium Income", "High Income"))</f>
        <v>Low Income</v>
      </c>
      <c r="AL1437" s="13">
        <f>IF(tblCleanData[[#This Row],[Attrition]]="No", 0,1)</f>
        <v>0</v>
      </c>
      <c r="AM1437" s="13">
        <f>IF(tblCleanData[[#This Row],[OverTime]] = "No", 0, 1)</f>
        <v>1</v>
      </c>
      <c r="AN1437" s="13" t="str">
        <f>CHOOSE(tblCleanData[[#This Row],[Education]], "Below College","College","Bachelor","Master","Doctor")</f>
        <v>Bachelor</v>
      </c>
      <c r="AO1437" s="13" t="str">
        <f>VLOOKUP(tblCleanData[[#This Row],[EmployeeNumber]],tblHelpers[],15,TRUE)</f>
        <v>High Risk</v>
      </c>
      <c r="AP1437" s="13">
        <f>VLOOKUP(tblCleanData[[#This Row],[EmployeeNumber]],tblHelpers[],14,0)</f>
        <v>61</v>
      </c>
    </row>
    <row r="1438" spans="1:42" x14ac:dyDescent="0.25">
      <c r="A1438" s="13">
        <v>21</v>
      </c>
      <c r="B1438" s="13" t="s">
        <v>59</v>
      </c>
      <c r="C1438" s="13" t="s">
        <v>37</v>
      </c>
      <c r="D1438" s="13">
        <v>501</v>
      </c>
      <c r="E1438" s="13" t="s">
        <v>39</v>
      </c>
      <c r="F1438" s="13">
        <v>5</v>
      </c>
      <c r="G1438" s="13">
        <v>1</v>
      </c>
      <c r="H1438" s="13" t="s">
        <v>87</v>
      </c>
      <c r="I1438" s="13">
        <v>1</v>
      </c>
      <c r="J1438" s="13">
        <v>2021</v>
      </c>
      <c r="K1438" s="13">
        <v>3</v>
      </c>
      <c r="L1438" s="13" t="s">
        <v>63</v>
      </c>
      <c r="M1438" s="13">
        <v>58</v>
      </c>
      <c r="N1438" s="13">
        <v>3</v>
      </c>
      <c r="O1438" s="13">
        <v>1</v>
      </c>
      <c r="P1438" s="13" t="s">
        <v>182</v>
      </c>
      <c r="Q1438" s="13">
        <v>1</v>
      </c>
      <c r="R1438" s="13" t="s">
        <v>48</v>
      </c>
      <c r="S1438" s="20">
        <v>2380</v>
      </c>
      <c r="T1438" s="13">
        <v>25479</v>
      </c>
      <c r="U1438" s="13">
        <v>1</v>
      </c>
      <c r="V1438" s="13" t="s">
        <v>52</v>
      </c>
      <c r="W1438" s="13" t="s">
        <v>36</v>
      </c>
      <c r="X1438" s="13">
        <v>11</v>
      </c>
      <c r="Y1438" s="13">
        <v>3</v>
      </c>
      <c r="Z1438" s="13">
        <v>4</v>
      </c>
      <c r="AA1438" s="13">
        <v>80</v>
      </c>
      <c r="AB1438" s="13">
        <v>0</v>
      </c>
      <c r="AC1438" s="13">
        <v>2</v>
      </c>
      <c r="AD1438" s="13">
        <v>6</v>
      </c>
      <c r="AE1438" s="13">
        <v>3</v>
      </c>
      <c r="AF1438" s="14">
        <v>2</v>
      </c>
      <c r="AG1438" s="13">
        <v>2</v>
      </c>
      <c r="AH1438" s="13">
        <v>1</v>
      </c>
      <c r="AI1438" s="13">
        <v>2</v>
      </c>
      <c r="AJ1438" s="13" t="str">
        <f t="shared" si="22"/>
        <v>Under 30</v>
      </c>
      <c r="AK1438" s="13" t="str">
        <f>IF(tblCleanData[[#This Row],[MonthlyIncome]]&lt;5000, "Low Income", IF(tblCleanData[[#This Row],[MonthlyIncome]]&lt;15000, "Medium Income", "High Income"))</f>
        <v>Low Income</v>
      </c>
      <c r="AL1438" s="13">
        <f>IF(tblCleanData[[#This Row],[Attrition]]="No", 0,1)</f>
        <v>0</v>
      </c>
      <c r="AM1438" s="13">
        <f>IF(tblCleanData[[#This Row],[OverTime]] = "No", 0, 1)</f>
        <v>1</v>
      </c>
      <c r="AN1438" s="13" t="str">
        <f>CHOOSE(tblCleanData[[#This Row],[Education]], "Below College","College","Bachelor","Master","Doctor")</f>
        <v>Below College</v>
      </c>
      <c r="AO1438" s="13" t="str">
        <f>VLOOKUP(tblCleanData[[#This Row],[EmployeeNumber]],tblHelpers[],15,TRUE)</f>
        <v>High Risk</v>
      </c>
      <c r="AP1438" s="13">
        <f>VLOOKUP(tblCleanData[[#This Row],[EmployeeNumber]],tblHelpers[],14,0)</f>
        <v>110</v>
      </c>
    </row>
    <row r="1439" spans="1:42" x14ac:dyDescent="0.25">
      <c r="A1439" s="13">
        <v>39</v>
      </c>
      <c r="B1439" s="13" t="s">
        <v>59</v>
      </c>
      <c r="C1439" s="13" t="s">
        <v>161</v>
      </c>
      <c r="D1439" s="13">
        <v>105</v>
      </c>
      <c r="E1439" s="13" t="s">
        <v>62</v>
      </c>
      <c r="F1439" s="13">
        <v>9</v>
      </c>
      <c r="G1439" s="13">
        <v>3</v>
      </c>
      <c r="H1439" s="13" t="s">
        <v>42</v>
      </c>
      <c r="I1439" s="13">
        <v>1</v>
      </c>
      <c r="J1439" s="13">
        <v>2022</v>
      </c>
      <c r="K1439" s="13">
        <v>4</v>
      </c>
      <c r="L1439" s="13" t="s">
        <v>63</v>
      </c>
      <c r="M1439" s="13">
        <v>87</v>
      </c>
      <c r="N1439" s="13">
        <v>3</v>
      </c>
      <c r="O1439" s="13">
        <v>5</v>
      </c>
      <c r="P1439" s="13" t="s">
        <v>169</v>
      </c>
      <c r="Q1439" s="13">
        <v>4</v>
      </c>
      <c r="R1439" s="13" t="s">
        <v>48</v>
      </c>
      <c r="S1439" s="20">
        <v>19431</v>
      </c>
      <c r="T1439" s="13">
        <v>15302</v>
      </c>
      <c r="U1439" s="13">
        <v>2</v>
      </c>
      <c r="V1439" s="13" t="s">
        <v>52</v>
      </c>
      <c r="W1439" s="13" t="s">
        <v>59</v>
      </c>
      <c r="X1439" s="13">
        <v>13</v>
      </c>
      <c r="Y1439" s="13">
        <v>3</v>
      </c>
      <c r="Z1439" s="13">
        <v>3</v>
      </c>
      <c r="AA1439" s="13">
        <v>80</v>
      </c>
      <c r="AB1439" s="13">
        <v>0</v>
      </c>
      <c r="AC1439" s="13">
        <v>21</v>
      </c>
      <c r="AD1439" s="13">
        <v>3</v>
      </c>
      <c r="AE1439" s="13">
        <v>2</v>
      </c>
      <c r="AF1439" s="14">
        <v>6</v>
      </c>
      <c r="AG1439" s="13">
        <v>0</v>
      </c>
      <c r="AH1439" s="13">
        <v>1</v>
      </c>
      <c r="AI1439" s="13">
        <v>3</v>
      </c>
      <c r="AJ1439" s="13" t="str">
        <f t="shared" si="22"/>
        <v>30-39</v>
      </c>
      <c r="AK1439" s="13" t="str">
        <f>IF(tblCleanData[[#This Row],[MonthlyIncome]]&lt;5000, "Low Income", IF(tblCleanData[[#This Row],[MonthlyIncome]]&lt;15000, "Medium Income", "High Income"))</f>
        <v>High Income</v>
      </c>
      <c r="AL1439" s="13">
        <f>IF(tblCleanData[[#This Row],[Attrition]]="No", 0,1)</f>
        <v>0</v>
      </c>
      <c r="AM1439" s="13">
        <f>IF(tblCleanData[[#This Row],[OverTime]] = "No", 0, 1)</f>
        <v>0</v>
      </c>
      <c r="AN1439" s="13" t="str">
        <f>CHOOSE(tblCleanData[[#This Row],[Education]], "Below College","College","Bachelor","Master","Doctor")</f>
        <v>Bachelor</v>
      </c>
      <c r="AO1439" s="13" t="str">
        <f>VLOOKUP(tblCleanData[[#This Row],[EmployeeNumber]],tblHelpers[],15,TRUE)</f>
        <v>Medium Risk</v>
      </c>
      <c r="AP1439" s="13">
        <f>VLOOKUP(tblCleanData[[#This Row],[EmployeeNumber]],tblHelpers[],14,0)</f>
        <v>39</v>
      </c>
    </row>
    <row r="1440" spans="1:42" x14ac:dyDescent="0.25">
      <c r="A1440" s="13">
        <v>23</v>
      </c>
      <c r="B1440" s="13" t="s">
        <v>36</v>
      </c>
      <c r="C1440" s="13" t="s">
        <v>60</v>
      </c>
      <c r="D1440" s="13">
        <v>638</v>
      </c>
      <c r="E1440" s="13" t="s">
        <v>39</v>
      </c>
      <c r="F1440" s="13">
        <v>9</v>
      </c>
      <c r="G1440" s="13">
        <v>3</v>
      </c>
      <c r="H1440" s="13" t="s">
        <v>206</v>
      </c>
      <c r="I1440" s="13">
        <v>1</v>
      </c>
      <c r="J1440" s="13">
        <v>2023</v>
      </c>
      <c r="K1440" s="13">
        <v>4</v>
      </c>
      <c r="L1440" s="13" t="s">
        <v>63</v>
      </c>
      <c r="M1440" s="13">
        <v>33</v>
      </c>
      <c r="N1440" s="13">
        <v>3</v>
      </c>
      <c r="O1440" s="13">
        <v>1</v>
      </c>
      <c r="P1440" s="13" t="s">
        <v>182</v>
      </c>
      <c r="Q1440" s="13">
        <v>1</v>
      </c>
      <c r="R1440" s="13" t="s">
        <v>66</v>
      </c>
      <c r="S1440" s="20">
        <v>1790</v>
      </c>
      <c r="T1440" s="13">
        <v>26956</v>
      </c>
      <c r="U1440" s="13">
        <v>1</v>
      </c>
      <c r="V1440" s="13" t="s">
        <v>52</v>
      </c>
      <c r="W1440" s="13" t="s">
        <v>59</v>
      </c>
      <c r="X1440" s="13">
        <v>19</v>
      </c>
      <c r="Y1440" s="13">
        <v>3</v>
      </c>
      <c r="Z1440" s="13">
        <v>1</v>
      </c>
      <c r="AA1440" s="13">
        <v>80</v>
      </c>
      <c r="AB1440" s="13">
        <v>1</v>
      </c>
      <c r="AC1440" s="13">
        <v>1</v>
      </c>
      <c r="AD1440" s="13">
        <v>3</v>
      </c>
      <c r="AE1440" s="13">
        <v>2</v>
      </c>
      <c r="AF1440" s="14">
        <v>1</v>
      </c>
      <c r="AG1440" s="13">
        <v>0</v>
      </c>
      <c r="AH1440" s="13">
        <v>1</v>
      </c>
      <c r="AI1440" s="13">
        <v>0</v>
      </c>
      <c r="AJ1440" s="13" t="str">
        <f t="shared" si="22"/>
        <v>Under 30</v>
      </c>
      <c r="AK1440" s="13" t="str">
        <f>IF(tblCleanData[[#This Row],[MonthlyIncome]]&lt;5000, "Low Income", IF(tblCleanData[[#This Row],[MonthlyIncome]]&lt;15000, "Medium Income", "High Income"))</f>
        <v>Low Income</v>
      </c>
      <c r="AL1440" s="13">
        <f>IF(tblCleanData[[#This Row],[Attrition]]="No", 0,1)</f>
        <v>1</v>
      </c>
      <c r="AM1440" s="13">
        <f>IF(tblCleanData[[#This Row],[OverTime]] = "No", 0, 1)</f>
        <v>0</v>
      </c>
      <c r="AN1440" s="13" t="str">
        <f>CHOOSE(tblCleanData[[#This Row],[Education]], "Below College","College","Bachelor","Master","Doctor")</f>
        <v>Bachelor</v>
      </c>
      <c r="AO1440" s="13" t="str">
        <f>VLOOKUP(tblCleanData[[#This Row],[EmployeeNumber]],tblHelpers[],15,TRUE)</f>
        <v>High Risk</v>
      </c>
      <c r="AP1440" s="13">
        <f>VLOOKUP(tblCleanData[[#This Row],[EmployeeNumber]],tblHelpers[],14,0)</f>
        <v>85</v>
      </c>
    </row>
    <row r="1441" spans="1:42" x14ac:dyDescent="0.25">
      <c r="A1441" s="13">
        <v>36</v>
      </c>
      <c r="B1441" s="13" t="s">
        <v>59</v>
      </c>
      <c r="C1441" s="13" t="s">
        <v>37</v>
      </c>
      <c r="D1441" s="13">
        <v>557</v>
      </c>
      <c r="E1441" s="13" t="s">
        <v>39</v>
      </c>
      <c r="F1441" s="13">
        <v>3</v>
      </c>
      <c r="G1441" s="13">
        <v>3</v>
      </c>
      <c r="H1441" s="13" t="s">
        <v>87</v>
      </c>
      <c r="I1441" s="13">
        <v>1</v>
      </c>
      <c r="J1441" s="13">
        <v>2024</v>
      </c>
      <c r="K1441" s="13">
        <v>1</v>
      </c>
      <c r="L1441" s="13" t="s">
        <v>43</v>
      </c>
      <c r="M1441" s="13">
        <v>94</v>
      </c>
      <c r="N1441" s="13">
        <v>2</v>
      </c>
      <c r="O1441" s="13">
        <v>3</v>
      </c>
      <c r="P1441" s="13" t="s">
        <v>46</v>
      </c>
      <c r="Q1441" s="13">
        <v>4</v>
      </c>
      <c r="R1441" s="13" t="s">
        <v>66</v>
      </c>
      <c r="S1441" s="20">
        <v>7644</v>
      </c>
      <c r="T1441" s="13">
        <v>12695</v>
      </c>
      <c r="U1441" s="13">
        <v>0</v>
      </c>
      <c r="V1441" s="13" t="s">
        <v>52</v>
      </c>
      <c r="W1441" s="13" t="s">
        <v>59</v>
      </c>
      <c r="X1441" s="13">
        <v>19</v>
      </c>
      <c r="Y1441" s="13">
        <v>3</v>
      </c>
      <c r="Z1441" s="13">
        <v>3</v>
      </c>
      <c r="AA1441" s="13">
        <v>80</v>
      </c>
      <c r="AB1441" s="13">
        <v>2</v>
      </c>
      <c r="AC1441" s="13">
        <v>10</v>
      </c>
      <c r="AD1441" s="13">
        <v>2</v>
      </c>
      <c r="AE1441" s="13">
        <v>3</v>
      </c>
      <c r="AF1441" s="14">
        <v>9</v>
      </c>
      <c r="AG1441" s="13">
        <v>7</v>
      </c>
      <c r="AH1441" s="13">
        <v>3</v>
      </c>
      <c r="AI1441" s="13">
        <v>4</v>
      </c>
      <c r="AJ1441" s="13" t="str">
        <f t="shared" si="22"/>
        <v>30-39</v>
      </c>
      <c r="AK1441" s="13" t="str">
        <f>IF(tblCleanData[[#This Row],[MonthlyIncome]]&lt;5000, "Low Income", IF(tblCleanData[[#This Row],[MonthlyIncome]]&lt;15000, "Medium Income", "High Income"))</f>
        <v>Medium Income</v>
      </c>
      <c r="AL1441" s="13">
        <f>IF(tblCleanData[[#This Row],[Attrition]]="No", 0,1)</f>
        <v>0</v>
      </c>
      <c r="AM1441" s="13">
        <f>IF(tblCleanData[[#This Row],[OverTime]] = "No", 0, 1)</f>
        <v>0</v>
      </c>
      <c r="AN1441" s="13" t="str">
        <f>CHOOSE(tblCleanData[[#This Row],[Education]], "Below College","College","Bachelor","Master","Doctor")</f>
        <v>Bachelor</v>
      </c>
      <c r="AO1441" s="13" t="str">
        <f>VLOOKUP(tblCleanData[[#This Row],[EmployeeNumber]],tblHelpers[],15,TRUE)</f>
        <v>Medium Risk</v>
      </c>
      <c r="AP1441" s="13">
        <f>VLOOKUP(tblCleanData[[#This Row],[EmployeeNumber]],tblHelpers[],14,0)</f>
        <v>39</v>
      </c>
    </row>
    <row r="1442" spans="1:42" x14ac:dyDescent="0.25">
      <c r="A1442" s="13">
        <v>36</v>
      </c>
      <c r="B1442" s="13" t="s">
        <v>59</v>
      </c>
      <c r="C1442" s="13" t="s">
        <v>60</v>
      </c>
      <c r="D1442" s="13">
        <v>688</v>
      </c>
      <c r="E1442" s="13" t="s">
        <v>62</v>
      </c>
      <c r="F1442" s="13">
        <v>4</v>
      </c>
      <c r="G1442" s="13">
        <v>2</v>
      </c>
      <c r="H1442" s="13" t="s">
        <v>42</v>
      </c>
      <c r="I1442" s="13">
        <v>1</v>
      </c>
      <c r="J1442" s="13">
        <v>2025</v>
      </c>
      <c r="K1442" s="13">
        <v>4</v>
      </c>
      <c r="L1442" s="13" t="s">
        <v>43</v>
      </c>
      <c r="M1442" s="13">
        <v>97</v>
      </c>
      <c r="N1442" s="13">
        <v>3</v>
      </c>
      <c r="O1442" s="13">
        <v>2</v>
      </c>
      <c r="P1442" s="13" t="s">
        <v>116</v>
      </c>
      <c r="Q1442" s="13">
        <v>2</v>
      </c>
      <c r="R1442" s="13" t="s">
        <v>109</v>
      </c>
      <c r="S1442" s="20">
        <v>5131</v>
      </c>
      <c r="T1442" s="13">
        <v>9192</v>
      </c>
      <c r="U1442" s="13">
        <v>7</v>
      </c>
      <c r="V1442" s="13" t="s">
        <v>52</v>
      </c>
      <c r="W1442" s="13" t="s">
        <v>59</v>
      </c>
      <c r="X1442" s="13">
        <v>13</v>
      </c>
      <c r="Y1442" s="13">
        <v>3</v>
      </c>
      <c r="Z1442" s="13">
        <v>2</v>
      </c>
      <c r="AA1442" s="13">
        <v>80</v>
      </c>
      <c r="AB1442" s="13">
        <v>3</v>
      </c>
      <c r="AC1442" s="13">
        <v>18</v>
      </c>
      <c r="AD1442" s="13">
        <v>3</v>
      </c>
      <c r="AE1442" s="13">
        <v>3</v>
      </c>
      <c r="AF1442" s="14">
        <v>4</v>
      </c>
      <c r="AG1442" s="13">
        <v>2</v>
      </c>
      <c r="AH1442" s="13">
        <v>0</v>
      </c>
      <c r="AI1442" s="13">
        <v>2</v>
      </c>
      <c r="AJ1442" s="13" t="str">
        <f t="shared" si="22"/>
        <v>30-39</v>
      </c>
      <c r="AK1442" s="13" t="str">
        <f>IF(tblCleanData[[#This Row],[MonthlyIncome]]&lt;5000, "Low Income", IF(tblCleanData[[#This Row],[MonthlyIncome]]&lt;15000, "Medium Income", "High Income"))</f>
        <v>Medium Income</v>
      </c>
      <c r="AL1442" s="13">
        <f>IF(tblCleanData[[#This Row],[Attrition]]="No", 0,1)</f>
        <v>0</v>
      </c>
      <c r="AM1442" s="13">
        <f>IF(tblCleanData[[#This Row],[OverTime]] = "No", 0, 1)</f>
        <v>0</v>
      </c>
      <c r="AN1442" s="13" t="str">
        <f>CHOOSE(tblCleanData[[#This Row],[Education]], "Below College","College","Bachelor","Master","Doctor")</f>
        <v>College</v>
      </c>
      <c r="AO1442" s="13" t="str">
        <f>VLOOKUP(tblCleanData[[#This Row],[EmployeeNumber]],tblHelpers[],15,TRUE)</f>
        <v>High Risk</v>
      </c>
      <c r="AP1442" s="13">
        <f>VLOOKUP(tblCleanData[[#This Row],[EmployeeNumber]],tblHelpers[],14,0)</f>
        <v>59</v>
      </c>
    </row>
    <row r="1443" spans="1:42" x14ac:dyDescent="0.25">
      <c r="A1443" s="13">
        <v>56</v>
      </c>
      <c r="B1443" s="13" t="s">
        <v>59</v>
      </c>
      <c r="C1443" s="13" t="s">
        <v>161</v>
      </c>
      <c r="D1443" s="13">
        <v>667</v>
      </c>
      <c r="E1443" s="13" t="s">
        <v>62</v>
      </c>
      <c r="F1443" s="13">
        <v>1</v>
      </c>
      <c r="G1443" s="13">
        <v>4</v>
      </c>
      <c r="H1443" s="13" t="s">
        <v>42</v>
      </c>
      <c r="I1443" s="13">
        <v>1</v>
      </c>
      <c r="J1443" s="13">
        <v>2026</v>
      </c>
      <c r="K1443" s="13">
        <v>3</v>
      </c>
      <c r="L1443" s="13" t="s">
        <v>63</v>
      </c>
      <c r="M1443" s="13">
        <v>57</v>
      </c>
      <c r="N1443" s="13">
        <v>3</v>
      </c>
      <c r="O1443" s="13">
        <v>2</v>
      </c>
      <c r="P1443" s="13" t="s">
        <v>122</v>
      </c>
      <c r="Q1443" s="13">
        <v>3</v>
      </c>
      <c r="R1443" s="13" t="s">
        <v>109</v>
      </c>
      <c r="S1443" s="20">
        <v>6306</v>
      </c>
      <c r="T1443" s="13">
        <v>26236</v>
      </c>
      <c r="U1443" s="13">
        <v>1</v>
      </c>
      <c r="V1443" s="13" t="s">
        <v>52</v>
      </c>
      <c r="W1443" s="13" t="s">
        <v>59</v>
      </c>
      <c r="X1443" s="13">
        <v>21</v>
      </c>
      <c r="Y1443" s="13">
        <v>4</v>
      </c>
      <c r="Z1443" s="13">
        <v>1</v>
      </c>
      <c r="AA1443" s="13">
        <v>80</v>
      </c>
      <c r="AB1443" s="13">
        <v>1</v>
      </c>
      <c r="AC1443" s="13">
        <v>13</v>
      </c>
      <c r="AD1443" s="13">
        <v>2</v>
      </c>
      <c r="AE1443" s="13">
        <v>2</v>
      </c>
      <c r="AF1443" s="14">
        <v>13</v>
      </c>
      <c r="AG1443" s="13">
        <v>12</v>
      </c>
      <c r="AH1443" s="13">
        <v>1</v>
      </c>
      <c r="AI1443" s="13">
        <v>9</v>
      </c>
      <c r="AJ1443" s="13" t="str">
        <f t="shared" si="22"/>
        <v>50+</v>
      </c>
      <c r="AK1443" s="13" t="str">
        <f>IF(tblCleanData[[#This Row],[MonthlyIncome]]&lt;5000, "Low Income", IF(tblCleanData[[#This Row],[MonthlyIncome]]&lt;15000, "Medium Income", "High Income"))</f>
        <v>Medium Income</v>
      </c>
      <c r="AL1443" s="13">
        <f>IF(tblCleanData[[#This Row],[Attrition]]="No", 0,1)</f>
        <v>0</v>
      </c>
      <c r="AM1443" s="13">
        <f>IF(tblCleanData[[#This Row],[OverTime]] = "No", 0, 1)</f>
        <v>0</v>
      </c>
      <c r="AN1443" s="13" t="str">
        <f>CHOOSE(tblCleanData[[#This Row],[Education]], "Below College","College","Bachelor","Master","Doctor")</f>
        <v>Master</v>
      </c>
      <c r="AO1443" s="13" t="str">
        <f>VLOOKUP(tblCleanData[[#This Row],[EmployeeNumber]],tblHelpers[],15,TRUE)</f>
        <v>Medium Risk</v>
      </c>
      <c r="AP1443" s="13">
        <f>VLOOKUP(tblCleanData[[#This Row],[EmployeeNumber]],tblHelpers[],14,0)</f>
        <v>36</v>
      </c>
    </row>
    <row r="1444" spans="1:42" x14ac:dyDescent="0.25">
      <c r="A1444" s="13">
        <v>29</v>
      </c>
      <c r="B1444" s="13" t="s">
        <v>36</v>
      </c>
      <c r="C1444" s="13" t="s">
        <v>37</v>
      </c>
      <c r="D1444" s="13">
        <v>1092</v>
      </c>
      <c r="E1444" s="13" t="s">
        <v>62</v>
      </c>
      <c r="F1444" s="13">
        <v>1</v>
      </c>
      <c r="G1444" s="13">
        <v>4</v>
      </c>
      <c r="H1444" s="13" t="s">
        <v>87</v>
      </c>
      <c r="I1444" s="13">
        <v>1</v>
      </c>
      <c r="J1444" s="13">
        <v>2027</v>
      </c>
      <c r="K1444" s="13">
        <v>1</v>
      </c>
      <c r="L1444" s="13" t="s">
        <v>63</v>
      </c>
      <c r="M1444" s="13">
        <v>36</v>
      </c>
      <c r="N1444" s="13">
        <v>3</v>
      </c>
      <c r="O1444" s="13">
        <v>1</v>
      </c>
      <c r="P1444" s="13" t="s">
        <v>65</v>
      </c>
      <c r="Q1444" s="13">
        <v>4</v>
      </c>
      <c r="R1444" s="13" t="s">
        <v>66</v>
      </c>
      <c r="S1444" s="20">
        <v>4787</v>
      </c>
      <c r="T1444" s="13">
        <v>26124</v>
      </c>
      <c r="U1444" s="13">
        <v>9</v>
      </c>
      <c r="V1444" s="13" t="s">
        <v>52</v>
      </c>
      <c r="W1444" s="13" t="s">
        <v>36</v>
      </c>
      <c r="X1444" s="13">
        <v>14</v>
      </c>
      <c r="Y1444" s="13">
        <v>3</v>
      </c>
      <c r="Z1444" s="13">
        <v>2</v>
      </c>
      <c r="AA1444" s="13">
        <v>80</v>
      </c>
      <c r="AB1444" s="13">
        <v>3</v>
      </c>
      <c r="AC1444" s="13">
        <v>4</v>
      </c>
      <c r="AD1444" s="13">
        <v>3</v>
      </c>
      <c r="AE1444" s="13">
        <v>4</v>
      </c>
      <c r="AF1444" s="14">
        <v>2</v>
      </c>
      <c r="AG1444" s="13">
        <v>2</v>
      </c>
      <c r="AH1444" s="13">
        <v>2</v>
      </c>
      <c r="AI1444" s="13">
        <v>2</v>
      </c>
      <c r="AJ1444" s="13" t="str">
        <f t="shared" si="22"/>
        <v>Under 30</v>
      </c>
      <c r="AK1444" s="13" t="str">
        <f>IF(tblCleanData[[#This Row],[MonthlyIncome]]&lt;5000, "Low Income", IF(tblCleanData[[#This Row],[MonthlyIncome]]&lt;15000, "Medium Income", "High Income"))</f>
        <v>Low Income</v>
      </c>
      <c r="AL1444" s="13">
        <f>IF(tblCleanData[[#This Row],[Attrition]]="No", 0,1)</f>
        <v>1</v>
      </c>
      <c r="AM1444" s="13">
        <f>IF(tblCleanData[[#This Row],[OverTime]] = "No", 0, 1)</f>
        <v>1</v>
      </c>
      <c r="AN1444" s="13" t="str">
        <f>CHOOSE(tblCleanData[[#This Row],[Education]], "Below College","College","Bachelor","Master","Doctor")</f>
        <v>Master</v>
      </c>
      <c r="AO1444" s="13" t="str">
        <f>VLOOKUP(tblCleanData[[#This Row],[EmployeeNumber]],tblHelpers[],15,TRUE)</f>
        <v>High Risk</v>
      </c>
      <c r="AP1444" s="13">
        <f>VLOOKUP(tblCleanData[[#This Row],[EmployeeNumber]],tblHelpers[],14,0)</f>
        <v>91</v>
      </c>
    </row>
    <row r="1445" spans="1:42" x14ac:dyDescent="0.25">
      <c r="A1445" s="13">
        <v>42</v>
      </c>
      <c r="B1445" s="13" t="s">
        <v>59</v>
      </c>
      <c r="C1445" s="13" t="s">
        <v>37</v>
      </c>
      <c r="D1445" s="13">
        <v>300</v>
      </c>
      <c r="E1445" s="13" t="s">
        <v>62</v>
      </c>
      <c r="F1445" s="13">
        <v>2</v>
      </c>
      <c r="G1445" s="13">
        <v>3</v>
      </c>
      <c r="H1445" s="13" t="s">
        <v>42</v>
      </c>
      <c r="I1445" s="13">
        <v>1</v>
      </c>
      <c r="J1445" s="13">
        <v>2031</v>
      </c>
      <c r="K1445" s="13">
        <v>1</v>
      </c>
      <c r="L1445" s="13" t="s">
        <v>63</v>
      </c>
      <c r="M1445" s="13">
        <v>56</v>
      </c>
      <c r="N1445" s="13">
        <v>3</v>
      </c>
      <c r="O1445" s="13">
        <v>5</v>
      </c>
      <c r="P1445" s="13" t="s">
        <v>169</v>
      </c>
      <c r="Q1445" s="13">
        <v>3</v>
      </c>
      <c r="R1445" s="13" t="s">
        <v>66</v>
      </c>
      <c r="S1445" s="20">
        <v>18880</v>
      </c>
      <c r="T1445" s="13">
        <v>17312</v>
      </c>
      <c r="U1445" s="13">
        <v>5</v>
      </c>
      <c r="V1445" s="13" t="s">
        <v>52</v>
      </c>
      <c r="W1445" s="13" t="s">
        <v>59</v>
      </c>
      <c r="X1445" s="13">
        <v>11</v>
      </c>
      <c r="Y1445" s="13">
        <v>3</v>
      </c>
      <c r="Z1445" s="13">
        <v>1</v>
      </c>
      <c r="AA1445" s="13">
        <v>80</v>
      </c>
      <c r="AB1445" s="13">
        <v>0</v>
      </c>
      <c r="AC1445" s="13">
        <v>24</v>
      </c>
      <c r="AD1445" s="13">
        <v>2</v>
      </c>
      <c r="AE1445" s="13">
        <v>2</v>
      </c>
      <c r="AF1445" s="14">
        <v>22</v>
      </c>
      <c r="AG1445" s="13">
        <v>6</v>
      </c>
      <c r="AH1445" s="13">
        <v>4</v>
      </c>
      <c r="AI1445" s="13">
        <v>14</v>
      </c>
      <c r="AJ1445" s="13" t="str">
        <f t="shared" si="22"/>
        <v>40-49</v>
      </c>
      <c r="AK1445" s="13" t="str">
        <f>IF(tblCleanData[[#This Row],[MonthlyIncome]]&lt;5000, "Low Income", IF(tblCleanData[[#This Row],[MonthlyIncome]]&lt;15000, "Medium Income", "High Income"))</f>
        <v>High Income</v>
      </c>
      <c r="AL1445" s="13">
        <f>IF(tblCleanData[[#This Row],[Attrition]]="No", 0,1)</f>
        <v>0</v>
      </c>
      <c r="AM1445" s="13">
        <f>IF(tblCleanData[[#This Row],[OverTime]] = "No", 0, 1)</f>
        <v>0</v>
      </c>
      <c r="AN1445" s="13" t="str">
        <f>CHOOSE(tblCleanData[[#This Row],[Education]], "Below College","College","Bachelor","Master","Doctor")</f>
        <v>Bachelor</v>
      </c>
      <c r="AO1445" s="13" t="str">
        <f>VLOOKUP(tblCleanData[[#This Row],[EmployeeNumber]],tblHelpers[],15,TRUE)</f>
        <v>Low Risk</v>
      </c>
      <c r="AP1445" s="13">
        <f>VLOOKUP(tblCleanData[[#This Row],[EmployeeNumber]],tblHelpers[],14,0)</f>
        <v>31</v>
      </c>
    </row>
    <row r="1446" spans="1:42" x14ac:dyDescent="0.25">
      <c r="A1446" s="13">
        <v>56</v>
      </c>
      <c r="B1446" s="13" t="s">
        <v>36</v>
      </c>
      <c r="C1446" s="13" t="s">
        <v>37</v>
      </c>
      <c r="D1446" s="13">
        <v>310</v>
      </c>
      <c r="E1446" s="13" t="s">
        <v>62</v>
      </c>
      <c r="F1446" s="13">
        <v>7</v>
      </c>
      <c r="G1446" s="13">
        <v>2</v>
      </c>
      <c r="H1446" s="13" t="s">
        <v>228</v>
      </c>
      <c r="I1446" s="13">
        <v>1</v>
      </c>
      <c r="J1446" s="13">
        <v>2032</v>
      </c>
      <c r="K1446" s="13">
        <v>4</v>
      </c>
      <c r="L1446" s="13" t="s">
        <v>63</v>
      </c>
      <c r="M1446" s="13">
        <v>72</v>
      </c>
      <c r="N1446" s="13">
        <v>3</v>
      </c>
      <c r="O1446" s="13">
        <v>1</v>
      </c>
      <c r="P1446" s="13" t="s">
        <v>76</v>
      </c>
      <c r="Q1446" s="13">
        <v>3</v>
      </c>
      <c r="R1446" s="13" t="s">
        <v>66</v>
      </c>
      <c r="S1446" s="20">
        <v>2339</v>
      </c>
      <c r="T1446" s="13">
        <v>3666</v>
      </c>
      <c r="U1446" s="13">
        <v>8</v>
      </c>
      <c r="V1446" s="13" t="s">
        <v>52</v>
      </c>
      <c r="W1446" s="13" t="s">
        <v>59</v>
      </c>
      <c r="X1446" s="13">
        <v>11</v>
      </c>
      <c r="Y1446" s="13">
        <v>3</v>
      </c>
      <c r="Z1446" s="13">
        <v>4</v>
      </c>
      <c r="AA1446" s="13">
        <v>80</v>
      </c>
      <c r="AB1446" s="13">
        <v>1</v>
      </c>
      <c r="AC1446" s="13">
        <v>14</v>
      </c>
      <c r="AD1446" s="13">
        <v>4</v>
      </c>
      <c r="AE1446" s="13">
        <v>1</v>
      </c>
      <c r="AF1446" s="14">
        <v>10</v>
      </c>
      <c r="AG1446" s="13">
        <v>9</v>
      </c>
      <c r="AH1446" s="13">
        <v>9</v>
      </c>
      <c r="AI1446" s="13">
        <v>8</v>
      </c>
      <c r="AJ1446" s="13" t="str">
        <f t="shared" si="22"/>
        <v>50+</v>
      </c>
      <c r="AK1446" s="13" t="str">
        <f>IF(tblCleanData[[#This Row],[MonthlyIncome]]&lt;5000, "Low Income", IF(tblCleanData[[#This Row],[MonthlyIncome]]&lt;15000, "Medium Income", "High Income"))</f>
        <v>Low Income</v>
      </c>
      <c r="AL1446" s="13">
        <f>IF(tblCleanData[[#This Row],[Attrition]]="No", 0,1)</f>
        <v>1</v>
      </c>
      <c r="AM1446" s="13">
        <f>IF(tblCleanData[[#This Row],[OverTime]] = "No", 0, 1)</f>
        <v>0</v>
      </c>
      <c r="AN1446" s="13" t="str">
        <f>CHOOSE(tblCleanData[[#This Row],[Education]], "Below College","College","Bachelor","Master","Doctor")</f>
        <v>College</v>
      </c>
      <c r="AO1446" s="13" t="str">
        <f>VLOOKUP(tblCleanData[[#This Row],[EmployeeNumber]],tblHelpers[],15,TRUE)</f>
        <v>Medium Risk</v>
      </c>
      <c r="AP1446" s="13">
        <f>VLOOKUP(tblCleanData[[#This Row],[EmployeeNumber]],tblHelpers[],14,0)</f>
        <v>41</v>
      </c>
    </row>
    <row r="1447" spans="1:42" x14ac:dyDescent="0.25">
      <c r="A1447" s="13">
        <v>41</v>
      </c>
      <c r="B1447" s="13" t="s">
        <v>59</v>
      </c>
      <c r="C1447" s="13" t="s">
        <v>37</v>
      </c>
      <c r="D1447" s="13">
        <v>582</v>
      </c>
      <c r="E1447" s="13" t="s">
        <v>62</v>
      </c>
      <c r="F1447" s="13">
        <v>28</v>
      </c>
      <c r="G1447" s="13">
        <v>4</v>
      </c>
      <c r="H1447" s="13" t="s">
        <v>42</v>
      </c>
      <c r="I1447" s="13">
        <v>1</v>
      </c>
      <c r="J1447" s="13">
        <v>2034</v>
      </c>
      <c r="K1447" s="13">
        <v>1</v>
      </c>
      <c r="L1447" s="13" t="s">
        <v>43</v>
      </c>
      <c r="M1447" s="13">
        <v>60</v>
      </c>
      <c r="N1447" s="13">
        <v>2</v>
      </c>
      <c r="O1447" s="13">
        <v>4</v>
      </c>
      <c r="P1447" s="13" t="s">
        <v>116</v>
      </c>
      <c r="Q1447" s="13">
        <v>2</v>
      </c>
      <c r="R1447" s="13" t="s">
        <v>66</v>
      </c>
      <c r="S1447" s="20">
        <v>13570</v>
      </c>
      <c r="T1447" s="13">
        <v>5640</v>
      </c>
      <c r="U1447" s="13">
        <v>0</v>
      </c>
      <c r="V1447" s="13" t="s">
        <v>52</v>
      </c>
      <c r="W1447" s="13" t="s">
        <v>59</v>
      </c>
      <c r="X1447" s="13">
        <v>23</v>
      </c>
      <c r="Y1447" s="13">
        <v>4</v>
      </c>
      <c r="Z1447" s="13">
        <v>3</v>
      </c>
      <c r="AA1447" s="13">
        <v>80</v>
      </c>
      <c r="AB1447" s="13">
        <v>1</v>
      </c>
      <c r="AC1447" s="13">
        <v>21</v>
      </c>
      <c r="AD1447" s="13">
        <v>3</v>
      </c>
      <c r="AE1447" s="13">
        <v>3</v>
      </c>
      <c r="AF1447" s="14">
        <v>20</v>
      </c>
      <c r="AG1447" s="13">
        <v>7</v>
      </c>
      <c r="AH1447" s="13">
        <v>0</v>
      </c>
      <c r="AI1447" s="13">
        <v>10</v>
      </c>
      <c r="AJ1447" s="13" t="str">
        <f t="shared" si="22"/>
        <v>40-49</v>
      </c>
      <c r="AK1447" s="13" t="str">
        <f>IF(tblCleanData[[#This Row],[MonthlyIncome]]&lt;5000, "Low Income", IF(tblCleanData[[#This Row],[MonthlyIncome]]&lt;15000, "Medium Income", "High Income"))</f>
        <v>Medium Income</v>
      </c>
      <c r="AL1447" s="13">
        <f>IF(tblCleanData[[#This Row],[Attrition]]="No", 0,1)</f>
        <v>0</v>
      </c>
      <c r="AM1447" s="13">
        <f>IF(tblCleanData[[#This Row],[OverTime]] = "No", 0, 1)</f>
        <v>0</v>
      </c>
      <c r="AN1447" s="13" t="str">
        <f>CHOOSE(tblCleanData[[#This Row],[Education]], "Below College","College","Bachelor","Master","Doctor")</f>
        <v>Master</v>
      </c>
      <c r="AO1447" s="13" t="str">
        <f>VLOOKUP(tblCleanData[[#This Row],[EmployeeNumber]],tblHelpers[],15,TRUE)</f>
        <v>Medium Risk</v>
      </c>
      <c r="AP1447" s="13">
        <f>VLOOKUP(tblCleanData[[#This Row],[EmployeeNumber]],tblHelpers[],14,0)</f>
        <v>37</v>
      </c>
    </row>
    <row r="1448" spans="1:42" x14ac:dyDescent="0.25">
      <c r="A1448" s="13">
        <v>34</v>
      </c>
      <c r="B1448" s="13" t="s">
        <v>59</v>
      </c>
      <c r="C1448" s="13" t="s">
        <v>37</v>
      </c>
      <c r="D1448" s="13">
        <v>704</v>
      </c>
      <c r="E1448" s="13" t="s">
        <v>39</v>
      </c>
      <c r="F1448" s="13">
        <v>28</v>
      </c>
      <c r="G1448" s="13">
        <v>3</v>
      </c>
      <c r="H1448" s="13" t="s">
        <v>206</v>
      </c>
      <c r="I1448" s="13">
        <v>1</v>
      </c>
      <c r="J1448" s="13">
        <v>2035</v>
      </c>
      <c r="K1448" s="13">
        <v>4</v>
      </c>
      <c r="L1448" s="13" t="s">
        <v>43</v>
      </c>
      <c r="M1448" s="13">
        <v>95</v>
      </c>
      <c r="N1448" s="13">
        <v>2</v>
      </c>
      <c r="O1448" s="13">
        <v>2</v>
      </c>
      <c r="P1448" s="13" t="s">
        <v>46</v>
      </c>
      <c r="Q1448" s="13">
        <v>3</v>
      </c>
      <c r="R1448" s="13" t="s">
        <v>66</v>
      </c>
      <c r="S1448" s="20">
        <v>6712</v>
      </c>
      <c r="T1448" s="13">
        <v>8978</v>
      </c>
      <c r="U1448" s="13">
        <v>1</v>
      </c>
      <c r="V1448" s="13" t="s">
        <v>52</v>
      </c>
      <c r="W1448" s="13" t="s">
        <v>59</v>
      </c>
      <c r="X1448" s="13">
        <v>21</v>
      </c>
      <c r="Y1448" s="13">
        <v>4</v>
      </c>
      <c r="Z1448" s="13">
        <v>4</v>
      </c>
      <c r="AA1448" s="13">
        <v>80</v>
      </c>
      <c r="AB1448" s="13">
        <v>2</v>
      </c>
      <c r="AC1448" s="13">
        <v>8</v>
      </c>
      <c r="AD1448" s="13">
        <v>2</v>
      </c>
      <c r="AE1448" s="13">
        <v>3</v>
      </c>
      <c r="AF1448" s="14">
        <v>8</v>
      </c>
      <c r="AG1448" s="13">
        <v>7</v>
      </c>
      <c r="AH1448" s="13">
        <v>1</v>
      </c>
      <c r="AI1448" s="13">
        <v>7</v>
      </c>
      <c r="AJ1448" s="13" t="str">
        <f t="shared" si="22"/>
        <v>30-39</v>
      </c>
      <c r="AK1448" s="13" t="str">
        <f>IF(tblCleanData[[#This Row],[MonthlyIncome]]&lt;5000, "Low Income", IF(tblCleanData[[#This Row],[MonthlyIncome]]&lt;15000, "Medium Income", "High Income"))</f>
        <v>Medium Income</v>
      </c>
      <c r="AL1448" s="13">
        <f>IF(tblCleanData[[#This Row],[Attrition]]="No", 0,1)</f>
        <v>0</v>
      </c>
      <c r="AM1448" s="13">
        <f>IF(tblCleanData[[#This Row],[OverTime]] = "No", 0, 1)</f>
        <v>0</v>
      </c>
      <c r="AN1448" s="13" t="str">
        <f>CHOOSE(tblCleanData[[#This Row],[Education]], "Below College","College","Bachelor","Master","Doctor")</f>
        <v>Bachelor</v>
      </c>
      <c r="AO1448" s="13" t="str">
        <f>VLOOKUP(tblCleanData[[#This Row],[EmployeeNumber]],tblHelpers[],15,TRUE)</f>
        <v>Medium Risk</v>
      </c>
      <c r="AP1448" s="13">
        <f>VLOOKUP(tblCleanData[[#This Row],[EmployeeNumber]],tblHelpers[],14,0)</f>
        <v>46</v>
      </c>
    </row>
    <row r="1449" spans="1:42" x14ac:dyDescent="0.25">
      <c r="A1449" s="13">
        <v>36</v>
      </c>
      <c r="B1449" s="13" t="s">
        <v>59</v>
      </c>
      <c r="C1449" s="13" t="s">
        <v>161</v>
      </c>
      <c r="D1449" s="13">
        <v>301</v>
      </c>
      <c r="E1449" s="13" t="s">
        <v>39</v>
      </c>
      <c r="F1449" s="13">
        <v>15</v>
      </c>
      <c r="G1449" s="13">
        <v>4</v>
      </c>
      <c r="H1449" s="13" t="s">
        <v>206</v>
      </c>
      <c r="I1449" s="13">
        <v>1</v>
      </c>
      <c r="J1449" s="13">
        <v>2036</v>
      </c>
      <c r="K1449" s="13">
        <v>4</v>
      </c>
      <c r="L1449" s="13" t="s">
        <v>63</v>
      </c>
      <c r="M1449" s="13">
        <v>88</v>
      </c>
      <c r="N1449" s="13">
        <v>1</v>
      </c>
      <c r="O1449" s="13">
        <v>2</v>
      </c>
      <c r="P1449" s="13" t="s">
        <v>46</v>
      </c>
      <c r="Q1449" s="13">
        <v>4</v>
      </c>
      <c r="R1449" s="13" t="s">
        <v>109</v>
      </c>
      <c r="S1449" s="20">
        <v>5406</v>
      </c>
      <c r="T1449" s="13">
        <v>10436</v>
      </c>
      <c r="U1449" s="13">
        <v>1</v>
      </c>
      <c r="V1449" s="13" t="s">
        <v>52</v>
      </c>
      <c r="W1449" s="13" t="s">
        <v>59</v>
      </c>
      <c r="X1449" s="13">
        <v>24</v>
      </c>
      <c r="Y1449" s="13">
        <v>4</v>
      </c>
      <c r="Z1449" s="13">
        <v>1</v>
      </c>
      <c r="AA1449" s="13">
        <v>80</v>
      </c>
      <c r="AB1449" s="13">
        <v>1</v>
      </c>
      <c r="AC1449" s="13">
        <v>15</v>
      </c>
      <c r="AD1449" s="13">
        <v>4</v>
      </c>
      <c r="AE1449" s="13">
        <v>2</v>
      </c>
      <c r="AF1449" s="14">
        <v>15</v>
      </c>
      <c r="AG1449" s="13">
        <v>12</v>
      </c>
      <c r="AH1449" s="13">
        <v>11</v>
      </c>
      <c r="AI1449" s="13">
        <v>11</v>
      </c>
      <c r="AJ1449" s="13" t="str">
        <f t="shared" si="22"/>
        <v>30-39</v>
      </c>
      <c r="AK1449" s="13" t="str">
        <f>IF(tblCleanData[[#This Row],[MonthlyIncome]]&lt;5000, "Low Income", IF(tblCleanData[[#This Row],[MonthlyIncome]]&lt;15000, "Medium Income", "High Income"))</f>
        <v>Medium Income</v>
      </c>
      <c r="AL1449" s="13">
        <f>IF(tblCleanData[[#This Row],[Attrition]]="No", 0,1)</f>
        <v>0</v>
      </c>
      <c r="AM1449" s="13">
        <f>IF(tblCleanData[[#This Row],[OverTime]] = "No", 0, 1)</f>
        <v>0</v>
      </c>
      <c r="AN1449" s="13" t="str">
        <f>CHOOSE(tblCleanData[[#This Row],[Education]], "Below College","College","Bachelor","Master","Doctor")</f>
        <v>Master</v>
      </c>
      <c r="AO1449" s="13" t="str">
        <f>VLOOKUP(tblCleanData[[#This Row],[EmployeeNumber]],tblHelpers[],15,TRUE)</f>
        <v>Low Risk</v>
      </c>
      <c r="AP1449" s="13">
        <f>VLOOKUP(tblCleanData[[#This Row],[EmployeeNumber]],tblHelpers[],14,0)</f>
        <v>34</v>
      </c>
    </row>
    <row r="1450" spans="1:42" x14ac:dyDescent="0.25">
      <c r="A1450" s="13">
        <v>41</v>
      </c>
      <c r="B1450" s="13" t="s">
        <v>59</v>
      </c>
      <c r="C1450" s="13" t="s">
        <v>37</v>
      </c>
      <c r="D1450" s="13">
        <v>930</v>
      </c>
      <c r="E1450" s="13" t="s">
        <v>39</v>
      </c>
      <c r="F1450" s="13">
        <v>3</v>
      </c>
      <c r="G1450" s="13">
        <v>3</v>
      </c>
      <c r="H1450" s="13" t="s">
        <v>42</v>
      </c>
      <c r="I1450" s="13">
        <v>1</v>
      </c>
      <c r="J1450" s="13">
        <v>2037</v>
      </c>
      <c r="K1450" s="13">
        <v>3</v>
      </c>
      <c r="L1450" s="13" t="s">
        <v>63</v>
      </c>
      <c r="M1450" s="13">
        <v>57</v>
      </c>
      <c r="N1450" s="13">
        <v>2</v>
      </c>
      <c r="O1450" s="13">
        <v>2</v>
      </c>
      <c r="P1450" s="13" t="s">
        <v>46</v>
      </c>
      <c r="Q1450" s="13">
        <v>2</v>
      </c>
      <c r="R1450" s="13" t="s">
        <v>109</v>
      </c>
      <c r="S1450" s="20">
        <v>8938</v>
      </c>
      <c r="T1450" s="13">
        <v>12227</v>
      </c>
      <c r="U1450" s="13">
        <v>2</v>
      </c>
      <c r="V1450" s="13" t="s">
        <v>52</v>
      </c>
      <c r="W1450" s="13" t="s">
        <v>59</v>
      </c>
      <c r="X1450" s="13">
        <v>11</v>
      </c>
      <c r="Y1450" s="13">
        <v>3</v>
      </c>
      <c r="Z1450" s="13">
        <v>3</v>
      </c>
      <c r="AA1450" s="13">
        <v>80</v>
      </c>
      <c r="AB1450" s="13">
        <v>1</v>
      </c>
      <c r="AC1450" s="13">
        <v>14</v>
      </c>
      <c r="AD1450" s="13">
        <v>5</v>
      </c>
      <c r="AE1450" s="13">
        <v>3</v>
      </c>
      <c r="AF1450" s="14">
        <v>5</v>
      </c>
      <c r="AG1450" s="13">
        <v>4</v>
      </c>
      <c r="AH1450" s="13">
        <v>0</v>
      </c>
      <c r="AI1450" s="13">
        <v>4</v>
      </c>
      <c r="AJ1450" s="13" t="str">
        <f t="shared" si="22"/>
        <v>40-49</v>
      </c>
      <c r="AK1450" s="13" t="str">
        <f>IF(tblCleanData[[#This Row],[MonthlyIncome]]&lt;5000, "Low Income", IF(tblCleanData[[#This Row],[MonthlyIncome]]&lt;15000, "Medium Income", "High Income"))</f>
        <v>Medium Income</v>
      </c>
      <c r="AL1450" s="13">
        <f>IF(tblCleanData[[#This Row],[Attrition]]="No", 0,1)</f>
        <v>0</v>
      </c>
      <c r="AM1450" s="13">
        <f>IF(tblCleanData[[#This Row],[OverTime]] = "No", 0, 1)</f>
        <v>0</v>
      </c>
      <c r="AN1450" s="13" t="str">
        <f>CHOOSE(tblCleanData[[#This Row],[Education]], "Below College","College","Bachelor","Master","Doctor")</f>
        <v>Bachelor</v>
      </c>
      <c r="AO1450" s="13" t="str">
        <f>VLOOKUP(tblCleanData[[#This Row],[EmployeeNumber]],tblHelpers[],15,TRUE)</f>
        <v>Medium Risk</v>
      </c>
      <c r="AP1450" s="13">
        <f>VLOOKUP(tblCleanData[[#This Row],[EmployeeNumber]],tblHelpers[],14,0)</f>
        <v>49</v>
      </c>
    </row>
    <row r="1451" spans="1:42" x14ac:dyDescent="0.25">
      <c r="A1451" s="13">
        <v>32</v>
      </c>
      <c r="B1451" s="13" t="s">
        <v>59</v>
      </c>
      <c r="C1451" s="13" t="s">
        <v>37</v>
      </c>
      <c r="D1451" s="13">
        <v>529</v>
      </c>
      <c r="E1451" s="13" t="s">
        <v>62</v>
      </c>
      <c r="F1451" s="13">
        <v>2</v>
      </c>
      <c r="G1451" s="13">
        <v>3</v>
      </c>
      <c r="H1451" s="13" t="s">
        <v>228</v>
      </c>
      <c r="I1451" s="13">
        <v>1</v>
      </c>
      <c r="J1451" s="13">
        <v>2038</v>
      </c>
      <c r="K1451" s="13">
        <v>4</v>
      </c>
      <c r="L1451" s="13" t="s">
        <v>63</v>
      </c>
      <c r="M1451" s="13">
        <v>78</v>
      </c>
      <c r="N1451" s="13">
        <v>3</v>
      </c>
      <c r="O1451" s="13">
        <v>1</v>
      </c>
      <c r="P1451" s="13" t="s">
        <v>65</v>
      </c>
      <c r="Q1451" s="13">
        <v>1</v>
      </c>
      <c r="R1451" s="13" t="s">
        <v>48</v>
      </c>
      <c r="S1451" s="20">
        <v>2439</v>
      </c>
      <c r="T1451" s="13">
        <v>11288</v>
      </c>
      <c r="U1451" s="13">
        <v>1</v>
      </c>
      <c r="V1451" s="13" t="s">
        <v>52</v>
      </c>
      <c r="W1451" s="13" t="s">
        <v>59</v>
      </c>
      <c r="X1451" s="13">
        <v>14</v>
      </c>
      <c r="Y1451" s="13">
        <v>3</v>
      </c>
      <c r="Z1451" s="13">
        <v>4</v>
      </c>
      <c r="AA1451" s="13">
        <v>80</v>
      </c>
      <c r="AB1451" s="13">
        <v>0</v>
      </c>
      <c r="AC1451" s="13">
        <v>4</v>
      </c>
      <c r="AD1451" s="13">
        <v>4</v>
      </c>
      <c r="AE1451" s="13">
        <v>3</v>
      </c>
      <c r="AF1451" s="14">
        <v>4</v>
      </c>
      <c r="AG1451" s="13">
        <v>2</v>
      </c>
      <c r="AH1451" s="13">
        <v>1</v>
      </c>
      <c r="AI1451" s="13">
        <v>2</v>
      </c>
      <c r="AJ1451" s="13" t="str">
        <f t="shared" si="22"/>
        <v>30-39</v>
      </c>
      <c r="AK1451" s="13" t="str">
        <f>IF(tblCleanData[[#This Row],[MonthlyIncome]]&lt;5000, "Low Income", IF(tblCleanData[[#This Row],[MonthlyIncome]]&lt;15000, "Medium Income", "High Income"))</f>
        <v>Low Income</v>
      </c>
      <c r="AL1451" s="13">
        <f>IF(tblCleanData[[#This Row],[Attrition]]="No", 0,1)</f>
        <v>0</v>
      </c>
      <c r="AM1451" s="13">
        <f>IF(tblCleanData[[#This Row],[OverTime]] = "No", 0, 1)</f>
        <v>0</v>
      </c>
      <c r="AN1451" s="13" t="str">
        <f>CHOOSE(tblCleanData[[#This Row],[Education]], "Below College","College","Bachelor","Master","Doctor")</f>
        <v>Bachelor</v>
      </c>
      <c r="AO1451" s="13" t="str">
        <f>VLOOKUP(tblCleanData[[#This Row],[EmployeeNumber]],tblHelpers[],15,TRUE)</f>
        <v>High Risk</v>
      </c>
      <c r="AP1451" s="13">
        <f>VLOOKUP(tblCleanData[[#This Row],[EmployeeNumber]],tblHelpers[],14,0)</f>
        <v>65</v>
      </c>
    </row>
    <row r="1452" spans="1:42" x14ac:dyDescent="0.25">
      <c r="A1452" s="13">
        <v>35</v>
      </c>
      <c r="B1452" s="13" t="s">
        <v>59</v>
      </c>
      <c r="C1452" s="13" t="s">
        <v>37</v>
      </c>
      <c r="D1452" s="13">
        <v>1146</v>
      </c>
      <c r="E1452" s="13" t="s">
        <v>397</v>
      </c>
      <c r="F1452" s="13">
        <v>26</v>
      </c>
      <c r="G1452" s="13">
        <v>4</v>
      </c>
      <c r="H1452" s="13" t="s">
        <v>42</v>
      </c>
      <c r="I1452" s="13">
        <v>1</v>
      </c>
      <c r="J1452" s="13">
        <v>2040</v>
      </c>
      <c r="K1452" s="13">
        <v>3</v>
      </c>
      <c r="L1452" s="13" t="s">
        <v>43</v>
      </c>
      <c r="M1452" s="13">
        <v>31</v>
      </c>
      <c r="N1452" s="13">
        <v>3</v>
      </c>
      <c r="O1452" s="13">
        <v>3</v>
      </c>
      <c r="P1452" s="13" t="s">
        <v>397</v>
      </c>
      <c r="Q1452" s="13">
        <v>4</v>
      </c>
      <c r="R1452" s="13" t="s">
        <v>48</v>
      </c>
      <c r="S1452" s="20">
        <v>8837</v>
      </c>
      <c r="T1452" s="13">
        <v>16642</v>
      </c>
      <c r="U1452" s="13">
        <v>1</v>
      </c>
      <c r="V1452" s="13" t="s">
        <v>52</v>
      </c>
      <c r="W1452" s="13" t="s">
        <v>36</v>
      </c>
      <c r="X1452" s="13">
        <v>16</v>
      </c>
      <c r="Y1452" s="13">
        <v>3</v>
      </c>
      <c r="Z1452" s="13">
        <v>3</v>
      </c>
      <c r="AA1452" s="13">
        <v>80</v>
      </c>
      <c r="AB1452" s="13">
        <v>0</v>
      </c>
      <c r="AC1452" s="13">
        <v>9</v>
      </c>
      <c r="AD1452" s="13">
        <v>2</v>
      </c>
      <c r="AE1452" s="13">
        <v>3</v>
      </c>
      <c r="AF1452" s="14">
        <v>9</v>
      </c>
      <c r="AG1452" s="13">
        <v>0</v>
      </c>
      <c r="AH1452" s="13">
        <v>1</v>
      </c>
      <c r="AI1452" s="13">
        <v>7</v>
      </c>
      <c r="AJ1452" s="13" t="str">
        <f t="shared" si="22"/>
        <v>30-39</v>
      </c>
      <c r="AK1452" s="13" t="str">
        <f>IF(tblCleanData[[#This Row],[MonthlyIncome]]&lt;5000, "Low Income", IF(tblCleanData[[#This Row],[MonthlyIncome]]&lt;15000, "Medium Income", "High Income"))</f>
        <v>Medium Income</v>
      </c>
      <c r="AL1452" s="13">
        <f>IF(tblCleanData[[#This Row],[Attrition]]="No", 0,1)</f>
        <v>0</v>
      </c>
      <c r="AM1452" s="13">
        <f>IF(tblCleanData[[#This Row],[OverTime]] = "No", 0, 1)</f>
        <v>1</v>
      </c>
      <c r="AN1452" s="13" t="str">
        <f>CHOOSE(tblCleanData[[#This Row],[Education]], "Below College","College","Bachelor","Master","Doctor")</f>
        <v>Master</v>
      </c>
      <c r="AO1452" s="13" t="str">
        <f>VLOOKUP(tblCleanData[[#This Row],[EmployeeNumber]],tblHelpers[],15,TRUE)</f>
        <v>High Risk</v>
      </c>
      <c r="AP1452" s="13">
        <f>VLOOKUP(tblCleanData[[#This Row],[EmployeeNumber]],tblHelpers[],14,0)</f>
        <v>64</v>
      </c>
    </row>
    <row r="1453" spans="1:42" x14ac:dyDescent="0.25">
      <c r="A1453" s="13">
        <v>38</v>
      </c>
      <c r="B1453" s="13" t="s">
        <v>59</v>
      </c>
      <c r="C1453" s="13" t="s">
        <v>37</v>
      </c>
      <c r="D1453" s="13">
        <v>345</v>
      </c>
      <c r="E1453" s="13" t="s">
        <v>39</v>
      </c>
      <c r="F1453" s="13">
        <v>10</v>
      </c>
      <c r="G1453" s="13">
        <v>2</v>
      </c>
      <c r="H1453" s="13" t="s">
        <v>42</v>
      </c>
      <c r="I1453" s="13">
        <v>1</v>
      </c>
      <c r="J1453" s="13">
        <v>2041</v>
      </c>
      <c r="K1453" s="13">
        <v>1</v>
      </c>
      <c r="L1453" s="13" t="s">
        <v>43</v>
      </c>
      <c r="M1453" s="13">
        <v>100</v>
      </c>
      <c r="N1453" s="13">
        <v>3</v>
      </c>
      <c r="O1453" s="13">
        <v>2</v>
      </c>
      <c r="P1453" s="13" t="s">
        <v>46</v>
      </c>
      <c r="Q1453" s="13">
        <v>4</v>
      </c>
      <c r="R1453" s="13" t="s">
        <v>66</v>
      </c>
      <c r="S1453" s="20">
        <v>5343</v>
      </c>
      <c r="T1453" s="13">
        <v>5982</v>
      </c>
      <c r="U1453" s="13">
        <v>1</v>
      </c>
      <c r="V1453" s="13" t="s">
        <v>52</v>
      </c>
      <c r="W1453" s="13" t="s">
        <v>59</v>
      </c>
      <c r="X1453" s="13">
        <v>11</v>
      </c>
      <c r="Y1453" s="13">
        <v>3</v>
      </c>
      <c r="Z1453" s="13">
        <v>3</v>
      </c>
      <c r="AA1453" s="13">
        <v>80</v>
      </c>
      <c r="AB1453" s="13">
        <v>1</v>
      </c>
      <c r="AC1453" s="13">
        <v>10</v>
      </c>
      <c r="AD1453" s="13">
        <v>1</v>
      </c>
      <c r="AE1453" s="13">
        <v>3</v>
      </c>
      <c r="AF1453" s="14">
        <v>10</v>
      </c>
      <c r="AG1453" s="13">
        <v>7</v>
      </c>
      <c r="AH1453" s="13">
        <v>1</v>
      </c>
      <c r="AI1453" s="13">
        <v>9</v>
      </c>
      <c r="AJ1453" s="13" t="str">
        <f t="shared" si="22"/>
        <v>30-39</v>
      </c>
      <c r="AK1453" s="13" t="str">
        <f>IF(tblCleanData[[#This Row],[MonthlyIncome]]&lt;5000, "Low Income", IF(tblCleanData[[#This Row],[MonthlyIncome]]&lt;15000, "Medium Income", "High Income"))</f>
        <v>Medium Income</v>
      </c>
      <c r="AL1453" s="13">
        <f>IF(tblCleanData[[#This Row],[Attrition]]="No", 0,1)</f>
        <v>0</v>
      </c>
      <c r="AM1453" s="13">
        <f>IF(tblCleanData[[#This Row],[OverTime]] = "No", 0, 1)</f>
        <v>0</v>
      </c>
      <c r="AN1453" s="13" t="str">
        <f>CHOOSE(tblCleanData[[#This Row],[Education]], "Below College","College","Bachelor","Master","Doctor")</f>
        <v>College</v>
      </c>
      <c r="AO1453" s="13" t="str">
        <f>VLOOKUP(tblCleanData[[#This Row],[EmployeeNumber]],tblHelpers[],15,TRUE)</f>
        <v>Medium Risk</v>
      </c>
      <c r="AP1453" s="13">
        <f>VLOOKUP(tblCleanData[[#This Row],[EmployeeNumber]],tblHelpers[],14,0)</f>
        <v>39</v>
      </c>
    </row>
    <row r="1454" spans="1:42" x14ac:dyDescent="0.25">
      <c r="A1454" s="13">
        <v>50</v>
      </c>
      <c r="B1454" s="13" t="s">
        <v>36</v>
      </c>
      <c r="C1454" s="13" t="s">
        <v>60</v>
      </c>
      <c r="D1454" s="13">
        <v>878</v>
      </c>
      <c r="E1454" s="13" t="s">
        <v>39</v>
      </c>
      <c r="F1454" s="13">
        <v>1</v>
      </c>
      <c r="G1454" s="13">
        <v>4</v>
      </c>
      <c r="H1454" s="13" t="s">
        <v>42</v>
      </c>
      <c r="I1454" s="13">
        <v>1</v>
      </c>
      <c r="J1454" s="13">
        <v>2044</v>
      </c>
      <c r="K1454" s="13">
        <v>2</v>
      </c>
      <c r="L1454" s="13" t="s">
        <v>63</v>
      </c>
      <c r="M1454" s="13">
        <v>94</v>
      </c>
      <c r="N1454" s="13">
        <v>3</v>
      </c>
      <c r="O1454" s="13">
        <v>2</v>
      </c>
      <c r="P1454" s="13" t="s">
        <v>46</v>
      </c>
      <c r="Q1454" s="13">
        <v>3</v>
      </c>
      <c r="R1454" s="13" t="s">
        <v>109</v>
      </c>
      <c r="S1454" s="20">
        <v>6728</v>
      </c>
      <c r="T1454" s="13">
        <v>14255</v>
      </c>
      <c r="U1454" s="13">
        <v>7</v>
      </c>
      <c r="V1454" s="13" t="s">
        <v>52</v>
      </c>
      <c r="W1454" s="13" t="s">
        <v>59</v>
      </c>
      <c r="X1454" s="13">
        <v>12</v>
      </c>
      <c r="Y1454" s="13">
        <v>3</v>
      </c>
      <c r="Z1454" s="13">
        <v>4</v>
      </c>
      <c r="AA1454" s="13">
        <v>80</v>
      </c>
      <c r="AB1454" s="13">
        <v>2</v>
      </c>
      <c r="AC1454" s="13">
        <v>12</v>
      </c>
      <c r="AD1454" s="13">
        <v>3</v>
      </c>
      <c r="AE1454" s="13">
        <v>3</v>
      </c>
      <c r="AF1454" s="14">
        <v>6</v>
      </c>
      <c r="AG1454" s="13">
        <v>3</v>
      </c>
      <c r="AH1454" s="13">
        <v>0</v>
      </c>
      <c r="AI1454" s="13">
        <v>1</v>
      </c>
      <c r="AJ1454" s="13" t="str">
        <f t="shared" si="22"/>
        <v>50+</v>
      </c>
      <c r="AK1454" s="13" t="str">
        <f>IF(tblCleanData[[#This Row],[MonthlyIncome]]&lt;5000, "Low Income", IF(tblCleanData[[#This Row],[MonthlyIncome]]&lt;15000, "Medium Income", "High Income"))</f>
        <v>Medium Income</v>
      </c>
      <c r="AL1454" s="13">
        <f>IF(tblCleanData[[#This Row],[Attrition]]="No", 0,1)</f>
        <v>1</v>
      </c>
      <c r="AM1454" s="13">
        <f>IF(tblCleanData[[#This Row],[OverTime]] = "No", 0, 1)</f>
        <v>0</v>
      </c>
      <c r="AN1454" s="13" t="str">
        <f>CHOOSE(tblCleanData[[#This Row],[Education]], "Below College","College","Bachelor","Master","Doctor")</f>
        <v>Master</v>
      </c>
      <c r="AO1454" s="13" t="str">
        <f>VLOOKUP(tblCleanData[[#This Row],[EmployeeNumber]],tblHelpers[],15,TRUE)</f>
        <v>Medium Risk</v>
      </c>
      <c r="AP1454" s="13">
        <f>VLOOKUP(tblCleanData[[#This Row],[EmployeeNumber]],tblHelpers[],14,0)</f>
        <v>41</v>
      </c>
    </row>
    <row r="1455" spans="1:42" x14ac:dyDescent="0.25">
      <c r="A1455" s="13">
        <v>36</v>
      </c>
      <c r="B1455" s="13" t="s">
        <v>59</v>
      </c>
      <c r="C1455" s="13" t="s">
        <v>37</v>
      </c>
      <c r="D1455" s="13">
        <v>1120</v>
      </c>
      <c r="E1455" s="13" t="s">
        <v>39</v>
      </c>
      <c r="F1455" s="13">
        <v>11</v>
      </c>
      <c r="G1455" s="13">
        <v>4</v>
      </c>
      <c r="H1455" s="13" t="s">
        <v>206</v>
      </c>
      <c r="I1455" s="13">
        <v>1</v>
      </c>
      <c r="J1455" s="13">
        <v>2045</v>
      </c>
      <c r="K1455" s="13">
        <v>2</v>
      </c>
      <c r="L1455" s="13" t="s">
        <v>43</v>
      </c>
      <c r="M1455" s="13">
        <v>100</v>
      </c>
      <c r="N1455" s="13">
        <v>2</v>
      </c>
      <c r="O1455" s="13">
        <v>2</v>
      </c>
      <c r="P1455" s="13" t="s">
        <v>46</v>
      </c>
      <c r="Q1455" s="13">
        <v>4</v>
      </c>
      <c r="R1455" s="13" t="s">
        <v>66</v>
      </c>
      <c r="S1455" s="20">
        <v>6652</v>
      </c>
      <c r="T1455" s="13">
        <v>14369</v>
      </c>
      <c r="U1455" s="13">
        <v>4</v>
      </c>
      <c r="V1455" s="13" t="s">
        <v>52</v>
      </c>
      <c r="W1455" s="13" t="s">
        <v>59</v>
      </c>
      <c r="X1455" s="13">
        <v>13</v>
      </c>
      <c r="Y1455" s="13">
        <v>3</v>
      </c>
      <c r="Z1455" s="13">
        <v>1</v>
      </c>
      <c r="AA1455" s="13">
        <v>80</v>
      </c>
      <c r="AB1455" s="13">
        <v>1</v>
      </c>
      <c r="AC1455" s="13">
        <v>8</v>
      </c>
      <c r="AD1455" s="13">
        <v>2</v>
      </c>
      <c r="AE1455" s="13">
        <v>2</v>
      </c>
      <c r="AF1455" s="14">
        <v>6</v>
      </c>
      <c r="AG1455" s="13">
        <v>3</v>
      </c>
      <c r="AH1455" s="13">
        <v>0</v>
      </c>
      <c r="AI1455" s="13">
        <v>0</v>
      </c>
      <c r="AJ1455" s="13" t="str">
        <f t="shared" si="22"/>
        <v>30-39</v>
      </c>
      <c r="AK1455" s="13" t="str">
        <f>IF(tblCleanData[[#This Row],[MonthlyIncome]]&lt;5000, "Low Income", IF(tblCleanData[[#This Row],[MonthlyIncome]]&lt;15000, "Medium Income", "High Income"))</f>
        <v>Medium Income</v>
      </c>
      <c r="AL1455" s="13">
        <f>IF(tblCleanData[[#This Row],[Attrition]]="No", 0,1)</f>
        <v>0</v>
      </c>
      <c r="AM1455" s="13">
        <f>IF(tblCleanData[[#This Row],[OverTime]] = "No", 0, 1)</f>
        <v>0</v>
      </c>
      <c r="AN1455" s="13" t="str">
        <f>CHOOSE(tblCleanData[[#This Row],[Education]], "Below College","College","Bachelor","Master","Doctor")</f>
        <v>Master</v>
      </c>
      <c r="AO1455" s="13" t="str">
        <f>VLOOKUP(tblCleanData[[#This Row],[EmployeeNumber]],tblHelpers[],15,TRUE)</f>
        <v>Medium Risk</v>
      </c>
      <c r="AP1455" s="13">
        <f>VLOOKUP(tblCleanData[[#This Row],[EmployeeNumber]],tblHelpers[],14,0)</f>
        <v>39</v>
      </c>
    </row>
    <row r="1456" spans="1:42" x14ac:dyDescent="0.25">
      <c r="A1456" s="13">
        <v>45</v>
      </c>
      <c r="B1456" s="13" t="s">
        <v>59</v>
      </c>
      <c r="C1456" s="13" t="s">
        <v>37</v>
      </c>
      <c r="D1456" s="13">
        <v>374</v>
      </c>
      <c r="E1456" s="13" t="s">
        <v>39</v>
      </c>
      <c r="F1456" s="13">
        <v>20</v>
      </c>
      <c r="G1456" s="13">
        <v>3</v>
      </c>
      <c r="H1456" s="13" t="s">
        <v>42</v>
      </c>
      <c r="I1456" s="13">
        <v>1</v>
      </c>
      <c r="J1456" s="13">
        <v>2046</v>
      </c>
      <c r="K1456" s="13">
        <v>4</v>
      </c>
      <c r="L1456" s="13" t="s">
        <v>43</v>
      </c>
      <c r="M1456" s="13">
        <v>50</v>
      </c>
      <c r="N1456" s="13">
        <v>3</v>
      </c>
      <c r="O1456" s="13">
        <v>2</v>
      </c>
      <c r="P1456" s="13" t="s">
        <v>46</v>
      </c>
      <c r="Q1456" s="13">
        <v>3</v>
      </c>
      <c r="R1456" s="13" t="s">
        <v>48</v>
      </c>
      <c r="S1456" s="20">
        <v>4850</v>
      </c>
      <c r="T1456" s="13">
        <v>23333</v>
      </c>
      <c r="U1456" s="13">
        <v>8</v>
      </c>
      <c r="V1456" s="13" t="s">
        <v>52</v>
      </c>
      <c r="W1456" s="13" t="s">
        <v>59</v>
      </c>
      <c r="X1456" s="13">
        <v>15</v>
      </c>
      <c r="Y1456" s="13">
        <v>3</v>
      </c>
      <c r="Z1456" s="13">
        <v>3</v>
      </c>
      <c r="AA1456" s="13">
        <v>80</v>
      </c>
      <c r="AB1456" s="13">
        <v>0</v>
      </c>
      <c r="AC1456" s="13">
        <v>8</v>
      </c>
      <c r="AD1456" s="13">
        <v>3</v>
      </c>
      <c r="AE1456" s="13">
        <v>3</v>
      </c>
      <c r="AF1456" s="14">
        <v>5</v>
      </c>
      <c r="AG1456" s="13">
        <v>3</v>
      </c>
      <c r="AH1456" s="13">
        <v>0</v>
      </c>
      <c r="AI1456" s="13">
        <v>1</v>
      </c>
      <c r="AJ1456" s="13" t="str">
        <f t="shared" si="22"/>
        <v>40-49</v>
      </c>
      <c r="AK1456" s="13" t="str">
        <f>IF(tblCleanData[[#This Row],[MonthlyIncome]]&lt;5000, "Low Income", IF(tblCleanData[[#This Row],[MonthlyIncome]]&lt;15000, "Medium Income", "High Income"))</f>
        <v>Low Income</v>
      </c>
      <c r="AL1456" s="13">
        <f>IF(tblCleanData[[#This Row],[Attrition]]="No", 0,1)</f>
        <v>0</v>
      </c>
      <c r="AM1456" s="13">
        <f>IF(tblCleanData[[#This Row],[OverTime]] = "No", 0, 1)</f>
        <v>0</v>
      </c>
      <c r="AN1456" s="13" t="str">
        <f>CHOOSE(tblCleanData[[#This Row],[Education]], "Below College","College","Bachelor","Master","Doctor")</f>
        <v>Bachelor</v>
      </c>
      <c r="AO1456" s="13" t="str">
        <f>VLOOKUP(tblCleanData[[#This Row],[EmployeeNumber]],tblHelpers[],15,TRUE)</f>
        <v>Medium Risk</v>
      </c>
      <c r="AP1456" s="13">
        <f>VLOOKUP(tblCleanData[[#This Row],[EmployeeNumber]],tblHelpers[],14,0)</f>
        <v>43</v>
      </c>
    </row>
    <row r="1457" spans="1:42" x14ac:dyDescent="0.25">
      <c r="A1457" s="13">
        <v>40</v>
      </c>
      <c r="B1457" s="13" t="s">
        <v>59</v>
      </c>
      <c r="C1457" s="13" t="s">
        <v>37</v>
      </c>
      <c r="D1457" s="13">
        <v>1322</v>
      </c>
      <c r="E1457" s="13" t="s">
        <v>62</v>
      </c>
      <c r="F1457" s="13">
        <v>2</v>
      </c>
      <c r="G1457" s="13">
        <v>4</v>
      </c>
      <c r="H1457" s="13" t="s">
        <v>42</v>
      </c>
      <c r="I1457" s="13">
        <v>1</v>
      </c>
      <c r="J1457" s="13">
        <v>2048</v>
      </c>
      <c r="K1457" s="13">
        <v>3</v>
      </c>
      <c r="L1457" s="13" t="s">
        <v>63</v>
      </c>
      <c r="M1457" s="13">
        <v>52</v>
      </c>
      <c r="N1457" s="13">
        <v>2</v>
      </c>
      <c r="O1457" s="13">
        <v>1</v>
      </c>
      <c r="P1457" s="13" t="s">
        <v>65</v>
      </c>
      <c r="Q1457" s="13">
        <v>3</v>
      </c>
      <c r="R1457" s="13" t="s">
        <v>48</v>
      </c>
      <c r="S1457" s="20">
        <v>2809</v>
      </c>
      <c r="T1457" s="13">
        <v>2725</v>
      </c>
      <c r="U1457" s="13">
        <v>2</v>
      </c>
      <c r="V1457" s="13" t="s">
        <v>52</v>
      </c>
      <c r="W1457" s="13" t="s">
        <v>59</v>
      </c>
      <c r="X1457" s="13">
        <v>14</v>
      </c>
      <c r="Y1457" s="13">
        <v>3</v>
      </c>
      <c r="Z1457" s="13">
        <v>4</v>
      </c>
      <c r="AA1457" s="13">
        <v>80</v>
      </c>
      <c r="AB1457" s="13">
        <v>0</v>
      </c>
      <c r="AC1457" s="13">
        <v>8</v>
      </c>
      <c r="AD1457" s="13">
        <v>2</v>
      </c>
      <c r="AE1457" s="13">
        <v>3</v>
      </c>
      <c r="AF1457" s="14">
        <v>2</v>
      </c>
      <c r="AG1457" s="13">
        <v>2</v>
      </c>
      <c r="AH1457" s="13">
        <v>2</v>
      </c>
      <c r="AI1457" s="13">
        <v>2</v>
      </c>
      <c r="AJ1457" s="13" t="str">
        <f t="shared" si="22"/>
        <v>40-49</v>
      </c>
      <c r="AK1457" s="13" t="str">
        <f>IF(tblCleanData[[#This Row],[MonthlyIncome]]&lt;5000, "Low Income", IF(tblCleanData[[#This Row],[MonthlyIncome]]&lt;15000, "Medium Income", "High Income"))</f>
        <v>Low Income</v>
      </c>
      <c r="AL1457" s="13">
        <f>IF(tblCleanData[[#This Row],[Attrition]]="No", 0,1)</f>
        <v>0</v>
      </c>
      <c r="AM1457" s="13">
        <f>IF(tblCleanData[[#This Row],[OverTime]] = "No", 0, 1)</f>
        <v>0</v>
      </c>
      <c r="AN1457" s="13" t="str">
        <f>CHOOSE(tblCleanData[[#This Row],[Education]], "Below College","College","Bachelor","Master","Doctor")</f>
        <v>Master</v>
      </c>
      <c r="AO1457" s="13" t="str">
        <f>VLOOKUP(tblCleanData[[#This Row],[EmployeeNumber]],tblHelpers[],15,TRUE)</f>
        <v>Medium Risk</v>
      </c>
      <c r="AP1457" s="13">
        <f>VLOOKUP(tblCleanData[[#This Row],[EmployeeNumber]],tblHelpers[],14,0)</f>
        <v>53</v>
      </c>
    </row>
    <row r="1458" spans="1:42" x14ac:dyDescent="0.25">
      <c r="A1458" s="13">
        <v>35</v>
      </c>
      <c r="B1458" s="13" t="s">
        <v>59</v>
      </c>
      <c r="C1458" s="13" t="s">
        <v>60</v>
      </c>
      <c r="D1458" s="13">
        <v>1199</v>
      </c>
      <c r="E1458" s="13" t="s">
        <v>62</v>
      </c>
      <c r="F1458" s="13">
        <v>18</v>
      </c>
      <c r="G1458" s="13">
        <v>4</v>
      </c>
      <c r="H1458" s="13" t="s">
        <v>42</v>
      </c>
      <c r="I1458" s="13">
        <v>1</v>
      </c>
      <c r="J1458" s="13">
        <v>2049</v>
      </c>
      <c r="K1458" s="13">
        <v>3</v>
      </c>
      <c r="L1458" s="13" t="s">
        <v>63</v>
      </c>
      <c r="M1458" s="13">
        <v>80</v>
      </c>
      <c r="N1458" s="13">
        <v>3</v>
      </c>
      <c r="O1458" s="13">
        <v>2</v>
      </c>
      <c r="P1458" s="13" t="s">
        <v>122</v>
      </c>
      <c r="Q1458" s="13">
        <v>3</v>
      </c>
      <c r="R1458" s="13" t="s">
        <v>66</v>
      </c>
      <c r="S1458" s="20">
        <v>5689</v>
      </c>
      <c r="T1458" s="13">
        <v>24594</v>
      </c>
      <c r="U1458" s="13">
        <v>1</v>
      </c>
      <c r="V1458" s="13" t="s">
        <v>52</v>
      </c>
      <c r="W1458" s="13" t="s">
        <v>36</v>
      </c>
      <c r="X1458" s="13">
        <v>14</v>
      </c>
      <c r="Y1458" s="13">
        <v>3</v>
      </c>
      <c r="Z1458" s="13">
        <v>4</v>
      </c>
      <c r="AA1458" s="13">
        <v>80</v>
      </c>
      <c r="AB1458" s="13">
        <v>2</v>
      </c>
      <c r="AC1458" s="13">
        <v>10</v>
      </c>
      <c r="AD1458" s="13">
        <v>2</v>
      </c>
      <c r="AE1458" s="13">
        <v>4</v>
      </c>
      <c r="AF1458" s="14">
        <v>10</v>
      </c>
      <c r="AG1458" s="13">
        <v>2</v>
      </c>
      <c r="AH1458" s="13">
        <v>0</v>
      </c>
      <c r="AI1458" s="13">
        <v>2</v>
      </c>
      <c r="AJ1458" s="13" t="str">
        <f t="shared" si="22"/>
        <v>30-39</v>
      </c>
      <c r="AK1458" s="13" t="str">
        <f>IF(tblCleanData[[#This Row],[MonthlyIncome]]&lt;5000, "Low Income", IF(tblCleanData[[#This Row],[MonthlyIncome]]&lt;15000, "Medium Income", "High Income"))</f>
        <v>Medium Income</v>
      </c>
      <c r="AL1458" s="13">
        <f>IF(tblCleanData[[#This Row],[Attrition]]="No", 0,1)</f>
        <v>0</v>
      </c>
      <c r="AM1458" s="13">
        <f>IF(tblCleanData[[#This Row],[OverTime]] = "No", 0, 1)</f>
        <v>1</v>
      </c>
      <c r="AN1458" s="13" t="str">
        <f>CHOOSE(tblCleanData[[#This Row],[Education]], "Below College","College","Bachelor","Master","Doctor")</f>
        <v>Master</v>
      </c>
      <c r="AO1458" s="13" t="str">
        <f>VLOOKUP(tblCleanData[[#This Row],[EmployeeNumber]],tblHelpers[],15,TRUE)</f>
        <v>High Risk</v>
      </c>
      <c r="AP1458" s="13">
        <f>VLOOKUP(tblCleanData[[#This Row],[EmployeeNumber]],tblHelpers[],14,0)</f>
        <v>71</v>
      </c>
    </row>
    <row r="1459" spans="1:42" x14ac:dyDescent="0.25">
      <c r="A1459" s="13">
        <v>40</v>
      </c>
      <c r="B1459" s="13" t="s">
        <v>59</v>
      </c>
      <c r="C1459" s="13" t="s">
        <v>37</v>
      </c>
      <c r="D1459" s="13">
        <v>1194</v>
      </c>
      <c r="E1459" s="13" t="s">
        <v>62</v>
      </c>
      <c r="F1459" s="13">
        <v>2</v>
      </c>
      <c r="G1459" s="13">
        <v>4</v>
      </c>
      <c r="H1459" s="13" t="s">
        <v>87</v>
      </c>
      <c r="I1459" s="13">
        <v>1</v>
      </c>
      <c r="J1459" s="13">
        <v>2051</v>
      </c>
      <c r="K1459" s="13">
        <v>3</v>
      </c>
      <c r="L1459" s="13" t="s">
        <v>43</v>
      </c>
      <c r="M1459" s="13">
        <v>98</v>
      </c>
      <c r="N1459" s="13">
        <v>3</v>
      </c>
      <c r="O1459" s="13">
        <v>1</v>
      </c>
      <c r="P1459" s="13" t="s">
        <v>65</v>
      </c>
      <c r="Q1459" s="13">
        <v>3</v>
      </c>
      <c r="R1459" s="13" t="s">
        <v>66</v>
      </c>
      <c r="S1459" s="20">
        <v>2001</v>
      </c>
      <c r="T1459" s="13">
        <v>12549</v>
      </c>
      <c r="U1459" s="13">
        <v>2</v>
      </c>
      <c r="V1459" s="13" t="s">
        <v>52</v>
      </c>
      <c r="W1459" s="13" t="s">
        <v>59</v>
      </c>
      <c r="X1459" s="13">
        <v>14</v>
      </c>
      <c r="Y1459" s="13">
        <v>3</v>
      </c>
      <c r="Z1459" s="13">
        <v>2</v>
      </c>
      <c r="AA1459" s="13">
        <v>80</v>
      </c>
      <c r="AB1459" s="13">
        <v>3</v>
      </c>
      <c r="AC1459" s="13">
        <v>20</v>
      </c>
      <c r="AD1459" s="13">
        <v>2</v>
      </c>
      <c r="AE1459" s="13">
        <v>3</v>
      </c>
      <c r="AF1459" s="14">
        <v>5</v>
      </c>
      <c r="AG1459" s="13">
        <v>3</v>
      </c>
      <c r="AH1459" s="13">
        <v>0</v>
      </c>
      <c r="AI1459" s="13">
        <v>2</v>
      </c>
      <c r="AJ1459" s="13" t="str">
        <f t="shared" si="22"/>
        <v>40-49</v>
      </c>
      <c r="AK1459" s="13" t="str">
        <f>IF(tblCleanData[[#This Row],[MonthlyIncome]]&lt;5000, "Low Income", IF(tblCleanData[[#This Row],[MonthlyIncome]]&lt;15000, "Medium Income", "High Income"))</f>
        <v>Low Income</v>
      </c>
      <c r="AL1459" s="13">
        <f>IF(tblCleanData[[#This Row],[Attrition]]="No", 0,1)</f>
        <v>0</v>
      </c>
      <c r="AM1459" s="13">
        <f>IF(tblCleanData[[#This Row],[OverTime]] = "No", 0, 1)</f>
        <v>0</v>
      </c>
      <c r="AN1459" s="13" t="str">
        <f>CHOOSE(tblCleanData[[#This Row],[Education]], "Below College","College","Bachelor","Master","Doctor")</f>
        <v>Master</v>
      </c>
      <c r="AO1459" s="13" t="str">
        <f>VLOOKUP(tblCleanData[[#This Row],[EmployeeNumber]],tblHelpers[],15,TRUE)</f>
        <v>Medium Risk</v>
      </c>
      <c r="AP1459" s="13">
        <f>VLOOKUP(tblCleanData[[#This Row],[EmployeeNumber]],tblHelpers[],14,0)</f>
        <v>43</v>
      </c>
    </row>
    <row r="1460" spans="1:42" x14ac:dyDescent="0.25">
      <c r="A1460" s="13">
        <v>35</v>
      </c>
      <c r="B1460" s="13" t="s">
        <v>59</v>
      </c>
      <c r="C1460" s="13" t="s">
        <v>37</v>
      </c>
      <c r="D1460" s="13">
        <v>287</v>
      </c>
      <c r="E1460" s="13" t="s">
        <v>62</v>
      </c>
      <c r="F1460" s="13">
        <v>1</v>
      </c>
      <c r="G1460" s="13">
        <v>4</v>
      </c>
      <c r="H1460" s="13" t="s">
        <v>42</v>
      </c>
      <c r="I1460" s="13">
        <v>1</v>
      </c>
      <c r="J1460" s="13">
        <v>2052</v>
      </c>
      <c r="K1460" s="13">
        <v>3</v>
      </c>
      <c r="L1460" s="13" t="s">
        <v>43</v>
      </c>
      <c r="M1460" s="13">
        <v>62</v>
      </c>
      <c r="N1460" s="13">
        <v>1</v>
      </c>
      <c r="O1460" s="13">
        <v>1</v>
      </c>
      <c r="P1460" s="13" t="s">
        <v>65</v>
      </c>
      <c r="Q1460" s="13">
        <v>4</v>
      </c>
      <c r="R1460" s="13" t="s">
        <v>66</v>
      </c>
      <c r="S1460" s="20">
        <v>2977</v>
      </c>
      <c r="T1460" s="13">
        <v>8952</v>
      </c>
      <c r="U1460" s="13">
        <v>1</v>
      </c>
      <c r="V1460" s="13" t="s">
        <v>52</v>
      </c>
      <c r="W1460" s="13" t="s">
        <v>59</v>
      </c>
      <c r="X1460" s="13">
        <v>12</v>
      </c>
      <c r="Y1460" s="13">
        <v>3</v>
      </c>
      <c r="Z1460" s="13">
        <v>4</v>
      </c>
      <c r="AA1460" s="13">
        <v>80</v>
      </c>
      <c r="AB1460" s="13">
        <v>1</v>
      </c>
      <c r="AC1460" s="13">
        <v>4</v>
      </c>
      <c r="AD1460" s="13">
        <v>5</v>
      </c>
      <c r="AE1460" s="13">
        <v>3</v>
      </c>
      <c r="AF1460" s="14">
        <v>4</v>
      </c>
      <c r="AG1460" s="13">
        <v>3</v>
      </c>
      <c r="AH1460" s="13">
        <v>1</v>
      </c>
      <c r="AI1460" s="13">
        <v>1</v>
      </c>
      <c r="AJ1460" s="13" t="str">
        <f t="shared" si="22"/>
        <v>30-39</v>
      </c>
      <c r="AK1460" s="13" t="str">
        <f>IF(tblCleanData[[#This Row],[MonthlyIncome]]&lt;5000, "Low Income", IF(tblCleanData[[#This Row],[MonthlyIncome]]&lt;15000, "Medium Income", "High Income"))</f>
        <v>Low Income</v>
      </c>
      <c r="AL1460" s="13">
        <f>IF(tblCleanData[[#This Row],[Attrition]]="No", 0,1)</f>
        <v>0</v>
      </c>
      <c r="AM1460" s="13">
        <f>IF(tblCleanData[[#This Row],[OverTime]] = "No", 0, 1)</f>
        <v>0</v>
      </c>
      <c r="AN1460" s="13" t="str">
        <f>CHOOSE(tblCleanData[[#This Row],[Education]], "Below College","College","Bachelor","Master","Doctor")</f>
        <v>Master</v>
      </c>
      <c r="AO1460" s="13" t="str">
        <f>VLOOKUP(tblCleanData[[#This Row],[EmployeeNumber]],tblHelpers[],15,TRUE)</f>
        <v>Medium Risk</v>
      </c>
      <c r="AP1460" s="13">
        <f>VLOOKUP(tblCleanData[[#This Row],[EmployeeNumber]],tblHelpers[],14,0)</f>
        <v>46</v>
      </c>
    </row>
    <row r="1461" spans="1:42" x14ac:dyDescent="0.25">
      <c r="A1461" s="13">
        <v>29</v>
      </c>
      <c r="B1461" s="13" t="s">
        <v>59</v>
      </c>
      <c r="C1461" s="13" t="s">
        <v>37</v>
      </c>
      <c r="D1461" s="13">
        <v>1378</v>
      </c>
      <c r="E1461" s="13" t="s">
        <v>62</v>
      </c>
      <c r="F1461" s="13">
        <v>13</v>
      </c>
      <c r="G1461" s="13">
        <v>2</v>
      </c>
      <c r="H1461" s="13" t="s">
        <v>74</v>
      </c>
      <c r="I1461" s="13">
        <v>1</v>
      </c>
      <c r="J1461" s="13">
        <v>2053</v>
      </c>
      <c r="K1461" s="13">
        <v>4</v>
      </c>
      <c r="L1461" s="13" t="s">
        <v>63</v>
      </c>
      <c r="M1461" s="13">
        <v>46</v>
      </c>
      <c r="N1461" s="13">
        <v>2</v>
      </c>
      <c r="O1461" s="13">
        <v>2</v>
      </c>
      <c r="P1461" s="13" t="s">
        <v>76</v>
      </c>
      <c r="Q1461" s="13">
        <v>2</v>
      </c>
      <c r="R1461" s="13" t="s">
        <v>66</v>
      </c>
      <c r="S1461" s="20">
        <v>4025</v>
      </c>
      <c r="T1461" s="13">
        <v>23679</v>
      </c>
      <c r="U1461" s="13">
        <v>4</v>
      </c>
      <c r="V1461" s="13" t="s">
        <v>52</v>
      </c>
      <c r="W1461" s="13" t="s">
        <v>36</v>
      </c>
      <c r="X1461" s="13">
        <v>13</v>
      </c>
      <c r="Y1461" s="13">
        <v>3</v>
      </c>
      <c r="Z1461" s="13">
        <v>1</v>
      </c>
      <c r="AA1461" s="13">
        <v>80</v>
      </c>
      <c r="AB1461" s="13">
        <v>1</v>
      </c>
      <c r="AC1461" s="13">
        <v>10</v>
      </c>
      <c r="AD1461" s="13">
        <v>2</v>
      </c>
      <c r="AE1461" s="13">
        <v>3</v>
      </c>
      <c r="AF1461" s="14">
        <v>4</v>
      </c>
      <c r="AG1461" s="13">
        <v>3</v>
      </c>
      <c r="AH1461" s="13">
        <v>0</v>
      </c>
      <c r="AI1461" s="13">
        <v>3</v>
      </c>
      <c r="AJ1461" s="13" t="str">
        <f t="shared" si="22"/>
        <v>Under 30</v>
      </c>
      <c r="AK1461" s="13" t="str">
        <f>IF(tblCleanData[[#This Row],[MonthlyIncome]]&lt;5000, "Low Income", IF(tblCleanData[[#This Row],[MonthlyIncome]]&lt;15000, "Medium Income", "High Income"))</f>
        <v>Low Income</v>
      </c>
      <c r="AL1461" s="13">
        <f>IF(tblCleanData[[#This Row],[Attrition]]="No", 0,1)</f>
        <v>0</v>
      </c>
      <c r="AM1461" s="13">
        <f>IF(tblCleanData[[#This Row],[OverTime]] = "No", 0, 1)</f>
        <v>1</v>
      </c>
      <c r="AN1461" s="13" t="str">
        <f>CHOOSE(tblCleanData[[#This Row],[Education]], "Below College","College","Bachelor","Master","Doctor")</f>
        <v>College</v>
      </c>
      <c r="AO1461" s="13" t="str">
        <f>VLOOKUP(tblCleanData[[#This Row],[EmployeeNumber]],tblHelpers[],15,TRUE)</f>
        <v>High Risk</v>
      </c>
      <c r="AP1461" s="13">
        <f>VLOOKUP(tblCleanData[[#This Row],[EmployeeNumber]],tblHelpers[],14,0)</f>
        <v>94</v>
      </c>
    </row>
    <row r="1462" spans="1:42" x14ac:dyDescent="0.25">
      <c r="A1462" s="13">
        <v>29</v>
      </c>
      <c r="B1462" s="13" t="s">
        <v>59</v>
      </c>
      <c r="C1462" s="13" t="s">
        <v>37</v>
      </c>
      <c r="D1462" s="13">
        <v>468</v>
      </c>
      <c r="E1462" s="13" t="s">
        <v>62</v>
      </c>
      <c r="F1462" s="13">
        <v>28</v>
      </c>
      <c r="G1462" s="13">
        <v>4</v>
      </c>
      <c r="H1462" s="13" t="s">
        <v>87</v>
      </c>
      <c r="I1462" s="13">
        <v>1</v>
      </c>
      <c r="J1462" s="13">
        <v>2054</v>
      </c>
      <c r="K1462" s="13">
        <v>4</v>
      </c>
      <c r="L1462" s="13" t="s">
        <v>43</v>
      </c>
      <c r="M1462" s="13">
        <v>73</v>
      </c>
      <c r="N1462" s="13">
        <v>2</v>
      </c>
      <c r="O1462" s="13">
        <v>1</v>
      </c>
      <c r="P1462" s="13" t="s">
        <v>65</v>
      </c>
      <c r="Q1462" s="13">
        <v>1</v>
      </c>
      <c r="R1462" s="13" t="s">
        <v>48</v>
      </c>
      <c r="S1462" s="20">
        <v>3785</v>
      </c>
      <c r="T1462" s="13">
        <v>8489</v>
      </c>
      <c r="U1462" s="13">
        <v>1</v>
      </c>
      <c r="V1462" s="13" t="s">
        <v>52</v>
      </c>
      <c r="W1462" s="13" t="s">
        <v>59</v>
      </c>
      <c r="X1462" s="13">
        <v>14</v>
      </c>
      <c r="Y1462" s="13">
        <v>3</v>
      </c>
      <c r="Z1462" s="13">
        <v>2</v>
      </c>
      <c r="AA1462" s="13">
        <v>80</v>
      </c>
      <c r="AB1462" s="13">
        <v>0</v>
      </c>
      <c r="AC1462" s="13">
        <v>5</v>
      </c>
      <c r="AD1462" s="13">
        <v>3</v>
      </c>
      <c r="AE1462" s="13">
        <v>1</v>
      </c>
      <c r="AF1462" s="14">
        <v>5</v>
      </c>
      <c r="AG1462" s="13">
        <v>4</v>
      </c>
      <c r="AH1462" s="13">
        <v>0</v>
      </c>
      <c r="AI1462" s="13">
        <v>4</v>
      </c>
      <c r="AJ1462" s="13" t="str">
        <f t="shared" si="22"/>
        <v>Under 30</v>
      </c>
      <c r="AK1462" s="13" t="str">
        <f>IF(tblCleanData[[#This Row],[MonthlyIncome]]&lt;5000, "Low Income", IF(tblCleanData[[#This Row],[MonthlyIncome]]&lt;15000, "Medium Income", "High Income"))</f>
        <v>Low Income</v>
      </c>
      <c r="AL1462" s="13">
        <f>IF(tblCleanData[[#This Row],[Attrition]]="No", 0,1)</f>
        <v>0</v>
      </c>
      <c r="AM1462" s="13">
        <f>IF(tblCleanData[[#This Row],[OverTime]] = "No", 0, 1)</f>
        <v>0</v>
      </c>
      <c r="AN1462" s="13" t="str">
        <f>CHOOSE(tblCleanData[[#This Row],[Education]], "Below College","College","Bachelor","Master","Doctor")</f>
        <v>Master</v>
      </c>
      <c r="AO1462" s="13" t="str">
        <f>VLOOKUP(tblCleanData[[#This Row],[EmployeeNumber]],tblHelpers[],15,TRUE)</f>
        <v>High Risk</v>
      </c>
      <c r="AP1462" s="13">
        <f>VLOOKUP(tblCleanData[[#This Row],[EmployeeNumber]],tblHelpers[],14,0)</f>
        <v>75</v>
      </c>
    </row>
    <row r="1463" spans="1:42" x14ac:dyDescent="0.25">
      <c r="A1463" s="13">
        <v>50</v>
      </c>
      <c r="B1463" s="13" t="s">
        <v>36</v>
      </c>
      <c r="C1463" s="13" t="s">
        <v>37</v>
      </c>
      <c r="D1463" s="13">
        <v>410</v>
      </c>
      <c r="E1463" s="13" t="s">
        <v>39</v>
      </c>
      <c r="F1463" s="13">
        <v>28</v>
      </c>
      <c r="G1463" s="13">
        <v>3</v>
      </c>
      <c r="H1463" s="13" t="s">
        <v>206</v>
      </c>
      <c r="I1463" s="13">
        <v>1</v>
      </c>
      <c r="J1463" s="13">
        <v>2055</v>
      </c>
      <c r="K1463" s="13">
        <v>4</v>
      </c>
      <c r="L1463" s="13" t="s">
        <v>63</v>
      </c>
      <c r="M1463" s="13">
        <v>39</v>
      </c>
      <c r="N1463" s="13">
        <v>2</v>
      </c>
      <c r="O1463" s="13">
        <v>3</v>
      </c>
      <c r="P1463" s="13" t="s">
        <v>46</v>
      </c>
      <c r="Q1463" s="13">
        <v>1</v>
      </c>
      <c r="R1463" s="13" t="s">
        <v>109</v>
      </c>
      <c r="S1463" s="20">
        <v>10854</v>
      </c>
      <c r="T1463" s="13">
        <v>16586</v>
      </c>
      <c r="U1463" s="13">
        <v>4</v>
      </c>
      <c r="V1463" s="13" t="s">
        <v>52</v>
      </c>
      <c r="W1463" s="13" t="s">
        <v>36</v>
      </c>
      <c r="X1463" s="13">
        <v>13</v>
      </c>
      <c r="Y1463" s="13">
        <v>3</v>
      </c>
      <c r="Z1463" s="13">
        <v>2</v>
      </c>
      <c r="AA1463" s="13">
        <v>80</v>
      </c>
      <c r="AB1463" s="13">
        <v>1</v>
      </c>
      <c r="AC1463" s="13">
        <v>20</v>
      </c>
      <c r="AD1463" s="13">
        <v>3</v>
      </c>
      <c r="AE1463" s="13">
        <v>3</v>
      </c>
      <c r="AF1463" s="14">
        <v>3</v>
      </c>
      <c r="AG1463" s="13">
        <v>2</v>
      </c>
      <c r="AH1463" s="13">
        <v>2</v>
      </c>
      <c r="AI1463" s="13">
        <v>0</v>
      </c>
      <c r="AJ1463" s="13" t="str">
        <f t="shared" si="22"/>
        <v>50+</v>
      </c>
      <c r="AK1463" s="13" t="str">
        <f>IF(tblCleanData[[#This Row],[MonthlyIncome]]&lt;5000, "Low Income", IF(tblCleanData[[#This Row],[MonthlyIncome]]&lt;15000, "Medium Income", "High Income"))</f>
        <v>Medium Income</v>
      </c>
      <c r="AL1463" s="13">
        <f>IF(tblCleanData[[#This Row],[Attrition]]="No", 0,1)</f>
        <v>1</v>
      </c>
      <c r="AM1463" s="13">
        <f>IF(tblCleanData[[#This Row],[OverTime]] = "No", 0, 1)</f>
        <v>1</v>
      </c>
      <c r="AN1463" s="13" t="str">
        <f>CHOOSE(tblCleanData[[#This Row],[Education]], "Below College","College","Bachelor","Master","Doctor")</f>
        <v>Bachelor</v>
      </c>
      <c r="AO1463" s="13" t="str">
        <f>VLOOKUP(tblCleanData[[#This Row],[EmployeeNumber]],tblHelpers[],15,TRUE)</f>
        <v>High Risk</v>
      </c>
      <c r="AP1463" s="13">
        <f>VLOOKUP(tblCleanData[[#This Row],[EmployeeNumber]],tblHelpers[],14,0)</f>
        <v>85</v>
      </c>
    </row>
    <row r="1464" spans="1:42" x14ac:dyDescent="0.25">
      <c r="A1464" s="13">
        <v>39</v>
      </c>
      <c r="B1464" s="13" t="s">
        <v>59</v>
      </c>
      <c r="C1464" s="13" t="s">
        <v>37</v>
      </c>
      <c r="D1464" s="13">
        <v>722</v>
      </c>
      <c r="E1464" s="13" t="s">
        <v>39</v>
      </c>
      <c r="F1464" s="13">
        <v>24</v>
      </c>
      <c r="G1464" s="13">
        <v>1</v>
      </c>
      <c r="H1464" s="13" t="s">
        <v>206</v>
      </c>
      <c r="I1464" s="13">
        <v>1</v>
      </c>
      <c r="J1464" s="13">
        <v>2056</v>
      </c>
      <c r="K1464" s="13">
        <v>2</v>
      </c>
      <c r="L1464" s="13" t="s">
        <v>43</v>
      </c>
      <c r="M1464" s="13">
        <v>60</v>
      </c>
      <c r="N1464" s="13">
        <v>2</v>
      </c>
      <c r="O1464" s="13">
        <v>4</v>
      </c>
      <c r="P1464" s="13" t="s">
        <v>46</v>
      </c>
      <c r="Q1464" s="13">
        <v>4</v>
      </c>
      <c r="R1464" s="13" t="s">
        <v>66</v>
      </c>
      <c r="S1464" s="20">
        <v>12031</v>
      </c>
      <c r="T1464" s="13">
        <v>8828</v>
      </c>
      <c r="U1464" s="13">
        <v>0</v>
      </c>
      <c r="V1464" s="13" t="s">
        <v>52</v>
      </c>
      <c r="W1464" s="13" t="s">
        <v>59</v>
      </c>
      <c r="X1464" s="13">
        <v>11</v>
      </c>
      <c r="Y1464" s="13">
        <v>3</v>
      </c>
      <c r="Z1464" s="13">
        <v>1</v>
      </c>
      <c r="AA1464" s="13">
        <v>80</v>
      </c>
      <c r="AB1464" s="13">
        <v>1</v>
      </c>
      <c r="AC1464" s="13">
        <v>21</v>
      </c>
      <c r="AD1464" s="13">
        <v>2</v>
      </c>
      <c r="AE1464" s="13">
        <v>2</v>
      </c>
      <c r="AF1464" s="14">
        <v>20</v>
      </c>
      <c r="AG1464" s="13">
        <v>9</v>
      </c>
      <c r="AH1464" s="13">
        <v>9</v>
      </c>
      <c r="AI1464" s="13">
        <v>6</v>
      </c>
      <c r="AJ1464" s="13" t="str">
        <f t="shared" si="22"/>
        <v>30-39</v>
      </c>
      <c r="AK1464" s="13" t="str">
        <f>IF(tblCleanData[[#This Row],[MonthlyIncome]]&lt;5000, "Low Income", IF(tblCleanData[[#This Row],[MonthlyIncome]]&lt;15000, "Medium Income", "High Income"))</f>
        <v>Medium Income</v>
      </c>
      <c r="AL1464" s="13">
        <f>IF(tblCleanData[[#This Row],[Attrition]]="No", 0,1)</f>
        <v>0</v>
      </c>
      <c r="AM1464" s="13">
        <f>IF(tblCleanData[[#This Row],[OverTime]] = "No", 0, 1)</f>
        <v>0</v>
      </c>
      <c r="AN1464" s="13" t="str">
        <f>CHOOSE(tblCleanData[[#This Row],[Education]], "Below College","College","Bachelor","Master","Doctor")</f>
        <v>Below College</v>
      </c>
      <c r="AO1464" s="13" t="str">
        <f>VLOOKUP(tblCleanData[[#This Row],[EmployeeNumber]],tblHelpers[],15,TRUE)</f>
        <v>Low Risk</v>
      </c>
      <c r="AP1464" s="13">
        <f>VLOOKUP(tblCleanData[[#This Row],[EmployeeNumber]],tblHelpers[],14,0)</f>
        <v>34</v>
      </c>
    </row>
    <row r="1465" spans="1:42" x14ac:dyDescent="0.25">
      <c r="A1465" s="13">
        <v>31</v>
      </c>
      <c r="B1465" s="13" t="s">
        <v>59</v>
      </c>
      <c r="C1465" s="13" t="s">
        <v>161</v>
      </c>
      <c r="D1465" s="13">
        <v>325</v>
      </c>
      <c r="E1465" s="13" t="s">
        <v>62</v>
      </c>
      <c r="F1465" s="13">
        <v>5</v>
      </c>
      <c r="G1465" s="13">
        <v>3</v>
      </c>
      <c r="H1465" s="13" t="s">
        <v>87</v>
      </c>
      <c r="I1465" s="13">
        <v>1</v>
      </c>
      <c r="J1465" s="13">
        <v>2057</v>
      </c>
      <c r="K1465" s="13">
        <v>2</v>
      </c>
      <c r="L1465" s="13" t="s">
        <v>63</v>
      </c>
      <c r="M1465" s="13">
        <v>74</v>
      </c>
      <c r="N1465" s="13">
        <v>3</v>
      </c>
      <c r="O1465" s="13">
        <v>2</v>
      </c>
      <c r="P1465" s="13" t="s">
        <v>116</v>
      </c>
      <c r="Q1465" s="13">
        <v>1</v>
      </c>
      <c r="R1465" s="13" t="s">
        <v>48</v>
      </c>
      <c r="S1465" s="20">
        <v>9936</v>
      </c>
      <c r="T1465" s="13">
        <v>3787</v>
      </c>
      <c r="U1465" s="13">
        <v>0</v>
      </c>
      <c r="V1465" s="13" t="s">
        <v>52</v>
      </c>
      <c r="W1465" s="13" t="s">
        <v>59</v>
      </c>
      <c r="X1465" s="13">
        <v>19</v>
      </c>
      <c r="Y1465" s="13">
        <v>3</v>
      </c>
      <c r="Z1465" s="13">
        <v>2</v>
      </c>
      <c r="AA1465" s="13">
        <v>80</v>
      </c>
      <c r="AB1465" s="13">
        <v>0</v>
      </c>
      <c r="AC1465" s="13">
        <v>10</v>
      </c>
      <c r="AD1465" s="13">
        <v>2</v>
      </c>
      <c r="AE1465" s="13">
        <v>3</v>
      </c>
      <c r="AF1465" s="14">
        <v>9</v>
      </c>
      <c r="AG1465" s="13">
        <v>4</v>
      </c>
      <c r="AH1465" s="13">
        <v>1</v>
      </c>
      <c r="AI1465" s="13">
        <v>7</v>
      </c>
      <c r="AJ1465" s="13" t="str">
        <f t="shared" si="22"/>
        <v>30-39</v>
      </c>
      <c r="AK1465" s="13" t="str">
        <f>IF(tblCleanData[[#This Row],[MonthlyIncome]]&lt;5000, "Low Income", IF(tblCleanData[[#This Row],[MonthlyIncome]]&lt;15000, "Medium Income", "High Income"))</f>
        <v>Medium Income</v>
      </c>
      <c r="AL1465" s="13">
        <f>IF(tblCleanData[[#This Row],[Attrition]]="No", 0,1)</f>
        <v>0</v>
      </c>
      <c r="AM1465" s="13">
        <f>IF(tblCleanData[[#This Row],[OverTime]] = "No", 0, 1)</f>
        <v>0</v>
      </c>
      <c r="AN1465" s="13" t="str">
        <f>CHOOSE(tblCleanData[[#This Row],[Education]], "Below College","College","Bachelor","Master","Doctor")</f>
        <v>Bachelor</v>
      </c>
      <c r="AO1465" s="13" t="str">
        <f>VLOOKUP(tblCleanData[[#This Row],[EmployeeNumber]],tblHelpers[],15,TRUE)</f>
        <v>High Risk</v>
      </c>
      <c r="AP1465" s="13">
        <f>VLOOKUP(tblCleanData[[#This Row],[EmployeeNumber]],tblHelpers[],14,0)</f>
        <v>58</v>
      </c>
    </row>
    <row r="1466" spans="1:42" x14ac:dyDescent="0.25">
      <c r="A1466" s="13">
        <v>26</v>
      </c>
      <c r="B1466" s="13" t="s">
        <v>59</v>
      </c>
      <c r="C1466" s="13" t="s">
        <v>37</v>
      </c>
      <c r="D1466" s="13">
        <v>1167</v>
      </c>
      <c r="E1466" s="13" t="s">
        <v>39</v>
      </c>
      <c r="F1466" s="13">
        <v>5</v>
      </c>
      <c r="G1466" s="13">
        <v>3</v>
      </c>
      <c r="H1466" s="13" t="s">
        <v>74</v>
      </c>
      <c r="I1466" s="13">
        <v>1</v>
      </c>
      <c r="J1466" s="13">
        <v>2060</v>
      </c>
      <c r="K1466" s="13">
        <v>4</v>
      </c>
      <c r="L1466" s="13" t="s">
        <v>43</v>
      </c>
      <c r="M1466" s="13">
        <v>30</v>
      </c>
      <c r="N1466" s="13">
        <v>2</v>
      </c>
      <c r="O1466" s="13">
        <v>1</v>
      </c>
      <c r="P1466" s="13" t="s">
        <v>182</v>
      </c>
      <c r="Q1466" s="13">
        <v>3</v>
      </c>
      <c r="R1466" s="13" t="s">
        <v>48</v>
      </c>
      <c r="S1466" s="20">
        <v>2966</v>
      </c>
      <c r="T1466" s="13">
        <v>21378</v>
      </c>
      <c r="U1466" s="13">
        <v>0</v>
      </c>
      <c r="V1466" s="13" t="s">
        <v>52</v>
      </c>
      <c r="W1466" s="13" t="s">
        <v>59</v>
      </c>
      <c r="X1466" s="13">
        <v>18</v>
      </c>
      <c r="Y1466" s="13">
        <v>3</v>
      </c>
      <c r="Z1466" s="13">
        <v>4</v>
      </c>
      <c r="AA1466" s="13">
        <v>80</v>
      </c>
      <c r="AB1466" s="13">
        <v>0</v>
      </c>
      <c r="AC1466" s="13">
        <v>5</v>
      </c>
      <c r="AD1466" s="13">
        <v>2</v>
      </c>
      <c r="AE1466" s="13">
        <v>3</v>
      </c>
      <c r="AF1466" s="14">
        <v>4</v>
      </c>
      <c r="AG1466" s="13">
        <v>2</v>
      </c>
      <c r="AH1466" s="13">
        <v>0</v>
      </c>
      <c r="AI1466" s="13">
        <v>0</v>
      </c>
      <c r="AJ1466" s="13" t="str">
        <f t="shared" si="22"/>
        <v>Under 30</v>
      </c>
      <c r="AK1466" s="13" t="str">
        <f>IF(tblCleanData[[#This Row],[MonthlyIncome]]&lt;5000, "Low Income", IF(tblCleanData[[#This Row],[MonthlyIncome]]&lt;15000, "Medium Income", "High Income"))</f>
        <v>Low Income</v>
      </c>
      <c r="AL1466" s="13">
        <f>IF(tblCleanData[[#This Row],[Attrition]]="No", 0,1)</f>
        <v>0</v>
      </c>
      <c r="AM1466" s="13">
        <f>IF(tblCleanData[[#This Row],[OverTime]] = "No", 0, 1)</f>
        <v>0</v>
      </c>
      <c r="AN1466" s="13" t="str">
        <f>CHOOSE(tblCleanData[[#This Row],[Education]], "Below College","College","Bachelor","Master","Doctor")</f>
        <v>Bachelor</v>
      </c>
      <c r="AO1466" s="13" t="str">
        <f>VLOOKUP(tblCleanData[[#This Row],[EmployeeNumber]],tblHelpers[],15,TRUE)</f>
        <v>High Risk</v>
      </c>
      <c r="AP1466" s="13">
        <f>VLOOKUP(tblCleanData[[#This Row],[EmployeeNumber]],tblHelpers[],14,0)</f>
        <v>63</v>
      </c>
    </row>
    <row r="1467" spans="1:42" x14ac:dyDescent="0.25">
      <c r="A1467" s="13">
        <v>36</v>
      </c>
      <c r="B1467" s="13" t="s">
        <v>59</v>
      </c>
      <c r="C1467" s="13" t="s">
        <v>60</v>
      </c>
      <c r="D1467" s="13">
        <v>884</v>
      </c>
      <c r="E1467" s="13" t="s">
        <v>62</v>
      </c>
      <c r="F1467" s="13">
        <v>23</v>
      </c>
      <c r="G1467" s="13">
        <v>2</v>
      </c>
      <c r="H1467" s="13" t="s">
        <v>87</v>
      </c>
      <c r="I1467" s="13">
        <v>1</v>
      </c>
      <c r="J1467" s="13">
        <v>2061</v>
      </c>
      <c r="K1467" s="13">
        <v>3</v>
      </c>
      <c r="L1467" s="13" t="s">
        <v>63</v>
      </c>
      <c r="M1467" s="13">
        <v>41</v>
      </c>
      <c r="N1467" s="13">
        <v>4</v>
      </c>
      <c r="O1467" s="13">
        <v>2</v>
      </c>
      <c r="P1467" s="13" t="s">
        <v>76</v>
      </c>
      <c r="Q1467" s="13">
        <v>4</v>
      </c>
      <c r="R1467" s="13" t="s">
        <v>66</v>
      </c>
      <c r="S1467" s="20">
        <v>2571</v>
      </c>
      <c r="T1467" s="13">
        <v>12290</v>
      </c>
      <c r="U1467" s="13">
        <v>4</v>
      </c>
      <c r="V1467" s="13" t="s">
        <v>52</v>
      </c>
      <c r="W1467" s="13" t="s">
        <v>59</v>
      </c>
      <c r="X1467" s="13">
        <v>17</v>
      </c>
      <c r="Y1467" s="13">
        <v>3</v>
      </c>
      <c r="Z1467" s="13">
        <v>3</v>
      </c>
      <c r="AA1467" s="13">
        <v>80</v>
      </c>
      <c r="AB1467" s="13">
        <v>1</v>
      </c>
      <c r="AC1467" s="13">
        <v>17</v>
      </c>
      <c r="AD1467" s="13">
        <v>3</v>
      </c>
      <c r="AE1467" s="13">
        <v>3</v>
      </c>
      <c r="AF1467" s="14">
        <v>5</v>
      </c>
      <c r="AG1467" s="13">
        <v>2</v>
      </c>
      <c r="AH1467" s="13">
        <v>0</v>
      </c>
      <c r="AI1467" s="13">
        <v>3</v>
      </c>
      <c r="AJ1467" s="13" t="str">
        <f t="shared" si="22"/>
        <v>30-39</v>
      </c>
      <c r="AK1467" s="13" t="str">
        <f>IF(tblCleanData[[#This Row],[MonthlyIncome]]&lt;5000, "Low Income", IF(tblCleanData[[#This Row],[MonthlyIncome]]&lt;15000, "Medium Income", "High Income"))</f>
        <v>Low Income</v>
      </c>
      <c r="AL1467" s="13">
        <f>IF(tblCleanData[[#This Row],[Attrition]]="No", 0,1)</f>
        <v>0</v>
      </c>
      <c r="AM1467" s="13">
        <f>IF(tblCleanData[[#This Row],[OverTime]] = "No", 0, 1)</f>
        <v>0</v>
      </c>
      <c r="AN1467" s="13" t="str">
        <f>CHOOSE(tblCleanData[[#This Row],[Education]], "Below College","College","Bachelor","Master","Doctor")</f>
        <v>College</v>
      </c>
      <c r="AO1467" s="13" t="str">
        <f>VLOOKUP(tblCleanData[[#This Row],[EmployeeNumber]],tblHelpers[],15,TRUE)</f>
        <v>Medium Risk</v>
      </c>
      <c r="AP1467" s="13">
        <f>VLOOKUP(tblCleanData[[#This Row],[EmployeeNumber]],tblHelpers[],14,0)</f>
        <v>46</v>
      </c>
    </row>
    <row r="1468" spans="1:42" x14ac:dyDescent="0.25">
      <c r="A1468" s="13">
        <v>39</v>
      </c>
      <c r="B1468" s="13" t="s">
        <v>59</v>
      </c>
      <c r="C1468" s="13" t="s">
        <v>37</v>
      </c>
      <c r="D1468" s="13">
        <v>613</v>
      </c>
      <c r="E1468" s="13" t="s">
        <v>62</v>
      </c>
      <c r="F1468" s="13">
        <v>6</v>
      </c>
      <c r="G1468" s="13">
        <v>1</v>
      </c>
      <c r="H1468" s="13" t="s">
        <v>87</v>
      </c>
      <c r="I1468" s="13">
        <v>1</v>
      </c>
      <c r="J1468" s="13">
        <v>2062</v>
      </c>
      <c r="K1468" s="13">
        <v>4</v>
      </c>
      <c r="L1468" s="13" t="s">
        <v>63</v>
      </c>
      <c r="M1468" s="13">
        <v>42</v>
      </c>
      <c r="N1468" s="13">
        <v>2</v>
      </c>
      <c r="O1468" s="13">
        <v>3</v>
      </c>
      <c r="P1468" s="13" t="s">
        <v>122</v>
      </c>
      <c r="Q1468" s="13">
        <v>1</v>
      </c>
      <c r="R1468" s="13" t="s">
        <v>66</v>
      </c>
      <c r="S1468" s="20">
        <v>9991</v>
      </c>
      <c r="T1468" s="13">
        <v>21457</v>
      </c>
      <c r="U1468" s="13">
        <v>4</v>
      </c>
      <c r="V1468" s="13" t="s">
        <v>52</v>
      </c>
      <c r="W1468" s="13" t="s">
        <v>59</v>
      </c>
      <c r="X1468" s="13">
        <v>15</v>
      </c>
      <c r="Y1468" s="13">
        <v>3</v>
      </c>
      <c r="Z1468" s="13">
        <v>1</v>
      </c>
      <c r="AA1468" s="13">
        <v>80</v>
      </c>
      <c r="AB1468" s="13">
        <v>1</v>
      </c>
      <c r="AC1468" s="13">
        <v>9</v>
      </c>
      <c r="AD1468" s="13">
        <v>5</v>
      </c>
      <c r="AE1468" s="13">
        <v>3</v>
      </c>
      <c r="AF1468" s="14">
        <v>7</v>
      </c>
      <c r="AG1468" s="13">
        <v>7</v>
      </c>
      <c r="AH1468" s="13">
        <v>1</v>
      </c>
      <c r="AI1468" s="13">
        <v>7</v>
      </c>
      <c r="AJ1468" s="13" t="str">
        <f t="shared" si="22"/>
        <v>30-39</v>
      </c>
      <c r="AK1468" s="13" t="str">
        <f>IF(tblCleanData[[#This Row],[MonthlyIncome]]&lt;5000, "Low Income", IF(tblCleanData[[#This Row],[MonthlyIncome]]&lt;15000, "Medium Income", "High Income"))</f>
        <v>Medium Income</v>
      </c>
      <c r="AL1468" s="13">
        <f>IF(tblCleanData[[#This Row],[Attrition]]="No", 0,1)</f>
        <v>0</v>
      </c>
      <c r="AM1468" s="13">
        <f>IF(tblCleanData[[#This Row],[OverTime]] = "No", 0, 1)</f>
        <v>0</v>
      </c>
      <c r="AN1468" s="13" t="str">
        <f>CHOOSE(tblCleanData[[#This Row],[Education]], "Below College","College","Bachelor","Master","Doctor")</f>
        <v>Below College</v>
      </c>
      <c r="AO1468" s="13" t="str">
        <f>VLOOKUP(tblCleanData[[#This Row],[EmployeeNumber]],tblHelpers[],15,TRUE)</f>
        <v>High Risk</v>
      </c>
      <c r="AP1468" s="13">
        <f>VLOOKUP(tblCleanData[[#This Row],[EmployeeNumber]],tblHelpers[],14,0)</f>
        <v>58</v>
      </c>
    </row>
    <row r="1469" spans="1:42" x14ac:dyDescent="0.25">
      <c r="A1469" s="13">
        <v>27</v>
      </c>
      <c r="B1469" s="13" t="s">
        <v>59</v>
      </c>
      <c r="C1469" s="13" t="s">
        <v>37</v>
      </c>
      <c r="D1469" s="13">
        <v>155</v>
      </c>
      <c r="E1469" s="13" t="s">
        <v>62</v>
      </c>
      <c r="F1469" s="13">
        <v>4</v>
      </c>
      <c r="G1469" s="13">
        <v>3</v>
      </c>
      <c r="H1469" s="13" t="s">
        <v>42</v>
      </c>
      <c r="I1469" s="13">
        <v>1</v>
      </c>
      <c r="J1469" s="13">
        <v>2064</v>
      </c>
      <c r="K1469" s="13">
        <v>2</v>
      </c>
      <c r="L1469" s="13" t="s">
        <v>63</v>
      </c>
      <c r="M1469" s="13">
        <v>87</v>
      </c>
      <c r="N1469" s="13">
        <v>4</v>
      </c>
      <c r="O1469" s="13">
        <v>2</v>
      </c>
      <c r="P1469" s="13" t="s">
        <v>116</v>
      </c>
      <c r="Q1469" s="13">
        <v>2</v>
      </c>
      <c r="R1469" s="13" t="s">
        <v>66</v>
      </c>
      <c r="S1469" s="20">
        <v>6142</v>
      </c>
      <c r="T1469" s="13">
        <v>5174</v>
      </c>
      <c r="U1469" s="13">
        <v>1</v>
      </c>
      <c r="V1469" s="13" t="s">
        <v>52</v>
      </c>
      <c r="W1469" s="13" t="s">
        <v>36</v>
      </c>
      <c r="X1469" s="13">
        <v>20</v>
      </c>
      <c r="Y1469" s="13">
        <v>4</v>
      </c>
      <c r="Z1469" s="13">
        <v>2</v>
      </c>
      <c r="AA1469" s="13">
        <v>80</v>
      </c>
      <c r="AB1469" s="13">
        <v>1</v>
      </c>
      <c r="AC1469" s="13">
        <v>6</v>
      </c>
      <c r="AD1469" s="13">
        <v>0</v>
      </c>
      <c r="AE1469" s="13">
        <v>3</v>
      </c>
      <c r="AF1469" s="14">
        <v>6</v>
      </c>
      <c r="AG1469" s="13">
        <v>2</v>
      </c>
      <c r="AH1469" s="13">
        <v>0</v>
      </c>
      <c r="AI1469" s="13">
        <v>3</v>
      </c>
      <c r="AJ1469" s="13" t="str">
        <f t="shared" si="22"/>
        <v>Under 30</v>
      </c>
      <c r="AK1469" s="13" t="str">
        <f>IF(tblCleanData[[#This Row],[MonthlyIncome]]&lt;5000, "Low Income", IF(tblCleanData[[#This Row],[MonthlyIncome]]&lt;15000, "Medium Income", "High Income"))</f>
        <v>Medium Income</v>
      </c>
      <c r="AL1469" s="13">
        <f>IF(tblCleanData[[#This Row],[Attrition]]="No", 0,1)</f>
        <v>0</v>
      </c>
      <c r="AM1469" s="13">
        <f>IF(tblCleanData[[#This Row],[OverTime]] = "No", 0, 1)</f>
        <v>1</v>
      </c>
      <c r="AN1469" s="13" t="str">
        <f>CHOOSE(tblCleanData[[#This Row],[Education]], "Below College","College","Bachelor","Master","Doctor")</f>
        <v>Bachelor</v>
      </c>
      <c r="AO1469" s="13" t="str">
        <f>VLOOKUP(tblCleanData[[#This Row],[EmployeeNumber]],tblHelpers[],15,TRUE)</f>
        <v>High Risk</v>
      </c>
      <c r="AP1469" s="13">
        <f>VLOOKUP(tblCleanData[[#This Row],[EmployeeNumber]],tblHelpers[],14,0)</f>
        <v>87</v>
      </c>
    </row>
    <row r="1470" spans="1:42" x14ac:dyDescent="0.25">
      <c r="A1470" s="13">
        <v>49</v>
      </c>
      <c r="B1470" s="13" t="s">
        <v>59</v>
      </c>
      <c r="C1470" s="13" t="s">
        <v>60</v>
      </c>
      <c r="D1470" s="13">
        <v>1023</v>
      </c>
      <c r="E1470" s="13" t="s">
        <v>39</v>
      </c>
      <c r="F1470" s="13">
        <v>2</v>
      </c>
      <c r="G1470" s="13">
        <v>3</v>
      </c>
      <c r="H1470" s="13" t="s">
        <v>87</v>
      </c>
      <c r="I1470" s="13">
        <v>1</v>
      </c>
      <c r="J1470" s="13">
        <v>2065</v>
      </c>
      <c r="K1470" s="13">
        <v>4</v>
      </c>
      <c r="L1470" s="13" t="s">
        <v>63</v>
      </c>
      <c r="M1470" s="13">
        <v>63</v>
      </c>
      <c r="N1470" s="13">
        <v>2</v>
      </c>
      <c r="O1470" s="13">
        <v>2</v>
      </c>
      <c r="P1470" s="13" t="s">
        <v>46</v>
      </c>
      <c r="Q1470" s="13">
        <v>2</v>
      </c>
      <c r="R1470" s="13" t="s">
        <v>66</v>
      </c>
      <c r="S1470" s="20">
        <v>5390</v>
      </c>
      <c r="T1470" s="13">
        <v>13243</v>
      </c>
      <c r="U1470" s="13">
        <v>2</v>
      </c>
      <c r="V1470" s="13" t="s">
        <v>52</v>
      </c>
      <c r="W1470" s="13" t="s">
        <v>59</v>
      </c>
      <c r="X1470" s="13">
        <v>14</v>
      </c>
      <c r="Y1470" s="13">
        <v>3</v>
      </c>
      <c r="Z1470" s="13">
        <v>4</v>
      </c>
      <c r="AA1470" s="13">
        <v>80</v>
      </c>
      <c r="AB1470" s="13">
        <v>0</v>
      </c>
      <c r="AC1470" s="13">
        <v>17</v>
      </c>
      <c r="AD1470" s="13">
        <v>3</v>
      </c>
      <c r="AE1470" s="13">
        <v>2</v>
      </c>
      <c r="AF1470" s="14">
        <v>9</v>
      </c>
      <c r="AG1470" s="13">
        <v>6</v>
      </c>
      <c r="AH1470" s="13">
        <v>0</v>
      </c>
      <c r="AI1470" s="13">
        <v>8</v>
      </c>
      <c r="AJ1470" s="13" t="str">
        <f t="shared" si="22"/>
        <v>40-49</v>
      </c>
      <c r="AK1470" s="13" t="str">
        <f>IF(tblCleanData[[#This Row],[MonthlyIncome]]&lt;5000, "Low Income", IF(tblCleanData[[#This Row],[MonthlyIncome]]&lt;15000, "Medium Income", "High Income"))</f>
        <v>Medium Income</v>
      </c>
      <c r="AL1470" s="13">
        <f>IF(tblCleanData[[#This Row],[Attrition]]="No", 0,1)</f>
        <v>0</v>
      </c>
      <c r="AM1470" s="13">
        <f>IF(tblCleanData[[#This Row],[OverTime]] = "No", 0, 1)</f>
        <v>0</v>
      </c>
      <c r="AN1470" s="13" t="str">
        <f>CHOOSE(tblCleanData[[#This Row],[Education]], "Below College","College","Bachelor","Master","Doctor")</f>
        <v>Bachelor</v>
      </c>
      <c r="AO1470" s="13" t="str">
        <f>VLOOKUP(tblCleanData[[#This Row],[EmployeeNumber]],tblHelpers[],15,TRUE)</f>
        <v>Medium Risk</v>
      </c>
      <c r="AP1470" s="13">
        <f>VLOOKUP(tblCleanData[[#This Row],[EmployeeNumber]],tblHelpers[],14,0)</f>
        <v>42</v>
      </c>
    </row>
    <row r="1471" spans="1:42" x14ac:dyDescent="0.25">
      <c r="A1471" s="13">
        <v>34</v>
      </c>
      <c r="B1471" s="13" t="s">
        <v>59</v>
      </c>
      <c r="C1471" s="13" t="s">
        <v>37</v>
      </c>
      <c r="D1471" s="13">
        <v>628</v>
      </c>
      <c r="E1471" s="13" t="s">
        <v>62</v>
      </c>
      <c r="F1471" s="13">
        <v>8</v>
      </c>
      <c r="G1471" s="13">
        <v>3</v>
      </c>
      <c r="H1471" s="13" t="s">
        <v>87</v>
      </c>
      <c r="I1471" s="13">
        <v>1</v>
      </c>
      <c r="J1471" s="13">
        <v>2068</v>
      </c>
      <c r="K1471" s="13">
        <v>2</v>
      </c>
      <c r="L1471" s="13" t="s">
        <v>63</v>
      </c>
      <c r="M1471" s="13">
        <v>82</v>
      </c>
      <c r="N1471" s="13">
        <v>4</v>
      </c>
      <c r="O1471" s="13">
        <v>2</v>
      </c>
      <c r="P1471" s="13" t="s">
        <v>76</v>
      </c>
      <c r="Q1471" s="13">
        <v>3</v>
      </c>
      <c r="R1471" s="13" t="s">
        <v>66</v>
      </c>
      <c r="S1471" s="20">
        <v>4404</v>
      </c>
      <c r="T1471" s="13">
        <v>10228</v>
      </c>
      <c r="U1471" s="13">
        <v>2</v>
      </c>
      <c r="V1471" s="13" t="s">
        <v>52</v>
      </c>
      <c r="W1471" s="13" t="s">
        <v>59</v>
      </c>
      <c r="X1471" s="13">
        <v>12</v>
      </c>
      <c r="Y1471" s="13">
        <v>3</v>
      </c>
      <c r="Z1471" s="13">
        <v>1</v>
      </c>
      <c r="AA1471" s="13">
        <v>80</v>
      </c>
      <c r="AB1471" s="13">
        <v>0</v>
      </c>
      <c r="AC1471" s="13">
        <v>6</v>
      </c>
      <c r="AD1471" s="13">
        <v>3</v>
      </c>
      <c r="AE1471" s="13">
        <v>4</v>
      </c>
      <c r="AF1471" s="14">
        <v>4</v>
      </c>
      <c r="AG1471" s="13">
        <v>3</v>
      </c>
      <c r="AH1471" s="13">
        <v>1</v>
      </c>
      <c r="AI1471" s="13">
        <v>2</v>
      </c>
      <c r="AJ1471" s="13" t="str">
        <f t="shared" si="22"/>
        <v>30-39</v>
      </c>
      <c r="AK1471" s="13" t="str">
        <f>IF(tblCleanData[[#This Row],[MonthlyIncome]]&lt;5000, "Low Income", IF(tblCleanData[[#This Row],[MonthlyIncome]]&lt;15000, "Medium Income", "High Income"))</f>
        <v>Low Income</v>
      </c>
      <c r="AL1471" s="13">
        <f>IF(tblCleanData[[#This Row],[Attrition]]="No", 0,1)</f>
        <v>0</v>
      </c>
      <c r="AM1471" s="13">
        <f>IF(tblCleanData[[#This Row],[OverTime]] = "No", 0, 1)</f>
        <v>0</v>
      </c>
      <c r="AN1471" s="13" t="str">
        <f>CHOOSE(tblCleanData[[#This Row],[Education]], "Below College","College","Bachelor","Master","Doctor")</f>
        <v>Bachelor</v>
      </c>
      <c r="AO1471" s="13" t="str">
        <f>VLOOKUP(tblCleanData[[#This Row],[EmployeeNumber]],tblHelpers[],15,TRUE)</f>
        <v>Medium Risk</v>
      </c>
      <c r="AP1471" s="13">
        <f>VLOOKUP(tblCleanData[[#This Row],[EmployeeNumber]],tblHelpers[],14,0)</f>
        <v>53</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478"/>
  <sheetViews>
    <sheetView topLeftCell="E1" workbookViewId="0">
      <pane ySplit="8" topLeftCell="A1462" activePane="bottomLeft" state="frozen"/>
      <selection pane="bottomLeft" activeCell="G9" sqref="G9"/>
    </sheetView>
  </sheetViews>
  <sheetFormatPr defaultRowHeight="15" x14ac:dyDescent="0.25"/>
  <cols>
    <col min="1" max="15" width="16" customWidth="1"/>
  </cols>
  <sheetData>
    <row r="1" spans="1:15" ht="17.25" x14ac:dyDescent="0.3">
      <c r="A1" s="2"/>
    </row>
    <row r="2" spans="1:15" ht="9" customHeight="1" x14ac:dyDescent="0.25"/>
    <row r="3" spans="1:15" hidden="1" x14ac:dyDescent="0.25"/>
    <row r="4" spans="1:15" hidden="1" x14ac:dyDescent="0.25"/>
    <row r="5" spans="1:15" hidden="1" x14ac:dyDescent="0.25"/>
    <row r="6" spans="1:15" hidden="1" x14ac:dyDescent="0.25"/>
    <row r="7" spans="1:15" ht="16.5" hidden="1" x14ac:dyDescent="0.3">
      <c r="A7" s="3" t="s">
        <v>4479</v>
      </c>
    </row>
    <row r="8" spans="1:15" ht="28.5" x14ac:dyDescent="0.25">
      <c r="A8" s="1" t="s">
        <v>9</v>
      </c>
      <c r="B8" s="1" t="s">
        <v>4480</v>
      </c>
      <c r="C8" s="1" t="s">
        <v>4481</v>
      </c>
      <c r="D8" s="1" t="s">
        <v>4482</v>
      </c>
      <c r="E8" s="1" t="s">
        <v>4483</v>
      </c>
      <c r="F8" s="1" t="s">
        <v>4484</v>
      </c>
      <c r="G8" s="1" t="s">
        <v>4485</v>
      </c>
      <c r="H8" s="1" t="s">
        <v>4486</v>
      </c>
      <c r="I8" s="1" t="s">
        <v>4487</v>
      </c>
      <c r="J8" s="1" t="s">
        <v>4488</v>
      </c>
      <c r="K8" s="1" t="s">
        <v>4489</v>
      </c>
      <c r="L8" s="1" t="s">
        <v>4490</v>
      </c>
      <c r="M8" s="1" t="s">
        <v>4491</v>
      </c>
      <c r="N8" s="1" t="s">
        <v>4492</v>
      </c>
      <c r="O8" s="1" t="s">
        <v>4493</v>
      </c>
    </row>
    <row r="9" spans="1:15" x14ac:dyDescent="0.25">
      <c r="A9">
        <f>INDEX(tblCleanData[EmployeeNumber],1)</f>
        <v>1</v>
      </c>
      <c r="B9" t="str">
        <f>IF(INDEX(tblCleanData[Age],1)&lt;30,"Under 30",IF(INDEX(tblCleanData[Age],1)&lt;40,"30-39",IF(INDEX(tblCleanData[Age],1)&lt;50,"40-49","50+")))</f>
        <v>40-49</v>
      </c>
      <c r="C9" t="str">
        <f>IF(INDEX(tblCleanData[MonthlyIncome],1)&lt;=$B$3,"Low Income",IF(INDEX(tblCleanData[MonthlyIncome],1)&lt;=$B$4,"Medium Income","High Income"))</f>
        <v>High Income</v>
      </c>
      <c r="D9">
        <f>IF(INDEX(tblCleanData[Attrition],1)="Yes",1,0)</f>
        <v>1</v>
      </c>
      <c r="E9">
        <f>IF(INDEX(tblCleanData[OverTime],1)="Yes",1,0)</f>
        <v>1</v>
      </c>
      <c r="F9" t="str">
        <f>CHOOSE(INDEX(tblCleanData[Education],1),"Below College","College","Bachelor","Master","Doctor")</f>
        <v>College</v>
      </c>
      <c r="G9" t="str">
        <f>IF(INDEX(tblCleanData[YearsAtCompany],1)&lt;=2,"0-2 Years",IF(INDEX(tblCleanData[YearsAtCompany],1)&lt;=5,"3-5 Years",IF(INDEX(tblCleanData[YearsAtCompany],1)&lt;=10,"6-10 Years","10+ Years")))</f>
        <v>6-10 Years</v>
      </c>
      <c r="H9" t="str">
        <f>IF(INDEX(tblCleanData[WorkLifeBalance],1)&lt;=2,"Elevated","Normal")</f>
        <v>Elevated</v>
      </c>
      <c r="I9">
        <f>IF(INDEX(tblCleanData[Age],1)&lt;30,30,IF(INDEX(tblCleanData[Age],1)&lt;40,20,IF(INDEX(tblCleanData[Age],1)&lt;50,10,15)))</f>
        <v>10</v>
      </c>
      <c r="J9">
        <f>IF(INDEX(tblCleanData[MonthlyIncome],1)&lt;=$B$3,25,IF(INDEX(tblCleanData[MonthlyIncome],1)&lt;=$B$4,12,5))</f>
        <v>5</v>
      </c>
      <c r="K9">
        <f>IF(INDEX(tblCleanData[OverTime],1)="Yes",25,0)</f>
        <v>25</v>
      </c>
      <c r="L9">
        <f>(5-INDEX(tblCleanData[JobSatisfaction],1))*6.25</f>
        <v>6.25</v>
      </c>
      <c r="M9">
        <f>IF(INDEX(tblCleanData[YearsAtCompany],1)&lt;=2,25,IF(INDEX(tblCleanData[YearsAtCompany],1)&lt;=5,15,IF(INDEX(tblCleanData[YearsAtCompany],1)&lt;=10,8,3)))</f>
        <v>8</v>
      </c>
      <c r="N9">
        <f t="shared" ref="N9:N72" si="0">ROUND(I9+J9+K9+L9+M9,0)</f>
        <v>54</v>
      </c>
      <c r="O9" t="str">
        <f t="shared" ref="O9:O72" si="1">IF(N9&gt;=55,"High Risk",IF(N9&gt;=35,"Medium Risk","Low Risk"))</f>
        <v>Medium Risk</v>
      </c>
    </row>
    <row r="10" spans="1:15" x14ac:dyDescent="0.25">
      <c r="A10">
        <f>INDEX(tblCleanData[EmployeeNumber],2)</f>
        <v>2</v>
      </c>
      <c r="B10" t="str">
        <f>IF(INDEX(tblCleanData[Age],2)&lt;30,"Under 30",IF(INDEX(tblCleanData[Age],2)&lt;40,"30-39",IF(INDEX(tblCleanData[Age],2)&lt;50,"40-49","50+")))</f>
        <v>40-49</v>
      </c>
      <c r="C10" t="str">
        <f>IF(INDEX(tblCleanData[MonthlyIncome],2)&lt;=$B$3,"Low Income",IF(INDEX(tblCleanData[MonthlyIncome],2)&lt;=$B$4,"Medium Income","High Income"))</f>
        <v>High Income</v>
      </c>
      <c r="D10">
        <f>IF(INDEX(tblCleanData[Attrition],2)="Yes",1,0)</f>
        <v>0</v>
      </c>
      <c r="E10">
        <f>IF(INDEX(tblCleanData[OverTime],2)="Yes",1,0)</f>
        <v>0</v>
      </c>
      <c r="F10" t="str">
        <f>CHOOSE(INDEX(tblCleanData[Education],2),"Below College","College","Bachelor","Master","Doctor")</f>
        <v>Below College</v>
      </c>
      <c r="G10" t="str">
        <f>IF(INDEX(tblCleanData[YearsAtCompany],2)&lt;=2,"0-2 Years",IF(INDEX(tblCleanData[YearsAtCompany],2)&lt;=5,"3-5 Years",IF(INDEX(tblCleanData[YearsAtCompany],2)&lt;=10,"6-10 Years","10+ Years")))</f>
        <v>6-10 Years</v>
      </c>
      <c r="H10" t="str">
        <f>IF(INDEX(tblCleanData[WorkLifeBalance],2)&lt;=2,"Elevated","Normal")</f>
        <v>Normal</v>
      </c>
      <c r="I10">
        <f>IF(INDEX(tblCleanData[Age],2)&lt;30,30,IF(INDEX(tblCleanData[Age],2)&lt;40,20,IF(INDEX(tblCleanData[Age],2)&lt;50,10,15)))</f>
        <v>10</v>
      </c>
      <c r="J10">
        <f>IF(INDEX(tblCleanData[MonthlyIncome],2)&lt;=$B$3,25,IF(INDEX(tblCleanData[MonthlyIncome],2)&lt;=$B$4,12,5))</f>
        <v>5</v>
      </c>
      <c r="K10">
        <f>IF(INDEX(tblCleanData[OverTime],2)="Yes",25,0)</f>
        <v>0</v>
      </c>
      <c r="L10">
        <f>(5-INDEX(tblCleanData[JobSatisfaction],2))*6.25</f>
        <v>18.75</v>
      </c>
      <c r="M10">
        <f>IF(INDEX(tblCleanData[YearsAtCompany],2)&lt;=2,25,IF(INDEX(tblCleanData[YearsAtCompany],2)&lt;=5,15,IF(INDEX(tblCleanData[YearsAtCompany],2)&lt;=10,8,3)))</f>
        <v>8</v>
      </c>
      <c r="N10">
        <f t="shared" si="0"/>
        <v>42</v>
      </c>
      <c r="O10" t="str">
        <f t="shared" si="1"/>
        <v>Medium Risk</v>
      </c>
    </row>
    <row r="11" spans="1:15" x14ac:dyDescent="0.25">
      <c r="A11">
        <f>INDEX(tblCleanData[EmployeeNumber],3)</f>
        <v>4</v>
      </c>
      <c r="B11" t="str">
        <f>IF(INDEX(tblCleanData[Age],3)&lt;30,"Under 30",IF(INDEX(tblCleanData[Age],3)&lt;40,"30-39",IF(INDEX(tblCleanData[Age],3)&lt;50,"40-49","50+")))</f>
        <v>30-39</v>
      </c>
      <c r="C11" t="str">
        <f>IF(INDEX(tblCleanData[MonthlyIncome],3)&lt;=$B$3,"Low Income",IF(INDEX(tblCleanData[MonthlyIncome],3)&lt;=$B$4,"Medium Income","High Income"))</f>
        <v>High Income</v>
      </c>
      <c r="D11">
        <f>IF(INDEX(tblCleanData[Attrition],3)="Yes",1,0)</f>
        <v>1</v>
      </c>
      <c r="E11">
        <f>IF(INDEX(tblCleanData[OverTime],3)="Yes",1,0)</f>
        <v>1</v>
      </c>
      <c r="F11" t="str">
        <f>CHOOSE(INDEX(tblCleanData[Education],3),"Below College","College","Bachelor","Master","Doctor")</f>
        <v>College</v>
      </c>
      <c r="G11" t="str">
        <f>IF(INDEX(tblCleanData[YearsAtCompany],3)&lt;=2,"0-2 Years",IF(INDEX(tblCleanData[YearsAtCompany],3)&lt;=5,"3-5 Years",IF(INDEX(tblCleanData[YearsAtCompany],3)&lt;=10,"6-10 Years","10+ Years")))</f>
        <v>0-2 Years</v>
      </c>
      <c r="H11" t="str">
        <f>IF(INDEX(tblCleanData[WorkLifeBalance],3)&lt;=2,"Elevated","Normal")</f>
        <v>Normal</v>
      </c>
      <c r="I11">
        <f>IF(INDEX(tblCleanData[Age],3)&lt;30,30,IF(INDEX(tblCleanData[Age],3)&lt;40,20,IF(INDEX(tblCleanData[Age],3)&lt;50,10,15)))</f>
        <v>20</v>
      </c>
      <c r="J11">
        <f>IF(INDEX(tblCleanData[MonthlyIncome],3)&lt;=$B$3,25,IF(INDEX(tblCleanData[MonthlyIncome],3)&lt;=$B$4,12,5))</f>
        <v>5</v>
      </c>
      <c r="K11">
        <f>IF(INDEX(tblCleanData[OverTime],3)="Yes",25,0)</f>
        <v>25</v>
      </c>
      <c r="L11">
        <f>(5-INDEX(tblCleanData[JobSatisfaction],3))*6.25</f>
        <v>12.5</v>
      </c>
      <c r="M11">
        <f>IF(INDEX(tblCleanData[YearsAtCompany],3)&lt;=2,25,IF(INDEX(tblCleanData[YearsAtCompany],3)&lt;=5,15,IF(INDEX(tblCleanData[YearsAtCompany],3)&lt;=10,8,3)))</f>
        <v>25</v>
      </c>
      <c r="N11">
        <f t="shared" si="0"/>
        <v>88</v>
      </c>
      <c r="O11" t="str">
        <f t="shared" si="1"/>
        <v>High Risk</v>
      </c>
    </row>
    <row r="12" spans="1:15" x14ac:dyDescent="0.25">
      <c r="A12">
        <f>INDEX(tblCleanData[EmployeeNumber],4)</f>
        <v>5</v>
      </c>
      <c r="B12" t="str">
        <f>IF(INDEX(tblCleanData[Age],4)&lt;30,"Under 30",IF(INDEX(tblCleanData[Age],4)&lt;40,"30-39",IF(INDEX(tblCleanData[Age],4)&lt;50,"40-49","50+")))</f>
        <v>30-39</v>
      </c>
      <c r="C12" t="str">
        <f>IF(INDEX(tblCleanData[MonthlyIncome],4)&lt;=$B$3,"Low Income",IF(INDEX(tblCleanData[MonthlyIncome],4)&lt;=$B$4,"Medium Income","High Income"))</f>
        <v>High Income</v>
      </c>
      <c r="D12">
        <f>IF(INDEX(tblCleanData[Attrition],4)="Yes",1,0)</f>
        <v>0</v>
      </c>
      <c r="E12">
        <f>IF(INDEX(tblCleanData[OverTime],4)="Yes",1,0)</f>
        <v>1</v>
      </c>
      <c r="F12" t="str">
        <f>CHOOSE(INDEX(tblCleanData[Education],4),"Below College","College","Bachelor","Master","Doctor")</f>
        <v>Master</v>
      </c>
      <c r="G12" t="str">
        <f>IF(INDEX(tblCleanData[YearsAtCompany],4)&lt;=2,"0-2 Years",IF(INDEX(tblCleanData[YearsAtCompany],4)&lt;=5,"3-5 Years",IF(INDEX(tblCleanData[YearsAtCompany],4)&lt;=10,"6-10 Years","10+ Years")))</f>
        <v>6-10 Years</v>
      </c>
      <c r="H12" t="str">
        <f>IF(INDEX(tblCleanData[WorkLifeBalance],4)&lt;=2,"Elevated","Normal")</f>
        <v>Normal</v>
      </c>
      <c r="I12">
        <f>IF(INDEX(tblCleanData[Age],4)&lt;30,30,IF(INDEX(tblCleanData[Age],4)&lt;40,20,IF(INDEX(tblCleanData[Age],4)&lt;50,10,15)))</f>
        <v>20</v>
      </c>
      <c r="J12">
        <f>IF(INDEX(tblCleanData[MonthlyIncome],4)&lt;=$B$3,25,IF(INDEX(tblCleanData[MonthlyIncome],4)&lt;=$B$4,12,5))</f>
        <v>5</v>
      </c>
      <c r="K12">
        <f>IF(INDEX(tblCleanData[OverTime],4)="Yes",25,0)</f>
        <v>25</v>
      </c>
      <c r="L12">
        <f>(5-INDEX(tblCleanData[JobSatisfaction],4))*6.25</f>
        <v>12.5</v>
      </c>
      <c r="M12">
        <f>IF(INDEX(tblCleanData[YearsAtCompany],4)&lt;=2,25,IF(INDEX(tblCleanData[YearsAtCompany],4)&lt;=5,15,IF(INDEX(tblCleanData[YearsAtCompany],4)&lt;=10,8,3)))</f>
        <v>8</v>
      </c>
      <c r="N12">
        <f t="shared" si="0"/>
        <v>71</v>
      </c>
      <c r="O12" t="str">
        <f t="shared" si="1"/>
        <v>High Risk</v>
      </c>
    </row>
    <row r="13" spans="1:15" x14ac:dyDescent="0.25">
      <c r="A13">
        <f>INDEX(tblCleanData[EmployeeNumber],5)</f>
        <v>7</v>
      </c>
      <c r="B13" t="str">
        <f>IF(INDEX(tblCleanData[Age],5)&lt;30,"Under 30",IF(INDEX(tblCleanData[Age],5)&lt;40,"30-39",IF(INDEX(tblCleanData[Age],5)&lt;50,"40-49","50+")))</f>
        <v>Under 30</v>
      </c>
      <c r="C13" t="str">
        <f>IF(INDEX(tblCleanData[MonthlyIncome],5)&lt;=$B$3,"Low Income",IF(INDEX(tblCleanData[MonthlyIncome],5)&lt;=$B$4,"Medium Income","High Income"))</f>
        <v>High Income</v>
      </c>
      <c r="D13">
        <f>IF(INDEX(tblCleanData[Attrition],5)="Yes",1,0)</f>
        <v>0</v>
      </c>
      <c r="E13">
        <f>IF(INDEX(tblCleanData[OverTime],5)="Yes",1,0)</f>
        <v>0</v>
      </c>
      <c r="F13" t="str">
        <f>CHOOSE(INDEX(tblCleanData[Education],5),"Below College","College","Bachelor","Master","Doctor")</f>
        <v>Below College</v>
      </c>
      <c r="G13" t="str">
        <f>IF(INDEX(tblCleanData[YearsAtCompany],5)&lt;=2,"0-2 Years",IF(INDEX(tblCleanData[YearsAtCompany],5)&lt;=5,"3-5 Years",IF(INDEX(tblCleanData[YearsAtCompany],5)&lt;=10,"6-10 Years","10+ Years")))</f>
        <v>0-2 Years</v>
      </c>
      <c r="H13" t="str">
        <f>IF(INDEX(tblCleanData[WorkLifeBalance],5)&lt;=2,"Elevated","Normal")</f>
        <v>Normal</v>
      </c>
      <c r="I13">
        <f>IF(INDEX(tblCleanData[Age],5)&lt;30,30,IF(INDEX(tblCleanData[Age],5)&lt;40,20,IF(INDEX(tblCleanData[Age],5)&lt;50,10,15)))</f>
        <v>30</v>
      </c>
      <c r="J13">
        <f>IF(INDEX(tblCleanData[MonthlyIncome],5)&lt;=$B$3,25,IF(INDEX(tblCleanData[MonthlyIncome],5)&lt;=$B$4,12,5))</f>
        <v>5</v>
      </c>
      <c r="K13">
        <f>IF(INDEX(tblCleanData[OverTime],5)="Yes",25,0)</f>
        <v>0</v>
      </c>
      <c r="L13">
        <f>(5-INDEX(tblCleanData[JobSatisfaction],5))*6.25</f>
        <v>18.75</v>
      </c>
      <c r="M13">
        <f>IF(INDEX(tblCleanData[YearsAtCompany],5)&lt;=2,25,IF(INDEX(tblCleanData[YearsAtCompany],5)&lt;=5,15,IF(INDEX(tblCleanData[YearsAtCompany],5)&lt;=10,8,3)))</f>
        <v>25</v>
      </c>
      <c r="N13">
        <f t="shared" si="0"/>
        <v>79</v>
      </c>
      <c r="O13" t="str">
        <f t="shared" si="1"/>
        <v>High Risk</v>
      </c>
    </row>
    <row r="14" spans="1:15" x14ac:dyDescent="0.25">
      <c r="A14">
        <f>INDEX(tblCleanData[EmployeeNumber],6)</f>
        <v>8</v>
      </c>
      <c r="B14" t="str">
        <f>IF(INDEX(tblCleanData[Age],6)&lt;30,"Under 30",IF(INDEX(tblCleanData[Age],6)&lt;40,"30-39",IF(INDEX(tblCleanData[Age],6)&lt;50,"40-49","50+")))</f>
        <v>30-39</v>
      </c>
      <c r="C14" t="str">
        <f>IF(INDEX(tblCleanData[MonthlyIncome],6)&lt;=$B$3,"Low Income",IF(INDEX(tblCleanData[MonthlyIncome],6)&lt;=$B$4,"Medium Income","High Income"))</f>
        <v>High Income</v>
      </c>
      <c r="D14">
        <f>IF(INDEX(tblCleanData[Attrition],6)="Yes",1,0)</f>
        <v>0</v>
      </c>
      <c r="E14">
        <f>IF(INDEX(tblCleanData[OverTime],6)="Yes",1,0)</f>
        <v>0</v>
      </c>
      <c r="F14" t="str">
        <f>CHOOSE(INDEX(tblCleanData[Education],6),"Below College","College","Bachelor","Master","Doctor")</f>
        <v>College</v>
      </c>
      <c r="G14" t="str">
        <f>IF(INDEX(tblCleanData[YearsAtCompany],6)&lt;=2,"0-2 Years",IF(INDEX(tblCleanData[YearsAtCompany],6)&lt;=5,"3-5 Years",IF(INDEX(tblCleanData[YearsAtCompany],6)&lt;=10,"6-10 Years","10+ Years")))</f>
        <v>6-10 Years</v>
      </c>
      <c r="H14" t="str">
        <f>IF(INDEX(tblCleanData[WorkLifeBalance],6)&lt;=2,"Elevated","Normal")</f>
        <v>Elevated</v>
      </c>
      <c r="I14">
        <f>IF(INDEX(tblCleanData[Age],6)&lt;30,30,IF(INDEX(tblCleanData[Age],6)&lt;40,20,IF(INDEX(tblCleanData[Age],6)&lt;50,10,15)))</f>
        <v>20</v>
      </c>
      <c r="J14">
        <f>IF(INDEX(tblCleanData[MonthlyIncome],6)&lt;=$B$3,25,IF(INDEX(tblCleanData[MonthlyIncome],6)&lt;=$B$4,12,5))</f>
        <v>5</v>
      </c>
      <c r="K14">
        <f>IF(INDEX(tblCleanData[OverTime],6)="Yes",25,0)</f>
        <v>0</v>
      </c>
      <c r="L14">
        <f>(5-INDEX(tblCleanData[JobSatisfaction],6))*6.25</f>
        <v>6.25</v>
      </c>
      <c r="M14">
        <f>IF(INDEX(tblCleanData[YearsAtCompany],6)&lt;=2,25,IF(INDEX(tblCleanData[YearsAtCompany],6)&lt;=5,15,IF(INDEX(tblCleanData[YearsAtCompany],6)&lt;=10,8,3)))</f>
        <v>8</v>
      </c>
      <c r="N14">
        <f t="shared" si="0"/>
        <v>39</v>
      </c>
      <c r="O14" t="str">
        <f t="shared" si="1"/>
        <v>Medium Risk</v>
      </c>
    </row>
    <row r="15" spans="1:15" x14ac:dyDescent="0.25">
      <c r="A15">
        <f>INDEX(tblCleanData[EmployeeNumber],7)</f>
        <v>10</v>
      </c>
      <c r="B15" t="str">
        <f>IF(INDEX(tblCleanData[Age],7)&lt;30,"Under 30",IF(INDEX(tblCleanData[Age],7)&lt;40,"30-39",IF(INDEX(tblCleanData[Age],7)&lt;50,"40-49","50+")))</f>
        <v>50+</v>
      </c>
      <c r="C15" t="str">
        <f>IF(INDEX(tblCleanData[MonthlyIncome],7)&lt;=$B$3,"Low Income",IF(INDEX(tblCleanData[MonthlyIncome],7)&lt;=$B$4,"Medium Income","High Income"))</f>
        <v>High Income</v>
      </c>
      <c r="D15">
        <f>IF(INDEX(tblCleanData[Attrition],7)="Yes",1,0)</f>
        <v>0</v>
      </c>
      <c r="E15">
        <f>IF(INDEX(tblCleanData[OverTime],7)="Yes",1,0)</f>
        <v>1</v>
      </c>
      <c r="F15" t="str">
        <f>CHOOSE(INDEX(tblCleanData[Education],7),"Below College","College","Bachelor","Master","Doctor")</f>
        <v>Bachelor</v>
      </c>
      <c r="G15" t="str">
        <f>IF(INDEX(tblCleanData[YearsAtCompany],7)&lt;=2,"0-2 Years",IF(INDEX(tblCleanData[YearsAtCompany],7)&lt;=5,"3-5 Years",IF(INDEX(tblCleanData[YearsAtCompany],7)&lt;=10,"6-10 Years","10+ Years")))</f>
        <v>0-2 Years</v>
      </c>
      <c r="H15" t="str">
        <f>IF(INDEX(tblCleanData[WorkLifeBalance],7)&lt;=2,"Elevated","Normal")</f>
        <v>Elevated</v>
      </c>
      <c r="I15">
        <f>IF(INDEX(tblCleanData[Age],7)&lt;30,30,IF(INDEX(tblCleanData[Age],7)&lt;40,20,IF(INDEX(tblCleanData[Age],7)&lt;50,10,15)))</f>
        <v>15</v>
      </c>
      <c r="J15">
        <f>IF(INDEX(tblCleanData[MonthlyIncome],7)&lt;=$B$3,25,IF(INDEX(tblCleanData[MonthlyIncome],7)&lt;=$B$4,12,5))</f>
        <v>5</v>
      </c>
      <c r="K15">
        <f>IF(INDEX(tblCleanData[OverTime],7)="Yes",25,0)</f>
        <v>25</v>
      </c>
      <c r="L15">
        <f>(5-INDEX(tblCleanData[JobSatisfaction],7))*6.25</f>
        <v>25</v>
      </c>
      <c r="M15">
        <f>IF(INDEX(tblCleanData[YearsAtCompany],7)&lt;=2,25,IF(INDEX(tblCleanData[YearsAtCompany],7)&lt;=5,15,IF(INDEX(tblCleanData[YearsAtCompany],7)&lt;=10,8,3)))</f>
        <v>25</v>
      </c>
      <c r="N15">
        <f t="shared" si="0"/>
        <v>95</v>
      </c>
      <c r="O15" t="str">
        <f t="shared" si="1"/>
        <v>High Risk</v>
      </c>
    </row>
    <row r="16" spans="1:15" x14ac:dyDescent="0.25">
      <c r="A16">
        <f>INDEX(tblCleanData[EmployeeNumber],8)</f>
        <v>11</v>
      </c>
      <c r="B16" t="str">
        <f>IF(INDEX(tblCleanData[Age],8)&lt;30,"Under 30",IF(INDEX(tblCleanData[Age],8)&lt;40,"30-39",IF(INDEX(tblCleanData[Age],8)&lt;50,"40-49","50+")))</f>
        <v>30-39</v>
      </c>
      <c r="C16" t="str">
        <f>IF(INDEX(tblCleanData[MonthlyIncome],8)&lt;=$B$3,"Low Income",IF(INDEX(tblCleanData[MonthlyIncome],8)&lt;=$B$4,"Medium Income","High Income"))</f>
        <v>High Income</v>
      </c>
      <c r="D16">
        <f>IF(INDEX(tblCleanData[Attrition],8)="Yes",1,0)</f>
        <v>0</v>
      </c>
      <c r="E16">
        <f>IF(INDEX(tblCleanData[OverTime],8)="Yes",1,0)</f>
        <v>0</v>
      </c>
      <c r="F16" t="str">
        <f>CHOOSE(INDEX(tblCleanData[Education],8),"Below College","College","Bachelor","Master","Doctor")</f>
        <v>Below College</v>
      </c>
      <c r="G16" t="str">
        <f>IF(INDEX(tblCleanData[YearsAtCompany],8)&lt;=2,"0-2 Years",IF(INDEX(tblCleanData[YearsAtCompany],8)&lt;=5,"3-5 Years",IF(INDEX(tblCleanData[YearsAtCompany],8)&lt;=10,"6-10 Years","10+ Years")))</f>
        <v>0-2 Years</v>
      </c>
      <c r="H16" t="str">
        <f>IF(INDEX(tblCleanData[WorkLifeBalance],8)&lt;=2,"Elevated","Normal")</f>
        <v>Normal</v>
      </c>
      <c r="I16">
        <f>IF(INDEX(tblCleanData[Age],8)&lt;30,30,IF(INDEX(tblCleanData[Age],8)&lt;40,20,IF(INDEX(tblCleanData[Age],8)&lt;50,10,15)))</f>
        <v>20</v>
      </c>
      <c r="J16">
        <f>IF(INDEX(tblCleanData[MonthlyIncome],8)&lt;=$B$3,25,IF(INDEX(tblCleanData[MonthlyIncome],8)&lt;=$B$4,12,5))</f>
        <v>5</v>
      </c>
      <c r="K16">
        <f>IF(INDEX(tblCleanData[OverTime],8)="Yes",25,0)</f>
        <v>0</v>
      </c>
      <c r="L16">
        <f>(5-INDEX(tblCleanData[JobSatisfaction],8))*6.25</f>
        <v>12.5</v>
      </c>
      <c r="M16">
        <f>IF(INDEX(tblCleanData[YearsAtCompany],8)&lt;=2,25,IF(INDEX(tblCleanData[YearsAtCompany],8)&lt;=5,15,IF(INDEX(tblCleanData[YearsAtCompany],8)&lt;=10,8,3)))</f>
        <v>25</v>
      </c>
      <c r="N16">
        <f t="shared" si="0"/>
        <v>63</v>
      </c>
      <c r="O16" t="str">
        <f t="shared" si="1"/>
        <v>High Risk</v>
      </c>
    </row>
    <row r="17" spans="1:15" x14ac:dyDescent="0.25">
      <c r="A17">
        <f>INDEX(tblCleanData[EmployeeNumber],9)</f>
        <v>12</v>
      </c>
      <c r="B17" t="str">
        <f>IF(INDEX(tblCleanData[Age],9)&lt;30,"Under 30",IF(INDEX(tblCleanData[Age],9)&lt;40,"30-39",IF(INDEX(tblCleanData[Age],9)&lt;50,"40-49","50+")))</f>
        <v>30-39</v>
      </c>
      <c r="C17" t="str">
        <f>IF(INDEX(tblCleanData[MonthlyIncome],9)&lt;=$B$3,"Low Income",IF(INDEX(tblCleanData[MonthlyIncome],9)&lt;=$B$4,"Medium Income","High Income"))</f>
        <v>High Income</v>
      </c>
      <c r="D17">
        <f>IF(INDEX(tblCleanData[Attrition],9)="Yes",1,0)</f>
        <v>0</v>
      </c>
      <c r="E17">
        <f>IF(INDEX(tblCleanData[OverTime],9)="Yes",1,0)</f>
        <v>0</v>
      </c>
      <c r="F17" t="str">
        <f>CHOOSE(INDEX(tblCleanData[Education],9),"Below College","College","Bachelor","Master","Doctor")</f>
        <v>Bachelor</v>
      </c>
      <c r="G17" t="str">
        <f>IF(INDEX(tblCleanData[YearsAtCompany],9)&lt;=2,"0-2 Years",IF(INDEX(tblCleanData[YearsAtCompany],9)&lt;=5,"3-5 Years",IF(INDEX(tblCleanData[YearsAtCompany],9)&lt;=10,"6-10 Years","10+ Years")))</f>
        <v>6-10 Years</v>
      </c>
      <c r="H17" t="str">
        <f>IF(INDEX(tblCleanData[WorkLifeBalance],9)&lt;=2,"Elevated","Normal")</f>
        <v>Normal</v>
      </c>
      <c r="I17">
        <f>IF(INDEX(tblCleanData[Age],9)&lt;30,30,IF(INDEX(tblCleanData[Age],9)&lt;40,20,IF(INDEX(tblCleanData[Age],9)&lt;50,10,15)))</f>
        <v>20</v>
      </c>
      <c r="J17">
        <f>IF(INDEX(tblCleanData[MonthlyIncome],9)&lt;=$B$3,25,IF(INDEX(tblCleanData[MonthlyIncome],9)&lt;=$B$4,12,5))</f>
        <v>5</v>
      </c>
      <c r="K17">
        <f>IF(INDEX(tblCleanData[OverTime],9)="Yes",25,0)</f>
        <v>0</v>
      </c>
      <c r="L17">
        <f>(5-INDEX(tblCleanData[JobSatisfaction],9))*6.25</f>
        <v>12.5</v>
      </c>
      <c r="M17">
        <f>IF(INDEX(tblCleanData[YearsAtCompany],9)&lt;=2,25,IF(INDEX(tblCleanData[YearsAtCompany],9)&lt;=5,15,IF(INDEX(tblCleanData[YearsAtCompany],9)&lt;=10,8,3)))</f>
        <v>8</v>
      </c>
      <c r="N17">
        <f t="shared" si="0"/>
        <v>46</v>
      </c>
      <c r="O17" t="str">
        <f t="shared" si="1"/>
        <v>Medium Risk</v>
      </c>
    </row>
    <row r="18" spans="1:15" x14ac:dyDescent="0.25">
      <c r="A18">
        <f>INDEX(tblCleanData[EmployeeNumber],10)</f>
        <v>13</v>
      </c>
      <c r="B18" t="str">
        <f>IF(INDEX(tblCleanData[Age],10)&lt;30,"Under 30",IF(INDEX(tblCleanData[Age],10)&lt;40,"30-39",IF(INDEX(tblCleanData[Age],10)&lt;50,"40-49","50+")))</f>
        <v>30-39</v>
      </c>
      <c r="C18" t="str">
        <f>IF(INDEX(tblCleanData[MonthlyIncome],10)&lt;=$B$3,"Low Income",IF(INDEX(tblCleanData[MonthlyIncome],10)&lt;=$B$4,"Medium Income","High Income"))</f>
        <v>High Income</v>
      </c>
      <c r="D18">
        <f>IF(INDEX(tblCleanData[Attrition],10)="Yes",1,0)</f>
        <v>0</v>
      </c>
      <c r="E18">
        <f>IF(INDEX(tblCleanData[OverTime],10)="Yes",1,0)</f>
        <v>0</v>
      </c>
      <c r="F18" t="str">
        <f>CHOOSE(INDEX(tblCleanData[Education],10),"Below College","College","Bachelor","Master","Doctor")</f>
        <v>Bachelor</v>
      </c>
      <c r="G18" t="str">
        <f>IF(INDEX(tblCleanData[YearsAtCompany],10)&lt;=2,"0-2 Years",IF(INDEX(tblCleanData[YearsAtCompany],10)&lt;=5,"3-5 Years",IF(INDEX(tblCleanData[YearsAtCompany],10)&lt;=10,"6-10 Years","10+ Years")))</f>
        <v>6-10 Years</v>
      </c>
      <c r="H18" t="str">
        <f>IF(INDEX(tblCleanData[WorkLifeBalance],10)&lt;=2,"Elevated","Normal")</f>
        <v>Elevated</v>
      </c>
      <c r="I18">
        <f>IF(INDEX(tblCleanData[Age],10)&lt;30,30,IF(INDEX(tblCleanData[Age],10)&lt;40,20,IF(INDEX(tblCleanData[Age],10)&lt;50,10,15)))</f>
        <v>20</v>
      </c>
      <c r="J18">
        <f>IF(INDEX(tblCleanData[MonthlyIncome],10)&lt;=$B$3,25,IF(INDEX(tblCleanData[MonthlyIncome],10)&lt;=$B$4,12,5))</f>
        <v>5</v>
      </c>
      <c r="K18">
        <f>IF(INDEX(tblCleanData[OverTime],10)="Yes",25,0)</f>
        <v>0</v>
      </c>
      <c r="L18">
        <f>(5-INDEX(tblCleanData[JobSatisfaction],10))*6.25</f>
        <v>12.5</v>
      </c>
      <c r="M18">
        <f>IF(INDEX(tblCleanData[YearsAtCompany],10)&lt;=2,25,IF(INDEX(tblCleanData[YearsAtCompany],10)&lt;=5,15,IF(INDEX(tblCleanData[YearsAtCompany],10)&lt;=10,8,3)))</f>
        <v>8</v>
      </c>
      <c r="N18">
        <f t="shared" si="0"/>
        <v>46</v>
      </c>
      <c r="O18" t="str">
        <f t="shared" si="1"/>
        <v>Medium Risk</v>
      </c>
    </row>
    <row r="19" spans="1:15" x14ac:dyDescent="0.25">
      <c r="A19">
        <f>INDEX(tblCleanData[EmployeeNumber],11)</f>
        <v>14</v>
      </c>
      <c r="B19" t="str">
        <f>IF(INDEX(tblCleanData[Age],11)&lt;30,"Under 30",IF(INDEX(tblCleanData[Age],11)&lt;40,"30-39",IF(INDEX(tblCleanData[Age],11)&lt;50,"40-49","50+")))</f>
        <v>30-39</v>
      </c>
      <c r="C19" t="str">
        <f>IF(INDEX(tblCleanData[MonthlyIncome],11)&lt;=$B$3,"Low Income",IF(INDEX(tblCleanData[MonthlyIncome],11)&lt;=$B$4,"Medium Income","High Income"))</f>
        <v>High Income</v>
      </c>
      <c r="D19">
        <f>IF(INDEX(tblCleanData[Attrition],11)="Yes",1,0)</f>
        <v>0</v>
      </c>
      <c r="E19">
        <f>IF(INDEX(tblCleanData[OverTime],11)="Yes",1,0)</f>
        <v>0</v>
      </c>
      <c r="F19" t="str">
        <f>CHOOSE(INDEX(tblCleanData[Education],11),"Below College","College","Bachelor","Master","Doctor")</f>
        <v>Bachelor</v>
      </c>
      <c r="G19" t="str">
        <f>IF(INDEX(tblCleanData[YearsAtCompany],11)&lt;=2,"0-2 Years",IF(INDEX(tblCleanData[YearsAtCompany],11)&lt;=5,"3-5 Years",IF(INDEX(tblCleanData[YearsAtCompany],11)&lt;=10,"6-10 Years","10+ Years")))</f>
        <v>3-5 Years</v>
      </c>
      <c r="H19" t="str">
        <f>IF(INDEX(tblCleanData[WorkLifeBalance],11)&lt;=2,"Elevated","Normal")</f>
        <v>Normal</v>
      </c>
      <c r="I19">
        <f>IF(INDEX(tblCleanData[Age],11)&lt;30,30,IF(INDEX(tblCleanData[Age],11)&lt;40,20,IF(INDEX(tblCleanData[Age],11)&lt;50,10,15)))</f>
        <v>20</v>
      </c>
      <c r="J19">
        <f>IF(INDEX(tblCleanData[MonthlyIncome],11)&lt;=$B$3,25,IF(INDEX(tblCleanData[MonthlyIncome],11)&lt;=$B$4,12,5))</f>
        <v>5</v>
      </c>
      <c r="K19">
        <f>IF(INDEX(tblCleanData[OverTime],11)="Yes",25,0)</f>
        <v>0</v>
      </c>
      <c r="L19">
        <f>(5-INDEX(tblCleanData[JobSatisfaction],11))*6.25</f>
        <v>18.75</v>
      </c>
      <c r="M19">
        <f>IF(INDEX(tblCleanData[YearsAtCompany],11)&lt;=2,25,IF(INDEX(tblCleanData[YearsAtCompany],11)&lt;=5,15,IF(INDEX(tblCleanData[YearsAtCompany],11)&lt;=10,8,3)))</f>
        <v>15</v>
      </c>
      <c r="N19">
        <f t="shared" si="0"/>
        <v>59</v>
      </c>
      <c r="O19" t="str">
        <f t="shared" si="1"/>
        <v>High Risk</v>
      </c>
    </row>
    <row r="20" spans="1:15" x14ac:dyDescent="0.25">
      <c r="A20">
        <f>INDEX(tblCleanData[EmployeeNumber],12)</f>
        <v>15</v>
      </c>
      <c r="B20" t="str">
        <f>IF(INDEX(tblCleanData[Age],12)&lt;30,"Under 30",IF(INDEX(tblCleanData[Age],12)&lt;40,"30-39",IF(INDEX(tblCleanData[Age],12)&lt;50,"40-49","50+")))</f>
        <v>Under 30</v>
      </c>
      <c r="C20" t="str">
        <f>IF(INDEX(tblCleanData[MonthlyIncome],12)&lt;=$B$3,"Low Income",IF(INDEX(tblCleanData[MonthlyIncome],12)&lt;=$B$4,"Medium Income","High Income"))</f>
        <v>High Income</v>
      </c>
      <c r="D20">
        <f>IF(INDEX(tblCleanData[Attrition],12)="Yes",1,0)</f>
        <v>0</v>
      </c>
      <c r="E20">
        <f>IF(INDEX(tblCleanData[OverTime],12)="Yes",1,0)</f>
        <v>1</v>
      </c>
      <c r="F20" t="str">
        <f>CHOOSE(INDEX(tblCleanData[Education],12),"Below College","College","Bachelor","Master","Doctor")</f>
        <v>College</v>
      </c>
      <c r="G20" t="str">
        <f>IF(INDEX(tblCleanData[YearsAtCompany],12)&lt;=2,"0-2 Years",IF(INDEX(tblCleanData[YearsAtCompany],12)&lt;=5,"3-5 Years",IF(INDEX(tblCleanData[YearsAtCompany],12)&lt;=10,"6-10 Years","10+ Years")))</f>
        <v>6-10 Years</v>
      </c>
      <c r="H20" t="str">
        <f>IF(INDEX(tblCleanData[WorkLifeBalance],12)&lt;=2,"Elevated","Normal")</f>
        <v>Normal</v>
      </c>
      <c r="I20">
        <f>IF(INDEX(tblCleanData[Age],12)&lt;30,30,IF(INDEX(tblCleanData[Age],12)&lt;40,20,IF(INDEX(tblCleanData[Age],12)&lt;50,10,15)))</f>
        <v>30</v>
      </c>
      <c r="J20">
        <f>IF(INDEX(tblCleanData[MonthlyIncome],12)&lt;=$B$3,25,IF(INDEX(tblCleanData[MonthlyIncome],12)&lt;=$B$4,12,5))</f>
        <v>5</v>
      </c>
      <c r="K20">
        <f>IF(INDEX(tblCleanData[OverTime],12)="Yes",25,0)</f>
        <v>25</v>
      </c>
      <c r="L20">
        <f>(5-INDEX(tblCleanData[JobSatisfaction],12))*6.25</f>
        <v>12.5</v>
      </c>
      <c r="M20">
        <f>IF(INDEX(tblCleanData[YearsAtCompany],12)&lt;=2,25,IF(INDEX(tblCleanData[YearsAtCompany],12)&lt;=5,15,IF(INDEX(tblCleanData[YearsAtCompany],12)&lt;=10,8,3)))</f>
        <v>8</v>
      </c>
      <c r="N20">
        <f t="shared" si="0"/>
        <v>81</v>
      </c>
      <c r="O20" t="str">
        <f t="shared" si="1"/>
        <v>High Risk</v>
      </c>
    </row>
    <row r="21" spans="1:15" x14ac:dyDescent="0.25">
      <c r="A21">
        <f>INDEX(tblCleanData[EmployeeNumber],13)</f>
        <v>16</v>
      </c>
      <c r="B21" t="str">
        <f>IF(INDEX(tblCleanData[Age],13)&lt;30,"Under 30",IF(INDEX(tblCleanData[Age],13)&lt;40,"30-39",IF(INDEX(tblCleanData[Age],13)&lt;50,"40-49","50+")))</f>
        <v>30-39</v>
      </c>
      <c r="C21" t="str">
        <f>IF(INDEX(tblCleanData[MonthlyIncome],13)&lt;=$B$3,"Low Income",IF(INDEX(tblCleanData[MonthlyIncome],13)&lt;=$B$4,"Medium Income","High Income"))</f>
        <v>High Income</v>
      </c>
      <c r="D21">
        <f>IF(INDEX(tblCleanData[Attrition],13)="Yes",1,0)</f>
        <v>0</v>
      </c>
      <c r="E21">
        <f>IF(INDEX(tblCleanData[OverTime],13)="Yes",1,0)</f>
        <v>0</v>
      </c>
      <c r="F21" t="str">
        <f>CHOOSE(INDEX(tblCleanData[Education],13),"Below College","College","Bachelor","Master","Doctor")</f>
        <v>Below College</v>
      </c>
      <c r="G21" t="str">
        <f>IF(INDEX(tblCleanData[YearsAtCompany],13)&lt;=2,"0-2 Years",IF(INDEX(tblCleanData[YearsAtCompany],13)&lt;=5,"3-5 Years",IF(INDEX(tblCleanData[YearsAtCompany],13)&lt;=10,"6-10 Years","10+ Years")))</f>
        <v>3-5 Years</v>
      </c>
      <c r="H21" t="str">
        <f>IF(INDEX(tblCleanData[WorkLifeBalance],13)&lt;=2,"Elevated","Normal")</f>
        <v>Elevated</v>
      </c>
      <c r="I21">
        <f>IF(INDEX(tblCleanData[Age],13)&lt;30,30,IF(INDEX(tblCleanData[Age],13)&lt;40,20,IF(INDEX(tblCleanData[Age],13)&lt;50,10,15)))</f>
        <v>20</v>
      </c>
      <c r="J21">
        <f>IF(INDEX(tblCleanData[MonthlyIncome],13)&lt;=$B$3,25,IF(INDEX(tblCleanData[MonthlyIncome],13)&lt;=$B$4,12,5))</f>
        <v>5</v>
      </c>
      <c r="K21">
        <f>IF(INDEX(tblCleanData[OverTime],13)="Yes",25,0)</f>
        <v>0</v>
      </c>
      <c r="L21">
        <f>(5-INDEX(tblCleanData[JobSatisfaction],13))*6.25</f>
        <v>12.5</v>
      </c>
      <c r="M21">
        <f>IF(INDEX(tblCleanData[YearsAtCompany],13)&lt;=2,25,IF(INDEX(tblCleanData[YearsAtCompany],13)&lt;=5,15,IF(INDEX(tblCleanData[YearsAtCompany],13)&lt;=10,8,3)))</f>
        <v>15</v>
      </c>
      <c r="N21">
        <f t="shared" si="0"/>
        <v>53</v>
      </c>
      <c r="O21" t="str">
        <f t="shared" si="1"/>
        <v>Medium Risk</v>
      </c>
    </row>
    <row r="22" spans="1:15" x14ac:dyDescent="0.25">
      <c r="A22">
        <f>INDEX(tblCleanData[EmployeeNumber],14)</f>
        <v>18</v>
      </c>
      <c r="B22" t="str">
        <f>IF(INDEX(tblCleanData[Age],14)&lt;30,"Under 30",IF(INDEX(tblCleanData[Age],14)&lt;40,"30-39",IF(INDEX(tblCleanData[Age],14)&lt;50,"40-49","50+")))</f>
        <v>30-39</v>
      </c>
      <c r="C22" t="str">
        <f>IF(INDEX(tblCleanData[MonthlyIncome],14)&lt;=$B$3,"Low Income",IF(INDEX(tblCleanData[MonthlyIncome],14)&lt;=$B$4,"Medium Income","High Income"))</f>
        <v>High Income</v>
      </c>
      <c r="D22">
        <f>IF(INDEX(tblCleanData[Attrition],14)="Yes",1,0)</f>
        <v>0</v>
      </c>
      <c r="E22">
        <f>IF(INDEX(tblCleanData[OverTime],14)="Yes",1,0)</f>
        <v>0</v>
      </c>
      <c r="F22" t="str">
        <f>CHOOSE(INDEX(tblCleanData[Education],14),"Below College","College","Bachelor","Master","Doctor")</f>
        <v>College</v>
      </c>
      <c r="G22" t="str">
        <f>IF(INDEX(tblCleanData[YearsAtCompany],14)&lt;=2,"0-2 Years",IF(INDEX(tblCleanData[YearsAtCompany],14)&lt;=5,"3-5 Years",IF(INDEX(tblCleanData[YearsAtCompany],14)&lt;=10,"6-10 Years","10+ Years")))</f>
        <v>0-2 Years</v>
      </c>
      <c r="H22" t="str">
        <f>IF(INDEX(tblCleanData[WorkLifeBalance],14)&lt;=2,"Elevated","Normal")</f>
        <v>Normal</v>
      </c>
      <c r="I22">
        <f>IF(INDEX(tblCleanData[Age],14)&lt;30,30,IF(INDEX(tblCleanData[Age],14)&lt;40,20,IF(INDEX(tblCleanData[Age],14)&lt;50,10,15)))</f>
        <v>20</v>
      </c>
      <c r="J22">
        <f>IF(INDEX(tblCleanData[MonthlyIncome],14)&lt;=$B$3,25,IF(INDEX(tblCleanData[MonthlyIncome],14)&lt;=$B$4,12,5))</f>
        <v>5</v>
      </c>
      <c r="K22">
        <f>IF(INDEX(tblCleanData[OverTime],14)="Yes",25,0)</f>
        <v>0</v>
      </c>
      <c r="L22">
        <f>(5-INDEX(tblCleanData[JobSatisfaction],14))*6.25</f>
        <v>6.25</v>
      </c>
      <c r="M22">
        <f>IF(INDEX(tblCleanData[YearsAtCompany],14)&lt;=2,25,IF(INDEX(tblCleanData[YearsAtCompany],14)&lt;=5,15,IF(INDEX(tblCleanData[YearsAtCompany],14)&lt;=10,8,3)))</f>
        <v>25</v>
      </c>
      <c r="N22">
        <f t="shared" si="0"/>
        <v>56</v>
      </c>
      <c r="O22" t="str">
        <f t="shared" si="1"/>
        <v>High Risk</v>
      </c>
    </row>
    <row r="23" spans="1:15" x14ac:dyDescent="0.25">
      <c r="A23">
        <f>INDEX(tblCleanData[EmployeeNumber],15)</f>
        <v>19</v>
      </c>
      <c r="B23" t="str">
        <f>IF(INDEX(tblCleanData[Age],15)&lt;30,"Under 30",IF(INDEX(tblCleanData[Age],15)&lt;40,"30-39",IF(INDEX(tblCleanData[Age],15)&lt;50,"40-49","50+")))</f>
        <v>Under 30</v>
      </c>
      <c r="C23" t="str">
        <f>IF(INDEX(tblCleanData[MonthlyIncome],15)&lt;=$B$3,"Low Income",IF(INDEX(tblCleanData[MonthlyIncome],15)&lt;=$B$4,"Medium Income","High Income"))</f>
        <v>High Income</v>
      </c>
      <c r="D23">
        <f>IF(INDEX(tblCleanData[Attrition],15)="Yes",1,0)</f>
        <v>1</v>
      </c>
      <c r="E23">
        <f>IF(INDEX(tblCleanData[OverTime],15)="Yes",1,0)</f>
        <v>1</v>
      </c>
      <c r="F23" t="str">
        <f>CHOOSE(INDEX(tblCleanData[Education],15),"Below College","College","Bachelor","Master","Doctor")</f>
        <v>Bachelor</v>
      </c>
      <c r="G23" t="str">
        <f>IF(INDEX(tblCleanData[YearsAtCompany],15)&lt;=2,"0-2 Years",IF(INDEX(tblCleanData[YearsAtCompany],15)&lt;=5,"3-5 Years",IF(INDEX(tblCleanData[YearsAtCompany],15)&lt;=10,"6-10 Years","10+ Years")))</f>
        <v>3-5 Years</v>
      </c>
      <c r="H23" t="str">
        <f>IF(INDEX(tblCleanData[WorkLifeBalance],15)&lt;=2,"Elevated","Normal")</f>
        <v>Normal</v>
      </c>
      <c r="I23">
        <f>IF(INDEX(tblCleanData[Age],15)&lt;30,30,IF(INDEX(tblCleanData[Age],15)&lt;40,20,IF(INDEX(tblCleanData[Age],15)&lt;50,10,15)))</f>
        <v>30</v>
      </c>
      <c r="J23">
        <f>IF(INDEX(tblCleanData[MonthlyIncome],15)&lt;=$B$3,25,IF(INDEX(tblCleanData[MonthlyIncome],15)&lt;=$B$4,12,5))</f>
        <v>5</v>
      </c>
      <c r="K23">
        <f>IF(INDEX(tblCleanData[OverTime],15)="Yes",25,0)</f>
        <v>25</v>
      </c>
      <c r="L23">
        <f>(5-INDEX(tblCleanData[JobSatisfaction],15))*6.25</f>
        <v>12.5</v>
      </c>
      <c r="M23">
        <f>IF(INDEX(tblCleanData[YearsAtCompany],15)&lt;=2,25,IF(INDEX(tblCleanData[YearsAtCompany],15)&lt;=5,15,IF(INDEX(tblCleanData[YearsAtCompany],15)&lt;=10,8,3)))</f>
        <v>15</v>
      </c>
      <c r="N23">
        <f t="shared" si="0"/>
        <v>88</v>
      </c>
      <c r="O23" t="str">
        <f t="shared" si="1"/>
        <v>High Risk</v>
      </c>
    </row>
    <row r="24" spans="1:15" x14ac:dyDescent="0.25">
      <c r="A24">
        <f>INDEX(tblCleanData[EmployeeNumber],16)</f>
        <v>20</v>
      </c>
      <c r="B24" t="str">
        <f>IF(INDEX(tblCleanData[Age],16)&lt;30,"Under 30",IF(INDEX(tblCleanData[Age],16)&lt;40,"30-39",IF(INDEX(tblCleanData[Age],16)&lt;50,"40-49","50+")))</f>
        <v>Under 30</v>
      </c>
      <c r="C24" t="str">
        <f>IF(INDEX(tblCleanData[MonthlyIncome],16)&lt;=$B$3,"Low Income",IF(INDEX(tblCleanData[MonthlyIncome],16)&lt;=$B$4,"Medium Income","High Income"))</f>
        <v>High Income</v>
      </c>
      <c r="D24">
        <f>IF(INDEX(tblCleanData[Attrition],16)="Yes",1,0)</f>
        <v>0</v>
      </c>
      <c r="E24">
        <f>IF(INDEX(tblCleanData[OverTime],16)="Yes",1,0)</f>
        <v>0</v>
      </c>
      <c r="F24" t="str">
        <f>CHOOSE(INDEX(tblCleanData[Education],16),"Below College","College","Bachelor","Master","Doctor")</f>
        <v>Master</v>
      </c>
      <c r="G24" t="str">
        <f>IF(INDEX(tblCleanData[YearsAtCompany],16)&lt;=2,"0-2 Years",IF(INDEX(tblCleanData[YearsAtCompany],16)&lt;=5,"3-5 Years",IF(INDEX(tblCleanData[YearsAtCompany],16)&lt;=10,"6-10 Years","10+ Years")))</f>
        <v>6-10 Years</v>
      </c>
      <c r="H24" t="str">
        <f>IF(INDEX(tblCleanData[WorkLifeBalance],16)&lt;=2,"Elevated","Normal")</f>
        <v>Normal</v>
      </c>
      <c r="I24">
        <f>IF(INDEX(tblCleanData[Age],16)&lt;30,30,IF(INDEX(tblCleanData[Age],16)&lt;40,20,IF(INDEX(tblCleanData[Age],16)&lt;50,10,15)))</f>
        <v>30</v>
      </c>
      <c r="J24">
        <f>IF(INDEX(tblCleanData[MonthlyIncome],16)&lt;=$B$3,25,IF(INDEX(tblCleanData[MonthlyIncome],16)&lt;=$B$4,12,5))</f>
        <v>5</v>
      </c>
      <c r="K24">
        <f>IF(INDEX(tblCleanData[OverTime],16)="Yes",25,0)</f>
        <v>0</v>
      </c>
      <c r="L24">
        <f>(5-INDEX(tblCleanData[JobSatisfaction],16))*6.25</f>
        <v>25</v>
      </c>
      <c r="M24">
        <f>IF(INDEX(tblCleanData[YearsAtCompany],16)&lt;=2,25,IF(INDEX(tblCleanData[YearsAtCompany],16)&lt;=5,15,IF(INDEX(tblCleanData[YearsAtCompany],16)&lt;=10,8,3)))</f>
        <v>8</v>
      </c>
      <c r="N24">
        <f t="shared" si="0"/>
        <v>68</v>
      </c>
      <c r="O24" t="str">
        <f t="shared" si="1"/>
        <v>High Risk</v>
      </c>
    </row>
    <row r="25" spans="1:15" x14ac:dyDescent="0.25">
      <c r="A25">
        <f>INDEX(tblCleanData[EmployeeNumber],17)</f>
        <v>21</v>
      </c>
      <c r="B25" t="str">
        <f>IF(INDEX(tblCleanData[Age],17)&lt;30,"Under 30",IF(INDEX(tblCleanData[Age],17)&lt;40,"30-39",IF(INDEX(tblCleanData[Age],17)&lt;50,"40-49","50+")))</f>
        <v>30-39</v>
      </c>
      <c r="C25" t="str">
        <f>IF(INDEX(tblCleanData[MonthlyIncome],17)&lt;=$B$3,"Low Income",IF(INDEX(tblCleanData[MonthlyIncome],17)&lt;=$B$4,"Medium Income","High Income"))</f>
        <v>High Income</v>
      </c>
      <c r="D25">
        <f>IF(INDEX(tblCleanData[Attrition],17)="Yes",1,0)</f>
        <v>0</v>
      </c>
      <c r="E25">
        <f>IF(INDEX(tblCleanData[OverTime],17)="Yes",1,0)</f>
        <v>1</v>
      </c>
      <c r="F25" t="str">
        <f>CHOOSE(INDEX(tblCleanData[Education],17),"Below College","College","Bachelor","Master","Doctor")</f>
        <v>College</v>
      </c>
      <c r="G25" t="str">
        <f>IF(INDEX(tblCleanData[YearsAtCompany],17)&lt;=2,"0-2 Years",IF(INDEX(tblCleanData[YearsAtCompany],17)&lt;=5,"3-5 Years",IF(INDEX(tblCleanData[YearsAtCompany],17)&lt;=10,"6-10 Years","10+ Years")))</f>
        <v>6-10 Years</v>
      </c>
      <c r="H25" t="str">
        <f>IF(INDEX(tblCleanData[WorkLifeBalance],17)&lt;=2,"Elevated","Normal")</f>
        <v>Elevated</v>
      </c>
      <c r="I25">
        <f>IF(INDEX(tblCleanData[Age],17)&lt;30,30,IF(INDEX(tblCleanData[Age],17)&lt;40,20,IF(INDEX(tblCleanData[Age],17)&lt;50,10,15)))</f>
        <v>20</v>
      </c>
      <c r="J25">
        <f>IF(INDEX(tblCleanData[MonthlyIncome],17)&lt;=$B$3,25,IF(INDEX(tblCleanData[MonthlyIncome],17)&lt;=$B$4,12,5))</f>
        <v>5</v>
      </c>
      <c r="K25">
        <f>IF(INDEX(tblCleanData[OverTime],17)="Yes",25,0)</f>
        <v>25</v>
      </c>
      <c r="L25">
        <f>(5-INDEX(tblCleanData[JobSatisfaction],17))*6.25</f>
        <v>18.75</v>
      </c>
      <c r="M25">
        <f>IF(INDEX(tblCleanData[YearsAtCompany],17)&lt;=2,25,IF(INDEX(tblCleanData[YearsAtCompany],17)&lt;=5,15,IF(INDEX(tblCleanData[YearsAtCompany],17)&lt;=10,8,3)))</f>
        <v>8</v>
      </c>
      <c r="N25">
        <f t="shared" si="0"/>
        <v>77</v>
      </c>
      <c r="O25" t="str">
        <f t="shared" si="1"/>
        <v>High Risk</v>
      </c>
    </row>
    <row r="26" spans="1:15" x14ac:dyDescent="0.25">
      <c r="A26">
        <f>INDEX(tblCleanData[EmployeeNumber],18)</f>
        <v>22</v>
      </c>
      <c r="B26" t="str">
        <f>IF(INDEX(tblCleanData[Age],18)&lt;30,"Under 30",IF(INDEX(tblCleanData[Age],18)&lt;40,"30-39",IF(INDEX(tblCleanData[Age],18)&lt;50,"40-49","50+")))</f>
        <v>Under 30</v>
      </c>
      <c r="C26" t="str">
        <f>IF(INDEX(tblCleanData[MonthlyIncome],18)&lt;=$B$3,"Low Income",IF(INDEX(tblCleanData[MonthlyIncome],18)&lt;=$B$4,"Medium Income","High Income"))</f>
        <v>High Income</v>
      </c>
      <c r="D26">
        <f>IF(INDEX(tblCleanData[Attrition],18)="Yes",1,0)</f>
        <v>0</v>
      </c>
      <c r="E26">
        <f>IF(INDEX(tblCleanData[OverTime],18)="Yes",1,0)</f>
        <v>1</v>
      </c>
      <c r="F26" t="str">
        <f>CHOOSE(INDEX(tblCleanData[Education],18),"Below College","College","Bachelor","Master","Doctor")</f>
        <v>College</v>
      </c>
      <c r="G26" t="str">
        <f>IF(INDEX(tblCleanData[YearsAtCompany],18)&lt;=2,"0-2 Years",IF(INDEX(tblCleanData[YearsAtCompany],18)&lt;=5,"3-5 Years",IF(INDEX(tblCleanData[YearsAtCompany],18)&lt;=10,"6-10 Years","10+ Years")))</f>
        <v>0-2 Years</v>
      </c>
      <c r="H26" t="str">
        <f>IF(INDEX(tblCleanData[WorkLifeBalance],18)&lt;=2,"Elevated","Normal")</f>
        <v>Elevated</v>
      </c>
      <c r="I26">
        <f>IF(INDEX(tblCleanData[Age],18)&lt;30,30,IF(INDEX(tblCleanData[Age],18)&lt;40,20,IF(INDEX(tblCleanData[Age],18)&lt;50,10,15)))</f>
        <v>30</v>
      </c>
      <c r="J26">
        <f>IF(INDEX(tblCleanData[MonthlyIncome],18)&lt;=$B$3,25,IF(INDEX(tblCleanData[MonthlyIncome],18)&lt;=$B$4,12,5))</f>
        <v>5</v>
      </c>
      <c r="K26">
        <f>IF(INDEX(tblCleanData[OverTime],18)="Yes",25,0)</f>
        <v>25</v>
      </c>
      <c r="L26">
        <f>(5-INDEX(tblCleanData[JobSatisfaction],18))*6.25</f>
        <v>6.25</v>
      </c>
      <c r="M26">
        <f>IF(INDEX(tblCleanData[YearsAtCompany],18)&lt;=2,25,IF(INDEX(tblCleanData[YearsAtCompany],18)&lt;=5,15,IF(INDEX(tblCleanData[YearsAtCompany],18)&lt;=10,8,3)))</f>
        <v>25</v>
      </c>
      <c r="N26">
        <f t="shared" si="0"/>
        <v>91</v>
      </c>
      <c r="O26" t="str">
        <f t="shared" si="1"/>
        <v>High Risk</v>
      </c>
    </row>
    <row r="27" spans="1:15" x14ac:dyDescent="0.25">
      <c r="A27">
        <f>INDEX(tblCleanData[EmployeeNumber],19)</f>
        <v>23</v>
      </c>
      <c r="B27" t="str">
        <f>IF(INDEX(tblCleanData[Age],19)&lt;30,"Under 30",IF(INDEX(tblCleanData[Age],19)&lt;40,"30-39",IF(INDEX(tblCleanData[Age],19)&lt;50,"40-49","50+")))</f>
        <v>50+</v>
      </c>
      <c r="C27" t="str">
        <f>IF(INDEX(tblCleanData[MonthlyIncome],19)&lt;=$B$3,"Low Income",IF(INDEX(tblCleanData[MonthlyIncome],19)&lt;=$B$4,"Medium Income","High Income"))</f>
        <v>High Income</v>
      </c>
      <c r="D27">
        <f>IF(INDEX(tblCleanData[Attrition],19)="Yes",1,0)</f>
        <v>0</v>
      </c>
      <c r="E27">
        <f>IF(INDEX(tblCleanData[OverTime],19)="Yes",1,0)</f>
        <v>0</v>
      </c>
      <c r="F27" t="str">
        <f>CHOOSE(INDEX(tblCleanData[Education],19),"Below College","College","Bachelor","Master","Doctor")</f>
        <v>Master</v>
      </c>
      <c r="G27" t="str">
        <f>IF(INDEX(tblCleanData[YearsAtCompany],19)&lt;=2,"0-2 Years",IF(INDEX(tblCleanData[YearsAtCompany],19)&lt;=5,"3-5 Years",IF(INDEX(tblCleanData[YearsAtCompany],19)&lt;=10,"6-10 Years","10+ Years")))</f>
        <v>10+ Years</v>
      </c>
      <c r="H27" t="str">
        <f>IF(INDEX(tblCleanData[WorkLifeBalance],19)&lt;=2,"Elevated","Normal")</f>
        <v>Normal</v>
      </c>
      <c r="I27">
        <f>IF(INDEX(tblCleanData[Age],19)&lt;30,30,IF(INDEX(tblCleanData[Age],19)&lt;40,20,IF(INDEX(tblCleanData[Age],19)&lt;50,10,15)))</f>
        <v>15</v>
      </c>
      <c r="J27">
        <f>IF(INDEX(tblCleanData[MonthlyIncome],19)&lt;=$B$3,25,IF(INDEX(tblCleanData[MonthlyIncome],19)&lt;=$B$4,12,5))</f>
        <v>5</v>
      </c>
      <c r="K27">
        <f>IF(INDEX(tblCleanData[OverTime],19)="Yes",25,0)</f>
        <v>0</v>
      </c>
      <c r="L27">
        <f>(5-INDEX(tblCleanData[JobSatisfaction],19))*6.25</f>
        <v>6.25</v>
      </c>
      <c r="M27">
        <f>IF(INDEX(tblCleanData[YearsAtCompany],19)&lt;=2,25,IF(INDEX(tblCleanData[YearsAtCompany],19)&lt;=5,15,IF(INDEX(tblCleanData[YearsAtCompany],19)&lt;=10,8,3)))</f>
        <v>3</v>
      </c>
      <c r="N27">
        <f t="shared" si="0"/>
        <v>29</v>
      </c>
      <c r="O27" t="str">
        <f t="shared" si="1"/>
        <v>Low Risk</v>
      </c>
    </row>
    <row r="28" spans="1:15" x14ac:dyDescent="0.25">
      <c r="A28">
        <f>INDEX(tblCleanData[EmployeeNumber],20)</f>
        <v>24</v>
      </c>
      <c r="B28" t="str">
        <f>IF(INDEX(tblCleanData[Age],20)&lt;30,"Under 30",IF(INDEX(tblCleanData[Age],20)&lt;40,"30-39",IF(INDEX(tblCleanData[Age],20)&lt;50,"40-49","50+")))</f>
        <v>30-39</v>
      </c>
      <c r="C28" t="str">
        <f>IF(INDEX(tblCleanData[MonthlyIncome],20)&lt;=$B$3,"Low Income",IF(INDEX(tblCleanData[MonthlyIncome],20)&lt;=$B$4,"Medium Income","High Income"))</f>
        <v>High Income</v>
      </c>
      <c r="D28">
        <f>IF(INDEX(tblCleanData[Attrition],20)="Yes",1,0)</f>
        <v>0</v>
      </c>
      <c r="E28">
        <f>IF(INDEX(tblCleanData[OverTime],20)="Yes",1,0)</f>
        <v>1</v>
      </c>
      <c r="F28" t="str">
        <f>CHOOSE(INDEX(tblCleanData[Education],20),"Below College","College","Bachelor","Master","Doctor")</f>
        <v>Bachelor</v>
      </c>
      <c r="G28" t="str">
        <f>IF(INDEX(tblCleanData[YearsAtCompany],20)&lt;=2,"0-2 Years",IF(INDEX(tblCleanData[YearsAtCompany],20)&lt;=5,"3-5 Years",IF(INDEX(tblCleanData[YearsAtCompany],20)&lt;=10,"6-10 Years","10+ Years")))</f>
        <v>3-5 Years</v>
      </c>
      <c r="H28" t="str">
        <f>IF(INDEX(tblCleanData[WorkLifeBalance],20)&lt;=2,"Elevated","Normal")</f>
        <v>Normal</v>
      </c>
      <c r="I28">
        <f>IF(INDEX(tblCleanData[Age],20)&lt;30,30,IF(INDEX(tblCleanData[Age],20)&lt;40,20,IF(INDEX(tblCleanData[Age],20)&lt;50,10,15)))</f>
        <v>20</v>
      </c>
      <c r="J28">
        <f>IF(INDEX(tblCleanData[MonthlyIncome],20)&lt;=$B$3,25,IF(INDEX(tblCleanData[MonthlyIncome],20)&lt;=$B$4,12,5))</f>
        <v>5</v>
      </c>
      <c r="K28">
        <f>IF(INDEX(tblCleanData[OverTime],20)="Yes",25,0)</f>
        <v>25</v>
      </c>
      <c r="L28">
        <f>(5-INDEX(tblCleanData[JobSatisfaction],20))*6.25</f>
        <v>6.25</v>
      </c>
      <c r="M28">
        <f>IF(INDEX(tblCleanData[YearsAtCompany],20)&lt;=2,25,IF(INDEX(tblCleanData[YearsAtCompany],20)&lt;=5,15,IF(INDEX(tblCleanData[YearsAtCompany],20)&lt;=10,8,3)))</f>
        <v>15</v>
      </c>
      <c r="N28">
        <f t="shared" si="0"/>
        <v>71</v>
      </c>
      <c r="O28" t="str">
        <f t="shared" si="1"/>
        <v>High Risk</v>
      </c>
    </row>
    <row r="29" spans="1:15" x14ac:dyDescent="0.25">
      <c r="A29">
        <f>INDEX(tblCleanData[EmployeeNumber],21)</f>
        <v>26</v>
      </c>
      <c r="B29" t="str">
        <f>IF(INDEX(tblCleanData[Age],21)&lt;30,"Under 30",IF(INDEX(tblCleanData[Age],21)&lt;40,"30-39",IF(INDEX(tblCleanData[Age],21)&lt;50,"40-49","50+")))</f>
        <v>Under 30</v>
      </c>
      <c r="C29" t="str">
        <f>IF(INDEX(tblCleanData[MonthlyIncome],21)&lt;=$B$3,"Low Income",IF(INDEX(tblCleanData[MonthlyIncome],21)&lt;=$B$4,"Medium Income","High Income"))</f>
        <v>High Income</v>
      </c>
      <c r="D29">
        <f>IF(INDEX(tblCleanData[Attrition],21)="Yes",1,0)</f>
        <v>0</v>
      </c>
      <c r="E29">
        <f>IF(INDEX(tblCleanData[OverTime],21)="Yes",1,0)</f>
        <v>0</v>
      </c>
      <c r="F29" t="str">
        <f>CHOOSE(INDEX(tblCleanData[Education],21),"Below College","College","Bachelor","Master","Doctor")</f>
        <v>College</v>
      </c>
      <c r="G29" t="str">
        <f>IF(INDEX(tblCleanData[YearsAtCompany],21)&lt;=2,"0-2 Years",IF(INDEX(tblCleanData[YearsAtCompany],21)&lt;=5,"3-5 Years",IF(INDEX(tblCleanData[YearsAtCompany],21)&lt;=10,"6-10 Years","10+ Years")))</f>
        <v>3-5 Years</v>
      </c>
      <c r="H29" t="str">
        <f>IF(INDEX(tblCleanData[WorkLifeBalance],21)&lt;=2,"Elevated","Normal")</f>
        <v>Elevated</v>
      </c>
      <c r="I29">
        <f>IF(INDEX(tblCleanData[Age],21)&lt;30,30,IF(INDEX(tblCleanData[Age],21)&lt;40,20,IF(INDEX(tblCleanData[Age],21)&lt;50,10,15)))</f>
        <v>30</v>
      </c>
      <c r="J29">
        <f>IF(INDEX(tblCleanData[MonthlyIncome],21)&lt;=$B$3,25,IF(INDEX(tblCleanData[MonthlyIncome],21)&lt;=$B$4,12,5))</f>
        <v>5</v>
      </c>
      <c r="K29">
        <f>IF(INDEX(tblCleanData[OverTime],21)="Yes",25,0)</f>
        <v>0</v>
      </c>
      <c r="L29">
        <f>(5-INDEX(tblCleanData[JobSatisfaction],21))*6.25</f>
        <v>12.5</v>
      </c>
      <c r="M29">
        <f>IF(INDEX(tblCleanData[YearsAtCompany],21)&lt;=2,25,IF(INDEX(tblCleanData[YearsAtCompany],21)&lt;=5,15,IF(INDEX(tblCleanData[YearsAtCompany],21)&lt;=10,8,3)))</f>
        <v>15</v>
      </c>
      <c r="N29">
        <f t="shared" si="0"/>
        <v>63</v>
      </c>
      <c r="O29" t="str">
        <f t="shared" si="1"/>
        <v>High Risk</v>
      </c>
    </row>
    <row r="30" spans="1:15" x14ac:dyDescent="0.25">
      <c r="A30">
        <f>INDEX(tblCleanData[EmployeeNumber],22)</f>
        <v>27</v>
      </c>
      <c r="B30" t="str">
        <f>IF(INDEX(tblCleanData[Age],22)&lt;30,"Under 30",IF(INDEX(tblCleanData[Age],22)&lt;40,"30-39",IF(INDEX(tblCleanData[Age],22)&lt;50,"40-49","50+")))</f>
        <v>30-39</v>
      </c>
      <c r="C30" t="str">
        <f>IF(INDEX(tblCleanData[MonthlyIncome],22)&lt;=$B$3,"Low Income",IF(INDEX(tblCleanData[MonthlyIncome],22)&lt;=$B$4,"Medium Income","High Income"))</f>
        <v>High Income</v>
      </c>
      <c r="D30">
        <f>IF(INDEX(tblCleanData[Attrition],22)="Yes",1,0)</f>
        <v>1</v>
      </c>
      <c r="E30">
        <f>IF(INDEX(tblCleanData[OverTime],22)="Yes",1,0)</f>
        <v>0</v>
      </c>
      <c r="F30" t="str">
        <f>CHOOSE(INDEX(tblCleanData[Education],22),"Below College","College","Bachelor","Master","Doctor")</f>
        <v>Master</v>
      </c>
      <c r="G30" t="str">
        <f>IF(INDEX(tblCleanData[YearsAtCompany],22)&lt;=2,"0-2 Years",IF(INDEX(tblCleanData[YearsAtCompany],22)&lt;=5,"3-5 Years",IF(INDEX(tblCleanData[YearsAtCompany],22)&lt;=10,"6-10 Years","10+ Years")))</f>
        <v>3-5 Years</v>
      </c>
      <c r="H30" t="str">
        <f>IF(INDEX(tblCleanData[WorkLifeBalance],22)&lt;=2,"Elevated","Normal")</f>
        <v>Normal</v>
      </c>
      <c r="I30">
        <f>IF(INDEX(tblCleanData[Age],22)&lt;30,30,IF(INDEX(tblCleanData[Age],22)&lt;40,20,IF(INDEX(tblCleanData[Age],22)&lt;50,10,15)))</f>
        <v>20</v>
      </c>
      <c r="J30">
        <f>IF(INDEX(tblCleanData[MonthlyIncome],22)&lt;=$B$3,25,IF(INDEX(tblCleanData[MonthlyIncome],22)&lt;=$B$4,12,5))</f>
        <v>5</v>
      </c>
      <c r="K30">
        <f>IF(INDEX(tblCleanData[OverTime],22)="Yes",25,0)</f>
        <v>0</v>
      </c>
      <c r="L30">
        <f>(5-INDEX(tblCleanData[JobSatisfaction],22))*6.25</f>
        <v>25</v>
      </c>
      <c r="M30">
        <f>IF(INDEX(tblCleanData[YearsAtCompany],22)&lt;=2,25,IF(INDEX(tblCleanData[YearsAtCompany],22)&lt;=5,15,IF(INDEX(tblCleanData[YearsAtCompany],22)&lt;=10,8,3)))</f>
        <v>15</v>
      </c>
      <c r="N30">
        <f t="shared" si="0"/>
        <v>65</v>
      </c>
      <c r="O30" t="str">
        <f t="shared" si="1"/>
        <v>High Risk</v>
      </c>
    </row>
    <row r="31" spans="1:15" x14ac:dyDescent="0.25">
      <c r="A31">
        <f>INDEX(tblCleanData[EmployeeNumber],23)</f>
        <v>28</v>
      </c>
      <c r="B31" t="str">
        <f>IF(INDEX(tblCleanData[Age],23)&lt;30,"Under 30",IF(INDEX(tblCleanData[Age],23)&lt;40,"30-39",IF(INDEX(tblCleanData[Age],23)&lt;50,"40-49","50+")))</f>
        <v>30-39</v>
      </c>
      <c r="C31" t="str">
        <f>IF(INDEX(tblCleanData[MonthlyIncome],23)&lt;=$B$3,"Low Income",IF(INDEX(tblCleanData[MonthlyIncome],23)&lt;=$B$4,"Medium Income","High Income"))</f>
        <v>High Income</v>
      </c>
      <c r="D31">
        <f>IF(INDEX(tblCleanData[Attrition],23)="Yes",1,0)</f>
        <v>0</v>
      </c>
      <c r="E31">
        <f>IF(INDEX(tblCleanData[OverTime],23)="Yes",1,0)</f>
        <v>0</v>
      </c>
      <c r="F31" t="str">
        <f>CHOOSE(INDEX(tblCleanData[Education],23),"Below College","College","Bachelor","Master","Doctor")</f>
        <v>Master</v>
      </c>
      <c r="G31" t="str">
        <f>IF(INDEX(tblCleanData[YearsAtCompany],23)&lt;=2,"0-2 Years",IF(INDEX(tblCleanData[YearsAtCompany],23)&lt;=5,"3-5 Years",IF(INDEX(tblCleanData[YearsAtCompany],23)&lt;=10,"6-10 Years","10+ Years")))</f>
        <v>10+ Years</v>
      </c>
      <c r="H31" t="str">
        <f>IF(INDEX(tblCleanData[WorkLifeBalance],23)&lt;=2,"Elevated","Normal")</f>
        <v>Normal</v>
      </c>
      <c r="I31">
        <f>IF(INDEX(tblCleanData[Age],23)&lt;30,30,IF(INDEX(tblCleanData[Age],23)&lt;40,20,IF(INDEX(tblCleanData[Age],23)&lt;50,10,15)))</f>
        <v>20</v>
      </c>
      <c r="J31">
        <f>IF(INDEX(tblCleanData[MonthlyIncome],23)&lt;=$B$3,25,IF(INDEX(tblCleanData[MonthlyIncome],23)&lt;=$B$4,12,5))</f>
        <v>5</v>
      </c>
      <c r="K31">
        <f>IF(INDEX(tblCleanData[OverTime],23)="Yes",25,0)</f>
        <v>0</v>
      </c>
      <c r="L31">
        <f>(5-INDEX(tblCleanData[JobSatisfaction],23))*6.25</f>
        <v>18.75</v>
      </c>
      <c r="M31">
        <f>IF(INDEX(tblCleanData[YearsAtCompany],23)&lt;=2,25,IF(INDEX(tblCleanData[YearsAtCompany],23)&lt;=5,15,IF(INDEX(tblCleanData[YearsAtCompany],23)&lt;=10,8,3)))</f>
        <v>3</v>
      </c>
      <c r="N31">
        <f t="shared" si="0"/>
        <v>47</v>
      </c>
      <c r="O31" t="str">
        <f t="shared" si="1"/>
        <v>Medium Risk</v>
      </c>
    </row>
    <row r="32" spans="1:15" x14ac:dyDescent="0.25">
      <c r="A32">
        <f>INDEX(tblCleanData[EmployeeNumber],24)</f>
        <v>30</v>
      </c>
      <c r="B32" t="str">
        <f>IF(INDEX(tblCleanData[Age],24)&lt;30,"Under 30",IF(INDEX(tblCleanData[Age],24)&lt;40,"30-39",IF(INDEX(tblCleanData[Age],24)&lt;50,"40-49","50+")))</f>
        <v>Under 30</v>
      </c>
      <c r="C32" t="str">
        <f>IF(INDEX(tblCleanData[MonthlyIncome],24)&lt;=$B$3,"Low Income",IF(INDEX(tblCleanData[MonthlyIncome],24)&lt;=$B$4,"Medium Income","High Income"))</f>
        <v>High Income</v>
      </c>
      <c r="D32">
        <f>IF(INDEX(tblCleanData[Attrition],24)="Yes",1,0)</f>
        <v>0</v>
      </c>
      <c r="E32">
        <f>IF(INDEX(tblCleanData[OverTime],24)="Yes",1,0)</f>
        <v>0</v>
      </c>
      <c r="F32" t="str">
        <f>CHOOSE(INDEX(tblCleanData[Education],24),"Below College","College","Bachelor","Master","Doctor")</f>
        <v>College</v>
      </c>
      <c r="G32" t="str">
        <f>IF(INDEX(tblCleanData[YearsAtCompany],24)&lt;=2,"0-2 Years",IF(INDEX(tblCleanData[YearsAtCompany],24)&lt;=5,"3-5 Years",IF(INDEX(tblCleanData[YearsAtCompany],24)&lt;=10,"6-10 Years","10+ Years")))</f>
        <v>0-2 Years</v>
      </c>
      <c r="H32" t="str">
        <f>IF(INDEX(tblCleanData[WorkLifeBalance],24)&lt;=2,"Elevated","Normal")</f>
        <v>Normal</v>
      </c>
      <c r="I32">
        <f>IF(INDEX(tblCleanData[Age],24)&lt;30,30,IF(INDEX(tblCleanData[Age],24)&lt;40,20,IF(INDEX(tblCleanData[Age],24)&lt;50,10,15)))</f>
        <v>30</v>
      </c>
      <c r="J32">
        <f>IF(INDEX(tblCleanData[MonthlyIncome],24)&lt;=$B$3,25,IF(INDEX(tblCleanData[MonthlyIncome],24)&lt;=$B$4,12,5))</f>
        <v>5</v>
      </c>
      <c r="K32">
        <f>IF(INDEX(tblCleanData[OverTime],24)="Yes",25,0)</f>
        <v>0</v>
      </c>
      <c r="L32">
        <f>(5-INDEX(tblCleanData[JobSatisfaction],24))*6.25</f>
        <v>6.25</v>
      </c>
      <c r="M32">
        <f>IF(INDEX(tblCleanData[YearsAtCompany],24)&lt;=2,25,IF(INDEX(tblCleanData[YearsAtCompany],24)&lt;=5,15,IF(INDEX(tblCleanData[YearsAtCompany],24)&lt;=10,8,3)))</f>
        <v>25</v>
      </c>
      <c r="N32">
        <f t="shared" si="0"/>
        <v>66</v>
      </c>
      <c r="O32" t="str">
        <f t="shared" si="1"/>
        <v>High Risk</v>
      </c>
    </row>
    <row r="33" spans="1:15" x14ac:dyDescent="0.25">
      <c r="A33">
        <f>INDEX(tblCleanData[EmployeeNumber],25)</f>
        <v>31</v>
      </c>
      <c r="B33" t="str">
        <f>IF(INDEX(tblCleanData[Age],25)&lt;30,"Under 30",IF(INDEX(tblCleanData[Age],25)&lt;40,"30-39",IF(INDEX(tblCleanData[Age],25)&lt;50,"40-49","50+")))</f>
        <v>30-39</v>
      </c>
      <c r="C33" t="str">
        <f>IF(INDEX(tblCleanData[MonthlyIncome],25)&lt;=$B$3,"Low Income",IF(INDEX(tblCleanData[MonthlyIncome],25)&lt;=$B$4,"Medium Income","High Income"))</f>
        <v>High Income</v>
      </c>
      <c r="D33">
        <f>IF(INDEX(tblCleanData[Attrition],25)="Yes",1,0)</f>
        <v>1</v>
      </c>
      <c r="E33">
        <f>IF(INDEX(tblCleanData[OverTime],25)="Yes",1,0)</f>
        <v>0</v>
      </c>
      <c r="F33" t="str">
        <f>CHOOSE(INDEX(tblCleanData[Education],25),"Below College","College","Bachelor","Master","Doctor")</f>
        <v>Below College</v>
      </c>
      <c r="G33" t="str">
        <f>IF(INDEX(tblCleanData[YearsAtCompany],25)&lt;=2,"0-2 Years",IF(INDEX(tblCleanData[YearsAtCompany],25)&lt;=5,"3-5 Years",IF(INDEX(tblCleanData[YearsAtCompany],25)&lt;=10,"6-10 Years","10+ Years")))</f>
        <v>3-5 Years</v>
      </c>
      <c r="H33" t="str">
        <f>IF(INDEX(tblCleanData[WorkLifeBalance],25)&lt;=2,"Elevated","Normal")</f>
        <v>Normal</v>
      </c>
      <c r="I33">
        <f>IF(INDEX(tblCleanData[Age],25)&lt;30,30,IF(INDEX(tblCleanData[Age],25)&lt;40,20,IF(INDEX(tblCleanData[Age],25)&lt;50,10,15)))</f>
        <v>20</v>
      </c>
      <c r="J33">
        <f>IF(INDEX(tblCleanData[MonthlyIncome],25)&lt;=$B$3,25,IF(INDEX(tblCleanData[MonthlyIncome],25)&lt;=$B$4,12,5))</f>
        <v>5</v>
      </c>
      <c r="K33">
        <f>IF(INDEX(tblCleanData[OverTime],25)="Yes",25,0)</f>
        <v>0</v>
      </c>
      <c r="L33">
        <f>(5-INDEX(tblCleanData[JobSatisfaction],25))*6.25</f>
        <v>25</v>
      </c>
      <c r="M33">
        <f>IF(INDEX(tblCleanData[YearsAtCompany],25)&lt;=2,25,IF(INDEX(tblCleanData[YearsAtCompany],25)&lt;=5,15,IF(INDEX(tblCleanData[YearsAtCompany],25)&lt;=10,8,3)))</f>
        <v>15</v>
      </c>
      <c r="N33">
        <f t="shared" si="0"/>
        <v>65</v>
      </c>
      <c r="O33" t="str">
        <f t="shared" si="1"/>
        <v>High Risk</v>
      </c>
    </row>
    <row r="34" spans="1:15" x14ac:dyDescent="0.25">
      <c r="A34">
        <f>INDEX(tblCleanData[EmployeeNumber],26)</f>
        <v>32</v>
      </c>
      <c r="B34" t="str">
        <f>IF(INDEX(tblCleanData[Age],26)&lt;30,"Under 30",IF(INDEX(tblCleanData[Age],26)&lt;40,"30-39",IF(INDEX(tblCleanData[Age],26)&lt;50,"40-49","50+")))</f>
        <v>50+</v>
      </c>
      <c r="C34" t="str">
        <f>IF(INDEX(tblCleanData[MonthlyIncome],26)&lt;=$B$3,"Low Income",IF(INDEX(tblCleanData[MonthlyIncome],26)&lt;=$B$4,"Medium Income","High Income"))</f>
        <v>High Income</v>
      </c>
      <c r="D34">
        <f>IF(INDEX(tblCleanData[Attrition],26)="Yes",1,0)</f>
        <v>0</v>
      </c>
      <c r="E34">
        <f>IF(INDEX(tblCleanData[OverTime],26)="Yes",1,0)</f>
        <v>0</v>
      </c>
      <c r="F34" t="str">
        <f>CHOOSE(INDEX(tblCleanData[Education],26),"Below College","College","Bachelor","Master","Doctor")</f>
        <v>Bachelor</v>
      </c>
      <c r="G34" t="str">
        <f>IF(INDEX(tblCleanData[YearsAtCompany],26)&lt;=2,"0-2 Years",IF(INDEX(tblCleanData[YearsAtCompany],26)&lt;=5,"3-5 Years",IF(INDEX(tblCleanData[YearsAtCompany],26)&lt;=10,"6-10 Years","10+ Years")))</f>
        <v>10+ Years</v>
      </c>
      <c r="H34" t="str">
        <f>IF(INDEX(tblCleanData[WorkLifeBalance],26)&lt;=2,"Elevated","Normal")</f>
        <v>Elevated</v>
      </c>
      <c r="I34">
        <f>IF(INDEX(tblCleanData[Age],26)&lt;30,30,IF(INDEX(tblCleanData[Age],26)&lt;40,20,IF(INDEX(tblCleanData[Age],26)&lt;50,10,15)))</f>
        <v>15</v>
      </c>
      <c r="J34">
        <f>IF(INDEX(tblCleanData[MonthlyIncome],26)&lt;=$B$3,25,IF(INDEX(tblCleanData[MonthlyIncome],26)&lt;=$B$4,12,5))</f>
        <v>5</v>
      </c>
      <c r="K34">
        <f>IF(INDEX(tblCleanData[OverTime],26)="Yes",25,0)</f>
        <v>0</v>
      </c>
      <c r="L34">
        <f>(5-INDEX(tblCleanData[JobSatisfaction],26))*6.25</f>
        <v>12.5</v>
      </c>
      <c r="M34">
        <f>IF(INDEX(tblCleanData[YearsAtCompany],26)&lt;=2,25,IF(INDEX(tblCleanData[YearsAtCompany],26)&lt;=5,15,IF(INDEX(tblCleanData[YearsAtCompany],26)&lt;=10,8,3)))</f>
        <v>3</v>
      </c>
      <c r="N34">
        <f t="shared" si="0"/>
        <v>36</v>
      </c>
      <c r="O34" t="str">
        <f t="shared" si="1"/>
        <v>Medium Risk</v>
      </c>
    </row>
    <row r="35" spans="1:15" x14ac:dyDescent="0.25">
      <c r="A35">
        <f>INDEX(tblCleanData[EmployeeNumber],27)</f>
        <v>33</v>
      </c>
      <c r="B35" t="str">
        <f>IF(INDEX(tblCleanData[Age],27)&lt;30,"Under 30",IF(INDEX(tblCleanData[Age],27)&lt;40,"30-39",IF(INDEX(tblCleanData[Age],27)&lt;50,"40-49","50+")))</f>
        <v>30-39</v>
      </c>
      <c r="C35" t="str">
        <f>IF(INDEX(tblCleanData[MonthlyIncome],27)&lt;=$B$3,"Low Income",IF(INDEX(tblCleanData[MonthlyIncome],27)&lt;=$B$4,"Medium Income","High Income"))</f>
        <v>High Income</v>
      </c>
      <c r="D35">
        <f>IF(INDEX(tblCleanData[Attrition],27)="Yes",1,0)</f>
        <v>1</v>
      </c>
      <c r="E35">
        <f>IF(INDEX(tblCleanData[OverTime],27)="Yes",1,0)</f>
        <v>1</v>
      </c>
      <c r="F35" t="str">
        <f>CHOOSE(INDEX(tblCleanData[Education],27),"Below College","College","Bachelor","Master","Doctor")</f>
        <v>Below College</v>
      </c>
      <c r="G35" t="str">
        <f>IF(INDEX(tblCleanData[YearsAtCompany],27)&lt;=2,"0-2 Years",IF(INDEX(tblCleanData[YearsAtCompany],27)&lt;=5,"3-5 Years",IF(INDEX(tblCleanData[YearsAtCompany],27)&lt;=10,"6-10 Years","10+ Years")))</f>
        <v>6-10 Years</v>
      </c>
      <c r="H35" t="str">
        <f>IF(INDEX(tblCleanData[WorkLifeBalance],27)&lt;=2,"Elevated","Normal")</f>
        <v>Normal</v>
      </c>
      <c r="I35">
        <f>IF(INDEX(tblCleanData[Age],27)&lt;30,30,IF(INDEX(tblCleanData[Age],27)&lt;40,20,IF(INDEX(tblCleanData[Age],27)&lt;50,10,15)))</f>
        <v>20</v>
      </c>
      <c r="J35">
        <f>IF(INDEX(tblCleanData[MonthlyIncome],27)&lt;=$B$3,25,IF(INDEX(tblCleanData[MonthlyIncome],27)&lt;=$B$4,12,5))</f>
        <v>5</v>
      </c>
      <c r="K35">
        <f>IF(INDEX(tblCleanData[OverTime],27)="Yes",25,0)</f>
        <v>25</v>
      </c>
      <c r="L35">
        <f>(5-INDEX(tblCleanData[JobSatisfaction],27))*6.25</f>
        <v>25</v>
      </c>
      <c r="M35">
        <f>IF(INDEX(tblCleanData[YearsAtCompany],27)&lt;=2,25,IF(INDEX(tblCleanData[YearsAtCompany],27)&lt;=5,15,IF(INDEX(tblCleanData[YearsAtCompany],27)&lt;=10,8,3)))</f>
        <v>8</v>
      </c>
      <c r="N35">
        <f t="shared" si="0"/>
        <v>83</v>
      </c>
      <c r="O35" t="str">
        <f t="shared" si="1"/>
        <v>High Risk</v>
      </c>
    </row>
    <row r="36" spans="1:15" x14ac:dyDescent="0.25">
      <c r="A36">
        <f>INDEX(tblCleanData[EmployeeNumber],28)</f>
        <v>35</v>
      </c>
      <c r="B36" t="str">
        <f>IF(INDEX(tblCleanData[Age],28)&lt;30,"Under 30",IF(INDEX(tblCleanData[Age],28)&lt;40,"30-39",IF(INDEX(tblCleanData[Age],28)&lt;50,"40-49","50+")))</f>
        <v>40-49</v>
      </c>
      <c r="C36" t="str">
        <f>IF(INDEX(tblCleanData[MonthlyIncome],28)&lt;=$B$3,"Low Income",IF(INDEX(tblCleanData[MonthlyIncome],28)&lt;=$B$4,"Medium Income","High Income"))</f>
        <v>High Income</v>
      </c>
      <c r="D36">
        <f>IF(INDEX(tblCleanData[Attrition],28)="Yes",1,0)</f>
        <v>0</v>
      </c>
      <c r="E36">
        <f>IF(INDEX(tblCleanData[OverTime],28)="Yes",1,0)</f>
        <v>0</v>
      </c>
      <c r="F36" t="str">
        <f>CHOOSE(INDEX(tblCleanData[Education],28),"Below College","College","Bachelor","Master","Doctor")</f>
        <v>Master</v>
      </c>
      <c r="G36" t="str">
        <f>IF(INDEX(tblCleanData[YearsAtCompany],28)&lt;=2,"0-2 Years",IF(INDEX(tblCleanData[YearsAtCompany],28)&lt;=5,"3-5 Years",IF(INDEX(tblCleanData[YearsAtCompany],28)&lt;=10,"6-10 Years","10+ Years")))</f>
        <v>6-10 Years</v>
      </c>
      <c r="H36" t="str">
        <f>IF(INDEX(tblCleanData[WorkLifeBalance],28)&lt;=2,"Elevated","Normal")</f>
        <v>Normal</v>
      </c>
      <c r="I36">
        <f>IF(INDEX(tblCleanData[Age],28)&lt;30,30,IF(INDEX(tblCleanData[Age],28)&lt;40,20,IF(INDEX(tblCleanData[Age],28)&lt;50,10,15)))</f>
        <v>10</v>
      </c>
      <c r="J36">
        <f>IF(INDEX(tblCleanData[MonthlyIncome],28)&lt;=$B$3,25,IF(INDEX(tblCleanData[MonthlyIncome],28)&lt;=$B$4,12,5))</f>
        <v>5</v>
      </c>
      <c r="K36">
        <f>IF(INDEX(tblCleanData[OverTime],28)="Yes",25,0)</f>
        <v>0</v>
      </c>
      <c r="L36">
        <f>(5-INDEX(tblCleanData[JobSatisfaction],28))*6.25</f>
        <v>18.75</v>
      </c>
      <c r="M36">
        <f>IF(INDEX(tblCleanData[YearsAtCompany],28)&lt;=2,25,IF(INDEX(tblCleanData[YearsAtCompany],28)&lt;=5,15,IF(INDEX(tblCleanData[YearsAtCompany],28)&lt;=10,8,3)))</f>
        <v>8</v>
      </c>
      <c r="N36">
        <f t="shared" si="0"/>
        <v>42</v>
      </c>
      <c r="O36" t="str">
        <f t="shared" si="1"/>
        <v>Medium Risk</v>
      </c>
    </row>
    <row r="37" spans="1:15" x14ac:dyDescent="0.25">
      <c r="A37">
        <f>INDEX(tblCleanData[EmployeeNumber],29)</f>
        <v>36</v>
      </c>
      <c r="B37" t="str">
        <f>IF(INDEX(tblCleanData[Age],29)&lt;30,"Under 30",IF(INDEX(tblCleanData[Age],29)&lt;40,"30-39",IF(INDEX(tblCleanData[Age],29)&lt;50,"40-49","50+")))</f>
        <v>40-49</v>
      </c>
      <c r="C37" t="str">
        <f>IF(INDEX(tblCleanData[MonthlyIncome],29)&lt;=$B$3,"Low Income",IF(INDEX(tblCleanData[MonthlyIncome],29)&lt;=$B$4,"Medium Income","High Income"))</f>
        <v>High Income</v>
      </c>
      <c r="D37">
        <f>IF(INDEX(tblCleanData[Attrition],29)="Yes",1,0)</f>
        <v>0</v>
      </c>
      <c r="E37">
        <f>IF(INDEX(tblCleanData[OverTime],29)="Yes",1,0)</f>
        <v>0</v>
      </c>
      <c r="F37" t="str">
        <f>CHOOSE(INDEX(tblCleanData[Education],29),"Below College","College","Bachelor","Master","Doctor")</f>
        <v>Master</v>
      </c>
      <c r="G37" t="str">
        <f>IF(INDEX(tblCleanData[YearsAtCompany],29)&lt;=2,"0-2 Years",IF(INDEX(tblCleanData[YearsAtCompany],29)&lt;=5,"3-5 Years",IF(INDEX(tblCleanData[YearsAtCompany],29)&lt;=10,"6-10 Years","10+ Years")))</f>
        <v>10+ Years</v>
      </c>
      <c r="H37" t="str">
        <f>IF(INDEX(tblCleanData[WorkLifeBalance],29)&lt;=2,"Elevated","Normal")</f>
        <v>Normal</v>
      </c>
      <c r="I37">
        <f>IF(INDEX(tblCleanData[Age],29)&lt;30,30,IF(INDEX(tblCleanData[Age],29)&lt;40,20,IF(INDEX(tblCleanData[Age],29)&lt;50,10,15)))</f>
        <v>10</v>
      </c>
      <c r="J37">
        <f>IF(INDEX(tblCleanData[MonthlyIncome],29)&lt;=$B$3,25,IF(INDEX(tblCleanData[MonthlyIncome],29)&lt;=$B$4,12,5))</f>
        <v>5</v>
      </c>
      <c r="K37">
        <f>IF(INDEX(tblCleanData[OverTime],29)="Yes",25,0)</f>
        <v>0</v>
      </c>
      <c r="L37">
        <f>(5-INDEX(tblCleanData[JobSatisfaction],29))*6.25</f>
        <v>6.25</v>
      </c>
      <c r="M37">
        <f>IF(INDEX(tblCleanData[YearsAtCompany],29)&lt;=2,25,IF(INDEX(tblCleanData[YearsAtCompany],29)&lt;=5,15,IF(INDEX(tblCleanData[YearsAtCompany],29)&lt;=10,8,3)))</f>
        <v>3</v>
      </c>
      <c r="N37">
        <f t="shared" si="0"/>
        <v>24</v>
      </c>
      <c r="O37" t="str">
        <f t="shared" si="1"/>
        <v>Low Risk</v>
      </c>
    </row>
    <row r="38" spans="1:15" x14ac:dyDescent="0.25">
      <c r="A38">
        <f>INDEX(tblCleanData[EmployeeNumber],30)</f>
        <v>38</v>
      </c>
      <c r="B38" t="str">
        <f>IF(INDEX(tblCleanData[Age],30)&lt;30,"Under 30",IF(INDEX(tblCleanData[Age],30)&lt;40,"30-39",IF(INDEX(tblCleanData[Age],30)&lt;50,"40-49","50+")))</f>
        <v>40-49</v>
      </c>
      <c r="C38" t="str">
        <f>IF(INDEX(tblCleanData[MonthlyIncome],30)&lt;=$B$3,"Low Income",IF(INDEX(tblCleanData[MonthlyIncome],30)&lt;=$B$4,"Medium Income","High Income"))</f>
        <v>High Income</v>
      </c>
      <c r="D38">
        <f>IF(INDEX(tblCleanData[Attrition],30)="Yes",1,0)</f>
        <v>0</v>
      </c>
      <c r="E38">
        <f>IF(INDEX(tblCleanData[OverTime],30)="Yes",1,0)</f>
        <v>0</v>
      </c>
      <c r="F38" t="str">
        <f>CHOOSE(INDEX(tblCleanData[Education],30),"Below College","College","Bachelor","Master","Doctor")</f>
        <v>Master</v>
      </c>
      <c r="G38" t="str">
        <f>IF(INDEX(tblCleanData[YearsAtCompany],30)&lt;=2,"0-2 Years",IF(INDEX(tblCleanData[YearsAtCompany],30)&lt;=5,"3-5 Years",IF(INDEX(tblCleanData[YearsAtCompany],30)&lt;=10,"6-10 Years","10+ Years")))</f>
        <v>0-2 Years</v>
      </c>
      <c r="H38" t="str">
        <f>IF(INDEX(tblCleanData[WorkLifeBalance],30)&lt;=2,"Elevated","Normal")</f>
        <v>Elevated</v>
      </c>
      <c r="I38">
        <f>IF(INDEX(tblCleanData[Age],30)&lt;30,30,IF(INDEX(tblCleanData[Age],30)&lt;40,20,IF(INDEX(tblCleanData[Age],30)&lt;50,10,15)))</f>
        <v>10</v>
      </c>
      <c r="J38">
        <f>IF(INDEX(tblCleanData[MonthlyIncome],30)&lt;=$B$3,25,IF(INDEX(tblCleanData[MonthlyIncome],30)&lt;=$B$4,12,5))</f>
        <v>5</v>
      </c>
      <c r="K38">
        <f>IF(INDEX(tblCleanData[OverTime],30)="Yes",25,0)</f>
        <v>0</v>
      </c>
      <c r="L38">
        <f>(5-INDEX(tblCleanData[JobSatisfaction],30))*6.25</f>
        <v>25</v>
      </c>
      <c r="M38">
        <f>IF(INDEX(tblCleanData[YearsAtCompany],30)&lt;=2,25,IF(INDEX(tblCleanData[YearsAtCompany],30)&lt;=5,15,IF(INDEX(tblCleanData[YearsAtCompany],30)&lt;=10,8,3)))</f>
        <v>25</v>
      </c>
      <c r="N38">
        <f t="shared" si="0"/>
        <v>65</v>
      </c>
      <c r="O38" t="str">
        <f t="shared" si="1"/>
        <v>High Risk</v>
      </c>
    </row>
    <row r="39" spans="1:15" x14ac:dyDescent="0.25">
      <c r="A39">
        <f>INDEX(tblCleanData[EmployeeNumber],31)</f>
        <v>39</v>
      </c>
      <c r="B39" t="str">
        <f>IF(INDEX(tblCleanData[Age],31)&lt;30,"Under 30",IF(INDEX(tblCleanData[Age],31)&lt;40,"30-39",IF(INDEX(tblCleanData[Age],31)&lt;50,"40-49","50+")))</f>
        <v>30-39</v>
      </c>
      <c r="C39" t="str">
        <f>IF(INDEX(tblCleanData[MonthlyIncome],31)&lt;=$B$3,"Low Income",IF(INDEX(tblCleanData[MonthlyIncome],31)&lt;=$B$4,"Medium Income","High Income"))</f>
        <v>High Income</v>
      </c>
      <c r="D39">
        <f>IF(INDEX(tblCleanData[Attrition],31)="Yes",1,0)</f>
        <v>0</v>
      </c>
      <c r="E39">
        <f>IF(INDEX(tblCleanData[OverTime],31)="Yes",1,0)</f>
        <v>0</v>
      </c>
      <c r="F39" t="str">
        <f>CHOOSE(INDEX(tblCleanData[Education],31),"Below College","College","Bachelor","Master","Doctor")</f>
        <v>Bachelor</v>
      </c>
      <c r="G39" t="str">
        <f>IF(INDEX(tblCleanData[YearsAtCompany],31)&lt;=2,"0-2 Years",IF(INDEX(tblCleanData[YearsAtCompany],31)&lt;=5,"3-5 Years",IF(INDEX(tblCleanData[YearsAtCompany],31)&lt;=10,"6-10 Years","10+ Years")))</f>
        <v>0-2 Years</v>
      </c>
      <c r="H39" t="str">
        <f>IF(INDEX(tblCleanData[WorkLifeBalance],31)&lt;=2,"Elevated","Normal")</f>
        <v>Normal</v>
      </c>
      <c r="I39">
        <f>IF(INDEX(tblCleanData[Age],31)&lt;30,30,IF(INDEX(tblCleanData[Age],31)&lt;40,20,IF(INDEX(tblCleanData[Age],31)&lt;50,10,15)))</f>
        <v>20</v>
      </c>
      <c r="J39">
        <f>IF(INDEX(tblCleanData[MonthlyIncome],31)&lt;=$B$3,25,IF(INDEX(tblCleanData[MonthlyIncome],31)&lt;=$B$4,12,5))</f>
        <v>5</v>
      </c>
      <c r="K39">
        <f>IF(INDEX(tblCleanData[OverTime],31)="Yes",25,0)</f>
        <v>0</v>
      </c>
      <c r="L39">
        <f>(5-INDEX(tblCleanData[JobSatisfaction],31))*6.25</f>
        <v>6.25</v>
      </c>
      <c r="M39">
        <f>IF(INDEX(tblCleanData[YearsAtCompany],31)&lt;=2,25,IF(INDEX(tblCleanData[YearsAtCompany],31)&lt;=5,15,IF(INDEX(tblCleanData[YearsAtCompany],31)&lt;=10,8,3)))</f>
        <v>25</v>
      </c>
      <c r="N39">
        <f t="shared" si="0"/>
        <v>56</v>
      </c>
      <c r="O39" t="str">
        <f t="shared" si="1"/>
        <v>High Risk</v>
      </c>
    </row>
    <row r="40" spans="1:15" x14ac:dyDescent="0.25">
      <c r="A40">
        <f>INDEX(tblCleanData[EmployeeNumber],32)</f>
        <v>40</v>
      </c>
      <c r="B40" t="str">
        <f>IF(INDEX(tblCleanData[Age],32)&lt;30,"Under 30",IF(INDEX(tblCleanData[Age],32)&lt;40,"30-39",IF(INDEX(tblCleanData[Age],32)&lt;50,"40-49","50+")))</f>
        <v>40-49</v>
      </c>
      <c r="C40" t="str">
        <f>IF(INDEX(tblCleanData[MonthlyIncome],32)&lt;=$B$3,"Low Income",IF(INDEX(tblCleanData[MonthlyIncome],32)&lt;=$B$4,"Medium Income","High Income"))</f>
        <v>High Income</v>
      </c>
      <c r="D40">
        <f>IF(INDEX(tblCleanData[Attrition],32)="Yes",1,0)</f>
        <v>0</v>
      </c>
      <c r="E40">
        <f>IF(INDEX(tblCleanData[OverTime],32)="Yes",1,0)</f>
        <v>1</v>
      </c>
      <c r="F40" t="str">
        <f>CHOOSE(INDEX(tblCleanData[Education],32),"Below College","College","Bachelor","Master","Doctor")</f>
        <v>Master</v>
      </c>
      <c r="G40" t="str">
        <f>IF(INDEX(tblCleanData[YearsAtCompany],32)&lt;=2,"0-2 Years",IF(INDEX(tblCleanData[YearsAtCompany],32)&lt;=5,"3-5 Years",IF(INDEX(tblCleanData[YearsAtCompany],32)&lt;=10,"6-10 Years","10+ Years")))</f>
        <v>3-5 Years</v>
      </c>
      <c r="H40" t="str">
        <f>IF(INDEX(tblCleanData[WorkLifeBalance],32)&lt;=2,"Elevated","Normal")</f>
        <v>Normal</v>
      </c>
      <c r="I40">
        <f>IF(INDEX(tblCleanData[Age],32)&lt;30,30,IF(INDEX(tblCleanData[Age],32)&lt;40,20,IF(INDEX(tblCleanData[Age],32)&lt;50,10,15)))</f>
        <v>10</v>
      </c>
      <c r="J40">
        <f>IF(INDEX(tblCleanData[MonthlyIncome],32)&lt;=$B$3,25,IF(INDEX(tblCleanData[MonthlyIncome],32)&lt;=$B$4,12,5))</f>
        <v>5</v>
      </c>
      <c r="K40">
        <f>IF(INDEX(tblCleanData[OverTime],32)="Yes",25,0)</f>
        <v>25</v>
      </c>
      <c r="L40">
        <f>(5-INDEX(tblCleanData[JobSatisfaction],32))*6.25</f>
        <v>6.25</v>
      </c>
      <c r="M40">
        <f>IF(INDEX(tblCleanData[YearsAtCompany],32)&lt;=2,25,IF(INDEX(tblCleanData[YearsAtCompany],32)&lt;=5,15,IF(INDEX(tblCleanData[YearsAtCompany],32)&lt;=10,8,3)))</f>
        <v>15</v>
      </c>
      <c r="N40">
        <f t="shared" si="0"/>
        <v>61</v>
      </c>
      <c r="O40" t="str">
        <f t="shared" si="1"/>
        <v>High Risk</v>
      </c>
    </row>
    <row r="41" spans="1:15" x14ac:dyDescent="0.25">
      <c r="A41">
        <f>INDEX(tblCleanData[EmployeeNumber],33)</f>
        <v>41</v>
      </c>
      <c r="B41" t="str">
        <f>IF(INDEX(tblCleanData[Age],33)&lt;30,"Under 30",IF(INDEX(tblCleanData[Age],33)&lt;40,"30-39",IF(INDEX(tblCleanData[Age],33)&lt;50,"40-49","50+")))</f>
        <v>30-39</v>
      </c>
      <c r="C41" t="str">
        <f>IF(INDEX(tblCleanData[MonthlyIncome],33)&lt;=$B$3,"Low Income",IF(INDEX(tblCleanData[MonthlyIncome],33)&lt;=$B$4,"Medium Income","High Income"))</f>
        <v>High Income</v>
      </c>
      <c r="D41">
        <f>IF(INDEX(tblCleanData[Attrition],33)="Yes",1,0)</f>
        <v>0</v>
      </c>
      <c r="E41">
        <f>IF(INDEX(tblCleanData[OverTime],33)="Yes",1,0)</f>
        <v>0</v>
      </c>
      <c r="F41" t="str">
        <f>CHOOSE(INDEX(tblCleanData[Education],33),"Below College","College","Bachelor","Master","Doctor")</f>
        <v>College</v>
      </c>
      <c r="G41" t="str">
        <f>IF(INDEX(tblCleanData[YearsAtCompany],33)&lt;=2,"0-2 Years",IF(INDEX(tblCleanData[YearsAtCompany],33)&lt;=5,"3-5 Years",IF(INDEX(tblCleanData[YearsAtCompany],33)&lt;=10,"6-10 Years","10+ Years")))</f>
        <v>6-10 Years</v>
      </c>
      <c r="H41" t="str">
        <f>IF(INDEX(tblCleanData[WorkLifeBalance],33)&lt;=2,"Elevated","Normal")</f>
        <v>Normal</v>
      </c>
      <c r="I41">
        <f>IF(INDEX(tblCleanData[Age],33)&lt;30,30,IF(INDEX(tblCleanData[Age],33)&lt;40,20,IF(INDEX(tblCleanData[Age],33)&lt;50,10,15)))</f>
        <v>20</v>
      </c>
      <c r="J41">
        <f>IF(INDEX(tblCleanData[MonthlyIncome],33)&lt;=$B$3,25,IF(INDEX(tblCleanData[MonthlyIncome],33)&lt;=$B$4,12,5))</f>
        <v>5</v>
      </c>
      <c r="K41">
        <f>IF(INDEX(tblCleanData[OverTime],33)="Yes",25,0)</f>
        <v>0</v>
      </c>
      <c r="L41">
        <f>(5-INDEX(tblCleanData[JobSatisfaction],33))*6.25</f>
        <v>12.5</v>
      </c>
      <c r="M41">
        <f>IF(INDEX(tblCleanData[YearsAtCompany],33)&lt;=2,25,IF(INDEX(tblCleanData[YearsAtCompany],33)&lt;=5,15,IF(INDEX(tblCleanData[YearsAtCompany],33)&lt;=10,8,3)))</f>
        <v>8</v>
      </c>
      <c r="N41">
        <f t="shared" si="0"/>
        <v>46</v>
      </c>
      <c r="O41" t="str">
        <f t="shared" si="1"/>
        <v>Medium Risk</v>
      </c>
    </row>
    <row r="42" spans="1:15" x14ac:dyDescent="0.25">
      <c r="A42">
        <f>INDEX(tblCleanData[EmployeeNumber],34)</f>
        <v>42</v>
      </c>
      <c r="B42" t="str">
        <f>IF(INDEX(tblCleanData[Age],34)&lt;30,"Under 30",IF(INDEX(tblCleanData[Age],34)&lt;40,"30-39",IF(INDEX(tblCleanData[Age],34)&lt;50,"40-49","50+")))</f>
        <v>30-39</v>
      </c>
      <c r="C42" t="str">
        <f>IF(INDEX(tblCleanData[MonthlyIncome],34)&lt;=$B$3,"Low Income",IF(INDEX(tblCleanData[MonthlyIncome],34)&lt;=$B$4,"Medium Income","High Income"))</f>
        <v>High Income</v>
      </c>
      <c r="D42">
        <f>IF(INDEX(tblCleanData[Attrition],34)="Yes",1,0)</f>
        <v>1</v>
      </c>
      <c r="E42">
        <f>IF(INDEX(tblCleanData[OverTime],34)="Yes",1,0)</f>
        <v>0</v>
      </c>
      <c r="F42" t="str">
        <f>CHOOSE(INDEX(tblCleanData[Education],34),"Below College","College","Bachelor","Master","Doctor")</f>
        <v>Bachelor</v>
      </c>
      <c r="G42" t="str">
        <f>IF(INDEX(tblCleanData[YearsAtCompany],34)&lt;=2,"0-2 Years",IF(INDEX(tblCleanData[YearsAtCompany],34)&lt;=5,"3-5 Years",IF(INDEX(tblCleanData[YearsAtCompany],34)&lt;=10,"6-10 Years","10+ Years")))</f>
        <v>0-2 Years</v>
      </c>
      <c r="H42" t="str">
        <f>IF(INDEX(tblCleanData[WorkLifeBalance],34)&lt;=2,"Elevated","Normal")</f>
        <v>Normal</v>
      </c>
      <c r="I42">
        <f>IF(INDEX(tblCleanData[Age],34)&lt;30,30,IF(INDEX(tblCleanData[Age],34)&lt;40,20,IF(INDEX(tblCleanData[Age],34)&lt;50,10,15)))</f>
        <v>20</v>
      </c>
      <c r="J42">
        <f>IF(INDEX(tblCleanData[MonthlyIncome],34)&lt;=$B$3,25,IF(INDEX(tblCleanData[MonthlyIncome],34)&lt;=$B$4,12,5))</f>
        <v>5</v>
      </c>
      <c r="K42">
        <f>IF(INDEX(tblCleanData[OverTime],34)="Yes",25,0)</f>
        <v>0</v>
      </c>
      <c r="L42">
        <f>(5-INDEX(tblCleanData[JobSatisfaction],34))*6.25</f>
        <v>6.25</v>
      </c>
      <c r="M42">
        <f>IF(INDEX(tblCleanData[YearsAtCompany],34)&lt;=2,25,IF(INDEX(tblCleanData[YearsAtCompany],34)&lt;=5,15,IF(INDEX(tblCleanData[YearsAtCompany],34)&lt;=10,8,3)))</f>
        <v>25</v>
      </c>
      <c r="N42">
        <f t="shared" si="0"/>
        <v>56</v>
      </c>
      <c r="O42" t="str">
        <f t="shared" si="1"/>
        <v>High Risk</v>
      </c>
    </row>
    <row r="43" spans="1:15" x14ac:dyDescent="0.25">
      <c r="A43">
        <f>INDEX(tblCleanData[EmployeeNumber],35)</f>
        <v>45</v>
      </c>
      <c r="B43" t="str">
        <f>IF(INDEX(tblCleanData[Age],35)&lt;30,"Under 30",IF(INDEX(tblCleanData[Age],35)&lt;40,"30-39",IF(INDEX(tblCleanData[Age],35)&lt;50,"40-49","50+")))</f>
        <v>Under 30</v>
      </c>
      <c r="C43" t="str">
        <f>IF(INDEX(tblCleanData[MonthlyIncome],35)&lt;=$B$3,"Low Income",IF(INDEX(tblCleanData[MonthlyIncome],35)&lt;=$B$4,"Medium Income","High Income"))</f>
        <v>High Income</v>
      </c>
      <c r="D43">
        <f>IF(INDEX(tblCleanData[Attrition],35)="Yes",1,0)</f>
        <v>1</v>
      </c>
      <c r="E43">
        <f>IF(INDEX(tblCleanData[OverTime],35)="Yes",1,0)</f>
        <v>1</v>
      </c>
      <c r="F43" t="str">
        <f>CHOOSE(INDEX(tblCleanData[Education],35),"Below College","College","Bachelor","Master","Doctor")</f>
        <v>Bachelor</v>
      </c>
      <c r="G43" t="str">
        <f>IF(INDEX(tblCleanData[YearsAtCompany],35)&lt;=2,"0-2 Years",IF(INDEX(tblCleanData[YearsAtCompany],35)&lt;=5,"3-5 Years",IF(INDEX(tblCleanData[YearsAtCompany],35)&lt;=10,"6-10 Years","10+ Years")))</f>
        <v>0-2 Years</v>
      </c>
      <c r="H43" t="str">
        <f>IF(INDEX(tblCleanData[WorkLifeBalance],35)&lt;=2,"Elevated","Normal")</f>
        <v>Elevated</v>
      </c>
      <c r="I43">
        <f>IF(INDEX(tblCleanData[Age],35)&lt;30,30,IF(INDEX(tblCleanData[Age],35)&lt;40,20,IF(INDEX(tblCleanData[Age],35)&lt;50,10,15)))</f>
        <v>30</v>
      </c>
      <c r="J43">
        <f>IF(INDEX(tblCleanData[MonthlyIncome],35)&lt;=$B$3,25,IF(INDEX(tblCleanData[MonthlyIncome],35)&lt;=$B$4,12,5))</f>
        <v>5</v>
      </c>
      <c r="K43">
        <f>IF(INDEX(tblCleanData[OverTime],35)="Yes",25,0)</f>
        <v>25</v>
      </c>
      <c r="L43">
        <f>(5-INDEX(tblCleanData[JobSatisfaction],35))*6.25</f>
        <v>6.25</v>
      </c>
      <c r="M43">
        <f>IF(INDEX(tblCleanData[YearsAtCompany],35)&lt;=2,25,IF(INDEX(tblCleanData[YearsAtCompany],35)&lt;=5,15,IF(INDEX(tblCleanData[YearsAtCompany],35)&lt;=10,8,3)))</f>
        <v>25</v>
      </c>
      <c r="N43">
        <f t="shared" si="0"/>
        <v>91</v>
      </c>
      <c r="O43" t="str">
        <f t="shared" si="1"/>
        <v>High Risk</v>
      </c>
    </row>
    <row r="44" spans="1:15" x14ac:dyDescent="0.25">
      <c r="A44">
        <f>INDEX(tblCleanData[EmployeeNumber],36)</f>
        <v>46</v>
      </c>
      <c r="B44" t="str">
        <f>IF(INDEX(tblCleanData[Age],36)&lt;30,"Under 30",IF(INDEX(tblCleanData[Age],36)&lt;40,"30-39",IF(INDEX(tblCleanData[Age],36)&lt;50,"40-49","50+")))</f>
        <v>40-49</v>
      </c>
      <c r="C44" t="str">
        <f>IF(INDEX(tblCleanData[MonthlyIncome],36)&lt;=$B$3,"Low Income",IF(INDEX(tblCleanData[MonthlyIncome],36)&lt;=$B$4,"Medium Income","High Income"))</f>
        <v>High Income</v>
      </c>
      <c r="D44">
        <f>IF(INDEX(tblCleanData[Attrition],36)="Yes",1,0)</f>
        <v>0</v>
      </c>
      <c r="E44">
        <f>IF(INDEX(tblCleanData[OverTime],36)="Yes",1,0)</f>
        <v>0</v>
      </c>
      <c r="F44" t="str">
        <f>CHOOSE(INDEX(tblCleanData[Education],36),"Below College","College","Bachelor","Master","Doctor")</f>
        <v>College</v>
      </c>
      <c r="G44" t="str">
        <f>IF(INDEX(tblCleanData[YearsAtCompany],36)&lt;=2,"0-2 Years",IF(INDEX(tblCleanData[YearsAtCompany],36)&lt;=5,"3-5 Years",IF(INDEX(tblCleanData[YearsAtCompany],36)&lt;=10,"6-10 Years","10+ Years")))</f>
        <v>3-5 Years</v>
      </c>
      <c r="H44" t="str">
        <f>IF(INDEX(tblCleanData[WorkLifeBalance],36)&lt;=2,"Elevated","Normal")</f>
        <v>Elevated</v>
      </c>
      <c r="I44">
        <f>IF(INDEX(tblCleanData[Age],36)&lt;30,30,IF(INDEX(tblCleanData[Age],36)&lt;40,20,IF(INDEX(tblCleanData[Age],36)&lt;50,10,15)))</f>
        <v>10</v>
      </c>
      <c r="J44">
        <f>IF(INDEX(tblCleanData[MonthlyIncome],36)&lt;=$B$3,25,IF(INDEX(tblCleanData[MonthlyIncome],36)&lt;=$B$4,12,5))</f>
        <v>5</v>
      </c>
      <c r="K44">
        <f>IF(INDEX(tblCleanData[OverTime],36)="Yes",25,0)</f>
        <v>0</v>
      </c>
      <c r="L44">
        <f>(5-INDEX(tblCleanData[JobSatisfaction],36))*6.25</f>
        <v>12.5</v>
      </c>
      <c r="M44">
        <f>IF(INDEX(tblCleanData[YearsAtCompany],36)&lt;=2,25,IF(INDEX(tblCleanData[YearsAtCompany],36)&lt;=5,15,IF(INDEX(tblCleanData[YearsAtCompany],36)&lt;=10,8,3)))</f>
        <v>15</v>
      </c>
      <c r="N44">
        <f t="shared" si="0"/>
        <v>43</v>
      </c>
      <c r="O44" t="str">
        <f t="shared" si="1"/>
        <v>Medium Risk</v>
      </c>
    </row>
    <row r="45" spans="1:15" x14ac:dyDescent="0.25">
      <c r="A45">
        <f>INDEX(tblCleanData[EmployeeNumber],37)</f>
        <v>47</v>
      </c>
      <c r="B45" t="str">
        <f>IF(INDEX(tblCleanData[Age],37)&lt;30,"Under 30",IF(INDEX(tblCleanData[Age],37)&lt;40,"30-39",IF(INDEX(tblCleanData[Age],37)&lt;50,"40-49","50+")))</f>
        <v>50+</v>
      </c>
      <c r="C45" t="str">
        <f>IF(INDEX(tblCleanData[MonthlyIncome],37)&lt;=$B$3,"Low Income",IF(INDEX(tblCleanData[MonthlyIncome],37)&lt;=$B$4,"Medium Income","High Income"))</f>
        <v>High Income</v>
      </c>
      <c r="D45">
        <f>IF(INDEX(tblCleanData[Attrition],37)="Yes",1,0)</f>
        <v>1</v>
      </c>
      <c r="E45">
        <f>IF(INDEX(tblCleanData[OverTime],37)="Yes",1,0)</f>
        <v>1</v>
      </c>
      <c r="F45" t="str">
        <f>CHOOSE(INDEX(tblCleanData[Education],37),"Below College","College","Bachelor","Master","Doctor")</f>
        <v>College</v>
      </c>
      <c r="G45" t="str">
        <f>IF(INDEX(tblCleanData[YearsAtCompany],37)&lt;=2,"0-2 Years",IF(INDEX(tblCleanData[YearsAtCompany],37)&lt;=5,"3-5 Years",IF(INDEX(tblCleanData[YearsAtCompany],37)&lt;=10,"6-10 Years","10+ Years")))</f>
        <v>3-5 Years</v>
      </c>
      <c r="H45" t="str">
        <f>IF(INDEX(tblCleanData[WorkLifeBalance],37)&lt;=2,"Elevated","Normal")</f>
        <v>Normal</v>
      </c>
      <c r="I45">
        <f>IF(INDEX(tblCleanData[Age],37)&lt;30,30,IF(INDEX(tblCleanData[Age],37)&lt;40,20,IF(INDEX(tblCleanData[Age],37)&lt;50,10,15)))</f>
        <v>15</v>
      </c>
      <c r="J45">
        <f>IF(INDEX(tblCleanData[MonthlyIncome],37)&lt;=$B$3,25,IF(INDEX(tblCleanData[MonthlyIncome],37)&lt;=$B$4,12,5))</f>
        <v>5</v>
      </c>
      <c r="K45">
        <f>IF(INDEX(tblCleanData[OverTime],37)="Yes",25,0)</f>
        <v>25</v>
      </c>
      <c r="L45">
        <f>(5-INDEX(tblCleanData[JobSatisfaction],37))*6.25</f>
        <v>12.5</v>
      </c>
      <c r="M45">
        <f>IF(INDEX(tblCleanData[YearsAtCompany],37)&lt;=2,25,IF(INDEX(tblCleanData[YearsAtCompany],37)&lt;=5,15,IF(INDEX(tblCleanData[YearsAtCompany],37)&lt;=10,8,3)))</f>
        <v>15</v>
      </c>
      <c r="N45">
        <f t="shared" si="0"/>
        <v>73</v>
      </c>
      <c r="O45" t="str">
        <f t="shared" si="1"/>
        <v>High Risk</v>
      </c>
    </row>
    <row r="46" spans="1:15" x14ac:dyDescent="0.25">
      <c r="A46">
        <f>INDEX(tblCleanData[EmployeeNumber],38)</f>
        <v>49</v>
      </c>
      <c r="B46" t="str">
        <f>IF(INDEX(tblCleanData[Age],38)&lt;30,"Under 30",IF(INDEX(tblCleanData[Age],38)&lt;40,"30-39",IF(INDEX(tblCleanData[Age],38)&lt;50,"40-49","50+")))</f>
        <v>30-39</v>
      </c>
      <c r="C46" t="str">
        <f>IF(INDEX(tblCleanData[MonthlyIncome],38)&lt;=$B$3,"Low Income",IF(INDEX(tblCleanData[MonthlyIncome],38)&lt;=$B$4,"Medium Income","High Income"))</f>
        <v>High Income</v>
      </c>
      <c r="D46">
        <f>IF(INDEX(tblCleanData[Attrition],38)="Yes",1,0)</f>
        <v>0</v>
      </c>
      <c r="E46">
        <f>IF(INDEX(tblCleanData[OverTime],38)="Yes",1,0)</f>
        <v>0</v>
      </c>
      <c r="F46" t="str">
        <f>CHOOSE(INDEX(tblCleanData[Education],38),"Below College","College","Bachelor","Master","Doctor")</f>
        <v>Bachelor</v>
      </c>
      <c r="G46" t="str">
        <f>IF(INDEX(tblCleanData[YearsAtCompany],38)&lt;=2,"0-2 Years",IF(INDEX(tblCleanData[YearsAtCompany],38)&lt;=5,"3-5 Years",IF(INDEX(tblCleanData[YearsAtCompany],38)&lt;=10,"6-10 Years","10+ Years")))</f>
        <v>0-2 Years</v>
      </c>
      <c r="H46" t="str">
        <f>IF(INDEX(tblCleanData[WorkLifeBalance],38)&lt;=2,"Elevated","Normal")</f>
        <v>Normal</v>
      </c>
      <c r="I46">
        <f>IF(INDEX(tblCleanData[Age],38)&lt;30,30,IF(INDEX(tblCleanData[Age],38)&lt;40,20,IF(INDEX(tblCleanData[Age],38)&lt;50,10,15)))</f>
        <v>20</v>
      </c>
      <c r="J46">
        <f>IF(INDEX(tblCleanData[MonthlyIncome],38)&lt;=$B$3,25,IF(INDEX(tblCleanData[MonthlyIncome],38)&lt;=$B$4,12,5))</f>
        <v>5</v>
      </c>
      <c r="K46">
        <f>IF(INDEX(tblCleanData[OverTime],38)="Yes",25,0)</f>
        <v>0</v>
      </c>
      <c r="L46">
        <f>(5-INDEX(tblCleanData[JobSatisfaction],38))*6.25</f>
        <v>6.25</v>
      </c>
      <c r="M46">
        <f>IF(INDEX(tblCleanData[YearsAtCompany],38)&lt;=2,25,IF(INDEX(tblCleanData[YearsAtCompany],38)&lt;=5,15,IF(INDEX(tblCleanData[YearsAtCompany],38)&lt;=10,8,3)))</f>
        <v>25</v>
      </c>
      <c r="N46">
        <f t="shared" si="0"/>
        <v>56</v>
      </c>
      <c r="O46" t="str">
        <f t="shared" si="1"/>
        <v>High Risk</v>
      </c>
    </row>
    <row r="47" spans="1:15" x14ac:dyDescent="0.25">
      <c r="A47">
        <f>INDEX(tblCleanData[EmployeeNumber],39)</f>
        <v>51</v>
      </c>
      <c r="B47" t="str">
        <f>IF(INDEX(tblCleanData[Age],39)&lt;30,"Under 30",IF(INDEX(tblCleanData[Age],39)&lt;40,"30-39",IF(INDEX(tblCleanData[Age],39)&lt;50,"40-49","50+")))</f>
        <v>30-39</v>
      </c>
      <c r="C47" t="str">
        <f>IF(INDEX(tblCleanData[MonthlyIncome],39)&lt;=$B$3,"Low Income",IF(INDEX(tblCleanData[MonthlyIncome],39)&lt;=$B$4,"Medium Income","High Income"))</f>
        <v>High Income</v>
      </c>
      <c r="D47">
        <f>IF(INDEX(tblCleanData[Attrition],39)="Yes",1,0)</f>
        <v>0</v>
      </c>
      <c r="E47">
        <f>IF(INDEX(tblCleanData[OverTime],39)="Yes",1,0)</f>
        <v>1</v>
      </c>
      <c r="F47" t="str">
        <f>CHOOSE(INDEX(tblCleanData[Education],39),"Below College","College","Bachelor","Master","Doctor")</f>
        <v>Master</v>
      </c>
      <c r="G47" t="str">
        <f>IF(INDEX(tblCleanData[YearsAtCompany],39)&lt;=2,"0-2 Years",IF(INDEX(tblCleanData[YearsAtCompany],39)&lt;=5,"3-5 Years",IF(INDEX(tblCleanData[YearsAtCompany],39)&lt;=10,"6-10 Years","10+ Years")))</f>
        <v>0-2 Years</v>
      </c>
      <c r="H47" t="str">
        <f>IF(INDEX(tblCleanData[WorkLifeBalance],39)&lt;=2,"Elevated","Normal")</f>
        <v>Normal</v>
      </c>
      <c r="I47">
        <f>IF(INDEX(tblCleanData[Age],39)&lt;30,30,IF(INDEX(tblCleanData[Age],39)&lt;40,20,IF(INDEX(tblCleanData[Age],39)&lt;50,10,15)))</f>
        <v>20</v>
      </c>
      <c r="J47">
        <f>IF(INDEX(tblCleanData[MonthlyIncome],39)&lt;=$B$3,25,IF(INDEX(tblCleanData[MonthlyIncome],39)&lt;=$B$4,12,5))</f>
        <v>5</v>
      </c>
      <c r="K47">
        <f>IF(INDEX(tblCleanData[OverTime],39)="Yes",25,0)</f>
        <v>25</v>
      </c>
      <c r="L47">
        <f>(5-INDEX(tblCleanData[JobSatisfaction],39))*6.25</f>
        <v>25</v>
      </c>
      <c r="M47">
        <f>IF(INDEX(tblCleanData[YearsAtCompany],39)&lt;=2,25,IF(INDEX(tblCleanData[YearsAtCompany],39)&lt;=5,15,IF(INDEX(tblCleanData[YearsAtCompany],39)&lt;=10,8,3)))</f>
        <v>25</v>
      </c>
      <c r="N47">
        <f t="shared" si="0"/>
        <v>100</v>
      </c>
      <c r="O47" t="str">
        <f t="shared" si="1"/>
        <v>High Risk</v>
      </c>
    </row>
    <row r="48" spans="1:15" x14ac:dyDescent="0.25">
      <c r="A48">
        <f>INDEX(tblCleanData[EmployeeNumber],40)</f>
        <v>52</v>
      </c>
      <c r="B48" t="str">
        <f>IF(INDEX(tblCleanData[Age],40)&lt;30,"Under 30",IF(INDEX(tblCleanData[Age],40)&lt;40,"30-39",IF(INDEX(tblCleanData[Age],40)&lt;50,"40-49","50+")))</f>
        <v>30-39</v>
      </c>
      <c r="C48" t="str">
        <f>IF(INDEX(tblCleanData[MonthlyIncome],40)&lt;=$B$3,"Low Income",IF(INDEX(tblCleanData[MonthlyIncome],40)&lt;=$B$4,"Medium Income","High Income"))</f>
        <v>High Income</v>
      </c>
      <c r="D48">
        <f>IF(INDEX(tblCleanData[Attrition],40)="Yes",1,0)</f>
        <v>0</v>
      </c>
      <c r="E48">
        <f>IF(INDEX(tblCleanData[OverTime],40)="Yes",1,0)</f>
        <v>0</v>
      </c>
      <c r="F48" t="str">
        <f>CHOOSE(INDEX(tblCleanData[Education],40),"Below College","College","Bachelor","Master","Doctor")</f>
        <v>Bachelor</v>
      </c>
      <c r="G48" t="str">
        <f>IF(INDEX(tblCleanData[YearsAtCompany],40)&lt;=2,"0-2 Years",IF(INDEX(tblCleanData[YearsAtCompany],40)&lt;=5,"3-5 Years",IF(INDEX(tblCleanData[YearsAtCompany],40)&lt;=10,"6-10 Years","10+ Years")))</f>
        <v>3-5 Years</v>
      </c>
      <c r="H48" t="str">
        <f>IF(INDEX(tblCleanData[WorkLifeBalance],40)&lt;=2,"Elevated","Normal")</f>
        <v>Normal</v>
      </c>
      <c r="I48">
        <f>IF(INDEX(tblCleanData[Age],40)&lt;30,30,IF(INDEX(tblCleanData[Age],40)&lt;40,20,IF(INDEX(tblCleanData[Age],40)&lt;50,10,15)))</f>
        <v>20</v>
      </c>
      <c r="J48">
        <f>IF(INDEX(tblCleanData[MonthlyIncome],40)&lt;=$B$3,25,IF(INDEX(tblCleanData[MonthlyIncome],40)&lt;=$B$4,12,5))</f>
        <v>5</v>
      </c>
      <c r="K48">
        <f>IF(INDEX(tblCleanData[OverTime],40)="Yes",25,0)</f>
        <v>0</v>
      </c>
      <c r="L48">
        <f>(5-INDEX(tblCleanData[JobSatisfaction],40))*6.25</f>
        <v>25</v>
      </c>
      <c r="M48">
        <f>IF(INDEX(tblCleanData[YearsAtCompany],40)&lt;=2,25,IF(INDEX(tblCleanData[YearsAtCompany],40)&lt;=5,15,IF(INDEX(tblCleanData[YearsAtCompany],40)&lt;=10,8,3)))</f>
        <v>15</v>
      </c>
      <c r="N48">
        <f t="shared" si="0"/>
        <v>65</v>
      </c>
      <c r="O48" t="str">
        <f t="shared" si="1"/>
        <v>High Risk</v>
      </c>
    </row>
    <row r="49" spans="1:15" x14ac:dyDescent="0.25">
      <c r="A49">
        <f>INDEX(tblCleanData[EmployeeNumber],41)</f>
        <v>53</v>
      </c>
      <c r="B49" t="str">
        <f>IF(INDEX(tblCleanData[Age],41)&lt;30,"Under 30",IF(INDEX(tblCleanData[Age],41)&lt;40,"30-39",IF(INDEX(tblCleanData[Age],41)&lt;50,"40-49","50+")))</f>
        <v>30-39</v>
      </c>
      <c r="C49" t="str">
        <f>IF(INDEX(tblCleanData[MonthlyIncome],41)&lt;=$B$3,"Low Income",IF(INDEX(tblCleanData[MonthlyIncome],41)&lt;=$B$4,"Medium Income","High Income"))</f>
        <v>High Income</v>
      </c>
      <c r="D49">
        <f>IF(INDEX(tblCleanData[Attrition],41)="Yes",1,0)</f>
        <v>0</v>
      </c>
      <c r="E49">
        <f>IF(INDEX(tblCleanData[OverTime],41)="Yes",1,0)</f>
        <v>0</v>
      </c>
      <c r="F49" t="str">
        <f>CHOOSE(INDEX(tblCleanData[Education],41),"Below College","College","Bachelor","Master","Doctor")</f>
        <v>College</v>
      </c>
      <c r="G49" t="str">
        <f>IF(INDEX(tblCleanData[YearsAtCompany],41)&lt;=2,"0-2 Years",IF(INDEX(tblCleanData[YearsAtCompany],41)&lt;=5,"3-5 Years",IF(INDEX(tblCleanData[YearsAtCompany],41)&lt;=10,"6-10 Years","10+ Years")))</f>
        <v>0-2 Years</v>
      </c>
      <c r="H49" t="str">
        <f>IF(INDEX(tblCleanData[WorkLifeBalance],41)&lt;=2,"Elevated","Normal")</f>
        <v>Normal</v>
      </c>
      <c r="I49">
        <f>IF(INDEX(tblCleanData[Age],41)&lt;30,30,IF(INDEX(tblCleanData[Age],41)&lt;40,20,IF(INDEX(tblCleanData[Age],41)&lt;50,10,15)))</f>
        <v>20</v>
      </c>
      <c r="J49">
        <f>IF(INDEX(tblCleanData[MonthlyIncome],41)&lt;=$B$3,25,IF(INDEX(tblCleanData[MonthlyIncome],41)&lt;=$B$4,12,5))</f>
        <v>5</v>
      </c>
      <c r="K49">
        <f>IF(INDEX(tblCleanData[OverTime],41)="Yes",25,0)</f>
        <v>0</v>
      </c>
      <c r="L49">
        <f>(5-INDEX(tblCleanData[JobSatisfaction],41))*6.25</f>
        <v>6.25</v>
      </c>
      <c r="M49">
        <f>IF(INDEX(tblCleanData[YearsAtCompany],41)&lt;=2,25,IF(INDEX(tblCleanData[YearsAtCompany],41)&lt;=5,15,IF(INDEX(tblCleanData[YearsAtCompany],41)&lt;=10,8,3)))</f>
        <v>25</v>
      </c>
      <c r="N49">
        <f t="shared" si="0"/>
        <v>56</v>
      </c>
      <c r="O49" t="str">
        <f t="shared" si="1"/>
        <v>High Risk</v>
      </c>
    </row>
    <row r="50" spans="1:15" x14ac:dyDescent="0.25">
      <c r="A50">
        <f>INDEX(tblCleanData[EmployeeNumber],42)</f>
        <v>54</v>
      </c>
      <c r="B50" t="str">
        <f>IF(INDEX(tblCleanData[Age],42)&lt;30,"Under 30",IF(INDEX(tblCleanData[Age],42)&lt;40,"30-39",IF(INDEX(tblCleanData[Age],42)&lt;50,"40-49","50+")))</f>
        <v>Under 30</v>
      </c>
      <c r="C50" t="str">
        <f>IF(INDEX(tblCleanData[MonthlyIncome],42)&lt;=$B$3,"Low Income",IF(INDEX(tblCleanData[MonthlyIncome],42)&lt;=$B$4,"Medium Income","High Income"))</f>
        <v>High Income</v>
      </c>
      <c r="D50">
        <f>IF(INDEX(tblCleanData[Attrition],42)="Yes",1,0)</f>
        <v>0</v>
      </c>
      <c r="E50">
        <f>IF(INDEX(tblCleanData[OverTime],42)="Yes",1,0)</f>
        <v>0</v>
      </c>
      <c r="F50" t="str">
        <f>CHOOSE(INDEX(tblCleanData[Education],42),"Below College","College","Bachelor","Master","Doctor")</f>
        <v>Master</v>
      </c>
      <c r="G50" t="str">
        <f>IF(INDEX(tblCleanData[YearsAtCompany],42)&lt;=2,"0-2 Years",IF(INDEX(tblCleanData[YearsAtCompany],42)&lt;=5,"3-5 Years",IF(INDEX(tblCleanData[YearsAtCompany],42)&lt;=10,"6-10 Years","10+ Years")))</f>
        <v>0-2 Years</v>
      </c>
      <c r="H50" t="str">
        <f>IF(INDEX(tblCleanData[WorkLifeBalance],42)&lt;=2,"Elevated","Normal")</f>
        <v>Normal</v>
      </c>
      <c r="I50">
        <f>IF(INDEX(tblCleanData[Age],42)&lt;30,30,IF(INDEX(tblCleanData[Age],42)&lt;40,20,IF(INDEX(tblCleanData[Age],42)&lt;50,10,15)))</f>
        <v>30</v>
      </c>
      <c r="J50">
        <f>IF(INDEX(tblCleanData[MonthlyIncome],42)&lt;=$B$3,25,IF(INDEX(tblCleanData[MonthlyIncome],42)&lt;=$B$4,12,5))</f>
        <v>5</v>
      </c>
      <c r="K50">
        <f>IF(INDEX(tblCleanData[OverTime],42)="Yes",25,0)</f>
        <v>0</v>
      </c>
      <c r="L50">
        <f>(5-INDEX(tblCleanData[JobSatisfaction],42))*6.25</f>
        <v>25</v>
      </c>
      <c r="M50">
        <f>IF(INDEX(tblCleanData[YearsAtCompany],42)&lt;=2,25,IF(INDEX(tblCleanData[YearsAtCompany],42)&lt;=5,15,IF(INDEX(tblCleanData[YearsAtCompany],42)&lt;=10,8,3)))</f>
        <v>25</v>
      </c>
      <c r="N50">
        <f t="shared" si="0"/>
        <v>85</v>
      </c>
      <c r="O50" t="str">
        <f t="shared" si="1"/>
        <v>High Risk</v>
      </c>
    </row>
    <row r="51" spans="1:15" x14ac:dyDescent="0.25">
      <c r="A51">
        <f>INDEX(tblCleanData[EmployeeNumber],43)</f>
        <v>55</v>
      </c>
      <c r="B51" t="str">
        <f>IF(INDEX(tblCleanData[Age],43)&lt;30,"Under 30",IF(INDEX(tblCleanData[Age],43)&lt;40,"30-39",IF(INDEX(tblCleanData[Age],43)&lt;50,"40-49","50+")))</f>
        <v>Under 30</v>
      </c>
      <c r="C51" t="str">
        <f>IF(INDEX(tblCleanData[MonthlyIncome],43)&lt;=$B$3,"Low Income",IF(INDEX(tblCleanData[MonthlyIncome],43)&lt;=$B$4,"Medium Income","High Income"))</f>
        <v>High Income</v>
      </c>
      <c r="D51">
        <f>IF(INDEX(tblCleanData[Attrition],43)="Yes",1,0)</f>
        <v>1</v>
      </c>
      <c r="E51">
        <f>IF(INDEX(tblCleanData[OverTime],43)="Yes",1,0)</f>
        <v>0</v>
      </c>
      <c r="F51" t="str">
        <f>CHOOSE(INDEX(tblCleanData[Education],43),"Below College","College","Bachelor","Master","Doctor")</f>
        <v>Bachelor</v>
      </c>
      <c r="G51" t="str">
        <f>IF(INDEX(tblCleanData[YearsAtCompany],43)&lt;=2,"0-2 Years",IF(INDEX(tblCleanData[YearsAtCompany],43)&lt;=5,"3-5 Years",IF(INDEX(tblCleanData[YearsAtCompany],43)&lt;=10,"6-10 Years","10+ Years")))</f>
        <v>0-2 Years</v>
      </c>
      <c r="H51" t="str">
        <f>IF(INDEX(tblCleanData[WorkLifeBalance],43)&lt;=2,"Elevated","Normal")</f>
        <v>Elevated</v>
      </c>
      <c r="I51">
        <f>IF(INDEX(tblCleanData[Age],43)&lt;30,30,IF(INDEX(tblCleanData[Age],43)&lt;40,20,IF(INDEX(tblCleanData[Age],43)&lt;50,10,15)))</f>
        <v>30</v>
      </c>
      <c r="J51">
        <f>IF(INDEX(tblCleanData[MonthlyIncome],43)&lt;=$B$3,25,IF(INDEX(tblCleanData[MonthlyIncome],43)&lt;=$B$4,12,5))</f>
        <v>5</v>
      </c>
      <c r="K51">
        <f>IF(INDEX(tblCleanData[OverTime],43)="Yes",25,0)</f>
        <v>0</v>
      </c>
      <c r="L51">
        <f>(5-INDEX(tblCleanData[JobSatisfaction],43))*6.25</f>
        <v>12.5</v>
      </c>
      <c r="M51">
        <f>IF(INDEX(tblCleanData[YearsAtCompany],43)&lt;=2,25,IF(INDEX(tblCleanData[YearsAtCompany],43)&lt;=5,15,IF(INDEX(tblCleanData[YearsAtCompany],43)&lt;=10,8,3)))</f>
        <v>25</v>
      </c>
      <c r="N51">
        <f t="shared" si="0"/>
        <v>73</v>
      </c>
      <c r="O51" t="str">
        <f t="shared" si="1"/>
        <v>High Risk</v>
      </c>
    </row>
    <row r="52" spans="1:15" x14ac:dyDescent="0.25">
      <c r="A52">
        <f>INDEX(tblCleanData[EmployeeNumber],44)</f>
        <v>56</v>
      </c>
      <c r="B52" t="str">
        <f>IF(INDEX(tblCleanData[Age],44)&lt;30,"Under 30",IF(INDEX(tblCleanData[Age],44)&lt;40,"30-39",IF(INDEX(tblCleanData[Age],44)&lt;50,"40-49","50+")))</f>
        <v>Under 30</v>
      </c>
      <c r="C52" t="str">
        <f>IF(INDEX(tblCleanData[MonthlyIncome],44)&lt;=$B$3,"Low Income",IF(INDEX(tblCleanData[MonthlyIncome],44)&lt;=$B$4,"Medium Income","High Income"))</f>
        <v>High Income</v>
      </c>
      <c r="D52">
        <f>IF(INDEX(tblCleanData[Attrition],44)="Yes",1,0)</f>
        <v>0</v>
      </c>
      <c r="E52">
        <f>IF(INDEX(tblCleanData[OverTime],44)="Yes",1,0)</f>
        <v>0</v>
      </c>
      <c r="F52" t="str">
        <f>CHOOSE(INDEX(tblCleanData[Education],44),"Below College","College","Bachelor","Master","Doctor")</f>
        <v>Bachelor</v>
      </c>
      <c r="G52" t="str">
        <f>IF(INDEX(tblCleanData[YearsAtCompany],44)&lt;=2,"0-2 Years",IF(INDEX(tblCleanData[YearsAtCompany],44)&lt;=5,"3-5 Years",IF(INDEX(tblCleanData[YearsAtCompany],44)&lt;=10,"6-10 Years","10+ Years")))</f>
        <v>6-10 Years</v>
      </c>
      <c r="H52" t="str">
        <f>IF(INDEX(tblCleanData[WorkLifeBalance],44)&lt;=2,"Elevated","Normal")</f>
        <v>Normal</v>
      </c>
      <c r="I52">
        <f>IF(INDEX(tblCleanData[Age],44)&lt;30,30,IF(INDEX(tblCleanData[Age],44)&lt;40,20,IF(INDEX(tblCleanData[Age],44)&lt;50,10,15)))</f>
        <v>30</v>
      </c>
      <c r="J52">
        <f>IF(INDEX(tblCleanData[MonthlyIncome],44)&lt;=$B$3,25,IF(INDEX(tblCleanData[MonthlyIncome],44)&lt;=$B$4,12,5))</f>
        <v>5</v>
      </c>
      <c r="K52">
        <f>IF(INDEX(tblCleanData[OverTime],44)="Yes",25,0)</f>
        <v>0</v>
      </c>
      <c r="L52">
        <f>(5-INDEX(tblCleanData[JobSatisfaction],44))*6.25</f>
        <v>12.5</v>
      </c>
      <c r="M52">
        <f>IF(INDEX(tblCleanData[YearsAtCompany],44)&lt;=2,25,IF(INDEX(tblCleanData[YearsAtCompany],44)&lt;=5,15,IF(INDEX(tblCleanData[YearsAtCompany],44)&lt;=10,8,3)))</f>
        <v>8</v>
      </c>
      <c r="N52">
        <f t="shared" si="0"/>
        <v>56</v>
      </c>
      <c r="O52" t="str">
        <f t="shared" si="1"/>
        <v>High Risk</v>
      </c>
    </row>
    <row r="53" spans="1:15" x14ac:dyDescent="0.25">
      <c r="A53">
        <f>INDEX(tblCleanData[EmployeeNumber],45)</f>
        <v>57</v>
      </c>
      <c r="B53" t="str">
        <f>IF(INDEX(tblCleanData[Age],45)&lt;30,"Under 30",IF(INDEX(tblCleanData[Age],45)&lt;40,"30-39",IF(INDEX(tblCleanData[Age],45)&lt;50,"40-49","50+")))</f>
        <v>30-39</v>
      </c>
      <c r="C53" t="str">
        <f>IF(INDEX(tblCleanData[MonthlyIncome],45)&lt;=$B$3,"Low Income",IF(INDEX(tblCleanData[MonthlyIncome],45)&lt;=$B$4,"Medium Income","High Income"))</f>
        <v>High Income</v>
      </c>
      <c r="D53">
        <f>IF(INDEX(tblCleanData[Attrition],45)="Yes",1,0)</f>
        <v>0</v>
      </c>
      <c r="E53">
        <f>IF(INDEX(tblCleanData[OverTime],45)="Yes",1,0)</f>
        <v>0</v>
      </c>
      <c r="F53" t="str">
        <f>CHOOSE(INDEX(tblCleanData[Education],45),"Below College","College","Bachelor","Master","Doctor")</f>
        <v>College</v>
      </c>
      <c r="G53" t="str">
        <f>IF(INDEX(tblCleanData[YearsAtCompany],45)&lt;=2,"0-2 Years",IF(INDEX(tblCleanData[YearsAtCompany],45)&lt;=5,"3-5 Years",IF(INDEX(tblCleanData[YearsAtCompany],45)&lt;=10,"6-10 Years","10+ Years")))</f>
        <v>10+ Years</v>
      </c>
      <c r="H53" t="str">
        <f>IF(INDEX(tblCleanData[WorkLifeBalance],45)&lt;=2,"Elevated","Normal")</f>
        <v>Normal</v>
      </c>
      <c r="I53">
        <f>IF(INDEX(tblCleanData[Age],45)&lt;30,30,IF(INDEX(tblCleanData[Age],45)&lt;40,20,IF(INDEX(tblCleanData[Age],45)&lt;50,10,15)))</f>
        <v>20</v>
      </c>
      <c r="J53">
        <f>IF(INDEX(tblCleanData[MonthlyIncome],45)&lt;=$B$3,25,IF(INDEX(tblCleanData[MonthlyIncome],45)&lt;=$B$4,12,5))</f>
        <v>5</v>
      </c>
      <c r="K53">
        <f>IF(INDEX(tblCleanData[OverTime],45)="Yes",25,0)</f>
        <v>0</v>
      </c>
      <c r="L53">
        <f>(5-INDEX(tblCleanData[JobSatisfaction],45))*6.25</f>
        <v>6.25</v>
      </c>
      <c r="M53">
        <f>IF(INDEX(tblCleanData[YearsAtCompany],45)&lt;=2,25,IF(INDEX(tblCleanData[YearsAtCompany],45)&lt;=5,15,IF(INDEX(tblCleanData[YearsAtCompany],45)&lt;=10,8,3)))</f>
        <v>3</v>
      </c>
      <c r="N53">
        <f t="shared" si="0"/>
        <v>34</v>
      </c>
      <c r="O53" t="str">
        <f t="shared" si="1"/>
        <v>Low Risk</v>
      </c>
    </row>
    <row r="54" spans="1:15" x14ac:dyDescent="0.25">
      <c r="A54">
        <f>INDEX(tblCleanData[EmployeeNumber],46)</f>
        <v>58</v>
      </c>
      <c r="B54" t="str">
        <f>IF(INDEX(tblCleanData[Age],46)&lt;30,"Under 30",IF(INDEX(tblCleanData[Age],46)&lt;40,"30-39",IF(INDEX(tblCleanData[Age],46)&lt;50,"40-49","50+")))</f>
        <v>40-49</v>
      </c>
      <c r="C54" t="str">
        <f>IF(INDEX(tblCleanData[MonthlyIncome],46)&lt;=$B$3,"Low Income",IF(INDEX(tblCleanData[MonthlyIncome],46)&lt;=$B$4,"Medium Income","High Income"))</f>
        <v>High Income</v>
      </c>
      <c r="D54">
        <f>IF(INDEX(tblCleanData[Attrition],46)="Yes",1,0)</f>
        <v>1</v>
      </c>
      <c r="E54">
        <f>IF(INDEX(tblCleanData[OverTime],46)="Yes",1,0)</f>
        <v>0</v>
      </c>
      <c r="F54" t="str">
        <f>CHOOSE(INDEX(tblCleanData[Education],46),"Below College","College","Bachelor","Master","Doctor")</f>
        <v>Bachelor</v>
      </c>
      <c r="G54" t="str">
        <f>IF(INDEX(tblCleanData[YearsAtCompany],46)&lt;=2,"0-2 Years",IF(INDEX(tblCleanData[YearsAtCompany],46)&lt;=5,"3-5 Years",IF(INDEX(tblCleanData[YearsAtCompany],46)&lt;=10,"6-10 Years","10+ Years")))</f>
        <v>10+ Years</v>
      </c>
      <c r="H54" t="str">
        <f>IF(INDEX(tblCleanData[WorkLifeBalance],46)&lt;=2,"Elevated","Normal")</f>
        <v>Normal</v>
      </c>
      <c r="I54">
        <f>IF(INDEX(tblCleanData[Age],46)&lt;30,30,IF(INDEX(tblCleanData[Age],46)&lt;40,20,IF(INDEX(tblCleanData[Age],46)&lt;50,10,15)))</f>
        <v>10</v>
      </c>
      <c r="J54">
        <f>IF(INDEX(tblCleanData[MonthlyIncome],46)&lt;=$B$3,25,IF(INDEX(tblCleanData[MonthlyIncome],46)&lt;=$B$4,12,5))</f>
        <v>5</v>
      </c>
      <c r="K54">
        <f>IF(INDEX(tblCleanData[OverTime],46)="Yes",25,0)</f>
        <v>0</v>
      </c>
      <c r="L54">
        <f>(5-INDEX(tblCleanData[JobSatisfaction],46))*6.25</f>
        <v>12.5</v>
      </c>
      <c r="M54">
        <f>IF(INDEX(tblCleanData[YearsAtCompany],46)&lt;=2,25,IF(INDEX(tblCleanData[YearsAtCompany],46)&lt;=5,15,IF(INDEX(tblCleanData[YearsAtCompany],46)&lt;=10,8,3)))</f>
        <v>3</v>
      </c>
      <c r="N54">
        <f t="shared" si="0"/>
        <v>31</v>
      </c>
      <c r="O54" t="str">
        <f t="shared" si="1"/>
        <v>Low Risk</v>
      </c>
    </row>
    <row r="55" spans="1:15" x14ac:dyDescent="0.25">
      <c r="A55">
        <f>INDEX(tblCleanData[EmployeeNumber],47)</f>
        <v>60</v>
      </c>
      <c r="B55" t="str">
        <f>IF(INDEX(tblCleanData[Age],47)&lt;30,"Under 30",IF(INDEX(tblCleanData[Age],47)&lt;40,"30-39",IF(INDEX(tblCleanData[Age],47)&lt;50,"40-49","50+")))</f>
        <v>30-39</v>
      </c>
      <c r="C55" t="str">
        <f>IF(INDEX(tblCleanData[MonthlyIncome],47)&lt;=$B$3,"Low Income",IF(INDEX(tblCleanData[MonthlyIncome],47)&lt;=$B$4,"Medium Income","High Income"))</f>
        <v>High Income</v>
      </c>
      <c r="D55">
        <f>IF(INDEX(tblCleanData[Attrition],47)="Yes",1,0)</f>
        <v>0</v>
      </c>
      <c r="E55">
        <f>IF(INDEX(tblCleanData[OverTime],47)="Yes",1,0)</f>
        <v>0</v>
      </c>
      <c r="F55" t="str">
        <f>CHOOSE(INDEX(tblCleanData[Education],47),"Below College","College","Bachelor","Master","Doctor")</f>
        <v>Master</v>
      </c>
      <c r="G55" t="str">
        <f>IF(INDEX(tblCleanData[YearsAtCompany],47)&lt;=2,"0-2 Years",IF(INDEX(tblCleanData[YearsAtCompany],47)&lt;=5,"3-5 Years",IF(INDEX(tblCleanData[YearsAtCompany],47)&lt;=10,"6-10 Years","10+ Years")))</f>
        <v>6-10 Years</v>
      </c>
      <c r="H55" t="str">
        <f>IF(INDEX(tblCleanData[WorkLifeBalance],47)&lt;=2,"Elevated","Normal")</f>
        <v>Normal</v>
      </c>
      <c r="I55">
        <f>IF(INDEX(tblCleanData[Age],47)&lt;30,30,IF(INDEX(tblCleanData[Age],47)&lt;40,20,IF(INDEX(tblCleanData[Age],47)&lt;50,10,15)))</f>
        <v>20</v>
      </c>
      <c r="J55">
        <f>IF(INDEX(tblCleanData[MonthlyIncome],47)&lt;=$B$3,25,IF(INDEX(tblCleanData[MonthlyIncome],47)&lt;=$B$4,12,5))</f>
        <v>5</v>
      </c>
      <c r="K55">
        <f>IF(INDEX(tblCleanData[OverTime],47)="Yes",25,0)</f>
        <v>0</v>
      </c>
      <c r="L55">
        <f>(5-INDEX(tblCleanData[JobSatisfaction],47))*6.25</f>
        <v>12.5</v>
      </c>
      <c r="M55">
        <f>IF(INDEX(tblCleanData[YearsAtCompany],47)&lt;=2,25,IF(INDEX(tblCleanData[YearsAtCompany],47)&lt;=5,15,IF(INDEX(tblCleanData[YearsAtCompany],47)&lt;=10,8,3)))</f>
        <v>8</v>
      </c>
      <c r="N55">
        <f t="shared" si="0"/>
        <v>46</v>
      </c>
      <c r="O55" t="str">
        <f t="shared" si="1"/>
        <v>Medium Risk</v>
      </c>
    </row>
    <row r="56" spans="1:15" x14ac:dyDescent="0.25">
      <c r="A56">
        <f>INDEX(tblCleanData[EmployeeNumber],48)</f>
        <v>61</v>
      </c>
      <c r="B56" t="str">
        <f>IF(INDEX(tblCleanData[Age],48)&lt;30,"Under 30",IF(INDEX(tblCleanData[Age],48)&lt;40,"30-39",IF(INDEX(tblCleanData[Age],48)&lt;50,"40-49","50+")))</f>
        <v>30-39</v>
      </c>
      <c r="C56" t="str">
        <f>IF(INDEX(tblCleanData[MonthlyIncome],48)&lt;=$B$3,"Low Income",IF(INDEX(tblCleanData[MonthlyIncome],48)&lt;=$B$4,"Medium Income","High Income"))</f>
        <v>High Income</v>
      </c>
      <c r="D56">
        <f>IF(INDEX(tblCleanData[Attrition],48)="Yes",1,0)</f>
        <v>0</v>
      </c>
      <c r="E56">
        <f>IF(INDEX(tblCleanData[OverTime],48)="Yes",1,0)</f>
        <v>0</v>
      </c>
      <c r="F56" t="str">
        <f>CHOOSE(INDEX(tblCleanData[Education],48),"Below College","College","Bachelor","Master","Doctor")</f>
        <v>College</v>
      </c>
      <c r="G56" t="str">
        <f>IF(INDEX(tblCleanData[YearsAtCompany],48)&lt;=2,"0-2 Years",IF(INDEX(tblCleanData[YearsAtCompany],48)&lt;=5,"3-5 Years",IF(INDEX(tblCleanData[YearsAtCompany],48)&lt;=10,"6-10 Years","10+ Years")))</f>
        <v>0-2 Years</v>
      </c>
      <c r="H56" t="str">
        <f>IF(INDEX(tblCleanData[WorkLifeBalance],48)&lt;=2,"Elevated","Normal")</f>
        <v>Normal</v>
      </c>
      <c r="I56">
        <f>IF(INDEX(tblCleanData[Age],48)&lt;30,30,IF(INDEX(tblCleanData[Age],48)&lt;40,20,IF(INDEX(tblCleanData[Age],48)&lt;50,10,15)))</f>
        <v>20</v>
      </c>
      <c r="J56">
        <f>IF(INDEX(tblCleanData[MonthlyIncome],48)&lt;=$B$3,25,IF(INDEX(tblCleanData[MonthlyIncome],48)&lt;=$B$4,12,5))</f>
        <v>5</v>
      </c>
      <c r="K56">
        <f>IF(INDEX(tblCleanData[OverTime],48)="Yes",25,0)</f>
        <v>0</v>
      </c>
      <c r="L56">
        <f>(5-INDEX(tblCleanData[JobSatisfaction],48))*6.25</f>
        <v>18.75</v>
      </c>
      <c r="M56">
        <f>IF(INDEX(tblCleanData[YearsAtCompany],48)&lt;=2,25,IF(INDEX(tblCleanData[YearsAtCompany],48)&lt;=5,15,IF(INDEX(tblCleanData[YearsAtCompany],48)&lt;=10,8,3)))</f>
        <v>25</v>
      </c>
      <c r="N56">
        <f t="shared" si="0"/>
        <v>69</v>
      </c>
      <c r="O56" t="str">
        <f t="shared" si="1"/>
        <v>High Risk</v>
      </c>
    </row>
    <row r="57" spans="1:15" x14ac:dyDescent="0.25">
      <c r="A57">
        <f>INDEX(tblCleanData[EmployeeNumber],49)</f>
        <v>62</v>
      </c>
      <c r="B57" t="str">
        <f>IF(INDEX(tblCleanData[Age],49)&lt;30,"Under 30",IF(INDEX(tblCleanData[Age],49)&lt;40,"30-39",IF(INDEX(tblCleanData[Age],49)&lt;50,"40-49","50+")))</f>
        <v>40-49</v>
      </c>
      <c r="C57" t="str">
        <f>IF(INDEX(tblCleanData[MonthlyIncome],49)&lt;=$B$3,"Low Income",IF(INDEX(tblCleanData[MonthlyIncome],49)&lt;=$B$4,"Medium Income","High Income"))</f>
        <v>High Income</v>
      </c>
      <c r="D57">
        <f>IF(INDEX(tblCleanData[Attrition],49)="Yes",1,0)</f>
        <v>0</v>
      </c>
      <c r="E57">
        <f>IF(INDEX(tblCleanData[OverTime],49)="Yes",1,0)</f>
        <v>1</v>
      </c>
      <c r="F57" t="str">
        <f>CHOOSE(INDEX(tblCleanData[Education],49),"Below College","College","Bachelor","Master","Doctor")</f>
        <v>Master</v>
      </c>
      <c r="G57" t="str">
        <f>IF(INDEX(tblCleanData[YearsAtCompany],49)&lt;=2,"0-2 Years",IF(INDEX(tblCleanData[YearsAtCompany],49)&lt;=5,"3-5 Years",IF(INDEX(tblCleanData[YearsAtCompany],49)&lt;=10,"6-10 Years","10+ Years")))</f>
        <v>6-10 Years</v>
      </c>
      <c r="H57" t="str">
        <f>IF(INDEX(tblCleanData[WorkLifeBalance],49)&lt;=2,"Elevated","Normal")</f>
        <v>Normal</v>
      </c>
      <c r="I57">
        <f>IF(INDEX(tblCleanData[Age],49)&lt;30,30,IF(INDEX(tblCleanData[Age],49)&lt;40,20,IF(INDEX(tblCleanData[Age],49)&lt;50,10,15)))</f>
        <v>10</v>
      </c>
      <c r="J57">
        <f>IF(INDEX(tblCleanData[MonthlyIncome],49)&lt;=$B$3,25,IF(INDEX(tblCleanData[MonthlyIncome],49)&lt;=$B$4,12,5))</f>
        <v>5</v>
      </c>
      <c r="K57">
        <f>IF(INDEX(tblCleanData[OverTime],49)="Yes",25,0)</f>
        <v>25</v>
      </c>
      <c r="L57">
        <f>(5-INDEX(tblCleanData[JobSatisfaction],49))*6.25</f>
        <v>6.25</v>
      </c>
      <c r="M57">
        <f>IF(INDEX(tblCleanData[YearsAtCompany],49)&lt;=2,25,IF(INDEX(tblCleanData[YearsAtCompany],49)&lt;=5,15,IF(INDEX(tblCleanData[YearsAtCompany],49)&lt;=10,8,3)))</f>
        <v>8</v>
      </c>
      <c r="N57">
        <f t="shared" si="0"/>
        <v>54</v>
      </c>
      <c r="O57" t="str">
        <f t="shared" si="1"/>
        <v>Medium Risk</v>
      </c>
    </row>
    <row r="58" spans="1:15" x14ac:dyDescent="0.25">
      <c r="A58">
        <f>INDEX(tblCleanData[EmployeeNumber],50)</f>
        <v>63</v>
      </c>
      <c r="B58" t="str">
        <f>IF(INDEX(tblCleanData[Age],50)&lt;30,"Under 30",IF(INDEX(tblCleanData[Age],50)&lt;40,"30-39",IF(INDEX(tblCleanData[Age],50)&lt;50,"40-49","50+")))</f>
        <v>30-39</v>
      </c>
      <c r="C58" t="str">
        <f>IF(INDEX(tblCleanData[MonthlyIncome],50)&lt;=$B$3,"Low Income",IF(INDEX(tblCleanData[MonthlyIncome],50)&lt;=$B$4,"Medium Income","High Income"))</f>
        <v>High Income</v>
      </c>
      <c r="D58">
        <f>IF(INDEX(tblCleanData[Attrition],50)="Yes",1,0)</f>
        <v>0</v>
      </c>
      <c r="E58">
        <f>IF(INDEX(tblCleanData[OverTime],50)="Yes",1,0)</f>
        <v>0</v>
      </c>
      <c r="F58" t="str">
        <f>CHOOSE(INDEX(tblCleanData[Education],50),"Below College","College","Bachelor","Master","Doctor")</f>
        <v>Below College</v>
      </c>
      <c r="G58" t="str">
        <f>IF(INDEX(tblCleanData[YearsAtCompany],50)&lt;=2,"0-2 Years",IF(INDEX(tblCleanData[YearsAtCompany],50)&lt;=5,"3-5 Years",IF(INDEX(tblCleanData[YearsAtCompany],50)&lt;=10,"6-10 Years","10+ Years")))</f>
        <v>0-2 Years</v>
      </c>
      <c r="H58" t="str">
        <f>IF(INDEX(tblCleanData[WorkLifeBalance],50)&lt;=2,"Elevated","Normal")</f>
        <v>Normal</v>
      </c>
      <c r="I58">
        <f>IF(INDEX(tblCleanData[Age],50)&lt;30,30,IF(INDEX(tblCleanData[Age],50)&lt;40,20,IF(INDEX(tblCleanData[Age],50)&lt;50,10,15)))</f>
        <v>20</v>
      </c>
      <c r="J58">
        <f>IF(INDEX(tblCleanData[MonthlyIncome],50)&lt;=$B$3,25,IF(INDEX(tblCleanData[MonthlyIncome],50)&lt;=$B$4,12,5))</f>
        <v>5</v>
      </c>
      <c r="K58">
        <f>IF(INDEX(tblCleanData[OverTime],50)="Yes",25,0)</f>
        <v>0</v>
      </c>
      <c r="L58">
        <f>(5-INDEX(tblCleanData[JobSatisfaction],50))*6.25</f>
        <v>6.25</v>
      </c>
      <c r="M58">
        <f>IF(INDEX(tblCleanData[YearsAtCompany],50)&lt;=2,25,IF(INDEX(tblCleanData[YearsAtCompany],50)&lt;=5,15,IF(INDEX(tblCleanData[YearsAtCompany],50)&lt;=10,8,3)))</f>
        <v>25</v>
      </c>
      <c r="N58">
        <f t="shared" si="0"/>
        <v>56</v>
      </c>
      <c r="O58" t="str">
        <f t="shared" si="1"/>
        <v>High Risk</v>
      </c>
    </row>
    <row r="59" spans="1:15" x14ac:dyDescent="0.25">
      <c r="A59">
        <f>INDEX(tblCleanData[EmployeeNumber],51)</f>
        <v>64</v>
      </c>
      <c r="B59" t="str">
        <f>IF(INDEX(tblCleanData[Age],51)&lt;30,"Under 30",IF(INDEX(tblCleanData[Age],51)&lt;40,"30-39",IF(INDEX(tblCleanData[Age],51)&lt;50,"40-49","50+")))</f>
        <v>40-49</v>
      </c>
      <c r="C59" t="str">
        <f>IF(INDEX(tblCleanData[MonthlyIncome],51)&lt;=$B$3,"Low Income",IF(INDEX(tblCleanData[MonthlyIncome],51)&lt;=$B$4,"Medium Income","High Income"))</f>
        <v>High Income</v>
      </c>
      <c r="D59">
        <f>IF(INDEX(tblCleanData[Attrition],51)="Yes",1,0)</f>
        <v>1</v>
      </c>
      <c r="E59">
        <f>IF(INDEX(tblCleanData[OverTime],51)="Yes",1,0)</f>
        <v>1</v>
      </c>
      <c r="F59" t="str">
        <f>CHOOSE(INDEX(tblCleanData[Education],51),"Below College","College","Bachelor","Master","Doctor")</f>
        <v>College</v>
      </c>
      <c r="G59" t="str">
        <f>IF(INDEX(tblCleanData[YearsAtCompany],51)&lt;=2,"0-2 Years",IF(INDEX(tblCleanData[YearsAtCompany],51)&lt;=5,"3-5 Years",IF(INDEX(tblCleanData[YearsAtCompany],51)&lt;=10,"6-10 Years","10+ Years")))</f>
        <v>0-2 Years</v>
      </c>
      <c r="H59" t="str">
        <f>IF(INDEX(tblCleanData[WorkLifeBalance],51)&lt;=2,"Elevated","Normal")</f>
        <v>Normal</v>
      </c>
      <c r="I59">
        <f>IF(INDEX(tblCleanData[Age],51)&lt;30,30,IF(INDEX(tblCleanData[Age],51)&lt;40,20,IF(INDEX(tblCleanData[Age],51)&lt;50,10,15)))</f>
        <v>10</v>
      </c>
      <c r="J59">
        <f>IF(INDEX(tblCleanData[MonthlyIncome],51)&lt;=$B$3,25,IF(INDEX(tblCleanData[MonthlyIncome],51)&lt;=$B$4,12,5))</f>
        <v>5</v>
      </c>
      <c r="K59">
        <f>IF(INDEX(tblCleanData[OverTime],51)="Yes",25,0)</f>
        <v>25</v>
      </c>
      <c r="L59">
        <f>(5-INDEX(tblCleanData[JobSatisfaction],51))*6.25</f>
        <v>12.5</v>
      </c>
      <c r="M59">
        <f>IF(INDEX(tblCleanData[YearsAtCompany],51)&lt;=2,25,IF(INDEX(tblCleanData[YearsAtCompany],51)&lt;=5,15,IF(INDEX(tblCleanData[YearsAtCompany],51)&lt;=10,8,3)))</f>
        <v>25</v>
      </c>
      <c r="N59">
        <f t="shared" si="0"/>
        <v>78</v>
      </c>
      <c r="O59" t="str">
        <f t="shared" si="1"/>
        <v>High Risk</v>
      </c>
    </row>
    <row r="60" spans="1:15" x14ac:dyDescent="0.25">
      <c r="A60">
        <f>INDEX(tblCleanData[EmployeeNumber],52)</f>
        <v>65</v>
      </c>
      <c r="B60" t="str">
        <f>IF(INDEX(tblCleanData[Age],52)&lt;30,"Under 30",IF(INDEX(tblCleanData[Age],52)&lt;40,"30-39",IF(INDEX(tblCleanData[Age],52)&lt;50,"40-49","50+")))</f>
        <v>Under 30</v>
      </c>
      <c r="C60" t="str">
        <f>IF(INDEX(tblCleanData[MonthlyIncome],52)&lt;=$B$3,"Low Income",IF(INDEX(tblCleanData[MonthlyIncome],52)&lt;=$B$4,"Medium Income","High Income"))</f>
        <v>High Income</v>
      </c>
      <c r="D60">
        <f>IF(INDEX(tblCleanData[Attrition],52)="Yes",1,0)</f>
        <v>1</v>
      </c>
      <c r="E60">
        <f>IF(INDEX(tblCleanData[OverTime],52)="Yes",1,0)</f>
        <v>1</v>
      </c>
      <c r="F60" t="str">
        <f>CHOOSE(INDEX(tblCleanData[Education],52),"Below College","College","Bachelor","Master","Doctor")</f>
        <v>Master</v>
      </c>
      <c r="G60" t="str">
        <f>IF(INDEX(tblCleanData[YearsAtCompany],52)&lt;=2,"0-2 Years",IF(INDEX(tblCleanData[YearsAtCompany],52)&lt;=5,"3-5 Years",IF(INDEX(tblCleanData[YearsAtCompany],52)&lt;=10,"6-10 Years","10+ Years")))</f>
        <v>0-2 Years</v>
      </c>
      <c r="H60" t="str">
        <f>IF(INDEX(tblCleanData[WorkLifeBalance],52)&lt;=2,"Elevated","Normal")</f>
        <v>Elevated</v>
      </c>
      <c r="I60">
        <f>IF(INDEX(tblCleanData[Age],52)&lt;30,30,IF(INDEX(tblCleanData[Age],52)&lt;40,20,IF(INDEX(tblCleanData[Age],52)&lt;50,10,15)))</f>
        <v>30</v>
      </c>
      <c r="J60">
        <f>IF(INDEX(tblCleanData[MonthlyIncome],52)&lt;=$B$3,25,IF(INDEX(tblCleanData[MonthlyIncome],52)&lt;=$B$4,12,5))</f>
        <v>5</v>
      </c>
      <c r="K60">
        <f>IF(INDEX(tblCleanData[OverTime],52)="Yes",25,0)</f>
        <v>25</v>
      </c>
      <c r="L60">
        <f>(5-INDEX(tblCleanData[JobSatisfaction],52))*6.25</f>
        <v>12.5</v>
      </c>
      <c r="M60">
        <f>IF(INDEX(tblCleanData[YearsAtCompany],52)&lt;=2,25,IF(INDEX(tblCleanData[YearsAtCompany],52)&lt;=5,15,IF(INDEX(tblCleanData[YearsAtCompany],52)&lt;=10,8,3)))</f>
        <v>25</v>
      </c>
      <c r="N60">
        <f t="shared" si="0"/>
        <v>98</v>
      </c>
      <c r="O60" t="str">
        <f t="shared" si="1"/>
        <v>High Risk</v>
      </c>
    </row>
    <row r="61" spans="1:15" x14ac:dyDescent="0.25">
      <c r="A61">
        <f>INDEX(tblCleanData[EmployeeNumber],53)</f>
        <v>68</v>
      </c>
      <c r="B61" t="str">
        <f>IF(INDEX(tblCleanData[Age],53)&lt;30,"Under 30",IF(INDEX(tblCleanData[Age],53)&lt;40,"30-39",IF(INDEX(tblCleanData[Age],53)&lt;50,"40-49","50+")))</f>
        <v>40-49</v>
      </c>
      <c r="C61" t="str">
        <f>IF(INDEX(tblCleanData[MonthlyIncome],53)&lt;=$B$3,"Low Income",IF(INDEX(tblCleanData[MonthlyIncome],53)&lt;=$B$4,"Medium Income","High Income"))</f>
        <v>High Income</v>
      </c>
      <c r="D61">
        <f>IF(INDEX(tblCleanData[Attrition],53)="Yes",1,0)</f>
        <v>0</v>
      </c>
      <c r="E61">
        <f>IF(INDEX(tblCleanData[OverTime],53)="Yes",1,0)</f>
        <v>1</v>
      </c>
      <c r="F61" t="str">
        <f>CHOOSE(INDEX(tblCleanData[Education],53),"Below College","College","Bachelor","Master","Doctor")</f>
        <v>Doctor</v>
      </c>
      <c r="G61" t="str">
        <f>IF(INDEX(tblCleanData[YearsAtCompany],53)&lt;=2,"0-2 Years",IF(INDEX(tblCleanData[YearsAtCompany],53)&lt;=5,"3-5 Years",IF(INDEX(tblCleanData[YearsAtCompany],53)&lt;=10,"6-10 Years","10+ Years")))</f>
        <v>3-5 Years</v>
      </c>
      <c r="H61" t="str">
        <f>IF(INDEX(tblCleanData[WorkLifeBalance],53)&lt;=2,"Elevated","Normal")</f>
        <v>Elevated</v>
      </c>
      <c r="I61">
        <f>IF(INDEX(tblCleanData[Age],53)&lt;30,30,IF(INDEX(tblCleanData[Age],53)&lt;40,20,IF(INDEX(tblCleanData[Age],53)&lt;50,10,15)))</f>
        <v>10</v>
      </c>
      <c r="J61">
        <f>IF(INDEX(tblCleanData[MonthlyIncome],53)&lt;=$B$3,25,IF(INDEX(tblCleanData[MonthlyIncome],53)&lt;=$B$4,12,5))</f>
        <v>5</v>
      </c>
      <c r="K61">
        <f>IF(INDEX(tblCleanData[OverTime],53)="Yes",25,0)</f>
        <v>25</v>
      </c>
      <c r="L61">
        <f>(5-INDEX(tblCleanData[JobSatisfaction],53))*6.25</f>
        <v>25</v>
      </c>
      <c r="M61">
        <f>IF(INDEX(tblCleanData[YearsAtCompany],53)&lt;=2,25,IF(INDEX(tblCleanData[YearsAtCompany],53)&lt;=5,15,IF(INDEX(tblCleanData[YearsAtCompany],53)&lt;=10,8,3)))</f>
        <v>15</v>
      </c>
      <c r="N61">
        <f t="shared" si="0"/>
        <v>80</v>
      </c>
      <c r="O61" t="str">
        <f t="shared" si="1"/>
        <v>High Risk</v>
      </c>
    </row>
    <row r="62" spans="1:15" x14ac:dyDescent="0.25">
      <c r="A62">
        <f>INDEX(tblCleanData[EmployeeNumber],54)</f>
        <v>70</v>
      </c>
      <c r="B62" t="str">
        <f>IF(INDEX(tblCleanData[Age],54)&lt;30,"Under 30",IF(INDEX(tblCleanData[Age],54)&lt;40,"30-39",IF(INDEX(tblCleanData[Age],54)&lt;50,"40-49","50+")))</f>
        <v>30-39</v>
      </c>
      <c r="C62" t="str">
        <f>IF(INDEX(tblCleanData[MonthlyIncome],54)&lt;=$B$3,"Low Income",IF(INDEX(tblCleanData[MonthlyIncome],54)&lt;=$B$4,"Medium Income","High Income"))</f>
        <v>High Income</v>
      </c>
      <c r="D62">
        <f>IF(INDEX(tblCleanData[Attrition],54)="Yes",1,0)</f>
        <v>0</v>
      </c>
      <c r="E62">
        <f>IF(INDEX(tblCleanData[OverTime],54)="Yes",1,0)</f>
        <v>1</v>
      </c>
      <c r="F62" t="str">
        <f>CHOOSE(INDEX(tblCleanData[Education],54),"Below College","College","Bachelor","Master","Doctor")</f>
        <v>College</v>
      </c>
      <c r="G62" t="str">
        <f>IF(INDEX(tblCleanData[YearsAtCompany],54)&lt;=2,"0-2 Years",IF(INDEX(tblCleanData[YearsAtCompany],54)&lt;=5,"3-5 Years",IF(INDEX(tblCleanData[YearsAtCompany],54)&lt;=10,"6-10 Years","10+ Years")))</f>
        <v>3-5 Years</v>
      </c>
      <c r="H62" t="str">
        <f>IF(INDEX(tblCleanData[WorkLifeBalance],54)&lt;=2,"Elevated","Normal")</f>
        <v>Normal</v>
      </c>
      <c r="I62">
        <f>IF(INDEX(tblCleanData[Age],54)&lt;30,30,IF(INDEX(tblCleanData[Age],54)&lt;40,20,IF(INDEX(tblCleanData[Age],54)&lt;50,10,15)))</f>
        <v>20</v>
      </c>
      <c r="J62">
        <f>IF(INDEX(tblCleanData[MonthlyIncome],54)&lt;=$B$3,25,IF(INDEX(tblCleanData[MonthlyIncome],54)&lt;=$B$4,12,5))</f>
        <v>5</v>
      </c>
      <c r="K62">
        <f>IF(INDEX(tblCleanData[OverTime],54)="Yes",25,0)</f>
        <v>25</v>
      </c>
      <c r="L62">
        <f>(5-INDEX(tblCleanData[JobSatisfaction],54))*6.25</f>
        <v>25</v>
      </c>
      <c r="M62">
        <f>IF(INDEX(tblCleanData[YearsAtCompany],54)&lt;=2,25,IF(INDEX(tblCleanData[YearsAtCompany],54)&lt;=5,15,IF(INDEX(tblCleanData[YearsAtCompany],54)&lt;=10,8,3)))</f>
        <v>15</v>
      </c>
      <c r="N62">
        <f t="shared" si="0"/>
        <v>90</v>
      </c>
      <c r="O62" t="str">
        <f t="shared" si="1"/>
        <v>High Risk</v>
      </c>
    </row>
    <row r="63" spans="1:15" x14ac:dyDescent="0.25">
      <c r="A63">
        <f>INDEX(tblCleanData[EmployeeNumber],55)</f>
        <v>72</v>
      </c>
      <c r="B63" t="str">
        <f>IF(INDEX(tblCleanData[Age],55)&lt;30,"Under 30",IF(INDEX(tblCleanData[Age],55)&lt;40,"30-39",IF(INDEX(tblCleanData[Age],55)&lt;50,"40-49","50+")))</f>
        <v>Under 30</v>
      </c>
      <c r="C63" t="str">
        <f>IF(INDEX(tblCleanData[MonthlyIncome],55)&lt;=$B$3,"Low Income",IF(INDEX(tblCleanData[MonthlyIncome],55)&lt;=$B$4,"Medium Income","High Income"))</f>
        <v>High Income</v>
      </c>
      <c r="D63">
        <f>IF(INDEX(tblCleanData[Attrition],55)="Yes",1,0)</f>
        <v>0</v>
      </c>
      <c r="E63">
        <f>IF(INDEX(tblCleanData[OverTime],55)="Yes",1,0)</f>
        <v>1</v>
      </c>
      <c r="F63" t="str">
        <f>CHOOSE(INDEX(tblCleanData[Education],55),"Below College","College","Bachelor","Master","Doctor")</f>
        <v>Bachelor</v>
      </c>
      <c r="G63" t="str">
        <f>IF(INDEX(tblCleanData[YearsAtCompany],55)&lt;=2,"0-2 Years",IF(INDEX(tblCleanData[YearsAtCompany],55)&lt;=5,"3-5 Years",IF(INDEX(tblCleanData[YearsAtCompany],55)&lt;=10,"6-10 Years","10+ Years")))</f>
        <v>0-2 Years</v>
      </c>
      <c r="H63" t="str">
        <f>IF(INDEX(tblCleanData[WorkLifeBalance],55)&lt;=2,"Elevated","Normal")</f>
        <v>Elevated</v>
      </c>
      <c r="I63">
        <f>IF(INDEX(tblCleanData[Age],55)&lt;30,30,IF(INDEX(tblCleanData[Age],55)&lt;40,20,IF(INDEX(tblCleanData[Age],55)&lt;50,10,15)))</f>
        <v>30</v>
      </c>
      <c r="J63">
        <f>IF(INDEX(tblCleanData[MonthlyIncome],55)&lt;=$B$3,25,IF(INDEX(tblCleanData[MonthlyIncome],55)&lt;=$B$4,12,5))</f>
        <v>5</v>
      </c>
      <c r="K63">
        <f>IF(INDEX(tblCleanData[OverTime],55)="Yes",25,0)</f>
        <v>25</v>
      </c>
      <c r="L63">
        <f>(5-INDEX(tblCleanData[JobSatisfaction],55))*6.25</f>
        <v>6.25</v>
      </c>
      <c r="M63">
        <f>IF(INDEX(tblCleanData[YearsAtCompany],55)&lt;=2,25,IF(INDEX(tblCleanData[YearsAtCompany],55)&lt;=5,15,IF(INDEX(tblCleanData[YearsAtCompany],55)&lt;=10,8,3)))</f>
        <v>25</v>
      </c>
      <c r="N63">
        <f t="shared" si="0"/>
        <v>91</v>
      </c>
      <c r="O63" t="str">
        <f t="shared" si="1"/>
        <v>High Risk</v>
      </c>
    </row>
    <row r="64" spans="1:15" x14ac:dyDescent="0.25">
      <c r="A64">
        <f>INDEX(tblCleanData[EmployeeNumber],56)</f>
        <v>73</v>
      </c>
      <c r="B64" t="str">
        <f>IF(INDEX(tblCleanData[Age],56)&lt;30,"Under 30",IF(INDEX(tblCleanData[Age],56)&lt;40,"30-39",IF(INDEX(tblCleanData[Age],56)&lt;50,"40-49","50+")))</f>
        <v>30-39</v>
      </c>
      <c r="C64" t="str">
        <f>IF(INDEX(tblCleanData[MonthlyIncome],56)&lt;=$B$3,"Low Income",IF(INDEX(tblCleanData[MonthlyIncome],56)&lt;=$B$4,"Medium Income","High Income"))</f>
        <v>High Income</v>
      </c>
      <c r="D64">
        <f>IF(INDEX(tblCleanData[Attrition],56)="Yes",1,0)</f>
        <v>0</v>
      </c>
      <c r="E64">
        <f>IF(INDEX(tblCleanData[OverTime],56)="Yes",1,0)</f>
        <v>1</v>
      </c>
      <c r="F64" t="str">
        <f>CHOOSE(INDEX(tblCleanData[Education],56),"Below College","College","Bachelor","Master","Doctor")</f>
        <v>College</v>
      </c>
      <c r="G64" t="str">
        <f>IF(INDEX(tblCleanData[YearsAtCompany],56)&lt;=2,"0-2 Years",IF(INDEX(tblCleanData[YearsAtCompany],56)&lt;=5,"3-5 Years",IF(INDEX(tblCleanData[YearsAtCompany],56)&lt;=10,"6-10 Years","10+ Years")))</f>
        <v>10+ Years</v>
      </c>
      <c r="H64" t="str">
        <f>IF(INDEX(tblCleanData[WorkLifeBalance],56)&lt;=2,"Elevated","Normal")</f>
        <v>Normal</v>
      </c>
      <c r="I64">
        <f>IF(INDEX(tblCleanData[Age],56)&lt;30,30,IF(INDEX(tblCleanData[Age],56)&lt;40,20,IF(INDEX(tblCleanData[Age],56)&lt;50,10,15)))</f>
        <v>20</v>
      </c>
      <c r="J64">
        <f>IF(INDEX(tblCleanData[MonthlyIncome],56)&lt;=$B$3,25,IF(INDEX(tblCleanData[MonthlyIncome],56)&lt;=$B$4,12,5))</f>
        <v>5</v>
      </c>
      <c r="K64">
        <f>IF(INDEX(tblCleanData[OverTime],56)="Yes",25,0)</f>
        <v>25</v>
      </c>
      <c r="L64">
        <f>(5-INDEX(tblCleanData[JobSatisfaction],56))*6.25</f>
        <v>6.25</v>
      </c>
      <c r="M64">
        <f>IF(INDEX(tblCleanData[YearsAtCompany],56)&lt;=2,25,IF(INDEX(tblCleanData[YearsAtCompany],56)&lt;=5,15,IF(INDEX(tblCleanData[YearsAtCompany],56)&lt;=10,8,3)))</f>
        <v>3</v>
      </c>
      <c r="N64">
        <f t="shared" si="0"/>
        <v>59</v>
      </c>
      <c r="O64" t="str">
        <f t="shared" si="1"/>
        <v>High Risk</v>
      </c>
    </row>
    <row r="65" spans="1:15" x14ac:dyDescent="0.25">
      <c r="A65">
        <f>INDEX(tblCleanData[EmployeeNumber],57)</f>
        <v>74</v>
      </c>
      <c r="B65" t="str">
        <f>IF(INDEX(tblCleanData[Age],57)&lt;30,"Under 30",IF(INDEX(tblCleanData[Age],57)&lt;40,"30-39",IF(INDEX(tblCleanData[Age],57)&lt;50,"40-49","50+")))</f>
        <v>30-39</v>
      </c>
      <c r="C65" t="str">
        <f>IF(INDEX(tblCleanData[MonthlyIncome],57)&lt;=$B$3,"Low Income",IF(INDEX(tblCleanData[MonthlyIncome],57)&lt;=$B$4,"Medium Income","High Income"))</f>
        <v>High Income</v>
      </c>
      <c r="D65">
        <f>IF(INDEX(tblCleanData[Attrition],57)="Yes",1,0)</f>
        <v>0</v>
      </c>
      <c r="E65">
        <f>IF(INDEX(tblCleanData[OverTime],57)="Yes",1,0)</f>
        <v>0</v>
      </c>
      <c r="F65" t="str">
        <f>CHOOSE(INDEX(tblCleanData[Education],57),"Below College","College","Bachelor","Master","Doctor")</f>
        <v>Doctor</v>
      </c>
      <c r="G65" t="str">
        <f>IF(INDEX(tblCleanData[YearsAtCompany],57)&lt;=2,"0-2 Years",IF(INDEX(tblCleanData[YearsAtCompany],57)&lt;=5,"3-5 Years",IF(INDEX(tblCleanData[YearsAtCompany],57)&lt;=10,"6-10 Years","10+ Years")))</f>
        <v>6-10 Years</v>
      </c>
      <c r="H65" t="str">
        <f>IF(INDEX(tblCleanData[WorkLifeBalance],57)&lt;=2,"Elevated","Normal")</f>
        <v>Elevated</v>
      </c>
      <c r="I65">
        <f>IF(INDEX(tblCleanData[Age],57)&lt;30,30,IF(INDEX(tblCleanData[Age],57)&lt;40,20,IF(INDEX(tblCleanData[Age],57)&lt;50,10,15)))</f>
        <v>20</v>
      </c>
      <c r="J65">
        <f>IF(INDEX(tblCleanData[MonthlyIncome],57)&lt;=$B$3,25,IF(INDEX(tblCleanData[MonthlyIncome],57)&lt;=$B$4,12,5))</f>
        <v>5</v>
      </c>
      <c r="K65">
        <f>IF(INDEX(tblCleanData[OverTime],57)="Yes",25,0)</f>
        <v>0</v>
      </c>
      <c r="L65">
        <f>(5-INDEX(tblCleanData[JobSatisfaction],57))*6.25</f>
        <v>25</v>
      </c>
      <c r="M65">
        <f>IF(INDEX(tblCleanData[YearsAtCompany],57)&lt;=2,25,IF(INDEX(tblCleanData[YearsAtCompany],57)&lt;=5,15,IF(INDEX(tblCleanData[YearsAtCompany],57)&lt;=10,8,3)))</f>
        <v>8</v>
      </c>
      <c r="N65">
        <f t="shared" si="0"/>
        <v>58</v>
      </c>
      <c r="O65" t="str">
        <f t="shared" si="1"/>
        <v>High Risk</v>
      </c>
    </row>
    <row r="66" spans="1:15" x14ac:dyDescent="0.25">
      <c r="A66">
        <f>INDEX(tblCleanData[EmployeeNumber],58)</f>
        <v>75</v>
      </c>
      <c r="B66" t="str">
        <f>IF(INDEX(tblCleanData[Age],58)&lt;30,"Under 30",IF(INDEX(tblCleanData[Age],58)&lt;40,"30-39",IF(INDEX(tblCleanData[Age],58)&lt;50,"40-49","50+")))</f>
        <v>30-39</v>
      </c>
      <c r="C66" t="str">
        <f>IF(INDEX(tblCleanData[MonthlyIncome],58)&lt;=$B$3,"Low Income",IF(INDEX(tblCleanData[MonthlyIncome],58)&lt;=$B$4,"Medium Income","High Income"))</f>
        <v>High Income</v>
      </c>
      <c r="D66">
        <f>IF(INDEX(tblCleanData[Attrition],58)="Yes",1,0)</f>
        <v>0</v>
      </c>
      <c r="E66">
        <f>IF(INDEX(tblCleanData[OverTime],58)="Yes",1,0)</f>
        <v>1</v>
      </c>
      <c r="F66" t="str">
        <f>CHOOSE(INDEX(tblCleanData[Education],58),"Below College","College","Bachelor","Master","Doctor")</f>
        <v>Master</v>
      </c>
      <c r="G66" t="str">
        <f>IF(INDEX(tblCleanData[YearsAtCompany],58)&lt;=2,"0-2 Years",IF(INDEX(tblCleanData[YearsAtCompany],58)&lt;=5,"3-5 Years",IF(INDEX(tblCleanData[YearsAtCompany],58)&lt;=10,"6-10 Years","10+ Years")))</f>
        <v>0-2 Years</v>
      </c>
      <c r="H66" t="str">
        <f>IF(INDEX(tblCleanData[WorkLifeBalance],58)&lt;=2,"Elevated","Normal")</f>
        <v>Normal</v>
      </c>
      <c r="I66">
        <f>IF(INDEX(tblCleanData[Age],58)&lt;30,30,IF(INDEX(tblCleanData[Age],58)&lt;40,20,IF(INDEX(tblCleanData[Age],58)&lt;50,10,15)))</f>
        <v>20</v>
      </c>
      <c r="J66">
        <f>IF(INDEX(tblCleanData[MonthlyIncome],58)&lt;=$B$3,25,IF(INDEX(tblCleanData[MonthlyIncome],58)&lt;=$B$4,12,5))</f>
        <v>5</v>
      </c>
      <c r="K66">
        <f>IF(INDEX(tblCleanData[OverTime],58)="Yes",25,0)</f>
        <v>25</v>
      </c>
      <c r="L66">
        <f>(5-INDEX(tblCleanData[JobSatisfaction],58))*6.25</f>
        <v>25</v>
      </c>
      <c r="M66">
        <f>IF(INDEX(tblCleanData[YearsAtCompany],58)&lt;=2,25,IF(INDEX(tblCleanData[YearsAtCompany],58)&lt;=5,15,IF(INDEX(tblCleanData[YearsAtCompany],58)&lt;=10,8,3)))</f>
        <v>25</v>
      </c>
      <c r="N66">
        <f t="shared" si="0"/>
        <v>100</v>
      </c>
      <c r="O66" t="str">
        <f t="shared" si="1"/>
        <v>High Risk</v>
      </c>
    </row>
    <row r="67" spans="1:15" x14ac:dyDescent="0.25">
      <c r="A67">
        <f>INDEX(tblCleanData[EmployeeNumber],59)</f>
        <v>76</v>
      </c>
      <c r="B67" t="str">
        <f>IF(INDEX(tblCleanData[Age],59)&lt;30,"Under 30",IF(INDEX(tblCleanData[Age],59)&lt;40,"30-39",IF(INDEX(tblCleanData[Age],59)&lt;50,"40-49","50+")))</f>
        <v>30-39</v>
      </c>
      <c r="C67" t="str">
        <f>IF(INDEX(tblCleanData[MonthlyIncome],59)&lt;=$B$3,"Low Income",IF(INDEX(tblCleanData[MonthlyIncome],59)&lt;=$B$4,"Medium Income","High Income"))</f>
        <v>High Income</v>
      </c>
      <c r="D67">
        <f>IF(INDEX(tblCleanData[Attrition],59)="Yes",1,0)</f>
        <v>0</v>
      </c>
      <c r="E67">
        <f>IF(INDEX(tblCleanData[OverTime],59)="Yes",1,0)</f>
        <v>0</v>
      </c>
      <c r="F67" t="str">
        <f>CHOOSE(INDEX(tblCleanData[Education],59),"Below College","College","Bachelor","Master","Doctor")</f>
        <v>Master</v>
      </c>
      <c r="G67" t="str">
        <f>IF(INDEX(tblCleanData[YearsAtCompany],59)&lt;=2,"0-2 Years",IF(INDEX(tblCleanData[YearsAtCompany],59)&lt;=5,"3-5 Years",IF(INDEX(tblCleanData[YearsAtCompany],59)&lt;=10,"6-10 Years","10+ Years")))</f>
        <v>6-10 Years</v>
      </c>
      <c r="H67" t="str">
        <f>IF(INDEX(tblCleanData[WorkLifeBalance],59)&lt;=2,"Elevated","Normal")</f>
        <v>Elevated</v>
      </c>
      <c r="I67">
        <f>IF(INDEX(tblCleanData[Age],59)&lt;30,30,IF(INDEX(tblCleanData[Age],59)&lt;40,20,IF(INDEX(tblCleanData[Age],59)&lt;50,10,15)))</f>
        <v>20</v>
      </c>
      <c r="J67">
        <f>IF(INDEX(tblCleanData[MonthlyIncome],59)&lt;=$B$3,25,IF(INDEX(tblCleanData[MonthlyIncome],59)&lt;=$B$4,12,5))</f>
        <v>5</v>
      </c>
      <c r="K67">
        <f>IF(INDEX(tblCleanData[OverTime],59)="Yes",25,0)</f>
        <v>0</v>
      </c>
      <c r="L67">
        <f>(5-INDEX(tblCleanData[JobSatisfaction],59))*6.25</f>
        <v>6.25</v>
      </c>
      <c r="M67">
        <f>IF(INDEX(tblCleanData[YearsAtCompany],59)&lt;=2,25,IF(INDEX(tblCleanData[YearsAtCompany],59)&lt;=5,15,IF(INDEX(tblCleanData[YearsAtCompany],59)&lt;=10,8,3)))</f>
        <v>8</v>
      </c>
      <c r="N67">
        <f t="shared" si="0"/>
        <v>39</v>
      </c>
      <c r="O67" t="str">
        <f t="shared" si="1"/>
        <v>Medium Risk</v>
      </c>
    </row>
    <row r="68" spans="1:15" x14ac:dyDescent="0.25">
      <c r="A68">
        <f>INDEX(tblCleanData[EmployeeNumber],60)</f>
        <v>77</v>
      </c>
      <c r="B68" t="str">
        <f>IF(INDEX(tblCleanData[Age],60)&lt;30,"Under 30",IF(INDEX(tblCleanData[Age],60)&lt;40,"30-39",IF(INDEX(tblCleanData[Age],60)&lt;50,"40-49","50+")))</f>
        <v>30-39</v>
      </c>
      <c r="C68" t="str">
        <f>IF(INDEX(tblCleanData[MonthlyIncome],60)&lt;=$B$3,"Low Income",IF(INDEX(tblCleanData[MonthlyIncome],60)&lt;=$B$4,"Medium Income","High Income"))</f>
        <v>High Income</v>
      </c>
      <c r="D68">
        <f>IF(INDEX(tblCleanData[Attrition],60)="Yes",1,0)</f>
        <v>0</v>
      </c>
      <c r="E68">
        <f>IF(INDEX(tblCleanData[OverTime],60)="Yes",1,0)</f>
        <v>0</v>
      </c>
      <c r="F68" t="str">
        <f>CHOOSE(INDEX(tblCleanData[Education],60),"Below College","College","Bachelor","Master","Doctor")</f>
        <v>Master</v>
      </c>
      <c r="G68" t="str">
        <f>IF(INDEX(tblCleanData[YearsAtCompany],60)&lt;=2,"0-2 Years",IF(INDEX(tblCleanData[YearsAtCompany],60)&lt;=5,"3-5 Years",IF(INDEX(tblCleanData[YearsAtCompany],60)&lt;=10,"6-10 Years","10+ Years")))</f>
        <v>6-10 Years</v>
      </c>
      <c r="H68" t="str">
        <f>IF(INDEX(tblCleanData[WorkLifeBalance],60)&lt;=2,"Elevated","Normal")</f>
        <v>Normal</v>
      </c>
      <c r="I68">
        <f>IF(INDEX(tblCleanData[Age],60)&lt;30,30,IF(INDEX(tblCleanData[Age],60)&lt;40,20,IF(INDEX(tblCleanData[Age],60)&lt;50,10,15)))</f>
        <v>20</v>
      </c>
      <c r="J68">
        <f>IF(INDEX(tblCleanData[MonthlyIncome],60)&lt;=$B$3,25,IF(INDEX(tblCleanData[MonthlyIncome],60)&lt;=$B$4,12,5))</f>
        <v>5</v>
      </c>
      <c r="K68">
        <f>IF(INDEX(tblCleanData[OverTime],60)="Yes",25,0)</f>
        <v>0</v>
      </c>
      <c r="L68">
        <f>(5-INDEX(tblCleanData[JobSatisfaction],60))*6.25</f>
        <v>12.5</v>
      </c>
      <c r="M68">
        <f>IF(INDEX(tblCleanData[YearsAtCompany],60)&lt;=2,25,IF(INDEX(tblCleanData[YearsAtCompany],60)&lt;=5,15,IF(INDEX(tblCleanData[YearsAtCompany],60)&lt;=10,8,3)))</f>
        <v>8</v>
      </c>
      <c r="N68">
        <f t="shared" si="0"/>
        <v>46</v>
      </c>
      <c r="O68" t="str">
        <f t="shared" si="1"/>
        <v>Medium Risk</v>
      </c>
    </row>
    <row r="69" spans="1:15" x14ac:dyDescent="0.25">
      <c r="A69">
        <f>INDEX(tblCleanData[EmployeeNumber],61)</f>
        <v>78</v>
      </c>
      <c r="B69" t="str">
        <f>IF(INDEX(tblCleanData[Age],61)&lt;30,"Under 30",IF(INDEX(tblCleanData[Age],61)&lt;40,"30-39",IF(INDEX(tblCleanData[Age],61)&lt;50,"40-49","50+")))</f>
        <v>30-39</v>
      </c>
      <c r="C69" t="str">
        <f>IF(INDEX(tblCleanData[MonthlyIncome],61)&lt;=$B$3,"Low Income",IF(INDEX(tblCleanData[MonthlyIncome],61)&lt;=$B$4,"Medium Income","High Income"))</f>
        <v>High Income</v>
      </c>
      <c r="D69">
        <f>IF(INDEX(tblCleanData[Attrition],61)="Yes",1,0)</f>
        <v>0</v>
      </c>
      <c r="E69">
        <f>IF(INDEX(tblCleanData[OverTime],61)="Yes",1,0)</f>
        <v>1</v>
      </c>
      <c r="F69" t="str">
        <f>CHOOSE(INDEX(tblCleanData[Education],61),"Below College","College","Bachelor","Master","Doctor")</f>
        <v>Bachelor</v>
      </c>
      <c r="G69" t="str">
        <f>IF(INDEX(tblCleanData[YearsAtCompany],61)&lt;=2,"0-2 Years",IF(INDEX(tblCleanData[YearsAtCompany],61)&lt;=5,"3-5 Years",IF(INDEX(tblCleanData[YearsAtCompany],61)&lt;=10,"6-10 Years","10+ Years")))</f>
        <v>6-10 Years</v>
      </c>
      <c r="H69" t="str">
        <f>IF(INDEX(tblCleanData[WorkLifeBalance],61)&lt;=2,"Elevated","Normal")</f>
        <v>Normal</v>
      </c>
      <c r="I69">
        <f>IF(INDEX(tblCleanData[Age],61)&lt;30,30,IF(INDEX(tblCleanData[Age],61)&lt;40,20,IF(INDEX(tblCleanData[Age],61)&lt;50,10,15)))</f>
        <v>20</v>
      </c>
      <c r="J69">
        <f>IF(INDEX(tblCleanData[MonthlyIncome],61)&lt;=$B$3,25,IF(INDEX(tblCleanData[MonthlyIncome],61)&lt;=$B$4,12,5))</f>
        <v>5</v>
      </c>
      <c r="K69">
        <f>IF(INDEX(tblCleanData[OverTime],61)="Yes",25,0)</f>
        <v>25</v>
      </c>
      <c r="L69">
        <f>(5-INDEX(tblCleanData[JobSatisfaction],61))*6.25</f>
        <v>6.25</v>
      </c>
      <c r="M69">
        <f>IF(INDEX(tblCleanData[YearsAtCompany],61)&lt;=2,25,IF(INDEX(tblCleanData[YearsAtCompany],61)&lt;=5,15,IF(INDEX(tblCleanData[YearsAtCompany],61)&lt;=10,8,3)))</f>
        <v>8</v>
      </c>
      <c r="N69">
        <f t="shared" si="0"/>
        <v>64</v>
      </c>
      <c r="O69" t="str">
        <f t="shared" si="1"/>
        <v>High Risk</v>
      </c>
    </row>
    <row r="70" spans="1:15" x14ac:dyDescent="0.25">
      <c r="A70">
        <f>INDEX(tblCleanData[EmployeeNumber],62)</f>
        <v>79</v>
      </c>
      <c r="B70" t="str">
        <f>IF(INDEX(tblCleanData[Age],62)&lt;30,"Under 30",IF(INDEX(tblCleanData[Age],62)&lt;40,"30-39",IF(INDEX(tblCleanData[Age],62)&lt;50,"40-49","50+")))</f>
        <v>30-39</v>
      </c>
      <c r="C70" t="str">
        <f>IF(INDEX(tblCleanData[MonthlyIncome],62)&lt;=$B$3,"Low Income",IF(INDEX(tblCleanData[MonthlyIncome],62)&lt;=$B$4,"Medium Income","High Income"))</f>
        <v>High Income</v>
      </c>
      <c r="D70">
        <f>IF(INDEX(tblCleanData[Attrition],62)="Yes",1,0)</f>
        <v>0</v>
      </c>
      <c r="E70">
        <f>IF(INDEX(tblCleanData[OverTime],62)="Yes",1,0)</f>
        <v>0</v>
      </c>
      <c r="F70" t="str">
        <f>CHOOSE(INDEX(tblCleanData[Education],62),"Below College","College","Bachelor","Master","Doctor")</f>
        <v>Doctor</v>
      </c>
      <c r="G70" t="str">
        <f>IF(INDEX(tblCleanData[YearsAtCompany],62)&lt;=2,"0-2 Years",IF(INDEX(tblCleanData[YearsAtCompany],62)&lt;=5,"3-5 Years",IF(INDEX(tblCleanData[YearsAtCompany],62)&lt;=10,"6-10 Years","10+ Years")))</f>
        <v>6-10 Years</v>
      </c>
      <c r="H70" t="str">
        <f>IF(INDEX(tblCleanData[WorkLifeBalance],62)&lt;=2,"Elevated","Normal")</f>
        <v>Normal</v>
      </c>
      <c r="I70">
        <f>IF(INDEX(tblCleanData[Age],62)&lt;30,30,IF(INDEX(tblCleanData[Age],62)&lt;40,20,IF(INDEX(tblCleanData[Age],62)&lt;50,10,15)))</f>
        <v>20</v>
      </c>
      <c r="J70">
        <f>IF(INDEX(tblCleanData[MonthlyIncome],62)&lt;=$B$3,25,IF(INDEX(tblCleanData[MonthlyIncome],62)&lt;=$B$4,12,5))</f>
        <v>5</v>
      </c>
      <c r="K70">
        <f>IF(INDEX(tblCleanData[OverTime],62)="Yes",25,0)</f>
        <v>0</v>
      </c>
      <c r="L70">
        <f>(5-INDEX(tblCleanData[JobSatisfaction],62))*6.25</f>
        <v>6.25</v>
      </c>
      <c r="M70">
        <f>IF(INDEX(tblCleanData[YearsAtCompany],62)&lt;=2,25,IF(INDEX(tblCleanData[YearsAtCompany],62)&lt;=5,15,IF(INDEX(tblCleanData[YearsAtCompany],62)&lt;=10,8,3)))</f>
        <v>8</v>
      </c>
      <c r="N70">
        <f t="shared" si="0"/>
        <v>39</v>
      </c>
      <c r="O70" t="str">
        <f t="shared" si="1"/>
        <v>Medium Risk</v>
      </c>
    </row>
    <row r="71" spans="1:15" x14ac:dyDescent="0.25">
      <c r="A71">
        <f>INDEX(tblCleanData[EmployeeNumber],63)</f>
        <v>80</v>
      </c>
      <c r="B71" t="str">
        <f>IF(INDEX(tblCleanData[Age],63)&lt;30,"Under 30",IF(INDEX(tblCleanData[Age],63)&lt;40,"30-39",IF(INDEX(tblCleanData[Age],63)&lt;50,"40-49","50+")))</f>
        <v>50+</v>
      </c>
      <c r="C71" t="str">
        <f>IF(INDEX(tblCleanData[MonthlyIncome],63)&lt;=$B$3,"Low Income",IF(INDEX(tblCleanData[MonthlyIncome],63)&lt;=$B$4,"Medium Income","High Income"))</f>
        <v>High Income</v>
      </c>
      <c r="D71">
        <f>IF(INDEX(tblCleanData[Attrition],63)="Yes",1,0)</f>
        <v>0</v>
      </c>
      <c r="E71">
        <f>IF(INDEX(tblCleanData[OverTime],63)="Yes",1,0)</f>
        <v>1</v>
      </c>
      <c r="F71" t="str">
        <f>CHOOSE(INDEX(tblCleanData[Education],63),"Below College","College","Bachelor","Master","Doctor")</f>
        <v>College</v>
      </c>
      <c r="G71" t="str">
        <f>IF(INDEX(tblCleanData[YearsAtCompany],63)&lt;=2,"0-2 Years",IF(INDEX(tblCleanData[YearsAtCompany],63)&lt;=5,"3-5 Years",IF(INDEX(tblCleanData[YearsAtCompany],63)&lt;=10,"6-10 Years","10+ Years")))</f>
        <v>10+ Years</v>
      </c>
      <c r="H71" t="str">
        <f>IF(INDEX(tblCleanData[WorkLifeBalance],63)&lt;=2,"Elevated","Normal")</f>
        <v>Elevated</v>
      </c>
      <c r="I71">
        <f>IF(INDEX(tblCleanData[Age],63)&lt;30,30,IF(INDEX(tblCleanData[Age],63)&lt;40,20,IF(INDEX(tblCleanData[Age],63)&lt;50,10,15)))</f>
        <v>15</v>
      </c>
      <c r="J71">
        <f>IF(INDEX(tblCleanData[MonthlyIncome],63)&lt;=$B$3,25,IF(INDEX(tblCleanData[MonthlyIncome],63)&lt;=$B$4,12,5))</f>
        <v>5</v>
      </c>
      <c r="K71">
        <f>IF(INDEX(tblCleanData[OverTime],63)="Yes",25,0)</f>
        <v>25</v>
      </c>
      <c r="L71">
        <f>(5-INDEX(tblCleanData[JobSatisfaction],63))*6.25</f>
        <v>12.5</v>
      </c>
      <c r="M71">
        <f>IF(INDEX(tblCleanData[YearsAtCompany],63)&lt;=2,25,IF(INDEX(tblCleanData[YearsAtCompany],63)&lt;=5,15,IF(INDEX(tblCleanData[YearsAtCompany],63)&lt;=10,8,3)))</f>
        <v>3</v>
      </c>
      <c r="N71">
        <f t="shared" si="0"/>
        <v>61</v>
      </c>
      <c r="O71" t="str">
        <f t="shared" si="1"/>
        <v>High Risk</v>
      </c>
    </row>
    <row r="72" spans="1:15" x14ac:dyDescent="0.25">
      <c r="A72">
        <f>INDEX(tblCleanData[EmployeeNumber],64)</f>
        <v>81</v>
      </c>
      <c r="B72" t="str">
        <f>IF(INDEX(tblCleanData[Age],64)&lt;30,"Under 30",IF(INDEX(tblCleanData[Age],64)&lt;40,"30-39",IF(INDEX(tblCleanData[Age],64)&lt;50,"40-49","50+")))</f>
        <v>50+</v>
      </c>
      <c r="C72" t="str">
        <f>IF(INDEX(tblCleanData[MonthlyIncome],64)&lt;=$B$3,"Low Income",IF(INDEX(tblCleanData[MonthlyIncome],64)&lt;=$B$4,"Medium Income","High Income"))</f>
        <v>High Income</v>
      </c>
      <c r="D72">
        <f>IF(INDEX(tblCleanData[Attrition],64)="Yes",1,0)</f>
        <v>0</v>
      </c>
      <c r="E72">
        <f>IF(INDEX(tblCleanData[OverTime],64)="Yes",1,0)</f>
        <v>0</v>
      </c>
      <c r="F72" t="str">
        <f>CHOOSE(INDEX(tblCleanData[Education],64),"Below College","College","Bachelor","Master","Doctor")</f>
        <v>Bachelor</v>
      </c>
      <c r="G72" t="str">
        <f>IF(INDEX(tblCleanData[YearsAtCompany],64)&lt;=2,"0-2 Years",IF(INDEX(tblCleanData[YearsAtCompany],64)&lt;=5,"3-5 Years",IF(INDEX(tblCleanData[YearsAtCompany],64)&lt;=10,"6-10 Years","10+ Years")))</f>
        <v>10+ Years</v>
      </c>
      <c r="H72" t="str">
        <f>IF(INDEX(tblCleanData[WorkLifeBalance],64)&lt;=2,"Elevated","Normal")</f>
        <v>Elevated</v>
      </c>
      <c r="I72">
        <f>IF(INDEX(tblCleanData[Age],64)&lt;30,30,IF(INDEX(tblCleanData[Age],64)&lt;40,20,IF(INDEX(tblCleanData[Age],64)&lt;50,10,15)))</f>
        <v>15</v>
      </c>
      <c r="J72">
        <f>IF(INDEX(tblCleanData[MonthlyIncome],64)&lt;=$B$3,25,IF(INDEX(tblCleanData[MonthlyIncome],64)&lt;=$B$4,12,5))</f>
        <v>5</v>
      </c>
      <c r="K72">
        <f>IF(INDEX(tblCleanData[OverTime],64)="Yes",25,0)</f>
        <v>0</v>
      </c>
      <c r="L72">
        <f>(5-INDEX(tblCleanData[JobSatisfaction],64))*6.25</f>
        <v>25</v>
      </c>
      <c r="M72">
        <f>IF(INDEX(tblCleanData[YearsAtCompany],64)&lt;=2,25,IF(INDEX(tblCleanData[YearsAtCompany],64)&lt;=5,15,IF(INDEX(tblCleanData[YearsAtCompany],64)&lt;=10,8,3)))</f>
        <v>3</v>
      </c>
      <c r="N72">
        <f t="shared" si="0"/>
        <v>48</v>
      </c>
      <c r="O72" t="str">
        <f t="shared" si="1"/>
        <v>Medium Risk</v>
      </c>
    </row>
    <row r="73" spans="1:15" x14ac:dyDescent="0.25">
      <c r="A73">
        <f>INDEX(tblCleanData[EmployeeNumber],65)</f>
        <v>83</v>
      </c>
      <c r="B73" t="str">
        <f>IF(INDEX(tblCleanData[Age],65)&lt;30,"Under 30",IF(INDEX(tblCleanData[Age],65)&lt;40,"30-39",IF(INDEX(tblCleanData[Age],65)&lt;50,"40-49","50+")))</f>
        <v>30-39</v>
      </c>
      <c r="C73" t="str">
        <f>IF(INDEX(tblCleanData[MonthlyIncome],65)&lt;=$B$3,"Low Income",IF(INDEX(tblCleanData[MonthlyIncome],65)&lt;=$B$4,"Medium Income","High Income"))</f>
        <v>High Income</v>
      </c>
      <c r="D73">
        <f>IF(INDEX(tblCleanData[Attrition],65)="Yes",1,0)</f>
        <v>0</v>
      </c>
      <c r="E73">
        <f>IF(INDEX(tblCleanData[OverTime],65)="Yes",1,0)</f>
        <v>0</v>
      </c>
      <c r="F73" t="str">
        <f>CHOOSE(INDEX(tblCleanData[Education],65),"Below College","College","Bachelor","Master","Doctor")</f>
        <v>Bachelor</v>
      </c>
      <c r="G73" t="str">
        <f>IF(INDEX(tblCleanData[YearsAtCompany],65)&lt;=2,"0-2 Years",IF(INDEX(tblCleanData[YearsAtCompany],65)&lt;=5,"3-5 Years",IF(INDEX(tblCleanData[YearsAtCompany],65)&lt;=10,"6-10 Years","10+ Years")))</f>
        <v>10+ Years</v>
      </c>
      <c r="H73" t="str">
        <f>IF(INDEX(tblCleanData[WorkLifeBalance],65)&lt;=2,"Elevated","Normal")</f>
        <v>Normal</v>
      </c>
      <c r="I73">
        <f>IF(INDEX(tblCleanData[Age],65)&lt;30,30,IF(INDEX(tblCleanData[Age],65)&lt;40,20,IF(INDEX(tblCleanData[Age],65)&lt;50,10,15)))</f>
        <v>20</v>
      </c>
      <c r="J73">
        <f>IF(INDEX(tblCleanData[MonthlyIncome],65)&lt;=$B$3,25,IF(INDEX(tblCleanData[MonthlyIncome],65)&lt;=$B$4,12,5))</f>
        <v>5</v>
      </c>
      <c r="K73">
        <f>IF(INDEX(tblCleanData[OverTime],65)="Yes",25,0)</f>
        <v>0</v>
      </c>
      <c r="L73">
        <f>(5-INDEX(tblCleanData[JobSatisfaction],65))*6.25</f>
        <v>12.5</v>
      </c>
      <c r="M73">
        <f>IF(INDEX(tblCleanData[YearsAtCompany],65)&lt;=2,25,IF(INDEX(tblCleanData[YearsAtCompany],65)&lt;=5,15,IF(INDEX(tblCleanData[YearsAtCompany],65)&lt;=10,8,3)))</f>
        <v>3</v>
      </c>
      <c r="N73">
        <f t="shared" ref="N73:N136" si="2">ROUND(I73+J73+K73+L73+M73,0)</f>
        <v>41</v>
      </c>
      <c r="O73" t="str">
        <f t="shared" ref="O73:O136" si="3">IF(N73&gt;=55,"High Risk",IF(N73&gt;=35,"Medium Risk","Low Risk"))</f>
        <v>Medium Risk</v>
      </c>
    </row>
    <row r="74" spans="1:15" x14ac:dyDescent="0.25">
      <c r="A74">
        <f>INDEX(tblCleanData[EmployeeNumber],66)</f>
        <v>84</v>
      </c>
      <c r="B74" t="str">
        <f>IF(INDEX(tblCleanData[Age],66)&lt;30,"Under 30",IF(INDEX(tblCleanData[Age],66)&lt;40,"30-39",IF(INDEX(tblCleanData[Age],66)&lt;50,"40-49","50+")))</f>
        <v>50+</v>
      </c>
      <c r="C74" t="str">
        <f>IF(INDEX(tblCleanData[MonthlyIncome],66)&lt;=$B$3,"Low Income",IF(INDEX(tblCleanData[MonthlyIncome],66)&lt;=$B$4,"Medium Income","High Income"))</f>
        <v>High Income</v>
      </c>
      <c r="D74">
        <f>IF(INDEX(tblCleanData[Attrition],66)="Yes",1,0)</f>
        <v>0</v>
      </c>
      <c r="E74">
        <f>IF(INDEX(tblCleanData[OverTime],66)="Yes",1,0)</f>
        <v>1</v>
      </c>
      <c r="F74" t="str">
        <f>CHOOSE(INDEX(tblCleanData[Education],66),"Below College","College","Bachelor","Master","Doctor")</f>
        <v>Bachelor</v>
      </c>
      <c r="G74" t="str">
        <f>IF(INDEX(tblCleanData[YearsAtCompany],66)&lt;=2,"0-2 Years",IF(INDEX(tblCleanData[YearsAtCompany],66)&lt;=5,"3-5 Years",IF(INDEX(tblCleanData[YearsAtCompany],66)&lt;=10,"6-10 Years","10+ Years")))</f>
        <v>3-5 Years</v>
      </c>
      <c r="H74" t="str">
        <f>IF(INDEX(tblCleanData[WorkLifeBalance],66)&lt;=2,"Elevated","Normal")</f>
        <v>Normal</v>
      </c>
      <c r="I74">
        <f>IF(INDEX(tblCleanData[Age],66)&lt;30,30,IF(INDEX(tblCleanData[Age],66)&lt;40,20,IF(INDEX(tblCleanData[Age],66)&lt;50,10,15)))</f>
        <v>15</v>
      </c>
      <c r="J74">
        <f>IF(INDEX(tblCleanData[MonthlyIncome],66)&lt;=$B$3,25,IF(INDEX(tblCleanData[MonthlyIncome],66)&lt;=$B$4,12,5))</f>
        <v>5</v>
      </c>
      <c r="K74">
        <f>IF(INDEX(tblCleanData[OverTime],66)="Yes",25,0)</f>
        <v>25</v>
      </c>
      <c r="L74">
        <f>(5-INDEX(tblCleanData[JobSatisfaction],66))*6.25</f>
        <v>12.5</v>
      </c>
      <c r="M74">
        <f>IF(INDEX(tblCleanData[YearsAtCompany],66)&lt;=2,25,IF(INDEX(tblCleanData[YearsAtCompany],66)&lt;=5,15,IF(INDEX(tblCleanData[YearsAtCompany],66)&lt;=10,8,3)))</f>
        <v>15</v>
      </c>
      <c r="N74">
        <f t="shared" si="2"/>
        <v>73</v>
      </c>
      <c r="O74" t="str">
        <f t="shared" si="3"/>
        <v>High Risk</v>
      </c>
    </row>
    <row r="75" spans="1:15" x14ac:dyDescent="0.25">
      <c r="A75">
        <f>INDEX(tblCleanData[EmployeeNumber],67)</f>
        <v>85</v>
      </c>
      <c r="B75" t="str">
        <f>IF(INDEX(tblCleanData[Age],67)&lt;30,"Under 30",IF(INDEX(tblCleanData[Age],67)&lt;40,"30-39",IF(INDEX(tblCleanData[Age],67)&lt;50,"40-49","50+")))</f>
        <v>30-39</v>
      </c>
      <c r="C75" t="str">
        <f>IF(INDEX(tblCleanData[MonthlyIncome],67)&lt;=$B$3,"Low Income",IF(INDEX(tblCleanData[MonthlyIncome],67)&lt;=$B$4,"Medium Income","High Income"))</f>
        <v>High Income</v>
      </c>
      <c r="D75">
        <f>IF(INDEX(tblCleanData[Attrition],67)="Yes",1,0)</f>
        <v>0</v>
      </c>
      <c r="E75">
        <f>IF(INDEX(tblCleanData[OverTime],67)="Yes",1,0)</f>
        <v>0</v>
      </c>
      <c r="F75" t="str">
        <f>CHOOSE(INDEX(tblCleanData[Education],67),"Below College","College","Bachelor","Master","Doctor")</f>
        <v>Bachelor</v>
      </c>
      <c r="G75" t="str">
        <f>IF(INDEX(tblCleanData[YearsAtCompany],67)&lt;=2,"0-2 Years",IF(INDEX(tblCleanData[YearsAtCompany],67)&lt;=5,"3-5 Years",IF(INDEX(tblCleanData[YearsAtCompany],67)&lt;=10,"6-10 Years","10+ Years")))</f>
        <v>6-10 Years</v>
      </c>
      <c r="H75" t="str">
        <f>IF(INDEX(tblCleanData[WorkLifeBalance],67)&lt;=2,"Elevated","Normal")</f>
        <v>Normal</v>
      </c>
      <c r="I75">
        <f>IF(INDEX(tblCleanData[Age],67)&lt;30,30,IF(INDEX(tblCleanData[Age],67)&lt;40,20,IF(INDEX(tblCleanData[Age],67)&lt;50,10,15)))</f>
        <v>20</v>
      </c>
      <c r="J75">
        <f>IF(INDEX(tblCleanData[MonthlyIncome],67)&lt;=$B$3,25,IF(INDEX(tblCleanData[MonthlyIncome],67)&lt;=$B$4,12,5))</f>
        <v>5</v>
      </c>
      <c r="K75">
        <f>IF(INDEX(tblCleanData[OverTime],67)="Yes",25,0)</f>
        <v>0</v>
      </c>
      <c r="L75">
        <f>(5-INDEX(tblCleanData[JobSatisfaction],67))*6.25</f>
        <v>18.75</v>
      </c>
      <c r="M75">
        <f>IF(INDEX(tblCleanData[YearsAtCompany],67)&lt;=2,25,IF(INDEX(tblCleanData[YearsAtCompany],67)&lt;=5,15,IF(INDEX(tblCleanData[YearsAtCompany],67)&lt;=10,8,3)))</f>
        <v>8</v>
      </c>
      <c r="N75">
        <f t="shared" si="2"/>
        <v>52</v>
      </c>
      <c r="O75" t="str">
        <f t="shared" si="3"/>
        <v>Medium Risk</v>
      </c>
    </row>
    <row r="76" spans="1:15" x14ac:dyDescent="0.25">
      <c r="A76">
        <f>INDEX(tblCleanData[EmployeeNumber],68)</f>
        <v>86</v>
      </c>
      <c r="B76" t="str">
        <f>IF(INDEX(tblCleanData[Age],68)&lt;30,"Under 30",IF(INDEX(tblCleanData[Age],68)&lt;40,"30-39",IF(INDEX(tblCleanData[Age],68)&lt;50,"40-49","50+")))</f>
        <v>40-49</v>
      </c>
      <c r="C76" t="str">
        <f>IF(INDEX(tblCleanData[MonthlyIncome],68)&lt;=$B$3,"Low Income",IF(INDEX(tblCleanData[MonthlyIncome],68)&lt;=$B$4,"Medium Income","High Income"))</f>
        <v>High Income</v>
      </c>
      <c r="D76">
        <f>IF(INDEX(tblCleanData[Attrition],68)="Yes",1,0)</f>
        <v>0</v>
      </c>
      <c r="E76">
        <f>IF(INDEX(tblCleanData[OverTime],68)="Yes",1,0)</f>
        <v>0</v>
      </c>
      <c r="F76" t="str">
        <f>CHOOSE(INDEX(tblCleanData[Education],68),"Below College","College","Bachelor","Master","Doctor")</f>
        <v>Bachelor</v>
      </c>
      <c r="G76" t="str">
        <f>IF(INDEX(tblCleanData[YearsAtCompany],68)&lt;=2,"0-2 Years",IF(INDEX(tblCleanData[YearsAtCompany],68)&lt;=5,"3-5 Years",IF(INDEX(tblCleanData[YearsAtCompany],68)&lt;=10,"6-10 Years","10+ Years")))</f>
        <v>0-2 Years</v>
      </c>
      <c r="H76" t="str">
        <f>IF(INDEX(tblCleanData[WorkLifeBalance],68)&lt;=2,"Elevated","Normal")</f>
        <v>Normal</v>
      </c>
      <c r="I76">
        <f>IF(INDEX(tblCleanData[Age],68)&lt;30,30,IF(INDEX(tblCleanData[Age],68)&lt;40,20,IF(INDEX(tblCleanData[Age],68)&lt;50,10,15)))</f>
        <v>10</v>
      </c>
      <c r="J76">
        <f>IF(INDEX(tblCleanData[MonthlyIncome],68)&lt;=$B$3,25,IF(INDEX(tblCleanData[MonthlyIncome],68)&lt;=$B$4,12,5))</f>
        <v>5</v>
      </c>
      <c r="K76">
        <f>IF(INDEX(tblCleanData[OverTime],68)="Yes",25,0)</f>
        <v>0</v>
      </c>
      <c r="L76">
        <f>(5-INDEX(tblCleanData[JobSatisfaction],68))*6.25</f>
        <v>25</v>
      </c>
      <c r="M76">
        <f>IF(INDEX(tblCleanData[YearsAtCompany],68)&lt;=2,25,IF(INDEX(tblCleanData[YearsAtCompany],68)&lt;=5,15,IF(INDEX(tblCleanData[YearsAtCompany],68)&lt;=10,8,3)))</f>
        <v>25</v>
      </c>
      <c r="N76">
        <f t="shared" si="2"/>
        <v>65</v>
      </c>
      <c r="O76" t="str">
        <f t="shared" si="3"/>
        <v>High Risk</v>
      </c>
    </row>
    <row r="77" spans="1:15" x14ac:dyDescent="0.25">
      <c r="A77">
        <f>INDEX(tblCleanData[EmployeeNumber],69)</f>
        <v>88</v>
      </c>
      <c r="B77" t="str">
        <f>IF(INDEX(tblCleanData[Age],69)&lt;30,"Under 30",IF(INDEX(tblCleanData[Age],69)&lt;40,"30-39",IF(INDEX(tblCleanData[Age],69)&lt;50,"40-49","50+")))</f>
        <v>30-39</v>
      </c>
      <c r="C77" t="str">
        <f>IF(INDEX(tblCleanData[MonthlyIncome],69)&lt;=$B$3,"Low Income",IF(INDEX(tblCleanData[MonthlyIncome],69)&lt;=$B$4,"Medium Income","High Income"))</f>
        <v>High Income</v>
      </c>
      <c r="D77">
        <f>IF(INDEX(tblCleanData[Attrition],69)="Yes",1,0)</f>
        <v>0</v>
      </c>
      <c r="E77">
        <f>IF(INDEX(tblCleanData[OverTime],69)="Yes",1,0)</f>
        <v>0</v>
      </c>
      <c r="F77" t="str">
        <f>CHOOSE(INDEX(tblCleanData[Education],69),"Below College","College","Bachelor","Master","Doctor")</f>
        <v>Bachelor</v>
      </c>
      <c r="G77" t="str">
        <f>IF(INDEX(tblCleanData[YearsAtCompany],69)&lt;=2,"0-2 Years",IF(INDEX(tblCleanData[YearsAtCompany],69)&lt;=5,"3-5 Years",IF(INDEX(tblCleanData[YearsAtCompany],69)&lt;=10,"6-10 Years","10+ Years")))</f>
        <v>3-5 Years</v>
      </c>
      <c r="H77" t="str">
        <f>IF(INDEX(tblCleanData[WorkLifeBalance],69)&lt;=2,"Elevated","Normal")</f>
        <v>Elevated</v>
      </c>
      <c r="I77">
        <f>IF(INDEX(tblCleanData[Age],69)&lt;30,30,IF(INDEX(tblCleanData[Age],69)&lt;40,20,IF(INDEX(tblCleanData[Age],69)&lt;50,10,15)))</f>
        <v>20</v>
      </c>
      <c r="J77">
        <f>IF(INDEX(tblCleanData[MonthlyIncome],69)&lt;=$B$3,25,IF(INDEX(tblCleanData[MonthlyIncome],69)&lt;=$B$4,12,5))</f>
        <v>5</v>
      </c>
      <c r="K77">
        <f>IF(INDEX(tblCleanData[OverTime],69)="Yes",25,0)</f>
        <v>0</v>
      </c>
      <c r="L77">
        <f>(5-INDEX(tblCleanData[JobSatisfaction],69))*6.25</f>
        <v>25</v>
      </c>
      <c r="M77">
        <f>IF(INDEX(tblCleanData[YearsAtCompany],69)&lt;=2,25,IF(INDEX(tblCleanData[YearsAtCompany],69)&lt;=5,15,IF(INDEX(tblCleanData[YearsAtCompany],69)&lt;=10,8,3)))</f>
        <v>15</v>
      </c>
      <c r="N77">
        <f t="shared" si="2"/>
        <v>65</v>
      </c>
      <c r="O77" t="str">
        <f t="shared" si="3"/>
        <v>High Risk</v>
      </c>
    </row>
    <row r="78" spans="1:15" x14ac:dyDescent="0.25">
      <c r="A78">
        <f>INDEX(tblCleanData[EmployeeNumber],70)</f>
        <v>90</v>
      </c>
      <c r="B78" t="str">
        <f>IF(INDEX(tblCleanData[Age],70)&lt;30,"Under 30",IF(INDEX(tblCleanData[Age],70)&lt;40,"30-39",IF(INDEX(tblCleanData[Age],70)&lt;50,"40-49","50+")))</f>
        <v>30-39</v>
      </c>
      <c r="C78" t="str">
        <f>IF(INDEX(tblCleanData[MonthlyIncome],70)&lt;=$B$3,"Low Income",IF(INDEX(tblCleanData[MonthlyIncome],70)&lt;=$B$4,"Medium Income","High Income"))</f>
        <v>High Income</v>
      </c>
      <c r="D78">
        <f>IF(INDEX(tblCleanData[Attrition],70)="Yes",1,0)</f>
        <v>1</v>
      </c>
      <c r="E78">
        <f>IF(INDEX(tblCleanData[OverTime],70)="Yes",1,0)</f>
        <v>1</v>
      </c>
      <c r="F78" t="str">
        <f>CHOOSE(INDEX(tblCleanData[Education],70),"Below College","College","Bachelor","Master","Doctor")</f>
        <v>Bachelor</v>
      </c>
      <c r="G78" t="str">
        <f>IF(INDEX(tblCleanData[YearsAtCompany],70)&lt;=2,"0-2 Years",IF(INDEX(tblCleanData[YearsAtCompany],70)&lt;=5,"3-5 Years",IF(INDEX(tblCleanData[YearsAtCompany],70)&lt;=10,"6-10 Years","10+ Years")))</f>
        <v>0-2 Years</v>
      </c>
      <c r="H78" t="str">
        <f>IF(INDEX(tblCleanData[WorkLifeBalance],70)&lt;=2,"Elevated","Normal")</f>
        <v>Elevated</v>
      </c>
      <c r="I78">
        <f>IF(INDEX(tblCleanData[Age],70)&lt;30,30,IF(INDEX(tblCleanData[Age],70)&lt;40,20,IF(INDEX(tblCleanData[Age],70)&lt;50,10,15)))</f>
        <v>20</v>
      </c>
      <c r="J78">
        <f>IF(INDEX(tblCleanData[MonthlyIncome],70)&lt;=$B$3,25,IF(INDEX(tblCleanData[MonthlyIncome],70)&lt;=$B$4,12,5))</f>
        <v>5</v>
      </c>
      <c r="K78">
        <f>IF(INDEX(tblCleanData[OverTime],70)="Yes",25,0)</f>
        <v>25</v>
      </c>
      <c r="L78">
        <f>(5-INDEX(tblCleanData[JobSatisfaction],70))*6.25</f>
        <v>12.5</v>
      </c>
      <c r="M78">
        <f>IF(INDEX(tblCleanData[YearsAtCompany],70)&lt;=2,25,IF(INDEX(tblCleanData[YearsAtCompany],70)&lt;=5,15,IF(INDEX(tblCleanData[YearsAtCompany],70)&lt;=10,8,3)))</f>
        <v>25</v>
      </c>
      <c r="N78">
        <f t="shared" si="2"/>
        <v>88</v>
      </c>
      <c r="O78" t="str">
        <f t="shared" si="3"/>
        <v>High Risk</v>
      </c>
    </row>
    <row r="79" spans="1:15" x14ac:dyDescent="0.25">
      <c r="A79">
        <f>INDEX(tblCleanData[EmployeeNumber],71)</f>
        <v>91</v>
      </c>
      <c r="B79" t="str">
        <f>IF(INDEX(tblCleanData[Age],71)&lt;30,"Under 30",IF(INDEX(tblCleanData[Age],71)&lt;40,"30-39",IF(INDEX(tblCleanData[Age],71)&lt;50,"40-49","50+")))</f>
        <v>50+</v>
      </c>
      <c r="C79" t="str">
        <f>IF(INDEX(tblCleanData[MonthlyIncome],71)&lt;=$B$3,"Low Income",IF(INDEX(tblCleanData[MonthlyIncome],71)&lt;=$B$4,"Medium Income","High Income"))</f>
        <v>High Income</v>
      </c>
      <c r="D79">
        <f>IF(INDEX(tblCleanData[Attrition],71)="Yes",1,0)</f>
        <v>0</v>
      </c>
      <c r="E79">
        <f>IF(INDEX(tblCleanData[OverTime],71)="Yes",1,0)</f>
        <v>0</v>
      </c>
      <c r="F79" t="str">
        <f>CHOOSE(INDEX(tblCleanData[Education],71),"Below College","College","Bachelor","Master","Doctor")</f>
        <v>Below College</v>
      </c>
      <c r="G79" t="str">
        <f>IF(INDEX(tblCleanData[YearsAtCompany],71)&lt;=2,"0-2 Years",IF(INDEX(tblCleanData[YearsAtCompany],71)&lt;=5,"3-5 Years",IF(INDEX(tblCleanData[YearsAtCompany],71)&lt;=10,"6-10 Years","10+ Years")))</f>
        <v>3-5 Years</v>
      </c>
      <c r="H79" t="str">
        <f>IF(INDEX(tblCleanData[WorkLifeBalance],71)&lt;=2,"Elevated","Normal")</f>
        <v>Elevated</v>
      </c>
      <c r="I79">
        <f>IF(INDEX(tblCleanData[Age],71)&lt;30,30,IF(INDEX(tblCleanData[Age],71)&lt;40,20,IF(INDEX(tblCleanData[Age],71)&lt;50,10,15)))</f>
        <v>15</v>
      </c>
      <c r="J79">
        <f>IF(INDEX(tblCleanData[MonthlyIncome],71)&lt;=$B$3,25,IF(INDEX(tblCleanData[MonthlyIncome],71)&lt;=$B$4,12,5))</f>
        <v>5</v>
      </c>
      <c r="K79">
        <f>IF(INDEX(tblCleanData[OverTime],71)="Yes",25,0)</f>
        <v>0</v>
      </c>
      <c r="L79">
        <f>(5-INDEX(tblCleanData[JobSatisfaction],71))*6.25</f>
        <v>12.5</v>
      </c>
      <c r="M79">
        <f>IF(INDEX(tblCleanData[YearsAtCompany],71)&lt;=2,25,IF(INDEX(tblCleanData[YearsAtCompany],71)&lt;=5,15,IF(INDEX(tblCleanData[YearsAtCompany],71)&lt;=10,8,3)))</f>
        <v>15</v>
      </c>
      <c r="N79">
        <f t="shared" si="2"/>
        <v>48</v>
      </c>
      <c r="O79" t="str">
        <f t="shared" si="3"/>
        <v>Medium Risk</v>
      </c>
    </row>
    <row r="80" spans="1:15" x14ac:dyDescent="0.25">
      <c r="A80">
        <f>INDEX(tblCleanData[EmployeeNumber],72)</f>
        <v>94</v>
      </c>
      <c r="B80" t="str">
        <f>IF(INDEX(tblCleanData[Age],72)&lt;30,"Under 30",IF(INDEX(tblCleanData[Age],72)&lt;40,"30-39",IF(INDEX(tblCleanData[Age],72)&lt;50,"40-49","50+")))</f>
        <v>Under 30</v>
      </c>
      <c r="C80" t="str">
        <f>IF(INDEX(tblCleanData[MonthlyIncome],72)&lt;=$B$3,"Low Income",IF(INDEX(tblCleanData[MonthlyIncome],72)&lt;=$B$4,"Medium Income","High Income"))</f>
        <v>High Income</v>
      </c>
      <c r="D80">
        <f>IF(INDEX(tblCleanData[Attrition],72)="Yes",1,0)</f>
        <v>0</v>
      </c>
      <c r="E80">
        <f>IF(INDEX(tblCleanData[OverTime],72)="Yes",1,0)</f>
        <v>0</v>
      </c>
      <c r="F80" t="str">
        <f>CHOOSE(INDEX(tblCleanData[Education],72),"Below College","College","Bachelor","Master","Doctor")</f>
        <v>Bachelor</v>
      </c>
      <c r="G80" t="str">
        <f>IF(INDEX(tblCleanData[YearsAtCompany],72)&lt;=2,"0-2 Years",IF(INDEX(tblCleanData[YearsAtCompany],72)&lt;=5,"3-5 Years",IF(INDEX(tblCleanData[YearsAtCompany],72)&lt;=10,"6-10 Years","10+ Years")))</f>
        <v>3-5 Years</v>
      </c>
      <c r="H80" t="str">
        <f>IF(INDEX(tblCleanData[WorkLifeBalance],72)&lt;=2,"Elevated","Normal")</f>
        <v>Normal</v>
      </c>
      <c r="I80">
        <f>IF(INDEX(tblCleanData[Age],72)&lt;30,30,IF(INDEX(tblCleanData[Age],72)&lt;40,20,IF(INDEX(tblCleanData[Age],72)&lt;50,10,15)))</f>
        <v>30</v>
      </c>
      <c r="J80">
        <f>IF(INDEX(tblCleanData[MonthlyIncome],72)&lt;=$B$3,25,IF(INDEX(tblCleanData[MonthlyIncome],72)&lt;=$B$4,12,5))</f>
        <v>5</v>
      </c>
      <c r="K80">
        <f>IF(INDEX(tblCleanData[OverTime],72)="Yes",25,0)</f>
        <v>0</v>
      </c>
      <c r="L80">
        <f>(5-INDEX(tblCleanData[JobSatisfaction],72))*6.25</f>
        <v>18.75</v>
      </c>
      <c r="M80">
        <f>IF(INDEX(tblCleanData[YearsAtCompany],72)&lt;=2,25,IF(INDEX(tblCleanData[YearsAtCompany],72)&lt;=5,15,IF(INDEX(tblCleanData[YearsAtCompany],72)&lt;=10,8,3)))</f>
        <v>15</v>
      </c>
      <c r="N80">
        <f t="shared" si="2"/>
        <v>69</v>
      </c>
      <c r="O80" t="str">
        <f t="shared" si="3"/>
        <v>High Risk</v>
      </c>
    </row>
    <row r="81" spans="1:15" x14ac:dyDescent="0.25">
      <c r="A81">
        <f>INDEX(tblCleanData[EmployeeNumber],73)</f>
        <v>95</v>
      </c>
      <c r="B81" t="str">
        <f>IF(INDEX(tblCleanData[Age],73)&lt;30,"Under 30",IF(INDEX(tblCleanData[Age],73)&lt;40,"30-39",IF(INDEX(tblCleanData[Age],73)&lt;50,"40-49","50+")))</f>
        <v>30-39</v>
      </c>
      <c r="C81" t="str">
        <f>IF(INDEX(tblCleanData[MonthlyIncome],73)&lt;=$B$3,"Low Income",IF(INDEX(tblCleanData[MonthlyIncome],73)&lt;=$B$4,"Medium Income","High Income"))</f>
        <v>High Income</v>
      </c>
      <c r="D81">
        <f>IF(INDEX(tblCleanData[Attrition],73)="Yes",1,0)</f>
        <v>0</v>
      </c>
      <c r="E81">
        <f>IF(INDEX(tblCleanData[OverTime],73)="Yes",1,0)</f>
        <v>0</v>
      </c>
      <c r="F81" t="str">
        <f>CHOOSE(INDEX(tblCleanData[Education],73),"Below College","College","Bachelor","Master","Doctor")</f>
        <v>Master</v>
      </c>
      <c r="G81" t="str">
        <f>IF(INDEX(tblCleanData[YearsAtCompany],73)&lt;=2,"0-2 Years",IF(INDEX(tblCleanData[YearsAtCompany],73)&lt;=5,"3-5 Years",IF(INDEX(tblCleanData[YearsAtCompany],73)&lt;=10,"6-10 Years","10+ Years")))</f>
        <v>0-2 Years</v>
      </c>
      <c r="H81" t="str">
        <f>IF(INDEX(tblCleanData[WorkLifeBalance],73)&lt;=2,"Elevated","Normal")</f>
        <v>Normal</v>
      </c>
      <c r="I81">
        <f>IF(INDEX(tblCleanData[Age],73)&lt;30,30,IF(INDEX(tblCleanData[Age],73)&lt;40,20,IF(INDEX(tblCleanData[Age],73)&lt;50,10,15)))</f>
        <v>20</v>
      </c>
      <c r="J81">
        <f>IF(INDEX(tblCleanData[MonthlyIncome],73)&lt;=$B$3,25,IF(INDEX(tblCleanData[MonthlyIncome],73)&lt;=$B$4,12,5))</f>
        <v>5</v>
      </c>
      <c r="K81">
        <f>IF(INDEX(tblCleanData[OverTime],73)="Yes",25,0)</f>
        <v>0</v>
      </c>
      <c r="L81">
        <f>(5-INDEX(tblCleanData[JobSatisfaction],73))*6.25</f>
        <v>18.75</v>
      </c>
      <c r="M81">
        <f>IF(INDEX(tblCleanData[YearsAtCompany],73)&lt;=2,25,IF(INDEX(tblCleanData[YearsAtCompany],73)&lt;=5,15,IF(INDEX(tblCleanData[YearsAtCompany],73)&lt;=10,8,3)))</f>
        <v>25</v>
      </c>
      <c r="N81">
        <f t="shared" si="2"/>
        <v>69</v>
      </c>
      <c r="O81" t="str">
        <f t="shared" si="3"/>
        <v>High Risk</v>
      </c>
    </row>
    <row r="82" spans="1:15" x14ac:dyDescent="0.25">
      <c r="A82">
        <f>INDEX(tblCleanData[EmployeeNumber],74)</f>
        <v>96</v>
      </c>
      <c r="B82" t="str">
        <f>IF(INDEX(tblCleanData[Age],74)&lt;30,"Under 30",IF(INDEX(tblCleanData[Age],74)&lt;40,"30-39",IF(INDEX(tblCleanData[Age],74)&lt;50,"40-49","50+")))</f>
        <v>30-39</v>
      </c>
      <c r="C82" t="str">
        <f>IF(INDEX(tblCleanData[MonthlyIncome],74)&lt;=$B$3,"Low Income",IF(INDEX(tblCleanData[MonthlyIncome],74)&lt;=$B$4,"Medium Income","High Income"))</f>
        <v>High Income</v>
      </c>
      <c r="D82">
        <f>IF(INDEX(tblCleanData[Attrition],74)="Yes",1,0)</f>
        <v>0</v>
      </c>
      <c r="E82">
        <f>IF(INDEX(tblCleanData[OverTime],74)="Yes",1,0)</f>
        <v>0</v>
      </c>
      <c r="F82" t="str">
        <f>CHOOSE(INDEX(tblCleanData[Education],74),"Below College","College","Bachelor","Master","Doctor")</f>
        <v>Bachelor</v>
      </c>
      <c r="G82" t="str">
        <f>IF(INDEX(tblCleanData[YearsAtCompany],74)&lt;=2,"0-2 Years",IF(INDEX(tblCleanData[YearsAtCompany],74)&lt;=5,"3-5 Years",IF(INDEX(tblCleanData[YearsAtCompany],74)&lt;=10,"6-10 Years","10+ Years")))</f>
        <v>6-10 Years</v>
      </c>
      <c r="H82" t="str">
        <f>IF(INDEX(tblCleanData[WorkLifeBalance],74)&lt;=2,"Elevated","Normal")</f>
        <v>Normal</v>
      </c>
      <c r="I82">
        <f>IF(INDEX(tblCleanData[Age],74)&lt;30,30,IF(INDEX(tblCleanData[Age],74)&lt;40,20,IF(INDEX(tblCleanData[Age],74)&lt;50,10,15)))</f>
        <v>20</v>
      </c>
      <c r="J82">
        <f>IF(INDEX(tblCleanData[MonthlyIncome],74)&lt;=$B$3,25,IF(INDEX(tblCleanData[MonthlyIncome],74)&lt;=$B$4,12,5))</f>
        <v>5</v>
      </c>
      <c r="K82">
        <f>IF(INDEX(tblCleanData[OverTime],74)="Yes",25,0)</f>
        <v>0</v>
      </c>
      <c r="L82">
        <f>(5-INDEX(tblCleanData[JobSatisfaction],74))*6.25</f>
        <v>18.75</v>
      </c>
      <c r="M82">
        <f>IF(INDEX(tblCleanData[YearsAtCompany],74)&lt;=2,25,IF(INDEX(tblCleanData[YearsAtCompany],74)&lt;=5,15,IF(INDEX(tblCleanData[YearsAtCompany],74)&lt;=10,8,3)))</f>
        <v>8</v>
      </c>
      <c r="N82">
        <f t="shared" si="2"/>
        <v>52</v>
      </c>
      <c r="O82" t="str">
        <f t="shared" si="3"/>
        <v>Medium Risk</v>
      </c>
    </row>
    <row r="83" spans="1:15" x14ac:dyDescent="0.25">
      <c r="A83">
        <f>INDEX(tblCleanData[EmployeeNumber],75)</f>
        <v>97</v>
      </c>
      <c r="B83" t="str">
        <f>IF(INDEX(tblCleanData[Age],75)&lt;30,"Under 30",IF(INDEX(tblCleanData[Age],75)&lt;40,"30-39",IF(INDEX(tblCleanData[Age],75)&lt;50,"40-49","50+")))</f>
        <v>30-39</v>
      </c>
      <c r="C83" t="str">
        <f>IF(INDEX(tblCleanData[MonthlyIncome],75)&lt;=$B$3,"Low Income",IF(INDEX(tblCleanData[MonthlyIncome],75)&lt;=$B$4,"Medium Income","High Income"))</f>
        <v>High Income</v>
      </c>
      <c r="D83">
        <f>IF(INDEX(tblCleanData[Attrition],75)="Yes",1,0)</f>
        <v>0</v>
      </c>
      <c r="E83">
        <f>IF(INDEX(tblCleanData[OverTime],75)="Yes",1,0)</f>
        <v>0</v>
      </c>
      <c r="F83" t="str">
        <f>CHOOSE(INDEX(tblCleanData[Education],75),"Below College","College","Bachelor","Master","Doctor")</f>
        <v>Bachelor</v>
      </c>
      <c r="G83" t="str">
        <f>IF(INDEX(tblCleanData[YearsAtCompany],75)&lt;=2,"0-2 Years",IF(INDEX(tblCleanData[YearsAtCompany],75)&lt;=5,"3-5 Years",IF(INDEX(tblCleanData[YearsAtCompany],75)&lt;=10,"6-10 Years","10+ Years")))</f>
        <v>0-2 Years</v>
      </c>
      <c r="H83" t="str">
        <f>IF(INDEX(tblCleanData[WorkLifeBalance],75)&lt;=2,"Elevated","Normal")</f>
        <v>Normal</v>
      </c>
      <c r="I83">
        <f>IF(INDEX(tblCleanData[Age],75)&lt;30,30,IF(INDEX(tblCleanData[Age],75)&lt;40,20,IF(INDEX(tblCleanData[Age],75)&lt;50,10,15)))</f>
        <v>20</v>
      </c>
      <c r="J83">
        <f>IF(INDEX(tblCleanData[MonthlyIncome],75)&lt;=$B$3,25,IF(INDEX(tblCleanData[MonthlyIncome],75)&lt;=$B$4,12,5))</f>
        <v>5</v>
      </c>
      <c r="K83">
        <f>IF(INDEX(tblCleanData[OverTime],75)="Yes",25,0)</f>
        <v>0</v>
      </c>
      <c r="L83">
        <f>(5-INDEX(tblCleanData[JobSatisfaction],75))*6.25</f>
        <v>6.25</v>
      </c>
      <c r="M83">
        <f>IF(INDEX(tblCleanData[YearsAtCompany],75)&lt;=2,25,IF(INDEX(tblCleanData[YearsAtCompany],75)&lt;=5,15,IF(INDEX(tblCleanData[YearsAtCompany],75)&lt;=10,8,3)))</f>
        <v>25</v>
      </c>
      <c r="N83">
        <f t="shared" si="2"/>
        <v>56</v>
      </c>
      <c r="O83" t="str">
        <f t="shared" si="3"/>
        <v>High Risk</v>
      </c>
    </row>
    <row r="84" spans="1:15" x14ac:dyDescent="0.25">
      <c r="A84">
        <f>INDEX(tblCleanData[EmployeeNumber],76)</f>
        <v>98</v>
      </c>
      <c r="B84" t="str">
        <f>IF(INDEX(tblCleanData[Age],76)&lt;30,"Under 30",IF(INDEX(tblCleanData[Age],76)&lt;40,"30-39",IF(INDEX(tblCleanData[Age],76)&lt;50,"40-49","50+")))</f>
        <v>30-39</v>
      </c>
      <c r="C84" t="str">
        <f>IF(INDEX(tblCleanData[MonthlyIncome],76)&lt;=$B$3,"Low Income",IF(INDEX(tblCleanData[MonthlyIncome],76)&lt;=$B$4,"Medium Income","High Income"))</f>
        <v>High Income</v>
      </c>
      <c r="D84">
        <f>IF(INDEX(tblCleanData[Attrition],76)="Yes",1,0)</f>
        <v>0</v>
      </c>
      <c r="E84">
        <f>IF(INDEX(tblCleanData[OverTime],76)="Yes",1,0)</f>
        <v>0</v>
      </c>
      <c r="F84" t="str">
        <f>CHOOSE(INDEX(tblCleanData[Education],76),"Below College","College","Bachelor","Master","Doctor")</f>
        <v>Master</v>
      </c>
      <c r="G84" t="str">
        <f>IF(INDEX(tblCleanData[YearsAtCompany],76)&lt;=2,"0-2 Years",IF(INDEX(tblCleanData[YearsAtCompany],76)&lt;=5,"3-5 Years",IF(INDEX(tblCleanData[YearsAtCompany],76)&lt;=10,"6-10 Years","10+ Years")))</f>
        <v>10+ Years</v>
      </c>
      <c r="H84" t="str">
        <f>IF(INDEX(tblCleanData[WorkLifeBalance],76)&lt;=2,"Elevated","Normal")</f>
        <v>Normal</v>
      </c>
      <c r="I84">
        <f>IF(INDEX(tblCleanData[Age],76)&lt;30,30,IF(INDEX(tblCleanData[Age],76)&lt;40,20,IF(INDEX(tblCleanData[Age],76)&lt;50,10,15)))</f>
        <v>20</v>
      </c>
      <c r="J84">
        <f>IF(INDEX(tblCleanData[MonthlyIncome],76)&lt;=$B$3,25,IF(INDEX(tblCleanData[MonthlyIncome],76)&lt;=$B$4,12,5))</f>
        <v>5</v>
      </c>
      <c r="K84">
        <f>IF(INDEX(tblCleanData[OverTime],76)="Yes",25,0)</f>
        <v>0</v>
      </c>
      <c r="L84">
        <f>(5-INDEX(tblCleanData[JobSatisfaction],76))*6.25</f>
        <v>6.25</v>
      </c>
      <c r="M84">
        <f>IF(INDEX(tblCleanData[YearsAtCompany],76)&lt;=2,25,IF(INDEX(tblCleanData[YearsAtCompany],76)&lt;=5,15,IF(INDEX(tblCleanData[YearsAtCompany],76)&lt;=10,8,3)))</f>
        <v>3</v>
      </c>
      <c r="N84">
        <f t="shared" si="2"/>
        <v>34</v>
      </c>
      <c r="O84" t="str">
        <f t="shared" si="3"/>
        <v>Low Risk</v>
      </c>
    </row>
    <row r="85" spans="1:15" x14ac:dyDescent="0.25">
      <c r="A85">
        <f>INDEX(tblCleanData[EmployeeNumber],77)</f>
        <v>100</v>
      </c>
      <c r="B85" t="str">
        <f>IF(INDEX(tblCleanData[Age],77)&lt;30,"Under 30",IF(INDEX(tblCleanData[Age],77)&lt;40,"30-39",IF(INDEX(tblCleanData[Age],77)&lt;50,"40-49","50+")))</f>
        <v>30-39</v>
      </c>
      <c r="C85" t="str">
        <f>IF(INDEX(tblCleanData[MonthlyIncome],77)&lt;=$B$3,"Low Income",IF(INDEX(tblCleanData[MonthlyIncome],77)&lt;=$B$4,"Medium Income","High Income"))</f>
        <v>High Income</v>
      </c>
      <c r="D85">
        <f>IF(INDEX(tblCleanData[Attrition],77)="Yes",1,0)</f>
        <v>0</v>
      </c>
      <c r="E85">
        <f>IF(INDEX(tblCleanData[OverTime],77)="Yes",1,0)</f>
        <v>0</v>
      </c>
      <c r="F85" t="str">
        <f>CHOOSE(INDEX(tblCleanData[Education],77),"Below College","College","Bachelor","Master","Doctor")</f>
        <v>Master</v>
      </c>
      <c r="G85" t="str">
        <f>IF(INDEX(tblCleanData[YearsAtCompany],77)&lt;=2,"0-2 Years",IF(INDEX(tblCleanData[YearsAtCompany],77)&lt;=5,"3-5 Years",IF(INDEX(tblCleanData[YearsAtCompany],77)&lt;=10,"6-10 Years","10+ Years")))</f>
        <v>10+ Years</v>
      </c>
      <c r="H85" t="str">
        <f>IF(INDEX(tblCleanData[WorkLifeBalance],77)&lt;=2,"Elevated","Normal")</f>
        <v>Normal</v>
      </c>
      <c r="I85">
        <f>IF(INDEX(tblCleanData[Age],77)&lt;30,30,IF(INDEX(tblCleanData[Age],77)&lt;40,20,IF(INDEX(tblCleanData[Age],77)&lt;50,10,15)))</f>
        <v>20</v>
      </c>
      <c r="J85">
        <f>IF(INDEX(tblCleanData[MonthlyIncome],77)&lt;=$B$3,25,IF(INDEX(tblCleanData[MonthlyIncome],77)&lt;=$B$4,12,5))</f>
        <v>5</v>
      </c>
      <c r="K85">
        <f>IF(INDEX(tblCleanData[OverTime],77)="Yes",25,0)</f>
        <v>0</v>
      </c>
      <c r="L85">
        <f>(5-INDEX(tblCleanData[JobSatisfaction],77))*6.25</f>
        <v>25</v>
      </c>
      <c r="M85">
        <f>IF(INDEX(tblCleanData[YearsAtCompany],77)&lt;=2,25,IF(INDEX(tblCleanData[YearsAtCompany],77)&lt;=5,15,IF(INDEX(tblCleanData[YearsAtCompany],77)&lt;=10,8,3)))</f>
        <v>3</v>
      </c>
      <c r="N85">
        <f t="shared" si="2"/>
        <v>53</v>
      </c>
      <c r="O85" t="str">
        <f t="shared" si="3"/>
        <v>Medium Risk</v>
      </c>
    </row>
    <row r="86" spans="1:15" x14ac:dyDescent="0.25">
      <c r="A86">
        <f>INDEX(tblCleanData[EmployeeNumber],78)</f>
        <v>101</v>
      </c>
      <c r="B86" t="str">
        <f>IF(INDEX(tblCleanData[Age],78)&lt;30,"Under 30",IF(INDEX(tblCleanData[Age],78)&lt;40,"30-39",IF(INDEX(tblCleanData[Age],78)&lt;50,"40-49","50+")))</f>
        <v>40-49</v>
      </c>
      <c r="C86" t="str">
        <f>IF(INDEX(tblCleanData[MonthlyIncome],78)&lt;=$B$3,"Low Income",IF(INDEX(tblCleanData[MonthlyIncome],78)&lt;=$B$4,"Medium Income","High Income"))</f>
        <v>High Income</v>
      </c>
      <c r="D86">
        <f>IF(INDEX(tblCleanData[Attrition],78)="Yes",1,0)</f>
        <v>0</v>
      </c>
      <c r="E86">
        <f>IF(INDEX(tblCleanData[OverTime],78)="Yes",1,0)</f>
        <v>1</v>
      </c>
      <c r="F86" t="str">
        <f>CHOOSE(INDEX(tblCleanData[Education],78),"Below College","College","Bachelor","Master","Doctor")</f>
        <v>Master</v>
      </c>
      <c r="G86" t="str">
        <f>IF(INDEX(tblCleanData[YearsAtCompany],78)&lt;=2,"0-2 Years",IF(INDEX(tblCleanData[YearsAtCompany],78)&lt;=5,"3-5 Years",IF(INDEX(tblCleanData[YearsAtCompany],78)&lt;=10,"6-10 Years","10+ Years")))</f>
        <v>0-2 Years</v>
      </c>
      <c r="H86" t="str">
        <f>IF(INDEX(tblCleanData[WorkLifeBalance],78)&lt;=2,"Elevated","Normal")</f>
        <v>Normal</v>
      </c>
      <c r="I86">
        <f>IF(INDEX(tblCleanData[Age],78)&lt;30,30,IF(INDEX(tblCleanData[Age],78)&lt;40,20,IF(INDEX(tblCleanData[Age],78)&lt;50,10,15)))</f>
        <v>10</v>
      </c>
      <c r="J86">
        <f>IF(INDEX(tblCleanData[MonthlyIncome],78)&lt;=$B$3,25,IF(INDEX(tblCleanData[MonthlyIncome],78)&lt;=$B$4,12,5))</f>
        <v>5</v>
      </c>
      <c r="K86">
        <f>IF(INDEX(tblCleanData[OverTime],78)="Yes",25,0)</f>
        <v>25</v>
      </c>
      <c r="L86">
        <f>(5-INDEX(tblCleanData[JobSatisfaction],78))*6.25</f>
        <v>25</v>
      </c>
      <c r="M86">
        <f>IF(INDEX(tblCleanData[YearsAtCompany],78)&lt;=2,25,IF(INDEX(tblCleanData[YearsAtCompany],78)&lt;=5,15,IF(INDEX(tblCleanData[YearsAtCompany],78)&lt;=10,8,3)))</f>
        <v>25</v>
      </c>
      <c r="N86">
        <f t="shared" si="2"/>
        <v>90</v>
      </c>
      <c r="O86" t="str">
        <f t="shared" si="3"/>
        <v>High Risk</v>
      </c>
    </row>
    <row r="87" spans="1:15" x14ac:dyDescent="0.25">
      <c r="A87">
        <f>INDEX(tblCleanData[EmployeeNumber],79)</f>
        <v>102</v>
      </c>
      <c r="B87" t="str">
        <f>IF(INDEX(tblCleanData[Age],79)&lt;30,"Under 30",IF(INDEX(tblCleanData[Age],79)&lt;40,"30-39",IF(INDEX(tblCleanData[Age],79)&lt;50,"40-49","50+")))</f>
        <v>30-39</v>
      </c>
      <c r="C87" t="str">
        <f>IF(INDEX(tblCleanData[MonthlyIncome],79)&lt;=$B$3,"Low Income",IF(INDEX(tblCleanData[MonthlyIncome],79)&lt;=$B$4,"Medium Income","High Income"))</f>
        <v>High Income</v>
      </c>
      <c r="D87">
        <f>IF(INDEX(tblCleanData[Attrition],79)="Yes",1,0)</f>
        <v>0</v>
      </c>
      <c r="E87">
        <f>IF(INDEX(tblCleanData[OverTime],79)="Yes",1,0)</f>
        <v>0</v>
      </c>
      <c r="F87" t="str">
        <f>CHOOSE(INDEX(tblCleanData[Education],79),"Below College","College","Bachelor","Master","Doctor")</f>
        <v>Master</v>
      </c>
      <c r="G87" t="str">
        <f>IF(INDEX(tblCleanData[YearsAtCompany],79)&lt;=2,"0-2 Years",IF(INDEX(tblCleanData[YearsAtCompany],79)&lt;=5,"3-5 Years",IF(INDEX(tblCleanData[YearsAtCompany],79)&lt;=10,"6-10 Years","10+ Years")))</f>
        <v>3-5 Years</v>
      </c>
      <c r="H87" t="str">
        <f>IF(INDEX(tblCleanData[WorkLifeBalance],79)&lt;=2,"Elevated","Normal")</f>
        <v>Normal</v>
      </c>
      <c r="I87">
        <f>IF(INDEX(tblCleanData[Age],79)&lt;30,30,IF(INDEX(tblCleanData[Age],79)&lt;40,20,IF(INDEX(tblCleanData[Age],79)&lt;50,10,15)))</f>
        <v>20</v>
      </c>
      <c r="J87">
        <f>IF(INDEX(tblCleanData[MonthlyIncome],79)&lt;=$B$3,25,IF(INDEX(tblCleanData[MonthlyIncome],79)&lt;=$B$4,12,5))</f>
        <v>5</v>
      </c>
      <c r="K87">
        <f>IF(INDEX(tblCleanData[OverTime],79)="Yes",25,0)</f>
        <v>0</v>
      </c>
      <c r="L87">
        <f>(5-INDEX(tblCleanData[JobSatisfaction],79))*6.25</f>
        <v>12.5</v>
      </c>
      <c r="M87">
        <f>IF(INDEX(tblCleanData[YearsAtCompany],79)&lt;=2,25,IF(INDEX(tblCleanData[YearsAtCompany],79)&lt;=5,15,IF(INDEX(tblCleanData[YearsAtCompany],79)&lt;=10,8,3)))</f>
        <v>15</v>
      </c>
      <c r="N87">
        <f t="shared" si="2"/>
        <v>53</v>
      </c>
      <c r="O87" t="str">
        <f t="shared" si="3"/>
        <v>Medium Risk</v>
      </c>
    </row>
    <row r="88" spans="1:15" x14ac:dyDescent="0.25">
      <c r="A88">
        <f>INDEX(tblCleanData[EmployeeNumber],80)</f>
        <v>103</v>
      </c>
      <c r="B88" t="str">
        <f>IF(INDEX(tblCleanData[Age],80)&lt;30,"Under 30",IF(INDEX(tblCleanData[Age],80)&lt;40,"30-39",IF(INDEX(tblCleanData[Age],80)&lt;50,"40-49","50+")))</f>
        <v>40-49</v>
      </c>
      <c r="C88" t="str">
        <f>IF(INDEX(tblCleanData[MonthlyIncome],80)&lt;=$B$3,"Low Income",IF(INDEX(tblCleanData[MonthlyIncome],80)&lt;=$B$4,"Medium Income","High Income"))</f>
        <v>High Income</v>
      </c>
      <c r="D88">
        <f>IF(INDEX(tblCleanData[Attrition],80)="Yes",1,0)</f>
        <v>0</v>
      </c>
      <c r="E88">
        <f>IF(INDEX(tblCleanData[OverTime],80)="Yes",1,0)</f>
        <v>1</v>
      </c>
      <c r="F88" t="str">
        <f>CHOOSE(INDEX(tblCleanData[Education],80),"Below College","College","Bachelor","Master","Doctor")</f>
        <v>College</v>
      </c>
      <c r="G88" t="str">
        <f>IF(INDEX(tblCleanData[YearsAtCompany],80)&lt;=2,"0-2 Years",IF(INDEX(tblCleanData[YearsAtCompany],80)&lt;=5,"3-5 Years",IF(INDEX(tblCleanData[YearsAtCompany],80)&lt;=10,"6-10 Years","10+ Years")))</f>
        <v>3-5 Years</v>
      </c>
      <c r="H88" t="str">
        <f>IF(INDEX(tblCleanData[WorkLifeBalance],80)&lt;=2,"Elevated","Normal")</f>
        <v>Normal</v>
      </c>
      <c r="I88">
        <f>IF(INDEX(tblCleanData[Age],80)&lt;30,30,IF(INDEX(tblCleanData[Age],80)&lt;40,20,IF(INDEX(tblCleanData[Age],80)&lt;50,10,15)))</f>
        <v>10</v>
      </c>
      <c r="J88">
        <f>IF(INDEX(tblCleanData[MonthlyIncome],80)&lt;=$B$3,25,IF(INDEX(tblCleanData[MonthlyIncome],80)&lt;=$B$4,12,5))</f>
        <v>5</v>
      </c>
      <c r="K88">
        <f>IF(INDEX(tblCleanData[OverTime],80)="Yes",25,0)</f>
        <v>25</v>
      </c>
      <c r="L88">
        <f>(5-INDEX(tblCleanData[JobSatisfaction],80))*6.25</f>
        <v>18.75</v>
      </c>
      <c r="M88">
        <f>IF(INDEX(tblCleanData[YearsAtCompany],80)&lt;=2,25,IF(INDEX(tblCleanData[YearsAtCompany],80)&lt;=5,15,IF(INDEX(tblCleanData[YearsAtCompany],80)&lt;=10,8,3)))</f>
        <v>15</v>
      </c>
      <c r="N88">
        <f t="shared" si="2"/>
        <v>74</v>
      </c>
      <c r="O88" t="str">
        <f t="shared" si="3"/>
        <v>High Risk</v>
      </c>
    </row>
    <row r="89" spans="1:15" x14ac:dyDescent="0.25">
      <c r="A89">
        <f>INDEX(tblCleanData[EmployeeNumber],81)</f>
        <v>104</v>
      </c>
      <c r="B89" t="str">
        <f>IF(INDEX(tblCleanData[Age],81)&lt;30,"Under 30",IF(INDEX(tblCleanData[Age],81)&lt;40,"30-39",IF(INDEX(tblCleanData[Age],81)&lt;50,"40-49","50+")))</f>
        <v>30-39</v>
      </c>
      <c r="C89" t="str">
        <f>IF(INDEX(tblCleanData[MonthlyIncome],81)&lt;=$B$3,"Low Income",IF(INDEX(tblCleanData[MonthlyIncome],81)&lt;=$B$4,"Medium Income","High Income"))</f>
        <v>High Income</v>
      </c>
      <c r="D89">
        <f>IF(INDEX(tblCleanData[Attrition],81)="Yes",1,0)</f>
        <v>0</v>
      </c>
      <c r="E89">
        <f>IF(INDEX(tblCleanData[OverTime],81)="Yes",1,0)</f>
        <v>1</v>
      </c>
      <c r="F89" t="str">
        <f>CHOOSE(INDEX(tblCleanData[Education],81),"Below College","College","Bachelor","Master","Doctor")</f>
        <v>Below College</v>
      </c>
      <c r="G89" t="str">
        <f>IF(INDEX(tblCleanData[YearsAtCompany],81)&lt;=2,"0-2 Years",IF(INDEX(tblCleanData[YearsAtCompany],81)&lt;=5,"3-5 Years",IF(INDEX(tblCleanData[YearsAtCompany],81)&lt;=10,"6-10 Years","10+ Years")))</f>
        <v>6-10 Years</v>
      </c>
      <c r="H89" t="str">
        <f>IF(INDEX(tblCleanData[WorkLifeBalance],81)&lt;=2,"Elevated","Normal")</f>
        <v>Elevated</v>
      </c>
      <c r="I89">
        <f>IF(INDEX(tblCleanData[Age],81)&lt;30,30,IF(INDEX(tblCleanData[Age],81)&lt;40,20,IF(INDEX(tblCleanData[Age],81)&lt;50,10,15)))</f>
        <v>20</v>
      </c>
      <c r="J89">
        <f>IF(INDEX(tblCleanData[MonthlyIncome],81)&lt;=$B$3,25,IF(INDEX(tblCleanData[MonthlyIncome],81)&lt;=$B$4,12,5))</f>
        <v>5</v>
      </c>
      <c r="K89">
        <f>IF(INDEX(tblCleanData[OverTime],81)="Yes",25,0)</f>
        <v>25</v>
      </c>
      <c r="L89">
        <f>(5-INDEX(tblCleanData[JobSatisfaction],81))*6.25</f>
        <v>6.25</v>
      </c>
      <c r="M89">
        <f>IF(INDEX(tblCleanData[YearsAtCompany],81)&lt;=2,25,IF(INDEX(tblCleanData[YearsAtCompany],81)&lt;=5,15,IF(INDEX(tblCleanData[YearsAtCompany],81)&lt;=10,8,3)))</f>
        <v>8</v>
      </c>
      <c r="N89">
        <f t="shared" si="2"/>
        <v>64</v>
      </c>
      <c r="O89" t="str">
        <f t="shared" si="3"/>
        <v>High Risk</v>
      </c>
    </row>
    <row r="90" spans="1:15" x14ac:dyDescent="0.25">
      <c r="A90">
        <f>INDEX(tblCleanData[EmployeeNumber],82)</f>
        <v>105</v>
      </c>
      <c r="B90" t="str">
        <f>IF(INDEX(tblCleanData[Age],82)&lt;30,"Under 30",IF(INDEX(tblCleanData[Age],82)&lt;40,"30-39",IF(INDEX(tblCleanData[Age],82)&lt;50,"40-49","50+")))</f>
        <v>30-39</v>
      </c>
      <c r="C90" t="str">
        <f>IF(INDEX(tblCleanData[MonthlyIncome],82)&lt;=$B$3,"Low Income",IF(INDEX(tblCleanData[MonthlyIncome],82)&lt;=$B$4,"Medium Income","High Income"))</f>
        <v>High Income</v>
      </c>
      <c r="D90">
        <f>IF(INDEX(tblCleanData[Attrition],82)="Yes",1,0)</f>
        <v>0</v>
      </c>
      <c r="E90">
        <f>IF(INDEX(tblCleanData[OverTime],82)="Yes",1,0)</f>
        <v>0</v>
      </c>
      <c r="F90" t="str">
        <f>CHOOSE(INDEX(tblCleanData[Education],82),"Below College","College","Bachelor","Master","Doctor")</f>
        <v>Bachelor</v>
      </c>
      <c r="G90" t="str">
        <f>IF(INDEX(tblCleanData[YearsAtCompany],82)&lt;=2,"0-2 Years",IF(INDEX(tblCleanData[YearsAtCompany],82)&lt;=5,"3-5 Years",IF(INDEX(tblCleanData[YearsAtCompany],82)&lt;=10,"6-10 Years","10+ Years")))</f>
        <v>6-10 Years</v>
      </c>
      <c r="H90" t="str">
        <f>IF(INDEX(tblCleanData[WorkLifeBalance],82)&lt;=2,"Elevated","Normal")</f>
        <v>Normal</v>
      </c>
      <c r="I90">
        <f>IF(INDEX(tblCleanData[Age],82)&lt;30,30,IF(INDEX(tblCleanData[Age],82)&lt;40,20,IF(INDEX(tblCleanData[Age],82)&lt;50,10,15)))</f>
        <v>20</v>
      </c>
      <c r="J90">
        <f>IF(INDEX(tblCleanData[MonthlyIncome],82)&lt;=$B$3,25,IF(INDEX(tblCleanData[MonthlyIncome],82)&lt;=$B$4,12,5))</f>
        <v>5</v>
      </c>
      <c r="K90">
        <f>IF(INDEX(tblCleanData[OverTime],82)="Yes",25,0)</f>
        <v>0</v>
      </c>
      <c r="L90">
        <f>(5-INDEX(tblCleanData[JobSatisfaction],82))*6.25</f>
        <v>12.5</v>
      </c>
      <c r="M90">
        <f>IF(INDEX(tblCleanData[YearsAtCompany],82)&lt;=2,25,IF(INDEX(tblCleanData[YearsAtCompany],82)&lt;=5,15,IF(INDEX(tblCleanData[YearsAtCompany],82)&lt;=10,8,3)))</f>
        <v>8</v>
      </c>
      <c r="N90">
        <f t="shared" si="2"/>
        <v>46</v>
      </c>
      <c r="O90" t="str">
        <f t="shared" si="3"/>
        <v>Medium Risk</v>
      </c>
    </row>
    <row r="91" spans="1:15" x14ac:dyDescent="0.25">
      <c r="A91">
        <f>INDEX(tblCleanData[EmployeeNumber],83)</f>
        <v>106</v>
      </c>
      <c r="B91" t="str">
        <f>IF(INDEX(tblCleanData[Age],83)&lt;30,"Under 30",IF(INDEX(tblCleanData[Age],83)&lt;40,"30-39",IF(INDEX(tblCleanData[Age],83)&lt;50,"40-49","50+")))</f>
        <v>50+</v>
      </c>
      <c r="C91" t="str">
        <f>IF(INDEX(tblCleanData[MonthlyIncome],83)&lt;=$B$3,"Low Income",IF(INDEX(tblCleanData[MonthlyIncome],83)&lt;=$B$4,"Medium Income","High Income"))</f>
        <v>High Income</v>
      </c>
      <c r="D91">
        <f>IF(INDEX(tblCleanData[Attrition],83)="Yes",1,0)</f>
        <v>0</v>
      </c>
      <c r="E91">
        <f>IF(INDEX(tblCleanData[OverTime],83)="Yes",1,0)</f>
        <v>0</v>
      </c>
      <c r="F91" t="str">
        <f>CHOOSE(INDEX(tblCleanData[Education],83),"Below College","College","Bachelor","Master","Doctor")</f>
        <v>College</v>
      </c>
      <c r="G91" t="str">
        <f>IF(INDEX(tblCleanData[YearsAtCompany],83)&lt;=2,"0-2 Years",IF(INDEX(tblCleanData[YearsAtCompany],83)&lt;=5,"3-5 Years",IF(INDEX(tblCleanData[YearsAtCompany],83)&lt;=10,"6-10 Years","10+ Years")))</f>
        <v>0-2 Years</v>
      </c>
      <c r="H91" t="str">
        <f>IF(INDEX(tblCleanData[WorkLifeBalance],83)&lt;=2,"Elevated","Normal")</f>
        <v>Normal</v>
      </c>
      <c r="I91">
        <f>IF(INDEX(tblCleanData[Age],83)&lt;30,30,IF(INDEX(tblCleanData[Age],83)&lt;40,20,IF(INDEX(tblCleanData[Age],83)&lt;50,10,15)))</f>
        <v>15</v>
      </c>
      <c r="J91">
        <f>IF(INDEX(tblCleanData[MonthlyIncome],83)&lt;=$B$3,25,IF(INDEX(tblCleanData[MonthlyIncome],83)&lt;=$B$4,12,5))</f>
        <v>5</v>
      </c>
      <c r="K91">
        <f>IF(INDEX(tblCleanData[OverTime],83)="Yes",25,0)</f>
        <v>0</v>
      </c>
      <c r="L91">
        <f>(5-INDEX(tblCleanData[JobSatisfaction],83))*6.25</f>
        <v>6.25</v>
      </c>
      <c r="M91">
        <f>IF(INDEX(tblCleanData[YearsAtCompany],83)&lt;=2,25,IF(INDEX(tblCleanData[YearsAtCompany],83)&lt;=5,15,IF(INDEX(tblCleanData[YearsAtCompany],83)&lt;=10,8,3)))</f>
        <v>25</v>
      </c>
      <c r="N91">
        <f t="shared" si="2"/>
        <v>51</v>
      </c>
      <c r="O91" t="str">
        <f t="shared" si="3"/>
        <v>Medium Risk</v>
      </c>
    </row>
    <row r="92" spans="1:15" x14ac:dyDescent="0.25">
      <c r="A92">
        <f>INDEX(tblCleanData[EmployeeNumber],84)</f>
        <v>107</v>
      </c>
      <c r="B92" t="str">
        <f>IF(INDEX(tblCleanData[Age],84)&lt;30,"Under 30",IF(INDEX(tblCleanData[Age],84)&lt;40,"30-39",IF(INDEX(tblCleanData[Age],84)&lt;50,"40-49","50+")))</f>
        <v>30-39</v>
      </c>
      <c r="C92" t="str">
        <f>IF(INDEX(tblCleanData[MonthlyIncome],84)&lt;=$B$3,"Low Income",IF(INDEX(tblCleanData[MonthlyIncome],84)&lt;=$B$4,"Medium Income","High Income"))</f>
        <v>High Income</v>
      </c>
      <c r="D92">
        <f>IF(INDEX(tblCleanData[Attrition],84)="Yes",1,0)</f>
        <v>0</v>
      </c>
      <c r="E92">
        <f>IF(INDEX(tblCleanData[OverTime],84)="Yes",1,0)</f>
        <v>1</v>
      </c>
      <c r="F92" t="str">
        <f>CHOOSE(INDEX(tblCleanData[Education],84),"Below College","College","Bachelor","Master","Doctor")</f>
        <v>Bachelor</v>
      </c>
      <c r="G92" t="str">
        <f>IF(INDEX(tblCleanData[YearsAtCompany],84)&lt;=2,"0-2 Years",IF(INDEX(tblCleanData[YearsAtCompany],84)&lt;=5,"3-5 Years",IF(INDEX(tblCleanData[YearsAtCompany],84)&lt;=10,"6-10 Years","10+ Years")))</f>
        <v>10+ Years</v>
      </c>
      <c r="H92" t="str">
        <f>IF(INDEX(tblCleanData[WorkLifeBalance],84)&lt;=2,"Elevated","Normal")</f>
        <v>Normal</v>
      </c>
      <c r="I92">
        <f>IF(INDEX(tblCleanData[Age],84)&lt;30,30,IF(INDEX(tblCleanData[Age],84)&lt;40,20,IF(INDEX(tblCleanData[Age],84)&lt;50,10,15)))</f>
        <v>20</v>
      </c>
      <c r="J92">
        <f>IF(INDEX(tblCleanData[MonthlyIncome],84)&lt;=$B$3,25,IF(INDEX(tblCleanData[MonthlyIncome],84)&lt;=$B$4,12,5))</f>
        <v>5</v>
      </c>
      <c r="K92">
        <f>IF(INDEX(tblCleanData[OverTime],84)="Yes",25,0)</f>
        <v>25</v>
      </c>
      <c r="L92">
        <f>(5-INDEX(tblCleanData[JobSatisfaction],84))*6.25</f>
        <v>6.25</v>
      </c>
      <c r="M92">
        <f>IF(INDEX(tblCleanData[YearsAtCompany],84)&lt;=2,25,IF(INDEX(tblCleanData[YearsAtCompany],84)&lt;=5,15,IF(INDEX(tblCleanData[YearsAtCompany],84)&lt;=10,8,3)))</f>
        <v>3</v>
      </c>
      <c r="N92">
        <f t="shared" si="2"/>
        <v>59</v>
      </c>
      <c r="O92" t="str">
        <f t="shared" si="3"/>
        <v>High Risk</v>
      </c>
    </row>
    <row r="93" spans="1:15" x14ac:dyDescent="0.25">
      <c r="A93">
        <f>INDEX(tblCleanData[EmployeeNumber],85)</f>
        <v>110</v>
      </c>
      <c r="B93" t="str">
        <f>IF(INDEX(tblCleanData[Age],85)&lt;30,"Under 30",IF(INDEX(tblCleanData[Age],85)&lt;40,"30-39",IF(INDEX(tblCleanData[Age],85)&lt;50,"40-49","50+")))</f>
        <v>30-39</v>
      </c>
      <c r="C93" t="str">
        <f>IF(INDEX(tblCleanData[MonthlyIncome],85)&lt;=$B$3,"Low Income",IF(INDEX(tblCleanData[MonthlyIncome],85)&lt;=$B$4,"Medium Income","High Income"))</f>
        <v>High Income</v>
      </c>
      <c r="D93">
        <f>IF(INDEX(tblCleanData[Attrition],85)="Yes",1,0)</f>
        <v>0</v>
      </c>
      <c r="E93">
        <f>IF(INDEX(tblCleanData[OverTime],85)="Yes",1,0)</f>
        <v>0</v>
      </c>
      <c r="F93" t="str">
        <f>CHOOSE(INDEX(tblCleanData[Education],85),"Below College","College","Bachelor","Master","Doctor")</f>
        <v>College</v>
      </c>
      <c r="G93" t="str">
        <f>IF(INDEX(tblCleanData[YearsAtCompany],85)&lt;=2,"0-2 Years",IF(INDEX(tblCleanData[YearsAtCompany],85)&lt;=5,"3-5 Years",IF(INDEX(tblCleanData[YearsAtCompany],85)&lt;=10,"6-10 Years","10+ Years")))</f>
        <v>3-5 Years</v>
      </c>
      <c r="H93" t="str">
        <f>IF(INDEX(tblCleanData[WorkLifeBalance],85)&lt;=2,"Elevated","Normal")</f>
        <v>Normal</v>
      </c>
      <c r="I93">
        <f>IF(INDEX(tblCleanData[Age],85)&lt;30,30,IF(INDEX(tblCleanData[Age],85)&lt;40,20,IF(INDEX(tblCleanData[Age],85)&lt;50,10,15)))</f>
        <v>20</v>
      </c>
      <c r="J93">
        <f>IF(INDEX(tblCleanData[MonthlyIncome],85)&lt;=$B$3,25,IF(INDEX(tblCleanData[MonthlyIncome],85)&lt;=$B$4,12,5))</f>
        <v>5</v>
      </c>
      <c r="K93">
        <f>IF(INDEX(tblCleanData[OverTime],85)="Yes",25,0)</f>
        <v>0</v>
      </c>
      <c r="L93">
        <f>(5-INDEX(tblCleanData[JobSatisfaction],85))*6.25</f>
        <v>18.75</v>
      </c>
      <c r="M93">
        <f>IF(INDEX(tblCleanData[YearsAtCompany],85)&lt;=2,25,IF(INDEX(tblCleanData[YearsAtCompany],85)&lt;=5,15,IF(INDEX(tblCleanData[YearsAtCompany],85)&lt;=10,8,3)))</f>
        <v>15</v>
      </c>
      <c r="N93">
        <f t="shared" si="2"/>
        <v>59</v>
      </c>
      <c r="O93" t="str">
        <f t="shared" si="3"/>
        <v>High Risk</v>
      </c>
    </row>
    <row r="94" spans="1:15" x14ac:dyDescent="0.25">
      <c r="A94">
        <f>INDEX(tblCleanData[EmployeeNumber],86)</f>
        <v>112</v>
      </c>
      <c r="B94" t="str">
        <f>IF(INDEX(tblCleanData[Age],86)&lt;30,"Under 30",IF(INDEX(tblCleanData[Age],86)&lt;40,"30-39",IF(INDEX(tblCleanData[Age],86)&lt;50,"40-49","50+")))</f>
        <v>50+</v>
      </c>
      <c r="C94" t="str">
        <f>IF(INDEX(tblCleanData[MonthlyIncome],86)&lt;=$B$3,"Low Income",IF(INDEX(tblCleanData[MonthlyIncome],86)&lt;=$B$4,"Medium Income","High Income"))</f>
        <v>High Income</v>
      </c>
      <c r="D94">
        <f>IF(INDEX(tblCleanData[Attrition],86)="Yes",1,0)</f>
        <v>0</v>
      </c>
      <c r="E94">
        <f>IF(INDEX(tblCleanData[OverTime],86)="Yes",1,0)</f>
        <v>0</v>
      </c>
      <c r="F94" t="str">
        <f>CHOOSE(INDEX(tblCleanData[Education],86),"Below College","College","Bachelor","Master","Doctor")</f>
        <v>Bachelor</v>
      </c>
      <c r="G94" t="str">
        <f>IF(INDEX(tblCleanData[YearsAtCompany],86)&lt;=2,"0-2 Years",IF(INDEX(tblCleanData[YearsAtCompany],86)&lt;=5,"3-5 Years",IF(INDEX(tblCleanData[YearsAtCompany],86)&lt;=10,"6-10 Years","10+ Years")))</f>
        <v>6-10 Years</v>
      </c>
      <c r="H94" t="str">
        <f>IF(INDEX(tblCleanData[WorkLifeBalance],86)&lt;=2,"Elevated","Normal")</f>
        <v>Elevated</v>
      </c>
      <c r="I94">
        <f>IF(INDEX(tblCleanData[Age],86)&lt;30,30,IF(INDEX(tblCleanData[Age],86)&lt;40,20,IF(INDEX(tblCleanData[Age],86)&lt;50,10,15)))</f>
        <v>15</v>
      </c>
      <c r="J94">
        <f>IF(INDEX(tblCleanData[MonthlyIncome],86)&lt;=$B$3,25,IF(INDEX(tblCleanData[MonthlyIncome],86)&lt;=$B$4,12,5))</f>
        <v>5</v>
      </c>
      <c r="K94">
        <f>IF(INDEX(tblCleanData[OverTime],86)="Yes",25,0)</f>
        <v>0</v>
      </c>
      <c r="L94">
        <f>(5-INDEX(tblCleanData[JobSatisfaction],86))*6.25</f>
        <v>6.25</v>
      </c>
      <c r="M94">
        <f>IF(INDEX(tblCleanData[YearsAtCompany],86)&lt;=2,25,IF(INDEX(tblCleanData[YearsAtCompany],86)&lt;=5,15,IF(INDEX(tblCleanData[YearsAtCompany],86)&lt;=10,8,3)))</f>
        <v>8</v>
      </c>
      <c r="N94">
        <f t="shared" si="2"/>
        <v>34</v>
      </c>
      <c r="O94" t="str">
        <f t="shared" si="3"/>
        <v>Low Risk</v>
      </c>
    </row>
    <row r="95" spans="1:15" x14ac:dyDescent="0.25">
      <c r="A95">
        <f>INDEX(tblCleanData[EmployeeNumber],87)</f>
        <v>113</v>
      </c>
      <c r="B95" t="str">
        <f>IF(INDEX(tblCleanData[Age],87)&lt;30,"Under 30",IF(INDEX(tblCleanData[Age],87)&lt;40,"30-39",IF(INDEX(tblCleanData[Age],87)&lt;50,"40-49","50+")))</f>
        <v>Under 30</v>
      </c>
      <c r="C95" t="str">
        <f>IF(INDEX(tblCleanData[MonthlyIncome],87)&lt;=$B$3,"Low Income",IF(INDEX(tblCleanData[MonthlyIncome],87)&lt;=$B$4,"Medium Income","High Income"))</f>
        <v>High Income</v>
      </c>
      <c r="D95">
        <f>IF(INDEX(tblCleanData[Attrition],87)="Yes",1,0)</f>
        <v>0</v>
      </c>
      <c r="E95">
        <f>IF(INDEX(tblCleanData[OverTime],87)="Yes",1,0)</f>
        <v>0</v>
      </c>
      <c r="F95" t="str">
        <f>CHOOSE(INDEX(tblCleanData[Education],87),"Below College","College","Bachelor","Master","Doctor")</f>
        <v>Below College</v>
      </c>
      <c r="G95" t="str">
        <f>IF(INDEX(tblCleanData[YearsAtCompany],87)&lt;=2,"0-2 Years",IF(INDEX(tblCleanData[YearsAtCompany],87)&lt;=5,"3-5 Years",IF(INDEX(tblCleanData[YearsAtCompany],87)&lt;=10,"6-10 Years","10+ Years")))</f>
        <v>0-2 Years</v>
      </c>
      <c r="H95" t="str">
        <f>IF(INDEX(tblCleanData[WorkLifeBalance],87)&lt;=2,"Elevated","Normal")</f>
        <v>Normal</v>
      </c>
      <c r="I95">
        <f>IF(INDEX(tblCleanData[Age],87)&lt;30,30,IF(INDEX(tblCleanData[Age],87)&lt;40,20,IF(INDEX(tblCleanData[Age],87)&lt;50,10,15)))</f>
        <v>30</v>
      </c>
      <c r="J95">
        <f>IF(INDEX(tblCleanData[MonthlyIncome],87)&lt;=$B$3,25,IF(INDEX(tblCleanData[MonthlyIncome],87)&lt;=$B$4,12,5))</f>
        <v>5</v>
      </c>
      <c r="K95">
        <f>IF(INDEX(tblCleanData[OverTime],87)="Yes",25,0)</f>
        <v>0</v>
      </c>
      <c r="L95">
        <f>(5-INDEX(tblCleanData[JobSatisfaction],87))*6.25</f>
        <v>25</v>
      </c>
      <c r="M95">
        <f>IF(INDEX(tblCleanData[YearsAtCompany],87)&lt;=2,25,IF(INDEX(tblCleanData[YearsAtCompany],87)&lt;=5,15,IF(INDEX(tblCleanData[YearsAtCompany],87)&lt;=10,8,3)))</f>
        <v>25</v>
      </c>
      <c r="N95">
        <f t="shared" si="2"/>
        <v>85</v>
      </c>
      <c r="O95" t="str">
        <f t="shared" si="3"/>
        <v>High Risk</v>
      </c>
    </row>
    <row r="96" spans="1:15" x14ac:dyDescent="0.25">
      <c r="A96">
        <f>INDEX(tblCleanData[EmployeeNumber],88)</f>
        <v>116</v>
      </c>
      <c r="B96" t="str">
        <f>IF(INDEX(tblCleanData[Age],88)&lt;30,"Under 30",IF(INDEX(tblCleanData[Age],88)&lt;40,"30-39",IF(INDEX(tblCleanData[Age],88)&lt;50,"40-49","50+")))</f>
        <v>50+</v>
      </c>
      <c r="C96" t="str">
        <f>IF(INDEX(tblCleanData[MonthlyIncome],88)&lt;=$B$3,"Low Income",IF(INDEX(tblCleanData[MonthlyIncome],88)&lt;=$B$4,"Medium Income","High Income"))</f>
        <v>High Income</v>
      </c>
      <c r="D96">
        <f>IF(INDEX(tblCleanData[Attrition],88)="Yes",1,0)</f>
        <v>0</v>
      </c>
      <c r="E96">
        <f>IF(INDEX(tblCleanData[OverTime],88)="Yes",1,0)</f>
        <v>0</v>
      </c>
      <c r="F96" t="str">
        <f>CHOOSE(INDEX(tblCleanData[Education],88),"Below College","College","Bachelor","Master","Doctor")</f>
        <v>Master</v>
      </c>
      <c r="G96" t="str">
        <f>IF(INDEX(tblCleanData[YearsAtCompany],88)&lt;=2,"0-2 Years",IF(INDEX(tblCleanData[YearsAtCompany],88)&lt;=5,"3-5 Years",IF(INDEX(tblCleanData[YearsAtCompany],88)&lt;=10,"6-10 Years","10+ Years")))</f>
        <v>3-5 Years</v>
      </c>
      <c r="H96" t="str">
        <f>IF(INDEX(tblCleanData[WorkLifeBalance],88)&lt;=2,"Elevated","Normal")</f>
        <v>Normal</v>
      </c>
      <c r="I96">
        <f>IF(INDEX(tblCleanData[Age],88)&lt;30,30,IF(INDEX(tblCleanData[Age],88)&lt;40,20,IF(INDEX(tblCleanData[Age],88)&lt;50,10,15)))</f>
        <v>15</v>
      </c>
      <c r="J96">
        <f>IF(INDEX(tblCleanData[MonthlyIncome],88)&lt;=$B$3,25,IF(INDEX(tblCleanData[MonthlyIncome],88)&lt;=$B$4,12,5))</f>
        <v>5</v>
      </c>
      <c r="K96">
        <f>IF(INDEX(tblCleanData[OverTime],88)="Yes",25,0)</f>
        <v>0</v>
      </c>
      <c r="L96">
        <f>(5-INDEX(tblCleanData[JobSatisfaction],88))*6.25</f>
        <v>6.25</v>
      </c>
      <c r="M96">
        <f>IF(INDEX(tblCleanData[YearsAtCompany],88)&lt;=2,25,IF(INDEX(tblCleanData[YearsAtCompany],88)&lt;=5,15,IF(INDEX(tblCleanData[YearsAtCompany],88)&lt;=10,8,3)))</f>
        <v>15</v>
      </c>
      <c r="N96">
        <f t="shared" si="2"/>
        <v>41</v>
      </c>
      <c r="O96" t="str">
        <f t="shared" si="3"/>
        <v>Medium Risk</v>
      </c>
    </row>
    <row r="97" spans="1:15" x14ac:dyDescent="0.25">
      <c r="A97">
        <f>INDEX(tblCleanData[EmployeeNumber],89)</f>
        <v>117</v>
      </c>
      <c r="B97" t="str">
        <f>IF(INDEX(tblCleanData[Age],89)&lt;30,"Under 30",IF(INDEX(tblCleanData[Age],89)&lt;40,"30-39",IF(INDEX(tblCleanData[Age],89)&lt;50,"40-49","50+")))</f>
        <v>30-39</v>
      </c>
      <c r="C97" t="str">
        <f>IF(INDEX(tblCleanData[MonthlyIncome],89)&lt;=$B$3,"Low Income",IF(INDEX(tblCleanData[MonthlyIncome],89)&lt;=$B$4,"Medium Income","High Income"))</f>
        <v>High Income</v>
      </c>
      <c r="D97">
        <f>IF(INDEX(tblCleanData[Attrition],89)="Yes",1,0)</f>
        <v>0</v>
      </c>
      <c r="E97">
        <f>IF(INDEX(tblCleanData[OverTime],89)="Yes",1,0)</f>
        <v>0</v>
      </c>
      <c r="F97" t="str">
        <f>CHOOSE(INDEX(tblCleanData[Education],89),"Below College","College","Bachelor","Master","Doctor")</f>
        <v>Bachelor</v>
      </c>
      <c r="G97" t="str">
        <f>IF(INDEX(tblCleanData[YearsAtCompany],89)&lt;=2,"0-2 Years",IF(INDEX(tblCleanData[YearsAtCompany],89)&lt;=5,"3-5 Years",IF(INDEX(tblCleanData[YearsAtCompany],89)&lt;=10,"6-10 Years","10+ Years")))</f>
        <v>10+ Years</v>
      </c>
      <c r="H97" t="str">
        <f>IF(INDEX(tblCleanData[WorkLifeBalance],89)&lt;=2,"Elevated","Normal")</f>
        <v>Normal</v>
      </c>
      <c r="I97">
        <f>IF(INDEX(tblCleanData[Age],89)&lt;30,30,IF(INDEX(tblCleanData[Age],89)&lt;40,20,IF(INDEX(tblCleanData[Age],89)&lt;50,10,15)))</f>
        <v>20</v>
      </c>
      <c r="J97">
        <f>IF(INDEX(tblCleanData[MonthlyIncome],89)&lt;=$B$3,25,IF(INDEX(tblCleanData[MonthlyIncome],89)&lt;=$B$4,12,5))</f>
        <v>5</v>
      </c>
      <c r="K97">
        <f>IF(INDEX(tblCleanData[OverTime],89)="Yes",25,0)</f>
        <v>0</v>
      </c>
      <c r="L97">
        <f>(5-INDEX(tblCleanData[JobSatisfaction],89))*6.25</f>
        <v>6.25</v>
      </c>
      <c r="M97">
        <f>IF(INDEX(tblCleanData[YearsAtCompany],89)&lt;=2,25,IF(INDEX(tblCleanData[YearsAtCompany],89)&lt;=5,15,IF(INDEX(tblCleanData[YearsAtCompany],89)&lt;=10,8,3)))</f>
        <v>3</v>
      </c>
      <c r="N97">
        <f t="shared" si="2"/>
        <v>34</v>
      </c>
      <c r="O97" t="str">
        <f t="shared" si="3"/>
        <v>Low Risk</v>
      </c>
    </row>
    <row r="98" spans="1:15" x14ac:dyDescent="0.25">
      <c r="A98">
        <f>INDEX(tblCleanData[EmployeeNumber],90)</f>
        <v>118</v>
      </c>
      <c r="B98" t="str">
        <f>IF(INDEX(tblCleanData[Age],90)&lt;30,"Under 30",IF(INDEX(tblCleanData[Age],90)&lt;40,"30-39",IF(INDEX(tblCleanData[Age],90)&lt;50,"40-49","50+")))</f>
        <v>40-49</v>
      </c>
      <c r="C98" t="str">
        <f>IF(INDEX(tblCleanData[MonthlyIncome],90)&lt;=$B$3,"Low Income",IF(INDEX(tblCleanData[MonthlyIncome],90)&lt;=$B$4,"Medium Income","High Income"))</f>
        <v>High Income</v>
      </c>
      <c r="D98">
        <f>IF(INDEX(tblCleanData[Attrition],90)="Yes",1,0)</f>
        <v>1</v>
      </c>
      <c r="E98">
        <f>IF(INDEX(tblCleanData[OverTime],90)="Yes",1,0)</f>
        <v>0</v>
      </c>
      <c r="F98" t="str">
        <f>CHOOSE(INDEX(tblCleanData[Education],90),"Below College","College","Bachelor","Master","Doctor")</f>
        <v>College</v>
      </c>
      <c r="G98" t="str">
        <f>IF(INDEX(tblCleanData[YearsAtCompany],90)&lt;=2,"0-2 Years",IF(INDEX(tblCleanData[YearsAtCompany],90)&lt;=5,"3-5 Years",IF(INDEX(tblCleanData[YearsAtCompany],90)&lt;=10,"6-10 Years","10+ Years")))</f>
        <v>6-10 Years</v>
      </c>
      <c r="H98" t="str">
        <f>IF(INDEX(tblCleanData[WorkLifeBalance],90)&lt;=2,"Elevated","Normal")</f>
        <v>Normal</v>
      </c>
      <c r="I98">
        <f>IF(INDEX(tblCleanData[Age],90)&lt;30,30,IF(INDEX(tblCleanData[Age],90)&lt;40,20,IF(INDEX(tblCleanData[Age],90)&lt;50,10,15)))</f>
        <v>10</v>
      </c>
      <c r="J98">
        <f>IF(INDEX(tblCleanData[MonthlyIncome],90)&lt;=$B$3,25,IF(INDEX(tblCleanData[MonthlyIncome],90)&lt;=$B$4,12,5))</f>
        <v>5</v>
      </c>
      <c r="K98">
        <f>IF(INDEX(tblCleanData[OverTime],90)="Yes",25,0)</f>
        <v>0</v>
      </c>
      <c r="L98">
        <f>(5-INDEX(tblCleanData[JobSatisfaction],90))*6.25</f>
        <v>6.25</v>
      </c>
      <c r="M98">
        <f>IF(INDEX(tblCleanData[YearsAtCompany],90)&lt;=2,25,IF(INDEX(tblCleanData[YearsAtCompany],90)&lt;=5,15,IF(INDEX(tblCleanData[YearsAtCompany],90)&lt;=10,8,3)))</f>
        <v>8</v>
      </c>
      <c r="N98">
        <f t="shared" si="2"/>
        <v>29</v>
      </c>
      <c r="O98" t="str">
        <f t="shared" si="3"/>
        <v>Low Risk</v>
      </c>
    </row>
    <row r="99" spans="1:15" x14ac:dyDescent="0.25">
      <c r="A99">
        <f>INDEX(tblCleanData[EmployeeNumber],91)</f>
        <v>119</v>
      </c>
      <c r="B99" t="str">
        <f>IF(INDEX(tblCleanData[Age],91)&lt;30,"Under 30",IF(INDEX(tblCleanData[Age],91)&lt;40,"30-39",IF(INDEX(tblCleanData[Age],91)&lt;50,"40-49","50+")))</f>
        <v>40-49</v>
      </c>
      <c r="C99" t="str">
        <f>IF(INDEX(tblCleanData[MonthlyIncome],91)&lt;=$B$3,"Low Income",IF(INDEX(tblCleanData[MonthlyIncome],91)&lt;=$B$4,"Medium Income","High Income"))</f>
        <v>High Income</v>
      </c>
      <c r="D99">
        <f>IF(INDEX(tblCleanData[Attrition],91)="Yes",1,0)</f>
        <v>0</v>
      </c>
      <c r="E99">
        <f>IF(INDEX(tblCleanData[OverTime],91)="Yes",1,0)</f>
        <v>0</v>
      </c>
      <c r="F99" t="str">
        <f>CHOOSE(INDEX(tblCleanData[Education],91),"Below College","College","Bachelor","Master","Doctor")</f>
        <v>Master</v>
      </c>
      <c r="G99" t="str">
        <f>IF(INDEX(tblCleanData[YearsAtCompany],91)&lt;=2,"0-2 Years",IF(INDEX(tblCleanData[YearsAtCompany],91)&lt;=5,"3-5 Years",IF(INDEX(tblCleanData[YearsAtCompany],91)&lt;=10,"6-10 Years","10+ Years")))</f>
        <v>10+ Years</v>
      </c>
      <c r="H99" t="str">
        <f>IF(INDEX(tblCleanData[WorkLifeBalance],91)&lt;=2,"Elevated","Normal")</f>
        <v>Elevated</v>
      </c>
      <c r="I99">
        <f>IF(INDEX(tblCleanData[Age],91)&lt;30,30,IF(INDEX(tblCleanData[Age],91)&lt;40,20,IF(INDEX(tblCleanData[Age],91)&lt;50,10,15)))</f>
        <v>10</v>
      </c>
      <c r="J99">
        <f>IF(INDEX(tblCleanData[MonthlyIncome],91)&lt;=$B$3,25,IF(INDEX(tblCleanData[MonthlyIncome],91)&lt;=$B$4,12,5))</f>
        <v>5</v>
      </c>
      <c r="K99">
        <f>IF(INDEX(tblCleanData[OverTime],91)="Yes",25,0)</f>
        <v>0</v>
      </c>
      <c r="L99">
        <f>(5-INDEX(tblCleanData[JobSatisfaction],91))*6.25</f>
        <v>18.75</v>
      </c>
      <c r="M99">
        <f>IF(INDEX(tblCleanData[YearsAtCompany],91)&lt;=2,25,IF(INDEX(tblCleanData[YearsAtCompany],91)&lt;=5,15,IF(INDEX(tblCleanData[YearsAtCompany],91)&lt;=10,8,3)))</f>
        <v>3</v>
      </c>
      <c r="N99">
        <f t="shared" si="2"/>
        <v>37</v>
      </c>
      <c r="O99" t="str">
        <f t="shared" si="3"/>
        <v>Medium Risk</v>
      </c>
    </row>
    <row r="100" spans="1:15" x14ac:dyDescent="0.25">
      <c r="A100">
        <f>INDEX(tblCleanData[EmployeeNumber],92)</f>
        <v>120</v>
      </c>
      <c r="B100" t="str">
        <f>IF(INDEX(tblCleanData[Age],92)&lt;30,"Under 30",IF(INDEX(tblCleanData[Age],92)&lt;40,"30-39",IF(INDEX(tblCleanData[Age],92)&lt;50,"40-49","50+")))</f>
        <v>50+</v>
      </c>
      <c r="C100" t="str">
        <f>IF(INDEX(tblCleanData[MonthlyIncome],92)&lt;=$B$3,"Low Income",IF(INDEX(tblCleanData[MonthlyIncome],92)&lt;=$B$4,"Medium Income","High Income"))</f>
        <v>High Income</v>
      </c>
      <c r="D100">
        <f>IF(INDEX(tblCleanData[Attrition],92)="Yes",1,0)</f>
        <v>0</v>
      </c>
      <c r="E100">
        <f>IF(INDEX(tblCleanData[OverTime],92)="Yes",1,0)</f>
        <v>1</v>
      </c>
      <c r="F100" t="str">
        <f>CHOOSE(INDEX(tblCleanData[Education],92),"Below College","College","Bachelor","Master","Doctor")</f>
        <v>Master</v>
      </c>
      <c r="G100" t="str">
        <f>IF(INDEX(tblCleanData[YearsAtCompany],92)&lt;=2,"0-2 Years",IF(INDEX(tblCleanData[YearsAtCompany],92)&lt;=5,"3-5 Years",IF(INDEX(tblCleanData[YearsAtCompany],92)&lt;=10,"6-10 Years","10+ Years")))</f>
        <v>6-10 Years</v>
      </c>
      <c r="H100" t="str">
        <f>IF(INDEX(tblCleanData[WorkLifeBalance],92)&lt;=2,"Elevated","Normal")</f>
        <v>Elevated</v>
      </c>
      <c r="I100">
        <f>IF(INDEX(tblCleanData[Age],92)&lt;30,30,IF(INDEX(tblCleanData[Age],92)&lt;40,20,IF(INDEX(tblCleanData[Age],92)&lt;50,10,15)))</f>
        <v>15</v>
      </c>
      <c r="J100">
        <f>IF(INDEX(tblCleanData[MonthlyIncome],92)&lt;=$B$3,25,IF(INDEX(tblCleanData[MonthlyIncome],92)&lt;=$B$4,12,5))</f>
        <v>5</v>
      </c>
      <c r="K100">
        <f>IF(INDEX(tblCleanData[OverTime],92)="Yes",25,0)</f>
        <v>25</v>
      </c>
      <c r="L100">
        <f>(5-INDEX(tblCleanData[JobSatisfaction],92))*6.25</f>
        <v>6.25</v>
      </c>
      <c r="M100">
        <f>IF(INDEX(tblCleanData[YearsAtCompany],92)&lt;=2,25,IF(INDEX(tblCleanData[YearsAtCompany],92)&lt;=5,15,IF(INDEX(tblCleanData[YearsAtCompany],92)&lt;=10,8,3)))</f>
        <v>8</v>
      </c>
      <c r="N100">
        <f t="shared" si="2"/>
        <v>59</v>
      </c>
      <c r="O100" t="str">
        <f t="shared" si="3"/>
        <v>High Risk</v>
      </c>
    </row>
    <row r="101" spans="1:15" x14ac:dyDescent="0.25">
      <c r="A101">
        <f>INDEX(tblCleanData[EmployeeNumber],93)</f>
        <v>121</v>
      </c>
      <c r="B101" t="str">
        <f>IF(INDEX(tblCleanData[Age],93)&lt;30,"Under 30",IF(INDEX(tblCleanData[Age],93)&lt;40,"30-39",IF(INDEX(tblCleanData[Age],93)&lt;50,"40-49","50+")))</f>
        <v>30-39</v>
      </c>
      <c r="C101" t="str">
        <f>IF(INDEX(tblCleanData[MonthlyIncome],93)&lt;=$B$3,"Low Income",IF(INDEX(tblCleanData[MonthlyIncome],93)&lt;=$B$4,"Medium Income","High Income"))</f>
        <v>High Income</v>
      </c>
      <c r="D101">
        <f>IF(INDEX(tblCleanData[Attrition],93)="Yes",1,0)</f>
        <v>0</v>
      </c>
      <c r="E101">
        <f>IF(INDEX(tblCleanData[OverTime],93)="Yes",1,0)</f>
        <v>1</v>
      </c>
      <c r="F101" t="str">
        <f>CHOOSE(INDEX(tblCleanData[Education],93),"Below College","College","Bachelor","Master","Doctor")</f>
        <v>College</v>
      </c>
      <c r="G101" t="str">
        <f>IF(INDEX(tblCleanData[YearsAtCompany],93)&lt;=2,"0-2 Years",IF(INDEX(tblCleanData[YearsAtCompany],93)&lt;=5,"3-5 Years",IF(INDEX(tblCleanData[YearsAtCompany],93)&lt;=10,"6-10 Years","10+ Years")))</f>
        <v>10+ Years</v>
      </c>
      <c r="H101" t="str">
        <f>IF(INDEX(tblCleanData[WorkLifeBalance],93)&lt;=2,"Elevated","Normal")</f>
        <v>Elevated</v>
      </c>
      <c r="I101">
        <f>IF(INDEX(tblCleanData[Age],93)&lt;30,30,IF(INDEX(tblCleanData[Age],93)&lt;40,20,IF(INDEX(tblCleanData[Age],93)&lt;50,10,15)))</f>
        <v>20</v>
      </c>
      <c r="J101">
        <f>IF(INDEX(tblCleanData[MonthlyIncome],93)&lt;=$B$3,25,IF(INDEX(tblCleanData[MonthlyIncome],93)&lt;=$B$4,12,5))</f>
        <v>5</v>
      </c>
      <c r="K101">
        <f>IF(INDEX(tblCleanData[OverTime],93)="Yes",25,0)</f>
        <v>25</v>
      </c>
      <c r="L101">
        <f>(5-INDEX(tblCleanData[JobSatisfaction],93))*6.25</f>
        <v>18.75</v>
      </c>
      <c r="M101">
        <f>IF(INDEX(tblCleanData[YearsAtCompany],93)&lt;=2,25,IF(INDEX(tblCleanData[YearsAtCompany],93)&lt;=5,15,IF(INDEX(tblCleanData[YearsAtCompany],93)&lt;=10,8,3)))</f>
        <v>3</v>
      </c>
      <c r="N101">
        <f t="shared" si="2"/>
        <v>72</v>
      </c>
      <c r="O101" t="str">
        <f t="shared" si="3"/>
        <v>High Risk</v>
      </c>
    </row>
    <row r="102" spans="1:15" x14ac:dyDescent="0.25">
      <c r="A102">
        <f>INDEX(tblCleanData[EmployeeNumber],94)</f>
        <v>124</v>
      </c>
      <c r="B102" t="str">
        <f>IF(INDEX(tblCleanData[Age],94)&lt;30,"Under 30",IF(INDEX(tblCleanData[Age],94)&lt;40,"30-39",IF(INDEX(tblCleanData[Age],94)&lt;50,"40-49","50+")))</f>
        <v>40-49</v>
      </c>
      <c r="C102" t="str">
        <f>IF(INDEX(tblCleanData[MonthlyIncome],94)&lt;=$B$3,"Low Income",IF(INDEX(tblCleanData[MonthlyIncome],94)&lt;=$B$4,"Medium Income","High Income"))</f>
        <v>High Income</v>
      </c>
      <c r="D102">
        <f>IF(INDEX(tblCleanData[Attrition],94)="Yes",1,0)</f>
        <v>0</v>
      </c>
      <c r="E102">
        <f>IF(INDEX(tblCleanData[OverTime],94)="Yes",1,0)</f>
        <v>1</v>
      </c>
      <c r="F102" t="str">
        <f>CHOOSE(INDEX(tblCleanData[Education],94),"Below College","College","Bachelor","Master","Doctor")</f>
        <v>Bachelor</v>
      </c>
      <c r="G102" t="str">
        <f>IF(INDEX(tblCleanData[YearsAtCompany],94)&lt;=2,"0-2 Years",IF(INDEX(tblCleanData[YearsAtCompany],94)&lt;=5,"3-5 Years",IF(INDEX(tblCleanData[YearsAtCompany],94)&lt;=10,"6-10 Years","10+ Years")))</f>
        <v>6-10 Years</v>
      </c>
      <c r="H102" t="str">
        <f>IF(INDEX(tblCleanData[WorkLifeBalance],94)&lt;=2,"Elevated","Normal")</f>
        <v>Elevated</v>
      </c>
      <c r="I102">
        <f>IF(INDEX(tblCleanData[Age],94)&lt;30,30,IF(INDEX(tblCleanData[Age],94)&lt;40,20,IF(INDEX(tblCleanData[Age],94)&lt;50,10,15)))</f>
        <v>10</v>
      </c>
      <c r="J102">
        <f>IF(INDEX(tblCleanData[MonthlyIncome],94)&lt;=$B$3,25,IF(INDEX(tblCleanData[MonthlyIncome],94)&lt;=$B$4,12,5))</f>
        <v>5</v>
      </c>
      <c r="K102">
        <f>IF(INDEX(tblCleanData[OverTime],94)="Yes",25,0)</f>
        <v>25</v>
      </c>
      <c r="L102">
        <f>(5-INDEX(tblCleanData[JobSatisfaction],94))*6.25</f>
        <v>25</v>
      </c>
      <c r="M102">
        <f>IF(INDEX(tblCleanData[YearsAtCompany],94)&lt;=2,25,IF(INDEX(tblCleanData[YearsAtCompany],94)&lt;=5,15,IF(INDEX(tblCleanData[YearsAtCompany],94)&lt;=10,8,3)))</f>
        <v>8</v>
      </c>
      <c r="N102">
        <f t="shared" si="2"/>
        <v>73</v>
      </c>
      <c r="O102" t="str">
        <f t="shared" si="3"/>
        <v>High Risk</v>
      </c>
    </row>
    <row r="103" spans="1:15" x14ac:dyDescent="0.25">
      <c r="A103">
        <f>INDEX(tblCleanData[EmployeeNumber],95)</f>
        <v>125</v>
      </c>
      <c r="B103" t="str">
        <f>IF(INDEX(tblCleanData[Age],95)&lt;30,"Under 30",IF(INDEX(tblCleanData[Age],95)&lt;40,"30-39",IF(INDEX(tblCleanData[Age],95)&lt;50,"40-49","50+")))</f>
        <v>30-39</v>
      </c>
      <c r="C103" t="str">
        <f>IF(INDEX(tblCleanData[MonthlyIncome],95)&lt;=$B$3,"Low Income",IF(INDEX(tblCleanData[MonthlyIncome],95)&lt;=$B$4,"Medium Income","High Income"))</f>
        <v>High Income</v>
      </c>
      <c r="D103">
        <f>IF(INDEX(tblCleanData[Attrition],95)="Yes",1,0)</f>
        <v>0</v>
      </c>
      <c r="E103">
        <f>IF(INDEX(tblCleanData[OverTime],95)="Yes",1,0)</f>
        <v>0</v>
      </c>
      <c r="F103" t="str">
        <f>CHOOSE(INDEX(tblCleanData[Education],95),"Below College","College","Bachelor","Master","Doctor")</f>
        <v>Master</v>
      </c>
      <c r="G103" t="str">
        <f>IF(INDEX(tblCleanData[YearsAtCompany],95)&lt;=2,"0-2 Years",IF(INDEX(tblCleanData[YearsAtCompany],95)&lt;=5,"3-5 Years",IF(INDEX(tblCleanData[YearsAtCompany],95)&lt;=10,"6-10 Years","10+ Years")))</f>
        <v>10+ Years</v>
      </c>
      <c r="H103" t="str">
        <f>IF(INDEX(tblCleanData[WorkLifeBalance],95)&lt;=2,"Elevated","Normal")</f>
        <v>Normal</v>
      </c>
      <c r="I103">
        <f>IF(INDEX(tblCleanData[Age],95)&lt;30,30,IF(INDEX(tblCleanData[Age],95)&lt;40,20,IF(INDEX(tblCleanData[Age],95)&lt;50,10,15)))</f>
        <v>20</v>
      </c>
      <c r="J103">
        <f>IF(INDEX(tblCleanData[MonthlyIncome],95)&lt;=$B$3,25,IF(INDEX(tblCleanData[MonthlyIncome],95)&lt;=$B$4,12,5))</f>
        <v>5</v>
      </c>
      <c r="K103">
        <f>IF(INDEX(tblCleanData[OverTime],95)="Yes",25,0)</f>
        <v>0</v>
      </c>
      <c r="L103">
        <f>(5-INDEX(tblCleanData[JobSatisfaction],95))*6.25</f>
        <v>12.5</v>
      </c>
      <c r="M103">
        <f>IF(INDEX(tblCleanData[YearsAtCompany],95)&lt;=2,25,IF(INDEX(tblCleanData[YearsAtCompany],95)&lt;=5,15,IF(INDEX(tblCleanData[YearsAtCompany],95)&lt;=10,8,3)))</f>
        <v>3</v>
      </c>
      <c r="N103">
        <f t="shared" si="2"/>
        <v>41</v>
      </c>
      <c r="O103" t="str">
        <f t="shared" si="3"/>
        <v>Medium Risk</v>
      </c>
    </row>
    <row r="104" spans="1:15" x14ac:dyDescent="0.25">
      <c r="A104">
        <f>INDEX(tblCleanData[EmployeeNumber],96)</f>
        <v>126</v>
      </c>
      <c r="B104" t="str">
        <f>IF(INDEX(tblCleanData[Age],96)&lt;30,"Under 30",IF(INDEX(tblCleanData[Age],96)&lt;40,"30-39",IF(INDEX(tblCleanData[Age],96)&lt;50,"40-49","50+")))</f>
        <v>50+</v>
      </c>
      <c r="C104" t="str">
        <f>IF(INDEX(tblCleanData[MonthlyIncome],96)&lt;=$B$3,"Low Income",IF(INDEX(tblCleanData[MonthlyIncome],96)&lt;=$B$4,"Medium Income","High Income"))</f>
        <v>High Income</v>
      </c>
      <c r="D104">
        <f>IF(INDEX(tblCleanData[Attrition],96)="Yes",1,0)</f>
        <v>0</v>
      </c>
      <c r="E104">
        <f>IF(INDEX(tblCleanData[OverTime],96)="Yes",1,0)</f>
        <v>0</v>
      </c>
      <c r="F104" t="str">
        <f>CHOOSE(INDEX(tblCleanData[Education],96),"Below College","College","Bachelor","Master","Doctor")</f>
        <v>Master</v>
      </c>
      <c r="G104" t="str">
        <f>IF(INDEX(tblCleanData[YearsAtCompany],96)&lt;=2,"0-2 Years",IF(INDEX(tblCleanData[YearsAtCompany],96)&lt;=5,"3-5 Years",IF(INDEX(tblCleanData[YearsAtCompany],96)&lt;=10,"6-10 Years","10+ Years")))</f>
        <v>3-5 Years</v>
      </c>
      <c r="H104" t="str">
        <f>IF(INDEX(tblCleanData[WorkLifeBalance],96)&lt;=2,"Elevated","Normal")</f>
        <v>Elevated</v>
      </c>
      <c r="I104">
        <f>IF(INDEX(tblCleanData[Age],96)&lt;30,30,IF(INDEX(tblCleanData[Age],96)&lt;40,20,IF(INDEX(tblCleanData[Age],96)&lt;50,10,15)))</f>
        <v>15</v>
      </c>
      <c r="J104">
        <f>IF(INDEX(tblCleanData[MonthlyIncome],96)&lt;=$B$3,25,IF(INDEX(tblCleanData[MonthlyIncome],96)&lt;=$B$4,12,5))</f>
        <v>5</v>
      </c>
      <c r="K104">
        <f>IF(INDEX(tblCleanData[OverTime],96)="Yes",25,0)</f>
        <v>0</v>
      </c>
      <c r="L104">
        <f>(5-INDEX(tblCleanData[JobSatisfaction],96))*6.25</f>
        <v>12.5</v>
      </c>
      <c r="M104">
        <f>IF(INDEX(tblCleanData[YearsAtCompany],96)&lt;=2,25,IF(INDEX(tblCleanData[YearsAtCompany],96)&lt;=5,15,IF(INDEX(tblCleanData[YearsAtCompany],96)&lt;=10,8,3)))</f>
        <v>15</v>
      </c>
      <c r="N104">
        <f t="shared" si="2"/>
        <v>48</v>
      </c>
      <c r="O104" t="str">
        <f t="shared" si="3"/>
        <v>Medium Risk</v>
      </c>
    </row>
    <row r="105" spans="1:15" x14ac:dyDescent="0.25">
      <c r="A105">
        <f>INDEX(tblCleanData[EmployeeNumber],97)</f>
        <v>128</v>
      </c>
      <c r="B105" t="str">
        <f>IF(INDEX(tblCleanData[Age],97)&lt;30,"Under 30",IF(INDEX(tblCleanData[Age],97)&lt;40,"30-39",IF(INDEX(tblCleanData[Age],97)&lt;50,"40-49","50+")))</f>
        <v>Under 30</v>
      </c>
      <c r="C105" t="str">
        <f>IF(INDEX(tblCleanData[MonthlyIncome],97)&lt;=$B$3,"Low Income",IF(INDEX(tblCleanData[MonthlyIncome],97)&lt;=$B$4,"Medium Income","High Income"))</f>
        <v>High Income</v>
      </c>
      <c r="D105">
        <f>IF(INDEX(tblCleanData[Attrition],97)="Yes",1,0)</f>
        <v>0</v>
      </c>
      <c r="E105">
        <f>IF(INDEX(tblCleanData[OverTime],97)="Yes",1,0)</f>
        <v>0</v>
      </c>
      <c r="F105" t="str">
        <f>CHOOSE(INDEX(tblCleanData[Education],97),"Below College","College","Bachelor","Master","Doctor")</f>
        <v>College</v>
      </c>
      <c r="G105" t="str">
        <f>IF(INDEX(tblCleanData[YearsAtCompany],97)&lt;=2,"0-2 Years",IF(INDEX(tblCleanData[YearsAtCompany],97)&lt;=5,"3-5 Years",IF(INDEX(tblCleanData[YearsAtCompany],97)&lt;=10,"6-10 Years","10+ Years")))</f>
        <v>3-5 Years</v>
      </c>
      <c r="H105" t="str">
        <f>IF(INDEX(tblCleanData[WorkLifeBalance],97)&lt;=2,"Elevated","Normal")</f>
        <v>Elevated</v>
      </c>
      <c r="I105">
        <f>IF(INDEX(tblCleanData[Age],97)&lt;30,30,IF(INDEX(tblCleanData[Age],97)&lt;40,20,IF(INDEX(tblCleanData[Age],97)&lt;50,10,15)))</f>
        <v>30</v>
      </c>
      <c r="J105">
        <f>IF(INDEX(tblCleanData[MonthlyIncome],97)&lt;=$B$3,25,IF(INDEX(tblCleanData[MonthlyIncome],97)&lt;=$B$4,12,5))</f>
        <v>5</v>
      </c>
      <c r="K105">
        <f>IF(INDEX(tblCleanData[OverTime],97)="Yes",25,0)</f>
        <v>0</v>
      </c>
      <c r="L105">
        <f>(5-INDEX(tblCleanData[JobSatisfaction],97))*6.25</f>
        <v>12.5</v>
      </c>
      <c r="M105">
        <f>IF(INDEX(tblCleanData[YearsAtCompany],97)&lt;=2,25,IF(INDEX(tblCleanData[YearsAtCompany],97)&lt;=5,15,IF(INDEX(tblCleanData[YearsAtCompany],97)&lt;=10,8,3)))</f>
        <v>15</v>
      </c>
      <c r="N105">
        <f t="shared" si="2"/>
        <v>63</v>
      </c>
      <c r="O105" t="str">
        <f t="shared" si="3"/>
        <v>High Risk</v>
      </c>
    </row>
    <row r="106" spans="1:15" x14ac:dyDescent="0.25">
      <c r="A106">
        <f>INDEX(tblCleanData[EmployeeNumber],98)</f>
        <v>129</v>
      </c>
      <c r="B106" t="str">
        <f>IF(INDEX(tblCleanData[Age],98)&lt;30,"Under 30",IF(INDEX(tblCleanData[Age],98)&lt;40,"30-39",IF(INDEX(tblCleanData[Age],98)&lt;50,"40-49","50+")))</f>
        <v>Under 30</v>
      </c>
      <c r="C106" t="str">
        <f>IF(INDEX(tblCleanData[MonthlyIncome],98)&lt;=$B$3,"Low Income",IF(INDEX(tblCleanData[MonthlyIncome],98)&lt;=$B$4,"Medium Income","High Income"))</f>
        <v>High Income</v>
      </c>
      <c r="D106">
        <f>IF(INDEX(tblCleanData[Attrition],98)="Yes",1,0)</f>
        <v>0</v>
      </c>
      <c r="E106">
        <f>IF(INDEX(tblCleanData[OverTime],98)="Yes",1,0)</f>
        <v>0</v>
      </c>
      <c r="F106" t="str">
        <f>CHOOSE(INDEX(tblCleanData[Education],98),"Below College","College","Bachelor","Master","Doctor")</f>
        <v>Bachelor</v>
      </c>
      <c r="G106" t="str">
        <f>IF(INDEX(tblCleanData[YearsAtCompany],98)&lt;=2,"0-2 Years",IF(INDEX(tblCleanData[YearsAtCompany],98)&lt;=5,"3-5 Years",IF(INDEX(tblCleanData[YearsAtCompany],98)&lt;=10,"6-10 Years","10+ Years")))</f>
        <v>3-5 Years</v>
      </c>
      <c r="H106" t="str">
        <f>IF(INDEX(tblCleanData[WorkLifeBalance],98)&lt;=2,"Elevated","Normal")</f>
        <v>Normal</v>
      </c>
      <c r="I106">
        <f>IF(INDEX(tblCleanData[Age],98)&lt;30,30,IF(INDEX(tblCleanData[Age],98)&lt;40,20,IF(INDEX(tblCleanData[Age],98)&lt;50,10,15)))</f>
        <v>30</v>
      </c>
      <c r="J106">
        <f>IF(INDEX(tblCleanData[MonthlyIncome],98)&lt;=$B$3,25,IF(INDEX(tblCleanData[MonthlyIncome],98)&lt;=$B$4,12,5))</f>
        <v>5</v>
      </c>
      <c r="K106">
        <f>IF(INDEX(tblCleanData[OverTime],98)="Yes",25,0)</f>
        <v>0</v>
      </c>
      <c r="L106">
        <f>(5-INDEX(tblCleanData[JobSatisfaction],98))*6.25</f>
        <v>12.5</v>
      </c>
      <c r="M106">
        <f>IF(INDEX(tblCleanData[YearsAtCompany],98)&lt;=2,25,IF(INDEX(tblCleanData[YearsAtCompany],98)&lt;=5,15,IF(INDEX(tblCleanData[YearsAtCompany],98)&lt;=10,8,3)))</f>
        <v>15</v>
      </c>
      <c r="N106">
        <f t="shared" si="2"/>
        <v>63</v>
      </c>
      <c r="O106" t="str">
        <f t="shared" si="3"/>
        <v>High Risk</v>
      </c>
    </row>
    <row r="107" spans="1:15" x14ac:dyDescent="0.25">
      <c r="A107">
        <f>INDEX(tblCleanData[EmployeeNumber],99)</f>
        <v>131</v>
      </c>
      <c r="B107" t="str">
        <f>IF(INDEX(tblCleanData[Age],99)&lt;30,"Under 30",IF(INDEX(tblCleanData[Age],99)&lt;40,"30-39",IF(INDEX(tblCleanData[Age],99)&lt;50,"40-49","50+")))</f>
        <v>50+</v>
      </c>
      <c r="C107" t="str">
        <f>IF(INDEX(tblCleanData[MonthlyIncome],99)&lt;=$B$3,"Low Income",IF(INDEX(tblCleanData[MonthlyIncome],99)&lt;=$B$4,"Medium Income","High Income"))</f>
        <v>High Income</v>
      </c>
      <c r="D107">
        <f>IF(INDEX(tblCleanData[Attrition],99)="Yes",1,0)</f>
        <v>0</v>
      </c>
      <c r="E107">
        <f>IF(INDEX(tblCleanData[OverTime],99)="Yes",1,0)</f>
        <v>0</v>
      </c>
      <c r="F107" t="str">
        <f>CHOOSE(INDEX(tblCleanData[Education],99),"Below College","College","Bachelor","Master","Doctor")</f>
        <v>Master</v>
      </c>
      <c r="G107" t="str">
        <f>IF(INDEX(tblCleanData[YearsAtCompany],99)&lt;=2,"0-2 Years",IF(INDEX(tblCleanData[YearsAtCompany],99)&lt;=5,"3-5 Years",IF(INDEX(tblCleanData[YearsAtCompany],99)&lt;=10,"6-10 Years","10+ Years")))</f>
        <v>10+ Years</v>
      </c>
      <c r="H107" t="str">
        <f>IF(INDEX(tblCleanData[WorkLifeBalance],99)&lt;=2,"Elevated","Normal")</f>
        <v>Elevated</v>
      </c>
      <c r="I107">
        <f>IF(INDEX(tblCleanData[Age],99)&lt;30,30,IF(INDEX(tblCleanData[Age],99)&lt;40,20,IF(INDEX(tblCleanData[Age],99)&lt;50,10,15)))</f>
        <v>15</v>
      </c>
      <c r="J107">
        <f>IF(INDEX(tblCleanData[MonthlyIncome],99)&lt;=$B$3,25,IF(INDEX(tblCleanData[MonthlyIncome],99)&lt;=$B$4,12,5))</f>
        <v>5</v>
      </c>
      <c r="K107">
        <f>IF(INDEX(tblCleanData[OverTime],99)="Yes",25,0)</f>
        <v>0</v>
      </c>
      <c r="L107">
        <f>(5-INDEX(tblCleanData[JobSatisfaction],99))*6.25</f>
        <v>12.5</v>
      </c>
      <c r="M107">
        <f>IF(INDEX(tblCleanData[YearsAtCompany],99)&lt;=2,25,IF(INDEX(tblCleanData[YearsAtCompany],99)&lt;=5,15,IF(INDEX(tblCleanData[YearsAtCompany],99)&lt;=10,8,3)))</f>
        <v>3</v>
      </c>
      <c r="N107">
        <f t="shared" si="2"/>
        <v>36</v>
      </c>
      <c r="O107" t="str">
        <f t="shared" si="3"/>
        <v>Medium Risk</v>
      </c>
    </row>
    <row r="108" spans="1:15" x14ac:dyDescent="0.25">
      <c r="A108">
        <f>INDEX(tblCleanData[EmployeeNumber],100)</f>
        <v>132</v>
      </c>
      <c r="B108" t="str">
        <f>IF(INDEX(tblCleanData[Age],100)&lt;30,"Under 30",IF(INDEX(tblCleanData[Age],100)&lt;40,"30-39",IF(INDEX(tblCleanData[Age],100)&lt;50,"40-49","50+")))</f>
        <v>40-49</v>
      </c>
      <c r="C108" t="str">
        <f>IF(INDEX(tblCleanData[MonthlyIncome],100)&lt;=$B$3,"Low Income",IF(INDEX(tblCleanData[MonthlyIncome],100)&lt;=$B$4,"Medium Income","High Income"))</f>
        <v>High Income</v>
      </c>
      <c r="D108">
        <f>IF(INDEX(tblCleanData[Attrition],100)="Yes",1,0)</f>
        <v>0</v>
      </c>
      <c r="E108">
        <f>IF(INDEX(tblCleanData[OverTime],100)="Yes",1,0)</f>
        <v>0</v>
      </c>
      <c r="F108" t="str">
        <f>CHOOSE(INDEX(tblCleanData[Education],100),"Below College","College","Bachelor","Master","Doctor")</f>
        <v>Bachelor</v>
      </c>
      <c r="G108" t="str">
        <f>IF(INDEX(tblCleanData[YearsAtCompany],100)&lt;=2,"0-2 Years",IF(INDEX(tblCleanData[YearsAtCompany],100)&lt;=5,"3-5 Years",IF(INDEX(tblCleanData[YearsAtCompany],100)&lt;=10,"6-10 Years","10+ Years")))</f>
        <v>3-5 Years</v>
      </c>
      <c r="H108" t="str">
        <f>IF(INDEX(tblCleanData[WorkLifeBalance],100)&lt;=2,"Elevated","Normal")</f>
        <v>Normal</v>
      </c>
      <c r="I108">
        <f>IF(INDEX(tblCleanData[Age],100)&lt;30,30,IF(INDEX(tblCleanData[Age],100)&lt;40,20,IF(INDEX(tblCleanData[Age],100)&lt;50,10,15)))</f>
        <v>10</v>
      </c>
      <c r="J108">
        <f>IF(INDEX(tblCleanData[MonthlyIncome],100)&lt;=$B$3,25,IF(INDEX(tblCleanData[MonthlyIncome],100)&lt;=$B$4,12,5))</f>
        <v>5</v>
      </c>
      <c r="K108">
        <f>IF(INDEX(tblCleanData[OverTime],100)="Yes",25,0)</f>
        <v>0</v>
      </c>
      <c r="L108">
        <f>(5-INDEX(tblCleanData[JobSatisfaction],100))*6.25</f>
        <v>18.75</v>
      </c>
      <c r="M108">
        <f>IF(INDEX(tblCleanData[YearsAtCompany],100)&lt;=2,25,IF(INDEX(tblCleanData[YearsAtCompany],100)&lt;=5,15,IF(INDEX(tblCleanData[YearsAtCompany],100)&lt;=10,8,3)))</f>
        <v>15</v>
      </c>
      <c r="N108">
        <f t="shared" si="2"/>
        <v>49</v>
      </c>
      <c r="O108" t="str">
        <f t="shared" si="3"/>
        <v>Medium Risk</v>
      </c>
    </row>
    <row r="109" spans="1:15" x14ac:dyDescent="0.25">
      <c r="A109">
        <f>INDEX(tblCleanData[EmployeeNumber],101)</f>
        <v>133</v>
      </c>
      <c r="B109" t="str">
        <f>IF(INDEX(tblCleanData[Age],101)&lt;30,"Under 30",IF(INDEX(tblCleanData[Age],101)&lt;40,"30-39",IF(INDEX(tblCleanData[Age],101)&lt;50,"40-49","50+")))</f>
        <v>30-39</v>
      </c>
      <c r="C109" t="str">
        <f>IF(INDEX(tblCleanData[MonthlyIncome],101)&lt;=$B$3,"Low Income",IF(INDEX(tblCleanData[MonthlyIncome],101)&lt;=$B$4,"Medium Income","High Income"))</f>
        <v>High Income</v>
      </c>
      <c r="D109">
        <f>IF(INDEX(tblCleanData[Attrition],101)="Yes",1,0)</f>
        <v>1</v>
      </c>
      <c r="E109">
        <f>IF(INDEX(tblCleanData[OverTime],101)="Yes",1,0)</f>
        <v>1</v>
      </c>
      <c r="F109" t="str">
        <f>CHOOSE(INDEX(tblCleanData[Education],101),"Below College","College","Bachelor","Master","Doctor")</f>
        <v>Master</v>
      </c>
      <c r="G109" t="str">
        <f>IF(INDEX(tblCleanData[YearsAtCompany],101)&lt;=2,"0-2 Years",IF(INDEX(tblCleanData[YearsAtCompany],101)&lt;=5,"3-5 Years",IF(INDEX(tblCleanData[YearsAtCompany],101)&lt;=10,"6-10 Years","10+ Years")))</f>
        <v>3-5 Years</v>
      </c>
      <c r="H109" t="str">
        <f>IF(INDEX(tblCleanData[WorkLifeBalance],101)&lt;=2,"Elevated","Normal")</f>
        <v>Normal</v>
      </c>
      <c r="I109">
        <f>IF(INDEX(tblCleanData[Age],101)&lt;30,30,IF(INDEX(tblCleanData[Age],101)&lt;40,20,IF(INDEX(tblCleanData[Age],101)&lt;50,10,15)))</f>
        <v>20</v>
      </c>
      <c r="J109">
        <f>IF(INDEX(tblCleanData[MonthlyIncome],101)&lt;=$B$3,25,IF(INDEX(tblCleanData[MonthlyIncome],101)&lt;=$B$4,12,5))</f>
        <v>5</v>
      </c>
      <c r="K109">
        <f>IF(INDEX(tblCleanData[OverTime],101)="Yes",25,0)</f>
        <v>25</v>
      </c>
      <c r="L109">
        <f>(5-INDEX(tblCleanData[JobSatisfaction],101))*6.25</f>
        <v>25</v>
      </c>
      <c r="M109">
        <f>IF(INDEX(tblCleanData[YearsAtCompany],101)&lt;=2,25,IF(INDEX(tblCleanData[YearsAtCompany],101)&lt;=5,15,IF(INDEX(tblCleanData[YearsAtCompany],101)&lt;=10,8,3)))</f>
        <v>15</v>
      </c>
      <c r="N109">
        <f t="shared" si="2"/>
        <v>90</v>
      </c>
      <c r="O109" t="str">
        <f t="shared" si="3"/>
        <v>High Risk</v>
      </c>
    </row>
    <row r="110" spans="1:15" x14ac:dyDescent="0.25">
      <c r="A110">
        <f>INDEX(tblCleanData[EmployeeNumber],102)</f>
        <v>134</v>
      </c>
      <c r="B110" t="str">
        <f>IF(INDEX(tblCleanData[Age],102)&lt;30,"Under 30",IF(INDEX(tblCleanData[Age],102)&lt;40,"30-39",IF(INDEX(tblCleanData[Age],102)&lt;50,"40-49","50+")))</f>
        <v>30-39</v>
      </c>
      <c r="C110" t="str">
        <f>IF(INDEX(tblCleanData[MonthlyIncome],102)&lt;=$B$3,"Low Income",IF(INDEX(tblCleanData[MonthlyIncome],102)&lt;=$B$4,"Medium Income","High Income"))</f>
        <v>High Income</v>
      </c>
      <c r="D110">
        <f>IF(INDEX(tblCleanData[Attrition],102)="Yes",1,0)</f>
        <v>0</v>
      </c>
      <c r="E110">
        <f>IF(INDEX(tblCleanData[OverTime],102)="Yes",1,0)</f>
        <v>0</v>
      </c>
      <c r="F110" t="str">
        <f>CHOOSE(INDEX(tblCleanData[Education],102),"Below College","College","Bachelor","Master","Doctor")</f>
        <v>Below College</v>
      </c>
      <c r="G110" t="str">
        <f>IF(INDEX(tblCleanData[YearsAtCompany],102)&lt;=2,"0-2 Years",IF(INDEX(tblCleanData[YearsAtCompany],102)&lt;=5,"3-5 Years",IF(INDEX(tblCleanData[YearsAtCompany],102)&lt;=10,"6-10 Years","10+ Years")))</f>
        <v>0-2 Years</v>
      </c>
      <c r="H110" t="str">
        <f>IF(INDEX(tblCleanData[WorkLifeBalance],102)&lt;=2,"Elevated","Normal")</f>
        <v>Normal</v>
      </c>
      <c r="I110">
        <f>IF(INDEX(tblCleanData[Age],102)&lt;30,30,IF(INDEX(tblCleanData[Age],102)&lt;40,20,IF(INDEX(tblCleanData[Age],102)&lt;50,10,15)))</f>
        <v>20</v>
      </c>
      <c r="J110">
        <f>IF(INDEX(tblCleanData[MonthlyIncome],102)&lt;=$B$3,25,IF(INDEX(tblCleanData[MonthlyIncome],102)&lt;=$B$4,12,5))</f>
        <v>5</v>
      </c>
      <c r="K110">
        <f>IF(INDEX(tblCleanData[OverTime],102)="Yes",25,0)</f>
        <v>0</v>
      </c>
      <c r="L110">
        <f>(5-INDEX(tblCleanData[JobSatisfaction],102))*6.25</f>
        <v>25</v>
      </c>
      <c r="M110">
        <f>IF(INDEX(tblCleanData[YearsAtCompany],102)&lt;=2,25,IF(INDEX(tblCleanData[YearsAtCompany],102)&lt;=5,15,IF(INDEX(tblCleanData[YearsAtCompany],102)&lt;=10,8,3)))</f>
        <v>25</v>
      </c>
      <c r="N110">
        <f t="shared" si="2"/>
        <v>75</v>
      </c>
      <c r="O110" t="str">
        <f t="shared" si="3"/>
        <v>High Risk</v>
      </c>
    </row>
    <row r="111" spans="1:15" x14ac:dyDescent="0.25">
      <c r="A111">
        <f>INDEX(tblCleanData[EmployeeNumber],103)</f>
        <v>137</v>
      </c>
      <c r="B111" t="str">
        <f>IF(INDEX(tblCleanData[Age],103)&lt;30,"Under 30",IF(INDEX(tblCleanData[Age],103)&lt;40,"30-39",IF(INDEX(tblCleanData[Age],103)&lt;50,"40-49","50+")))</f>
        <v>Under 30</v>
      </c>
      <c r="C111" t="str">
        <f>IF(INDEX(tblCleanData[MonthlyIncome],103)&lt;=$B$3,"Low Income",IF(INDEX(tblCleanData[MonthlyIncome],103)&lt;=$B$4,"Medium Income","High Income"))</f>
        <v>High Income</v>
      </c>
      <c r="D111">
        <f>IF(INDEX(tblCleanData[Attrition],103)="Yes",1,0)</f>
        <v>1</v>
      </c>
      <c r="E111">
        <f>IF(INDEX(tblCleanData[OverTime],103)="Yes",1,0)</f>
        <v>1</v>
      </c>
      <c r="F111" t="str">
        <f>CHOOSE(INDEX(tblCleanData[Education],103),"Below College","College","Bachelor","Master","Doctor")</f>
        <v>Bachelor</v>
      </c>
      <c r="G111" t="str">
        <f>IF(INDEX(tblCleanData[YearsAtCompany],103)&lt;=2,"0-2 Years",IF(INDEX(tblCleanData[YearsAtCompany],103)&lt;=5,"3-5 Years",IF(INDEX(tblCleanData[YearsAtCompany],103)&lt;=10,"6-10 Years","10+ Years")))</f>
        <v>0-2 Years</v>
      </c>
      <c r="H111" t="str">
        <f>IF(INDEX(tblCleanData[WorkLifeBalance],103)&lt;=2,"Elevated","Normal")</f>
        <v>Normal</v>
      </c>
      <c r="I111">
        <f>IF(INDEX(tblCleanData[Age],103)&lt;30,30,IF(INDEX(tblCleanData[Age],103)&lt;40,20,IF(INDEX(tblCleanData[Age],103)&lt;50,10,15)))</f>
        <v>30</v>
      </c>
      <c r="J111">
        <f>IF(INDEX(tblCleanData[MonthlyIncome],103)&lt;=$B$3,25,IF(INDEX(tblCleanData[MonthlyIncome],103)&lt;=$B$4,12,5))</f>
        <v>5</v>
      </c>
      <c r="K111">
        <f>IF(INDEX(tblCleanData[OverTime],103)="Yes",25,0)</f>
        <v>25</v>
      </c>
      <c r="L111">
        <f>(5-INDEX(tblCleanData[JobSatisfaction],103))*6.25</f>
        <v>6.25</v>
      </c>
      <c r="M111">
        <f>IF(INDEX(tblCleanData[YearsAtCompany],103)&lt;=2,25,IF(INDEX(tblCleanData[YearsAtCompany],103)&lt;=5,15,IF(INDEX(tblCleanData[YearsAtCompany],103)&lt;=10,8,3)))</f>
        <v>25</v>
      </c>
      <c r="N111">
        <f t="shared" si="2"/>
        <v>91</v>
      </c>
      <c r="O111" t="str">
        <f t="shared" si="3"/>
        <v>High Risk</v>
      </c>
    </row>
    <row r="112" spans="1:15" x14ac:dyDescent="0.25">
      <c r="A112">
        <f>INDEX(tblCleanData[EmployeeNumber],104)</f>
        <v>138</v>
      </c>
      <c r="B112" t="str">
        <f>IF(INDEX(tblCleanData[Age],104)&lt;30,"Under 30",IF(INDEX(tblCleanData[Age],104)&lt;40,"30-39",IF(INDEX(tblCleanData[Age],104)&lt;50,"40-49","50+")))</f>
        <v>30-39</v>
      </c>
      <c r="C112" t="str">
        <f>IF(INDEX(tblCleanData[MonthlyIncome],104)&lt;=$B$3,"Low Income",IF(INDEX(tblCleanData[MonthlyIncome],104)&lt;=$B$4,"Medium Income","High Income"))</f>
        <v>High Income</v>
      </c>
      <c r="D112">
        <f>IF(INDEX(tblCleanData[Attrition],104)="Yes",1,0)</f>
        <v>0</v>
      </c>
      <c r="E112">
        <f>IF(INDEX(tblCleanData[OverTime],104)="Yes",1,0)</f>
        <v>0</v>
      </c>
      <c r="F112" t="str">
        <f>CHOOSE(INDEX(tblCleanData[Education],104),"Below College","College","Bachelor","Master","Doctor")</f>
        <v>Master</v>
      </c>
      <c r="G112" t="str">
        <f>IF(INDEX(tblCleanData[YearsAtCompany],104)&lt;=2,"0-2 Years",IF(INDEX(tblCleanData[YearsAtCompany],104)&lt;=5,"3-5 Years",IF(INDEX(tblCleanData[YearsAtCompany],104)&lt;=10,"6-10 Years","10+ Years")))</f>
        <v>10+ Years</v>
      </c>
      <c r="H112" t="str">
        <f>IF(INDEX(tblCleanData[WorkLifeBalance],104)&lt;=2,"Elevated","Normal")</f>
        <v>Normal</v>
      </c>
      <c r="I112">
        <f>IF(INDEX(tblCleanData[Age],104)&lt;30,30,IF(INDEX(tblCleanData[Age],104)&lt;40,20,IF(INDEX(tblCleanData[Age],104)&lt;50,10,15)))</f>
        <v>20</v>
      </c>
      <c r="J112">
        <f>IF(INDEX(tblCleanData[MonthlyIncome],104)&lt;=$B$3,25,IF(INDEX(tblCleanData[MonthlyIncome],104)&lt;=$B$4,12,5))</f>
        <v>5</v>
      </c>
      <c r="K112">
        <f>IF(INDEX(tblCleanData[OverTime],104)="Yes",25,0)</f>
        <v>0</v>
      </c>
      <c r="L112">
        <f>(5-INDEX(tblCleanData[JobSatisfaction],104))*6.25</f>
        <v>12.5</v>
      </c>
      <c r="M112">
        <f>IF(INDEX(tblCleanData[YearsAtCompany],104)&lt;=2,25,IF(INDEX(tblCleanData[YearsAtCompany],104)&lt;=5,15,IF(INDEX(tblCleanData[YearsAtCompany],104)&lt;=10,8,3)))</f>
        <v>3</v>
      </c>
      <c r="N112">
        <f t="shared" si="2"/>
        <v>41</v>
      </c>
      <c r="O112" t="str">
        <f t="shared" si="3"/>
        <v>Medium Risk</v>
      </c>
    </row>
    <row r="113" spans="1:15" x14ac:dyDescent="0.25">
      <c r="A113">
        <f>INDEX(tblCleanData[EmployeeNumber],105)</f>
        <v>139</v>
      </c>
      <c r="B113" t="str">
        <f>IF(INDEX(tblCleanData[Age],105)&lt;30,"Under 30",IF(INDEX(tblCleanData[Age],105)&lt;40,"30-39",IF(INDEX(tblCleanData[Age],105)&lt;50,"40-49","50+")))</f>
        <v>30-39</v>
      </c>
      <c r="C113" t="str">
        <f>IF(INDEX(tblCleanData[MonthlyIncome],105)&lt;=$B$3,"Low Income",IF(INDEX(tblCleanData[MonthlyIncome],105)&lt;=$B$4,"Medium Income","High Income"))</f>
        <v>High Income</v>
      </c>
      <c r="D113">
        <f>IF(INDEX(tblCleanData[Attrition],105)="Yes",1,0)</f>
        <v>0</v>
      </c>
      <c r="E113">
        <f>IF(INDEX(tblCleanData[OverTime],105)="Yes",1,0)</f>
        <v>0</v>
      </c>
      <c r="F113" t="str">
        <f>CHOOSE(INDEX(tblCleanData[Education],105),"Below College","College","Bachelor","Master","Doctor")</f>
        <v>College</v>
      </c>
      <c r="G113" t="str">
        <f>IF(INDEX(tblCleanData[YearsAtCompany],105)&lt;=2,"0-2 Years",IF(INDEX(tblCleanData[YearsAtCompany],105)&lt;=5,"3-5 Years",IF(INDEX(tblCleanData[YearsAtCompany],105)&lt;=10,"6-10 Years","10+ Years")))</f>
        <v>0-2 Years</v>
      </c>
      <c r="H113" t="str">
        <f>IF(INDEX(tblCleanData[WorkLifeBalance],105)&lt;=2,"Elevated","Normal")</f>
        <v>Normal</v>
      </c>
      <c r="I113">
        <f>IF(INDEX(tblCleanData[Age],105)&lt;30,30,IF(INDEX(tblCleanData[Age],105)&lt;40,20,IF(INDEX(tblCleanData[Age],105)&lt;50,10,15)))</f>
        <v>20</v>
      </c>
      <c r="J113">
        <f>IF(INDEX(tblCleanData[MonthlyIncome],105)&lt;=$B$3,25,IF(INDEX(tblCleanData[MonthlyIncome],105)&lt;=$B$4,12,5))</f>
        <v>5</v>
      </c>
      <c r="K113">
        <f>IF(INDEX(tblCleanData[OverTime],105)="Yes",25,0)</f>
        <v>0</v>
      </c>
      <c r="L113">
        <f>(5-INDEX(tblCleanData[JobSatisfaction],105))*6.25</f>
        <v>6.25</v>
      </c>
      <c r="M113">
        <f>IF(INDEX(tblCleanData[YearsAtCompany],105)&lt;=2,25,IF(INDEX(tblCleanData[YearsAtCompany],105)&lt;=5,15,IF(INDEX(tblCleanData[YearsAtCompany],105)&lt;=10,8,3)))</f>
        <v>25</v>
      </c>
      <c r="N113">
        <f t="shared" si="2"/>
        <v>56</v>
      </c>
      <c r="O113" t="str">
        <f t="shared" si="3"/>
        <v>High Risk</v>
      </c>
    </row>
    <row r="114" spans="1:15" x14ac:dyDescent="0.25">
      <c r="A114">
        <f>INDEX(tblCleanData[EmployeeNumber],106)</f>
        <v>140</v>
      </c>
      <c r="B114" t="str">
        <f>IF(INDEX(tblCleanData[Age],106)&lt;30,"Under 30",IF(INDEX(tblCleanData[Age],106)&lt;40,"30-39",IF(INDEX(tblCleanData[Age],106)&lt;50,"40-49","50+")))</f>
        <v>50+</v>
      </c>
      <c r="C114" t="str">
        <f>IF(INDEX(tblCleanData[MonthlyIncome],106)&lt;=$B$3,"Low Income",IF(INDEX(tblCleanData[MonthlyIncome],106)&lt;=$B$4,"Medium Income","High Income"))</f>
        <v>High Income</v>
      </c>
      <c r="D114">
        <f>IF(INDEX(tblCleanData[Attrition],106)="Yes",1,0)</f>
        <v>0</v>
      </c>
      <c r="E114">
        <f>IF(INDEX(tblCleanData[OverTime],106)="Yes",1,0)</f>
        <v>0</v>
      </c>
      <c r="F114" t="str">
        <f>CHOOSE(INDEX(tblCleanData[Education],106),"Below College","College","Bachelor","Master","Doctor")</f>
        <v>Master</v>
      </c>
      <c r="G114" t="str">
        <f>IF(INDEX(tblCleanData[YearsAtCompany],106)&lt;=2,"0-2 Years",IF(INDEX(tblCleanData[YearsAtCompany],106)&lt;=5,"3-5 Years",IF(INDEX(tblCleanData[YearsAtCompany],106)&lt;=10,"6-10 Years","10+ Years")))</f>
        <v>3-5 Years</v>
      </c>
      <c r="H114" t="str">
        <f>IF(INDEX(tblCleanData[WorkLifeBalance],106)&lt;=2,"Elevated","Normal")</f>
        <v>Normal</v>
      </c>
      <c r="I114">
        <f>IF(INDEX(tblCleanData[Age],106)&lt;30,30,IF(INDEX(tblCleanData[Age],106)&lt;40,20,IF(INDEX(tblCleanData[Age],106)&lt;50,10,15)))</f>
        <v>15</v>
      </c>
      <c r="J114">
        <f>IF(INDEX(tblCleanData[MonthlyIncome],106)&lt;=$B$3,25,IF(INDEX(tblCleanData[MonthlyIncome],106)&lt;=$B$4,12,5))</f>
        <v>5</v>
      </c>
      <c r="K114">
        <f>IF(INDEX(tblCleanData[OverTime],106)="Yes",25,0)</f>
        <v>0</v>
      </c>
      <c r="L114">
        <f>(5-INDEX(tblCleanData[JobSatisfaction],106))*6.25</f>
        <v>6.25</v>
      </c>
      <c r="M114">
        <f>IF(INDEX(tblCleanData[YearsAtCompany],106)&lt;=2,25,IF(INDEX(tblCleanData[YearsAtCompany],106)&lt;=5,15,IF(INDEX(tblCleanData[YearsAtCompany],106)&lt;=10,8,3)))</f>
        <v>15</v>
      </c>
      <c r="N114">
        <f t="shared" si="2"/>
        <v>41</v>
      </c>
      <c r="O114" t="str">
        <f t="shared" si="3"/>
        <v>Medium Risk</v>
      </c>
    </row>
    <row r="115" spans="1:15" x14ac:dyDescent="0.25">
      <c r="A115">
        <f>INDEX(tblCleanData[EmployeeNumber],107)</f>
        <v>141</v>
      </c>
      <c r="B115" t="str">
        <f>IF(INDEX(tblCleanData[Age],107)&lt;30,"Under 30",IF(INDEX(tblCleanData[Age],107)&lt;40,"30-39",IF(INDEX(tblCleanData[Age],107)&lt;50,"40-49","50+")))</f>
        <v>50+</v>
      </c>
      <c r="C115" t="str">
        <f>IF(INDEX(tblCleanData[MonthlyIncome],107)&lt;=$B$3,"Low Income",IF(INDEX(tblCleanData[MonthlyIncome],107)&lt;=$B$4,"Medium Income","High Income"))</f>
        <v>High Income</v>
      </c>
      <c r="D115">
        <f>IF(INDEX(tblCleanData[Attrition],107)="Yes",1,0)</f>
        <v>0</v>
      </c>
      <c r="E115">
        <f>IF(INDEX(tblCleanData[OverTime],107)="Yes",1,0)</f>
        <v>1</v>
      </c>
      <c r="F115" t="str">
        <f>CHOOSE(INDEX(tblCleanData[Education],107),"Below College","College","Bachelor","Master","Doctor")</f>
        <v>Bachelor</v>
      </c>
      <c r="G115" t="str">
        <f>IF(INDEX(tblCleanData[YearsAtCompany],107)&lt;=2,"0-2 Years",IF(INDEX(tblCleanData[YearsAtCompany],107)&lt;=5,"3-5 Years",IF(INDEX(tblCleanData[YearsAtCompany],107)&lt;=10,"6-10 Years","10+ Years")))</f>
        <v>6-10 Years</v>
      </c>
      <c r="H115" t="str">
        <f>IF(INDEX(tblCleanData[WorkLifeBalance],107)&lt;=2,"Elevated","Normal")</f>
        <v>Elevated</v>
      </c>
      <c r="I115">
        <f>IF(INDEX(tblCleanData[Age],107)&lt;30,30,IF(INDEX(tblCleanData[Age],107)&lt;40,20,IF(INDEX(tblCleanData[Age],107)&lt;50,10,15)))</f>
        <v>15</v>
      </c>
      <c r="J115">
        <f>IF(INDEX(tblCleanData[MonthlyIncome],107)&lt;=$B$3,25,IF(INDEX(tblCleanData[MonthlyIncome],107)&lt;=$B$4,12,5))</f>
        <v>5</v>
      </c>
      <c r="K115">
        <f>IF(INDEX(tblCleanData[OverTime],107)="Yes",25,0)</f>
        <v>25</v>
      </c>
      <c r="L115">
        <f>(5-INDEX(tblCleanData[JobSatisfaction],107))*6.25</f>
        <v>18.75</v>
      </c>
      <c r="M115">
        <f>IF(INDEX(tblCleanData[YearsAtCompany],107)&lt;=2,25,IF(INDEX(tblCleanData[YearsAtCompany],107)&lt;=5,15,IF(INDEX(tblCleanData[YearsAtCompany],107)&lt;=10,8,3)))</f>
        <v>8</v>
      </c>
      <c r="N115">
        <f t="shared" si="2"/>
        <v>72</v>
      </c>
      <c r="O115" t="str">
        <f t="shared" si="3"/>
        <v>High Risk</v>
      </c>
    </row>
    <row r="116" spans="1:15" x14ac:dyDescent="0.25">
      <c r="A116">
        <f>INDEX(tblCleanData[EmployeeNumber],108)</f>
        <v>142</v>
      </c>
      <c r="B116" t="str">
        <f>IF(INDEX(tblCleanData[Age],108)&lt;30,"Under 30",IF(INDEX(tblCleanData[Age],108)&lt;40,"30-39",IF(INDEX(tblCleanData[Age],108)&lt;50,"40-49","50+")))</f>
        <v>Under 30</v>
      </c>
      <c r="C116" t="str">
        <f>IF(INDEX(tblCleanData[MonthlyIncome],108)&lt;=$B$3,"Low Income",IF(INDEX(tblCleanData[MonthlyIncome],108)&lt;=$B$4,"Medium Income","High Income"))</f>
        <v>High Income</v>
      </c>
      <c r="D116">
        <f>IF(INDEX(tblCleanData[Attrition],108)="Yes",1,0)</f>
        <v>1</v>
      </c>
      <c r="E116">
        <f>IF(INDEX(tblCleanData[OverTime],108)="Yes",1,0)</f>
        <v>1</v>
      </c>
      <c r="F116" t="str">
        <f>CHOOSE(INDEX(tblCleanData[Education],108),"Below College","College","Bachelor","Master","Doctor")</f>
        <v>Bachelor</v>
      </c>
      <c r="G116" t="str">
        <f>IF(INDEX(tblCleanData[YearsAtCompany],108)&lt;=2,"0-2 Years",IF(INDEX(tblCleanData[YearsAtCompany],108)&lt;=5,"3-5 Years",IF(INDEX(tblCleanData[YearsAtCompany],108)&lt;=10,"6-10 Years","10+ Years")))</f>
        <v>6-10 Years</v>
      </c>
      <c r="H116" t="str">
        <f>IF(INDEX(tblCleanData[WorkLifeBalance],108)&lt;=2,"Elevated","Normal")</f>
        <v>Normal</v>
      </c>
      <c r="I116">
        <f>IF(INDEX(tblCleanData[Age],108)&lt;30,30,IF(INDEX(tblCleanData[Age],108)&lt;40,20,IF(INDEX(tblCleanData[Age],108)&lt;50,10,15)))</f>
        <v>30</v>
      </c>
      <c r="J116">
        <f>IF(INDEX(tblCleanData[MonthlyIncome],108)&lt;=$B$3,25,IF(INDEX(tblCleanData[MonthlyIncome],108)&lt;=$B$4,12,5))</f>
        <v>5</v>
      </c>
      <c r="K116">
        <f>IF(INDEX(tblCleanData[OverTime],108)="Yes",25,0)</f>
        <v>25</v>
      </c>
      <c r="L116">
        <f>(5-INDEX(tblCleanData[JobSatisfaction],108))*6.25</f>
        <v>12.5</v>
      </c>
      <c r="M116">
        <f>IF(INDEX(tblCleanData[YearsAtCompany],108)&lt;=2,25,IF(INDEX(tblCleanData[YearsAtCompany],108)&lt;=5,15,IF(INDEX(tblCleanData[YearsAtCompany],108)&lt;=10,8,3)))</f>
        <v>8</v>
      </c>
      <c r="N116">
        <f t="shared" si="2"/>
        <v>81</v>
      </c>
      <c r="O116" t="str">
        <f t="shared" si="3"/>
        <v>High Risk</v>
      </c>
    </row>
    <row r="117" spans="1:15" x14ac:dyDescent="0.25">
      <c r="A117">
        <f>INDEX(tblCleanData[EmployeeNumber],109)</f>
        <v>143</v>
      </c>
      <c r="B117" t="str">
        <f>IF(INDEX(tblCleanData[Age],109)&lt;30,"Under 30",IF(INDEX(tblCleanData[Age],109)&lt;40,"30-39",IF(INDEX(tblCleanData[Age],109)&lt;50,"40-49","50+")))</f>
        <v>Under 30</v>
      </c>
      <c r="C117" t="str">
        <f>IF(INDEX(tblCleanData[MonthlyIncome],109)&lt;=$B$3,"Low Income",IF(INDEX(tblCleanData[MonthlyIncome],109)&lt;=$B$4,"Medium Income","High Income"))</f>
        <v>High Income</v>
      </c>
      <c r="D117">
        <f>IF(INDEX(tblCleanData[Attrition],109)="Yes",1,0)</f>
        <v>0</v>
      </c>
      <c r="E117">
        <f>IF(INDEX(tblCleanData[OverTime],109)="Yes",1,0)</f>
        <v>0</v>
      </c>
      <c r="F117" t="str">
        <f>CHOOSE(INDEX(tblCleanData[Education],109),"Below College","College","Bachelor","Master","Doctor")</f>
        <v>Below College</v>
      </c>
      <c r="G117" t="str">
        <f>IF(INDEX(tblCleanData[YearsAtCompany],109)&lt;=2,"0-2 Years",IF(INDEX(tblCleanData[YearsAtCompany],109)&lt;=5,"3-5 Years",IF(INDEX(tblCleanData[YearsAtCompany],109)&lt;=10,"6-10 Years","10+ Years")))</f>
        <v>0-2 Years</v>
      </c>
      <c r="H117" t="str">
        <f>IF(INDEX(tblCleanData[WorkLifeBalance],109)&lt;=2,"Elevated","Normal")</f>
        <v>Normal</v>
      </c>
      <c r="I117">
        <f>IF(INDEX(tblCleanData[Age],109)&lt;30,30,IF(INDEX(tblCleanData[Age],109)&lt;40,20,IF(INDEX(tblCleanData[Age],109)&lt;50,10,15)))</f>
        <v>30</v>
      </c>
      <c r="J117">
        <f>IF(INDEX(tblCleanData[MonthlyIncome],109)&lt;=$B$3,25,IF(INDEX(tblCleanData[MonthlyIncome],109)&lt;=$B$4,12,5))</f>
        <v>5</v>
      </c>
      <c r="K117">
        <f>IF(INDEX(tblCleanData[OverTime],109)="Yes",25,0)</f>
        <v>0</v>
      </c>
      <c r="L117">
        <f>(5-INDEX(tblCleanData[JobSatisfaction],109))*6.25</f>
        <v>6.25</v>
      </c>
      <c r="M117">
        <f>IF(INDEX(tblCleanData[YearsAtCompany],109)&lt;=2,25,IF(INDEX(tblCleanData[YearsAtCompany],109)&lt;=5,15,IF(INDEX(tblCleanData[YearsAtCompany],109)&lt;=10,8,3)))</f>
        <v>25</v>
      </c>
      <c r="N117">
        <f t="shared" si="2"/>
        <v>66</v>
      </c>
      <c r="O117" t="str">
        <f t="shared" si="3"/>
        <v>High Risk</v>
      </c>
    </row>
    <row r="118" spans="1:15" x14ac:dyDescent="0.25">
      <c r="A118">
        <f>INDEX(tblCleanData[EmployeeNumber],110)</f>
        <v>144</v>
      </c>
      <c r="B118" t="str">
        <f>IF(INDEX(tblCleanData[Age],110)&lt;30,"Under 30",IF(INDEX(tblCleanData[Age],110)&lt;40,"30-39",IF(INDEX(tblCleanData[Age],110)&lt;50,"40-49","50+")))</f>
        <v>Under 30</v>
      </c>
      <c r="C118" t="str">
        <f>IF(INDEX(tblCleanData[MonthlyIncome],110)&lt;=$B$3,"Low Income",IF(INDEX(tblCleanData[MonthlyIncome],110)&lt;=$B$4,"Medium Income","High Income"))</f>
        <v>High Income</v>
      </c>
      <c r="D118">
        <f>IF(INDEX(tblCleanData[Attrition],110)="Yes",1,0)</f>
        <v>0</v>
      </c>
      <c r="E118">
        <f>IF(INDEX(tblCleanData[OverTime],110)="Yes",1,0)</f>
        <v>0</v>
      </c>
      <c r="F118" t="str">
        <f>CHOOSE(INDEX(tblCleanData[Education],110),"Below College","College","Bachelor","Master","Doctor")</f>
        <v>Bachelor</v>
      </c>
      <c r="G118" t="str">
        <f>IF(INDEX(tblCleanData[YearsAtCompany],110)&lt;=2,"0-2 Years",IF(INDEX(tblCleanData[YearsAtCompany],110)&lt;=5,"3-5 Years",IF(INDEX(tblCleanData[YearsAtCompany],110)&lt;=10,"6-10 Years","10+ Years")))</f>
        <v>0-2 Years</v>
      </c>
      <c r="H118" t="str">
        <f>IF(INDEX(tblCleanData[WorkLifeBalance],110)&lt;=2,"Elevated","Normal")</f>
        <v>Normal</v>
      </c>
      <c r="I118">
        <f>IF(INDEX(tblCleanData[Age],110)&lt;30,30,IF(INDEX(tblCleanData[Age],110)&lt;40,20,IF(INDEX(tblCleanData[Age],110)&lt;50,10,15)))</f>
        <v>30</v>
      </c>
      <c r="J118">
        <f>IF(INDEX(tblCleanData[MonthlyIncome],110)&lt;=$B$3,25,IF(INDEX(tblCleanData[MonthlyIncome],110)&lt;=$B$4,12,5))</f>
        <v>5</v>
      </c>
      <c r="K118">
        <f>IF(INDEX(tblCleanData[OverTime],110)="Yes",25,0)</f>
        <v>0</v>
      </c>
      <c r="L118">
        <f>(5-INDEX(tblCleanData[JobSatisfaction],110))*6.25</f>
        <v>6.25</v>
      </c>
      <c r="M118">
        <f>IF(INDEX(tblCleanData[YearsAtCompany],110)&lt;=2,25,IF(INDEX(tblCleanData[YearsAtCompany],110)&lt;=5,15,IF(INDEX(tblCleanData[YearsAtCompany],110)&lt;=10,8,3)))</f>
        <v>25</v>
      </c>
      <c r="N118">
        <f t="shared" si="2"/>
        <v>66</v>
      </c>
      <c r="O118" t="str">
        <f t="shared" si="3"/>
        <v>High Risk</v>
      </c>
    </row>
    <row r="119" spans="1:15" x14ac:dyDescent="0.25">
      <c r="A119">
        <f>INDEX(tblCleanData[EmployeeNumber],111)</f>
        <v>145</v>
      </c>
      <c r="B119" t="str">
        <f>IF(INDEX(tblCleanData[Age],111)&lt;30,"Under 30",IF(INDEX(tblCleanData[Age],111)&lt;40,"30-39",IF(INDEX(tblCleanData[Age],111)&lt;50,"40-49","50+")))</f>
        <v>50+</v>
      </c>
      <c r="C119" t="str">
        <f>IF(INDEX(tblCleanData[MonthlyIncome],111)&lt;=$B$3,"Low Income",IF(INDEX(tblCleanData[MonthlyIncome],111)&lt;=$B$4,"Medium Income","High Income"))</f>
        <v>High Income</v>
      </c>
      <c r="D119">
        <f>IF(INDEX(tblCleanData[Attrition],111)="Yes",1,0)</f>
        <v>0</v>
      </c>
      <c r="E119">
        <f>IF(INDEX(tblCleanData[OverTime],111)="Yes",1,0)</f>
        <v>0</v>
      </c>
      <c r="F119" t="str">
        <f>CHOOSE(INDEX(tblCleanData[Education],111),"Below College","College","Bachelor","Master","Doctor")</f>
        <v>Master</v>
      </c>
      <c r="G119" t="str">
        <f>IF(INDEX(tblCleanData[YearsAtCompany],111)&lt;=2,"0-2 Years",IF(INDEX(tblCleanData[YearsAtCompany],111)&lt;=5,"3-5 Years",IF(INDEX(tblCleanData[YearsAtCompany],111)&lt;=10,"6-10 Years","10+ Years")))</f>
        <v>10+ Years</v>
      </c>
      <c r="H119" t="str">
        <f>IF(INDEX(tblCleanData[WorkLifeBalance],111)&lt;=2,"Elevated","Normal")</f>
        <v>Elevated</v>
      </c>
      <c r="I119">
        <f>IF(INDEX(tblCleanData[Age],111)&lt;30,30,IF(INDEX(tblCleanData[Age],111)&lt;40,20,IF(INDEX(tblCleanData[Age],111)&lt;50,10,15)))</f>
        <v>15</v>
      </c>
      <c r="J119">
        <f>IF(INDEX(tblCleanData[MonthlyIncome],111)&lt;=$B$3,25,IF(INDEX(tblCleanData[MonthlyIncome],111)&lt;=$B$4,12,5))</f>
        <v>5</v>
      </c>
      <c r="K119">
        <f>IF(INDEX(tblCleanData[OverTime],111)="Yes",25,0)</f>
        <v>0</v>
      </c>
      <c r="L119">
        <f>(5-INDEX(tblCleanData[JobSatisfaction],111))*6.25</f>
        <v>25</v>
      </c>
      <c r="M119">
        <f>IF(INDEX(tblCleanData[YearsAtCompany],111)&lt;=2,25,IF(INDEX(tblCleanData[YearsAtCompany],111)&lt;=5,15,IF(INDEX(tblCleanData[YearsAtCompany],111)&lt;=10,8,3)))</f>
        <v>3</v>
      </c>
      <c r="N119">
        <f t="shared" si="2"/>
        <v>48</v>
      </c>
      <c r="O119" t="str">
        <f t="shared" si="3"/>
        <v>Medium Risk</v>
      </c>
    </row>
    <row r="120" spans="1:15" x14ac:dyDescent="0.25">
      <c r="A120">
        <f>INDEX(tblCleanData[EmployeeNumber],112)</f>
        <v>147</v>
      </c>
      <c r="B120" t="str">
        <f>IF(INDEX(tblCleanData[Age],112)&lt;30,"Under 30",IF(INDEX(tblCleanData[Age],112)&lt;40,"30-39",IF(INDEX(tblCleanData[Age],112)&lt;50,"40-49","50+")))</f>
        <v>30-39</v>
      </c>
      <c r="C120" t="str">
        <f>IF(INDEX(tblCleanData[MonthlyIncome],112)&lt;=$B$3,"Low Income",IF(INDEX(tblCleanData[MonthlyIncome],112)&lt;=$B$4,"Medium Income","High Income"))</f>
        <v>High Income</v>
      </c>
      <c r="D120">
        <f>IF(INDEX(tblCleanData[Attrition],112)="Yes",1,0)</f>
        <v>1</v>
      </c>
      <c r="E120">
        <f>IF(INDEX(tblCleanData[OverTime],112)="Yes",1,0)</f>
        <v>1</v>
      </c>
      <c r="F120" t="str">
        <f>CHOOSE(INDEX(tblCleanData[Education],112),"Below College","College","Bachelor","Master","Doctor")</f>
        <v>Bachelor</v>
      </c>
      <c r="G120" t="str">
        <f>IF(INDEX(tblCleanData[YearsAtCompany],112)&lt;=2,"0-2 Years",IF(INDEX(tblCleanData[YearsAtCompany],112)&lt;=5,"3-5 Years",IF(INDEX(tblCleanData[YearsAtCompany],112)&lt;=10,"6-10 Years","10+ Years")))</f>
        <v>6-10 Years</v>
      </c>
      <c r="H120" t="str">
        <f>IF(INDEX(tblCleanData[WorkLifeBalance],112)&lt;=2,"Elevated","Normal")</f>
        <v>Normal</v>
      </c>
      <c r="I120">
        <f>IF(INDEX(tblCleanData[Age],112)&lt;30,30,IF(INDEX(tblCleanData[Age],112)&lt;40,20,IF(INDEX(tblCleanData[Age],112)&lt;50,10,15)))</f>
        <v>20</v>
      </c>
      <c r="J120">
        <f>IF(INDEX(tblCleanData[MonthlyIncome],112)&lt;=$B$3,25,IF(INDEX(tblCleanData[MonthlyIncome],112)&lt;=$B$4,12,5))</f>
        <v>5</v>
      </c>
      <c r="K120">
        <f>IF(INDEX(tblCleanData[OverTime],112)="Yes",25,0)</f>
        <v>25</v>
      </c>
      <c r="L120">
        <f>(5-INDEX(tblCleanData[JobSatisfaction],112))*6.25</f>
        <v>12.5</v>
      </c>
      <c r="M120">
        <f>IF(INDEX(tblCleanData[YearsAtCompany],112)&lt;=2,25,IF(INDEX(tblCleanData[YearsAtCompany],112)&lt;=5,15,IF(INDEX(tblCleanData[YearsAtCompany],112)&lt;=10,8,3)))</f>
        <v>8</v>
      </c>
      <c r="N120">
        <f t="shared" si="2"/>
        <v>71</v>
      </c>
      <c r="O120" t="str">
        <f t="shared" si="3"/>
        <v>High Risk</v>
      </c>
    </row>
    <row r="121" spans="1:15" x14ac:dyDescent="0.25">
      <c r="A121">
        <f>INDEX(tblCleanData[EmployeeNumber],113)</f>
        <v>148</v>
      </c>
      <c r="B121" t="str">
        <f>IF(INDEX(tblCleanData[Age],113)&lt;30,"Under 30",IF(INDEX(tblCleanData[Age],113)&lt;40,"30-39",IF(INDEX(tblCleanData[Age],113)&lt;50,"40-49","50+")))</f>
        <v>50+</v>
      </c>
      <c r="C121" t="str">
        <f>IF(INDEX(tblCleanData[MonthlyIncome],113)&lt;=$B$3,"Low Income",IF(INDEX(tblCleanData[MonthlyIncome],113)&lt;=$B$4,"Medium Income","High Income"))</f>
        <v>High Income</v>
      </c>
      <c r="D121">
        <f>IF(INDEX(tblCleanData[Attrition],113)="Yes",1,0)</f>
        <v>0</v>
      </c>
      <c r="E121">
        <f>IF(INDEX(tblCleanData[OverTime],113)="Yes",1,0)</f>
        <v>1</v>
      </c>
      <c r="F121" t="str">
        <f>CHOOSE(INDEX(tblCleanData[Education],113),"Below College","College","Bachelor","Master","Doctor")</f>
        <v>Bachelor</v>
      </c>
      <c r="G121" t="str">
        <f>IF(INDEX(tblCleanData[YearsAtCompany],113)&lt;=2,"0-2 Years",IF(INDEX(tblCleanData[YearsAtCompany],113)&lt;=5,"3-5 Years",IF(INDEX(tblCleanData[YearsAtCompany],113)&lt;=10,"6-10 Years","10+ Years")))</f>
        <v>3-5 Years</v>
      </c>
      <c r="H121" t="str">
        <f>IF(INDEX(tblCleanData[WorkLifeBalance],113)&lt;=2,"Elevated","Normal")</f>
        <v>Normal</v>
      </c>
      <c r="I121">
        <f>IF(INDEX(tblCleanData[Age],113)&lt;30,30,IF(INDEX(tblCleanData[Age],113)&lt;40,20,IF(INDEX(tblCleanData[Age],113)&lt;50,10,15)))</f>
        <v>15</v>
      </c>
      <c r="J121">
        <f>IF(INDEX(tblCleanData[MonthlyIncome],113)&lt;=$B$3,25,IF(INDEX(tblCleanData[MonthlyIncome],113)&lt;=$B$4,12,5))</f>
        <v>5</v>
      </c>
      <c r="K121">
        <f>IF(INDEX(tblCleanData[OverTime],113)="Yes",25,0)</f>
        <v>25</v>
      </c>
      <c r="L121">
        <f>(5-INDEX(tblCleanData[JobSatisfaction],113))*6.25</f>
        <v>6.25</v>
      </c>
      <c r="M121">
        <f>IF(INDEX(tblCleanData[YearsAtCompany],113)&lt;=2,25,IF(INDEX(tblCleanData[YearsAtCompany],113)&lt;=5,15,IF(INDEX(tblCleanData[YearsAtCompany],113)&lt;=10,8,3)))</f>
        <v>15</v>
      </c>
      <c r="N121">
        <f t="shared" si="2"/>
        <v>66</v>
      </c>
      <c r="O121" t="str">
        <f t="shared" si="3"/>
        <v>High Risk</v>
      </c>
    </row>
    <row r="122" spans="1:15" x14ac:dyDescent="0.25">
      <c r="A122">
        <f>INDEX(tblCleanData[EmployeeNumber],114)</f>
        <v>150</v>
      </c>
      <c r="B122" t="str">
        <f>IF(INDEX(tblCleanData[Age],114)&lt;30,"Under 30",IF(INDEX(tblCleanData[Age],114)&lt;40,"30-39",IF(INDEX(tblCleanData[Age],114)&lt;50,"40-49","50+")))</f>
        <v>Under 30</v>
      </c>
      <c r="C122" t="str">
        <f>IF(INDEX(tblCleanData[MonthlyIncome],114)&lt;=$B$3,"Low Income",IF(INDEX(tblCleanData[MonthlyIncome],114)&lt;=$B$4,"Medium Income","High Income"))</f>
        <v>High Income</v>
      </c>
      <c r="D122">
        <f>IF(INDEX(tblCleanData[Attrition],114)="Yes",1,0)</f>
        <v>0</v>
      </c>
      <c r="E122">
        <f>IF(INDEX(tblCleanData[OverTime],114)="Yes",1,0)</f>
        <v>0</v>
      </c>
      <c r="F122" t="str">
        <f>CHOOSE(INDEX(tblCleanData[Education],114),"Below College","College","Bachelor","Master","Doctor")</f>
        <v>Below College</v>
      </c>
      <c r="G122" t="str">
        <f>IF(INDEX(tblCleanData[YearsAtCompany],114)&lt;=2,"0-2 Years",IF(INDEX(tblCleanData[YearsAtCompany],114)&lt;=5,"3-5 Years",IF(INDEX(tblCleanData[YearsAtCompany],114)&lt;=10,"6-10 Years","10+ Years")))</f>
        <v>3-5 Years</v>
      </c>
      <c r="H122" t="str">
        <f>IF(INDEX(tblCleanData[WorkLifeBalance],114)&lt;=2,"Elevated","Normal")</f>
        <v>Normal</v>
      </c>
      <c r="I122">
        <f>IF(INDEX(tblCleanData[Age],114)&lt;30,30,IF(INDEX(tblCleanData[Age],114)&lt;40,20,IF(INDEX(tblCleanData[Age],114)&lt;50,10,15)))</f>
        <v>30</v>
      </c>
      <c r="J122">
        <f>IF(INDEX(tblCleanData[MonthlyIncome],114)&lt;=$B$3,25,IF(INDEX(tblCleanData[MonthlyIncome],114)&lt;=$B$4,12,5))</f>
        <v>5</v>
      </c>
      <c r="K122">
        <f>IF(INDEX(tblCleanData[OverTime],114)="Yes",25,0)</f>
        <v>0</v>
      </c>
      <c r="L122">
        <f>(5-INDEX(tblCleanData[JobSatisfaction],114))*6.25</f>
        <v>12.5</v>
      </c>
      <c r="M122">
        <f>IF(INDEX(tblCleanData[YearsAtCompany],114)&lt;=2,25,IF(INDEX(tblCleanData[YearsAtCompany],114)&lt;=5,15,IF(INDEX(tblCleanData[YearsAtCompany],114)&lt;=10,8,3)))</f>
        <v>15</v>
      </c>
      <c r="N122">
        <f t="shared" si="2"/>
        <v>63</v>
      </c>
      <c r="O122" t="str">
        <f t="shared" si="3"/>
        <v>High Risk</v>
      </c>
    </row>
    <row r="123" spans="1:15" x14ac:dyDescent="0.25">
      <c r="A123">
        <f>INDEX(tblCleanData[EmployeeNumber],115)</f>
        <v>151</v>
      </c>
      <c r="B123" t="str">
        <f>IF(INDEX(tblCleanData[Age],115)&lt;30,"Under 30",IF(INDEX(tblCleanData[Age],115)&lt;40,"30-39",IF(INDEX(tblCleanData[Age],115)&lt;50,"40-49","50+")))</f>
        <v>30-39</v>
      </c>
      <c r="C123" t="str">
        <f>IF(INDEX(tblCleanData[MonthlyIncome],115)&lt;=$B$3,"Low Income",IF(INDEX(tblCleanData[MonthlyIncome],115)&lt;=$B$4,"Medium Income","High Income"))</f>
        <v>High Income</v>
      </c>
      <c r="D123">
        <f>IF(INDEX(tblCleanData[Attrition],115)="Yes",1,0)</f>
        <v>0</v>
      </c>
      <c r="E123">
        <f>IF(INDEX(tblCleanData[OverTime],115)="Yes",1,0)</f>
        <v>0</v>
      </c>
      <c r="F123" t="str">
        <f>CHOOSE(INDEX(tblCleanData[Education],115),"Below College","College","Bachelor","Master","Doctor")</f>
        <v>Master</v>
      </c>
      <c r="G123" t="str">
        <f>IF(INDEX(tblCleanData[YearsAtCompany],115)&lt;=2,"0-2 Years",IF(INDEX(tblCleanData[YearsAtCompany],115)&lt;=5,"3-5 Years",IF(INDEX(tblCleanData[YearsAtCompany],115)&lt;=10,"6-10 Years","10+ Years")))</f>
        <v>0-2 Years</v>
      </c>
      <c r="H123" t="str">
        <f>IF(INDEX(tblCleanData[WorkLifeBalance],115)&lt;=2,"Elevated","Normal")</f>
        <v>Normal</v>
      </c>
      <c r="I123">
        <f>IF(INDEX(tblCleanData[Age],115)&lt;30,30,IF(INDEX(tblCleanData[Age],115)&lt;40,20,IF(INDEX(tblCleanData[Age],115)&lt;50,10,15)))</f>
        <v>20</v>
      </c>
      <c r="J123">
        <f>IF(INDEX(tblCleanData[MonthlyIncome],115)&lt;=$B$3,25,IF(INDEX(tblCleanData[MonthlyIncome],115)&lt;=$B$4,12,5))</f>
        <v>5</v>
      </c>
      <c r="K123">
        <f>IF(INDEX(tblCleanData[OverTime],115)="Yes",25,0)</f>
        <v>0</v>
      </c>
      <c r="L123">
        <f>(5-INDEX(tblCleanData[JobSatisfaction],115))*6.25</f>
        <v>18.75</v>
      </c>
      <c r="M123">
        <f>IF(INDEX(tblCleanData[YearsAtCompany],115)&lt;=2,25,IF(INDEX(tblCleanData[YearsAtCompany],115)&lt;=5,15,IF(INDEX(tblCleanData[YearsAtCompany],115)&lt;=10,8,3)))</f>
        <v>25</v>
      </c>
      <c r="N123">
        <f t="shared" si="2"/>
        <v>69</v>
      </c>
      <c r="O123" t="str">
        <f t="shared" si="3"/>
        <v>High Risk</v>
      </c>
    </row>
    <row r="124" spans="1:15" x14ac:dyDescent="0.25">
      <c r="A124">
        <f>INDEX(tblCleanData[EmployeeNumber],116)</f>
        <v>152</v>
      </c>
      <c r="B124" t="str">
        <f>IF(INDEX(tblCleanData[Age],116)&lt;30,"Under 30",IF(INDEX(tblCleanData[Age],116)&lt;40,"30-39",IF(INDEX(tblCleanData[Age],116)&lt;50,"40-49","50+")))</f>
        <v>30-39</v>
      </c>
      <c r="C124" t="str">
        <f>IF(INDEX(tblCleanData[MonthlyIncome],116)&lt;=$B$3,"Low Income",IF(INDEX(tblCleanData[MonthlyIncome],116)&lt;=$B$4,"Medium Income","High Income"))</f>
        <v>High Income</v>
      </c>
      <c r="D124">
        <f>IF(INDEX(tblCleanData[Attrition],116)="Yes",1,0)</f>
        <v>0</v>
      </c>
      <c r="E124">
        <f>IF(INDEX(tblCleanData[OverTime],116)="Yes",1,0)</f>
        <v>0</v>
      </c>
      <c r="F124" t="str">
        <f>CHOOSE(INDEX(tblCleanData[Education],116),"Below College","College","Bachelor","Master","Doctor")</f>
        <v>Bachelor</v>
      </c>
      <c r="G124" t="str">
        <f>IF(INDEX(tblCleanData[YearsAtCompany],116)&lt;=2,"0-2 Years",IF(INDEX(tblCleanData[YearsAtCompany],116)&lt;=5,"3-5 Years",IF(INDEX(tblCleanData[YearsAtCompany],116)&lt;=10,"6-10 Years","10+ Years")))</f>
        <v>3-5 Years</v>
      </c>
      <c r="H124" t="str">
        <f>IF(INDEX(tblCleanData[WorkLifeBalance],116)&lt;=2,"Elevated","Normal")</f>
        <v>Normal</v>
      </c>
      <c r="I124">
        <f>IF(INDEX(tblCleanData[Age],116)&lt;30,30,IF(INDEX(tblCleanData[Age],116)&lt;40,20,IF(INDEX(tblCleanData[Age],116)&lt;50,10,15)))</f>
        <v>20</v>
      </c>
      <c r="J124">
        <f>IF(INDEX(tblCleanData[MonthlyIncome],116)&lt;=$B$3,25,IF(INDEX(tblCleanData[MonthlyIncome],116)&lt;=$B$4,12,5))</f>
        <v>5</v>
      </c>
      <c r="K124">
        <f>IF(INDEX(tblCleanData[OverTime],116)="Yes",25,0)</f>
        <v>0</v>
      </c>
      <c r="L124">
        <f>(5-INDEX(tblCleanData[JobSatisfaction],116))*6.25</f>
        <v>6.25</v>
      </c>
      <c r="M124">
        <f>IF(INDEX(tblCleanData[YearsAtCompany],116)&lt;=2,25,IF(INDEX(tblCleanData[YearsAtCompany],116)&lt;=5,15,IF(INDEX(tblCleanData[YearsAtCompany],116)&lt;=10,8,3)))</f>
        <v>15</v>
      </c>
      <c r="N124">
        <f t="shared" si="2"/>
        <v>46</v>
      </c>
      <c r="O124" t="str">
        <f t="shared" si="3"/>
        <v>Medium Risk</v>
      </c>
    </row>
    <row r="125" spans="1:15" x14ac:dyDescent="0.25">
      <c r="A125">
        <f>INDEX(tblCleanData[EmployeeNumber],117)</f>
        <v>153</v>
      </c>
      <c r="B125" t="str">
        <f>IF(INDEX(tblCleanData[Age],117)&lt;30,"Under 30",IF(INDEX(tblCleanData[Age],117)&lt;40,"30-39",IF(INDEX(tblCleanData[Age],117)&lt;50,"40-49","50+")))</f>
        <v>30-39</v>
      </c>
      <c r="C125" t="str">
        <f>IF(INDEX(tblCleanData[MonthlyIncome],117)&lt;=$B$3,"Low Income",IF(INDEX(tblCleanData[MonthlyIncome],117)&lt;=$B$4,"Medium Income","High Income"))</f>
        <v>High Income</v>
      </c>
      <c r="D125">
        <f>IF(INDEX(tblCleanData[Attrition],117)="Yes",1,0)</f>
        <v>0</v>
      </c>
      <c r="E125">
        <f>IF(INDEX(tblCleanData[OverTime],117)="Yes",1,0)</f>
        <v>0</v>
      </c>
      <c r="F125" t="str">
        <f>CHOOSE(INDEX(tblCleanData[Education],117),"Below College","College","Bachelor","Master","Doctor")</f>
        <v>Bachelor</v>
      </c>
      <c r="G125" t="str">
        <f>IF(INDEX(tblCleanData[YearsAtCompany],117)&lt;=2,"0-2 Years",IF(INDEX(tblCleanData[YearsAtCompany],117)&lt;=5,"3-5 Years",IF(INDEX(tblCleanData[YearsAtCompany],117)&lt;=10,"6-10 Years","10+ Years")))</f>
        <v>10+ Years</v>
      </c>
      <c r="H125" t="str">
        <f>IF(INDEX(tblCleanData[WorkLifeBalance],117)&lt;=2,"Elevated","Normal")</f>
        <v>Normal</v>
      </c>
      <c r="I125">
        <f>IF(INDEX(tblCleanData[Age],117)&lt;30,30,IF(INDEX(tblCleanData[Age],117)&lt;40,20,IF(INDEX(tblCleanData[Age],117)&lt;50,10,15)))</f>
        <v>20</v>
      </c>
      <c r="J125">
        <f>IF(INDEX(tblCleanData[MonthlyIncome],117)&lt;=$B$3,25,IF(INDEX(tblCleanData[MonthlyIncome],117)&lt;=$B$4,12,5))</f>
        <v>5</v>
      </c>
      <c r="K125">
        <f>IF(INDEX(tblCleanData[OverTime],117)="Yes",25,0)</f>
        <v>0</v>
      </c>
      <c r="L125">
        <f>(5-INDEX(tblCleanData[JobSatisfaction],117))*6.25</f>
        <v>25</v>
      </c>
      <c r="M125">
        <f>IF(INDEX(tblCleanData[YearsAtCompany],117)&lt;=2,25,IF(INDEX(tblCleanData[YearsAtCompany],117)&lt;=5,15,IF(INDEX(tblCleanData[YearsAtCompany],117)&lt;=10,8,3)))</f>
        <v>3</v>
      </c>
      <c r="N125">
        <f t="shared" si="2"/>
        <v>53</v>
      </c>
      <c r="O125" t="str">
        <f t="shared" si="3"/>
        <v>Medium Risk</v>
      </c>
    </row>
    <row r="126" spans="1:15" x14ac:dyDescent="0.25">
      <c r="A126">
        <f>INDEX(tblCleanData[EmployeeNumber],118)</f>
        <v>154</v>
      </c>
      <c r="B126" t="str">
        <f>IF(INDEX(tblCleanData[Age],118)&lt;30,"Under 30",IF(INDEX(tblCleanData[Age],118)&lt;40,"30-39",IF(INDEX(tblCleanData[Age],118)&lt;50,"40-49","50+")))</f>
        <v>30-39</v>
      </c>
      <c r="C126" t="str">
        <f>IF(INDEX(tblCleanData[MonthlyIncome],118)&lt;=$B$3,"Low Income",IF(INDEX(tblCleanData[MonthlyIncome],118)&lt;=$B$4,"Medium Income","High Income"))</f>
        <v>High Income</v>
      </c>
      <c r="D126">
        <f>IF(INDEX(tblCleanData[Attrition],118)="Yes",1,0)</f>
        <v>0</v>
      </c>
      <c r="E126">
        <f>IF(INDEX(tblCleanData[OverTime],118)="Yes",1,0)</f>
        <v>0</v>
      </c>
      <c r="F126" t="str">
        <f>CHOOSE(INDEX(tblCleanData[Education],118),"Below College","College","Bachelor","Master","Doctor")</f>
        <v>College</v>
      </c>
      <c r="G126" t="str">
        <f>IF(INDEX(tblCleanData[YearsAtCompany],118)&lt;=2,"0-2 Years",IF(INDEX(tblCleanData[YearsAtCompany],118)&lt;=5,"3-5 Years",IF(INDEX(tblCleanData[YearsAtCompany],118)&lt;=10,"6-10 Years","10+ Years")))</f>
        <v>6-10 Years</v>
      </c>
      <c r="H126" t="str">
        <f>IF(INDEX(tblCleanData[WorkLifeBalance],118)&lt;=2,"Elevated","Normal")</f>
        <v>Normal</v>
      </c>
      <c r="I126">
        <f>IF(INDEX(tblCleanData[Age],118)&lt;30,30,IF(INDEX(tblCleanData[Age],118)&lt;40,20,IF(INDEX(tblCleanData[Age],118)&lt;50,10,15)))</f>
        <v>20</v>
      </c>
      <c r="J126">
        <f>IF(INDEX(tblCleanData[MonthlyIncome],118)&lt;=$B$3,25,IF(INDEX(tblCleanData[MonthlyIncome],118)&lt;=$B$4,12,5))</f>
        <v>5</v>
      </c>
      <c r="K126">
        <f>IF(INDEX(tblCleanData[OverTime],118)="Yes",25,0)</f>
        <v>0</v>
      </c>
      <c r="L126">
        <f>(5-INDEX(tblCleanData[JobSatisfaction],118))*6.25</f>
        <v>6.25</v>
      </c>
      <c r="M126">
        <f>IF(INDEX(tblCleanData[YearsAtCompany],118)&lt;=2,25,IF(INDEX(tblCleanData[YearsAtCompany],118)&lt;=5,15,IF(INDEX(tblCleanData[YearsAtCompany],118)&lt;=10,8,3)))</f>
        <v>8</v>
      </c>
      <c r="N126">
        <f t="shared" si="2"/>
        <v>39</v>
      </c>
      <c r="O126" t="str">
        <f t="shared" si="3"/>
        <v>Medium Risk</v>
      </c>
    </row>
    <row r="127" spans="1:15" x14ac:dyDescent="0.25">
      <c r="A127">
        <f>INDEX(tblCleanData[EmployeeNumber],119)</f>
        <v>155</v>
      </c>
      <c r="B127" t="str">
        <f>IF(INDEX(tblCleanData[Age],119)&lt;30,"Under 30",IF(INDEX(tblCleanData[Age],119)&lt;40,"30-39",IF(INDEX(tblCleanData[Age],119)&lt;50,"40-49","50+")))</f>
        <v>30-39</v>
      </c>
      <c r="C127" t="str">
        <f>IF(INDEX(tblCleanData[MonthlyIncome],119)&lt;=$B$3,"Low Income",IF(INDEX(tblCleanData[MonthlyIncome],119)&lt;=$B$4,"Medium Income","High Income"))</f>
        <v>High Income</v>
      </c>
      <c r="D127">
        <f>IF(INDEX(tblCleanData[Attrition],119)="Yes",1,0)</f>
        <v>0</v>
      </c>
      <c r="E127">
        <f>IF(INDEX(tblCleanData[OverTime],119)="Yes",1,0)</f>
        <v>0</v>
      </c>
      <c r="F127" t="str">
        <f>CHOOSE(INDEX(tblCleanData[Education],119),"Below College","College","Bachelor","Master","Doctor")</f>
        <v>College</v>
      </c>
      <c r="G127" t="str">
        <f>IF(INDEX(tblCleanData[YearsAtCompany],119)&lt;=2,"0-2 Years",IF(INDEX(tblCleanData[YearsAtCompany],119)&lt;=5,"3-5 Years",IF(INDEX(tblCleanData[YearsAtCompany],119)&lt;=10,"6-10 Years","10+ Years")))</f>
        <v>0-2 Years</v>
      </c>
      <c r="H127" t="str">
        <f>IF(INDEX(tblCleanData[WorkLifeBalance],119)&lt;=2,"Elevated","Normal")</f>
        <v>Normal</v>
      </c>
      <c r="I127">
        <f>IF(INDEX(tblCleanData[Age],119)&lt;30,30,IF(INDEX(tblCleanData[Age],119)&lt;40,20,IF(INDEX(tblCleanData[Age],119)&lt;50,10,15)))</f>
        <v>20</v>
      </c>
      <c r="J127">
        <f>IF(INDEX(tblCleanData[MonthlyIncome],119)&lt;=$B$3,25,IF(INDEX(tblCleanData[MonthlyIncome],119)&lt;=$B$4,12,5))</f>
        <v>5</v>
      </c>
      <c r="K127">
        <f>IF(INDEX(tblCleanData[OverTime],119)="Yes",25,0)</f>
        <v>0</v>
      </c>
      <c r="L127">
        <f>(5-INDEX(tblCleanData[JobSatisfaction],119))*6.25</f>
        <v>6.25</v>
      </c>
      <c r="M127">
        <f>IF(INDEX(tblCleanData[YearsAtCompany],119)&lt;=2,25,IF(INDEX(tblCleanData[YearsAtCompany],119)&lt;=5,15,IF(INDEX(tblCleanData[YearsAtCompany],119)&lt;=10,8,3)))</f>
        <v>25</v>
      </c>
      <c r="N127">
        <f t="shared" si="2"/>
        <v>56</v>
      </c>
      <c r="O127" t="str">
        <f t="shared" si="3"/>
        <v>High Risk</v>
      </c>
    </row>
    <row r="128" spans="1:15" x14ac:dyDescent="0.25">
      <c r="A128">
        <f>INDEX(tblCleanData[EmployeeNumber],120)</f>
        <v>158</v>
      </c>
      <c r="B128" t="str">
        <f>IF(INDEX(tblCleanData[Age],120)&lt;30,"Under 30",IF(INDEX(tblCleanData[Age],120)&lt;40,"30-39",IF(INDEX(tblCleanData[Age],120)&lt;50,"40-49","50+")))</f>
        <v>40-49</v>
      </c>
      <c r="C128" t="str">
        <f>IF(INDEX(tblCleanData[MonthlyIncome],120)&lt;=$B$3,"Low Income",IF(INDEX(tblCleanData[MonthlyIncome],120)&lt;=$B$4,"Medium Income","High Income"))</f>
        <v>High Income</v>
      </c>
      <c r="D128">
        <f>IF(INDEX(tblCleanData[Attrition],120)="Yes",1,0)</f>
        <v>0</v>
      </c>
      <c r="E128">
        <f>IF(INDEX(tblCleanData[OverTime],120)="Yes",1,0)</f>
        <v>1</v>
      </c>
      <c r="F128" t="str">
        <f>CHOOSE(INDEX(tblCleanData[Education],120),"Below College","College","Bachelor","Master","Doctor")</f>
        <v>College</v>
      </c>
      <c r="G128" t="str">
        <f>IF(INDEX(tblCleanData[YearsAtCompany],120)&lt;=2,"0-2 Years",IF(INDEX(tblCleanData[YearsAtCompany],120)&lt;=5,"3-5 Years",IF(INDEX(tblCleanData[YearsAtCompany],120)&lt;=10,"6-10 Years","10+ Years")))</f>
        <v>10+ Years</v>
      </c>
      <c r="H128" t="str">
        <f>IF(INDEX(tblCleanData[WorkLifeBalance],120)&lt;=2,"Elevated","Normal")</f>
        <v>Normal</v>
      </c>
      <c r="I128">
        <f>IF(INDEX(tblCleanData[Age],120)&lt;30,30,IF(INDEX(tblCleanData[Age],120)&lt;40,20,IF(INDEX(tblCleanData[Age],120)&lt;50,10,15)))</f>
        <v>10</v>
      </c>
      <c r="J128">
        <f>IF(INDEX(tblCleanData[MonthlyIncome],120)&lt;=$B$3,25,IF(INDEX(tblCleanData[MonthlyIncome],120)&lt;=$B$4,12,5))</f>
        <v>5</v>
      </c>
      <c r="K128">
        <f>IF(INDEX(tblCleanData[OverTime],120)="Yes",25,0)</f>
        <v>25</v>
      </c>
      <c r="L128">
        <f>(5-INDEX(tblCleanData[JobSatisfaction],120))*6.25</f>
        <v>6.25</v>
      </c>
      <c r="M128">
        <f>IF(INDEX(tblCleanData[YearsAtCompany],120)&lt;=2,25,IF(INDEX(tblCleanData[YearsAtCompany],120)&lt;=5,15,IF(INDEX(tblCleanData[YearsAtCompany],120)&lt;=10,8,3)))</f>
        <v>3</v>
      </c>
      <c r="N128">
        <f t="shared" si="2"/>
        <v>49</v>
      </c>
      <c r="O128" t="str">
        <f t="shared" si="3"/>
        <v>Medium Risk</v>
      </c>
    </row>
    <row r="129" spans="1:15" x14ac:dyDescent="0.25">
      <c r="A129">
        <f>INDEX(tblCleanData[EmployeeNumber],121)</f>
        <v>159</v>
      </c>
      <c r="B129" t="str">
        <f>IF(INDEX(tblCleanData[Age],121)&lt;30,"Under 30",IF(INDEX(tblCleanData[Age],121)&lt;40,"30-39",IF(INDEX(tblCleanData[Age],121)&lt;50,"40-49","50+")))</f>
        <v>30-39</v>
      </c>
      <c r="C129" t="str">
        <f>IF(INDEX(tblCleanData[MonthlyIncome],121)&lt;=$B$3,"Low Income",IF(INDEX(tblCleanData[MonthlyIncome],121)&lt;=$B$4,"Medium Income","High Income"))</f>
        <v>High Income</v>
      </c>
      <c r="D129">
        <f>IF(INDEX(tblCleanData[Attrition],121)="Yes",1,0)</f>
        <v>0</v>
      </c>
      <c r="E129">
        <f>IF(INDEX(tblCleanData[OverTime],121)="Yes",1,0)</f>
        <v>0</v>
      </c>
      <c r="F129" t="str">
        <f>CHOOSE(INDEX(tblCleanData[Education],121),"Below College","College","Bachelor","Master","Doctor")</f>
        <v>Bachelor</v>
      </c>
      <c r="G129" t="str">
        <f>IF(INDEX(tblCleanData[YearsAtCompany],121)&lt;=2,"0-2 Years",IF(INDEX(tblCleanData[YearsAtCompany],121)&lt;=5,"3-5 Years",IF(INDEX(tblCleanData[YearsAtCompany],121)&lt;=10,"6-10 Years","10+ Years")))</f>
        <v>6-10 Years</v>
      </c>
      <c r="H129" t="str">
        <f>IF(INDEX(tblCleanData[WorkLifeBalance],121)&lt;=2,"Elevated","Normal")</f>
        <v>Elevated</v>
      </c>
      <c r="I129">
        <f>IF(INDEX(tblCleanData[Age],121)&lt;30,30,IF(INDEX(tblCleanData[Age],121)&lt;40,20,IF(INDEX(tblCleanData[Age],121)&lt;50,10,15)))</f>
        <v>20</v>
      </c>
      <c r="J129">
        <f>IF(INDEX(tblCleanData[MonthlyIncome],121)&lt;=$B$3,25,IF(INDEX(tblCleanData[MonthlyIncome],121)&lt;=$B$4,12,5))</f>
        <v>5</v>
      </c>
      <c r="K129">
        <f>IF(INDEX(tblCleanData[OverTime],121)="Yes",25,0)</f>
        <v>0</v>
      </c>
      <c r="L129">
        <f>(5-INDEX(tblCleanData[JobSatisfaction],121))*6.25</f>
        <v>12.5</v>
      </c>
      <c r="M129">
        <f>IF(INDEX(tblCleanData[YearsAtCompany],121)&lt;=2,25,IF(INDEX(tblCleanData[YearsAtCompany],121)&lt;=5,15,IF(INDEX(tblCleanData[YearsAtCompany],121)&lt;=10,8,3)))</f>
        <v>8</v>
      </c>
      <c r="N129">
        <f t="shared" si="2"/>
        <v>46</v>
      </c>
      <c r="O129" t="str">
        <f t="shared" si="3"/>
        <v>Medium Risk</v>
      </c>
    </row>
    <row r="130" spans="1:15" x14ac:dyDescent="0.25">
      <c r="A130">
        <f>INDEX(tblCleanData[EmployeeNumber],122)</f>
        <v>160</v>
      </c>
      <c r="B130" t="str">
        <f>IF(INDEX(tblCleanData[Age],122)&lt;30,"Under 30",IF(INDEX(tblCleanData[Age],122)&lt;40,"30-39",IF(INDEX(tblCleanData[Age],122)&lt;50,"40-49","50+")))</f>
        <v>30-39</v>
      </c>
      <c r="C130" t="str">
        <f>IF(INDEX(tblCleanData[MonthlyIncome],122)&lt;=$B$3,"Low Income",IF(INDEX(tblCleanData[MonthlyIncome],122)&lt;=$B$4,"Medium Income","High Income"))</f>
        <v>High Income</v>
      </c>
      <c r="D130">
        <f>IF(INDEX(tblCleanData[Attrition],122)="Yes",1,0)</f>
        <v>0</v>
      </c>
      <c r="E130">
        <f>IF(INDEX(tblCleanData[OverTime],122)="Yes",1,0)</f>
        <v>0</v>
      </c>
      <c r="F130" t="str">
        <f>CHOOSE(INDEX(tblCleanData[Education],122),"Below College","College","Bachelor","Master","Doctor")</f>
        <v>College</v>
      </c>
      <c r="G130" t="str">
        <f>IF(INDEX(tblCleanData[YearsAtCompany],122)&lt;=2,"0-2 Years",IF(INDEX(tblCleanData[YearsAtCompany],122)&lt;=5,"3-5 Years",IF(INDEX(tblCleanData[YearsAtCompany],122)&lt;=10,"6-10 Years","10+ Years")))</f>
        <v>6-10 Years</v>
      </c>
      <c r="H130" t="str">
        <f>IF(INDEX(tblCleanData[WorkLifeBalance],122)&lt;=2,"Elevated","Normal")</f>
        <v>Normal</v>
      </c>
      <c r="I130">
        <f>IF(INDEX(tblCleanData[Age],122)&lt;30,30,IF(INDEX(tblCleanData[Age],122)&lt;40,20,IF(INDEX(tblCleanData[Age],122)&lt;50,10,15)))</f>
        <v>20</v>
      </c>
      <c r="J130">
        <f>IF(INDEX(tblCleanData[MonthlyIncome],122)&lt;=$B$3,25,IF(INDEX(tblCleanData[MonthlyIncome],122)&lt;=$B$4,12,5))</f>
        <v>5</v>
      </c>
      <c r="K130">
        <f>IF(INDEX(tblCleanData[OverTime],122)="Yes",25,0)</f>
        <v>0</v>
      </c>
      <c r="L130">
        <f>(5-INDEX(tblCleanData[JobSatisfaction],122))*6.25</f>
        <v>18.75</v>
      </c>
      <c r="M130">
        <f>IF(INDEX(tblCleanData[YearsAtCompany],122)&lt;=2,25,IF(INDEX(tblCleanData[YearsAtCompany],122)&lt;=5,15,IF(INDEX(tblCleanData[YearsAtCompany],122)&lt;=10,8,3)))</f>
        <v>8</v>
      </c>
      <c r="N130">
        <f t="shared" si="2"/>
        <v>52</v>
      </c>
      <c r="O130" t="str">
        <f t="shared" si="3"/>
        <v>Medium Risk</v>
      </c>
    </row>
    <row r="131" spans="1:15" x14ac:dyDescent="0.25">
      <c r="A131">
        <f>INDEX(tblCleanData[EmployeeNumber],123)</f>
        <v>161</v>
      </c>
      <c r="B131" t="str">
        <f>IF(INDEX(tblCleanData[Age],123)&lt;30,"Under 30",IF(INDEX(tblCleanData[Age],123)&lt;40,"30-39",IF(INDEX(tblCleanData[Age],123)&lt;50,"40-49","50+")))</f>
        <v>50+</v>
      </c>
      <c r="C131" t="str">
        <f>IF(INDEX(tblCleanData[MonthlyIncome],123)&lt;=$B$3,"Low Income",IF(INDEX(tblCleanData[MonthlyIncome],123)&lt;=$B$4,"Medium Income","High Income"))</f>
        <v>High Income</v>
      </c>
      <c r="D131">
        <f>IF(INDEX(tblCleanData[Attrition],123)="Yes",1,0)</f>
        <v>1</v>
      </c>
      <c r="E131">
        <f>IF(INDEX(tblCleanData[OverTime],123)="Yes",1,0)</f>
        <v>1</v>
      </c>
      <c r="F131" t="str">
        <f>CHOOSE(INDEX(tblCleanData[Education],123),"Below College","College","Bachelor","Master","Doctor")</f>
        <v>Master</v>
      </c>
      <c r="G131" t="str">
        <f>IF(INDEX(tblCleanData[YearsAtCompany],123)&lt;=2,"0-2 Years",IF(INDEX(tblCleanData[YearsAtCompany],123)&lt;=5,"3-5 Years",IF(INDEX(tblCleanData[YearsAtCompany],123)&lt;=10,"6-10 Years","10+ Years")))</f>
        <v>3-5 Years</v>
      </c>
      <c r="H131" t="str">
        <f>IF(INDEX(tblCleanData[WorkLifeBalance],123)&lt;=2,"Elevated","Normal")</f>
        <v>Normal</v>
      </c>
      <c r="I131">
        <f>IF(INDEX(tblCleanData[Age],123)&lt;30,30,IF(INDEX(tblCleanData[Age],123)&lt;40,20,IF(INDEX(tblCleanData[Age],123)&lt;50,10,15)))</f>
        <v>15</v>
      </c>
      <c r="J131">
        <f>IF(INDEX(tblCleanData[MonthlyIncome],123)&lt;=$B$3,25,IF(INDEX(tblCleanData[MonthlyIncome],123)&lt;=$B$4,12,5))</f>
        <v>5</v>
      </c>
      <c r="K131">
        <f>IF(INDEX(tblCleanData[OverTime],123)="Yes",25,0)</f>
        <v>25</v>
      </c>
      <c r="L131">
        <f>(5-INDEX(tblCleanData[JobSatisfaction],123))*6.25</f>
        <v>18.75</v>
      </c>
      <c r="M131">
        <f>IF(INDEX(tblCleanData[YearsAtCompany],123)&lt;=2,25,IF(INDEX(tblCleanData[YearsAtCompany],123)&lt;=5,15,IF(INDEX(tblCleanData[YearsAtCompany],123)&lt;=10,8,3)))</f>
        <v>15</v>
      </c>
      <c r="N131">
        <f t="shared" si="2"/>
        <v>79</v>
      </c>
      <c r="O131" t="str">
        <f t="shared" si="3"/>
        <v>High Risk</v>
      </c>
    </row>
    <row r="132" spans="1:15" x14ac:dyDescent="0.25">
      <c r="A132">
        <f>INDEX(tblCleanData[EmployeeNumber],124)</f>
        <v>162</v>
      </c>
      <c r="B132" t="str">
        <f>IF(INDEX(tblCleanData[Age],124)&lt;30,"Under 30",IF(INDEX(tblCleanData[Age],124)&lt;40,"30-39",IF(INDEX(tblCleanData[Age],124)&lt;50,"40-49","50+")))</f>
        <v>50+</v>
      </c>
      <c r="C132" t="str">
        <f>IF(INDEX(tblCleanData[MonthlyIncome],124)&lt;=$B$3,"Low Income",IF(INDEX(tblCleanData[MonthlyIncome],124)&lt;=$B$4,"Medium Income","High Income"))</f>
        <v>High Income</v>
      </c>
      <c r="D132">
        <f>IF(INDEX(tblCleanData[Attrition],124)="Yes",1,0)</f>
        <v>0</v>
      </c>
      <c r="E132">
        <f>IF(INDEX(tblCleanData[OverTime],124)="Yes",1,0)</f>
        <v>0</v>
      </c>
      <c r="F132" t="str">
        <f>CHOOSE(INDEX(tblCleanData[Education],124),"Below College","College","Bachelor","Master","Doctor")</f>
        <v>Bachelor</v>
      </c>
      <c r="G132" t="str">
        <f>IF(INDEX(tblCleanData[YearsAtCompany],124)&lt;=2,"0-2 Years",IF(INDEX(tblCleanData[YearsAtCompany],124)&lt;=5,"3-5 Years",IF(INDEX(tblCleanData[YearsAtCompany],124)&lt;=10,"6-10 Years","10+ Years")))</f>
        <v>10+ Years</v>
      </c>
      <c r="H132" t="str">
        <f>IF(INDEX(tblCleanData[WorkLifeBalance],124)&lt;=2,"Elevated","Normal")</f>
        <v>Normal</v>
      </c>
      <c r="I132">
        <f>IF(INDEX(tblCleanData[Age],124)&lt;30,30,IF(INDEX(tblCleanData[Age],124)&lt;40,20,IF(INDEX(tblCleanData[Age],124)&lt;50,10,15)))</f>
        <v>15</v>
      </c>
      <c r="J132">
        <f>IF(INDEX(tblCleanData[MonthlyIncome],124)&lt;=$B$3,25,IF(INDEX(tblCleanData[MonthlyIncome],124)&lt;=$B$4,12,5))</f>
        <v>5</v>
      </c>
      <c r="K132">
        <f>IF(INDEX(tblCleanData[OverTime],124)="Yes",25,0)</f>
        <v>0</v>
      </c>
      <c r="L132">
        <f>(5-INDEX(tblCleanData[JobSatisfaction],124))*6.25</f>
        <v>12.5</v>
      </c>
      <c r="M132">
        <f>IF(INDEX(tblCleanData[YearsAtCompany],124)&lt;=2,25,IF(INDEX(tblCleanData[YearsAtCompany],124)&lt;=5,15,IF(INDEX(tblCleanData[YearsAtCompany],124)&lt;=10,8,3)))</f>
        <v>3</v>
      </c>
      <c r="N132">
        <f t="shared" si="2"/>
        <v>36</v>
      </c>
      <c r="O132" t="str">
        <f t="shared" si="3"/>
        <v>Medium Risk</v>
      </c>
    </row>
    <row r="133" spans="1:15" x14ac:dyDescent="0.25">
      <c r="A133">
        <f>INDEX(tblCleanData[EmployeeNumber],125)</f>
        <v>163</v>
      </c>
      <c r="B133" t="str">
        <f>IF(INDEX(tblCleanData[Age],125)&lt;30,"Under 30",IF(INDEX(tblCleanData[Age],125)&lt;40,"30-39",IF(INDEX(tblCleanData[Age],125)&lt;50,"40-49","50+")))</f>
        <v>30-39</v>
      </c>
      <c r="C133" t="str">
        <f>IF(INDEX(tblCleanData[MonthlyIncome],125)&lt;=$B$3,"Low Income",IF(INDEX(tblCleanData[MonthlyIncome],125)&lt;=$B$4,"Medium Income","High Income"))</f>
        <v>High Income</v>
      </c>
      <c r="D133">
        <f>IF(INDEX(tblCleanData[Attrition],125)="Yes",1,0)</f>
        <v>1</v>
      </c>
      <c r="E133">
        <f>IF(INDEX(tblCleanData[OverTime],125)="Yes",1,0)</f>
        <v>1</v>
      </c>
      <c r="F133" t="str">
        <f>CHOOSE(INDEX(tblCleanData[Education],125),"Below College","College","Bachelor","Master","Doctor")</f>
        <v>Master</v>
      </c>
      <c r="G133" t="str">
        <f>IF(INDEX(tblCleanData[YearsAtCompany],125)&lt;=2,"0-2 Years",IF(INDEX(tblCleanData[YearsAtCompany],125)&lt;=5,"3-5 Years",IF(INDEX(tblCleanData[YearsAtCompany],125)&lt;=10,"6-10 Years","10+ Years")))</f>
        <v>6-10 Years</v>
      </c>
      <c r="H133" t="str">
        <f>IF(INDEX(tblCleanData[WorkLifeBalance],125)&lt;=2,"Elevated","Normal")</f>
        <v>Elevated</v>
      </c>
      <c r="I133">
        <f>IF(INDEX(tblCleanData[Age],125)&lt;30,30,IF(INDEX(tblCleanData[Age],125)&lt;40,20,IF(INDEX(tblCleanData[Age],125)&lt;50,10,15)))</f>
        <v>20</v>
      </c>
      <c r="J133">
        <f>IF(INDEX(tblCleanData[MonthlyIncome],125)&lt;=$B$3,25,IF(INDEX(tblCleanData[MonthlyIncome],125)&lt;=$B$4,12,5))</f>
        <v>5</v>
      </c>
      <c r="K133">
        <f>IF(INDEX(tblCleanData[OverTime],125)="Yes",25,0)</f>
        <v>25</v>
      </c>
      <c r="L133">
        <f>(5-INDEX(tblCleanData[JobSatisfaction],125))*6.25</f>
        <v>12.5</v>
      </c>
      <c r="M133">
        <f>IF(INDEX(tblCleanData[YearsAtCompany],125)&lt;=2,25,IF(INDEX(tblCleanData[YearsAtCompany],125)&lt;=5,15,IF(INDEX(tblCleanData[YearsAtCompany],125)&lt;=10,8,3)))</f>
        <v>8</v>
      </c>
      <c r="N133">
        <f t="shared" si="2"/>
        <v>71</v>
      </c>
      <c r="O133" t="str">
        <f t="shared" si="3"/>
        <v>High Risk</v>
      </c>
    </row>
    <row r="134" spans="1:15" x14ac:dyDescent="0.25">
      <c r="A134">
        <f>INDEX(tblCleanData[EmployeeNumber],126)</f>
        <v>164</v>
      </c>
      <c r="B134" t="str">
        <f>IF(INDEX(tblCleanData[Age],126)&lt;30,"Under 30",IF(INDEX(tblCleanData[Age],126)&lt;40,"30-39",IF(INDEX(tblCleanData[Age],126)&lt;50,"40-49","50+")))</f>
        <v>Under 30</v>
      </c>
      <c r="C134" t="str">
        <f>IF(INDEX(tblCleanData[MonthlyIncome],126)&lt;=$B$3,"Low Income",IF(INDEX(tblCleanData[MonthlyIncome],126)&lt;=$B$4,"Medium Income","High Income"))</f>
        <v>High Income</v>
      </c>
      <c r="D134">
        <f>IF(INDEX(tblCleanData[Attrition],126)="Yes",1,0)</f>
        <v>0</v>
      </c>
      <c r="E134">
        <f>IF(INDEX(tblCleanData[OverTime],126)="Yes",1,0)</f>
        <v>0</v>
      </c>
      <c r="F134" t="str">
        <f>CHOOSE(INDEX(tblCleanData[Education],126),"Below College","College","Bachelor","Master","Doctor")</f>
        <v>Bachelor</v>
      </c>
      <c r="G134" t="str">
        <f>IF(INDEX(tblCleanData[YearsAtCompany],126)&lt;=2,"0-2 Years",IF(INDEX(tblCleanData[YearsAtCompany],126)&lt;=5,"3-5 Years",IF(INDEX(tblCleanData[YearsAtCompany],126)&lt;=10,"6-10 Years","10+ Years")))</f>
        <v>3-5 Years</v>
      </c>
      <c r="H134" t="str">
        <f>IF(INDEX(tblCleanData[WorkLifeBalance],126)&lt;=2,"Elevated","Normal")</f>
        <v>Elevated</v>
      </c>
      <c r="I134">
        <f>IF(INDEX(tblCleanData[Age],126)&lt;30,30,IF(INDEX(tblCleanData[Age],126)&lt;40,20,IF(INDEX(tblCleanData[Age],126)&lt;50,10,15)))</f>
        <v>30</v>
      </c>
      <c r="J134">
        <f>IF(INDEX(tblCleanData[MonthlyIncome],126)&lt;=$B$3,25,IF(INDEX(tblCleanData[MonthlyIncome],126)&lt;=$B$4,12,5))</f>
        <v>5</v>
      </c>
      <c r="K134">
        <f>IF(INDEX(tblCleanData[OverTime],126)="Yes",25,0)</f>
        <v>0</v>
      </c>
      <c r="L134">
        <f>(5-INDEX(tblCleanData[JobSatisfaction],126))*6.25</f>
        <v>18.75</v>
      </c>
      <c r="M134">
        <f>IF(INDEX(tblCleanData[YearsAtCompany],126)&lt;=2,25,IF(INDEX(tblCleanData[YearsAtCompany],126)&lt;=5,15,IF(INDEX(tblCleanData[YearsAtCompany],126)&lt;=10,8,3)))</f>
        <v>15</v>
      </c>
      <c r="N134">
        <f t="shared" si="2"/>
        <v>69</v>
      </c>
      <c r="O134" t="str">
        <f t="shared" si="3"/>
        <v>High Risk</v>
      </c>
    </row>
    <row r="135" spans="1:15" x14ac:dyDescent="0.25">
      <c r="A135">
        <f>INDEX(tblCleanData[EmployeeNumber],127)</f>
        <v>165</v>
      </c>
      <c r="B135" t="str">
        <f>IF(INDEX(tblCleanData[Age],127)&lt;30,"Under 30",IF(INDEX(tblCleanData[Age],127)&lt;40,"30-39",IF(INDEX(tblCleanData[Age],127)&lt;50,"40-49","50+")))</f>
        <v>50+</v>
      </c>
      <c r="C135" t="str">
        <f>IF(INDEX(tblCleanData[MonthlyIncome],127)&lt;=$B$3,"Low Income",IF(INDEX(tblCleanData[MonthlyIncome],127)&lt;=$B$4,"Medium Income","High Income"))</f>
        <v>High Income</v>
      </c>
      <c r="D135">
        <f>IF(INDEX(tblCleanData[Attrition],127)="Yes",1,0)</f>
        <v>1</v>
      </c>
      <c r="E135">
        <f>IF(INDEX(tblCleanData[OverTime],127)="Yes",1,0)</f>
        <v>0</v>
      </c>
      <c r="F135" t="str">
        <f>CHOOSE(INDEX(tblCleanData[Education],127),"Below College","College","Bachelor","Master","Doctor")</f>
        <v>Master</v>
      </c>
      <c r="G135" t="str">
        <f>IF(INDEX(tblCleanData[YearsAtCompany],127)&lt;=2,"0-2 Years",IF(INDEX(tblCleanData[YearsAtCompany],127)&lt;=5,"3-5 Years",IF(INDEX(tblCleanData[YearsAtCompany],127)&lt;=10,"6-10 Years","10+ Years")))</f>
        <v>10+ Years</v>
      </c>
      <c r="H135" t="str">
        <f>IF(INDEX(tblCleanData[WorkLifeBalance],127)&lt;=2,"Elevated","Normal")</f>
        <v>Elevated</v>
      </c>
      <c r="I135">
        <f>IF(INDEX(tblCleanData[Age],127)&lt;30,30,IF(INDEX(tblCleanData[Age],127)&lt;40,20,IF(INDEX(tblCleanData[Age],127)&lt;50,10,15)))</f>
        <v>15</v>
      </c>
      <c r="J135">
        <f>IF(INDEX(tblCleanData[MonthlyIncome],127)&lt;=$B$3,25,IF(INDEX(tblCleanData[MonthlyIncome],127)&lt;=$B$4,12,5))</f>
        <v>5</v>
      </c>
      <c r="K135">
        <f>IF(INDEX(tblCleanData[OverTime],127)="Yes",25,0)</f>
        <v>0</v>
      </c>
      <c r="L135">
        <f>(5-INDEX(tblCleanData[JobSatisfaction],127))*6.25</f>
        <v>6.25</v>
      </c>
      <c r="M135">
        <f>IF(INDEX(tblCleanData[YearsAtCompany],127)&lt;=2,25,IF(INDEX(tblCleanData[YearsAtCompany],127)&lt;=5,15,IF(INDEX(tblCleanData[YearsAtCompany],127)&lt;=10,8,3)))</f>
        <v>3</v>
      </c>
      <c r="N135">
        <f t="shared" si="2"/>
        <v>29</v>
      </c>
      <c r="O135" t="str">
        <f t="shared" si="3"/>
        <v>Low Risk</v>
      </c>
    </row>
    <row r="136" spans="1:15" x14ac:dyDescent="0.25">
      <c r="A136">
        <f>INDEX(tblCleanData[EmployeeNumber],128)</f>
        <v>167</v>
      </c>
      <c r="B136" t="str">
        <f>IF(INDEX(tblCleanData[Age],128)&lt;30,"Under 30",IF(INDEX(tblCleanData[Age],128)&lt;40,"30-39",IF(INDEX(tblCleanData[Age],128)&lt;50,"40-49","50+")))</f>
        <v>Under 30</v>
      </c>
      <c r="C136" t="str">
        <f>IF(INDEX(tblCleanData[MonthlyIncome],128)&lt;=$B$3,"Low Income",IF(INDEX(tblCleanData[MonthlyIncome],128)&lt;=$B$4,"Medium Income","High Income"))</f>
        <v>High Income</v>
      </c>
      <c r="D136">
        <f>IF(INDEX(tblCleanData[Attrition],128)="Yes",1,0)</f>
        <v>1</v>
      </c>
      <c r="E136">
        <f>IF(INDEX(tblCleanData[OverTime],128)="Yes",1,0)</f>
        <v>1</v>
      </c>
      <c r="F136" t="str">
        <f>CHOOSE(INDEX(tblCleanData[Education],128),"Below College","College","Bachelor","Master","Doctor")</f>
        <v>Below College</v>
      </c>
      <c r="G136" t="str">
        <f>IF(INDEX(tblCleanData[YearsAtCompany],128)&lt;=2,"0-2 Years",IF(INDEX(tblCleanData[YearsAtCompany],128)&lt;=5,"3-5 Years",IF(INDEX(tblCleanData[YearsAtCompany],128)&lt;=10,"6-10 Years","10+ Years")))</f>
        <v>0-2 Years</v>
      </c>
      <c r="H136" t="str">
        <f>IF(INDEX(tblCleanData[WorkLifeBalance],128)&lt;=2,"Elevated","Normal")</f>
        <v>Elevated</v>
      </c>
      <c r="I136">
        <f>IF(INDEX(tblCleanData[Age],128)&lt;30,30,IF(INDEX(tblCleanData[Age],128)&lt;40,20,IF(INDEX(tblCleanData[Age],128)&lt;50,10,15)))</f>
        <v>30</v>
      </c>
      <c r="J136">
        <f>IF(INDEX(tblCleanData[MonthlyIncome],128)&lt;=$B$3,25,IF(INDEX(tblCleanData[MonthlyIncome],128)&lt;=$B$4,12,5))</f>
        <v>5</v>
      </c>
      <c r="K136">
        <f>IF(INDEX(tblCleanData[OverTime],128)="Yes",25,0)</f>
        <v>25</v>
      </c>
      <c r="L136">
        <f>(5-INDEX(tblCleanData[JobSatisfaction],128))*6.25</f>
        <v>12.5</v>
      </c>
      <c r="M136">
        <f>IF(INDEX(tblCleanData[YearsAtCompany],128)&lt;=2,25,IF(INDEX(tblCleanData[YearsAtCompany],128)&lt;=5,15,IF(INDEX(tblCleanData[YearsAtCompany],128)&lt;=10,8,3)))</f>
        <v>25</v>
      </c>
      <c r="N136">
        <f t="shared" si="2"/>
        <v>98</v>
      </c>
      <c r="O136" t="str">
        <f t="shared" si="3"/>
        <v>High Risk</v>
      </c>
    </row>
    <row r="137" spans="1:15" x14ac:dyDescent="0.25">
      <c r="A137">
        <f>INDEX(tblCleanData[EmployeeNumber],129)</f>
        <v>169</v>
      </c>
      <c r="B137" t="str">
        <f>IF(INDEX(tblCleanData[Age],129)&lt;30,"Under 30",IF(INDEX(tblCleanData[Age],129)&lt;40,"30-39",IF(INDEX(tblCleanData[Age],129)&lt;50,"40-49","50+")))</f>
        <v>Under 30</v>
      </c>
      <c r="C137" t="str">
        <f>IF(INDEX(tblCleanData[MonthlyIncome],129)&lt;=$B$3,"Low Income",IF(INDEX(tblCleanData[MonthlyIncome],129)&lt;=$B$4,"Medium Income","High Income"))</f>
        <v>High Income</v>
      </c>
      <c r="D137">
        <f>IF(INDEX(tblCleanData[Attrition],129)="Yes",1,0)</f>
        <v>0</v>
      </c>
      <c r="E137">
        <f>IF(INDEX(tblCleanData[OverTime],129)="Yes",1,0)</f>
        <v>0</v>
      </c>
      <c r="F137" t="str">
        <f>CHOOSE(INDEX(tblCleanData[Education],129),"Below College","College","Bachelor","Master","Doctor")</f>
        <v>Below College</v>
      </c>
      <c r="G137" t="str">
        <f>IF(INDEX(tblCleanData[YearsAtCompany],129)&lt;=2,"0-2 Years",IF(INDEX(tblCleanData[YearsAtCompany],129)&lt;=5,"3-5 Years",IF(INDEX(tblCleanData[YearsAtCompany],129)&lt;=10,"6-10 Years","10+ Years")))</f>
        <v>0-2 Years</v>
      </c>
      <c r="H137" t="str">
        <f>IF(INDEX(tblCleanData[WorkLifeBalance],129)&lt;=2,"Elevated","Normal")</f>
        <v>Normal</v>
      </c>
      <c r="I137">
        <f>IF(INDEX(tblCleanData[Age],129)&lt;30,30,IF(INDEX(tblCleanData[Age],129)&lt;40,20,IF(INDEX(tblCleanData[Age],129)&lt;50,10,15)))</f>
        <v>30</v>
      </c>
      <c r="J137">
        <f>IF(INDEX(tblCleanData[MonthlyIncome],129)&lt;=$B$3,25,IF(INDEX(tblCleanData[MonthlyIncome],129)&lt;=$B$4,12,5))</f>
        <v>5</v>
      </c>
      <c r="K137">
        <f>IF(INDEX(tblCleanData[OverTime],129)="Yes",25,0)</f>
        <v>0</v>
      </c>
      <c r="L137">
        <f>(5-INDEX(tblCleanData[JobSatisfaction],129))*6.25</f>
        <v>6.25</v>
      </c>
      <c r="M137">
        <f>IF(INDEX(tblCleanData[YearsAtCompany],129)&lt;=2,25,IF(INDEX(tblCleanData[YearsAtCompany],129)&lt;=5,15,IF(INDEX(tblCleanData[YearsAtCompany],129)&lt;=10,8,3)))</f>
        <v>25</v>
      </c>
      <c r="N137">
        <f t="shared" ref="N137:N200" si="4">ROUND(I137+J137+K137+L137+M137,0)</f>
        <v>66</v>
      </c>
      <c r="O137" t="str">
        <f t="shared" ref="O137:O200" si="5">IF(N137&gt;=55,"High Risk",IF(N137&gt;=35,"Medium Risk","Low Risk"))</f>
        <v>High Risk</v>
      </c>
    </row>
    <row r="138" spans="1:15" x14ac:dyDescent="0.25">
      <c r="A138">
        <f>INDEX(tblCleanData[EmployeeNumber],130)</f>
        <v>170</v>
      </c>
      <c r="B138" t="str">
        <f>IF(INDEX(tblCleanData[Age],130)&lt;30,"Under 30",IF(INDEX(tblCleanData[Age],130)&lt;40,"30-39",IF(INDEX(tblCleanData[Age],130)&lt;50,"40-49","50+")))</f>
        <v>40-49</v>
      </c>
      <c r="C138" t="str">
        <f>IF(INDEX(tblCleanData[MonthlyIncome],130)&lt;=$B$3,"Low Income",IF(INDEX(tblCleanData[MonthlyIncome],130)&lt;=$B$4,"Medium Income","High Income"))</f>
        <v>High Income</v>
      </c>
      <c r="D138">
        <f>IF(INDEX(tblCleanData[Attrition],130)="Yes",1,0)</f>
        <v>0</v>
      </c>
      <c r="E138">
        <f>IF(INDEX(tblCleanData[OverTime],130)="Yes",1,0)</f>
        <v>0</v>
      </c>
      <c r="F138" t="str">
        <f>CHOOSE(INDEX(tblCleanData[Education],130),"Below College","College","Bachelor","Master","Doctor")</f>
        <v>Master</v>
      </c>
      <c r="G138" t="str">
        <f>IF(INDEX(tblCleanData[YearsAtCompany],130)&lt;=2,"0-2 Years",IF(INDEX(tblCleanData[YearsAtCompany],130)&lt;=5,"3-5 Years",IF(INDEX(tblCleanData[YearsAtCompany],130)&lt;=10,"6-10 Years","10+ Years")))</f>
        <v>10+ Years</v>
      </c>
      <c r="H138" t="str">
        <f>IF(INDEX(tblCleanData[WorkLifeBalance],130)&lt;=2,"Elevated","Normal")</f>
        <v>Elevated</v>
      </c>
      <c r="I138">
        <f>IF(INDEX(tblCleanData[Age],130)&lt;30,30,IF(INDEX(tblCleanData[Age],130)&lt;40,20,IF(INDEX(tblCleanData[Age],130)&lt;50,10,15)))</f>
        <v>10</v>
      </c>
      <c r="J138">
        <f>IF(INDEX(tblCleanData[MonthlyIncome],130)&lt;=$B$3,25,IF(INDEX(tblCleanData[MonthlyIncome],130)&lt;=$B$4,12,5))</f>
        <v>5</v>
      </c>
      <c r="K138">
        <f>IF(INDEX(tblCleanData[OverTime],130)="Yes",25,0)</f>
        <v>0</v>
      </c>
      <c r="L138">
        <f>(5-INDEX(tblCleanData[JobSatisfaction],130))*6.25</f>
        <v>25</v>
      </c>
      <c r="M138">
        <f>IF(INDEX(tblCleanData[YearsAtCompany],130)&lt;=2,25,IF(INDEX(tblCleanData[YearsAtCompany],130)&lt;=5,15,IF(INDEX(tblCleanData[YearsAtCompany],130)&lt;=10,8,3)))</f>
        <v>3</v>
      </c>
      <c r="N138">
        <f t="shared" si="4"/>
        <v>43</v>
      </c>
      <c r="O138" t="str">
        <f t="shared" si="5"/>
        <v>Medium Risk</v>
      </c>
    </row>
    <row r="139" spans="1:15" x14ac:dyDescent="0.25">
      <c r="A139">
        <f>INDEX(tblCleanData[EmployeeNumber],131)</f>
        <v>171</v>
      </c>
      <c r="B139" t="str">
        <f>IF(INDEX(tblCleanData[Age],131)&lt;30,"Under 30",IF(INDEX(tblCleanData[Age],131)&lt;40,"30-39",IF(INDEX(tblCleanData[Age],131)&lt;50,"40-49","50+")))</f>
        <v>40-49</v>
      </c>
      <c r="C139" t="str">
        <f>IF(INDEX(tblCleanData[MonthlyIncome],131)&lt;=$B$3,"Low Income",IF(INDEX(tblCleanData[MonthlyIncome],131)&lt;=$B$4,"Medium Income","High Income"))</f>
        <v>High Income</v>
      </c>
      <c r="D139">
        <f>IF(INDEX(tblCleanData[Attrition],131)="Yes",1,0)</f>
        <v>0</v>
      </c>
      <c r="E139">
        <f>IF(INDEX(tblCleanData[OverTime],131)="Yes",1,0)</f>
        <v>0</v>
      </c>
      <c r="F139" t="str">
        <f>CHOOSE(INDEX(tblCleanData[Education],131),"Below College","College","Bachelor","Master","Doctor")</f>
        <v>Bachelor</v>
      </c>
      <c r="G139" t="str">
        <f>IF(INDEX(tblCleanData[YearsAtCompany],131)&lt;=2,"0-2 Years",IF(INDEX(tblCleanData[YearsAtCompany],131)&lt;=5,"3-5 Years",IF(INDEX(tblCleanData[YearsAtCompany],131)&lt;=10,"6-10 Years","10+ Years")))</f>
        <v>3-5 Years</v>
      </c>
      <c r="H139" t="str">
        <f>IF(INDEX(tblCleanData[WorkLifeBalance],131)&lt;=2,"Elevated","Normal")</f>
        <v>Normal</v>
      </c>
      <c r="I139">
        <f>IF(INDEX(tblCleanData[Age],131)&lt;30,30,IF(INDEX(tblCleanData[Age],131)&lt;40,20,IF(INDEX(tblCleanData[Age],131)&lt;50,10,15)))</f>
        <v>10</v>
      </c>
      <c r="J139">
        <f>IF(INDEX(tblCleanData[MonthlyIncome],131)&lt;=$B$3,25,IF(INDEX(tblCleanData[MonthlyIncome],131)&lt;=$B$4,12,5))</f>
        <v>5</v>
      </c>
      <c r="K139">
        <f>IF(INDEX(tblCleanData[OverTime],131)="Yes",25,0)</f>
        <v>0</v>
      </c>
      <c r="L139">
        <f>(5-INDEX(tblCleanData[JobSatisfaction],131))*6.25</f>
        <v>12.5</v>
      </c>
      <c r="M139">
        <f>IF(INDEX(tblCleanData[YearsAtCompany],131)&lt;=2,25,IF(INDEX(tblCleanData[YearsAtCompany],131)&lt;=5,15,IF(INDEX(tblCleanData[YearsAtCompany],131)&lt;=10,8,3)))</f>
        <v>15</v>
      </c>
      <c r="N139">
        <f t="shared" si="4"/>
        <v>43</v>
      </c>
      <c r="O139" t="str">
        <f t="shared" si="5"/>
        <v>Medium Risk</v>
      </c>
    </row>
    <row r="140" spans="1:15" x14ac:dyDescent="0.25">
      <c r="A140">
        <f>INDEX(tblCleanData[EmployeeNumber],132)</f>
        <v>174</v>
      </c>
      <c r="B140" t="str">
        <f>IF(INDEX(tblCleanData[Age],132)&lt;30,"Under 30",IF(INDEX(tblCleanData[Age],132)&lt;40,"30-39",IF(INDEX(tblCleanData[Age],132)&lt;50,"40-49","50+")))</f>
        <v>50+</v>
      </c>
      <c r="C140" t="str">
        <f>IF(INDEX(tblCleanData[MonthlyIncome],132)&lt;=$B$3,"Low Income",IF(INDEX(tblCleanData[MonthlyIncome],132)&lt;=$B$4,"Medium Income","High Income"))</f>
        <v>High Income</v>
      </c>
      <c r="D140">
        <f>IF(INDEX(tblCleanData[Attrition],132)="Yes",1,0)</f>
        <v>0</v>
      </c>
      <c r="E140">
        <f>IF(INDEX(tblCleanData[OverTime],132)="Yes",1,0)</f>
        <v>0</v>
      </c>
      <c r="F140" t="str">
        <f>CHOOSE(INDEX(tblCleanData[Education],132),"Below College","College","Bachelor","Master","Doctor")</f>
        <v>Bachelor</v>
      </c>
      <c r="G140" t="str">
        <f>IF(INDEX(tblCleanData[YearsAtCompany],132)&lt;=2,"0-2 Years",IF(INDEX(tblCleanData[YearsAtCompany],132)&lt;=5,"3-5 Years",IF(INDEX(tblCleanData[YearsAtCompany],132)&lt;=10,"6-10 Years","10+ Years")))</f>
        <v>0-2 Years</v>
      </c>
      <c r="H140" t="str">
        <f>IF(INDEX(tblCleanData[WorkLifeBalance],132)&lt;=2,"Elevated","Normal")</f>
        <v>Normal</v>
      </c>
      <c r="I140">
        <f>IF(INDEX(tblCleanData[Age],132)&lt;30,30,IF(INDEX(tblCleanData[Age],132)&lt;40,20,IF(INDEX(tblCleanData[Age],132)&lt;50,10,15)))</f>
        <v>15</v>
      </c>
      <c r="J140">
        <f>IF(INDEX(tblCleanData[MonthlyIncome],132)&lt;=$B$3,25,IF(INDEX(tblCleanData[MonthlyIncome],132)&lt;=$B$4,12,5))</f>
        <v>5</v>
      </c>
      <c r="K140">
        <f>IF(INDEX(tblCleanData[OverTime],132)="Yes",25,0)</f>
        <v>0</v>
      </c>
      <c r="L140">
        <f>(5-INDEX(tblCleanData[JobSatisfaction],132))*6.25</f>
        <v>6.25</v>
      </c>
      <c r="M140">
        <f>IF(INDEX(tblCleanData[YearsAtCompany],132)&lt;=2,25,IF(INDEX(tblCleanData[YearsAtCompany],132)&lt;=5,15,IF(INDEX(tblCleanData[YearsAtCompany],132)&lt;=10,8,3)))</f>
        <v>25</v>
      </c>
      <c r="N140">
        <f t="shared" si="4"/>
        <v>51</v>
      </c>
      <c r="O140" t="str">
        <f t="shared" si="5"/>
        <v>Medium Risk</v>
      </c>
    </row>
    <row r="141" spans="1:15" x14ac:dyDescent="0.25">
      <c r="A141">
        <f>INDEX(tblCleanData[EmployeeNumber],133)</f>
        <v>175</v>
      </c>
      <c r="B141" t="str">
        <f>IF(INDEX(tblCleanData[Age],133)&lt;30,"Under 30",IF(INDEX(tblCleanData[Age],133)&lt;40,"30-39",IF(INDEX(tblCleanData[Age],133)&lt;50,"40-49","50+")))</f>
        <v>30-39</v>
      </c>
      <c r="C141" t="str">
        <f>IF(INDEX(tblCleanData[MonthlyIncome],133)&lt;=$B$3,"Low Income",IF(INDEX(tblCleanData[MonthlyIncome],133)&lt;=$B$4,"Medium Income","High Income"))</f>
        <v>High Income</v>
      </c>
      <c r="D141">
        <f>IF(INDEX(tblCleanData[Attrition],133)="Yes",1,0)</f>
        <v>1</v>
      </c>
      <c r="E141">
        <f>IF(INDEX(tblCleanData[OverTime],133)="Yes",1,0)</f>
        <v>1</v>
      </c>
      <c r="F141" t="str">
        <f>CHOOSE(INDEX(tblCleanData[Education],133),"Below College","College","Bachelor","Master","Doctor")</f>
        <v>Bachelor</v>
      </c>
      <c r="G141" t="str">
        <f>IF(INDEX(tblCleanData[YearsAtCompany],133)&lt;=2,"0-2 Years",IF(INDEX(tblCleanData[YearsAtCompany],133)&lt;=5,"3-5 Years",IF(INDEX(tblCleanData[YearsAtCompany],133)&lt;=10,"6-10 Years","10+ Years")))</f>
        <v>0-2 Years</v>
      </c>
      <c r="H141" t="str">
        <f>IF(INDEX(tblCleanData[WorkLifeBalance],133)&lt;=2,"Elevated","Normal")</f>
        <v>Normal</v>
      </c>
      <c r="I141">
        <f>IF(INDEX(tblCleanData[Age],133)&lt;30,30,IF(INDEX(tblCleanData[Age],133)&lt;40,20,IF(INDEX(tblCleanData[Age],133)&lt;50,10,15)))</f>
        <v>20</v>
      </c>
      <c r="J141">
        <f>IF(INDEX(tblCleanData[MonthlyIncome],133)&lt;=$B$3,25,IF(INDEX(tblCleanData[MonthlyIncome],133)&lt;=$B$4,12,5))</f>
        <v>5</v>
      </c>
      <c r="K141">
        <f>IF(INDEX(tblCleanData[OverTime],133)="Yes",25,0)</f>
        <v>25</v>
      </c>
      <c r="L141">
        <f>(5-INDEX(tblCleanData[JobSatisfaction],133))*6.25</f>
        <v>12.5</v>
      </c>
      <c r="M141">
        <f>IF(INDEX(tblCleanData[YearsAtCompany],133)&lt;=2,25,IF(INDEX(tblCleanData[YearsAtCompany],133)&lt;=5,15,IF(INDEX(tblCleanData[YearsAtCompany],133)&lt;=10,8,3)))</f>
        <v>25</v>
      </c>
      <c r="N141">
        <f t="shared" si="4"/>
        <v>88</v>
      </c>
      <c r="O141" t="str">
        <f t="shared" si="5"/>
        <v>High Risk</v>
      </c>
    </row>
    <row r="142" spans="1:15" x14ac:dyDescent="0.25">
      <c r="A142">
        <f>INDEX(tblCleanData[EmployeeNumber],134)</f>
        <v>176</v>
      </c>
      <c r="B142" t="str">
        <f>IF(INDEX(tblCleanData[Age],134)&lt;30,"Under 30",IF(INDEX(tblCleanData[Age],134)&lt;40,"30-39",IF(INDEX(tblCleanData[Age],134)&lt;50,"40-49","50+")))</f>
        <v>40-49</v>
      </c>
      <c r="C142" t="str">
        <f>IF(INDEX(tblCleanData[MonthlyIncome],134)&lt;=$B$3,"Low Income",IF(INDEX(tblCleanData[MonthlyIncome],134)&lt;=$B$4,"Medium Income","High Income"))</f>
        <v>High Income</v>
      </c>
      <c r="D142">
        <f>IF(INDEX(tblCleanData[Attrition],134)="Yes",1,0)</f>
        <v>0</v>
      </c>
      <c r="E142">
        <f>IF(INDEX(tblCleanData[OverTime],134)="Yes",1,0)</f>
        <v>1</v>
      </c>
      <c r="F142" t="str">
        <f>CHOOSE(INDEX(tblCleanData[Education],134),"Below College","College","Bachelor","Master","Doctor")</f>
        <v>Below College</v>
      </c>
      <c r="G142" t="str">
        <f>IF(INDEX(tblCleanData[YearsAtCompany],134)&lt;=2,"0-2 Years",IF(INDEX(tblCleanData[YearsAtCompany],134)&lt;=5,"3-5 Years",IF(INDEX(tblCleanData[YearsAtCompany],134)&lt;=10,"6-10 Years","10+ Years")))</f>
        <v>6-10 Years</v>
      </c>
      <c r="H142" t="str">
        <f>IF(INDEX(tblCleanData[WorkLifeBalance],134)&lt;=2,"Elevated","Normal")</f>
        <v>Normal</v>
      </c>
      <c r="I142">
        <f>IF(INDEX(tblCleanData[Age],134)&lt;30,30,IF(INDEX(tblCleanData[Age],134)&lt;40,20,IF(INDEX(tblCleanData[Age],134)&lt;50,10,15)))</f>
        <v>10</v>
      </c>
      <c r="J142">
        <f>IF(INDEX(tblCleanData[MonthlyIncome],134)&lt;=$B$3,25,IF(INDEX(tblCleanData[MonthlyIncome],134)&lt;=$B$4,12,5))</f>
        <v>5</v>
      </c>
      <c r="K142">
        <f>IF(INDEX(tblCleanData[OverTime],134)="Yes",25,0)</f>
        <v>25</v>
      </c>
      <c r="L142">
        <f>(5-INDEX(tblCleanData[JobSatisfaction],134))*6.25</f>
        <v>12.5</v>
      </c>
      <c r="M142">
        <f>IF(INDEX(tblCleanData[YearsAtCompany],134)&lt;=2,25,IF(INDEX(tblCleanData[YearsAtCompany],134)&lt;=5,15,IF(INDEX(tblCleanData[YearsAtCompany],134)&lt;=10,8,3)))</f>
        <v>8</v>
      </c>
      <c r="N142">
        <f t="shared" si="4"/>
        <v>61</v>
      </c>
      <c r="O142" t="str">
        <f t="shared" si="5"/>
        <v>High Risk</v>
      </c>
    </row>
    <row r="143" spans="1:15" x14ac:dyDescent="0.25">
      <c r="A143">
        <f>INDEX(tblCleanData[EmployeeNumber],135)</f>
        <v>177</v>
      </c>
      <c r="B143" t="str">
        <f>IF(INDEX(tblCleanData[Age],135)&lt;30,"Under 30",IF(INDEX(tblCleanData[Age],135)&lt;40,"30-39",IF(INDEX(tblCleanData[Age],135)&lt;50,"40-49","50+")))</f>
        <v>Under 30</v>
      </c>
      <c r="C143" t="str">
        <f>IF(INDEX(tblCleanData[MonthlyIncome],135)&lt;=$B$3,"Low Income",IF(INDEX(tblCleanData[MonthlyIncome],135)&lt;=$B$4,"Medium Income","High Income"))</f>
        <v>High Income</v>
      </c>
      <c r="D143">
        <f>IF(INDEX(tblCleanData[Attrition],135)="Yes",1,0)</f>
        <v>0</v>
      </c>
      <c r="E143">
        <f>IF(INDEX(tblCleanData[OverTime],135)="Yes",1,0)</f>
        <v>0</v>
      </c>
      <c r="F143" t="str">
        <f>CHOOSE(INDEX(tblCleanData[Education],135),"Below College","College","Bachelor","Master","Doctor")</f>
        <v>Below College</v>
      </c>
      <c r="G143" t="str">
        <f>IF(INDEX(tblCleanData[YearsAtCompany],135)&lt;=2,"0-2 Years",IF(INDEX(tblCleanData[YearsAtCompany],135)&lt;=5,"3-5 Years",IF(INDEX(tblCleanData[YearsAtCompany],135)&lt;=10,"6-10 Years","10+ Years")))</f>
        <v>6-10 Years</v>
      </c>
      <c r="H143" t="str">
        <f>IF(INDEX(tblCleanData[WorkLifeBalance],135)&lt;=2,"Elevated","Normal")</f>
        <v>Normal</v>
      </c>
      <c r="I143">
        <f>IF(INDEX(tblCleanData[Age],135)&lt;30,30,IF(INDEX(tblCleanData[Age],135)&lt;40,20,IF(INDEX(tblCleanData[Age],135)&lt;50,10,15)))</f>
        <v>30</v>
      </c>
      <c r="J143">
        <f>IF(INDEX(tblCleanData[MonthlyIncome],135)&lt;=$B$3,25,IF(INDEX(tblCleanData[MonthlyIncome],135)&lt;=$B$4,12,5))</f>
        <v>5</v>
      </c>
      <c r="K143">
        <f>IF(INDEX(tblCleanData[OverTime],135)="Yes",25,0)</f>
        <v>0</v>
      </c>
      <c r="L143">
        <f>(5-INDEX(tblCleanData[JobSatisfaction],135))*6.25</f>
        <v>12.5</v>
      </c>
      <c r="M143">
        <f>IF(INDEX(tblCleanData[YearsAtCompany],135)&lt;=2,25,IF(INDEX(tblCleanData[YearsAtCompany],135)&lt;=5,15,IF(INDEX(tblCleanData[YearsAtCompany],135)&lt;=10,8,3)))</f>
        <v>8</v>
      </c>
      <c r="N143">
        <f t="shared" si="4"/>
        <v>56</v>
      </c>
      <c r="O143" t="str">
        <f t="shared" si="5"/>
        <v>High Risk</v>
      </c>
    </row>
    <row r="144" spans="1:15" x14ac:dyDescent="0.25">
      <c r="A144">
        <f>INDEX(tblCleanData[EmployeeNumber],136)</f>
        <v>178</v>
      </c>
      <c r="B144" t="str">
        <f>IF(INDEX(tblCleanData[Age],136)&lt;30,"Under 30",IF(INDEX(tblCleanData[Age],136)&lt;40,"30-39",IF(INDEX(tblCleanData[Age],136)&lt;50,"40-49","50+")))</f>
        <v>30-39</v>
      </c>
      <c r="C144" t="str">
        <f>IF(INDEX(tblCleanData[MonthlyIncome],136)&lt;=$B$3,"Low Income",IF(INDEX(tblCleanData[MonthlyIncome],136)&lt;=$B$4,"Medium Income","High Income"))</f>
        <v>High Income</v>
      </c>
      <c r="D144">
        <f>IF(INDEX(tblCleanData[Attrition],136)="Yes",1,0)</f>
        <v>0</v>
      </c>
      <c r="E144">
        <f>IF(INDEX(tblCleanData[OverTime],136)="Yes",1,0)</f>
        <v>0</v>
      </c>
      <c r="F144" t="str">
        <f>CHOOSE(INDEX(tblCleanData[Education],136),"Below College","College","Bachelor","Master","Doctor")</f>
        <v>College</v>
      </c>
      <c r="G144" t="str">
        <f>IF(INDEX(tblCleanData[YearsAtCompany],136)&lt;=2,"0-2 Years",IF(INDEX(tblCleanData[YearsAtCompany],136)&lt;=5,"3-5 Years",IF(INDEX(tblCleanData[YearsAtCompany],136)&lt;=10,"6-10 Years","10+ Years")))</f>
        <v>3-5 Years</v>
      </c>
      <c r="H144" t="str">
        <f>IF(INDEX(tblCleanData[WorkLifeBalance],136)&lt;=2,"Elevated","Normal")</f>
        <v>Normal</v>
      </c>
      <c r="I144">
        <f>IF(INDEX(tblCleanData[Age],136)&lt;30,30,IF(INDEX(tblCleanData[Age],136)&lt;40,20,IF(INDEX(tblCleanData[Age],136)&lt;50,10,15)))</f>
        <v>20</v>
      </c>
      <c r="J144">
        <f>IF(INDEX(tblCleanData[MonthlyIncome],136)&lt;=$B$3,25,IF(INDEX(tblCleanData[MonthlyIncome],136)&lt;=$B$4,12,5))</f>
        <v>5</v>
      </c>
      <c r="K144">
        <f>IF(INDEX(tblCleanData[OverTime],136)="Yes",25,0)</f>
        <v>0</v>
      </c>
      <c r="L144">
        <f>(5-INDEX(tblCleanData[JobSatisfaction],136))*6.25</f>
        <v>18.75</v>
      </c>
      <c r="M144">
        <f>IF(INDEX(tblCleanData[YearsAtCompany],136)&lt;=2,25,IF(INDEX(tblCleanData[YearsAtCompany],136)&lt;=5,15,IF(INDEX(tblCleanData[YearsAtCompany],136)&lt;=10,8,3)))</f>
        <v>15</v>
      </c>
      <c r="N144">
        <f t="shared" si="4"/>
        <v>59</v>
      </c>
      <c r="O144" t="str">
        <f t="shared" si="5"/>
        <v>High Risk</v>
      </c>
    </row>
    <row r="145" spans="1:15" x14ac:dyDescent="0.25">
      <c r="A145">
        <f>INDEX(tblCleanData[EmployeeNumber],137)</f>
        <v>179</v>
      </c>
      <c r="B145" t="str">
        <f>IF(INDEX(tblCleanData[Age],137)&lt;30,"Under 30",IF(INDEX(tblCleanData[Age],137)&lt;40,"30-39",IF(INDEX(tblCleanData[Age],137)&lt;50,"40-49","50+")))</f>
        <v>50+</v>
      </c>
      <c r="C145" t="str">
        <f>IF(INDEX(tblCleanData[MonthlyIncome],137)&lt;=$B$3,"Low Income",IF(INDEX(tblCleanData[MonthlyIncome],137)&lt;=$B$4,"Medium Income","High Income"))</f>
        <v>High Income</v>
      </c>
      <c r="D145">
        <f>IF(INDEX(tblCleanData[Attrition],137)="Yes",1,0)</f>
        <v>1</v>
      </c>
      <c r="E145">
        <f>IF(INDEX(tblCleanData[OverTime],137)="Yes",1,0)</f>
        <v>0</v>
      </c>
      <c r="F145" t="str">
        <f>CHOOSE(INDEX(tblCleanData[Education],137),"Below College","College","Bachelor","Master","Doctor")</f>
        <v>Master</v>
      </c>
      <c r="G145" t="str">
        <f>IF(INDEX(tblCleanData[YearsAtCompany],137)&lt;=2,"0-2 Years",IF(INDEX(tblCleanData[YearsAtCompany],137)&lt;=5,"3-5 Years",IF(INDEX(tblCleanData[YearsAtCompany],137)&lt;=10,"6-10 Years","10+ Years")))</f>
        <v>3-5 Years</v>
      </c>
      <c r="H145" t="str">
        <f>IF(INDEX(tblCleanData[WorkLifeBalance],137)&lt;=2,"Elevated","Normal")</f>
        <v>Normal</v>
      </c>
      <c r="I145">
        <f>IF(INDEX(tblCleanData[Age],137)&lt;30,30,IF(INDEX(tblCleanData[Age],137)&lt;40,20,IF(INDEX(tblCleanData[Age],137)&lt;50,10,15)))</f>
        <v>15</v>
      </c>
      <c r="J145">
        <f>IF(INDEX(tblCleanData[MonthlyIncome],137)&lt;=$B$3,25,IF(INDEX(tblCleanData[MonthlyIncome],137)&lt;=$B$4,12,5))</f>
        <v>5</v>
      </c>
      <c r="K145">
        <f>IF(INDEX(tblCleanData[OverTime],137)="Yes",25,0)</f>
        <v>0</v>
      </c>
      <c r="L145">
        <f>(5-INDEX(tblCleanData[JobSatisfaction],137))*6.25</f>
        <v>6.25</v>
      </c>
      <c r="M145">
        <f>IF(INDEX(tblCleanData[YearsAtCompany],137)&lt;=2,25,IF(INDEX(tblCleanData[YearsAtCompany],137)&lt;=5,15,IF(INDEX(tblCleanData[YearsAtCompany],137)&lt;=10,8,3)))</f>
        <v>15</v>
      </c>
      <c r="N145">
        <f t="shared" si="4"/>
        <v>41</v>
      </c>
      <c r="O145" t="str">
        <f t="shared" si="5"/>
        <v>Medium Risk</v>
      </c>
    </row>
    <row r="146" spans="1:15" x14ac:dyDescent="0.25">
      <c r="A146">
        <f>INDEX(tblCleanData[EmployeeNumber],138)</f>
        <v>182</v>
      </c>
      <c r="B146" t="str">
        <f>IF(INDEX(tblCleanData[Age],138)&lt;30,"Under 30",IF(INDEX(tblCleanData[Age],138)&lt;40,"30-39",IF(INDEX(tblCleanData[Age],138)&lt;50,"40-49","50+")))</f>
        <v>30-39</v>
      </c>
      <c r="C146" t="str">
        <f>IF(INDEX(tblCleanData[MonthlyIncome],138)&lt;=$B$3,"Low Income",IF(INDEX(tblCleanData[MonthlyIncome],138)&lt;=$B$4,"Medium Income","High Income"))</f>
        <v>High Income</v>
      </c>
      <c r="D146">
        <f>IF(INDEX(tblCleanData[Attrition],138)="Yes",1,0)</f>
        <v>0</v>
      </c>
      <c r="E146">
        <f>IF(INDEX(tblCleanData[OverTime],138)="Yes",1,0)</f>
        <v>0</v>
      </c>
      <c r="F146" t="str">
        <f>CHOOSE(INDEX(tblCleanData[Education],138),"Below College","College","Bachelor","Master","Doctor")</f>
        <v>Master</v>
      </c>
      <c r="G146" t="str">
        <f>IF(INDEX(tblCleanData[YearsAtCompany],138)&lt;=2,"0-2 Years",IF(INDEX(tblCleanData[YearsAtCompany],138)&lt;=5,"3-5 Years",IF(INDEX(tblCleanData[YearsAtCompany],138)&lt;=10,"6-10 Years","10+ Years")))</f>
        <v>10+ Years</v>
      </c>
      <c r="H146" t="str">
        <f>IF(INDEX(tblCleanData[WorkLifeBalance],138)&lt;=2,"Elevated","Normal")</f>
        <v>Normal</v>
      </c>
      <c r="I146">
        <f>IF(INDEX(tblCleanData[Age],138)&lt;30,30,IF(INDEX(tblCleanData[Age],138)&lt;40,20,IF(INDEX(tblCleanData[Age],138)&lt;50,10,15)))</f>
        <v>20</v>
      </c>
      <c r="J146">
        <f>IF(INDEX(tblCleanData[MonthlyIncome],138)&lt;=$B$3,25,IF(INDEX(tblCleanData[MonthlyIncome],138)&lt;=$B$4,12,5))</f>
        <v>5</v>
      </c>
      <c r="K146">
        <f>IF(INDEX(tblCleanData[OverTime],138)="Yes",25,0)</f>
        <v>0</v>
      </c>
      <c r="L146">
        <f>(5-INDEX(tblCleanData[JobSatisfaction],138))*6.25</f>
        <v>12.5</v>
      </c>
      <c r="M146">
        <f>IF(INDEX(tblCleanData[YearsAtCompany],138)&lt;=2,25,IF(INDEX(tblCleanData[YearsAtCompany],138)&lt;=5,15,IF(INDEX(tblCleanData[YearsAtCompany],138)&lt;=10,8,3)))</f>
        <v>3</v>
      </c>
      <c r="N146">
        <f t="shared" si="4"/>
        <v>41</v>
      </c>
      <c r="O146" t="str">
        <f t="shared" si="5"/>
        <v>Medium Risk</v>
      </c>
    </row>
    <row r="147" spans="1:15" x14ac:dyDescent="0.25">
      <c r="A147">
        <f>INDEX(tblCleanData[EmployeeNumber],139)</f>
        <v>183</v>
      </c>
      <c r="B147" t="str">
        <f>IF(INDEX(tblCleanData[Age],139)&lt;30,"Under 30",IF(INDEX(tblCleanData[Age],139)&lt;40,"30-39",IF(INDEX(tblCleanData[Age],139)&lt;50,"40-49","50+")))</f>
        <v>Under 30</v>
      </c>
      <c r="C147" t="str">
        <f>IF(INDEX(tblCleanData[MonthlyIncome],139)&lt;=$B$3,"Low Income",IF(INDEX(tblCleanData[MonthlyIncome],139)&lt;=$B$4,"Medium Income","High Income"))</f>
        <v>High Income</v>
      </c>
      <c r="D147">
        <f>IF(INDEX(tblCleanData[Attrition],139)="Yes",1,0)</f>
        <v>0</v>
      </c>
      <c r="E147">
        <f>IF(INDEX(tblCleanData[OverTime],139)="Yes",1,0)</f>
        <v>0</v>
      </c>
      <c r="F147" t="str">
        <f>CHOOSE(INDEX(tblCleanData[Education],139),"Below College","College","Bachelor","Master","Doctor")</f>
        <v>Bachelor</v>
      </c>
      <c r="G147" t="str">
        <f>IF(INDEX(tblCleanData[YearsAtCompany],139)&lt;=2,"0-2 Years",IF(INDEX(tblCleanData[YearsAtCompany],139)&lt;=5,"3-5 Years",IF(INDEX(tblCleanData[YearsAtCompany],139)&lt;=10,"6-10 Years","10+ Years")))</f>
        <v>0-2 Years</v>
      </c>
      <c r="H147" t="str">
        <f>IF(INDEX(tblCleanData[WorkLifeBalance],139)&lt;=2,"Elevated","Normal")</f>
        <v>Normal</v>
      </c>
      <c r="I147">
        <f>IF(INDEX(tblCleanData[Age],139)&lt;30,30,IF(INDEX(tblCleanData[Age],139)&lt;40,20,IF(INDEX(tblCleanData[Age],139)&lt;50,10,15)))</f>
        <v>30</v>
      </c>
      <c r="J147">
        <f>IF(INDEX(tblCleanData[MonthlyIncome],139)&lt;=$B$3,25,IF(INDEX(tblCleanData[MonthlyIncome],139)&lt;=$B$4,12,5))</f>
        <v>5</v>
      </c>
      <c r="K147">
        <f>IF(INDEX(tblCleanData[OverTime],139)="Yes",25,0)</f>
        <v>0</v>
      </c>
      <c r="L147">
        <f>(5-INDEX(tblCleanData[JobSatisfaction],139))*6.25</f>
        <v>12.5</v>
      </c>
      <c r="M147">
        <f>IF(INDEX(tblCleanData[YearsAtCompany],139)&lt;=2,25,IF(INDEX(tblCleanData[YearsAtCompany],139)&lt;=5,15,IF(INDEX(tblCleanData[YearsAtCompany],139)&lt;=10,8,3)))</f>
        <v>25</v>
      </c>
      <c r="N147">
        <f t="shared" si="4"/>
        <v>73</v>
      </c>
      <c r="O147" t="str">
        <f t="shared" si="5"/>
        <v>High Risk</v>
      </c>
    </row>
    <row r="148" spans="1:15" x14ac:dyDescent="0.25">
      <c r="A148">
        <f>INDEX(tblCleanData[EmployeeNumber],140)</f>
        <v>184</v>
      </c>
      <c r="B148" t="str">
        <f>IF(INDEX(tblCleanData[Age],140)&lt;30,"Under 30",IF(INDEX(tblCleanData[Age],140)&lt;40,"30-39",IF(INDEX(tblCleanData[Age],140)&lt;50,"40-49","50+")))</f>
        <v>30-39</v>
      </c>
      <c r="C148" t="str">
        <f>IF(INDEX(tblCleanData[MonthlyIncome],140)&lt;=$B$3,"Low Income",IF(INDEX(tblCleanData[MonthlyIncome],140)&lt;=$B$4,"Medium Income","High Income"))</f>
        <v>High Income</v>
      </c>
      <c r="D148">
        <f>IF(INDEX(tblCleanData[Attrition],140)="Yes",1,0)</f>
        <v>0</v>
      </c>
      <c r="E148">
        <f>IF(INDEX(tblCleanData[OverTime],140)="Yes",1,0)</f>
        <v>1</v>
      </c>
      <c r="F148" t="str">
        <f>CHOOSE(INDEX(tblCleanData[Education],140),"Below College","College","Bachelor","Master","Doctor")</f>
        <v>Bachelor</v>
      </c>
      <c r="G148" t="str">
        <f>IF(INDEX(tblCleanData[YearsAtCompany],140)&lt;=2,"0-2 Years",IF(INDEX(tblCleanData[YearsAtCompany],140)&lt;=5,"3-5 Years",IF(INDEX(tblCleanData[YearsAtCompany],140)&lt;=10,"6-10 Years","10+ Years")))</f>
        <v>10+ Years</v>
      </c>
      <c r="H148" t="str">
        <f>IF(INDEX(tblCleanData[WorkLifeBalance],140)&lt;=2,"Elevated","Normal")</f>
        <v>Elevated</v>
      </c>
      <c r="I148">
        <f>IF(INDEX(tblCleanData[Age],140)&lt;30,30,IF(INDEX(tblCleanData[Age],140)&lt;40,20,IF(INDEX(tblCleanData[Age],140)&lt;50,10,15)))</f>
        <v>20</v>
      </c>
      <c r="J148">
        <f>IF(INDEX(tblCleanData[MonthlyIncome],140)&lt;=$B$3,25,IF(INDEX(tblCleanData[MonthlyIncome],140)&lt;=$B$4,12,5))</f>
        <v>5</v>
      </c>
      <c r="K148">
        <f>IF(INDEX(tblCleanData[OverTime],140)="Yes",25,0)</f>
        <v>25</v>
      </c>
      <c r="L148">
        <f>(5-INDEX(tblCleanData[JobSatisfaction],140))*6.25</f>
        <v>6.25</v>
      </c>
      <c r="M148">
        <f>IF(INDEX(tblCleanData[YearsAtCompany],140)&lt;=2,25,IF(INDEX(tblCleanData[YearsAtCompany],140)&lt;=5,15,IF(INDEX(tblCleanData[YearsAtCompany],140)&lt;=10,8,3)))</f>
        <v>3</v>
      </c>
      <c r="N148">
        <f t="shared" si="4"/>
        <v>59</v>
      </c>
      <c r="O148" t="str">
        <f t="shared" si="5"/>
        <v>High Risk</v>
      </c>
    </row>
    <row r="149" spans="1:15" x14ac:dyDescent="0.25">
      <c r="A149">
        <f>INDEX(tblCleanData[EmployeeNumber],141)</f>
        <v>190</v>
      </c>
      <c r="B149" t="str">
        <f>IF(INDEX(tblCleanData[Age],141)&lt;30,"Under 30",IF(INDEX(tblCleanData[Age],141)&lt;40,"30-39",IF(INDEX(tblCleanData[Age],141)&lt;50,"40-49","50+")))</f>
        <v>30-39</v>
      </c>
      <c r="C149" t="str">
        <f>IF(INDEX(tblCleanData[MonthlyIncome],141)&lt;=$B$3,"Low Income",IF(INDEX(tblCleanData[MonthlyIncome],141)&lt;=$B$4,"Medium Income","High Income"))</f>
        <v>High Income</v>
      </c>
      <c r="D149">
        <f>IF(INDEX(tblCleanData[Attrition],141)="Yes",1,0)</f>
        <v>1</v>
      </c>
      <c r="E149">
        <f>IF(INDEX(tblCleanData[OverTime],141)="Yes",1,0)</f>
        <v>0</v>
      </c>
      <c r="F149" t="str">
        <f>CHOOSE(INDEX(tblCleanData[Education],141),"Below College","College","Bachelor","Master","Doctor")</f>
        <v>Bachelor</v>
      </c>
      <c r="G149" t="str">
        <f>IF(INDEX(tblCleanData[YearsAtCompany],141)&lt;=2,"0-2 Years",IF(INDEX(tblCleanData[YearsAtCompany],141)&lt;=5,"3-5 Years",IF(INDEX(tblCleanData[YearsAtCompany],141)&lt;=10,"6-10 Years","10+ Years")))</f>
        <v>3-5 Years</v>
      </c>
      <c r="H149" t="str">
        <f>IF(INDEX(tblCleanData[WorkLifeBalance],141)&lt;=2,"Elevated","Normal")</f>
        <v>Normal</v>
      </c>
      <c r="I149">
        <f>IF(INDEX(tblCleanData[Age],141)&lt;30,30,IF(INDEX(tblCleanData[Age],141)&lt;40,20,IF(INDEX(tblCleanData[Age],141)&lt;50,10,15)))</f>
        <v>20</v>
      </c>
      <c r="J149">
        <f>IF(INDEX(tblCleanData[MonthlyIncome],141)&lt;=$B$3,25,IF(INDEX(tblCleanData[MonthlyIncome],141)&lt;=$B$4,12,5))</f>
        <v>5</v>
      </c>
      <c r="K149">
        <f>IF(INDEX(tblCleanData[OverTime],141)="Yes",25,0)</f>
        <v>0</v>
      </c>
      <c r="L149">
        <f>(5-INDEX(tblCleanData[JobSatisfaction],141))*6.25</f>
        <v>25</v>
      </c>
      <c r="M149">
        <f>IF(INDEX(tblCleanData[YearsAtCompany],141)&lt;=2,25,IF(INDEX(tblCleanData[YearsAtCompany],141)&lt;=5,15,IF(INDEX(tblCleanData[YearsAtCompany],141)&lt;=10,8,3)))</f>
        <v>15</v>
      </c>
      <c r="N149">
        <f t="shared" si="4"/>
        <v>65</v>
      </c>
      <c r="O149" t="str">
        <f t="shared" si="5"/>
        <v>High Risk</v>
      </c>
    </row>
    <row r="150" spans="1:15" x14ac:dyDescent="0.25">
      <c r="A150">
        <f>INDEX(tblCleanData[EmployeeNumber],142)</f>
        <v>192</v>
      </c>
      <c r="B150" t="str">
        <f>IF(INDEX(tblCleanData[Age],142)&lt;30,"Under 30",IF(INDEX(tblCleanData[Age],142)&lt;40,"30-39",IF(INDEX(tblCleanData[Age],142)&lt;50,"40-49","50+")))</f>
        <v>40-49</v>
      </c>
      <c r="C150" t="str">
        <f>IF(INDEX(tblCleanData[MonthlyIncome],142)&lt;=$B$3,"Low Income",IF(INDEX(tblCleanData[MonthlyIncome],142)&lt;=$B$4,"Medium Income","High Income"))</f>
        <v>High Income</v>
      </c>
      <c r="D150">
        <f>IF(INDEX(tblCleanData[Attrition],142)="Yes",1,0)</f>
        <v>0</v>
      </c>
      <c r="E150">
        <f>IF(INDEX(tblCleanData[OverTime],142)="Yes",1,0)</f>
        <v>0</v>
      </c>
      <c r="F150" t="str">
        <f>CHOOSE(INDEX(tblCleanData[Education],142),"Below College","College","Bachelor","Master","Doctor")</f>
        <v>Bachelor</v>
      </c>
      <c r="G150" t="str">
        <f>IF(INDEX(tblCleanData[YearsAtCompany],142)&lt;=2,"0-2 Years",IF(INDEX(tblCleanData[YearsAtCompany],142)&lt;=5,"3-5 Years",IF(INDEX(tblCleanData[YearsAtCompany],142)&lt;=10,"6-10 Years","10+ Years")))</f>
        <v>6-10 Years</v>
      </c>
      <c r="H150" t="str">
        <f>IF(INDEX(tblCleanData[WorkLifeBalance],142)&lt;=2,"Elevated","Normal")</f>
        <v>Elevated</v>
      </c>
      <c r="I150">
        <f>IF(INDEX(tblCleanData[Age],142)&lt;30,30,IF(INDEX(tblCleanData[Age],142)&lt;40,20,IF(INDEX(tblCleanData[Age],142)&lt;50,10,15)))</f>
        <v>10</v>
      </c>
      <c r="J150">
        <f>IF(INDEX(tblCleanData[MonthlyIncome],142)&lt;=$B$3,25,IF(INDEX(tblCleanData[MonthlyIncome],142)&lt;=$B$4,12,5))</f>
        <v>5</v>
      </c>
      <c r="K150">
        <f>IF(INDEX(tblCleanData[OverTime],142)="Yes",25,0)</f>
        <v>0</v>
      </c>
      <c r="L150">
        <f>(5-INDEX(tblCleanData[JobSatisfaction],142))*6.25</f>
        <v>6.25</v>
      </c>
      <c r="M150">
        <f>IF(INDEX(tblCleanData[YearsAtCompany],142)&lt;=2,25,IF(INDEX(tblCleanData[YearsAtCompany],142)&lt;=5,15,IF(INDEX(tblCleanData[YearsAtCompany],142)&lt;=10,8,3)))</f>
        <v>8</v>
      </c>
      <c r="N150">
        <f t="shared" si="4"/>
        <v>29</v>
      </c>
      <c r="O150" t="str">
        <f t="shared" si="5"/>
        <v>Low Risk</v>
      </c>
    </row>
    <row r="151" spans="1:15" x14ac:dyDescent="0.25">
      <c r="A151">
        <f>INDEX(tblCleanData[EmployeeNumber],143)</f>
        <v>193</v>
      </c>
      <c r="B151" t="str">
        <f>IF(INDEX(tblCleanData[Age],143)&lt;30,"Under 30",IF(INDEX(tblCleanData[Age],143)&lt;40,"30-39",IF(INDEX(tblCleanData[Age],143)&lt;50,"40-49","50+")))</f>
        <v>30-39</v>
      </c>
      <c r="C151" t="str">
        <f>IF(INDEX(tblCleanData[MonthlyIncome],143)&lt;=$B$3,"Low Income",IF(INDEX(tblCleanData[MonthlyIncome],143)&lt;=$B$4,"Medium Income","High Income"))</f>
        <v>High Income</v>
      </c>
      <c r="D151">
        <f>IF(INDEX(tblCleanData[Attrition],143)="Yes",1,0)</f>
        <v>0</v>
      </c>
      <c r="E151">
        <f>IF(INDEX(tblCleanData[OverTime],143)="Yes",1,0)</f>
        <v>1</v>
      </c>
      <c r="F151" t="str">
        <f>CHOOSE(INDEX(tblCleanData[Education],143),"Below College","College","Bachelor","Master","Doctor")</f>
        <v>Doctor</v>
      </c>
      <c r="G151" t="str">
        <f>IF(INDEX(tblCleanData[YearsAtCompany],143)&lt;=2,"0-2 Years",IF(INDEX(tblCleanData[YearsAtCompany],143)&lt;=5,"3-5 Years",IF(INDEX(tblCleanData[YearsAtCompany],143)&lt;=10,"6-10 Years","10+ Years")))</f>
        <v>3-5 Years</v>
      </c>
      <c r="H151" t="str">
        <f>IF(INDEX(tblCleanData[WorkLifeBalance],143)&lt;=2,"Elevated","Normal")</f>
        <v>Normal</v>
      </c>
      <c r="I151">
        <f>IF(INDEX(tblCleanData[Age],143)&lt;30,30,IF(INDEX(tblCleanData[Age],143)&lt;40,20,IF(INDEX(tblCleanData[Age],143)&lt;50,10,15)))</f>
        <v>20</v>
      </c>
      <c r="J151">
        <f>IF(INDEX(tblCleanData[MonthlyIncome],143)&lt;=$B$3,25,IF(INDEX(tblCleanData[MonthlyIncome],143)&lt;=$B$4,12,5))</f>
        <v>5</v>
      </c>
      <c r="K151">
        <f>IF(INDEX(tblCleanData[OverTime],143)="Yes",25,0)</f>
        <v>25</v>
      </c>
      <c r="L151">
        <f>(5-INDEX(tblCleanData[JobSatisfaction],143))*6.25</f>
        <v>12.5</v>
      </c>
      <c r="M151">
        <f>IF(INDEX(tblCleanData[YearsAtCompany],143)&lt;=2,25,IF(INDEX(tblCleanData[YearsAtCompany],143)&lt;=5,15,IF(INDEX(tblCleanData[YearsAtCompany],143)&lt;=10,8,3)))</f>
        <v>15</v>
      </c>
      <c r="N151">
        <f t="shared" si="4"/>
        <v>78</v>
      </c>
      <c r="O151" t="str">
        <f t="shared" si="5"/>
        <v>High Risk</v>
      </c>
    </row>
    <row r="152" spans="1:15" x14ac:dyDescent="0.25">
      <c r="A152">
        <f>INDEX(tblCleanData[EmployeeNumber],144)</f>
        <v>194</v>
      </c>
      <c r="B152" t="str">
        <f>IF(INDEX(tblCleanData[Age],144)&lt;30,"Under 30",IF(INDEX(tblCleanData[Age],144)&lt;40,"30-39",IF(INDEX(tblCleanData[Age],144)&lt;50,"40-49","50+")))</f>
        <v>30-39</v>
      </c>
      <c r="C152" t="str">
        <f>IF(INDEX(tblCleanData[MonthlyIncome],144)&lt;=$B$3,"Low Income",IF(INDEX(tblCleanData[MonthlyIncome],144)&lt;=$B$4,"Medium Income","High Income"))</f>
        <v>High Income</v>
      </c>
      <c r="D152">
        <f>IF(INDEX(tblCleanData[Attrition],144)="Yes",1,0)</f>
        <v>0</v>
      </c>
      <c r="E152">
        <f>IF(INDEX(tblCleanData[OverTime],144)="Yes",1,0)</f>
        <v>0</v>
      </c>
      <c r="F152" t="str">
        <f>CHOOSE(INDEX(tblCleanData[Education],144),"Below College","College","Bachelor","Master","Doctor")</f>
        <v>Bachelor</v>
      </c>
      <c r="G152" t="str">
        <f>IF(INDEX(tblCleanData[YearsAtCompany],144)&lt;=2,"0-2 Years",IF(INDEX(tblCleanData[YearsAtCompany],144)&lt;=5,"3-5 Years",IF(INDEX(tblCleanData[YearsAtCompany],144)&lt;=10,"6-10 Years","10+ Years")))</f>
        <v>3-5 Years</v>
      </c>
      <c r="H152" t="str">
        <f>IF(INDEX(tblCleanData[WorkLifeBalance],144)&lt;=2,"Elevated","Normal")</f>
        <v>Elevated</v>
      </c>
      <c r="I152">
        <f>IF(INDEX(tblCleanData[Age],144)&lt;30,30,IF(INDEX(tblCleanData[Age],144)&lt;40,20,IF(INDEX(tblCleanData[Age],144)&lt;50,10,15)))</f>
        <v>20</v>
      </c>
      <c r="J152">
        <f>IF(INDEX(tblCleanData[MonthlyIncome],144)&lt;=$B$3,25,IF(INDEX(tblCleanData[MonthlyIncome],144)&lt;=$B$4,12,5))</f>
        <v>5</v>
      </c>
      <c r="K152">
        <f>IF(INDEX(tblCleanData[OverTime],144)="Yes",25,0)</f>
        <v>0</v>
      </c>
      <c r="L152">
        <f>(5-INDEX(tblCleanData[JobSatisfaction],144))*6.25</f>
        <v>12.5</v>
      </c>
      <c r="M152">
        <f>IF(INDEX(tblCleanData[YearsAtCompany],144)&lt;=2,25,IF(INDEX(tblCleanData[YearsAtCompany],144)&lt;=5,15,IF(INDEX(tblCleanData[YearsAtCompany],144)&lt;=10,8,3)))</f>
        <v>15</v>
      </c>
      <c r="N152">
        <f t="shared" si="4"/>
        <v>53</v>
      </c>
      <c r="O152" t="str">
        <f t="shared" si="5"/>
        <v>Medium Risk</v>
      </c>
    </row>
    <row r="153" spans="1:15" x14ac:dyDescent="0.25">
      <c r="A153">
        <f>INDEX(tblCleanData[EmployeeNumber],145)</f>
        <v>195</v>
      </c>
      <c r="B153" t="str">
        <f>IF(INDEX(tblCleanData[Age],145)&lt;30,"Under 30",IF(INDEX(tblCleanData[Age],145)&lt;40,"30-39",IF(INDEX(tblCleanData[Age],145)&lt;50,"40-49","50+")))</f>
        <v>30-39</v>
      </c>
      <c r="C153" t="str">
        <f>IF(INDEX(tblCleanData[MonthlyIncome],145)&lt;=$B$3,"Low Income",IF(INDEX(tblCleanData[MonthlyIncome],145)&lt;=$B$4,"Medium Income","High Income"))</f>
        <v>High Income</v>
      </c>
      <c r="D153">
        <f>IF(INDEX(tblCleanData[Attrition],145)="Yes",1,0)</f>
        <v>0</v>
      </c>
      <c r="E153">
        <f>IF(INDEX(tblCleanData[OverTime],145)="Yes",1,0)</f>
        <v>0</v>
      </c>
      <c r="F153" t="str">
        <f>CHOOSE(INDEX(tblCleanData[Education],145),"Below College","College","Bachelor","Master","Doctor")</f>
        <v>College</v>
      </c>
      <c r="G153" t="str">
        <f>IF(INDEX(tblCleanData[YearsAtCompany],145)&lt;=2,"0-2 Years",IF(INDEX(tblCleanData[YearsAtCompany],145)&lt;=5,"3-5 Years",IF(INDEX(tblCleanData[YearsAtCompany],145)&lt;=10,"6-10 Years","10+ Years")))</f>
        <v>6-10 Years</v>
      </c>
      <c r="H153" t="str">
        <f>IF(INDEX(tblCleanData[WorkLifeBalance],145)&lt;=2,"Elevated","Normal")</f>
        <v>Normal</v>
      </c>
      <c r="I153">
        <f>IF(INDEX(tblCleanData[Age],145)&lt;30,30,IF(INDEX(tblCleanData[Age],145)&lt;40,20,IF(INDEX(tblCleanData[Age],145)&lt;50,10,15)))</f>
        <v>20</v>
      </c>
      <c r="J153">
        <f>IF(INDEX(tblCleanData[MonthlyIncome],145)&lt;=$B$3,25,IF(INDEX(tblCleanData[MonthlyIncome],145)&lt;=$B$4,12,5))</f>
        <v>5</v>
      </c>
      <c r="K153">
        <f>IF(INDEX(tblCleanData[OverTime],145)="Yes",25,0)</f>
        <v>0</v>
      </c>
      <c r="L153">
        <f>(5-INDEX(tblCleanData[JobSatisfaction],145))*6.25</f>
        <v>6.25</v>
      </c>
      <c r="M153">
        <f>IF(INDEX(tblCleanData[YearsAtCompany],145)&lt;=2,25,IF(INDEX(tblCleanData[YearsAtCompany],145)&lt;=5,15,IF(INDEX(tblCleanData[YearsAtCompany],145)&lt;=10,8,3)))</f>
        <v>8</v>
      </c>
      <c r="N153">
        <f t="shared" si="4"/>
        <v>39</v>
      </c>
      <c r="O153" t="str">
        <f t="shared" si="5"/>
        <v>Medium Risk</v>
      </c>
    </row>
    <row r="154" spans="1:15" x14ac:dyDescent="0.25">
      <c r="A154">
        <f>INDEX(tblCleanData[EmployeeNumber],146)</f>
        <v>197</v>
      </c>
      <c r="B154" t="str">
        <f>IF(INDEX(tblCleanData[Age],146)&lt;30,"Under 30",IF(INDEX(tblCleanData[Age],146)&lt;40,"30-39",IF(INDEX(tblCleanData[Age],146)&lt;50,"40-49","50+")))</f>
        <v>30-39</v>
      </c>
      <c r="C154" t="str">
        <f>IF(INDEX(tblCleanData[MonthlyIncome],146)&lt;=$B$3,"Low Income",IF(INDEX(tblCleanData[MonthlyIncome],146)&lt;=$B$4,"Medium Income","High Income"))</f>
        <v>High Income</v>
      </c>
      <c r="D154">
        <f>IF(INDEX(tblCleanData[Attrition],146)="Yes",1,0)</f>
        <v>0</v>
      </c>
      <c r="E154">
        <f>IF(INDEX(tblCleanData[OverTime],146)="Yes",1,0)</f>
        <v>0</v>
      </c>
      <c r="F154" t="str">
        <f>CHOOSE(INDEX(tblCleanData[Education],146),"Below College","College","Bachelor","Master","Doctor")</f>
        <v>Bachelor</v>
      </c>
      <c r="G154" t="str">
        <f>IF(INDEX(tblCleanData[YearsAtCompany],146)&lt;=2,"0-2 Years",IF(INDEX(tblCleanData[YearsAtCompany],146)&lt;=5,"3-5 Years",IF(INDEX(tblCleanData[YearsAtCompany],146)&lt;=10,"6-10 Years","10+ Years")))</f>
        <v>3-5 Years</v>
      </c>
      <c r="H154" t="str">
        <f>IF(INDEX(tblCleanData[WorkLifeBalance],146)&lt;=2,"Elevated","Normal")</f>
        <v>Normal</v>
      </c>
      <c r="I154">
        <f>IF(INDEX(tblCleanData[Age],146)&lt;30,30,IF(INDEX(tblCleanData[Age],146)&lt;40,20,IF(INDEX(tblCleanData[Age],146)&lt;50,10,15)))</f>
        <v>20</v>
      </c>
      <c r="J154">
        <f>IF(INDEX(tblCleanData[MonthlyIncome],146)&lt;=$B$3,25,IF(INDEX(tblCleanData[MonthlyIncome],146)&lt;=$B$4,12,5))</f>
        <v>5</v>
      </c>
      <c r="K154">
        <f>IF(INDEX(tblCleanData[OverTime],146)="Yes",25,0)</f>
        <v>0</v>
      </c>
      <c r="L154">
        <f>(5-INDEX(tblCleanData[JobSatisfaction],146))*6.25</f>
        <v>25</v>
      </c>
      <c r="M154">
        <f>IF(INDEX(tblCleanData[YearsAtCompany],146)&lt;=2,25,IF(INDEX(tblCleanData[YearsAtCompany],146)&lt;=5,15,IF(INDEX(tblCleanData[YearsAtCompany],146)&lt;=10,8,3)))</f>
        <v>15</v>
      </c>
      <c r="N154">
        <f t="shared" si="4"/>
        <v>65</v>
      </c>
      <c r="O154" t="str">
        <f t="shared" si="5"/>
        <v>High Risk</v>
      </c>
    </row>
    <row r="155" spans="1:15" x14ac:dyDescent="0.25">
      <c r="A155">
        <f>INDEX(tblCleanData[EmployeeNumber],147)</f>
        <v>198</v>
      </c>
      <c r="B155" t="str">
        <f>IF(INDEX(tblCleanData[Age],147)&lt;30,"Under 30",IF(INDEX(tblCleanData[Age],147)&lt;40,"30-39",IF(INDEX(tblCleanData[Age],147)&lt;50,"40-49","50+")))</f>
        <v>30-39</v>
      </c>
      <c r="C155" t="str">
        <f>IF(INDEX(tblCleanData[MonthlyIncome],147)&lt;=$B$3,"Low Income",IF(INDEX(tblCleanData[MonthlyIncome],147)&lt;=$B$4,"Medium Income","High Income"))</f>
        <v>High Income</v>
      </c>
      <c r="D155">
        <f>IF(INDEX(tblCleanData[Attrition],147)="Yes",1,0)</f>
        <v>0</v>
      </c>
      <c r="E155">
        <f>IF(INDEX(tblCleanData[OverTime],147)="Yes",1,0)</f>
        <v>0</v>
      </c>
      <c r="F155" t="str">
        <f>CHOOSE(INDEX(tblCleanData[Education],147),"Below College","College","Bachelor","Master","Doctor")</f>
        <v>Below College</v>
      </c>
      <c r="G155" t="str">
        <f>IF(INDEX(tblCleanData[YearsAtCompany],147)&lt;=2,"0-2 Years",IF(INDEX(tblCleanData[YearsAtCompany],147)&lt;=5,"3-5 Years",IF(INDEX(tblCleanData[YearsAtCompany],147)&lt;=10,"6-10 Years","10+ Years")))</f>
        <v>3-5 Years</v>
      </c>
      <c r="H155" t="str">
        <f>IF(INDEX(tblCleanData[WorkLifeBalance],147)&lt;=2,"Elevated","Normal")</f>
        <v>Normal</v>
      </c>
      <c r="I155">
        <f>IF(INDEX(tblCleanData[Age],147)&lt;30,30,IF(INDEX(tblCleanData[Age],147)&lt;40,20,IF(INDEX(tblCleanData[Age],147)&lt;50,10,15)))</f>
        <v>20</v>
      </c>
      <c r="J155">
        <f>IF(INDEX(tblCleanData[MonthlyIncome],147)&lt;=$B$3,25,IF(INDEX(tblCleanData[MonthlyIncome],147)&lt;=$B$4,12,5))</f>
        <v>5</v>
      </c>
      <c r="K155">
        <f>IF(INDEX(tblCleanData[OverTime],147)="Yes",25,0)</f>
        <v>0</v>
      </c>
      <c r="L155">
        <f>(5-INDEX(tblCleanData[JobSatisfaction],147))*6.25</f>
        <v>6.25</v>
      </c>
      <c r="M155">
        <f>IF(INDEX(tblCleanData[YearsAtCompany],147)&lt;=2,25,IF(INDEX(tblCleanData[YearsAtCompany],147)&lt;=5,15,IF(INDEX(tblCleanData[YearsAtCompany],147)&lt;=10,8,3)))</f>
        <v>15</v>
      </c>
      <c r="N155">
        <f t="shared" si="4"/>
        <v>46</v>
      </c>
      <c r="O155" t="str">
        <f t="shared" si="5"/>
        <v>Medium Risk</v>
      </c>
    </row>
    <row r="156" spans="1:15" x14ac:dyDescent="0.25">
      <c r="A156">
        <f>INDEX(tblCleanData[EmployeeNumber],148)</f>
        <v>199</v>
      </c>
      <c r="B156" t="str">
        <f>IF(INDEX(tblCleanData[Age],148)&lt;30,"Under 30",IF(INDEX(tblCleanData[Age],148)&lt;40,"30-39",IF(INDEX(tblCleanData[Age],148)&lt;50,"40-49","50+")))</f>
        <v>40-49</v>
      </c>
      <c r="C156" t="str">
        <f>IF(INDEX(tblCleanData[MonthlyIncome],148)&lt;=$B$3,"Low Income",IF(INDEX(tblCleanData[MonthlyIncome],148)&lt;=$B$4,"Medium Income","High Income"))</f>
        <v>High Income</v>
      </c>
      <c r="D156">
        <f>IF(INDEX(tblCleanData[Attrition],148)="Yes",1,0)</f>
        <v>0</v>
      </c>
      <c r="E156">
        <f>IF(INDEX(tblCleanData[OverTime],148)="Yes",1,0)</f>
        <v>0</v>
      </c>
      <c r="F156" t="str">
        <f>CHOOSE(INDEX(tblCleanData[Education],148),"Below College","College","Bachelor","Master","Doctor")</f>
        <v>Bachelor</v>
      </c>
      <c r="G156" t="str">
        <f>IF(INDEX(tblCleanData[YearsAtCompany],148)&lt;=2,"0-2 Years",IF(INDEX(tblCleanData[YearsAtCompany],148)&lt;=5,"3-5 Years",IF(INDEX(tblCleanData[YearsAtCompany],148)&lt;=10,"6-10 Years","10+ Years")))</f>
        <v>6-10 Years</v>
      </c>
      <c r="H156" t="str">
        <f>IF(INDEX(tblCleanData[WorkLifeBalance],148)&lt;=2,"Elevated","Normal")</f>
        <v>Elevated</v>
      </c>
      <c r="I156">
        <f>IF(INDEX(tblCleanData[Age],148)&lt;30,30,IF(INDEX(tblCleanData[Age],148)&lt;40,20,IF(INDEX(tblCleanData[Age],148)&lt;50,10,15)))</f>
        <v>10</v>
      </c>
      <c r="J156">
        <f>IF(INDEX(tblCleanData[MonthlyIncome],148)&lt;=$B$3,25,IF(INDEX(tblCleanData[MonthlyIncome],148)&lt;=$B$4,12,5))</f>
        <v>5</v>
      </c>
      <c r="K156">
        <f>IF(INDEX(tblCleanData[OverTime],148)="Yes",25,0)</f>
        <v>0</v>
      </c>
      <c r="L156">
        <f>(5-INDEX(tblCleanData[JobSatisfaction],148))*6.25</f>
        <v>25</v>
      </c>
      <c r="M156">
        <f>IF(INDEX(tblCleanData[YearsAtCompany],148)&lt;=2,25,IF(INDEX(tblCleanData[YearsAtCompany],148)&lt;=5,15,IF(INDEX(tblCleanData[YearsAtCompany],148)&lt;=10,8,3)))</f>
        <v>8</v>
      </c>
      <c r="N156">
        <f t="shared" si="4"/>
        <v>48</v>
      </c>
      <c r="O156" t="str">
        <f t="shared" si="5"/>
        <v>Medium Risk</v>
      </c>
    </row>
    <row r="157" spans="1:15" x14ac:dyDescent="0.25">
      <c r="A157">
        <f>INDEX(tblCleanData[EmployeeNumber],149)</f>
        <v>200</v>
      </c>
      <c r="B157" t="str">
        <f>IF(INDEX(tblCleanData[Age],149)&lt;30,"Under 30",IF(INDEX(tblCleanData[Age],149)&lt;40,"30-39",IF(INDEX(tblCleanData[Age],149)&lt;50,"40-49","50+")))</f>
        <v>40-49</v>
      </c>
      <c r="C157" t="str">
        <f>IF(INDEX(tblCleanData[MonthlyIncome],149)&lt;=$B$3,"Low Income",IF(INDEX(tblCleanData[MonthlyIncome],149)&lt;=$B$4,"Medium Income","High Income"))</f>
        <v>High Income</v>
      </c>
      <c r="D157">
        <f>IF(INDEX(tblCleanData[Attrition],149)="Yes",1,0)</f>
        <v>0</v>
      </c>
      <c r="E157">
        <f>IF(INDEX(tblCleanData[OverTime],149)="Yes",1,0)</f>
        <v>0</v>
      </c>
      <c r="F157" t="str">
        <f>CHOOSE(INDEX(tblCleanData[Education],149),"Below College","College","Bachelor","Master","Doctor")</f>
        <v>Master</v>
      </c>
      <c r="G157" t="str">
        <f>IF(INDEX(tblCleanData[YearsAtCompany],149)&lt;=2,"0-2 Years",IF(INDEX(tblCleanData[YearsAtCompany],149)&lt;=5,"3-5 Years",IF(INDEX(tblCleanData[YearsAtCompany],149)&lt;=10,"6-10 Years","10+ Years")))</f>
        <v>3-5 Years</v>
      </c>
      <c r="H157" t="str">
        <f>IF(INDEX(tblCleanData[WorkLifeBalance],149)&lt;=2,"Elevated","Normal")</f>
        <v>Normal</v>
      </c>
      <c r="I157">
        <f>IF(INDEX(tblCleanData[Age],149)&lt;30,30,IF(INDEX(tblCleanData[Age],149)&lt;40,20,IF(INDEX(tblCleanData[Age],149)&lt;50,10,15)))</f>
        <v>10</v>
      </c>
      <c r="J157">
        <f>IF(INDEX(tblCleanData[MonthlyIncome],149)&lt;=$B$3,25,IF(INDEX(tblCleanData[MonthlyIncome],149)&lt;=$B$4,12,5))</f>
        <v>5</v>
      </c>
      <c r="K157">
        <f>IF(INDEX(tblCleanData[OverTime],149)="Yes",25,0)</f>
        <v>0</v>
      </c>
      <c r="L157">
        <f>(5-INDEX(tblCleanData[JobSatisfaction],149))*6.25</f>
        <v>25</v>
      </c>
      <c r="M157">
        <f>IF(INDEX(tblCleanData[YearsAtCompany],149)&lt;=2,25,IF(INDEX(tblCleanData[YearsAtCompany],149)&lt;=5,15,IF(INDEX(tblCleanData[YearsAtCompany],149)&lt;=10,8,3)))</f>
        <v>15</v>
      </c>
      <c r="N157">
        <f t="shared" si="4"/>
        <v>55</v>
      </c>
      <c r="O157" t="str">
        <f t="shared" si="5"/>
        <v>High Risk</v>
      </c>
    </row>
    <row r="158" spans="1:15" x14ac:dyDescent="0.25">
      <c r="A158">
        <f>INDEX(tblCleanData[EmployeeNumber],150)</f>
        <v>201</v>
      </c>
      <c r="B158" t="str">
        <f>IF(INDEX(tblCleanData[Age],150)&lt;30,"Under 30",IF(INDEX(tblCleanData[Age],150)&lt;40,"30-39",IF(INDEX(tblCleanData[Age],150)&lt;50,"40-49","50+")))</f>
        <v>Under 30</v>
      </c>
      <c r="C158" t="str">
        <f>IF(INDEX(tblCleanData[MonthlyIncome],150)&lt;=$B$3,"Low Income",IF(INDEX(tblCleanData[MonthlyIncome],150)&lt;=$B$4,"Medium Income","High Income"))</f>
        <v>High Income</v>
      </c>
      <c r="D158">
        <f>IF(INDEX(tblCleanData[Attrition],150)="Yes",1,0)</f>
        <v>0</v>
      </c>
      <c r="E158">
        <f>IF(INDEX(tblCleanData[OverTime],150)="Yes",1,0)</f>
        <v>0</v>
      </c>
      <c r="F158" t="str">
        <f>CHOOSE(INDEX(tblCleanData[Education],150),"Below College","College","Bachelor","Master","Doctor")</f>
        <v>Below College</v>
      </c>
      <c r="G158" t="str">
        <f>IF(INDEX(tblCleanData[YearsAtCompany],150)&lt;=2,"0-2 Years",IF(INDEX(tblCleanData[YearsAtCompany],150)&lt;=5,"3-5 Years",IF(INDEX(tblCleanData[YearsAtCompany],150)&lt;=10,"6-10 Years","10+ Years")))</f>
        <v>0-2 Years</v>
      </c>
      <c r="H158" t="str">
        <f>IF(INDEX(tblCleanData[WorkLifeBalance],150)&lt;=2,"Elevated","Normal")</f>
        <v>Normal</v>
      </c>
      <c r="I158">
        <f>IF(INDEX(tblCleanData[Age],150)&lt;30,30,IF(INDEX(tblCleanData[Age],150)&lt;40,20,IF(INDEX(tblCleanData[Age],150)&lt;50,10,15)))</f>
        <v>30</v>
      </c>
      <c r="J158">
        <f>IF(INDEX(tblCleanData[MonthlyIncome],150)&lt;=$B$3,25,IF(INDEX(tblCleanData[MonthlyIncome],150)&lt;=$B$4,12,5))</f>
        <v>5</v>
      </c>
      <c r="K158">
        <f>IF(INDEX(tblCleanData[OverTime],150)="Yes",25,0)</f>
        <v>0</v>
      </c>
      <c r="L158">
        <f>(5-INDEX(tblCleanData[JobSatisfaction],150))*6.25</f>
        <v>18.75</v>
      </c>
      <c r="M158">
        <f>IF(INDEX(tblCleanData[YearsAtCompany],150)&lt;=2,25,IF(INDEX(tblCleanData[YearsAtCompany],150)&lt;=5,15,IF(INDEX(tblCleanData[YearsAtCompany],150)&lt;=10,8,3)))</f>
        <v>25</v>
      </c>
      <c r="N158">
        <f t="shared" si="4"/>
        <v>79</v>
      </c>
      <c r="O158" t="str">
        <f t="shared" si="5"/>
        <v>High Risk</v>
      </c>
    </row>
    <row r="159" spans="1:15" x14ac:dyDescent="0.25">
      <c r="A159">
        <f>INDEX(tblCleanData[EmployeeNumber],151)</f>
        <v>202</v>
      </c>
      <c r="B159" t="str">
        <f>IF(INDEX(tblCleanData[Age],151)&lt;30,"Under 30",IF(INDEX(tblCleanData[Age],151)&lt;40,"30-39",IF(INDEX(tblCleanData[Age],151)&lt;50,"40-49","50+")))</f>
        <v>40-49</v>
      </c>
      <c r="C159" t="str">
        <f>IF(INDEX(tblCleanData[MonthlyIncome],151)&lt;=$B$3,"Low Income",IF(INDEX(tblCleanData[MonthlyIncome],151)&lt;=$B$4,"Medium Income","High Income"))</f>
        <v>High Income</v>
      </c>
      <c r="D159">
        <f>IF(INDEX(tblCleanData[Attrition],151)="Yes",1,0)</f>
        <v>0</v>
      </c>
      <c r="E159">
        <f>IF(INDEX(tblCleanData[OverTime],151)="Yes",1,0)</f>
        <v>0</v>
      </c>
      <c r="F159" t="str">
        <f>CHOOSE(INDEX(tblCleanData[Education],151),"Below College","College","Bachelor","Master","Doctor")</f>
        <v>Bachelor</v>
      </c>
      <c r="G159" t="str">
        <f>IF(INDEX(tblCleanData[YearsAtCompany],151)&lt;=2,"0-2 Years",IF(INDEX(tblCleanData[YearsAtCompany],151)&lt;=5,"3-5 Years",IF(INDEX(tblCleanData[YearsAtCompany],151)&lt;=10,"6-10 Years","10+ Years")))</f>
        <v>10+ Years</v>
      </c>
      <c r="H159" t="str">
        <f>IF(INDEX(tblCleanData[WorkLifeBalance],151)&lt;=2,"Elevated","Normal")</f>
        <v>Normal</v>
      </c>
      <c r="I159">
        <f>IF(INDEX(tblCleanData[Age],151)&lt;30,30,IF(INDEX(tblCleanData[Age],151)&lt;40,20,IF(INDEX(tblCleanData[Age],151)&lt;50,10,15)))</f>
        <v>10</v>
      </c>
      <c r="J159">
        <f>IF(INDEX(tblCleanData[MonthlyIncome],151)&lt;=$B$3,25,IF(INDEX(tblCleanData[MonthlyIncome],151)&lt;=$B$4,12,5))</f>
        <v>5</v>
      </c>
      <c r="K159">
        <f>IF(INDEX(tblCleanData[OverTime],151)="Yes",25,0)</f>
        <v>0</v>
      </c>
      <c r="L159">
        <f>(5-INDEX(tblCleanData[JobSatisfaction],151))*6.25</f>
        <v>18.75</v>
      </c>
      <c r="M159">
        <f>IF(INDEX(tblCleanData[YearsAtCompany],151)&lt;=2,25,IF(INDEX(tblCleanData[YearsAtCompany],151)&lt;=5,15,IF(INDEX(tblCleanData[YearsAtCompany],151)&lt;=10,8,3)))</f>
        <v>3</v>
      </c>
      <c r="N159">
        <f t="shared" si="4"/>
        <v>37</v>
      </c>
      <c r="O159" t="str">
        <f t="shared" si="5"/>
        <v>Medium Risk</v>
      </c>
    </row>
    <row r="160" spans="1:15" x14ac:dyDescent="0.25">
      <c r="A160">
        <f>INDEX(tblCleanData[EmployeeNumber],152)</f>
        <v>204</v>
      </c>
      <c r="B160" t="str">
        <f>IF(INDEX(tblCleanData[Age],152)&lt;30,"Under 30",IF(INDEX(tblCleanData[Age],152)&lt;40,"30-39",IF(INDEX(tblCleanData[Age],152)&lt;50,"40-49","50+")))</f>
        <v>30-39</v>
      </c>
      <c r="C160" t="str">
        <f>IF(INDEX(tblCleanData[MonthlyIncome],152)&lt;=$B$3,"Low Income",IF(INDEX(tblCleanData[MonthlyIncome],152)&lt;=$B$4,"Medium Income","High Income"))</f>
        <v>High Income</v>
      </c>
      <c r="D160">
        <f>IF(INDEX(tblCleanData[Attrition],152)="Yes",1,0)</f>
        <v>0</v>
      </c>
      <c r="E160">
        <f>IF(INDEX(tblCleanData[OverTime],152)="Yes",1,0)</f>
        <v>0</v>
      </c>
      <c r="F160" t="str">
        <f>CHOOSE(INDEX(tblCleanData[Education],152),"Below College","College","Bachelor","Master","Doctor")</f>
        <v>Doctor</v>
      </c>
      <c r="G160" t="str">
        <f>IF(INDEX(tblCleanData[YearsAtCompany],152)&lt;=2,"0-2 Years",IF(INDEX(tblCleanData[YearsAtCompany],152)&lt;=5,"3-5 Years",IF(INDEX(tblCleanData[YearsAtCompany],152)&lt;=10,"6-10 Years","10+ Years")))</f>
        <v>6-10 Years</v>
      </c>
      <c r="H160" t="str">
        <f>IF(INDEX(tblCleanData[WorkLifeBalance],152)&lt;=2,"Elevated","Normal")</f>
        <v>Normal</v>
      </c>
      <c r="I160">
        <f>IF(INDEX(tblCleanData[Age],152)&lt;30,30,IF(INDEX(tblCleanData[Age],152)&lt;40,20,IF(INDEX(tblCleanData[Age],152)&lt;50,10,15)))</f>
        <v>20</v>
      </c>
      <c r="J160">
        <f>IF(INDEX(tblCleanData[MonthlyIncome],152)&lt;=$B$3,25,IF(INDEX(tblCleanData[MonthlyIncome],152)&lt;=$B$4,12,5))</f>
        <v>5</v>
      </c>
      <c r="K160">
        <f>IF(INDEX(tblCleanData[OverTime],152)="Yes",25,0)</f>
        <v>0</v>
      </c>
      <c r="L160">
        <f>(5-INDEX(tblCleanData[JobSatisfaction],152))*6.25</f>
        <v>18.75</v>
      </c>
      <c r="M160">
        <f>IF(INDEX(tblCleanData[YearsAtCompany],152)&lt;=2,25,IF(INDEX(tblCleanData[YearsAtCompany],152)&lt;=5,15,IF(INDEX(tblCleanData[YearsAtCompany],152)&lt;=10,8,3)))</f>
        <v>8</v>
      </c>
      <c r="N160">
        <f t="shared" si="4"/>
        <v>52</v>
      </c>
      <c r="O160" t="str">
        <f t="shared" si="5"/>
        <v>Medium Risk</v>
      </c>
    </row>
    <row r="161" spans="1:15" x14ac:dyDescent="0.25">
      <c r="A161">
        <f>INDEX(tblCleanData[EmployeeNumber],153)</f>
        <v>205</v>
      </c>
      <c r="B161" t="str">
        <f>IF(INDEX(tblCleanData[Age],153)&lt;30,"Under 30",IF(INDEX(tblCleanData[Age],153)&lt;40,"30-39",IF(INDEX(tblCleanData[Age],153)&lt;50,"40-49","50+")))</f>
        <v>50+</v>
      </c>
      <c r="C161" t="str">
        <f>IF(INDEX(tblCleanData[MonthlyIncome],153)&lt;=$B$3,"Low Income",IF(INDEX(tblCleanData[MonthlyIncome],153)&lt;=$B$4,"Medium Income","High Income"))</f>
        <v>High Income</v>
      </c>
      <c r="D161">
        <f>IF(INDEX(tblCleanData[Attrition],153)="Yes",1,0)</f>
        <v>0</v>
      </c>
      <c r="E161">
        <f>IF(INDEX(tblCleanData[OverTime],153)="Yes",1,0)</f>
        <v>1</v>
      </c>
      <c r="F161" t="str">
        <f>CHOOSE(INDEX(tblCleanData[Education],153),"Below College","College","Bachelor","Master","Doctor")</f>
        <v>College</v>
      </c>
      <c r="G161" t="str">
        <f>IF(INDEX(tblCleanData[YearsAtCompany],153)&lt;=2,"0-2 Years",IF(INDEX(tblCleanData[YearsAtCompany],153)&lt;=5,"3-5 Years",IF(INDEX(tblCleanData[YearsAtCompany],153)&lt;=10,"6-10 Years","10+ Years")))</f>
        <v>6-10 Years</v>
      </c>
      <c r="H161" t="str">
        <f>IF(INDEX(tblCleanData[WorkLifeBalance],153)&lt;=2,"Elevated","Normal")</f>
        <v>Elevated</v>
      </c>
      <c r="I161">
        <f>IF(INDEX(tblCleanData[Age],153)&lt;30,30,IF(INDEX(tblCleanData[Age],153)&lt;40,20,IF(INDEX(tblCleanData[Age],153)&lt;50,10,15)))</f>
        <v>15</v>
      </c>
      <c r="J161">
        <f>IF(INDEX(tblCleanData[MonthlyIncome],153)&lt;=$B$3,25,IF(INDEX(tblCleanData[MonthlyIncome],153)&lt;=$B$4,12,5))</f>
        <v>5</v>
      </c>
      <c r="K161">
        <f>IF(INDEX(tblCleanData[OverTime],153)="Yes",25,0)</f>
        <v>25</v>
      </c>
      <c r="L161">
        <f>(5-INDEX(tblCleanData[JobSatisfaction],153))*6.25</f>
        <v>12.5</v>
      </c>
      <c r="M161">
        <f>IF(INDEX(tblCleanData[YearsAtCompany],153)&lt;=2,25,IF(INDEX(tblCleanData[YearsAtCompany],153)&lt;=5,15,IF(INDEX(tblCleanData[YearsAtCompany],153)&lt;=10,8,3)))</f>
        <v>8</v>
      </c>
      <c r="N161">
        <f t="shared" si="4"/>
        <v>66</v>
      </c>
      <c r="O161" t="str">
        <f t="shared" si="5"/>
        <v>High Risk</v>
      </c>
    </row>
    <row r="162" spans="1:15" x14ac:dyDescent="0.25">
      <c r="A162">
        <f>INDEX(tblCleanData[EmployeeNumber],154)</f>
        <v>206</v>
      </c>
      <c r="B162" t="str">
        <f>IF(INDEX(tblCleanData[Age],154)&lt;30,"Under 30",IF(INDEX(tblCleanData[Age],154)&lt;40,"30-39",IF(INDEX(tblCleanData[Age],154)&lt;50,"40-49","50+")))</f>
        <v>40-49</v>
      </c>
      <c r="C162" t="str">
        <f>IF(INDEX(tblCleanData[MonthlyIncome],154)&lt;=$B$3,"Low Income",IF(INDEX(tblCleanData[MonthlyIncome],154)&lt;=$B$4,"Medium Income","High Income"))</f>
        <v>High Income</v>
      </c>
      <c r="D162">
        <f>IF(INDEX(tblCleanData[Attrition],154)="Yes",1,0)</f>
        <v>0</v>
      </c>
      <c r="E162">
        <f>IF(INDEX(tblCleanData[OverTime],154)="Yes",1,0)</f>
        <v>0</v>
      </c>
      <c r="F162" t="str">
        <f>CHOOSE(INDEX(tblCleanData[Education],154),"Below College","College","Bachelor","Master","Doctor")</f>
        <v>Bachelor</v>
      </c>
      <c r="G162" t="str">
        <f>IF(INDEX(tblCleanData[YearsAtCompany],154)&lt;=2,"0-2 Years",IF(INDEX(tblCleanData[YearsAtCompany],154)&lt;=5,"3-5 Years",IF(INDEX(tblCleanData[YearsAtCompany],154)&lt;=10,"6-10 Years","10+ Years")))</f>
        <v>10+ Years</v>
      </c>
      <c r="H162" t="str">
        <f>IF(INDEX(tblCleanData[WorkLifeBalance],154)&lt;=2,"Elevated","Normal")</f>
        <v>Elevated</v>
      </c>
      <c r="I162">
        <f>IF(INDEX(tblCleanData[Age],154)&lt;30,30,IF(INDEX(tblCleanData[Age],154)&lt;40,20,IF(INDEX(tblCleanData[Age],154)&lt;50,10,15)))</f>
        <v>10</v>
      </c>
      <c r="J162">
        <f>IF(INDEX(tblCleanData[MonthlyIncome],154)&lt;=$B$3,25,IF(INDEX(tblCleanData[MonthlyIncome],154)&lt;=$B$4,12,5))</f>
        <v>5</v>
      </c>
      <c r="K162">
        <f>IF(INDEX(tblCleanData[OverTime],154)="Yes",25,0)</f>
        <v>0</v>
      </c>
      <c r="L162">
        <f>(5-INDEX(tblCleanData[JobSatisfaction],154))*6.25</f>
        <v>18.75</v>
      </c>
      <c r="M162">
        <f>IF(INDEX(tblCleanData[YearsAtCompany],154)&lt;=2,25,IF(INDEX(tblCleanData[YearsAtCompany],154)&lt;=5,15,IF(INDEX(tblCleanData[YearsAtCompany],154)&lt;=10,8,3)))</f>
        <v>3</v>
      </c>
      <c r="N162">
        <f t="shared" si="4"/>
        <v>37</v>
      </c>
      <c r="O162" t="str">
        <f t="shared" si="5"/>
        <v>Medium Risk</v>
      </c>
    </row>
    <row r="163" spans="1:15" x14ac:dyDescent="0.25">
      <c r="A163">
        <f>INDEX(tblCleanData[EmployeeNumber],155)</f>
        <v>207</v>
      </c>
      <c r="B163" t="str">
        <f>IF(INDEX(tblCleanData[Age],155)&lt;30,"Under 30",IF(INDEX(tblCleanData[Age],155)&lt;40,"30-39",IF(INDEX(tblCleanData[Age],155)&lt;50,"40-49","50+")))</f>
        <v>30-39</v>
      </c>
      <c r="C163" t="str">
        <f>IF(INDEX(tblCleanData[MonthlyIncome],155)&lt;=$B$3,"Low Income",IF(INDEX(tblCleanData[MonthlyIncome],155)&lt;=$B$4,"Medium Income","High Income"))</f>
        <v>High Income</v>
      </c>
      <c r="D163">
        <f>IF(INDEX(tblCleanData[Attrition],155)="Yes",1,0)</f>
        <v>0</v>
      </c>
      <c r="E163">
        <f>IF(INDEX(tblCleanData[OverTime],155)="Yes",1,0)</f>
        <v>0</v>
      </c>
      <c r="F163" t="str">
        <f>CHOOSE(INDEX(tblCleanData[Education],155),"Below College","College","Bachelor","Master","Doctor")</f>
        <v>Bachelor</v>
      </c>
      <c r="G163" t="str">
        <f>IF(INDEX(tblCleanData[YearsAtCompany],155)&lt;=2,"0-2 Years",IF(INDEX(tblCleanData[YearsAtCompany],155)&lt;=5,"3-5 Years",IF(INDEX(tblCleanData[YearsAtCompany],155)&lt;=10,"6-10 Years","10+ Years")))</f>
        <v>6-10 Years</v>
      </c>
      <c r="H163" t="str">
        <f>IF(INDEX(tblCleanData[WorkLifeBalance],155)&lt;=2,"Elevated","Normal")</f>
        <v>Normal</v>
      </c>
      <c r="I163">
        <f>IF(INDEX(tblCleanData[Age],155)&lt;30,30,IF(INDEX(tblCleanData[Age],155)&lt;40,20,IF(INDEX(tblCleanData[Age],155)&lt;50,10,15)))</f>
        <v>20</v>
      </c>
      <c r="J163">
        <f>IF(INDEX(tblCleanData[MonthlyIncome],155)&lt;=$B$3,25,IF(INDEX(tblCleanData[MonthlyIncome],155)&lt;=$B$4,12,5))</f>
        <v>5</v>
      </c>
      <c r="K163">
        <f>IF(INDEX(tblCleanData[OverTime],155)="Yes",25,0)</f>
        <v>0</v>
      </c>
      <c r="L163">
        <f>(5-INDEX(tblCleanData[JobSatisfaction],155))*6.25</f>
        <v>6.25</v>
      </c>
      <c r="M163">
        <f>IF(INDEX(tblCleanData[YearsAtCompany],155)&lt;=2,25,IF(INDEX(tblCleanData[YearsAtCompany],155)&lt;=5,15,IF(INDEX(tblCleanData[YearsAtCompany],155)&lt;=10,8,3)))</f>
        <v>8</v>
      </c>
      <c r="N163">
        <f t="shared" si="4"/>
        <v>39</v>
      </c>
      <c r="O163" t="str">
        <f t="shared" si="5"/>
        <v>Medium Risk</v>
      </c>
    </row>
    <row r="164" spans="1:15" x14ac:dyDescent="0.25">
      <c r="A164">
        <f>INDEX(tblCleanData[EmployeeNumber],156)</f>
        <v>208</v>
      </c>
      <c r="B164" t="str">
        <f>IF(INDEX(tblCleanData[Age],156)&lt;30,"Under 30",IF(INDEX(tblCleanData[Age],156)&lt;40,"30-39",IF(INDEX(tblCleanData[Age],156)&lt;50,"40-49","50+")))</f>
        <v>Under 30</v>
      </c>
      <c r="C164" t="str">
        <f>IF(INDEX(tblCleanData[MonthlyIncome],156)&lt;=$B$3,"Low Income",IF(INDEX(tblCleanData[MonthlyIncome],156)&lt;=$B$4,"Medium Income","High Income"))</f>
        <v>High Income</v>
      </c>
      <c r="D164">
        <f>IF(INDEX(tblCleanData[Attrition],156)="Yes",1,0)</f>
        <v>0</v>
      </c>
      <c r="E164">
        <f>IF(INDEX(tblCleanData[OverTime],156)="Yes",1,0)</f>
        <v>0</v>
      </c>
      <c r="F164" t="str">
        <f>CHOOSE(INDEX(tblCleanData[Education],156),"Below College","College","Bachelor","Master","Doctor")</f>
        <v>Below College</v>
      </c>
      <c r="G164" t="str">
        <f>IF(INDEX(tblCleanData[YearsAtCompany],156)&lt;=2,"0-2 Years",IF(INDEX(tblCleanData[YearsAtCompany],156)&lt;=5,"3-5 Years",IF(INDEX(tblCleanData[YearsAtCompany],156)&lt;=10,"6-10 Years","10+ Years")))</f>
        <v>6-10 Years</v>
      </c>
      <c r="H164" t="str">
        <f>IF(INDEX(tblCleanData[WorkLifeBalance],156)&lt;=2,"Elevated","Normal")</f>
        <v>Normal</v>
      </c>
      <c r="I164">
        <f>IF(INDEX(tblCleanData[Age],156)&lt;30,30,IF(INDEX(tblCleanData[Age],156)&lt;40,20,IF(INDEX(tblCleanData[Age],156)&lt;50,10,15)))</f>
        <v>30</v>
      </c>
      <c r="J164">
        <f>IF(INDEX(tblCleanData[MonthlyIncome],156)&lt;=$B$3,25,IF(INDEX(tblCleanData[MonthlyIncome],156)&lt;=$B$4,12,5))</f>
        <v>5</v>
      </c>
      <c r="K164">
        <f>IF(INDEX(tblCleanData[OverTime],156)="Yes",25,0)</f>
        <v>0</v>
      </c>
      <c r="L164">
        <f>(5-INDEX(tblCleanData[JobSatisfaction],156))*6.25</f>
        <v>12.5</v>
      </c>
      <c r="M164">
        <f>IF(INDEX(tblCleanData[YearsAtCompany],156)&lt;=2,25,IF(INDEX(tblCleanData[YearsAtCompany],156)&lt;=5,15,IF(INDEX(tblCleanData[YearsAtCompany],156)&lt;=10,8,3)))</f>
        <v>8</v>
      </c>
      <c r="N164">
        <f t="shared" si="4"/>
        <v>56</v>
      </c>
      <c r="O164" t="str">
        <f t="shared" si="5"/>
        <v>High Risk</v>
      </c>
    </row>
    <row r="165" spans="1:15" x14ac:dyDescent="0.25">
      <c r="A165">
        <f>INDEX(tblCleanData[EmployeeNumber],157)</f>
        <v>211</v>
      </c>
      <c r="B165" t="str">
        <f>IF(INDEX(tblCleanData[Age],157)&lt;30,"Under 30",IF(INDEX(tblCleanData[Age],157)&lt;40,"30-39",IF(INDEX(tblCleanData[Age],157)&lt;50,"40-49","50+")))</f>
        <v>50+</v>
      </c>
      <c r="C165" t="str">
        <f>IF(INDEX(tblCleanData[MonthlyIncome],157)&lt;=$B$3,"Low Income",IF(INDEX(tblCleanData[MonthlyIncome],157)&lt;=$B$4,"Medium Income","High Income"))</f>
        <v>High Income</v>
      </c>
      <c r="D165">
        <f>IF(INDEX(tblCleanData[Attrition],157)="Yes",1,0)</f>
        <v>0</v>
      </c>
      <c r="E165">
        <f>IF(INDEX(tblCleanData[OverTime],157)="Yes",1,0)</f>
        <v>0</v>
      </c>
      <c r="F165" t="str">
        <f>CHOOSE(INDEX(tblCleanData[Education],157),"Below College","College","Bachelor","Master","Doctor")</f>
        <v>Master</v>
      </c>
      <c r="G165" t="str">
        <f>IF(INDEX(tblCleanData[YearsAtCompany],157)&lt;=2,"0-2 Years",IF(INDEX(tblCleanData[YearsAtCompany],157)&lt;=5,"3-5 Years",IF(INDEX(tblCleanData[YearsAtCompany],157)&lt;=10,"6-10 Years","10+ Years")))</f>
        <v>0-2 Years</v>
      </c>
      <c r="H165" t="str">
        <f>IF(INDEX(tblCleanData[WorkLifeBalance],157)&lt;=2,"Elevated","Normal")</f>
        <v>Normal</v>
      </c>
      <c r="I165">
        <f>IF(INDEX(tblCleanData[Age],157)&lt;30,30,IF(INDEX(tblCleanData[Age],157)&lt;40,20,IF(INDEX(tblCleanData[Age],157)&lt;50,10,15)))</f>
        <v>15</v>
      </c>
      <c r="J165">
        <f>IF(INDEX(tblCleanData[MonthlyIncome],157)&lt;=$B$3,25,IF(INDEX(tblCleanData[MonthlyIncome],157)&lt;=$B$4,12,5))</f>
        <v>5</v>
      </c>
      <c r="K165">
        <f>IF(INDEX(tblCleanData[OverTime],157)="Yes",25,0)</f>
        <v>0</v>
      </c>
      <c r="L165">
        <f>(5-INDEX(tblCleanData[JobSatisfaction],157))*6.25</f>
        <v>12.5</v>
      </c>
      <c r="M165">
        <f>IF(INDEX(tblCleanData[YearsAtCompany],157)&lt;=2,25,IF(INDEX(tblCleanData[YearsAtCompany],157)&lt;=5,15,IF(INDEX(tblCleanData[YearsAtCompany],157)&lt;=10,8,3)))</f>
        <v>25</v>
      </c>
      <c r="N165">
        <f t="shared" si="4"/>
        <v>58</v>
      </c>
      <c r="O165" t="str">
        <f t="shared" si="5"/>
        <v>High Risk</v>
      </c>
    </row>
    <row r="166" spans="1:15" x14ac:dyDescent="0.25">
      <c r="A166">
        <f>INDEX(tblCleanData[EmployeeNumber],158)</f>
        <v>214</v>
      </c>
      <c r="B166" t="str">
        <f>IF(INDEX(tblCleanData[Age],158)&lt;30,"Under 30",IF(INDEX(tblCleanData[Age],158)&lt;40,"30-39",IF(INDEX(tblCleanData[Age],158)&lt;50,"40-49","50+")))</f>
        <v>50+</v>
      </c>
      <c r="C166" t="str">
        <f>IF(INDEX(tblCleanData[MonthlyIncome],158)&lt;=$B$3,"Low Income",IF(INDEX(tblCleanData[MonthlyIncome],158)&lt;=$B$4,"Medium Income","High Income"))</f>
        <v>High Income</v>
      </c>
      <c r="D166">
        <f>IF(INDEX(tblCleanData[Attrition],158)="Yes",1,0)</f>
        <v>0</v>
      </c>
      <c r="E166">
        <f>IF(INDEX(tblCleanData[OverTime],158)="Yes",1,0)</f>
        <v>1</v>
      </c>
      <c r="F166" t="str">
        <f>CHOOSE(INDEX(tblCleanData[Education],158),"Below College","College","Bachelor","Master","Doctor")</f>
        <v>Bachelor</v>
      </c>
      <c r="G166" t="str">
        <f>IF(INDEX(tblCleanData[YearsAtCompany],158)&lt;=2,"0-2 Years",IF(INDEX(tblCleanData[YearsAtCompany],158)&lt;=5,"3-5 Years",IF(INDEX(tblCleanData[YearsAtCompany],158)&lt;=10,"6-10 Years","10+ Years")))</f>
        <v>0-2 Years</v>
      </c>
      <c r="H166" t="str">
        <f>IF(INDEX(tblCleanData[WorkLifeBalance],158)&lt;=2,"Elevated","Normal")</f>
        <v>Elevated</v>
      </c>
      <c r="I166">
        <f>IF(INDEX(tblCleanData[Age],158)&lt;30,30,IF(INDEX(tblCleanData[Age],158)&lt;40,20,IF(INDEX(tblCleanData[Age],158)&lt;50,10,15)))</f>
        <v>15</v>
      </c>
      <c r="J166">
        <f>IF(INDEX(tblCleanData[MonthlyIncome],158)&lt;=$B$3,25,IF(INDEX(tblCleanData[MonthlyIncome],158)&lt;=$B$4,12,5))</f>
        <v>5</v>
      </c>
      <c r="K166">
        <f>IF(INDEX(tblCleanData[OverTime],158)="Yes",25,0)</f>
        <v>25</v>
      </c>
      <c r="L166">
        <f>(5-INDEX(tblCleanData[JobSatisfaction],158))*6.25</f>
        <v>18.75</v>
      </c>
      <c r="M166">
        <f>IF(INDEX(tblCleanData[YearsAtCompany],158)&lt;=2,25,IF(INDEX(tblCleanData[YearsAtCompany],158)&lt;=5,15,IF(INDEX(tblCleanData[YearsAtCompany],158)&lt;=10,8,3)))</f>
        <v>25</v>
      </c>
      <c r="N166">
        <f t="shared" si="4"/>
        <v>89</v>
      </c>
      <c r="O166" t="str">
        <f t="shared" si="5"/>
        <v>High Risk</v>
      </c>
    </row>
    <row r="167" spans="1:15" x14ac:dyDescent="0.25">
      <c r="A167">
        <f>INDEX(tblCleanData[EmployeeNumber],159)</f>
        <v>215</v>
      </c>
      <c r="B167" t="str">
        <f>IF(INDEX(tblCleanData[Age],159)&lt;30,"Under 30",IF(INDEX(tblCleanData[Age],159)&lt;40,"30-39",IF(INDEX(tblCleanData[Age],159)&lt;50,"40-49","50+")))</f>
        <v>40-49</v>
      </c>
      <c r="C167" t="str">
        <f>IF(INDEX(tblCleanData[MonthlyIncome],159)&lt;=$B$3,"Low Income",IF(INDEX(tblCleanData[MonthlyIncome],159)&lt;=$B$4,"Medium Income","High Income"))</f>
        <v>High Income</v>
      </c>
      <c r="D167">
        <f>IF(INDEX(tblCleanData[Attrition],159)="Yes",1,0)</f>
        <v>0</v>
      </c>
      <c r="E167">
        <f>IF(INDEX(tblCleanData[OverTime],159)="Yes",1,0)</f>
        <v>0</v>
      </c>
      <c r="F167" t="str">
        <f>CHOOSE(INDEX(tblCleanData[Education],159),"Below College","College","Bachelor","Master","Doctor")</f>
        <v>Master</v>
      </c>
      <c r="G167" t="str">
        <f>IF(INDEX(tblCleanData[YearsAtCompany],159)&lt;=2,"0-2 Years",IF(INDEX(tblCleanData[YearsAtCompany],159)&lt;=5,"3-5 Years",IF(INDEX(tblCleanData[YearsAtCompany],159)&lt;=10,"6-10 Years","10+ Years")))</f>
        <v>10+ Years</v>
      </c>
      <c r="H167" t="str">
        <f>IF(INDEX(tblCleanData[WorkLifeBalance],159)&lt;=2,"Elevated","Normal")</f>
        <v>Elevated</v>
      </c>
      <c r="I167">
        <f>IF(INDEX(tblCleanData[Age],159)&lt;30,30,IF(INDEX(tblCleanData[Age],159)&lt;40,20,IF(INDEX(tblCleanData[Age],159)&lt;50,10,15)))</f>
        <v>10</v>
      </c>
      <c r="J167">
        <f>IF(INDEX(tblCleanData[MonthlyIncome],159)&lt;=$B$3,25,IF(INDEX(tblCleanData[MonthlyIncome],159)&lt;=$B$4,12,5))</f>
        <v>5</v>
      </c>
      <c r="K167">
        <f>IF(INDEX(tblCleanData[OverTime],159)="Yes",25,0)</f>
        <v>0</v>
      </c>
      <c r="L167">
        <f>(5-INDEX(tblCleanData[JobSatisfaction],159))*6.25</f>
        <v>6.25</v>
      </c>
      <c r="M167">
        <f>IF(INDEX(tblCleanData[YearsAtCompany],159)&lt;=2,25,IF(INDEX(tblCleanData[YearsAtCompany],159)&lt;=5,15,IF(INDEX(tblCleanData[YearsAtCompany],159)&lt;=10,8,3)))</f>
        <v>3</v>
      </c>
      <c r="N167">
        <f t="shared" si="4"/>
        <v>24</v>
      </c>
      <c r="O167" t="str">
        <f t="shared" si="5"/>
        <v>Low Risk</v>
      </c>
    </row>
    <row r="168" spans="1:15" x14ac:dyDescent="0.25">
      <c r="A168">
        <f>INDEX(tblCleanData[EmployeeNumber],160)</f>
        <v>216</v>
      </c>
      <c r="B168" t="str">
        <f>IF(INDEX(tblCleanData[Age],160)&lt;30,"Under 30",IF(INDEX(tblCleanData[Age],160)&lt;40,"30-39",IF(INDEX(tblCleanData[Age],160)&lt;50,"40-49","50+")))</f>
        <v>30-39</v>
      </c>
      <c r="C168" t="str">
        <f>IF(INDEX(tblCleanData[MonthlyIncome],160)&lt;=$B$3,"Low Income",IF(INDEX(tblCleanData[MonthlyIncome],160)&lt;=$B$4,"Medium Income","High Income"))</f>
        <v>High Income</v>
      </c>
      <c r="D168">
        <f>IF(INDEX(tblCleanData[Attrition],160)="Yes",1,0)</f>
        <v>0</v>
      </c>
      <c r="E168">
        <f>IF(INDEX(tblCleanData[OverTime],160)="Yes",1,0)</f>
        <v>0</v>
      </c>
      <c r="F168" t="str">
        <f>CHOOSE(INDEX(tblCleanData[Education],160),"Below College","College","Bachelor","Master","Doctor")</f>
        <v>Master</v>
      </c>
      <c r="G168" t="str">
        <f>IF(INDEX(tblCleanData[YearsAtCompany],160)&lt;=2,"0-2 Years",IF(INDEX(tblCleanData[YearsAtCompany],160)&lt;=5,"3-5 Years",IF(INDEX(tblCleanData[YearsAtCompany],160)&lt;=10,"6-10 Years","10+ Years")))</f>
        <v>3-5 Years</v>
      </c>
      <c r="H168" t="str">
        <f>IF(INDEX(tblCleanData[WorkLifeBalance],160)&lt;=2,"Elevated","Normal")</f>
        <v>Normal</v>
      </c>
      <c r="I168">
        <f>IF(INDEX(tblCleanData[Age],160)&lt;30,30,IF(INDEX(tblCleanData[Age],160)&lt;40,20,IF(INDEX(tblCleanData[Age],160)&lt;50,10,15)))</f>
        <v>20</v>
      </c>
      <c r="J168">
        <f>IF(INDEX(tblCleanData[MonthlyIncome],160)&lt;=$B$3,25,IF(INDEX(tblCleanData[MonthlyIncome],160)&lt;=$B$4,12,5))</f>
        <v>5</v>
      </c>
      <c r="K168">
        <f>IF(INDEX(tblCleanData[OverTime],160)="Yes",25,0)</f>
        <v>0</v>
      </c>
      <c r="L168">
        <f>(5-INDEX(tblCleanData[JobSatisfaction],160))*6.25</f>
        <v>12.5</v>
      </c>
      <c r="M168">
        <f>IF(INDEX(tblCleanData[YearsAtCompany],160)&lt;=2,25,IF(INDEX(tblCleanData[YearsAtCompany],160)&lt;=5,15,IF(INDEX(tblCleanData[YearsAtCompany],160)&lt;=10,8,3)))</f>
        <v>15</v>
      </c>
      <c r="N168">
        <f t="shared" si="4"/>
        <v>53</v>
      </c>
      <c r="O168" t="str">
        <f t="shared" si="5"/>
        <v>Medium Risk</v>
      </c>
    </row>
    <row r="169" spans="1:15" x14ac:dyDescent="0.25">
      <c r="A169">
        <f>INDEX(tblCleanData[EmployeeNumber],161)</f>
        <v>217</v>
      </c>
      <c r="B169" t="str">
        <f>IF(INDEX(tblCleanData[Age],161)&lt;30,"Under 30",IF(INDEX(tblCleanData[Age],161)&lt;40,"30-39",IF(INDEX(tblCleanData[Age],161)&lt;50,"40-49","50+")))</f>
        <v>Under 30</v>
      </c>
      <c r="C169" t="str">
        <f>IF(INDEX(tblCleanData[MonthlyIncome],161)&lt;=$B$3,"Low Income",IF(INDEX(tblCleanData[MonthlyIncome],161)&lt;=$B$4,"Medium Income","High Income"))</f>
        <v>High Income</v>
      </c>
      <c r="D169">
        <f>IF(INDEX(tblCleanData[Attrition],161)="Yes",1,0)</f>
        <v>0</v>
      </c>
      <c r="E169">
        <f>IF(INDEX(tblCleanData[OverTime],161)="Yes",1,0)</f>
        <v>0</v>
      </c>
      <c r="F169" t="str">
        <f>CHOOSE(INDEX(tblCleanData[Education],161),"Below College","College","Bachelor","Master","Doctor")</f>
        <v>Below College</v>
      </c>
      <c r="G169" t="str">
        <f>IF(INDEX(tblCleanData[YearsAtCompany],161)&lt;=2,"0-2 Years",IF(INDEX(tblCleanData[YearsAtCompany],161)&lt;=5,"3-5 Years",IF(INDEX(tblCleanData[YearsAtCompany],161)&lt;=10,"6-10 Years","10+ Years")))</f>
        <v>0-2 Years</v>
      </c>
      <c r="H169" t="str">
        <f>IF(INDEX(tblCleanData[WorkLifeBalance],161)&lt;=2,"Elevated","Normal")</f>
        <v>Normal</v>
      </c>
      <c r="I169">
        <f>IF(INDEX(tblCleanData[Age],161)&lt;30,30,IF(INDEX(tblCleanData[Age],161)&lt;40,20,IF(INDEX(tblCleanData[Age],161)&lt;50,10,15)))</f>
        <v>30</v>
      </c>
      <c r="J169">
        <f>IF(INDEX(tblCleanData[MonthlyIncome],161)&lt;=$B$3,25,IF(INDEX(tblCleanData[MonthlyIncome],161)&lt;=$B$4,12,5))</f>
        <v>5</v>
      </c>
      <c r="K169">
        <f>IF(INDEX(tblCleanData[OverTime],161)="Yes",25,0)</f>
        <v>0</v>
      </c>
      <c r="L169">
        <f>(5-INDEX(tblCleanData[JobSatisfaction],161))*6.25</f>
        <v>6.25</v>
      </c>
      <c r="M169">
        <f>IF(INDEX(tblCleanData[YearsAtCompany],161)&lt;=2,25,IF(INDEX(tblCleanData[YearsAtCompany],161)&lt;=5,15,IF(INDEX(tblCleanData[YearsAtCompany],161)&lt;=10,8,3)))</f>
        <v>25</v>
      </c>
      <c r="N169">
        <f t="shared" si="4"/>
        <v>66</v>
      </c>
      <c r="O169" t="str">
        <f t="shared" si="5"/>
        <v>High Risk</v>
      </c>
    </row>
    <row r="170" spans="1:15" x14ac:dyDescent="0.25">
      <c r="A170">
        <f>INDEX(tblCleanData[EmployeeNumber],162)</f>
        <v>218</v>
      </c>
      <c r="B170" t="str">
        <f>IF(INDEX(tblCleanData[Age],162)&lt;30,"Under 30",IF(INDEX(tblCleanData[Age],162)&lt;40,"30-39",IF(INDEX(tblCleanData[Age],162)&lt;50,"40-49","50+")))</f>
        <v>Under 30</v>
      </c>
      <c r="C170" t="str">
        <f>IF(INDEX(tblCleanData[MonthlyIncome],162)&lt;=$B$3,"Low Income",IF(INDEX(tblCleanData[MonthlyIncome],162)&lt;=$B$4,"Medium Income","High Income"))</f>
        <v>High Income</v>
      </c>
      <c r="D170">
        <f>IF(INDEX(tblCleanData[Attrition],162)="Yes",1,0)</f>
        <v>0</v>
      </c>
      <c r="E170">
        <f>IF(INDEX(tblCleanData[OverTime],162)="Yes",1,0)</f>
        <v>0</v>
      </c>
      <c r="F170" t="str">
        <f>CHOOSE(INDEX(tblCleanData[Education],162),"Below College","College","Bachelor","Master","Doctor")</f>
        <v>Bachelor</v>
      </c>
      <c r="G170" t="str">
        <f>IF(INDEX(tblCleanData[YearsAtCompany],162)&lt;=2,"0-2 Years",IF(INDEX(tblCleanData[YearsAtCompany],162)&lt;=5,"3-5 Years",IF(INDEX(tblCleanData[YearsAtCompany],162)&lt;=10,"6-10 Years","10+ Years")))</f>
        <v>0-2 Years</v>
      </c>
      <c r="H170" t="str">
        <f>IF(INDEX(tblCleanData[WorkLifeBalance],162)&lt;=2,"Elevated","Normal")</f>
        <v>Elevated</v>
      </c>
      <c r="I170">
        <f>IF(INDEX(tblCleanData[Age],162)&lt;30,30,IF(INDEX(tblCleanData[Age],162)&lt;40,20,IF(INDEX(tblCleanData[Age],162)&lt;50,10,15)))</f>
        <v>30</v>
      </c>
      <c r="J170">
        <f>IF(INDEX(tblCleanData[MonthlyIncome],162)&lt;=$B$3,25,IF(INDEX(tblCleanData[MonthlyIncome],162)&lt;=$B$4,12,5))</f>
        <v>5</v>
      </c>
      <c r="K170">
        <f>IF(INDEX(tblCleanData[OverTime],162)="Yes",25,0)</f>
        <v>0</v>
      </c>
      <c r="L170">
        <f>(5-INDEX(tblCleanData[JobSatisfaction],162))*6.25</f>
        <v>18.75</v>
      </c>
      <c r="M170">
        <f>IF(INDEX(tblCleanData[YearsAtCompany],162)&lt;=2,25,IF(INDEX(tblCleanData[YearsAtCompany],162)&lt;=5,15,IF(INDEX(tblCleanData[YearsAtCompany],162)&lt;=10,8,3)))</f>
        <v>25</v>
      </c>
      <c r="N170">
        <f t="shared" si="4"/>
        <v>79</v>
      </c>
      <c r="O170" t="str">
        <f t="shared" si="5"/>
        <v>High Risk</v>
      </c>
    </row>
    <row r="171" spans="1:15" x14ac:dyDescent="0.25">
      <c r="A171">
        <f>INDEX(tblCleanData[EmployeeNumber],163)</f>
        <v>221</v>
      </c>
      <c r="B171" t="str">
        <f>IF(INDEX(tblCleanData[Age],163)&lt;30,"Under 30",IF(INDEX(tblCleanData[Age],163)&lt;40,"30-39",IF(INDEX(tblCleanData[Age],163)&lt;50,"40-49","50+")))</f>
        <v>Under 30</v>
      </c>
      <c r="C171" t="str">
        <f>IF(INDEX(tblCleanData[MonthlyIncome],163)&lt;=$B$3,"Low Income",IF(INDEX(tblCleanData[MonthlyIncome],163)&lt;=$B$4,"Medium Income","High Income"))</f>
        <v>High Income</v>
      </c>
      <c r="D171">
        <f>IF(INDEX(tblCleanData[Attrition],163)="Yes",1,0)</f>
        <v>0</v>
      </c>
      <c r="E171">
        <f>IF(INDEX(tblCleanData[OverTime],163)="Yes",1,0)</f>
        <v>0</v>
      </c>
      <c r="F171" t="str">
        <f>CHOOSE(INDEX(tblCleanData[Education],163),"Below College","College","Bachelor","Master","Doctor")</f>
        <v>Bachelor</v>
      </c>
      <c r="G171" t="str">
        <f>IF(INDEX(tblCleanData[YearsAtCompany],163)&lt;=2,"0-2 Years",IF(INDEX(tblCleanData[YearsAtCompany],163)&lt;=5,"3-5 Years",IF(INDEX(tblCleanData[YearsAtCompany],163)&lt;=10,"6-10 Years","10+ Years")))</f>
        <v>3-5 Years</v>
      </c>
      <c r="H171" t="str">
        <f>IF(INDEX(tblCleanData[WorkLifeBalance],163)&lt;=2,"Elevated","Normal")</f>
        <v>Elevated</v>
      </c>
      <c r="I171">
        <f>IF(INDEX(tblCleanData[Age],163)&lt;30,30,IF(INDEX(tblCleanData[Age],163)&lt;40,20,IF(INDEX(tblCleanData[Age],163)&lt;50,10,15)))</f>
        <v>30</v>
      </c>
      <c r="J171">
        <f>IF(INDEX(tblCleanData[MonthlyIncome],163)&lt;=$B$3,25,IF(INDEX(tblCleanData[MonthlyIncome],163)&lt;=$B$4,12,5))</f>
        <v>5</v>
      </c>
      <c r="K171">
        <f>IF(INDEX(tblCleanData[OverTime],163)="Yes",25,0)</f>
        <v>0</v>
      </c>
      <c r="L171">
        <f>(5-INDEX(tblCleanData[JobSatisfaction],163))*6.25</f>
        <v>6.25</v>
      </c>
      <c r="M171">
        <f>IF(INDEX(tblCleanData[YearsAtCompany],163)&lt;=2,25,IF(INDEX(tblCleanData[YearsAtCompany],163)&lt;=5,15,IF(INDEX(tblCleanData[YearsAtCompany],163)&lt;=10,8,3)))</f>
        <v>15</v>
      </c>
      <c r="N171">
        <f t="shared" si="4"/>
        <v>56</v>
      </c>
      <c r="O171" t="str">
        <f t="shared" si="5"/>
        <v>High Risk</v>
      </c>
    </row>
    <row r="172" spans="1:15" x14ac:dyDescent="0.25">
      <c r="A172">
        <f>INDEX(tblCleanData[EmployeeNumber],164)</f>
        <v>223</v>
      </c>
      <c r="B172" t="str">
        <f>IF(INDEX(tblCleanData[Age],164)&lt;30,"Under 30",IF(INDEX(tblCleanData[Age],164)&lt;40,"30-39",IF(INDEX(tblCleanData[Age],164)&lt;50,"40-49","50+")))</f>
        <v>50+</v>
      </c>
      <c r="C172" t="str">
        <f>IF(INDEX(tblCleanData[MonthlyIncome],164)&lt;=$B$3,"Low Income",IF(INDEX(tblCleanData[MonthlyIncome],164)&lt;=$B$4,"Medium Income","High Income"))</f>
        <v>High Income</v>
      </c>
      <c r="D172">
        <f>IF(INDEX(tblCleanData[Attrition],164)="Yes",1,0)</f>
        <v>0</v>
      </c>
      <c r="E172">
        <f>IF(INDEX(tblCleanData[OverTime],164)="Yes",1,0)</f>
        <v>1</v>
      </c>
      <c r="F172" t="str">
        <f>CHOOSE(INDEX(tblCleanData[Education],164),"Below College","College","Bachelor","Master","Doctor")</f>
        <v>College</v>
      </c>
      <c r="G172" t="str">
        <f>IF(INDEX(tblCleanData[YearsAtCompany],164)&lt;=2,"0-2 Years",IF(INDEX(tblCleanData[YearsAtCompany],164)&lt;=5,"3-5 Years",IF(INDEX(tblCleanData[YearsAtCompany],164)&lt;=10,"6-10 Years","10+ Years")))</f>
        <v>3-5 Years</v>
      </c>
      <c r="H172" t="str">
        <f>IF(INDEX(tblCleanData[WorkLifeBalance],164)&lt;=2,"Elevated","Normal")</f>
        <v>Elevated</v>
      </c>
      <c r="I172">
        <f>IF(INDEX(tblCleanData[Age],164)&lt;30,30,IF(INDEX(tblCleanData[Age],164)&lt;40,20,IF(INDEX(tblCleanData[Age],164)&lt;50,10,15)))</f>
        <v>15</v>
      </c>
      <c r="J172">
        <f>IF(INDEX(tblCleanData[MonthlyIncome],164)&lt;=$B$3,25,IF(INDEX(tblCleanData[MonthlyIncome],164)&lt;=$B$4,12,5))</f>
        <v>5</v>
      </c>
      <c r="K172">
        <f>IF(INDEX(tblCleanData[OverTime],164)="Yes",25,0)</f>
        <v>25</v>
      </c>
      <c r="L172">
        <f>(5-INDEX(tblCleanData[JobSatisfaction],164))*6.25</f>
        <v>6.25</v>
      </c>
      <c r="M172">
        <f>IF(INDEX(tblCleanData[YearsAtCompany],164)&lt;=2,25,IF(INDEX(tblCleanData[YearsAtCompany],164)&lt;=5,15,IF(INDEX(tblCleanData[YearsAtCompany],164)&lt;=10,8,3)))</f>
        <v>15</v>
      </c>
      <c r="N172">
        <f t="shared" si="4"/>
        <v>66</v>
      </c>
      <c r="O172" t="str">
        <f t="shared" si="5"/>
        <v>High Risk</v>
      </c>
    </row>
    <row r="173" spans="1:15" x14ac:dyDescent="0.25">
      <c r="A173">
        <f>INDEX(tblCleanData[EmployeeNumber],165)</f>
        <v>224</v>
      </c>
      <c r="B173" t="str">
        <f>IF(INDEX(tblCleanData[Age],165)&lt;30,"Under 30",IF(INDEX(tblCleanData[Age],165)&lt;40,"30-39",IF(INDEX(tblCleanData[Age],165)&lt;50,"40-49","50+")))</f>
        <v>Under 30</v>
      </c>
      <c r="C173" t="str">
        <f>IF(INDEX(tblCleanData[MonthlyIncome],165)&lt;=$B$3,"Low Income",IF(INDEX(tblCleanData[MonthlyIncome],165)&lt;=$B$4,"Medium Income","High Income"))</f>
        <v>High Income</v>
      </c>
      <c r="D173">
        <f>IF(INDEX(tblCleanData[Attrition],165)="Yes",1,0)</f>
        <v>0</v>
      </c>
      <c r="E173">
        <f>IF(INDEX(tblCleanData[OverTime],165)="Yes",1,0)</f>
        <v>1</v>
      </c>
      <c r="F173" t="str">
        <f>CHOOSE(INDEX(tblCleanData[Education],165),"Below College","College","Bachelor","Master","Doctor")</f>
        <v>Bachelor</v>
      </c>
      <c r="G173" t="str">
        <f>IF(INDEX(tblCleanData[YearsAtCompany],165)&lt;=2,"0-2 Years",IF(INDEX(tblCleanData[YearsAtCompany],165)&lt;=5,"3-5 Years",IF(INDEX(tblCleanData[YearsAtCompany],165)&lt;=10,"6-10 Years","10+ Years")))</f>
        <v>0-2 Years</v>
      </c>
      <c r="H173" t="str">
        <f>IF(INDEX(tblCleanData[WorkLifeBalance],165)&lt;=2,"Elevated","Normal")</f>
        <v>Elevated</v>
      </c>
      <c r="I173">
        <f>IF(INDEX(tblCleanData[Age],165)&lt;30,30,IF(INDEX(tblCleanData[Age],165)&lt;40,20,IF(INDEX(tblCleanData[Age],165)&lt;50,10,15)))</f>
        <v>30</v>
      </c>
      <c r="J173">
        <f>IF(INDEX(tblCleanData[MonthlyIncome],165)&lt;=$B$3,25,IF(INDEX(tblCleanData[MonthlyIncome],165)&lt;=$B$4,12,5))</f>
        <v>5</v>
      </c>
      <c r="K173">
        <f>IF(INDEX(tblCleanData[OverTime],165)="Yes",25,0)</f>
        <v>25</v>
      </c>
      <c r="L173">
        <f>(5-INDEX(tblCleanData[JobSatisfaction],165))*6.25</f>
        <v>12.5</v>
      </c>
      <c r="M173">
        <f>IF(INDEX(tblCleanData[YearsAtCompany],165)&lt;=2,25,IF(INDEX(tblCleanData[YearsAtCompany],165)&lt;=5,15,IF(INDEX(tblCleanData[YearsAtCompany],165)&lt;=10,8,3)))</f>
        <v>25</v>
      </c>
      <c r="N173">
        <f t="shared" si="4"/>
        <v>98</v>
      </c>
      <c r="O173" t="str">
        <f t="shared" si="5"/>
        <v>High Risk</v>
      </c>
    </row>
    <row r="174" spans="1:15" x14ac:dyDescent="0.25">
      <c r="A174">
        <f>INDEX(tblCleanData[EmployeeNumber],166)</f>
        <v>226</v>
      </c>
      <c r="B174" t="str">
        <f>IF(INDEX(tblCleanData[Age],166)&lt;30,"Under 30",IF(INDEX(tblCleanData[Age],166)&lt;40,"30-39",IF(INDEX(tblCleanData[Age],166)&lt;50,"40-49","50+")))</f>
        <v>50+</v>
      </c>
      <c r="C174" t="str">
        <f>IF(INDEX(tblCleanData[MonthlyIncome],166)&lt;=$B$3,"Low Income",IF(INDEX(tblCleanData[MonthlyIncome],166)&lt;=$B$4,"Medium Income","High Income"))</f>
        <v>High Income</v>
      </c>
      <c r="D174">
        <f>IF(INDEX(tblCleanData[Attrition],166)="Yes",1,0)</f>
        <v>0</v>
      </c>
      <c r="E174">
        <f>IF(INDEX(tblCleanData[OverTime],166)="Yes",1,0)</f>
        <v>0</v>
      </c>
      <c r="F174" t="str">
        <f>CHOOSE(INDEX(tblCleanData[Education],166),"Below College","College","Bachelor","Master","Doctor")</f>
        <v>Bachelor</v>
      </c>
      <c r="G174" t="str">
        <f>IF(INDEX(tblCleanData[YearsAtCompany],166)&lt;=2,"0-2 Years",IF(INDEX(tblCleanData[YearsAtCompany],166)&lt;=5,"3-5 Years",IF(INDEX(tblCleanData[YearsAtCompany],166)&lt;=10,"6-10 Years","10+ Years")))</f>
        <v>3-5 Years</v>
      </c>
      <c r="H174" t="str">
        <f>IF(INDEX(tblCleanData[WorkLifeBalance],166)&lt;=2,"Elevated","Normal")</f>
        <v>Normal</v>
      </c>
      <c r="I174">
        <f>IF(INDEX(tblCleanData[Age],166)&lt;30,30,IF(INDEX(tblCleanData[Age],166)&lt;40,20,IF(INDEX(tblCleanData[Age],166)&lt;50,10,15)))</f>
        <v>15</v>
      </c>
      <c r="J174">
        <f>IF(INDEX(tblCleanData[MonthlyIncome],166)&lt;=$B$3,25,IF(INDEX(tblCleanData[MonthlyIncome],166)&lt;=$B$4,12,5))</f>
        <v>5</v>
      </c>
      <c r="K174">
        <f>IF(INDEX(tblCleanData[OverTime],166)="Yes",25,0)</f>
        <v>0</v>
      </c>
      <c r="L174">
        <f>(5-INDEX(tblCleanData[JobSatisfaction],166))*6.25</f>
        <v>18.75</v>
      </c>
      <c r="M174">
        <f>IF(INDEX(tblCleanData[YearsAtCompany],166)&lt;=2,25,IF(INDEX(tblCleanData[YearsAtCompany],166)&lt;=5,15,IF(INDEX(tblCleanData[YearsAtCompany],166)&lt;=10,8,3)))</f>
        <v>15</v>
      </c>
      <c r="N174">
        <f t="shared" si="4"/>
        <v>54</v>
      </c>
      <c r="O174" t="str">
        <f t="shared" si="5"/>
        <v>Medium Risk</v>
      </c>
    </row>
    <row r="175" spans="1:15" x14ac:dyDescent="0.25">
      <c r="A175">
        <f>INDEX(tblCleanData[EmployeeNumber],167)</f>
        <v>227</v>
      </c>
      <c r="B175" t="str">
        <f>IF(INDEX(tblCleanData[Age],167)&lt;30,"Under 30",IF(INDEX(tblCleanData[Age],167)&lt;40,"30-39",IF(INDEX(tblCleanData[Age],167)&lt;50,"40-49","50+")))</f>
        <v>40-49</v>
      </c>
      <c r="C175" t="str">
        <f>IF(INDEX(tblCleanData[MonthlyIncome],167)&lt;=$B$3,"Low Income",IF(INDEX(tblCleanData[MonthlyIncome],167)&lt;=$B$4,"Medium Income","High Income"))</f>
        <v>High Income</v>
      </c>
      <c r="D175">
        <f>IF(INDEX(tblCleanData[Attrition],167)="Yes",1,0)</f>
        <v>0</v>
      </c>
      <c r="E175">
        <f>IF(INDEX(tblCleanData[OverTime],167)="Yes",1,0)</f>
        <v>0</v>
      </c>
      <c r="F175" t="str">
        <f>CHOOSE(INDEX(tblCleanData[Education],167),"Below College","College","Bachelor","Master","Doctor")</f>
        <v>Bachelor</v>
      </c>
      <c r="G175" t="str">
        <f>IF(INDEX(tblCleanData[YearsAtCompany],167)&lt;=2,"0-2 Years",IF(INDEX(tblCleanData[YearsAtCompany],167)&lt;=5,"3-5 Years",IF(INDEX(tblCleanData[YearsAtCompany],167)&lt;=10,"6-10 Years","10+ Years")))</f>
        <v>6-10 Years</v>
      </c>
      <c r="H175" t="str">
        <f>IF(INDEX(tblCleanData[WorkLifeBalance],167)&lt;=2,"Elevated","Normal")</f>
        <v>Normal</v>
      </c>
      <c r="I175">
        <f>IF(INDEX(tblCleanData[Age],167)&lt;30,30,IF(INDEX(tblCleanData[Age],167)&lt;40,20,IF(INDEX(tblCleanData[Age],167)&lt;50,10,15)))</f>
        <v>10</v>
      </c>
      <c r="J175">
        <f>IF(INDEX(tblCleanData[MonthlyIncome],167)&lt;=$B$3,25,IF(INDEX(tblCleanData[MonthlyIncome],167)&lt;=$B$4,12,5))</f>
        <v>5</v>
      </c>
      <c r="K175">
        <f>IF(INDEX(tblCleanData[OverTime],167)="Yes",25,0)</f>
        <v>0</v>
      </c>
      <c r="L175">
        <f>(5-INDEX(tblCleanData[JobSatisfaction],167))*6.25</f>
        <v>12.5</v>
      </c>
      <c r="M175">
        <f>IF(INDEX(tblCleanData[YearsAtCompany],167)&lt;=2,25,IF(INDEX(tblCleanData[YearsAtCompany],167)&lt;=5,15,IF(INDEX(tblCleanData[YearsAtCompany],167)&lt;=10,8,3)))</f>
        <v>8</v>
      </c>
      <c r="N175">
        <f t="shared" si="4"/>
        <v>36</v>
      </c>
      <c r="O175" t="str">
        <f t="shared" si="5"/>
        <v>Medium Risk</v>
      </c>
    </row>
    <row r="176" spans="1:15" x14ac:dyDescent="0.25">
      <c r="A176">
        <f>INDEX(tblCleanData[EmployeeNumber],168)</f>
        <v>228</v>
      </c>
      <c r="B176" t="str">
        <f>IF(INDEX(tblCleanData[Age],168)&lt;30,"Under 30",IF(INDEX(tblCleanData[Age],168)&lt;40,"30-39",IF(INDEX(tblCleanData[Age],168)&lt;50,"40-49","50+")))</f>
        <v>30-39</v>
      </c>
      <c r="C176" t="str">
        <f>IF(INDEX(tblCleanData[MonthlyIncome],168)&lt;=$B$3,"Low Income",IF(INDEX(tblCleanData[MonthlyIncome],168)&lt;=$B$4,"Medium Income","High Income"))</f>
        <v>High Income</v>
      </c>
      <c r="D176">
        <f>IF(INDEX(tblCleanData[Attrition],168)="Yes",1,0)</f>
        <v>0</v>
      </c>
      <c r="E176">
        <f>IF(INDEX(tblCleanData[OverTime],168)="Yes",1,0)</f>
        <v>0</v>
      </c>
      <c r="F176" t="str">
        <f>CHOOSE(INDEX(tblCleanData[Education],168),"Below College","College","Bachelor","Master","Doctor")</f>
        <v>Bachelor</v>
      </c>
      <c r="G176" t="str">
        <f>IF(INDEX(tblCleanData[YearsAtCompany],168)&lt;=2,"0-2 Years",IF(INDEX(tblCleanData[YearsAtCompany],168)&lt;=5,"3-5 Years",IF(INDEX(tblCleanData[YearsAtCompany],168)&lt;=10,"6-10 Years","10+ Years")))</f>
        <v>6-10 Years</v>
      </c>
      <c r="H176" t="str">
        <f>IF(INDEX(tblCleanData[WorkLifeBalance],168)&lt;=2,"Elevated","Normal")</f>
        <v>Normal</v>
      </c>
      <c r="I176">
        <f>IF(INDEX(tblCleanData[Age],168)&lt;30,30,IF(INDEX(tblCleanData[Age],168)&lt;40,20,IF(INDEX(tblCleanData[Age],168)&lt;50,10,15)))</f>
        <v>20</v>
      </c>
      <c r="J176">
        <f>IF(INDEX(tblCleanData[MonthlyIncome],168)&lt;=$B$3,25,IF(INDEX(tblCleanData[MonthlyIncome],168)&lt;=$B$4,12,5))</f>
        <v>5</v>
      </c>
      <c r="K176">
        <f>IF(INDEX(tblCleanData[OverTime],168)="Yes",25,0)</f>
        <v>0</v>
      </c>
      <c r="L176">
        <f>(5-INDEX(tblCleanData[JobSatisfaction],168))*6.25</f>
        <v>6.25</v>
      </c>
      <c r="M176">
        <f>IF(INDEX(tblCleanData[YearsAtCompany],168)&lt;=2,25,IF(INDEX(tblCleanData[YearsAtCompany],168)&lt;=5,15,IF(INDEX(tblCleanData[YearsAtCompany],168)&lt;=10,8,3)))</f>
        <v>8</v>
      </c>
      <c r="N176">
        <f t="shared" si="4"/>
        <v>39</v>
      </c>
      <c r="O176" t="str">
        <f t="shared" si="5"/>
        <v>Medium Risk</v>
      </c>
    </row>
    <row r="177" spans="1:15" x14ac:dyDescent="0.25">
      <c r="A177">
        <f>INDEX(tblCleanData[EmployeeNumber],169)</f>
        <v>230</v>
      </c>
      <c r="B177" t="str">
        <f>IF(INDEX(tblCleanData[Age],169)&lt;30,"Under 30",IF(INDEX(tblCleanData[Age],169)&lt;40,"30-39",IF(INDEX(tblCleanData[Age],169)&lt;50,"40-49","50+")))</f>
        <v>30-39</v>
      </c>
      <c r="C177" t="str">
        <f>IF(INDEX(tblCleanData[MonthlyIncome],169)&lt;=$B$3,"Low Income",IF(INDEX(tblCleanData[MonthlyIncome],169)&lt;=$B$4,"Medium Income","High Income"))</f>
        <v>High Income</v>
      </c>
      <c r="D177">
        <f>IF(INDEX(tblCleanData[Attrition],169)="Yes",1,0)</f>
        <v>0</v>
      </c>
      <c r="E177">
        <f>IF(INDEX(tblCleanData[OverTime],169)="Yes",1,0)</f>
        <v>0</v>
      </c>
      <c r="F177" t="str">
        <f>CHOOSE(INDEX(tblCleanData[Education],169),"Below College","College","Bachelor","Master","Doctor")</f>
        <v>Master</v>
      </c>
      <c r="G177" t="str">
        <f>IF(INDEX(tblCleanData[YearsAtCompany],169)&lt;=2,"0-2 Years",IF(INDEX(tblCleanData[YearsAtCompany],169)&lt;=5,"3-5 Years",IF(INDEX(tblCleanData[YearsAtCompany],169)&lt;=10,"6-10 Years","10+ Years")))</f>
        <v>6-10 Years</v>
      </c>
      <c r="H177" t="str">
        <f>IF(INDEX(tblCleanData[WorkLifeBalance],169)&lt;=2,"Elevated","Normal")</f>
        <v>Normal</v>
      </c>
      <c r="I177">
        <f>IF(INDEX(tblCleanData[Age],169)&lt;30,30,IF(INDEX(tblCleanData[Age],169)&lt;40,20,IF(INDEX(tblCleanData[Age],169)&lt;50,10,15)))</f>
        <v>20</v>
      </c>
      <c r="J177">
        <f>IF(INDEX(tblCleanData[MonthlyIncome],169)&lt;=$B$3,25,IF(INDEX(tblCleanData[MonthlyIncome],169)&lt;=$B$4,12,5))</f>
        <v>5</v>
      </c>
      <c r="K177">
        <f>IF(INDEX(tblCleanData[OverTime],169)="Yes",25,0)</f>
        <v>0</v>
      </c>
      <c r="L177">
        <f>(5-INDEX(tblCleanData[JobSatisfaction],169))*6.25</f>
        <v>6.25</v>
      </c>
      <c r="M177">
        <f>IF(INDEX(tblCleanData[YearsAtCompany],169)&lt;=2,25,IF(INDEX(tblCleanData[YearsAtCompany],169)&lt;=5,15,IF(INDEX(tblCleanData[YearsAtCompany],169)&lt;=10,8,3)))</f>
        <v>8</v>
      </c>
      <c r="N177">
        <f t="shared" si="4"/>
        <v>39</v>
      </c>
      <c r="O177" t="str">
        <f t="shared" si="5"/>
        <v>Medium Risk</v>
      </c>
    </row>
    <row r="178" spans="1:15" x14ac:dyDescent="0.25">
      <c r="A178">
        <f>INDEX(tblCleanData[EmployeeNumber],170)</f>
        <v>231</v>
      </c>
      <c r="B178" t="str">
        <f>IF(INDEX(tblCleanData[Age],170)&lt;30,"Under 30",IF(INDEX(tblCleanData[Age],170)&lt;40,"30-39",IF(INDEX(tblCleanData[Age],170)&lt;50,"40-49","50+")))</f>
        <v>30-39</v>
      </c>
      <c r="C178" t="str">
        <f>IF(INDEX(tblCleanData[MonthlyIncome],170)&lt;=$B$3,"Low Income",IF(INDEX(tblCleanData[MonthlyIncome],170)&lt;=$B$4,"Medium Income","High Income"))</f>
        <v>High Income</v>
      </c>
      <c r="D178">
        <f>IF(INDEX(tblCleanData[Attrition],170)="Yes",1,0)</f>
        <v>0</v>
      </c>
      <c r="E178">
        <f>IF(INDEX(tblCleanData[OverTime],170)="Yes",1,0)</f>
        <v>0</v>
      </c>
      <c r="F178" t="str">
        <f>CHOOSE(INDEX(tblCleanData[Education],170),"Below College","College","Bachelor","Master","Doctor")</f>
        <v>Doctor</v>
      </c>
      <c r="G178" t="str">
        <f>IF(INDEX(tblCleanData[YearsAtCompany],170)&lt;=2,"0-2 Years",IF(INDEX(tblCleanData[YearsAtCompany],170)&lt;=5,"3-5 Years",IF(INDEX(tblCleanData[YearsAtCompany],170)&lt;=10,"6-10 Years","10+ Years")))</f>
        <v>3-5 Years</v>
      </c>
      <c r="H178" t="str">
        <f>IF(INDEX(tblCleanData[WorkLifeBalance],170)&lt;=2,"Elevated","Normal")</f>
        <v>Normal</v>
      </c>
      <c r="I178">
        <f>IF(INDEX(tblCleanData[Age],170)&lt;30,30,IF(INDEX(tblCleanData[Age],170)&lt;40,20,IF(INDEX(tblCleanData[Age],170)&lt;50,10,15)))</f>
        <v>20</v>
      </c>
      <c r="J178">
        <f>IF(INDEX(tblCleanData[MonthlyIncome],170)&lt;=$B$3,25,IF(INDEX(tblCleanData[MonthlyIncome],170)&lt;=$B$4,12,5))</f>
        <v>5</v>
      </c>
      <c r="K178">
        <f>IF(INDEX(tblCleanData[OverTime],170)="Yes",25,0)</f>
        <v>0</v>
      </c>
      <c r="L178">
        <f>(5-INDEX(tblCleanData[JobSatisfaction],170))*6.25</f>
        <v>12.5</v>
      </c>
      <c r="M178">
        <f>IF(INDEX(tblCleanData[YearsAtCompany],170)&lt;=2,25,IF(INDEX(tblCleanData[YearsAtCompany],170)&lt;=5,15,IF(INDEX(tblCleanData[YearsAtCompany],170)&lt;=10,8,3)))</f>
        <v>15</v>
      </c>
      <c r="N178">
        <f t="shared" si="4"/>
        <v>53</v>
      </c>
      <c r="O178" t="str">
        <f t="shared" si="5"/>
        <v>Medium Risk</v>
      </c>
    </row>
    <row r="179" spans="1:15" x14ac:dyDescent="0.25">
      <c r="A179">
        <f>INDEX(tblCleanData[EmployeeNumber],171)</f>
        <v>233</v>
      </c>
      <c r="B179" t="str">
        <f>IF(INDEX(tblCleanData[Age],171)&lt;30,"Under 30",IF(INDEX(tblCleanData[Age],171)&lt;40,"30-39",IF(INDEX(tblCleanData[Age],171)&lt;50,"40-49","50+")))</f>
        <v>Under 30</v>
      </c>
      <c r="C179" t="str">
        <f>IF(INDEX(tblCleanData[MonthlyIncome],171)&lt;=$B$3,"Low Income",IF(INDEX(tblCleanData[MonthlyIncome],171)&lt;=$B$4,"Medium Income","High Income"))</f>
        <v>High Income</v>
      </c>
      <c r="D179">
        <f>IF(INDEX(tblCleanData[Attrition],171)="Yes",1,0)</f>
        <v>0</v>
      </c>
      <c r="E179">
        <f>IF(INDEX(tblCleanData[OverTime],171)="Yes",1,0)</f>
        <v>1</v>
      </c>
      <c r="F179" t="str">
        <f>CHOOSE(INDEX(tblCleanData[Education],171),"Below College","College","Bachelor","Master","Doctor")</f>
        <v>Bachelor</v>
      </c>
      <c r="G179" t="str">
        <f>IF(INDEX(tblCleanData[YearsAtCompany],171)&lt;=2,"0-2 Years",IF(INDEX(tblCleanData[YearsAtCompany],171)&lt;=5,"3-5 Years",IF(INDEX(tblCleanData[YearsAtCompany],171)&lt;=10,"6-10 Years","10+ Years")))</f>
        <v>3-5 Years</v>
      </c>
      <c r="H179" t="str">
        <f>IF(INDEX(tblCleanData[WorkLifeBalance],171)&lt;=2,"Elevated","Normal")</f>
        <v>Elevated</v>
      </c>
      <c r="I179">
        <f>IF(INDEX(tblCleanData[Age],171)&lt;30,30,IF(INDEX(tblCleanData[Age],171)&lt;40,20,IF(INDEX(tblCleanData[Age],171)&lt;50,10,15)))</f>
        <v>30</v>
      </c>
      <c r="J179">
        <f>IF(INDEX(tblCleanData[MonthlyIncome],171)&lt;=$B$3,25,IF(INDEX(tblCleanData[MonthlyIncome],171)&lt;=$B$4,12,5))</f>
        <v>5</v>
      </c>
      <c r="K179">
        <f>IF(INDEX(tblCleanData[OverTime],171)="Yes",25,0)</f>
        <v>25</v>
      </c>
      <c r="L179">
        <f>(5-INDEX(tblCleanData[JobSatisfaction],171))*6.25</f>
        <v>18.75</v>
      </c>
      <c r="M179">
        <f>IF(INDEX(tblCleanData[YearsAtCompany],171)&lt;=2,25,IF(INDEX(tblCleanData[YearsAtCompany],171)&lt;=5,15,IF(INDEX(tblCleanData[YearsAtCompany],171)&lt;=10,8,3)))</f>
        <v>15</v>
      </c>
      <c r="N179">
        <f t="shared" si="4"/>
        <v>94</v>
      </c>
      <c r="O179" t="str">
        <f t="shared" si="5"/>
        <v>High Risk</v>
      </c>
    </row>
    <row r="180" spans="1:15" x14ac:dyDescent="0.25">
      <c r="A180">
        <f>INDEX(tblCleanData[EmployeeNumber],172)</f>
        <v>235</v>
      </c>
      <c r="B180" t="str">
        <f>IF(INDEX(tblCleanData[Age],172)&lt;30,"Under 30",IF(INDEX(tblCleanData[Age],172)&lt;40,"30-39",IF(INDEX(tblCleanData[Age],172)&lt;50,"40-49","50+")))</f>
        <v>Under 30</v>
      </c>
      <c r="C180" t="str">
        <f>IF(INDEX(tblCleanData[MonthlyIncome],172)&lt;=$B$3,"Low Income",IF(INDEX(tblCleanData[MonthlyIncome],172)&lt;=$B$4,"Medium Income","High Income"))</f>
        <v>High Income</v>
      </c>
      <c r="D180">
        <f>IF(INDEX(tblCleanData[Attrition],172)="Yes",1,0)</f>
        <v>1</v>
      </c>
      <c r="E180">
        <f>IF(INDEX(tblCleanData[OverTime],172)="Yes",1,0)</f>
        <v>0</v>
      </c>
      <c r="F180" t="str">
        <f>CHOOSE(INDEX(tblCleanData[Education],172),"Below College","College","Bachelor","Master","Doctor")</f>
        <v>Below College</v>
      </c>
      <c r="G180" t="str">
        <f>IF(INDEX(tblCleanData[YearsAtCompany],172)&lt;=2,"0-2 Years",IF(INDEX(tblCleanData[YearsAtCompany],172)&lt;=5,"3-5 Years",IF(INDEX(tblCleanData[YearsAtCompany],172)&lt;=10,"6-10 Years","10+ Years")))</f>
        <v>0-2 Years</v>
      </c>
      <c r="H180" t="str">
        <f>IF(INDEX(tblCleanData[WorkLifeBalance],172)&lt;=2,"Elevated","Normal")</f>
        <v>Normal</v>
      </c>
      <c r="I180">
        <f>IF(INDEX(tblCleanData[Age],172)&lt;30,30,IF(INDEX(tblCleanData[Age],172)&lt;40,20,IF(INDEX(tblCleanData[Age],172)&lt;50,10,15)))</f>
        <v>30</v>
      </c>
      <c r="J180">
        <f>IF(INDEX(tblCleanData[MonthlyIncome],172)&lt;=$B$3,25,IF(INDEX(tblCleanData[MonthlyIncome],172)&lt;=$B$4,12,5))</f>
        <v>5</v>
      </c>
      <c r="K180">
        <f>IF(INDEX(tblCleanData[OverTime],172)="Yes",25,0)</f>
        <v>0</v>
      </c>
      <c r="L180">
        <f>(5-INDEX(tblCleanData[JobSatisfaction],172))*6.25</f>
        <v>25</v>
      </c>
      <c r="M180">
        <f>IF(INDEX(tblCleanData[YearsAtCompany],172)&lt;=2,25,IF(INDEX(tblCleanData[YearsAtCompany],172)&lt;=5,15,IF(INDEX(tblCleanData[YearsAtCompany],172)&lt;=10,8,3)))</f>
        <v>25</v>
      </c>
      <c r="N180">
        <f t="shared" si="4"/>
        <v>85</v>
      </c>
      <c r="O180" t="str">
        <f t="shared" si="5"/>
        <v>High Risk</v>
      </c>
    </row>
    <row r="181" spans="1:15" x14ac:dyDescent="0.25">
      <c r="A181">
        <f>INDEX(tblCleanData[EmployeeNumber],173)</f>
        <v>238</v>
      </c>
      <c r="B181" t="str">
        <f>IF(INDEX(tblCleanData[Age],173)&lt;30,"Under 30",IF(INDEX(tblCleanData[Age],173)&lt;40,"30-39",IF(INDEX(tblCleanData[Age],173)&lt;50,"40-49","50+")))</f>
        <v>30-39</v>
      </c>
      <c r="C181" t="str">
        <f>IF(INDEX(tblCleanData[MonthlyIncome],173)&lt;=$B$3,"Low Income",IF(INDEX(tblCleanData[MonthlyIncome],173)&lt;=$B$4,"Medium Income","High Income"))</f>
        <v>High Income</v>
      </c>
      <c r="D181">
        <f>IF(INDEX(tblCleanData[Attrition],173)="Yes",1,0)</f>
        <v>0</v>
      </c>
      <c r="E181">
        <f>IF(INDEX(tblCleanData[OverTime],173)="Yes",1,0)</f>
        <v>0</v>
      </c>
      <c r="F181" t="str">
        <f>CHOOSE(INDEX(tblCleanData[Education],173),"Below College","College","Bachelor","Master","Doctor")</f>
        <v>College</v>
      </c>
      <c r="G181" t="str">
        <f>IF(INDEX(tblCleanData[YearsAtCompany],173)&lt;=2,"0-2 Years",IF(INDEX(tblCleanData[YearsAtCompany],173)&lt;=5,"3-5 Years",IF(INDEX(tblCleanData[YearsAtCompany],173)&lt;=10,"6-10 Years","10+ Years")))</f>
        <v>6-10 Years</v>
      </c>
      <c r="H181" t="str">
        <f>IF(INDEX(tblCleanData[WorkLifeBalance],173)&lt;=2,"Elevated","Normal")</f>
        <v>Elevated</v>
      </c>
      <c r="I181">
        <f>IF(INDEX(tblCleanData[Age],173)&lt;30,30,IF(INDEX(tblCleanData[Age],173)&lt;40,20,IF(INDEX(tblCleanData[Age],173)&lt;50,10,15)))</f>
        <v>20</v>
      </c>
      <c r="J181">
        <f>IF(INDEX(tblCleanData[MonthlyIncome],173)&lt;=$B$3,25,IF(INDEX(tblCleanData[MonthlyIncome],173)&lt;=$B$4,12,5))</f>
        <v>5</v>
      </c>
      <c r="K181">
        <f>IF(INDEX(tblCleanData[OverTime],173)="Yes",25,0)</f>
        <v>0</v>
      </c>
      <c r="L181">
        <f>(5-INDEX(tblCleanData[JobSatisfaction],173))*6.25</f>
        <v>18.75</v>
      </c>
      <c r="M181">
        <f>IF(INDEX(tblCleanData[YearsAtCompany],173)&lt;=2,25,IF(INDEX(tblCleanData[YearsAtCompany],173)&lt;=5,15,IF(INDEX(tblCleanData[YearsAtCompany],173)&lt;=10,8,3)))</f>
        <v>8</v>
      </c>
      <c r="N181">
        <f t="shared" si="4"/>
        <v>52</v>
      </c>
      <c r="O181" t="str">
        <f t="shared" si="5"/>
        <v>Medium Risk</v>
      </c>
    </row>
    <row r="182" spans="1:15" x14ac:dyDescent="0.25">
      <c r="A182">
        <f>INDEX(tblCleanData[EmployeeNumber],174)</f>
        <v>239</v>
      </c>
      <c r="B182" t="str">
        <f>IF(INDEX(tblCleanData[Age],174)&lt;30,"Under 30",IF(INDEX(tblCleanData[Age],174)&lt;40,"30-39",IF(INDEX(tblCleanData[Age],174)&lt;50,"40-49","50+")))</f>
        <v>30-39</v>
      </c>
      <c r="C182" t="str">
        <f>IF(INDEX(tblCleanData[MonthlyIncome],174)&lt;=$B$3,"Low Income",IF(INDEX(tblCleanData[MonthlyIncome],174)&lt;=$B$4,"Medium Income","High Income"))</f>
        <v>High Income</v>
      </c>
      <c r="D182">
        <f>IF(INDEX(tblCleanData[Attrition],174)="Yes",1,0)</f>
        <v>0</v>
      </c>
      <c r="E182">
        <f>IF(INDEX(tblCleanData[OverTime],174)="Yes",1,0)</f>
        <v>0</v>
      </c>
      <c r="F182" t="str">
        <f>CHOOSE(INDEX(tblCleanData[Education],174),"Below College","College","Bachelor","Master","Doctor")</f>
        <v>Bachelor</v>
      </c>
      <c r="G182" t="str">
        <f>IF(INDEX(tblCleanData[YearsAtCompany],174)&lt;=2,"0-2 Years",IF(INDEX(tblCleanData[YearsAtCompany],174)&lt;=5,"3-5 Years",IF(INDEX(tblCleanData[YearsAtCompany],174)&lt;=10,"6-10 Years","10+ Years")))</f>
        <v>10+ Years</v>
      </c>
      <c r="H182" t="str">
        <f>IF(INDEX(tblCleanData[WorkLifeBalance],174)&lt;=2,"Elevated","Normal")</f>
        <v>Normal</v>
      </c>
      <c r="I182">
        <f>IF(INDEX(tblCleanData[Age],174)&lt;30,30,IF(INDEX(tblCleanData[Age],174)&lt;40,20,IF(INDEX(tblCleanData[Age],174)&lt;50,10,15)))</f>
        <v>20</v>
      </c>
      <c r="J182">
        <f>IF(INDEX(tblCleanData[MonthlyIncome],174)&lt;=$B$3,25,IF(INDEX(tblCleanData[MonthlyIncome],174)&lt;=$B$4,12,5))</f>
        <v>5</v>
      </c>
      <c r="K182">
        <f>IF(INDEX(tblCleanData[OverTime],174)="Yes",25,0)</f>
        <v>0</v>
      </c>
      <c r="L182">
        <f>(5-INDEX(tblCleanData[JobSatisfaction],174))*6.25</f>
        <v>25</v>
      </c>
      <c r="M182">
        <f>IF(INDEX(tblCleanData[YearsAtCompany],174)&lt;=2,25,IF(INDEX(tblCleanData[YearsAtCompany],174)&lt;=5,15,IF(INDEX(tblCleanData[YearsAtCompany],174)&lt;=10,8,3)))</f>
        <v>3</v>
      </c>
      <c r="N182">
        <f t="shared" si="4"/>
        <v>53</v>
      </c>
      <c r="O182" t="str">
        <f t="shared" si="5"/>
        <v>Medium Risk</v>
      </c>
    </row>
    <row r="183" spans="1:15" x14ac:dyDescent="0.25">
      <c r="A183">
        <f>INDEX(tblCleanData[EmployeeNumber],175)</f>
        <v>240</v>
      </c>
      <c r="B183" t="str">
        <f>IF(INDEX(tblCleanData[Age],175)&lt;30,"Under 30",IF(INDEX(tblCleanData[Age],175)&lt;40,"30-39",IF(INDEX(tblCleanData[Age],175)&lt;50,"40-49","50+")))</f>
        <v>40-49</v>
      </c>
      <c r="C183" t="str">
        <f>IF(INDEX(tblCleanData[MonthlyIncome],175)&lt;=$B$3,"Low Income",IF(INDEX(tblCleanData[MonthlyIncome],175)&lt;=$B$4,"Medium Income","High Income"))</f>
        <v>High Income</v>
      </c>
      <c r="D183">
        <f>IF(INDEX(tblCleanData[Attrition],175)="Yes",1,0)</f>
        <v>0</v>
      </c>
      <c r="E183">
        <f>IF(INDEX(tblCleanData[OverTime],175)="Yes",1,0)</f>
        <v>1</v>
      </c>
      <c r="F183" t="str">
        <f>CHOOSE(INDEX(tblCleanData[Education],175),"Below College","College","Bachelor","Master","Doctor")</f>
        <v>College</v>
      </c>
      <c r="G183" t="str">
        <f>IF(INDEX(tblCleanData[YearsAtCompany],175)&lt;=2,"0-2 Years",IF(INDEX(tblCleanData[YearsAtCompany],175)&lt;=5,"3-5 Years",IF(INDEX(tblCleanData[YearsAtCompany],175)&lt;=10,"6-10 Years","10+ Years")))</f>
        <v>3-5 Years</v>
      </c>
      <c r="H183" t="str">
        <f>IF(INDEX(tblCleanData[WorkLifeBalance],175)&lt;=2,"Elevated","Normal")</f>
        <v>Normal</v>
      </c>
      <c r="I183">
        <f>IF(INDEX(tblCleanData[Age],175)&lt;30,30,IF(INDEX(tblCleanData[Age],175)&lt;40,20,IF(INDEX(tblCleanData[Age],175)&lt;50,10,15)))</f>
        <v>10</v>
      </c>
      <c r="J183">
        <f>IF(INDEX(tblCleanData[MonthlyIncome],175)&lt;=$B$3,25,IF(INDEX(tblCleanData[MonthlyIncome],175)&lt;=$B$4,12,5))</f>
        <v>5</v>
      </c>
      <c r="K183">
        <f>IF(INDEX(tblCleanData[OverTime],175)="Yes",25,0)</f>
        <v>25</v>
      </c>
      <c r="L183">
        <f>(5-INDEX(tblCleanData[JobSatisfaction],175))*6.25</f>
        <v>25</v>
      </c>
      <c r="M183">
        <f>IF(INDEX(tblCleanData[YearsAtCompany],175)&lt;=2,25,IF(INDEX(tblCleanData[YearsAtCompany],175)&lt;=5,15,IF(INDEX(tblCleanData[YearsAtCompany],175)&lt;=10,8,3)))</f>
        <v>15</v>
      </c>
      <c r="N183">
        <f t="shared" si="4"/>
        <v>80</v>
      </c>
      <c r="O183" t="str">
        <f t="shared" si="5"/>
        <v>High Risk</v>
      </c>
    </row>
    <row r="184" spans="1:15" x14ac:dyDescent="0.25">
      <c r="A184">
        <f>INDEX(tblCleanData[EmployeeNumber],176)</f>
        <v>241</v>
      </c>
      <c r="B184" t="str">
        <f>IF(INDEX(tblCleanData[Age],176)&lt;30,"Under 30",IF(INDEX(tblCleanData[Age],176)&lt;40,"30-39",IF(INDEX(tblCleanData[Age],176)&lt;50,"40-49","50+")))</f>
        <v>50+</v>
      </c>
      <c r="C184" t="str">
        <f>IF(INDEX(tblCleanData[MonthlyIncome],176)&lt;=$B$3,"Low Income",IF(INDEX(tblCleanData[MonthlyIncome],176)&lt;=$B$4,"Medium Income","High Income"))</f>
        <v>High Income</v>
      </c>
      <c r="D184">
        <f>IF(INDEX(tblCleanData[Attrition],176)="Yes",1,0)</f>
        <v>0</v>
      </c>
      <c r="E184">
        <f>IF(INDEX(tblCleanData[OverTime],176)="Yes",1,0)</f>
        <v>1</v>
      </c>
      <c r="F184" t="str">
        <f>CHOOSE(INDEX(tblCleanData[Education],176),"Below College","College","Bachelor","Master","Doctor")</f>
        <v>Bachelor</v>
      </c>
      <c r="G184" t="str">
        <f>IF(INDEX(tblCleanData[YearsAtCompany],176)&lt;=2,"0-2 Years",IF(INDEX(tblCleanData[YearsAtCompany],176)&lt;=5,"3-5 Years",IF(INDEX(tblCleanData[YearsAtCompany],176)&lt;=10,"6-10 Years","10+ Years")))</f>
        <v>0-2 Years</v>
      </c>
      <c r="H184" t="str">
        <f>IF(INDEX(tblCleanData[WorkLifeBalance],176)&lt;=2,"Elevated","Normal")</f>
        <v>Normal</v>
      </c>
      <c r="I184">
        <f>IF(INDEX(tblCleanData[Age],176)&lt;30,30,IF(INDEX(tblCleanData[Age],176)&lt;40,20,IF(INDEX(tblCleanData[Age],176)&lt;50,10,15)))</f>
        <v>15</v>
      </c>
      <c r="J184">
        <f>IF(INDEX(tblCleanData[MonthlyIncome],176)&lt;=$B$3,25,IF(INDEX(tblCleanData[MonthlyIncome],176)&lt;=$B$4,12,5))</f>
        <v>5</v>
      </c>
      <c r="K184">
        <f>IF(INDEX(tblCleanData[OverTime],176)="Yes",25,0)</f>
        <v>25</v>
      </c>
      <c r="L184">
        <f>(5-INDEX(tblCleanData[JobSatisfaction],176))*6.25</f>
        <v>25</v>
      </c>
      <c r="M184">
        <f>IF(INDEX(tblCleanData[YearsAtCompany],176)&lt;=2,25,IF(INDEX(tblCleanData[YearsAtCompany],176)&lt;=5,15,IF(INDEX(tblCleanData[YearsAtCompany],176)&lt;=10,8,3)))</f>
        <v>25</v>
      </c>
      <c r="N184">
        <f t="shared" si="4"/>
        <v>95</v>
      </c>
      <c r="O184" t="str">
        <f t="shared" si="5"/>
        <v>High Risk</v>
      </c>
    </row>
    <row r="185" spans="1:15" x14ac:dyDescent="0.25">
      <c r="A185">
        <f>INDEX(tblCleanData[EmployeeNumber],177)</f>
        <v>242</v>
      </c>
      <c r="B185" t="str">
        <f>IF(INDEX(tblCleanData[Age],177)&lt;30,"Under 30",IF(INDEX(tblCleanData[Age],177)&lt;40,"30-39",IF(INDEX(tblCleanData[Age],177)&lt;50,"40-49","50+")))</f>
        <v>30-39</v>
      </c>
      <c r="C185" t="str">
        <f>IF(INDEX(tblCleanData[MonthlyIncome],177)&lt;=$B$3,"Low Income",IF(INDEX(tblCleanData[MonthlyIncome],177)&lt;=$B$4,"Medium Income","High Income"))</f>
        <v>High Income</v>
      </c>
      <c r="D185">
        <f>IF(INDEX(tblCleanData[Attrition],177)="Yes",1,0)</f>
        <v>0</v>
      </c>
      <c r="E185">
        <f>IF(INDEX(tblCleanData[OverTime],177)="Yes",1,0)</f>
        <v>0</v>
      </c>
      <c r="F185" t="str">
        <f>CHOOSE(INDEX(tblCleanData[Education],177),"Below College","College","Bachelor","Master","Doctor")</f>
        <v>Bachelor</v>
      </c>
      <c r="G185" t="str">
        <f>IF(INDEX(tblCleanData[YearsAtCompany],177)&lt;=2,"0-2 Years",IF(INDEX(tblCleanData[YearsAtCompany],177)&lt;=5,"3-5 Years",IF(INDEX(tblCleanData[YearsAtCompany],177)&lt;=10,"6-10 Years","10+ Years")))</f>
        <v>3-5 Years</v>
      </c>
      <c r="H185" t="str">
        <f>IF(INDEX(tblCleanData[WorkLifeBalance],177)&lt;=2,"Elevated","Normal")</f>
        <v>Normal</v>
      </c>
      <c r="I185">
        <f>IF(INDEX(tblCleanData[Age],177)&lt;30,30,IF(INDEX(tblCleanData[Age],177)&lt;40,20,IF(INDEX(tblCleanData[Age],177)&lt;50,10,15)))</f>
        <v>20</v>
      </c>
      <c r="J185">
        <f>IF(INDEX(tblCleanData[MonthlyIncome],177)&lt;=$B$3,25,IF(INDEX(tblCleanData[MonthlyIncome],177)&lt;=$B$4,12,5))</f>
        <v>5</v>
      </c>
      <c r="K185">
        <f>IF(INDEX(tblCleanData[OverTime],177)="Yes",25,0)</f>
        <v>0</v>
      </c>
      <c r="L185">
        <f>(5-INDEX(tblCleanData[JobSatisfaction],177))*6.25</f>
        <v>6.25</v>
      </c>
      <c r="M185">
        <f>IF(INDEX(tblCleanData[YearsAtCompany],177)&lt;=2,25,IF(INDEX(tblCleanData[YearsAtCompany],177)&lt;=5,15,IF(INDEX(tblCleanData[YearsAtCompany],177)&lt;=10,8,3)))</f>
        <v>15</v>
      </c>
      <c r="N185">
        <f t="shared" si="4"/>
        <v>46</v>
      </c>
      <c r="O185" t="str">
        <f t="shared" si="5"/>
        <v>Medium Risk</v>
      </c>
    </row>
    <row r="186" spans="1:15" x14ac:dyDescent="0.25">
      <c r="A186">
        <f>INDEX(tblCleanData[EmployeeNumber],178)</f>
        <v>243</v>
      </c>
      <c r="B186" t="str">
        <f>IF(INDEX(tblCleanData[Age],178)&lt;30,"Under 30",IF(INDEX(tblCleanData[Age],178)&lt;40,"30-39",IF(INDEX(tblCleanData[Age],178)&lt;50,"40-49","50+")))</f>
        <v>Under 30</v>
      </c>
      <c r="C186" t="str">
        <f>IF(INDEX(tblCleanData[MonthlyIncome],178)&lt;=$B$3,"Low Income",IF(INDEX(tblCleanData[MonthlyIncome],178)&lt;=$B$4,"Medium Income","High Income"))</f>
        <v>High Income</v>
      </c>
      <c r="D186">
        <f>IF(INDEX(tblCleanData[Attrition],178)="Yes",1,0)</f>
        <v>1</v>
      </c>
      <c r="E186">
        <f>IF(INDEX(tblCleanData[OverTime],178)="Yes",1,0)</f>
        <v>0</v>
      </c>
      <c r="F186" t="str">
        <f>CHOOSE(INDEX(tblCleanData[Education],178),"Below College","College","Bachelor","Master","Doctor")</f>
        <v>Bachelor</v>
      </c>
      <c r="G186" t="str">
        <f>IF(INDEX(tblCleanData[YearsAtCompany],178)&lt;=2,"0-2 Years",IF(INDEX(tblCleanData[YearsAtCompany],178)&lt;=5,"3-5 Years",IF(INDEX(tblCleanData[YearsAtCompany],178)&lt;=10,"6-10 Years","10+ Years")))</f>
        <v>0-2 Years</v>
      </c>
      <c r="H186" t="str">
        <f>IF(INDEX(tblCleanData[WorkLifeBalance],178)&lt;=2,"Elevated","Normal")</f>
        <v>Elevated</v>
      </c>
      <c r="I186">
        <f>IF(INDEX(tblCleanData[Age],178)&lt;30,30,IF(INDEX(tblCleanData[Age],178)&lt;40,20,IF(INDEX(tblCleanData[Age],178)&lt;50,10,15)))</f>
        <v>30</v>
      </c>
      <c r="J186">
        <f>IF(INDEX(tblCleanData[MonthlyIncome],178)&lt;=$B$3,25,IF(INDEX(tblCleanData[MonthlyIncome],178)&lt;=$B$4,12,5))</f>
        <v>5</v>
      </c>
      <c r="K186">
        <f>IF(INDEX(tblCleanData[OverTime],178)="Yes",25,0)</f>
        <v>0</v>
      </c>
      <c r="L186">
        <f>(5-INDEX(tblCleanData[JobSatisfaction],178))*6.25</f>
        <v>6.25</v>
      </c>
      <c r="M186">
        <f>IF(INDEX(tblCleanData[YearsAtCompany],178)&lt;=2,25,IF(INDEX(tblCleanData[YearsAtCompany],178)&lt;=5,15,IF(INDEX(tblCleanData[YearsAtCompany],178)&lt;=10,8,3)))</f>
        <v>25</v>
      </c>
      <c r="N186">
        <f t="shared" si="4"/>
        <v>66</v>
      </c>
      <c r="O186" t="str">
        <f t="shared" si="5"/>
        <v>High Risk</v>
      </c>
    </row>
    <row r="187" spans="1:15" x14ac:dyDescent="0.25">
      <c r="A187">
        <f>INDEX(tblCleanData[EmployeeNumber],179)</f>
        <v>244</v>
      </c>
      <c r="B187" t="str">
        <f>IF(INDEX(tblCleanData[Age],179)&lt;30,"Under 30",IF(INDEX(tblCleanData[Age],179)&lt;40,"30-39",IF(INDEX(tblCleanData[Age],179)&lt;50,"40-49","50+")))</f>
        <v>40-49</v>
      </c>
      <c r="C187" t="str">
        <f>IF(INDEX(tblCleanData[MonthlyIncome],179)&lt;=$B$3,"Low Income",IF(INDEX(tblCleanData[MonthlyIncome],179)&lt;=$B$4,"Medium Income","High Income"))</f>
        <v>High Income</v>
      </c>
      <c r="D187">
        <f>IF(INDEX(tblCleanData[Attrition],179)="Yes",1,0)</f>
        <v>0</v>
      </c>
      <c r="E187">
        <f>IF(INDEX(tblCleanData[OverTime],179)="Yes",1,0)</f>
        <v>0</v>
      </c>
      <c r="F187" t="str">
        <f>CHOOSE(INDEX(tblCleanData[Education],179),"Below College","College","Bachelor","Master","Doctor")</f>
        <v>College</v>
      </c>
      <c r="G187" t="str">
        <f>IF(INDEX(tblCleanData[YearsAtCompany],179)&lt;=2,"0-2 Years",IF(INDEX(tblCleanData[YearsAtCompany],179)&lt;=5,"3-5 Years",IF(INDEX(tblCleanData[YearsAtCompany],179)&lt;=10,"6-10 Years","10+ Years")))</f>
        <v>10+ Years</v>
      </c>
      <c r="H187" t="str">
        <f>IF(INDEX(tblCleanData[WorkLifeBalance],179)&lt;=2,"Elevated","Normal")</f>
        <v>Normal</v>
      </c>
      <c r="I187">
        <f>IF(INDEX(tblCleanData[Age],179)&lt;30,30,IF(INDEX(tblCleanData[Age],179)&lt;40,20,IF(INDEX(tblCleanData[Age],179)&lt;50,10,15)))</f>
        <v>10</v>
      </c>
      <c r="J187">
        <f>IF(INDEX(tblCleanData[MonthlyIncome],179)&lt;=$B$3,25,IF(INDEX(tblCleanData[MonthlyIncome],179)&lt;=$B$4,12,5))</f>
        <v>5</v>
      </c>
      <c r="K187">
        <f>IF(INDEX(tblCleanData[OverTime],179)="Yes",25,0)</f>
        <v>0</v>
      </c>
      <c r="L187">
        <f>(5-INDEX(tblCleanData[JobSatisfaction],179))*6.25</f>
        <v>25</v>
      </c>
      <c r="M187">
        <f>IF(INDEX(tblCleanData[YearsAtCompany],179)&lt;=2,25,IF(INDEX(tblCleanData[YearsAtCompany],179)&lt;=5,15,IF(INDEX(tblCleanData[YearsAtCompany],179)&lt;=10,8,3)))</f>
        <v>3</v>
      </c>
      <c r="N187">
        <f t="shared" si="4"/>
        <v>43</v>
      </c>
      <c r="O187" t="str">
        <f t="shared" si="5"/>
        <v>Medium Risk</v>
      </c>
    </row>
    <row r="188" spans="1:15" x14ac:dyDescent="0.25">
      <c r="A188">
        <f>INDEX(tblCleanData[EmployeeNumber],180)</f>
        <v>245</v>
      </c>
      <c r="B188" t="str">
        <f>IF(INDEX(tblCleanData[Age],180)&lt;30,"Under 30",IF(INDEX(tblCleanData[Age],180)&lt;40,"30-39",IF(INDEX(tblCleanData[Age],180)&lt;50,"40-49","50+")))</f>
        <v>30-39</v>
      </c>
      <c r="C188" t="str">
        <f>IF(INDEX(tblCleanData[MonthlyIncome],180)&lt;=$B$3,"Low Income",IF(INDEX(tblCleanData[MonthlyIncome],180)&lt;=$B$4,"Medium Income","High Income"))</f>
        <v>High Income</v>
      </c>
      <c r="D188">
        <f>IF(INDEX(tblCleanData[Attrition],180)="Yes",1,0)</f>
        <v>0</v>
      </c>
      <c r="E188">
        <f>IF(INDEX(tblCleanData[OverTime],180)="Yes",1,0)</f>
        <v>0</v>
      </c>
      <c r="F188" t="str">
        <f>CHOOSE(INDEX(tblCleanData[Education],180),"Below College","College","Bachelor","Master","Doctor")</f>
        <v>College</v>
      </c>
      <c r="G188" t="str">
        <f>IF(INDEX(tblCleanData[YearsAtCompany],180)&lt;=2,"0-2 Years",IF(INDEX(tblCleanData[YearsAtCompany],180)&lt;=5,"3-5 Years",IF(INDEX(tblCleanData[YearsAtCompany],180)&lt;=10,"6-10 Years","10+ Years")))</f>
        <v>0-2 Years</v>
      </c>
      <c r="H188" t="str">
        <f>IF(INDEX(tblCleanData[WorkLifeBalance],180)&lt;=2,"Elevated","Normal")</f>
        <v>Normal</v>
      </c>
      <c r="I188">
        <f>IF(INDEX(tblCleanData[Age],180)&lt;30,30,IF(INDEX(tblCleanData[Age],180)&lt;40,20,IF(INDEX(tblCleanData[Age],180)&lt;50,10,15)))</f>
        <v>20</v>
      </c>
      <c r="J188">
        <f>IF(INDEX(tblCleanData[MonthlyIncome],180)&lt;=$B$3,25,IF(INDEX(tblCleanData[MonthlyIncome],180)&lt;=$B$4,12,5))</f>
        <v>5</v>
      </c>
      <c r="K188">
        <f>IF(INDEX(tblCleanData[OverTime],180)="Yes",25,0)</f>
        <v>0</v>
      </c>
      <c r="L188">
        <f>(5-INDEX(tblCleanData[JobSatisfaction],180))*6.25</f>
        <v>6.25</v>
      </c>
      <c r="M188">
        <f>IF(INDEX(tblCleanData[YearsAtCompany],180)&lt;=2,25,IF(INDEX(tblCleanData[YearsAtCompany],180)&lt;=5,15,IF(INDEX(tblCleanData[YearsAtCompany],180)&lt;=10,8,3)))</f>
        <v>25</v>
      </c>
      <c r="N188">
        <f t="shared" si="4"/>
        <v>56</v>
      </c>
      <c r="O188" t="str">
        <f t="shared" si="5"/>
        <v>High Risk</v>
      </c>
    </row>
    <row r="189" spans="1:15" x14ac:dyDescent="0.25">
      <c r="A189">
        <f>INDEX(tblCleanData[EmployeeNumber],181)</f>
        <v>246</v>
      </c>
      <c r="B189" t="str">
        <f>IF(INDEX(tblCleanData[Age],181)&lt;30,"Under 30",IF(INDEX(tblCleanData[Age],181)&lt;40,"30-39",IF(INDEX(tblCleanData[Age],181)&lt;50,"40-49","50+")))</f>
        <v>30-39</v>
      </c>
      <c r="C189" t="str">
        <f>IF(INDEX(tblCleanData[MonthlyIncome],181)&lt;=$B$3,"Low Income",IF(INDEX(tblCleanData[MonthlyIncome],181)&lt;=$B$4,"Medium Income","High Income"))</f>
        <v>High Income</v>
      </c>
      <c r="D189">
        <f>IF(INDEX(tblCleanData[Attrition],181)="Yes",1,0)</f>
        <v>0</v>
      </c>
      <c r="E189">
        <f>IF(INDEX(tblCleanData[OverTime],181)="Yes",1,0)</f>
        <v>1</v>
      </c>
      <c r="F189" t="str">
        <f>CHOOSE(INDEX(tblCleanData[Education],181),"Below College","College","Bachelor","Master","Doctor")</f>
        <v>Below College</v>
      </c>
      <c r="G189" t="str">
        <f>IF(INDEX(tblCleanData[YearsAtCompany],181)&lt;=2,"0-2 Years",IF(INDEX(tblCleanData[YearsAtCompany],181)&lt;=5,"3-5 Years",IF(INDEX(tblCleanData[YearsAtCompany],181)&lt;=10,"6-10 Years","10+ Years")))</f>
        <v>3-5 Years</v>
      </c>
      <c r="H189" t="str">
        <f>IF(INDEX(tblCleanData[WorkLifeBalance],181)&lt;=2,"Elevated","Normal")</f>
        <v>Normal</v>
      </c>
      <c r="I189">
        <f>IF(INDEX(tblCleanData[Age],181)&lt;30,30,IF(INDEX(tblCleanData[Age],181)&lt;40,20,IF(INDEX(tblCleanData[Age],181)&lt;50,10,15)))</f>
        <v>20</v>
      </c>
      <c r="J189">
        <f>IF(INDEX(tblCleanData[MonthlyIncome],181)&lt;=$B$3,25,IF(INDEX(tblCleanData[MonthlyIncome],181)&lt;=$B$4,12,5))</f>
        <v>5</v>
      </c>
      <c r="K189">
        <f>IF(INDEX(tblCleanData[OverTime],181)="Yes",25,0)</f>
        <v>25</v>
      </c>
      <c r="L189">
        <f>(5-INDEX(tblCleanData[JobSatisfaction],181))*6.25</f>
        <v>6.25</v>
      </c>
      <c r="M189">
        <f>IF(INDEX(tblCleanData[YearsAtCompany],181)&lt;=2,25,IF(INDEX(tblCleanData[YearsAtCompany],181)&lt;=5,15,IF(INDEX(tblCleanData[YearsAtCompany],181)&lt;=10,8,3)))</f>
        <v>15</v>
      </c>
      <c r="N189">
        <f t="shared" si="4"/>
        <v>71</v>
      </c>
      <c r="O189" t="str">
        <f t="shared" si="5"/>
        <v>High Risk</v>
      </c>
    </row>
    <row r="190" spans="1:15" x14ac:dyDescent="0.25">
      <c r="A190">
        <f>INDEX(tblCleanData[EmployeeNumber],182)</f>
        <v>247</v>
      </c>
      <c r="B190" t="str">
        <f>IF(INDEX(tblCleanData[Age],182)&lt;30,"Under 30",IF(INDEX(tblCleanData[Age],182)&lt;40,"30-39",IF(INDEX(tblCleanData[Age],182)&lt;50,"40-49","50+")))</f>
        <v>30-39</v>
      </c>
      <c r="C190" t="str">
        <f>IF(INDEX(tblCleanData[MonthlyIncome],182)&lt;=$B$3,"Low Income",IF(INDEX(tblCleanData[MonthlyIncome],182)&lt;=$B$4,"Medium Income","High Income"))</f>
        <v>High Income</v>
      </c>
      <c r="D190">
        <f>IF(INDEX(tblCleanData[Attrition],182)="Yes",1,0)</f>
        <v>0</v>
      </c>
      <c r="E190">
        <f>IF(INDEX(tblCleanData[OverTime],182)="Yes",1,0)</f>
        <v>0</v>
      </c>
      <c r="F190" t="str">
        <f>CHOOSE(INDEX(tblCleanData[Education],182),"Below College","College","Bachelor","Master","Doctor")</f>
        <v>College</v>
      </c>
      <c r="G190" t="str">
        <f>IF(INDEX(tblCleanData[YearsAtCompany],182)&lt;=2,"0-2 Years",IF(INDEX(tblCleanData[YearsAtCompany],182)&lt;=5,"3-5 Years",IF(INDEX(tblCleanData[YearsAtCompany],182)&lt;=10,"6-10 Years","10+ Years")))</f>
        <v>3-5 Years</v>
      </c>
      <c r="H190" t="str">
        <f>IF(INDEX(tblCleanData[WorkLifeBalance],182)&lt;=2,"Elevated","Normal")</f>
        <v>Normal</v>
      </c>
      <c r="I190">
        <f>IF(INDEX(tblCleanData[Age],182)&lt;30,30,IF(INDEX(tblCleanData[Age],182)&lt;40,20,IF(INDEX(tblCleanData[Age],182)&lt;50,10,15)))</f>
        <v>20</v>
      </c>
      <c r="J190">
        <f>IF(INDEX(tblCleanData[MonthlyIncome],182)&lt;=$B$3,25,IF(INDEX(tblCleanData[MonthlyIncome],182)&lt;=$B$4,12,5))</f>
        <v>5</v>
      </c>
      <c r="K190">
        <f>IF(INDEX(tblCleanData[OverTime],182)="Yes",25,0)</f>
        <v>0</v>
      </c>
      <c r="L190">
        <f>(5-INDEX(tblCleanData[JobSatisfaction],182))*6.25</f>
        <v>18.75</v>
      </c>
      <c r="M190">
        <f>IF(INDEX(tblCleanData[YearsAtCompany],182)&lt;=2,25,IF(INDEX(tblCleanData[YearsAtCompany],182)&lt;=5,15,IF(INDEX(tblCleanData[YearsAtCompany],182)&lt;=10,8,3)))</f>
        <v>15</v>
      </c>
      <c r="N190">
        <f t="shared" si="4"/>
        <v>59</v>
      </c>
      <c r="O190" t="str">
        <f t="shared" si="5"/>
        <v>High Risk</v>
      </c>
    </row>
    <row r="191" spans="1:15" x14ac:dyDescent="0.25">
      <c r="A191">
        <f>INDEX(tblCleanData[EmployeeNumber],183)</f>
        <v>248</v>
      </c>
      <c r="B191" t="str">
        <f>IF(INDEX(tblCleanData[Age],183)&lt;30,"Under 30",IF(INDEX(tblCleanData[Age],183)&lt;40,"30-39",IF(INDEX(tblCleanData[Age],183)&lt;50,"40-49","50+")))</f>
        <v>40-49</v>
      </c>
      <c r="C191" t="str">
        <f>IF(INDEX(tblCleanData[MonthlyIncome],183)&lt;=$B$3,"Low Income",IF(INDEX(tblCleanData[MonthlyIncome],183)&lt;=$B$4,"Medium Income","High Income"))</f>
        <v>High Income</v>
      </c>
      <c r="D191">
        <f>IF(INDEX(tblCleanData[Attrition],183)="Yes",1,0)</f>
        <v>1</v>
      </c>
      <c r="E191">
        <f>IF(INDEX(tblCleanData[OverTime],183)="Yes",1,0)</f>
        <v>1</v>
      </c>
      <c r="F191" t="str">
        <f>CHOOSE(INDEX(tblCleanData[Education],183),"Below College","College","Bachelor","Master","Doctor")</f>
        <v>College</v>
      </c>
      <c r="G191" t="str">
        <f>IF(INDEX(tblCleanData[YearsAtCompany],183)&lt;=2,"0-2 Years",IF(INDEX(tblCleanData[YearsAtCompany],183)&lt;=5,"3-5 Years",IF(INDEX(tblCleanData[YearsAtCompany],183)&lt;=10,"6-10 Years","10+ Years")))</f>
        <v>3-5 Years</v>
      </c>
      <c r="H191" t="str">
        <f>IF(INDEX(tblCleanData[WorkLifeBalance],183)&lt;=2,"Elevated","Normal")</f>
        <v>Elevated</v>
      </c>
      <c r="I191">
        <f>IF(INDEX(tblCleanData[Age],183)&lt;30,30,IF(INDEX(tblCleanData[Age],183)&lt;40,20,IF(INDEX(tblCleanData[Age],183)&lt;50,10,15)))</f>
        <v>10</v>
      </c>
      <c r="J191">
        <f>IF(INDEX(tblCleanData[MonthlyIncome],183)&lt;=$B$3,25,IF(INDEX(tblCleanData[MonthlyIncome],183)&lt;=$B$4,12,5))</f>
        <v>5</v>
      </c>
      <c r="K191">
        <f>IF(INDEX(tblCleanData[OverTime],183)="Yes",25,0)</f>
        <v>25</v>
      </c>
      <c r="L191">
        <f>(5-INDEX(tblCleanData[JobSatisfaction],183))*6.25</f>
        <v>18.75</v>
      </c>
      <c r="M191">
        <f>IF(INDEX(tblCleanData[YearsAtCompany],183)&lt;=2,25,IF(INDEX(tblCleanData[YearsAtCompany],183)&lt;=5,15,IF(INDEX(tblCleanData[YearsAtCompany],183)&lt;=10,8,3)))</f>
        <v>15</v>
      </c>
      <c r="N191">
        <f t="shared" si="4"/>
        <v>74</v>
      </c>
      <c r="O191" t="str">
        <f t="shared" si="5"/>
        <v>High Risk</v>
      </c>
    </row>
    <row r="192" spans="1:15" x14ac:dyDescent="0.25">
      <c r="A192">
        <f>INDEX(tblCleanData[EmployeeNumber],184)</f>
        <v>249</v>
      </c>
      <c r="B192" t="str">
        <f>IF(INDEX(tblCleanData[Age],184)&lt;30,"Under 30",IF(INDEX(tblCleanData[Age],184)&lt;40,"30-39",IF(INDEX(tblCleanData[Age],184)&lt;50,"40-49","50+")))</f>
        <v>50+</v>
      </c>
      <c r="C192" t="str">
        <f>IF(INDEX(tblCleanData[MonthlyIncome],184)&lt;=$B$3,"Low Income",IF(INDEX(tblCleanData[MonthlyIncome],184)&lt;=$B$4,"Medium Income","High Income"))</f>
        <v>High Income</v>
      </c>
      <c r="D192">
        <f>IF(INDEX(tblCleanData[Attrition],184)="Yes",1,0)</f>
        <v>0</v>
      </c>
      <c r="E192">
        <f>IF(INDEX(tblCleanData[OverTime],184)="Yes",1,0)</f>
        <v>0</v>
      </c>
      <c r="F192" t="str">
        <f>CHOOSE(INDEX(tblCleanData[Education],184),"Below College","College","Bachelor","Master","Doctor")</f>
        <v>Bachelor</v>
      </c>
      <c r="G192" t="str">
        <f>IF(INDEX(tblCleanData[YearsAtCompany],184)&lt;=2,"0-2 Years",IF(INDEX(tblCleanData[YearsAtCompany],184)&lt;=5,"3-5 Years",IF(INDEX(tblCleanData[YearsAtCompany],184)&lt;=10,"6-10 Years","10+ Years")))</f>
        <v>3-5 Years</v>
      </c>
      <c r="H192" t="str">
        <f>IF(INDEX(tblCleanData[WorkLifeBalance],184)&lt;=2,"Elevated","Normal")</f>
        <v>Elevated</v>
      </c>
      <c r="I192">
        <f>IF(INDEX(tblCleanData[Age],184)&lt;30,30,IF(INDEX(tblCleanData[Age],184)&lt;40,20,IF(INDEX(tblCleanData[Age],184)&lt;50,10,15)))</f>
        <v>15</v>
      </c>
      <c r="J192">
        <f>IF(INDEX(tblCleanData[MonthlyIncome],184)&lt;=$B$3,25,IF(INDEX(tblCleanData[MonthlyIncome],184)&lt;=$B$4,12,5))</f>
        <v>5</v>
      </c>
      <c r="K192">
        <f>IF(INDEX(tblCleanData[OverTime],184)="Yes",25,0)</f>
        <v>0</v>
      </c>
      <c r="L192">
        <f>(5-INDEX(tblCleanData[JobSatisfaction],184))*6.25</f>
        <v>12.5</v>
      </c>
      <c r="M192">
        <f>IF(INDEX(tblCleanData[YearsAtCompany],184)&lt;=2,25,IF(INDEX(tblCleanData[YearsAtCompany],184)&lt;=5,15,IF(INDEX(tblCleanData[YearsAtCompany],184)&lt;=10,8,3)))</f>
        <v>15</v>
      </c>
      <c r="N192">
        <f t="shared" si="4"/>
        <v>48</v>
      </c>
      <c r="O192" t="str">
        <f t="shared" si="5"/>
        <v>Medium Risk</v>
      </c>
    </row>
    <row r="193" spans="1:15" x14ac:dyDescent="0.25">
      <c r="A193">
        <f>INDEX(tblCleanData[EmployeeNumber],185)</f>
        <v>250</v>
      </c>
      <c r="B193" t="str">
        <f>IF(INDEX(tblCleanData[Age],185)&lt;30,"Under 30",IF(INDEX(tblCleanData[Age],185)&lt;40,"30-39",IF(INDEX(tblCleanData[Age],185)&lt;50,"40-49","50+")))</f>
        <v>50+</v>
      </c>
      <c r="C193" t="str">
        <f>IF(INDEX(tblCleanData[MonthlyIncome],185)&lt;=$B$3,"Low Income",IF(INDEX(tblCleanData[MonthlyIncome],185)&lt;=$B$4,"Medium Income","High Income"))</f>
        <v>High Income</v>
      </c>
      <c r="D193">
        <f>IF(INDEX(tblCleanData[Attrition],185)="Yes",1,0)</f>
        <v>0</v>
      </c>
      <c r="E193">
        <f>IF(INDEX(tblCleanData[OverTime],185)="Yes",1,0)</f>
        <v>0</v>
      </c>
      <c r="F193" t="str">
        <f>CHOOSE(INDEX(tblCleanData[Education],185),"Below College","College","Bachelor","Master","Doctor")</f>
        <v>College</v>
      </c>
      <c r="G193" t="str">
        <f>IF(INDEX(tblCleanData[YearsAtCompany],185)&lt;=2,"0-2 Years",IF(INDEX(tblCleanData[YearsAtCompany],185)&lt;=5,"3-5 Years",IF(INDEX(tblCleanData[YearsAtCompany],185)&lt;=10,"6-10 Years","10+ Years")))</f>
        <v>3-5 Years</v>
      </c>
      <c r="H193" t="str">
        <f>IF(INDEX(tblCleanData[WorkLifeBalance],185)&lt;=2,"Elevated","Normal")</f>
        <v>Normal</v>
      </c>
      <c r="I193">
        <f>IF(INDEX(tblCleanData[Age],185)&lt;30,30,IF(INDEX(tblCleanData[Age],185)&lt;40,20,IF(INDEX(tblCleanData[Age],185)&lt;50,10,15)))</f>
        <v>15</v>
      </c>
      <c r="J193">
        <f>IF(INDEX(tblCleanData[MonthlyIncome],185)&lt;=$B$3,25,IF(INDEX(tblCleanData[MonthlyIncome],185)&lt;=$B$4,12,5))</f>
        <v>5</v>
      </c>
      <c r="K193">
        <f>IF(INDEX(tblCleanData[OverTime],185)="Yes",25,0)</f>
        <v>0</v>
      </c>
      <c r="L193">
        <f>(5-INDEX(tblCleanData[JobSatisfaction],185))*6.25</f>
        <v>25</v>
      </c>
      <c r="M193">
        <f>IF(INDEX(tblCleanData[YearsAtCompany],185)&lt;=2,25,IF(INDEX(tblCleanData[YearsAtCompany],185)&lt;=5,15,IF(INDEX(tblCleanData[YearsAtCompany],185)&lt;=10,8,3)))</f>
        <v>15</v>
      </c>
      <c r="N193">
        <f t="shared" si="4"/>
        <v>60</v>
      </c>
      <c r="O193" t="str">
        <f t="shared" si="5"/>
        <v>High Risk</v>
      </c>
    </row>
    <row r="194" spans="1:15" x14ac:dyDescent="0.25">
      <c r="A194">
        <f>INDEX(tblCleanData[EmployeeNumber],186)</f>
        <v>252</v>
      </c>
      <c r="B194" t="str">
        <f>IF(INDEX(tblCleanData[Age],186)&lt;30,"Under 30",IF(INDEX(tblCleanData[Age],186)&lt;40,"30-39",IF(INDEX(tblCleanData[Age],186)&lt;50,"40-49","50+")))</f>
        <v>30-39</v>
      </c>
      <c r="C194" t="str">
        <f>IF(INDEX(tblCleanData[MonthlyIncome],186)&lt;=$B$3,"Low Income",IF(INDEX(tblCleanData[MonthlyIncome],186)&lt;=$B$4,"Medium Income","High Income"))</f>
        <v>High Income</v>
      </c>
      <c r="D194">
        <f>IF(INDEX(tblCleanData[Attrition],186)="Yes",1,0)</f>
        <v>0</v>
      </c>
      <c r="E194">
        <f>IF(INDEX(tblCleanData[OverTime],186)="Yes",1,0)</f>
        <v>0</v>
      </c>
      <c r="F194" t="str">
        <f>CHOOSE(INDEX(tblCleanData[Education],186),"Below College","College","Bachelor","Master","Doctor")</f>
        <v>Bachelor</v>
      </c>
      <c r="G194" t="str">
        <f>IF(INDEX(tblCleanData[YearsAtCompany],186)&lt;=2,"0-2 Years",IF(INDEX(tblCleanData[YearsAtCompany],186)&lt;=5,"3-5 Years",IF(INDEX(tblCleanData[YearsAtCompany],186)&lt;=10,"6-10 Years","10+ Years")))</f>
        <v>6-10 Years</v>
      </c>
      <c r="H194" t="str">
        <f>IF(INDEX(tblCleanData[WorkLifeBalance],186)&lt;=2,"Elevated","Normal")</f>
        <v>Normal</v>
      </c>
      <c r="I194">
        <f>IF(INDEX(tblCleanData[Age],186)&lt;30,30,IF(INDEX(tblCleanData[Age],186)&lt;40,20,IF(INDEX(tblCleanData[Age],186)&lt;50,10,15)))</f>
        <v>20</v>
      </c>
      <c r="J194">
        <f>IF(INDEX(tblCleanData[MonthlyIncome],186)&lt;=$B$3,25,IF(INDEX(tblCleanData[MonthlyIncome],186)&lt;=$B$4,12,5))</f>
        <v>5</v>
      </c>
      <c r="K194">
        <f>IF(INDEX(tblCleanData[OverTime],186)="Yes",25,0)</f>
        <v>0</v>
      </c>
      <c r="L194">
        <f>(5-INDEX(tblCleanData[JobSatisfaction],186))*6.25</f>
        <v>18.75</v>
      </c>
      <c r="M194">
        <f>IF(INDEX(tblCleanData[YearsAtCompany],186)&lt;=2,25,IF(INDEX(tblCleanData[YearsAtCompany],186)&lt;=5,15,IF(INDEX(tblCleanData[YearsAtCompany],186)&lt;=10,8,3)))</f>
        <v>8</v>
      </c>
      <c r="N194">
        <f t="shared" si="4"/>
        <v>52</v>
      </c>
      <c r="O194" t="str">
        <f t="shared" si="5"/>
        <v>Medium Risk</v>
      </c>
    </row>
    <row r="195" spans="1:15" x14ac:dyDescent="0.25">
      <c r="A195">
        <f>INDEX(tblCleanData[EmployeeNumber],187)</f>
        <v>253</v>
      </c>
      <c r="B195" t="str">
        <f>IF(INDEX(tblCleanData[Age],187)&lt;30,"Under 30",IF(INDEX(tblCleanData[Age],187)&lt;40,"30-39",IF(INDEX(tblCleanData[Age],187)&lt;50,"40-49","50+")))</f>
        <v>40-49</v>
      </c>
      <c r="C195" t="str">
        <f>IF(INDEX(tblCleanData[MonthlyIncome],187)&lt;=$B$3,"Low Income",IF(INDEX(tblCleanData[MonthlyIncome],187)&lt;=$B$4,"Medium Income","High Income"))</f>
        <v>High Income</v>
      </c>
      <c r="D195">
        <f>IF(INDEX(tblCleanData[Attrition],187)="Yes",1,0)</f>
        <v>0</v>
      </c>
      <c r="E195">
        <f>IF(INDEX(tblCleanData[OverTime],187)="Yes",1,0)</f>
        <v>0</v>
      </c>
      <c r="F195" t="str">
        <f>CHOOSE(INDEX(tblCleanData[Education],187),"Below College","College","Bachelor","Master","Doctor")</f>
        <v>Below College</v>
      </c>
      <c r="G195" t="str">
        <f>IF(INDEX(tblCleanData[YearsAtCompany],187)&lt;=2,"0-2 Years",IF(INDEX(tblCleanData[YearsAtCompany],187)&lt;=5,"3-5 Years",IF(INDEX(tblCleanData[YearsAtCompany],187)&lt;=10,"6-10 Years","10+ Years")))</f>
        <v>10+ Years</v>
      </c>
      <c r="H195" t="str">
        <f>IF(INDEX(tblCleanData[WorkLifeBalance],187)&lt;=2,"Elevated","Normal")</f>
        <v>Normal</v>
      </c>
      <c r="I195">
        <f>IF(INDEX(tblCleanData[Age],187)&lt;30,30,IF(INDEX(tblCleanData[Age],187)&lt;40,20,IF(INDEX(tblCleanData[Age],187)&lt;50,10,15)))</f>
        <v>10</v>
      </c>
      <c r="J195">
        <f>IF(INDEX(tblCleanData[MonthlyIncome],187)&lt;=$B$3,25,IF(INDEX(tblCleanData[MonthlyIncome],187)&lt;=$B$4,12,5))</f>
        <v>5</v>
      </c>
      <c r="K195">
        <f>IF(INDEX(tblCleanData[OverTime],187)="Yes",25,0)</f>
        <v>0</v>
      </c>
      <c r="L195">
        <f>(5-INDEX(tblCleanData[JobSatisfaction],187))*6.25</f>
        <v>12.5</v>
      </c>
      <c r="M195">
        <f>IF(INDEX(tblCleanData[YearsAtCompany],187)&lt;=2,25,IF(INDEX(tblCleanData[YearsAtCompany],187)&lt;=5,15,IF(INDEX(tblCleanData[YearsAtCompany],187)&lt;=10,8,3)))</f>
        <v>3</v>
      </c>
      <c r="N195">
        <f t="shared" si="4"/>
        <v>31</v>
      </c>
      <c r="O195" t="str">
        <f t="shared" si="5"/>
        <v>Low Risk</v>
      </c>
    </row>
    <row r="196" spans="1:15" x14ac:dyDescent="0.25">
      <c r="A196">
        <f>INDEX(tblCleanData[EmployeeNumber],188)</f>
        <v>254</v>
      </c>
      <c r="B196" t="str">
        <f>IF(INDEX(tblCleanData[Age],188)&lt;30,"Under 30",IF(INDEX(tblCleanData[Age],188)&lt;40,"30-39",IF(INDEX(tblCleanData[Age],188)&lt;50,"40-49","50+")))</f>
        <v>50+</v>
      </c>
      <c r="C196" t="str">
        <f>IF(INDEX(tblCleanData[MonthlyIncome],188)&lt;=$B$3,"Low Income",IF(INDEX(tblCleanData[MonthlyIncome],188)&lt;=$B$4,"Medium Income","High Income"))</f>
        <v>High Income</v>
      </c>
      <c r="D196">
        <f>IF(INDEX(tblCleanData[Attrition],188)="Yes",1,0)</f>
        <v>0</v>
      </c>
      <c r="E196">
        <f>IF(INDEX(tblCleanData[OverTime],188)="Yes",1,0)</f>
        <v>0</v>
      </c>
      <c r="F196" t="str">
        <f>CHOOSE(INDEX(tblCleanData[Education],188),"Below College","College","Bachelor","Master","Doctor")</f>
        <v>Master</v>
      </c>
      <c r="G196" t="str">
        <f>IF(INDEX(tblCleanData[YearsAtCompany],188)&lt;=2,"0-2 Years",IF(INDEX(tblCleanData[YearsAtCompany],188)&lt;=5,"3-5 Years",IF(INDEX(tblCleanData[YearsAtCompany],188)&lt;=10,"6-10 Years","10+ Years")))</f>
        <v>10+ Years</v>
      </c>
      <c r="H196" t="str">
        <f>IF(INDEX(tblCleanData[WorkLifeBalance],188)&lt;=2,"Elevated","Normal")</f>
        <v>Normal</v>
      </c>
      <c r="I196">
        <f>IF(INDEX(tblCleanData[Age],188)&lt;30,30,IF(INDEX(tblCleanData[Age],188)&lt;40,20,IF(INDEX(tblCleanData[Age],188)&lt;50,10,15)))</f>
        <v>15</v>
      </c>
      <c r="J196">
        <f>IF(INDEX(tblCleanData[MonthlyIncome],188)&lt;=$B$3,25,IF(INDEX(tblCleanData[MonthlyIncome],188)&lt;=$B$4,12,5))</f>
        <v>5</v>
      </c>
      <c r="K196">
        <f>IF(INDEX(tblCleanData[OverTime],188)="Yes",25,0)</f>
        <v>0</v>
      </c>
      <c r="L196">
        <f>(5-INDEX(tblCleanData[JobSatisfaction],188))*6.25</f>
        <v>18.75</v>
      </c>
      <c r="M196">
        <f>IF(INDEX(tblCleanData[YearsAtCompany],188)&lt;=2,25,IF(INDEX(tblCleanData[YearsAtCompany],188)&lt;=5,15,IF(INDEX(tblCleanData[YearsAtCompany],188)&lt;=10,8,3)))</f>
        <v>3</v>
      </c>
      <c r="N196">
        <f t="shared" si="4"/>
        <v>42</v>
      </c>
      <c r="O196" t="str">
        <f t="shared" si="5"/>
        <v>Medium Risk</v>
      </c>
    </row>
    <row r="197" spans="1:15" x14ac:dyDescent="0.25">
      <c r="A197">
        <f>INDEX(tblCleanData[EmployeeNumber],189)</f>
        <v>256</v>
      </c>
      <c r="B197" t="str">
        <f>IF(INDEX(tblCleanData[Age],189)&lt;30,"Under 30",IF(INDEX(tblCleanData[Age],189)&lt;40,"30-39",IF(INDEX(tblCleanData[Age],189)&lt;50,"40-49","50+")))</f>
        <v>30-39</v>
      </c>
      <c r="C197" t="str">
        <f>IF(INDEX(tblCleanData[MonthlyIncome],189)&lt;=$B$3,"Low Income",IF(INDEX(tblCleanData[MonthlyIncome],189)&lt;=$B$4,"Medium Income","High Income"))</f>
        <v>High Income</v>
      </c>
      <c r="D197">
        <f>IF(INDEX(tblCleanData[Attrition],189)="Yes",1,0)</f>
        <v>0</v>
      </c>
      <c r="E197">
        <f>IF(INDEX(tblCleanData[OverTime],189)="Yes",1,0)</f>
        <v>0</v>
      </c>
      <c r="F197" t="str">
        <f>CHOOSE(INDEX(tblCleanData[Education],189),"Below College","College","Bachelor","Master","Doctor")</f>
        <v>Below College</v>
      </c>
      <c r="G197" t="str">
        <f>IF(INDEX(tblCleanData[YearsAtCompany],189)&lt;=2,"0-2 Years",IF(INDEX(tblCleanData[YearsAtCompany],189)&lt;=5,"3-5 Years",IF(INDEX(tblCleanData[YearsAtCompany],189)&lt;=10,"6-10 Years","10+ Years")))</f>
        <v>6-10 Years</v>
      </c>
      <c r="H197" t="str">
        <f>IF(INDEX(tblCleanData[WorkLifeBalance],189)&lt;=2,"Elevated","Normal")</f>
        <v>Elevated</v>
      </c>
      <c r="I197">
        <f>IF(INDEX(tblCleanData[Age],189)&lt;30,30,IF(INDEX(tblCleanData[Age],189)&lt;40,20,IF(INDEX(tblCleanData[Age],189)&lt;50,10,15)))</f>
        <v>20</v>
      </c>
      <c r="J197">
        <f>IF(INDEX(tblCleanData[MonthlyIncome],189)&lt;=$B$3,25,IF(INDEX(tblCleanData[MonthlyIncome],189)&lt;=$B$4,12,5))</f>
        <v>5</v>
      </c>
      <c r="K197">
        <f>IF(INDEX(tblCleanData[OverTime],189)="Yes",25,0)</f>
        <v>0</v>
      </c>
      <c r="L197">
        <f>(5-INDEX(tblCleanData[JobSatisfaction],189))*6.25</f>
        <v>12.5</v>
      </c>
      <c r="M197">
        <f>IF(INDEX(tblCleanData[YearsAtCompany],189)&lt;=2,25,IF(INDEX(tblCleanData[YearsAtCompany],189)&lt;=5,15,IF(INDEX(tblCleanData[YearsAtCompany],189)&lt;=10,8,3)))</f>
        <v>8</v>
      </c>
      <c r="N197">
        <f t="shared" si="4"/>
        <v>46</v>
      </c>
      <c r="O197" t="str">
        <f t="shared" si="5"/>
        <v>Medium Risk</v>
      </c>
    </row>
    <row r="198" spans="1:15" x14ac:dyDescent="0.25">
      <c r="A198">
        <f>INDEX(tblCleanData[EmployeeNumber],190)</f>
        <v>258</v>
      </c>
      <c r="B198" t="str">
        <f>IF(INDEX(tblCleanData[Age],190)&lt;30,"Under 30",IF(INDEX(tblCleanData[Age],190)&lt;40,"30-39",IF(INDEX(tblCleanData[Age],190)&lt;50,"40-49","50+")))</f>
        <v>50+</v>
      </c>
      <c r="C198" t="str">
        <f>IF(INDEX(tblCleanData[MonthlyIncome],190)&lt;=$B$3,"Low Income",IF(INDEX(tblCleanData[MonthlyIncome],190)&lt;=$B$4,"Medium Income","High Income"))</f>
        <v>High Income</v>
      </c>
      <c r="D198">
        <f>IF(INDEX(tblCleanData[Attrition],190)="Yes",1,0)</f>
        <v>0</v>
      </c>
      <c r="E198">
        <f>IF(INDEX(tblCleanData[OverTime],190)="Yes",1,0)</f>
        <v>0</v>
      </c>
      <c r="F198" t="str">
        <f>CHOOSE(INDEX(tblCleanData[Education],190),"Below College","College","Bachelor","Master","Doctor")</f>
        <v>Bachelor</v>
      </c>
      <c r="G198" t="str">
        <f>IF(INDEX(tblCleanData[YearsAtCompany],190)&lt;=2,"0-2 Years",IF(INDEX(tblCleanData[YearsAtCompany],190)&lt;=5,"3-5 Years",IF(INDEX(tblCleanData[YearsAtCompany],190)&lt;=10,"6-10 Years","10+ Years")))</f>
        <v>6-10 Years</v>
      </c>
      <c r="H198" t="str">
        <f>IF(INDEX(tblCleanData[WorkLifeBalance],190)&lt;=2,"Elevated","Normal")</f>
        <v>Normal</v>
      </c>
      <c r="I198">
        <f>IF(INDEX(tblCleanData[Age],190)&lt;30,30,IF(INDEX(tblCleanData[Age],190)&lt;40,20,IF(INDEX(tblCleanData[Age],190)&lt;50,10,15)))</f>
        <v>15</v>
      </c>
      <c r="J198">
        <f>IF(INDEX(tblCleanData[MonthlyIncome],190)&lt;=$B$3,25,IF(INDEX(tblCleanData[MonthlyIncome],190)&lt;=$B$4,12,5))</f>
        <v>5</v>
      </c>
      <c r="K198">
        <f>IF(INDEX(tblCleanData[OverTime],190)="Yes",25,0)</f>
        <v>0</v>
      </c>
      <c r="L198">
        <f>(5-INDEX(tblCleanData[JobSatisfaction],190))*6.25</f>
        <v>18.75</v>
      </c>
      <c r="M198">
        <f>IF(INDEX(tblCleanData[YearsAtCompany],190)&lt;=2,25,IF(INDEX(tblCleanData[YearsAtCompany],190)&lt;=5,15,IF(INDEX(tblCleanData[YearsAtCompany],190)&lt;=10,8,3)))</f>
        <v>8</v>
      </c>
      <c r="N198">
        <f t="shared" si="4"/>
        <v>47</v>
      </c>
      <c r="O198" t="str">
        <f t="shared" si="5"/>
        <v>Medium Risk</v>
      </c>
    </row>
    <row r="199" spans="1:15" x14ac:dyDescent="0.25">
      <c r="A199">
        <f>INDEX(tblCleanData[EmployeeNumber],191)</f>
        <v>259</v>
      </c>
      <c r="B199" t="str">
        <f>IF(INDEX(tblCleanData[Age],191)&lt;30,"Under 30",IF(INDEX(tblCleanData[Age],191)&lt;40,"30-39",IF(INDEX(tblCleanData[Age],191)&lt;50,"40-49","50+")))</f>
        <v>50+</v>
      </c>
      <c r="C199" t="str">
        <f>IF(INDEX(tblCleanData[MonthlyIncome],191)&lt;=$B$3,"Low Income",IF(INDEX(tblCleanData[MonthlyIncome],191)&lt;=$B$4,"Medium Income","High Income"))</f>
        <v>High Income</v>
      </c>
      <c r="D199">
        <f>IF(INDEX(tblCleanData[Attrition],191)="Yes",1,0)</f>
        <v>0</v>
      </c>
      <c r="E199">
        <f>IF(INDEX(tblCleanData[OverTime],191)="Yes",1,0)</f>
        <v>0</v>
      </c>
      <c r="F199" t="str">
        <f>CHOOSE(INDEX(tblCleanData[Education],191),"Below College","College","Bachelor","Master","Doctor")</f>
        <v>Master</v>
      </c>
      <c r="G199" t="str">
        <f>IF(INDEX(tblCleanData[YearsAtCompany],191)&lt;=2,"0-2 Years",IF(INDEX(tblCleanData[YearsAtCompany],191)&lt;=5,"3-5 Years",IF(INDEX(tblCleanData[YearsAtCompany],191)&lt;=10,"6-10 Years","10+ Years")))</f>
        <v>10+ Years</v>
      </c>
      <c r="H199" t="str">
        <f>IF(INDEX(tblCleanData[WorkLifeBalance],191)&lt;=2,"Elevated","Normal")</f>
        <v>Normal</v>
      </c>
      <c r="I199">
        <f>IF(INDEX(tblCleanData[Age],191)&lt;30,30,IF(INDEX(tblCleanData[Age],191)&lt;40,20,IF(INDEX(tblCleanData[Age],191)&lt;50,10,15)))</f>
        <v>15</v>
      </c>
      <c r="J199">
        <f>IF(INDEX(tblCleanData[MonthlyIncome],191)&lt;=$B$3,25,IF(INDEX(tblCleanData[MonthlyIncome],191)&lt;=$B$4,12,5))</f>
        <v>5</v>
      </c>
      <c r="K199">
        <f>IF(INDEX(tblCleanData[OverTime],191)="Yes",25,0)</f>
        <v>0</v>
      </c>
      <c r="L199">
        <f>(5-INDEX(tblCleanData[JobSatisfaction],191))*6.25</f>
        <v>12.5</v>
      </c>
      <c r="M199">
        <f>IF(INDEX(tblCleanData[YearsAtCompany],191)&lt;=2,25,IF(INDEX(tblCleanData[YearsAtCompany],191)&lt;=5,15,IF(INDEX(tblCleanData[YearsAtCompany],191)&lt;=10,8,3)))</f>
        <v>3</v>
      </c>
      <c r="N199">
        <f t="shared" si="4"/>
        <v>36</v>
      </c>
      <c r="O199" t="str">
        <f t="shared" si="5"/>
        <v>Medium Risk</v>
      </c>
    </row>
    <row r="200" spans="1:15" x14ac:dyDescent="0.25">
      <c r="A200">
        <f>INDEX(tblCleanData[EmployeeNumber],192)</f>
        <v>260</v>
      </c>
      <c r="B200" t="str">
        <f>IF(INDEX(tblCleanData[Age],192)&lt;30,"Under 30",IF(INDEX(tblCleanData[Age],192)&lt;40,"30-39",IF(INDEX(tblCleanData[Age],192)&lt;50,"40-49","50+")))</f>
        <v>Under 30</v>
      </c>
      <c r="C200" t="str">
        <f>IF(INDEX(tblCleanData[MonthlyIncome],192)&lt;=$B$3,"Low Income",IF(INDEX(tblCleanData[MonthlyIncome],192)&lt;=$B$4,"Medium Income","High Income"))</f>
        <v>High Income</v>
      </c>
      <c r="D200">
        <f>IF(INDEX(tblCleanData[Attrition],192)="Yes",1,0)</f>
        <v>0</v>
      </c>
      <c r="E200">
        <f>IF(INDEX(tblCleanData[OverTime],192)="Yes",1,0)</f>
        <v>0</v>
      </c>
      <c r="F200" t="str">
        <f>CHOOSE(INDEX(tblCleanData[Education],192),"Below College","College","Bachelor","Master","Doctor")</f>
        <v>Bachelor</v>
      </c>
      <c r="G200" t="str">
        <f>IF(INDEX(tblCleanData[YearsAtCompany],192)&lt;=2,"0-2 Years",IF(INDEX(tblCleanData[YearsAtCompany],192)&lt;=5,"3-5 Years",IF(INDEX(tblCleanData[YearsAtCompany],192)&lt;=10,"6-10 Years","10+ Years")))</f>
        <v>6-10 Years</v>
      </c>
      <c r="H200" t="str">
        <f>IF(INDEX(tblCleanData[WorkLifeBalance],192)&lt;=2,"Elevated","Normal")</f>
        <v>Elevated</v>
      </c>
      <c r="I200">
        <f>IF(INDEX(tblCleanData[Age],192)&lt;30,30,IF(INDEX(tblCleanData[Age],192)&lt;40,20,IF(INDEX(tblCleanData[Age],192)&lt;50,10,15)))</f>
        <v>30</v>
      </c>
      <c r="J200">
        <f>IF(INDEX(tblCleanData[MonthlyIncome],192)&lt;=$B$3,25,IF(INDEX(tblCleanData[MonthlyIncome],192)&lt;=$B$4,12,5))</f>
        <v>5</v>
      </c>
      <c r="K200">
        <f>IF(INDEX(tblCleanData[OverTime],192)="Yes",25,0)</f>
        <v>0</v>
      </c>
      <c r="L200">
        <f>(5-INDEX(tblCleanData[JobSatisfaction],192))*6.25</f>
        <v>18.75</v>
      </c>
      <c r="M200">
        <f>IF(INDEX(tblCleanData[YearsAtCompany],192)&lt;=2,25,IF(INDEX(tblCleanData[YearsAtCompany],192)&lt;=5,15,IF(INDEX(tblCleanData[YearsAtCompany],192)&lt;=10,8,3)))</f>
        <v>8</v>
      </c>
      <c r="N200">
        <f t="shared" si="4"/>
        <v>62</v>
      </c>
      <c r="O200" t="str">
        <f t="shared" si="5"/>
        <v>High Risk</v>
      </c>
    </row>
    <row r="201" spans="1:15" x14ac:dyDescent="0.25">
      <c r="A201">
        <f>INDEX(tblCleanData[EmployeeNumber],193)</f>
        <v>261</v>
      </c>
      <c r="B201" t="str">
        <f>IF(INDEX(tblCleanData[Age],193)&lt;30,"Under 30",IF(INDEX(tblCleanData[Age],193)&lt;40,"30-39",IF(INDEX(tblCleanData[Age],193)&lt;50,"40-49","50+")))</f>
        <v>30-39</v>
      </c>
      <c r="C201" t="str">
        <f>IF(INDEX(tblCleanData[MonthlyIncome],193)&lt;=$B$3,"Low Income",IF(INDEX(tblCleanData[MonthlyIncome],193)&lt;=$B$4,"Medium Income","High Income"))</f>
        <v>High Income</v>
      </c>
      <c r="D201">
        <f>IF(INDEX(tblCleanData[Attrition],193)="Yes",1,0)</f>
        <v>1</v>
      </c>
      <c r="E201">
        <f>IF(INDEX(tblCleanData[OverTime],193)="Yes",1,0)</f>
        <v>1</v>
      </c>
      <c r="F201" t="str">
        <f>CHOOSE(INDEX(tblCleanData[Education],193),"Below College","College","Bachelor","Master","Doctor")</f>
        <v>College</v>
      </c>
      <c r="G201" t="str">
        <f>IF(INDEX(tblCleanData[YearsAtCompany],193)&lt;=2,"0-2 Years",IF(INDEX(tblCleanData[YearsAtCompany],193)&lt;=5,"3-5 Years",IF(INDEX(tblCleanData[YearsAtCompany],193)&lt;=10,"6-10 Years","10+ Years")))</f>
        <v>0-2 Years</v>
      </c>
      <c r="H201" t="str">
        <f>IF(INDEX(tblCleanData[WorkLifeBalance],193)&lt;=2,"Elevated","Normal")</f>
        <v>Normal</v>
      </c>
      <c r="I201">
        <f>IF(INDEX(tblCleanData[Age],193)&lt;30,30,IF(INDEX(tblCleanData[Age],193)&lt;40,20,IF(INDEX(tblCleanData[Age],193)&lt;50,10,15)))</f>
        <v>20</v>
      </c>
      <c r="J201">
        <f>IF(INDEX(tblCleanData[MonthlyIncome],193)&lt;=$B$3,25,IF(INDEX(tblCleanData[MonthlyIncome],193)&lt;=$B$4,12,5))</f>
        <v>5</v>
      </c>
      <c r="K201">
        <f>IF(INDEX(tblCleanData[OverTime],193)="Yes",25,0)</f>
        <v>25</v>
      </c>
      <c r="L201">
        <f>(5-INDEX(tblCleanData[JobSatisfaction],193))*6.25</f>
        <v>12.5</v>
      </c>
      <c r="M201">
        <f>IF(INDEX(tblCleanData[YearsAtCompany],193)&lt;=2,25,IF(INDEX(tblCleanData[YearsAtCompany],193)&lt;=5,15,IF(INDEX(tblCleanData[YearsAtCompany],193)&lt;=10,8,3)))</f>
        <v>25</v>
      </c>
      <c r="N201">
        <f t="shared" ref="N201:N264" si="6">ROUND(I201+J201+K201+L201+M201,0)</f>
        <v>88</v>
      </c>
      <c r="O201" t="str">
        <f t="shared" ref="O201:O264" si="7">IF(N201&gt;=55,"High Risk",IF(N201&gt;=35,"Medium Risk","Low Risk"))</f>
        <v>High Risk</v>
      </c>
    </row>
    <row r="202" spans="1:15" x14ac:dyDescent="0.25">
      <c r="A202">
        <f>INDEX(tblCleanData[EmployeeNumber],194)</f>
        <v>262</v>
      </c>
      <c r="B202" t="str">
        <f>IF(INDEX(tblCleanData[Age],194)&lt;30,"Under 30",IF(INDEX(tblCleanData[Age],194)&lt;40,"30-39",IF(INDEX(tblCleanData[Age],194)&lt;50,"40-49","50+")))</f>
        <v>40-49</v>
      </c>
      <c r="C202" t="str">
        <f>IF(INDEX(tblCleanData[MonthlyIncome],194)&lt;=$B$3,"Low Income",IF(INDEX(tblCleanData[MonthlyIncome],194)&lt;=$B$4,"Medium Income","High Income"))</f>
        <v>High Income</v>
      </c>
      <c r="D202">
        <f>IF(INDEX(tblCleanData[Attrition],194)="Yes",1,0)</f>
        <v>0</v>
      </c>
      <c r="E202">
        <f>IF(INDEX(tblCleanData[OverTime],194)="Yes",1,0)</f>
        <v>0</v>
      </c>
      <c r="F202" t="str">
        <f>CHOOSE(INDEX(tblCleanData[Education],194),"Below College","College","Bachelor","Master","Doctor")</f>
        <v>Bachelor</v>
      </c>
      <c r="G202" t="str">
        <f>IF(INDEX(tblCleanData[YearsAtCompany],194)&lt;=2,"0-2 Years",IF(INDEX(tblCleanData[YearsAtCompany],194)&lt;=5,"3-5 Years",IF(INDEX(tblCleanData[YearsAtCompany],194)&lt;=10,"6-10 Years","10+ Years")))</f>
        <v>3-5 Years</v>
      </c>
      <c r="H202" t="str">
        <f>IF(INDEX(tblCleanData[WorkLifeBalance],194)&lt;=2,"Elevated","Normal")</f>
        <v>Normal</v>
      </c>
      <c r="I202">
        <f>IF(INDEX(tblCleanData[Age],194)&lt;30,30,IF(INDEX(tblCleanData[Age],194)&lt;40,20,IF(INDEX(tblCleanData[Age],194)&lt;50,10,15)))</f>
        <v>10</v>
      </c>
      <c r="J202">
        <f>IF(INDEX(tblCleanData[MonthlyIncome],194)&lt;=$B$3,25,IF(INDEX(tblCleanData[MonthlyIncome],194)&lt;=$B$4,12,5))</f>
        <v>5</v>
      </c>
      <c r="K202">
        <f>IF(INDEX(tblCleanData[OverTime],194)="Yes",25,0)</f>
        <v>0</v>
      </c>
      <c r="L202">
        <f>(5-INDEX(tblCleanData[JobSatisfaction],194))*6.25</f>
        <v>6.25</v>
      </c>
      <c r="M202">
        <f>IF(INDEX(tblCleanData[YearsAtCompany],194)&lt;=2,25,IF(INDEX(tblCleanData[YearsAtCompany],194)&lt;=5,15,IF(INDEX(tblCleanData[YearsAtCompany],194)&lt;=10,8,3)))</f>
        <v>15</v>
      </c>
      <c r="N202">
        <f t="shared" si="6"/>
        <v>36</v>
      </c>
      <c r="O202" t="str">
        <f t="shared" si="7"/>
        <v>Medium Risk</v>
      </c>
    </row>
    <row r="203" spans="1:15" x14ac:dyDescent="0.25">
      <c r="A203">
        <f>INDEX(tblCleanData[EmployeeNumber],195)</f>
        <v>264</v>
      </c>
      <c r="B203" t="str">
        <f>IF(INDEX(tblCleanData[Age],195)&lt;30,"Under 30",IF(INDEX(tblCleanData[Age],195)&lt;40,"30-39",IF(INDEX(tblCleanData[Age],195)&lt;50,"40-49","50+")))</f>
        <v>40-49</v>
      </c>
      <c r="C203" t="str">
        <f>IF(INDEX(tblCleanData[MonthlyIncome],195)&lt;=$B$3,"Low Income",IF(INDEX(tblCleanData[MonthlyIncome],195)&lt;=$B$4,"Medium Income","High Income"))</f>
        <v>High Income</v>
      </c>
      <c r="D203">
        <f>IF(INDEX(tblCleanData[Attrition],195)="Yes",1,0)</f>
        <v>0</v>
      </c>
      <c r="E203">
        <f>IF(INDEX(tblCleanData[OverTime],195)="Yes",1,0)</f>
        <v>0</v>
      </c>
      <c r="F203" t="str">
        <f>CHOOSE(INDEX(tblCleanData[Education],195),"Below College","College","Bachelor","Master","Doctor")</f>
        <v>College</v>
      </c>
      <c r="G203" t="str">
        <f>IF(INDEX(tblCleanData[YearsAtCompany],195)&lt;=2,"0-2 Years",IF(INDEX(tblCleanData[YearsAtCompany],195)&lt;=5,"3-5 Years",IF(INDEX(tblCleanData[YearsAtCompany],195)&lt;=10,"6-10 Years","10+ Years")))</f>
        <v>10+ Years</v>
      </c>
      <c r="H203" t="str">
        <f>IF(INDEX(tblCleanData[WorkLifeBalance],195)&lt;=2,"Elevated","Normal")</f>
        <v>Normal</v>
      </c>
      <c r="I203">
        <f>IF(INDEX(tblCleanData[Age],195)&lt;30,30,IF(INDEX(tblCleanData[Age],195)&lt;40,20,IF(INDEX(tblCleanData[Age],195)&lt;50,10,15)))</f>
        <v>10</v>
      </c>
      <c r="J203">
        <f>IF(INDEX(tblCleanData[MonthlyIncome],195)&lt;=$B$3,25,IF(INDEX(tblCleanData[MonthlyIncome],195)&lt;=$B$4,12,5))</f>
        <v>5</v>
      </c>
      <c r="K203">
        <f>IF(INDEX(tblCleanData[OverTime],195)="Yes",25,0)</f>
        <v>0</v>
      </c>
      <c r="L203">
        <f>(5-INDEX(tblCleanData[JobSatisfaction],195))*6.25</f>
        <v>6.25</v>
      </c>
      <c r="M203">
        <f>IF(INDEX(tblCleanData[YearsAtCompany],195)&lt;=2,25,IF(INDEX(tblCleanData[YearsAtCompany],195)&lt;=5,15,IF(INDEX(tblCleanData[YearsAtCompany],195)&lt;=10,8,3)))</f>
        <v>3</v>
      </c>
      <c r="N203">
        <f t="shared" si="6"/>
        <v>24</v>
      </c>
      <c r="O203" t="str">
        <f t="shared" si="7"/>
        <v>Low Risk</v>
      </c>
    </row>
    <row r="204" spans="1:15" x14ac:dyDescent="0.25">
      <c r="A204">
        <f>INDEX(tblCleanData[EmployeeNumber],196)</f>
        <v>267</v>
      </c>
      <c r="B204" t="str">
        <f>IF(INDEX(tblCleanData[Age],196)&lt;30,"Under 30",IF(INDEX(tblCleanData[Age],196)&lt;40,"30-39",IF(INDEX(tblCleanData[Age],196)&lt;50,"40-49","50+")))</f>
        <v>30-39</v>
      </c>
      <c r="C204" t="str">
        <f>IF(INDEX(tblCleanData[MonthlyIncome],196)&lt;=$B$3,"Low Income",IF(INDEX(tblCleanData[MonthlyIncome],196)&lt;=$B$4,"Medium Income","High Income"))</f>
        <v>High Income</v>
      </c>
      <c r="D204">
        <f>IF(INDEX(tblCleanData[Attrition],196)="Yes",1,0)</f>
        <v>0</v>
      </c>
      <c r="E204">
        <f>IF(INDEX(tblCleanData[OverTime],196)="Yes",1,0)</f>
        <v>1</v>
      </c>
      <c r="F204" t="str">
        <f>CHOOSE(INDEX(tblCleanData[Education],196),"Below College","College","Bachelor","Master","Doctor")</f>
        <v>Bachelor</v>
      </c>
      <c r="G204" t="str">
        <f>IF(INDEX(tblCleanData[YearsAtCompany],196)&lt;=2,"0-2 Years",IF(INDEX(tblCleanData[YearsAtCompany],196)&lt;=5,"3-5 Years",IF(INDEX(tblCleanData[YearsAtCompany],196)&lt;=10,"6-10 Years","10+ Years")))</f>
        <v>6-10 Years</v>
      </c>
      <c r="H204" t="str">
        <f>IF(INDEX(tblCleanData[WorkLifeBalance],196)&lt;=2,"Elevated","Normal")</f>
        <v>Elevated</v>
      </c>
      <c r="I204">
        <f>IF(INDEX(tblCleanData[Age],196)&lt;30,30,IF(INDEX(tblCleanData[Age],196)&lt;40,20,IF(INDEX(tblCleanData[Age],196)&lt;50,10,15)))</f>
        <v>20</v>
      </c>
      <c r="J204">
        <f>IF(INDEX(tblCleanData[MonthlyIncome],196)&lt;=$B$3,25,IF(INDEX(tblCleanData[MonthlyIncome],196)&lt;=$B$4,12,5))</f>
        <v>5</v>
      </c>
      <c r="K204">
        <f>IF(INDEX(tblCleanData[OverTime],196)="Yes",25,0)</f>
        <v>25</v>
      </c>
      <c r="L204">
        <f>(5-INDEX(tblCleanData[JobSatisfaction],196))*6.25</f>
        <v>25</v>
      </c>
      <c r="M204">
        <f>IF(INDEX(tblCleanData[YearsAtCompany],196)&lt;=2,25,IF(INDEX(tblCleanData[YearsAtCompany],196)&lt;=5,15,IF(INDEX(tblCleanData[YearsAtCompany],196)&lt;=10,8,3)))</f>
        <v>8</v>
      </c>
      <c r="N204">
        <f t="shared" si="6"/>
        <v>83</v>
      </c>
      <c r="O204" t="str">
        <f t="shared" si="7"/>
        <v>High Risk</v>
      </c>
    </row>
    <row r="205" spans="1:15" x14ac:dyDescent="0.25">
      <c r="A205">
        <f>INDEX(tblCleanData[EmployeeNumber],197)</f>
        <v>269</v>
      </c>
      <c r="B205" t="str">
        <f>IF(INDEX(tblCleanData[Age],197)&lt;30,"Under 30",IF(INDEX(tblCleanData[Age],197)&lt;40,"30-39",IF(INDEX(tblCleanData[Age],197)&lt;50,"40-49","50+")))</f>
        <v>30-39</v>
      </c>
      <c r="C205" t="str">
        <f>IF(INDEX(tblCleanData[MonthlyIncome],197)&lt;=$B$3,"Low Income",IF(INDEX(tblCleanData[MonthlyIncome],197)&lt;=$B$4,"Medium Income","High Income"))</f>
        <v>High Income</v>
      </c>
      <c r="D205">
        <f>IF(INDEX(tblCleanData[Attrition],197)="Yes",1,0)</f>
        <v>0</v>
      </c>
      <c r="E205">
        <f>IF(INDEX(tblCleanData[OverTime],197)="Yes",1,0)</f>
        <v>0</v>
      </c>
      <c r="F205" t="str">
        <f>CHOOSE(INDEX(tblCleanData[Education],197),"Below College","College","Bachelor","Master","Doctor")</f>
        <v>Bachelor</v>
      </c>
      <c r="G205" t="str">
        <f>IF(INDEX(tblCleanData[YearsAtCompany],197)&lt;=2,"0-2 Years",IF(INDEX(tblCleanData[YearsAtCompany],197)&lt;=5,"3-5 Years",IF(INDEX(tblCleanData[YearsAtCompany],197)&lt;=10,"6-10 Years","10+ Years")))</f>
        <v>6-10 Years</v>
      </c>
      <c r="H205" t="str">
        <f>IF(INDEX(tblCleanData[WorkLifeBalance],197)&lt;=2,"Elevated","Normal")</f>
        <v>Normal</v>
      </c>
      <c r="I205">
        <f>IF(INDEX(tblCleanData[Age],197)&lt;30,30,IF(INDEX(tblCleanData[Age],197)&lt;40,20,IF(INDEX(tblCleanData[Age],197)&lt;50,10,15)))</f>
        <v>20</v>
      </c>
      <c r="J205">
        <f>IF(INDEX(tblCleanData[MonthlyIncome],197)&lt;=$B$3,25,IF(INDEX(tblCleanData[MonthlyIncome],197)&lt;=$B$4,12,5))</f>
        <v>5</v>
      </c>
      <c r="K205">
        <f>IF(INDEX(tblCleanData[OverTime],197)="Yes",25,0)</f>
        <v>0</v>
      </c>
      <c r="L205">
        <f>(5-INDEX(tblCleanData[JobSatisfaction],197))*6.25</f>
        <v>18.75</v>
      </c>
      <c r="M205">
        <f>IF(INDEX(tblCleanData[YearsAtCompany],197)&lt;=2,25,IF(INDEX(tblCleanData[YearsAtCompany],197)&lt;=5,15,IF(INDEX(tblCleanData[YearsAtCompany],197)&lt;=10,8,3)))</f>
        <v>8</v>
      </c>
      <c r="N205">
        <f t="shared" si="6"/>
        <v>52</v>
      </c>
      <c r="O205" t="str">
        <f t="shared" si="7"/>
        <v>Medium Risk</v>
      </c>
    </row>
    <row r="206" spans="1:15" x14ac:dyDescent="0.25">
      <c r="A206">
        <f>INDEX(tblCleanData[EmployeeNumber],198)</f>
        <v>270</v>
      </c>
      <c r="B206" t="str">
        <f>IF(INDEX(tblCleanData[Age],198)&lt;30,"Under 30",IF(INDEX(tblCleanData[Age],198)&lt;40,"30-39",IF(INDEX(tblCleanData[Age],198)&lt;50,"40-49","50+")))</f>
        <v>40-49</v>
      </c>
      <c r="C206" t="str">
        <f>IF(INDEX(tblCleanData[MonthlyIncome],198)&lt;=$B$3,"Low Income",IF(INDEX(tblCleanData[MonthlyIncome],198)&lt;=$B$4,"Medium Income","High Income"))</f>
        <v>High Income</v>
      </c>
      <c r="D206">
        <f>IF(INDEX(tblCleanData[Attrition],198)="Yes",1,0)</f>
        <v>0</v>
      </c>
      <c r="E206">
        <f>IF(INDEX(tblCleanData[OverTime],198)="Yes",1,0)</f>
        <v>0</v>
      </c>
      <c r="F206" t="str">
        <f>CHOOSE(INDEX(tblCleanData[Education],198),"Below College","College","Bachelor","Master","Doctor")</f>
        <v>College</v>
      </c>
      <c r="G206" t="str">
        <f>IF(INDEX(tblCleanData[YearsAtCompany],198)&lt;=2,"0-2 Years",IF(INDEX(tblCleanData[YearsAtCompany],198)&lt;=5,"3-5 Years",IF(INDEX(tblCleanData[YearsAtCompany],198)&lt;=10,"6-10 Years","10+ Years")))</f>
        <v>3-5 Years</v>
      </c>
      <c r="H206" t="str">
        <f>IF(INDEX(tblCleanData[WorkLifeBalance],198)&lt;=2,"Elevated","Normal")</f>
        <v>Normal</v>
      </c>
      <c r="I206">
        <f>IF(INDEX(tblCleanData[Age],198)&lt;30,30,IF(INDEX(tblCleanData[Age],198)&lt;40,20,IF(INDEX(tblCleanData[Age],198)&lt;50,10,15)))</f>
        <v>10</v>
      </c>
      <c r="J206">
        <f>IF(INDEX(tblCleanData[MonthlyIncome],198)&lt;=$B$3,25,IF(INDEX(tblCleanData[MonthlyIncome],198)&lt;=$B$4,12,5))</f>
        <v>5</v>
      </c>
      <c r="K206">
        <f>IF(INDEX(tblCleanData[OverTime],198)="Yes",25,0)</f>
        <v>0</v>
      </c>
      <c r="L206">
        <f>(5-INDEX(tblCleanData[JobSatisfaction],198))*6.25</f>
        <v>12.5</v>
      </c>
      <c r="M206">
        <f>IF(INDEX(tblCleanData[YearsAtCompany],198)&lt;=2,25,IF(INDEX(tblCleanData[YearsAtCompany],198)&lt;=5,15,IF(INDEX(tblCleanData[YearsAtCompany],198)&lt;=10,8,3)))</f>
        <v>15</v>
      </c>
      <c r="N206">
        <f t="shared" si="6"/>
        <v>43</v>
      </c>
      <c r="O206" t="str">
        <f t="shared" si="7"/>
        <v>Medium Risk</v>
      </c>
    </row>
    <row r="207" spans="1:15" x14ac:dyDescent="0.25">
      <c r="A207">
        <f>INDEX(tblCleanData[EmployeeNumber],199)</f>
        <v>271</v>
      </c>
      <c r="B207" t="str">
        <f>IF(INDEX(tblCleanData[Age],199)&lt;30,"Under 30",IF(INDEX(tblCleanData[Age],199)&lt;40,"30-39",IF(INDEX(tblCleanData[Age],199)&lt;50,"40-49","50+")))</f>
        <v>30-39</v>
      </c>
      <c r="C207" t="str">
        <f>IF(INDEX(tblCleanData[MonthlyIncome],199)&lt;=$B$3,"Low Income",IF(INDEX(tblCleanData[MonthlyIncome],199)&lt;=$B$4,"Medium Income","High Income"))</f>
        <v>High Income</v>
      </c>
      <c r="D207">
        <f>IF(INDEX(tblCleanData[Attrition],199)="Yes",1,0)</f>
        <v>0</v>
      </c>
      <c r="E207">
        <f>IF(INDEX(tblCleanData[OverTime],199)="Yes",1,0)</f>
        <v>0</v>
      </c>
      <c r="F207" t="str">
        <f>CHOOSE(INDEX(tblCleanData[Education],199),"Below College","College","Bachelor","Master","Doctor")</f>
        <v>Master</v>
      </c>
      <c r="G207" t="str">
        <f>IF(INDEX(tblCleanData[YearsAtCompany],199)&lt;=2,"0-2 Years",IF(INDEX(tblCleanData[YearsAtCompany],199)&lt;=5,"3-5 Years",IF(INDEX(tblCleanData[YearsAtCompany],199)&lt;=10,"6-10 Years","10+ Years")))</f>
        <v>0-2 Years</v>
      </c>
      <c r="H207" t="str">
        <f>IF(INDEX(tblCleanData[WorkLifeBalance],199)&lt;=2,"Elevated","Normal")</f>
        <v>Normal</v>
      </c>
      <c r="I207">
        <f>IF(INDEX(tblCleanData[Age],199)&lt;30,30,IF(INDEX(tblCleanData[Age],199)&lt;40,20,IF(INDEX(tblCleanData[Age],199)&lt;50,10,15)))</f>
        <v>20</v>
      </c>
      <c r="J207">
        <f>IF(INDEX(tblCleanData[MonthlyIncome],199)&lt;=$B$3,25,IF(INDEX(tblCleanData[MonthlyIncome],199)&lt;=$B$4,12,5))</f>
        <v>5</v>
      </c>
      <c r="K207">
        <f>IF(INDEX(tblCleanData[OverTime],199)="Yes",25,0)</f>
        <v>0</v>
      </c>
      <c r="L207">
        <f>(5-INDEX(tblCleanData[JobSatisfaction],199))*6.25</f>
        <v>12.5</v>
      </c>
      <c r="M207">
        <f>IF(INDEX(tblCleanData[YearsAtCompany],199)&lt;=2,25,IF(INDEX(tblCleanData[YearsAtCompany],199)&lt;=5,15,IF(INDEX(tblCleanData[YearsAtCompany],199)&lt;=10,8,3)))</f>
        <v>25</v>
      </c>
      <c r="N207">
        <f t="shared" si="6"/>
        <v>63</v>
      </c>
      <c r="O207" t="str">
        <f t="shared" si="7"/>
        <v>High Risk</v>
      </c>
    </row>
    <row r="208" spans="1:15" x14ac:dyDescent="0.25">
      <c r="A208">
        <f>INDEX(tblCleanData[EmployeeNumber],200)</f>
        <v>273</v>
      </c>
      <c r="B208" t="str">
        <f>IF(INDEX(tblCleanData[Age],200)&lt;30,"Under 30",IF(INDEX(tblCleanData[Age],200)&lt;40,"30-39",IF(INDEX(tblCleanData[Age],200)&lt;50,"40-49","50+")))</f>
        <v>30-39</v>
      </c>
      <c r="C208" t="str">
        <f>IF(INDEX(tblCleanData[MonthlyIncome],200)&lt;=$B$3,"Low Income",IF(INDEX(tblCleanData[MonthlyIncome],200)&lt;=$B$4,"Medium Income","High Income"))</f>
        <v>High Income</v>
      </c>
      <c r="D208">
        <f>IF(INDEX(tblCleanData[Attrition],200)="Yes",1,0)</f>
        <v>0</v>
      </c>
      <c r="E208">
        <f>IF(INDEX(tblCleanData[OverTime],200)="Yes",1,0)</f>
        <v>0</v>
      </c>
      <c r="F208" t="str">
        <f>CHOOSE(INDEX(tblCleanData[Education],200),"Below College","College","Bachelor","Master","Doctor")</f>
        <v>Bachelor</v>
      </c>
      <c r="G208" t="str">
        <f>IF(INDEX(tblCleanData[YearsAtCompany],200)&lt;=2,"0-2 Years",IF(INDEX(tblCleanData[YearsAtCompany],200)&lt;=5,"3-5 Years",IF(INDEX(tblCleanData[YearsAtCompany],200)&lt;=10,"6-10 Years","10+ Years")))</f>
        <v>6-10 Years</v>
      </c>
      <c r="H208" t="str">
        <f>IF(INDEX(tblCleanData[WorkLifeBalance],200)&lt;=2,"Elevated","Normal")</f>
        <v>Elevated</v>
      </c>
      <c r="I208">
        <f>IF(INDEX(tblCleanData[Age],200)&lt;30,30,IF(INDEX(tblCleanData[Age],200)&lt;40,20,IF(INDEX(tblCleanData[Age],200)&lt;50,10,15)))</f>
        <v>20</v>
      </c>
      <c r="J208">
        <f>IF(INDEX(tblCleanData[MonthlyIncome],200)&lt;=$B$3,25,IF(INDEX(tblCleanData[MonthlyIncome],200)&lt;=$B$4,12,5))</f>
        <v>5</v>
      </c>
      <c r="K208">
        <f>IF(INDEX(tblCleanData[OverTime],200)="Yes",25,0)</f>
        <v>0</v>
      </c>
      <c r="L208">
        <f>(5-INDEX(tblCleanData[JobSatisfaction],200))*6.25</f>
        <v>6.25</v>
      </c>
      <c r="M208">
        <f>IF(INDEX(tblCleanData[YearsAtCompany],200)&lt;=2,25,IF(INDEX(tblCleanData[YearsAtCompany],200)&lt;=5,15,IF(INDEX(tblCleanData[YearsAtCompany],200)&lt;=10,8,3)))</f>
        <v>8</v>
      </c>
      <c r="N208">
        <f t="shared" si="6"/>
        <v>39</v>
      </c>
      <c r="O208" t="str">
        <f t="shared" si="7"/>
        <v>Medium Risk</v>
      </c>
    </row>
    <row r="209" spans="1:15" x14ac:dyDescent="0.25">
      <c r="A209">
        <f>INDEX(tblCleanData[EmployeeNumber],201)</f>
        <v>274</v>
      </c>
      <c r="B209" t="str">
        <f>IF(INDEX(tblCleanData[Age],201)&lt;30,"Under 30",IF(INDEX(tblCleanData[Age],201)&lt;40,"30-39",IF(INDEX(tblCleanData[Age],201)&lt;50,"40-49","50+")))</f>
        <v>Under 30</v>
      </c>
      <c r="C209" t="str">
        <f>IF(INDEX(tblCleanData[MonthlyIncome],201)&lt;=$B$3,"Low Income",IF(INDEX(tblCleanData[MonthlyIncome],201)&lt;=$B$4,"Medium Income","High Income"))</f>
        <v>High Income</v>
      </c>
      <c r="D209">
        <f>IF(INDEX(tblCleanData[Attrition],201)="Yes",1,0)</f>
        <v>0</v>
      </c>
      <c r="E209">
        <f>IF(INDEX(tblCleanData[OverTime],201)="Yes",1,0)</f>
        <v>0</v>
      </c>
      <c r="F209" t="str">
        <f>CHOOSE(INDEX(tblCleanData[Education],201),"Below College","College","Bachelor","Master","Doctor")</f>
        <v>Below College</v>
      </c>
      <c r="G209" t="str">
        <f>IF(INDEX(tblCleanData[YearsAtCompany],201)&lt;=2,"0-2 Years",IF(INDEX(tblCleanData[YearsAtCompany],201)&lt;=5,"3-5 Years",IF(INDEX(tblCleanData[YearsAtCompany],201)&lt;=10,"6-10 Years","10+ Years")))</f>
        <v>0-2 Years</v>
      </c>
      <c r="H209" t="str">
        <f>IF(INDEX(tblCleanData[WorkLifeBalance],201)&lt;=2,"Elevated","Normal")</f>
        <v>Normal</v>
      </c>
      <c r="I209">
        <f>IF(INDEX(tblCleanData[Age],201)&lt;30,30,IF(INDEX(tblCleanData[Age],201)&lt;40,20,IF(INDEX(tblCleanData[Age],201)&lt;50,10,15)))</f>
        <v>30</v>
      </c>
      <c r="J209">
        <f>IF(INDEX(tblCleanData[MonthlyIncome],201)&lt;=$B$3,25,IF(INDEX(tblCleanData[MonthlyIncome],201)&lt;=$B$4,12,5))</f>
        <v>5</v>
      </c>
      <c r="K209">
        <f>IF(INDEX(tblCleanData[OverTime],201)="Yes",25,0)</f>
        <v>0</v>
      </c>
      <c r="L209">
        <f>(5-INDEX(tblCleanData[JobSatisfaction],201))*6.25</f>
        <v>25</v>
      </c>
      <c r="M209">
        <f>IF(INDEX(tblCleanData[YearsAtCompany],201)&lt;=2,25,IF(INDEX(tblCleanData[YearsAtCompany],201)&lt;=5,15,IF(INDEX(tblCleanData[YearsAtCompany],201)&lt;=10,8,3)))</f>
        <v>25</v>
      </c>
      <c r="N209">
        <f t="shared" si="6"/>
        <v>85</v>
      </c>
      <c r="O209" t="str">
        <f t="shared" si="7"/>
        <v>High Risk</v>
      </c>
    </row>
    <row r="210" spans="1:15" x14ac:dyDescent="0.25">
      <c r="A210">
        <f>INDEX(tblCleanData[EmployeeNumber],202)</f>
        <v>275</v>
      </c>
      <c r="B210" t="str">
        <f>IF(INDEX(tblCleanData[Age],202)&lt;30,"Under 30",IF(INDEX(tblCleanData[Age],202)&lt;40,"30-39",IF(INDEX(tblCleanData[Age],202)&lt;50,"40-49","50+")))</f>
        <v>40-49</v>
      </c>
      <c r="C210" t="str">
        <f>IF(INDEX(tblCleanData[MonthlyIncome],202)&lt;=$B$3,"Low Income",IF(INDEX(tblCleanData[MonthlyIncome],202)&lt;=$B$4,"Medium Income","High Income"))</f>
        <v>High Income</v>
      </c>
      <c r="D210">
        <f>IF(INDEX(tblCleanData[Attrition],202)="Yes",1,0)</f>
        <v>0</v>
      </c>
      <c r="E210">
        <f>IF(INDEX(tblCleanData[OverTime],202)="Yes",1,0)</f>
        <v>1</v>
      </c>
      <c r="F210" t="str">
        <f>CHOOSE(INDEX(tblCleanData[Education],202),"Below College","College","Bachelor","Master","Doctor")</f>
        <v>Master</v>
      </c>
      <c r="G210" t="str">
        <f>IF(INDEX(tblCleanData[YearsAtCompany],202)&lt;=2,"0-2 Years",IF(INDEX(tblCleanData[YearsAtCompany],202)&lt;=5,"3-5 Years",IF(INDEX(tblCleanData[YearsAtCompany],202)&lt;=10,"6-10 Years","10+ Years")))</f>
        <v>6-10 Years</v>
      </c>
      <c r="H210" t="str">
        <f>IF(INDEX(tblCleanData[WorkLifeBalance],202)&lt;=2,"Elevated","Normal")</f>
        <v>Normal</v>
      </c>
      <c r="I210">
        <f>IF(INDEX(tblCleanData[Age],202)&lt;30,30,IF(INDEX(tblCleanData[Age],202)&lt;40,20,IF(INDEX(tblCleanData[Age],202)&lt;50,10,15)))</f>
        <v>10</v>
      </c>
      <c r="J210">
        <f>IF(INDEX(tblCleanData[MonthlyIncome],202)&lt;=$B$3,25,IF(INDEX(tblCleanData[MonthlyIncome],202)&lt;=$B$4,12,5))</f>
        <v>5</v>
      </c>
      <c r="K210">
        <f>IF(INDEX(tblCleanData[OverTime],202)="Yes",25,0)</f>
        <v>25</v>
      </c>
      <c r="L210">
        <f>(5-INDEX(tblCleanData[JobSatisfaction],202))*6.25</f>
        <v>6.25</v>
      </c>
      <c r="M210">
        <f>IF(INDEX(tblCleanData[YearsAtCompany],202)&lt;=2,25,IF(INDEX(tblCleanData[YearsAtCompany],202)&lt;=5,15,IF(INDEX(tblCleanData[YearsAtCompany],202)&lt;=10,8,3)))</f>
        <v>8</v>
      </c>
      <c r="N210">
        <f t="shared" si="6"/>
        <v>54</v>
      </c>
      <c r="O210" t="str">
        <f t="shared" si="7"/>
        <v>Medium Risk</v>
      </c>
    </row>
    <row r="211" spans="1:15" x14ac:dyDescent="0.25">
      <c r="A211">
        <f>INDEX(tblCleanData[EmployeeNumber],203)</f>
        <v>277</v>
      </c>
      <c r="B211" t="str">
        <f>IF(INDEX(tblCleanData[Age],203)&lt;30,"Under 30",IF(INDEX(tblCleanData[Age],203)&lt;40,"30-39",IF(INDEX(tblCleanData[Age],203)&lt;50,"40-49","50+")))</f>
        <v>30-39</v>
      </c>
      <c r="C211" t="str">
        <f>IF(INDEX(tblCleanData[MonthlyIncome],203)&lt;=$B$3,"Low Income",IF(INDEX(tblCleanData[MonthlyIncome],203)&lt;=$B$4,"Medium Income","High Income"))</f>
        <v>High Income</v>
      </c>
      <c r="D211">
        <f>IF(INDEX(tblCleanData[Attrition],203)="Yes",1,0)</f>
        <v>0</v>
      </c>
      <c r="E211">
        <f>IF(INDEX(tblCleanData[OverTime],203)="Yes",1,0)</f>
        <v>1</v>
      </c>
      <c r="F211" t="str">
        <f>CHOOSE(INDEX(tblCleanData[Education],203),"Below College","College","Bachelor","Master","Doctor")</f>
        <v>Master</v>
      </c>
      <c r="G211" t="str">
        <f>IF(INDEX(tblCleanData[YearsAtCompany],203)&lt;=2,"0-2 Years",IF(INDEX(tblCleanData[YearsAtCompany],203)&lt;=5,"3-5 Years",IF(INDEX(tblCleanData[YearsAtCompany],203)&lt;=10,"6-10 Years","10+ Years")))</f>
        <v>3-5 Years</v>
      </c>
      <c r="H211" t="str">
        <f>IF(INDEX(tblCleanData[WorkLifeBalance],203)&lt;=2,"Elevated","Normal")</f>
        <v>Normal</v>
      </c>
      <c r="I211">
        <f>IF(INDEX(tblCleanData[Age],203)&lt;30,30,IF(INDEX(tblCleanData[Age],203)&lt;40,20,IF(INDEX(tblCleanData[Age],203)&lt;50,10,15)))</f>
        <v>20</v>
      </c>
      <c r="J211">
        <f>IF(INDEX(tblCleanData[MonthlyIncome],203)&lt;=$B$3,25,IF(INDEX(tblCleanData[MonthlyIncome],203)&lt;=$B$4,12,5))</f>
        <v>5</v>
      </c>
      <c r="K211">
        <f>IF(INDEX(tblCleanData[OverTime],203)="Yes",25,0)</f>
        <v>25</v>
      </c>
      <c r="L211">
        <f>(5-INDEX(tblCleanData[JobSatisfaction],203))*6.25</f>
        <v>12.5</v>
      </c>
      <c r="M211">
        <f>IF(INDEX(tblCleanData[YearsAtCompany],203)&lt;=2,25,IF(INDEX(tblCleanData[YearsAtCompany],203)&lt;=5,15,IF(INDEX(tblCleanData[YearsAtCompany],203)&lt;=10,8,3)))</f>
        <v>15</v>
      </c>
      <c r="N211">
        <f t="shared" si="6"/>
        <v>78</v>
      </c>
      <c r="O211" t="str">
        <f t="shared" si="7"/>
        <v>High Risk</v>
      </c>
    </row>
    <row r="212" spans="1:15" x14ac:dyDescent="0.25">
      <c r="A212">
        <f>INDEX(tblCleanData[EmployeeNumber],204)</f>
        <v>281</v>
      </c>
      <c r="B212" t="str">
        <f>IF(INDEX(tblCleanData[Age],204)&lt;30,"Under 30",IF(INDEX(tblCleanData[Age],204)&lt;40,"30-39",IF(INDEX(tblCleanData[Age],204)&lt;50,"40-49","50+")))</f>
        <v>40-49</v>
      </c>
      <c r="C212" t="str">
        <f>IF(INDEX(tblCleanData[MonthlyIncome],204)&lt;=$B$3,"Low Income",IF(INDEX(tblCleanData[MonthlyIncome],204)&lt;=$B$4,"Medium Income","High Income"))</f>
        <v>High Income</v>
      </c>
      <c r="D212">
        <f>IF(INDEX(tblCleanData[Attrition],204)="Yes",1,0)</f>
        <v>0</v>
      </c>
      <c r="E212">
        <f>IF(INDEX(tblCleanData[OverTime],204)="Yes",1,0)</f>
        <v>1</v>
      </c>
      <c r="F212" t="str">
        <f>CHOOSE(INDEX(tblCleanData[Education],204),"Below College","College","Bachelor","Master","Doctor")</f>
        <v>College</v>
      </c>
      <c r="G212" t="str">
        <f>IF(INDEX(tblCleanData[YearsAtCompany],204)&lt;=2,"0-2 Years",IF(INDEX(tblCleanData[YearsAtCompany],204)&lt;=5,"3-5 Years",IF(INDEX(tblCleanData[YearsAtCompany],204)&lt;=10,"6-10 Years","10+ Years")))</f>
        <v>6-10 Years</v>
      </c>
      <c r="H212" t="str">
        <f>IF(INDEX(tblCleanData[WorkLifeBalance],204)&lt;=2,"Elevated","Normal")</f>
        <v>Normal</v>
      </c>
      <c r="I212">
        <f>IF(INDEX(tblCleanData[Age],204)&lt;30,30,IF(INDEX(tblCleanData[Age],204)&lt;40,20,IF(INDEX(tblCleanData[Age],204)&lt;50,10,15)))</f>
        <v>10</v>
      </c>
      <c r="J212">
        <f>IF(INDEX(tblCleanData[MonthlyIncome],204)&lt;=$B$3,25,IF(INDEX(tblCleanData[MonthlyIncome],204)&lt;=$B$4,12,5))</f>
        <v>5</v>
      </c>
      <c r="K212">
        <f>IF(INDEX(tblCleanData[OverTime],204)="Yes",25,0)</f>
        <v>25</v>
      </c>
      <c r="L212">
        <f>(5-INDEX(tblCleanData[JobSatisfaction],204))*6.25</f>
        <v>6.25</v>
      </c>
      <c r="M212">
        <f>IF(INDEX(tblCleanData[YearsAtCompany],204)&lt;=2,25,IF(INDEX(tblCleanData[YearsAtCompany],204)&lt;=5,15,IF(INDEX(tblCleanData[YearsAtCompany],204)&lt;=10,8,3)))</f>
        <v>8</v>
      </c>
      <c r="N212">
        <f t="shared" si="6"/>
        <v>54</v>
      </c>
      <c r="O212" t="str">
        <f t="shared" si="7"/>
        <v>Medium Risk</v>
      </c>
    </row>
    <row r="213" spans="1:15" x14ac:dyDescent="0.25">
      <c r="A213">
        <f>INDEX(tblCleanData[EmployeeNumber],205)</f>
        <v>282</v>
      </c>
      <c r="B213" t="str">
        <f>IF(INDEX(tblCleanData[Age],205)&lt;30,"Under 30",IF(INDEX(tblCleanData[Age],205)&lt;40,"30-39",IF(INDEX(tblCleanData[Age],205)&lt;50,"40-49","50+")))</f>
        <v>30-39</v>
      </c>
      <c r="C213" t="str">
        <f>IF(INDEX(tblCleanData[MonthlyIncome],205)&lt;=$B$3,"Low Income",IF(INDEX(tblCleanData[MonthlyIncome],205)&lt;=$B$4,"Medium Income","High Income"))</f>
        <v>High Income</v>
      </c>
      <c r="D213">
        <f>IF(INDEX(tblCleanData[Attrition],205)="Yes",1,0)</f>
        <v>1</v>
      </c>
      <c r="E213">
        <f>IF(INDEX(tblCleanData[OverTime],205)="Yes",1,0)</f>
        <v>1</v>
      </c>
      <c r="F213" t="str">
        <f>CHOOSE(INDEX(tblCleanData[Education],205),"Below College","College","Bachelor","Master","Doctor")</f>
        <v>Below College</v>
      </c>
      <c r="G213" t="str">
        <f>IF(INDEX(tblCleanData[YearsAtCompany],205)&lt;=2,"0-2 Years",IF(INDEX(tblCleanData[YearsAtCompany],205)&lt;=5,"3-5 Years",IF(INDEX(tblCleanData[YearsAtCompany],205)&lt;=10,"6-10 Years","10+ Years")))</f>
        <v>0-2 Years</v>
      </c>
      <c r="H213" t="str">
        <f>IF(INDEX(tblCleanData[WorkLifeBalance],205)&lt;=2,"Elevated","Normal")</f>
        <v>Normal</v>
      </c>
      <c r="I213">
        <f>IF(INDEX(tblCleanData[Age],205)&lt;30,30,IF(INDEX(tblCleanData[Age],205)&lt;40,20,IF(INDEX(tblCleanData[Age],205)&lt;50,10,15)))</f>
        <v>20</v>
      </c>
      <c r="J213">
        <f>IF(INDEX(tblCleanData[MonthlyIncome],205)&lt;=$B$3,25,IF(INDEX(tblCleanData[MonthlyIncome],205)&lt;=$B$4,12,5))</f>
        <v>5</v>
      </c>
      <c r="K213">
        <f>IF(INDEX(tblCleanData[OverTime],205)="Yes",25,0)</f>
        <v>25</v>
      </c>
      <c r="L213">
        <f>(5-INDEX(tblCleanData[JobSatisfaction],205))*6.25</f>
        <v>25</v>
      </c>
      <c r="M213">
        <f>IF(INDEX(tblCleanData[YearsAtCompany],205)&lt;=2,25,IF(INDEX(tblCleanData[YearsAtCompany],205)&lt;=5,15,IF(INDEX(tblCleanData[YearsAtCompany],205)&lt;=10,8,3)))</f>
        <v>25</v>
      </c>
      <c r="N213">
        <f t="shared" si="6"/>
        <v>100</v>
      </c>
      <c r="O213" t="str">
        <f t="shared" si="7"/>
        <v>High Risk</v>
      </c>
    </row>
    <row r="214" spans="1:15" x14ac:dyDescent="0.25">
      <c r="A214">
        <f>INDEX(tblCleanData[EmployeeNumber],206)</f>
        <v>283</v>
      </c>
      <c r="B214" t="str">
        <f>IF(INDEX(tblCleanData[Age],206)&lt;30,"Under 30",IF(INDEX(tblCleanData[Age],206)&lt;40,"30-39",IF(INDEX(tblCleanData[Age],206)&lt;50,"40-49","50+")))</f>
        <v>Under 30</v>
      </c>
      <c r="C214" t="str">
        <f>IF(INDEX(tblCleanData[MonthlyIncome],206)&lt;=$B$3,"Low Income",IF(INDEX(tblCleanData[MonthlyIncome],206)&lt;=$B$4,"Medium Income","High Income"))</f>
        <v>High Income</v>
      </c>
      <c r="D214">
        <f>IF(INDEX(tblCleanData[Attrition],206)="Yes",1,0)</f>
        <v>1</v>
      </c>
      <c r="E214">
        <f>IF(INDEX(tblCleanData[OverTime],206)="Yes",1,0)</f>
        <v>0</v>
      </c>
      <c r="F214" t="str">
        <f>CHOOSE(INDEX(tblCleanData[Education],206),"Below College","College","Bachelor","Master","Doctor")</f>
        <v>Bachelor</v>
      </c>
      <c r="G214" t="str">
        <f>IF(INDEX(tblCleanData[YearsAtCompany],206)&lt;=2,"0-2 Years",IF(INDEX(tblCleanData[YearsAtCompany],206)&lt;=5,"3-5 Years",IF(INDEX(tblCleanData[YearsAtCompany],206)&lt;=10,"6-10 Years","10+ Years")))</f>
        <v>6-10 Years</v>
      </c>
      <c r="H214" t="str">
        <f>IF(INDEX(tblCleanData[WorkLifeBalance],206)&lt;=2,"Elevated","Normal")</f>
        <v>Elevated</v>
      </c>
      <c r="I214">
        <f>IF(INDEX(tblCleanData[Age],206)&lt;30,30,IF(INDEX(tblCleanData[Age],206)&lt;40,20,IF(INDEX(tblCleanData[Age],206)&lt;50,10,15)))</f>
        <v>30</v>
      </c>
      <c r="J214">
        <f>IF(INDEX(tblCleanData[MonthlyIncome],206)&lt;=$B$3,25,IF(INDEX(tblCleanData[MonthlyIncome],206)&lt;=$B$4,12,5))</f>
        <v>5</v>
      </c>
      <c r="K214">
        <f>IF(INDEX(tblCleanData[OverTime],206)="Yes",25,0)</f>
        <v>0</v>
      </c>
      <c r="L214">
        <f>(5-INDEX(tblCleanData[JobSatisfaction],206))*6.25</f>
        <v>6.25</v>
      </c>
      <c r="M214">
        <f>IF(INDEX(tblCleanData[YearsAtCompany],206)&lt;=2,25,IF(INDEX(tblCleanData[YearsAtCompany],206)&lt;=5,15,IF(INDEX(tblCleanData[YearsAtCompany],206)&lt;=10,8,3)))</f>
        <v>8</v>
      </c>
      <c r="N214">
        <f t="shared" si="6"/>
        <v>49</v>
      </c>
      <c r="O214" t="str">
        <f t="shared" si="7"/>
        <v>Medium Risk</v>
      </c>
    </row>
    <row r="215" spans="1:15" x14ac:dyDescent="0.25">
      <c r="A215">
        <f>INDEX(tblCleanData[EmployeeNumber],207)</f>
        <v>284</v>
      </c>
      <c r="B215" t="str">
        <f>IF(INDEX(tblCleanData[Age],207)&lt;30,"Under 30",IF(INDEX(tblCleanData[Age],207)&lt;40,"30-39",IF(INDEX(tblCleanData[Age],207)&lt;50,"40-49","50+")))</f>
        <v>Under 30</v>
      </c>
      <c r="C215" t="str">
        <f>IF(INDEX(tblCleanData[MonthlyIncome],207)&lt;=$B$3,"Low Income",IF(INDEX(tblCleanData[MonthlyIncome],207)&lt;=$B$4,"Medium Income","High Income"))</f>
        <v>High Income</v>
      </c>
      <c r="D215">
        <f>IF(INDEX(tblCleanData[Attrition],207)="Yes",1,0)</f>
        <v>0</v>
      </c>
      <c r="E215">
        <f>IF(INDEX(tblCleanData[OverTime],207)="Yes",1,0)</f>
        <v>1</v>
      </c>
      <c r="F215" t="str">
        <f>CHOOSE(INDEX(tblCleanData[Education],207),"Below College","College","Bachelor","Master","Doctor")</f>
        <v>Bachelor</v>
      </c>
      <c r="G215" t="str">
        <f>IF(INDEX(tblCleanData[YearsAtCompany],207)&lt;=2,"0-2 Years",IF(INDEX(tblCleanData[YearsAtCompany],207)&lt;=5,"3-5 Years",IF(INDEX(tblCleanData[YearsAtCompany],207)&lt;=10,"6-10 Years","10+ Years")))</f>
        <v>3-5 Years</v>
      </c>
      <c r="H215" t="str">
        <f>IF(INDEX(tblCleanData[WorkLifeBalance],207)&lt;=2,"Elevated","Normal")</f>
        <v>Elevated</v>
      </c>
      <c r="I215">
        <f>IF(INDEX(tblCleanData[Age],207)&lt;30,30,IF(INDEX(tblCleanData[Age],207)&lt;40,20,IF(INDEX(tblCleanData[Age],207)&lt;50,10,15)))</f>
        <v>30</v>
      </c>
      <c r="J215">
        <f>IF(INDEX(tblCleanData[MonthlyIncome],207)&lt;=$B$3,25,IF(INDEX(tblCleanData[MonthlyIncome],207)&lt;=$B$4,12,5))</f>
        <v>5</v>
      </c>
      <c r="K215">
        <f>IF(INDEX(tblCleanData[OverTime],207)="Yes",25,0)</f>
        <v>25</v>
      </c>
      <c r="L215">
        <f>(5-INDEX(tblCleanData[JobSatisfaction],207))*6.25</f>
        <v>18.75</v>
      </c>
      <c r="M215">
        <f>IF(INDEX(tblCleanData[YearsAtCompany],207)&lt;=2,25,IF(INDEX(tblCleanData[YearsAtCompany],207)&lt;=5,15,IF(INDEX(tblCleanData[YearsAtCompany],207)&lt;=10,8,3)))</f>
        <v>15</v>
      </c>
      <c r="N215">
        <f t="shared" si="6"/>
        <v>94</v>
      </c>
      <c r="O215" t="str">
        <f t="shared" si="7"/>
        <v>High Risk</v>
      </c>
    </row>
    <row r="216" spans="1:15" x14ac:dyDescent="0.25">
      <c r="A216">
        <f>INDEX(tblCleanData[EmployeeNumber],208)</f>
        <v>286</v>
      </c>
      <c r="B216" t="str">
        <f>IF(INDEX(tblCleanData[Age],208)&lt;30,"Under 30",IF(INDEX(tblCleanData[Age],208)&lt;40,"30-39",IF(INDEX(tblCleanData[Age],208)&lt;50,"40-49","50+")))</f>
        <v>30-39</v>
      </c>
      <c r="C216" t="str">
        <f>IF(INDEX(tblCleanData[MonthlyIncome],208)&lt;=$B$3,"Low Income",IF(INDEX(tblCleanData[MonthlyIncome],208)&lt;=$B$4,"Medium Income","High Income"))</f>
        <v>High Income</v>
      </c>
      <c r="D216">
        <f>IF(INDEX(tblCleanData[Attrition],208)="Yes",1,0)</f>
        <v>0</v>
      </c>
      <c r="E216">
        <f>IF(INDEX(tblCleanData[OverTime],208)="Yes",1,0)</f>
        <v>0</v>
      </c>
      <c r="F216" t="str">
        <f>CHOOSE(INDEX(tblCleanData[Education],208),"Below College","College","Bachelor","Master","Doctor")</f>
        <v>Below College</v>
      </c>
      <c r="G216" t="str">
        <f>IF(INDEX(tblCleanData[YearsAtCompany],208)&lt;=2,"0-2 Years",IF(INDEX(tblCleanData[YearsAtCompany],208)&lt;=5,"3-5 Years",IF(INDEX(tblCleanData[YearsAtCompany],208)&lt;=10,"6-10 Years","10+ Years")))</f>
        <v>6-10 Years</v>
      </c>
      <c r="H216" t="str">
        <f>IF(INDEX(tblCleanData[WorkLifeBalance],208)&lt;=2,"Elevated","Normal")</f>
        <v>Normal</v>
      </c>
      <c r="I216">
        <f>IF(INDEX(tblCleanData[Age],208)&lt;30,30,IF(INDEX(tblCleanData[Age],208)&lt;40,20,IF(INDEX(tblCleanData[Age],208)&lt;50,10,15)))</f>
        <v>20</v>
      </c>
      <c r="J216">
        <f>IF(INDEX(tblCleanData[MonthlyIncome],208)&lt;=$B$3,25,IF(INDEX(tblCleanData[MonthlyIncome],208)&lt;=$B$4,12,5))</f>
        <v>5</v>
      </c>
      <c r="K216">
        <f>IF(INDEX(tblCleanData[OverTime],208)="Yes",25,0)</f>
        <v>0</v>
      </c>
      <c r="L216">
        <f>(5-INDEX(tblCleanData[JobSatisfaction],208))*6.25</f>
        <v>6.25</v>
      </c>
      <c r="M216">
        <f>IF(INDEX(tblCleanData[YearsAtCompany],208)&lt;=2,25,IF(INDEX(tblCleanData[YearsAtCompany],208)&lt;=5,15,IF(INDEX(tblCleanData[YearsAtCompany],208)&lt;=10,8,3)))</f>
        <v>8</v>
      </c>
      <c r="N216">
        <f t="shared" si="6"/>
        <v>39</v>
      </c>
      <c r="O216" t="str">
        <f t="shared" si="7"/>
        <v>Medium Risk</v>
      </c>
    </row>
    <row r="217" spans="1:15" x14ac:dyDescent="0.25">
      <c r="A217">
        <f>INDEX(tblCleanData[EmployeeNumber],209)</f>
        <v>287</v>
      </c>
      <c r="B217" t="str">
        <f>IF(INDEX(tblCleanData[Age],209)&lt;30,"Under 30",IF(INDEX(tblCleanData[Age],209)&lt;40,"30-39",IF(INDEX(tblCleanData[Age],209)&lt;50,"40-49","50+")))</f>
        <v>40-49</v>
      </c>
      <c r="C217" t="str">
        <f>IF(INDEX(tblCleanData[MonthlyIncome],209)&lt;=$B$3,"Low Income",IF(INDEX(tblCleanData[MonthlyIncome],209)&lt;=$B$4,"Medium Income","High Income"))</f>
        <v>High Income</v>
      </c>
      <c r="D217">
        <f>IF(INDEX(tblCleanData[Attrition],209)="Yes",1,0)</f>
        <v>0</v>
      </c>
      <c r="E217">
        <f>IF(INDEX(tblCleanData[OverTime],209)="Yes",1,0)</f>
        <v>0</v>
      </c>
      <c r="F217" t="str">
        <f>CHOOSE(INDEX(tblCleanData[Education],209),"Below College","College","Bachelor","Master","Doctor")</f>
        <v>Doctor</v>
      </c>
      <c r="G217" t="str">
        <f>IF(INDEX(tblCleanData[YearsAtCompany],209)&lt;=2,"0-2 Years",IF(INDEX(tblCleanData[YearsAtCompany],209)&lt;=5,"3-5 Years",IF(INDEX(tblCleanData[YearsAtCompany],209)&lt;=10,"6-10 Years","10+ Years")))</f>
        <v>3-5 Years</v>
      </c>
      <c r="H217" t="str">
        <f>IF(INDEX(tblCleanData[WorkLifeBalance],209)&lt;=2,"Elevated","Normal")</f>
        <v>Elevated</v>
      </c>
      <c r="I217">
        <f>IF(INDEX(tblCleanData[Age],209)&lt;30,30,IF(INDEX(tblCleanData[Age],209)&lt;40,20,IF(INDEX(tblCleanData[Age],209)&lt;50,10,15)))</f>
        <v>10</v>
      </c>
      <c r="J217">
        <f>IF(INDEX(tblCleanData[MonthlyIncome],209)&lt;=$B$3,25,IF(INDEX(tblCleanData[MonthlyIncome],209)&lt;=$B$4,12,5))</f>
        <v>5</v>
      </c>
      <c r="K217">
        <f>IF(INDEX(tblCleanData[OverTime],209)="Yes",25,0)</f>
        <v>0</v>
      </c>
      <c r="L217">
        <f>(5-INDEX(tblCleanData[JobSatisfaction],209))*6.25</f>
        <v>6.25</v>
      </c>
      <c r="M217">
        <f>IF(INDEX(tblCleanData[YearsAtCompany],209)&lt;=2,25,IF(INDEX(tblCleanData[YearsAtCompany],209)&lt;=5,15,IF(INDEX(tblCleanData[YearsAtCompany],209)&lt;=10,8,3)))</f>
        <v>15</v>
      </c>
      <c r="N217">
        <f t="shared" si="6"/>
        <v>36</v>
      </c>
      <c r="O217" t="str">
        <f t="shared" si="7"/>
        <v>Medium Risk</v>
      </c>
    </row>
    <row r="218" spans="1:15" x14ac:dyDescent="0.25">
      <c r="A218">
        <f>INDEX(tblCleanData[EmployeeNumber],210)</f>
        <v>288</v>
      </c>
      <c r="B218" t="str">
        <f>IF(INDEX(tblCleanData[Age],210)&lt;30,"Under 30",IF(INDEX(tblCleanData[Age],210)&lt;40,"30-39",IF(INDEX(tblCleanData[Age],210)&lt;50,"40-49","50+")))</f>
        <v>40-49</v>
      </c>
      <c r="C218" t="str">
        <f>IF(INDEX(tblCleanData[MonthlyIncome],210)&lt;=$B$3,"Low Income",IF(INDEX(tblCleanData[MonthlyIncome],210)&lt;=$B$4,"Medium Income","High Income"))</f>
        <v>High Income</v>
      </c>
      <c r="D218">
        <f>IF(INDEX(tblCleanData[Attrition],210)="Yes",1,0)</f>
        <v>0</v>
      </c>
      <c r="E218">
        <f>IF(INDEX(tblCleanData[OverTime],210)="Yes",1,0)</f>
        <v>0</v>
      </c>
      <c r="F218" t="str">
        <f>CHOOSE(INDEX(tblCleanData[Education],210),"Below College","College","Bachelor","Master","Doctor")</f>
        <v>Master</v>
      </c>
      <c r="G218" t="str">
        <f>IF(INDEX(tblCleanData[YearsAtCompany],210)&lt;=2,"0-2 Years",IF(INDEX(tblCleanData[YearsAtCompany],210)&lt;=5,"3-5 Years",IF(INDEX(tblCleanData[YearsAtCompany],210)&lt;=10,"6-10 Years","10+ Years")))</f>
        <v>3-5 Years</v>
      </c>
      <c r="H218" t="str">
        <f>IF(INDEX(tblCleanData[WorkLifeBalance],210)&lt;=2,"Elevated","Normal")</f>
        <v>Normal</v>
      </c>
      <c r="I218">
        <f>IF(INDEX(tblCleanData[Age],210)&lt;30,30,IF(INDEX(tblCleanData[Age],210)&lt;40,20,IF(INDEX(tblCleanData[Age],210)&lt;50,10,15)))</f>
        <v>10</v>
      </c>
      <c r="J218">
        <f>IF(INDEX(tblCleanData[MonthlyIncome],210)&lt;=$B$3,25,IF(INDEX(tblCleanData[MonthlyIncome],210)&lt;=$B$4,12,5))</f>
        <v>5</v>
      </c>
      <c r="K218">
        <f>IF(INDEX(tblCleanData[OverTime],210)="Yes",25,0)</f>
        <v>0</v>
      </c>
      <c r="L218">
        <f>(5-INDEX(tblCleanData[JobSatisfaction],210))*6.25</f>
        <v>25</v>
      </c>
      <c r="M218">
        <f>IF(INDEX(tblCleanData[YearsAtCompany],210)&lt;=2,25,IF(INDEX(tblCleanData[YearsAtCompany],210)&lt;=5,15,IF(INDEX(tblCleanData[YearsAtCompany],210)&lt;=10,8,3)))</f>
        <v>15</v>
      </c>
      <c r="N218">
        <f t="shared" si="6"/>
        <v>55</v>
      </c>
      <c r="O218" t="str">
        <f t="shared" si="7"/>
        <v>High Risk</v>
      </c>
    </row>
    <row r="219" spans="1:15" x14ac:dyDescent="0.25">
      <c r="A219">
        <f>INDEX(tblCleanData[EmployeeNumber],211)</f>
        <v>291</v>
      </c>
      <c r="B219" t="str">
        <f>IF(INDEX(tblCleanData[Age],211)&lt;30,"Under 30",IF(INDEX(tblCleanData[Age],211)&lt;40,"30-39",IF(INDEX(tblCleanData[Age],211)&lt;50,"40-49","50+")))</f>
        <v>30-39</v>
      </c>
      <c r="C219" t="str">
        <f>IF(INDEX(tblCleanData[MonthlyIncome],211)&lt;=$B$3,"Low Income",IF(INDEX(tblCleanData[MonthlyIncome],211)&lt;=$B$4,"Medium Income","High Income"))</f>
        <v>High Income</v>
      </c>
      <c r="D219">
        <f>IF(INDEX(tblCleanData[Attrition],211)="Yes",1,0)</f>
        <v>1</v>
      </c>
      <c r="E219">
        <f>IF(INDEX(tblCleanData[OverTime],211)="Yes",1,0)</f>
        <v>0</v>
      </c>
      <c r="F219" t="str">
        <f>CHOOSE(INDEX(tblCleanData[Education],211),"Below College","College","Bachelor","Master","Doctor")</f>
        <v>Master</v>
      </c>
      <c r="G219" t="str">
        <f>IF(INDEX(tblCleanData[YearsAtCompany],211)&lt;=2,"0-2 Years",IF(INDEX(tblCleanData[YearsAtCompany],211)&lt;=5,"3-5 Years",IF(INDEX(tblCleanData[YearsAtCompany],211)&lt;=10,"6-10 Years","10+ Years")))</f>
        <v>10+ Years</v>
      </c>
      <c r="H219" t="str">
        <f>IF(INDEX(tblCleanData[WorkLifeBalance],211)&lt;=2,"Elevated","Normal")</f>
        <v>Elevated</v>
      </c>
      <c r="I219">
        <f>IF(INDEX(tblCleanData[Age],211)&lt;30,30,IF(INDEX(tblCleanData[Age],211)&lt;40,20,IF(INDEX(tblCleanData[Age],211)&lt;50,10,15)))</f>
        <v>20</v>
      </c>
      <c r="J219">
        <f>IF(INDEX(tblCleanData[MonthlyIncome],211)&lt;=$B$3,25,IF(INDEX(tblCleanData[MonthlyIncome],211)&lt;=$B$4,12,5))</f>
        <v>5</v>
      </c>
      <c r="K219">
        <f>IF(INDEX(tblCleanData[OverTime],211)="Yes",25,0)</f>
        <v>0</v>
      </c>
      <c r="L219">
        <f>(5-INDEX(tblCleanData[JobSatisfaction],211))*6.25</f>
        <v>6.25</v>
      </c>
      <c r="M219">
        <f>IF(INDEX(tblCleanData[YearsAtCompany],211)&lt;=2,25,IF(INDEX(tblCleanData[YearsAtCompany],211)&lt;=5,15,IF(INDEX(tblCleanData[YearsAtCompany],211)&lt;=10,8,3)))</f>
        <v>3</v>
      </c>
      <c r="N219">
        <f t="shared" si="6"/>
        <v>34</v>
      </c>
      <c r="O219" t="str">
        <f t="shared" si="7"/>
        <v>Low Risk</v>
      </c>
    </row>
    <row r="220" spans="1:15" x14ac:dyDescent="0.25">
      <c r="A220">
        <f>INDEX(tblCleanData[EmployeeNumber],212)</f>
        <v>292</v>
      </c>
      <c r="B220" t="str">
        <f>IF(INDEX(tblCleanData[Age],212)&lt;30,"Under 30",IF(INDEX(tblCleanData[Age],212)&lt;40,"30-39",IF(INDEX(tblCleanData[Age],212)&lt;50,"40-49","50+")))</f>
        <v>30-39</v>
      </c>
      <c r="C220" t="str">
        <f>IF(INDEX(tblCleanData[MonthlyIncome],212)&lt;=$B$3,"Low Income",IF(INDEX(tblCleanData[MonthlyIncome],212)&lt;=$B$4,"Medium Income","High Income"))</f>
        <v>High Income</v>
      </c>
      <c r="D220">
        <f>IF(INDEX(tblCleanData[Attrition],212)="Yes",1,0)</f>
        <v>0</v>
      </c>
      <c r="E220">
        <f>IF(INDEX(tblCleanData[OverTime],212)="Yes",1,0)</f>
        <v>0</v>
      </c>
      <c r="F220" t="str">
        <f>CHOOSE(INDEX(tblCleanData[Education],212),"Below College","College","Bachelor","Master","Doctor")</f>
        <v>Below College</v>
      </c>
      <c r="G220" t="str">
        <f>IF(INDEX(tblCleanData[YearsAtCompany],212)&lt;=2,"0-2 Years",IF(INDEX(tblCleanData[YearsAtCompany],212)&lt;=5,"3-5 Years",IF(INDEX(tblCleanData[YearsAtCompany],212)&lt;=10,"6-10 Years","10+ Years")))</f>
        <v>10+ Years</v>
      </c>
      <c r="H220" t="str">
        <f>IF(INDEX(tblCleanData[WorkLifeBalance],212)&lt;=2,"Elevated","Normal")</f>
        <v>Normal</v>
      </c>
      <c r="I220">
        <f>IF(INDEX(tblCleanData[Age],212)&lt;30,30,IF(INDEX(tblCleanData[Age],212)&lt;40,20,IF(INDEX(tblCleanData[Age],212)&lt;50,10,15)))</f>
        <v>20</v>
      </c>
      <c r="J220">
        <f>IF(INDEX(tblCleanData[MonthlyIncome],212)&lt;=$B$3,25,IF(INDEX(tblCleanData[MonthlyIncome],212)&lt;=$B$4,12,5))</f>
        <v>5</v>
      </c>
      <c r="K220">
        <f>IF(INDEX(tblCleanData[OverTime],212)="Yes",25,0)</f>
        <v>0</v>
      </c>
      <c r="L220">
        <f>(5-INDEX(tblCleanData[JobSatisfaction],212))*6.25</f>
        <v>12.5</v>
      </c>
      <c r="M220">
        <f>IF(INDEX(tblCleanData[YearsAtCompany],212)&lt;=2,25,IF(INDEX(tblCleanData[YearsAtCompany],212)&lt;=5,15,IF(INDEX(tblCleanData[YearsAtCompany],212)&lt;=10,8,3)))</f>
        <v>3</v>
      </c>
      <c r="N220">
        <f t="shared" si="6"/>
        <v>41</v>
      </c>
      <c r="O220" t="str">
        <f t="shared" si="7"/>
        <v>Medium Risk</v>
      </c>
    </row>
    <row r="221" spans="1:15" x14ac:dyDescent="0.25">
      <c r="A221">
        <f>INDEX(tblCleanData[EmployeeNumber],213)</f>
        <v>293</v>
      </c>
      <c r="B221" t="str">
        <f>IF(INDEX(tblCleanData[Age],213)&lt;30,"Under 30",IF(INDEX(tblCleanData[Age],213)&lt;40,"30-39",IF(INDEX(tblCleanData[Age],213)&lt;50,"40-49","50+")))</f>
        <v>Under 30</v>
      </c>
      <c r="C221" t="str">
        <f>IF(INDEX(tblCleanData[MonthlyIncome],213)&lt;=$B$3,"Low Income",IF(INDEX(tblCleanData[MonthlyIncome],213)&lt;=$B$4,"Medium Income","High Income"))</f>
        <v>High Income</v>
      </c>
      <c r="D221">
        <f>IF(INDEX(tblCleanData[Attrition],213)="Yes",1,0)</f>
        <v>0</v>
      </c>
      <c r="E221">
        <f>IF(INDEX(tblCleanData[OverTime],213)="Yes",1,0)</f>
        <v>0</v>
      </c>
      <c r="F221" t="str">
        <f>CHOOSE(INDEX(tblCleanData[Education],213),"Below College","College","Bachelor","Master","Doctor")</f>
        <v>Bachelor</v>
      </c>
      <c r="G221" t="str">
        <f>IF(INDEX(tblCleanData[YearsAtCompany],213)&lt;=2,"0-2 Years",IF(INDEX(tblCleanData[YearsAtCompany],213)&lt;=5,"3-5 Years",IF(INDEX(tblCleanData[YearsAtCompany],213)&lt;=10,"6-10 Years","10+ Years")))</f>
        <v>6-10 Years</v>
      </c>
      <c r="H221" t="str">
        <f>IF(INDEX(tblCleanData[WorkLifeBalance],213)&lt;=2,"Elevated","Normal")</f>
        <v>Normal</v>
      </c>
      <c r="I221">
        <f>IF(INDEX(tblCleanData[Age],213)&lt;30,30,IF(INDEX(tblCleanData[Age],213)&lt;40,20,IF(INDEX(tblCleanData[Age],213)&lt;50,10,15)))</f>
        <v>30</v>
      </c>
      <c r="J221">
        <f>IF(INDEX(tblCleanData[MonthlyIncome],213)&lt;=$B$3,25,IF(INDEX(tblCleanData[MonthlyIncome],213)&lt;=$B$4,12,5))</f>
        <v>5</v>
      </c>
      <c r="K221">
        <f>IF(INDEX(tblCleanData[OverTime],213)="Yes",25,0)</f>
        <v>0</v>
      </c>
      <c r="L221">
        <f>(5-INDEX(tblCleanData[JobSatisfaction],213))*6.25</f>
        <v>12.5</v>
      </c>
      <c r="M221">
        <f>IF(INDEX(tblCleanData[YearsAtCompany],213)&lt;=2,25,IF(INDEX(tblCleanData[YearsAtCompany],213)&lt;=5,15,IF(INDEX(tblCleanData[YearsAtCompany],213)&lt;=10,8,3)))</f>
        <v>8</v>
      </c>
      <c r="N221">
        <f t="shared" si="6"/>
        <v>56</v>
      </c>
      <c r="O221" t="str">
        <f t="shared" si="7"/>
        <v>High Risk</v>
      </c>
    </row>
    <row r="222" spans="1:15" x14ac:dyDescent="0.25">
      <c r="A222">
        <f>INDEX(tblCleanData[EmployeeNumber],214)</f>
        <v>296</v>
      </c>
      <c r="B222" t="str">
        <f>IF(INDEX(tblCleanData[Age],214)&lt;30,"Under 30",IF(INDEX(tblCleanData[Age],214)&lt;40,"30-39",IF(INDEX(tblCleanData[Age],214)&lt;50,"40-49","50+")))</f>
        <v>50+</v>
      </c>
      <c r="C222" t="str">
        <f>IF(INDEX(tblCleanData[MonthlyIncome],214)&lt;=$B$3,"Low Income",IF(INDEX(tblCleanData[MonthlyIncome],214)&lt;=$B$4,"Medium Income","High Income"))</f>
        <v>High Income</v>
      </c>
      <c r="D222">
        <f>IF(INDEX(tblCleanData[Attrition],214)="Yes",1,0)</f>
        <v>0</v>
      </c>
      <c r="E222">
        <f>IF(INDEX(tblCleanData[OverTime],214)="Yes",1,0)</f>
        <v>0</v>
      </c>
      <c r="F222" t="str">
        <f>CHOOSE(INDEX(tblCleanData[Education],214),"Below College","College","Bachelor","Master","Doctor")</f>
        <v>Master</v>
      </c>
      <c r="G222" t="str">
        <f>IF(INDEX(tblCleanData[YearsAtCompany],214)&lt;=2,"0-2 Years",IF(INDEX(tblCleanData[YearsAtCompany],214)&lt;=5,"3-5 Years",IF(INDEX(tblCleanData[YearsAtCompany],214)&lt;=10,"6-10 Years","10+ Years")))</f>
        <v>6-10 Years</v>
      </c>
      <c r="H222" t="str">
        <f>IF(INDEX(tblCleanData[WorkLifeBalance],214)&lt;=2,"Elevated","Normal")</f>
        <v>Elevated</v>
      </c>
      <c r="I222">
        <f>IF(INDEX(tblCleanData[Age],214)&lt;30,30,IF(INDEX(tblCleanData[Age],214)&lt;40,20,IF(INDEX(tblCleanData[Age],214)&lt;50,10,15)))</f>
        <v>15</v>
      </c>
      <c r="J222">
        <f>IF(INDEX(tblCleanData[MonthlyIncome],214)&lt;=$B$3,25,IF(INDEX(tblCleanData[MonthlyIncome],214)&lt;=$B$4,12,5))</f>
        <v>5</v>
      </c>
      <c r="K222">
        <f>IF(INDEX(tblCleanData[OverTime],214)="Yes",25,0)</f>
        <v>0</v>
      </c>
      <c r="L222">
        <f>(5-INDEX(tblCleanData[JobSatisfaction],214))*6.25</f>
        <v>18.75</v>
      </c>
      <c r="M222">
        <f>IF(INDEX(tblCleanData[YearsAtCompany],214)&lt;=2,25,IF(INDEX(tblCleanData[YearsAtCompany],214)&lt;=5,15,IF(INDEX(tblCleanData[YearsAtCompany],214)&lt;=10,8,3)))</f>
        <v>8</v>
      </c>
      <c r="N222">
        <f t="shared" si="6"/>
        <v>47</v>
      </c>
      <c r="O222" t="str">
        <f t="shared" si="7"/>
        <v>Medium Risk</v>
      </c>
    </row>
    <row r="223" spans="1:15" x14ac:dyDescent="0.25">
      <c r="A223">
        <f>INDEX(tblCleanData[EmployeeNumber],215)</f>
        <v>297</v>
      </c>
      <c r="B223" t="str">
        <f>IF(INDEX(tblCleanData[Age],215)&lt;30,"Under 30",IF(INDEX(tblCleanData[Age],215)&lt;40,"30-39",IF(INDEX(tblCleanData[Age],215)&lt;50,"40-49","50+")))</f>
        <v>30-39</v>
      </c>
      <c r="C223" t="str">
        <f>IF(INDEX(tblCleanData[MonthlyIncome],215)&lt;=$B$3,"Low Income",IF(INDEX(tblCleanData[MonthlyIncome],215)&lt;=$B$4,"Medium Income","High Income"))</f>
        <v>High Income</v>
      </c>
      <c r="D223">
        <f>IF(INDEX(tblCleanData[Attrition],215)="Yes",1,0)</f>
        <v>1</v>
      </c>
      <c r="E223">
        <f>IF(INDEX(tblCleanData[OverTime],215)="Yes",1,0)</f>
        <v>1</v>
      </c>
      <c r="F223" t="str">
        <f>CHOOSE(INDEX(tblCleanData[Education],215),"Below College","College","Bachelor","Master","Doctor")</f>
        <v>Bachelor</v>
      </c>
      <c r="G223" t="str">
        <f>IF(INDEX(tblCleanData[YearsAtCompany],215)&lt;=2,"0-2 Years",IF(INDEX(tblCleanData[YearsAtCompany],215)&lt;=5,"3-5 Years",IF(INDEX(tblCleanData[YearsAtCompany],215)&lt;=10,"6-10 Years","10+ Years")))</f>
        <v>3-5 Years</v>
      </c>
      <c r="H223" t="str">
        <f>IF(INDEX(tblCleanData[WorkLifeBalance],215)&lt;=2,"Elevated","Normal")</f>
        <v>Normal</v>
      </c>
      <c r="I223">
        <f>IF(INDEX(tblCleanData[Age],215)&lt;30,30,IF(INDEX(tblCleanData[Age],215)&lt;40,20,IF(INDEX(tblCleanData[Age],215)&lt;50,10,15)))</f>
        <v>20</v>
      </c>
      <c r="J223">
        <f>IF(INDEX(tblCleanData[MonthlyIncome],215)&lt;=$B$3,25,IF(INDEX(tblCleanData[MonthlyIncome],215)&lt;=$B$4,12,5))</f>
        <v>5</v>
      </c>
      <c r="K223">
        <f>IF(INDEX(tblCleanData[OverTime],215)="Yes",25,0)</f>
        <v>25</v>
      </c>
      <c r="L223">
        <f>(5-INDEX(tblCleanData[JobSatisfaction],215))*6.25</f>
        <v>25</v>
      </c>
      <c r="M223">
        <f>IF(INDEX(tblCleanData[YearsAtCompany],215)&lt;=2,25,IF(INDEX(tblCleanData[YearsAtCompany],215)&lt;=5,15,IF(INDEX(tblCleanData[YearsAtCompany],215)&lt;=10,8,3)))</f>
        <v>15</v>
      </c>
      <c r="N223">
        <f t="shared" si="6"/>
        <v>90</v>
      </c>
      <c r="O223" t="str">
        <f t="shared" si="7"/>
        <v>High Risk</v>
      </c>
    </row>
    <row r="224" spans="1:15" x14ac:dyDescent="0.25">
      <c r="A224">
        <f>INDEX(tblCleanData[EmployeeNumber],216)</f>
        <v>298</v>
      </c>
      <c r="B224" t="str">
        <f>IF(INDEX(tblCleanData[Age],216)&lt;30,"Under 30",IF(INDEX(tblCleanData[Age],216)&lt;40,"30-39",IF(INDEX(tblCleanData[Age],216)&lt;50,"40-49","50+")))</f>
        <v>40-49</v>
      </c>
      <c r="C224" t="str">
        <f>IF(INDEX(tblCleanData[MonthlyIncome],216)&lt;=$B$3,"Low Income",IF(INDEX(tblCleanData[MonthlyIncome],216)&lt;=$B$4,"Medium Income","High Income"))</f>
        <v>High Income</v>
      </c>
      <c r="D224">
        <f>IF(INDEX(tblCleanData[Attrition],216)="Yes",1,0)</f>
        <v>0</v>
      </c>
      <c r="E224">
        <f>IF(INDEX(tblCleanData[OverTime],216)="Yes",1,0)</f>
        <v>1</v>
      </c>
      <c r="F224" t="str">
        <f>CHOOSE(INDEX(tblCleanData[Education],216),"Below College","College","Bachelor","Master","Doctor")</f>
        <v>Bachelor</v>
      </c>
      <c r="G224" t="str">
        <f>IF(INDEX(tblCleanData[YearsAtCompany],216)&lt;=2,"0-2 Years",IF(INDEX(tblCleanData[YearsAtCompany],216)&lt;=5,"3-5 Years",IF(INDEX(tblCleanData[YearsAtCompany],216)&lt;=10,"6-10 Years","10+ Years")))</f>
        <v>0-2 Years</v>
      </c>
      <c r="H224" t="str">
        <f>IF(INDEX(tblCleanData[WorkLifeBalance],216)&lt;=2,"Elevated","Normal")</f>
        <v>Normal</v>
      </c>
      <c r="I224">
        <f>IF(INDEX(tblCleanData[Age],216)&lt;30,30,IF(INDEX(tblCleanData[Age],216)&lt;40,20,IF(INDEX(tblCleanData[Age],216)&lt;50,10,15)))</f>
        <v>10</v>
      </c>
      <c r="J224">
        <f>IF(INDEX(tblCleanData[MonthlyIncome],216)&lt;=$B$3,25,IF(INDEX(tblCleanData[MonthlyIncome],216)&lt;=$B$4,12,5))</f>
        <v>5</v>
      </c>
      <c r="K224">
        <f>IF(INDEX(tblCleanData[OverTime],216)="Yes",25,0)</f>
        <v>25</v>
      </c>
      <c r="L224">
        <f>(5-INDEX(tblCleanData[JobSatisfaction],216))*6.25</f>
        <v>6.25</v>
      </c>
      <c r="M224">
        <f>IF(INDEX(tblCleanData[YearsAtCompany],216)&lt;=2,25,IF(INDEX(tblCleanData[YearsAtCompany],216)&lt;=5,15,IF(INDEX(tblCleanData[YearsAtCompany],216)&lt;=10,8,3)))</f>
        <v>25</v>
      </c>
      <c r="N224">
        <f t="shared" si="6"/>
        <v>71</v>
      </c>
      <c r="O224" t="str">
        <f t="shared" si="7"/>
        <v>High Risk</v>
      </c>
    </row>
    <row r="225" spans="1:15" x14ac:dyDescent="0.25">
      <c r="A225">
        <f>INDEX(tblCleanData[EmployeeNumber],217)</f>
        <v>299</v>
      </c>
      <c r="B225" t="str">
        <f>IF(INDEX(tblCleanData[Age],217)&lt;30,"Under 30",IF(INDEX(tblCleanData[Age],217)&lt;40,"30-39",IF(INDEX(tblCleanData[Age],217)&lt;50,"40-49","50+")))</f>
        <v>30-39</v>
      </c>
      <c r="C225" t="str">
        <f>IF(INDEX(tblCleanData[MonthlyIncome],217)&lt;=$B$3,"Low Income",IF(INDEX(tblCleanData[MonthlyIncome],217)&lt;=$B$4,"Medium Income","High Income"))</f>
        <v>High Income</v>
      </c>
      <c r="D225">
        <f>IF(INDEX(tblCleanData[Attrition],217)="Yes",1,0)</f>
        <v>1</v>
      </c>
      <c r="E225">
        <f>IF(INDEX(tblCleanData[OverTime],217)="Yes",1,0)</f>
        <v>0</v>
      </c>
      <c r="F225" t="str">
        <f>CHOOSE(INDEX(tblCleanData[Education],217),"Below College","College","Bachelor","Master","Doctor")</f>
        <v>Master</v>
      </c>
      <c r="G225" t="str">
        <f>IF(INDEX(tblCleanData[YearsAtCompany],217)&lt;=2,"0-2 Years",IF(INDEX(tblCleanData[YearsAtCompany],217)&lt;=5,"3-5 Years",IF(INDEX(tblCleanData[YearsAtCompany],217)&lt;=10,"6-10 Years","10+ Years")))</f>
        <v>6-10 Years</v>
      </c>
      <c r="H225" t="str">
        <f>IF(INDEX(tblCleanData[WorkLifeBalance],217)&lt;=2,"Elevated","Normal")</f>
        <v>Elevated</v>
      </c>
      <c r="I225">
        <f>IF(INDEX(tblCleanData[Age],217)&lt;30,30,IF(INDEX(tblCleanData[Age],217)&lt;40,20,IF(INDEX(tblCleanData[Age],217)&lt;50,10,15)))</f>
        <v>20</v>
      </c>
      <c r="J225">
        <f>IF(INDEX(tblCleanData[MonthlyIncome],217)&lt;=$B$3,25,IF(INDEX(tblCleanData[MonthlyIncome],217)&lt;=$B$4,12,5))</f>
        <v>5</v>
      </c>
      <c r="K225">
        <f>IF(INDEX(tblCleanData[OverTime],217)="Yes",25,0)</f>
        <v>0</v>
      </c>
      <c r="L225">
        <f>(5-INDEX(tblCleanData[JobSatisfaction],217))*6.25</f>
        <v>25</v>
      </c>
      <c r="M225">
        <f>IF(INDEX(tblCleanData[YearsAtCompany],217)&lt;=2,25,IF(INDEX(tblCleanData[YearsAtCompany],217)&lt;=5,15,IF(INDEX(tblCleanData[YearsAtCompany],217)&lt;=10,8,3)))</f>
        <v>8</v>
      </c>
      <c r="N225">
        <f t="shared" si="6"/>
        <v>58</v>
      </c>
      <c r="O225" t="str">
        <f t="shared" si="7"/>
        <v>High Risk</v>
      </c>
    </row>
    <row r="226" spans="1:15" x14ac:dyDescent="0.25">
      <c r="A226">
        <f>INDEX(tblCleanData[EmployeeNumber],218)</f>
        <v>300</v>
      </c>
      <c r="B226" t="str">
        <f>IF(INDEX(tblCleanData[Age],218)&lt;30,"Under 30",IF(INDEX(tblCleanData[Age],218)&lt;40,"30-39",IF(INDEX(tblCleanData[Age],218)&lt;50,"40-49","50+")))</f>
        <v>Under 30</v>
      </c>
      <c r="C226" t="str">
        <f>IF(INDEX(tblCleanData[MonthlyIncome],218)&lt;=$B$3,"Low Income",IF(INDEX(tblCleanData[MonthlyIncome],218)&lt;=$B$4,"Medium Income","High Income"))</f>
        <v>High Income</v>
      </c>
      <c r="D226">
        <f>IF(INDEX(tblCleanData[Attrition],218)="Yes",1,0)</f>
        <v>1</v>
      </c>
      <c r="E226">
        <f>IF(INDEX(tblCleanData[OverTime],218)="Yes",1,0)</f>
        <v>0</v>
      </c>
      <c r="F226" t="str">
        <f>CHOOSE(INDEX(tblCleanData[Education],218),"Below College","College","Bachelor","Master","Doctor")</f>
        <v>Bachelor</v>
      </c>
      <c r="G226" t="str">
        <f>IF(INDEX(tblCleanData[YearsAtCompany],218)&lt;=2,"0-2 Years",IF(INDEX(tblCleanData[YearsAtCompany],218)&lt;=5,"3-5 Years",IF(INDEX(tblCleanData[YearsAtCompany],218)&lt;=10,"6-10 Years","10+ Years")))</f>
        <v>6-10 Years</v>
      </c>
      <c r="H226" t="str">
        <f>IF(INDEX(tblCleanData[WorkLifeBalance],218)&lt;=2,"Elevated","Normal")</f>
        <v>Elevated</v>
      </c>
      <c r="I226">
        <f>IF(INDEX(tblCleanData[Age],218)&lt;30,30,IF(INDEX(tblCleanData[Age],218)&lt;40,20,IF(INDEX(tblCleanData[Age],218)&lt;50,10,15)))</f>
        <v>30</v>
      </c>
      <c r="J226">
        <f>IF(INDEX(tblCleanData[MonthlyIncome],218)&lt;=$B$3,25,IF(INDEX(tblCleanData[MonthlyIncome],218)&lt;=$B$4,12,5))</f>
        <v>5</v>
      </c>
      <c r="K226">
        <f>IF(INDEX(tblCleanData[OverTime],218)="Yes",25,0)</f>
        <v>0</v>
      </c>
      <c r="L226">
        <f>(5-INDEX(tblCleanData[JobSatisfaction],218))*6.25</f>
        <v>12.5</v>
      </c>
      <c r="M226">
        <f>IF(INDEX(tblCleanData[YearsAtCompany],218)&lt;=2,25,IF(INDEX(tblCleanData[YearsAtCompany],218)&lt;=5,15,IF(INDEX(tblCleanData[YearsAtCompany],218)&lt;=10,8,3)))</f>
        <v>8</v>
      </c>
      <c r="N226">
        <f t="shared" si="6"/>
        <v>56</v>
      </c>
      <c r="O226" t="str">
        <f t="shared" si="7"/>
        <v>High Risk</v>
      </c>
    </row>
    <row r="227" spans="1:15" x14ac:dyDescent="0.25">
      <c r="A227">
        <f>INDEX(tblCleanData[EmployeeNumber],219)</f>
        <v>302</v>
      </c>
      <c r="B227" t="str">
        <f>IF(INDEX(tblCleanData[Age],219)&lt;30,"Under 30",IF(INDEX(tblCleanData[Age],219)&lt;40,"30-39",IF(INDEX(tblCleanData[Age],219)&lt;50,"40-49","50+")))</f>
        <v>40-49</v>
      </c>
      <c r="C227" t="str">
        <f>IF(INDEX(tblCleanData[MonthlyIncome],219)&lt;=$B$3,"Low Income",IF(INDEX(tblCleanData[MonthlyIncome],219)&lt;=$B$4,"Medium Income","High Income"))</f>
        <v>High Income</v>
      </c>
      <c r="D227">
        <f>IF(INDEX(tblCleanData[Attrition],219)="Yes",1,0)</f>
        <v>0</v>
      </c>
      <c r="E227">
        <f>IF(INDEX(tblCleanData[OverTime],219)="Yes",1,0)</f>
        <v>0</v>
      </c>
      <c r="F227" t="str">
        <f>CHOOSE(INDEX(tblCleanData[Education],219),"Below College","College","Bachelor","Master","Doctor")</f>
        <v>Bachelor</v>
      </c>
      <c r="G227" t="str">
        <f>IF(INDEX(tblCleanData[YearsAtCompany],219)&lt;=2,"0-2 Years",IF(INDEX(tblCleanData[YearsAtCompany],219)&lt;=5,"3-5 Years",IF(INDEX(tblCleanData[YearsAtCompany],219)&lt;=10,"6-10 Years","10+ Years")))</f>
        <v>10+ Years</v>
      </c>
      <c r="H227" t="str">
        <f>IF(INDEX(tblCleanData[WorkLifeBalance],219)&lt;=2,"Elevated","Normal")</f>
        <v>Normal</v>
      </c>
      <c r="I227">
        <f>IF(INDEX(tblCleanData[Age],219)&lt;30,30,IF(INDEX(tblCleanData[Age],219)&lt;40,20,IF(INDEX(tblCleanData[Age],219)&lt;50,10,15)))</f>
        <v>10</v>
      </c>
      <c r="J227">
        <f>IF(INDEX(tblCleanData[MonthlyIncome],219)&lt;=$B$3,25,IF(INDEX(tblCleanData[MonthlyIncome],219)&lt;=$B$4,12,5))</f>
        <v>5</v>
      </c>
      <c r="K227">
        <f>IF(INDEX(tblCleanData[OverTime],219)="Yes",25,0)</f>
        <v>0</v>
      </c>
      <c r="L227">
        <f>(5-INDEX(tblCleanData[JobSatisfaction],219))*6.25</f>
        <v>6.25</v>
      </c>
      <c r="M227">
        <f>IF(INDEX(tblCleanData[YearsAtCompany],219)&lt;=2,25,IF(INDEX(tblCleanData[YearsAtCompany],219)&lt;=5,15,IF(INDEX(tblCleanData[YearsAtCompany],219)&lt;=10,8,3)))</f>
        <v>3</v>
      </c>
      <c r="N227">
        <f t="shared" si="6"/>
        <v>24</v>
      </c>
      <c r="O227" t="str">
        <f t="shared" si="7"/>
        <v>Low Risk</v>
      </c>
    </row>
    <row r="228" spans="1:15" x14ac:dyDescent="0.25">
      <c r="A228">
        <f>INDEX(tblCleanData[EmployeeNumber],220)</f>
        <v>303</v>
      </c>
      <c r="B228" t="str">
        <f>IF(INDEX(tblCleanData[Age],220)&lt;30,"Under 30",IF(INDEX(tblCleanData[Age],220)&lt;40,"30-39",IF(INDEX(tblCleanData[Age],220)&lt;50,"40-49","50+")))</f>
        <v>50+</v>
      </c>
      <c r="C228" t="str">
        <f>IF(INDEX(tblCleanData[MonthlyIncome],220)&lt;=$B$3,"Low Income",IF(INDEX(tblCleanData[MonthlyIncome],220)&lt;=$B$4,"Medium Income","High Income"))</f>
        <v>High Income</v>
      </c>
      <c r="D228">
        <f>IF(INDEX(tblCleanData[Attrition],220)="Yes",1,0)</f>
        <v>0</v>
      </c>
      <c r="E228">
        <f>IF(INDEX(tblCleanData[OverTime],220)="Yes",1,0)</f>
        <v>0</v>
      </c>
      <c r="F228" t="str">
        <f>CHOOSE(INDEX(tblCleanData[Education],220),"Below College","College","Bachelor","Master","Doctor")</f>
        <v>Bachelor</v>
      </c>
      <c r="G228" t="str">
        <f>IF(INDEX(tblCleanData[YearsAtCompany],220)&lt;=2,"0-2 Years",IF(INDEX(tblCleanData[YearsAtCompany],220)&lt;=5,"3-5 Years",IF(INDEX(tblCleanData[YearsAtCompany],220)&lt;=10,"6-10 Years","10+ Years")))</f>
        <v>6-10 Years</v>
      </c>
      <c r="H228" t="str">
        <f>IF(INDEX(tblCleanData[WorkLifeBalance],220)&lt;=2,"Elevated","Normal")</f>
        <v>Normal</v>
      </c>
      <c r="I228">
        <f>IF(INDEX(tblCleanData[Age],220)&lt;30,30,IF(INDEX(tblCleanData[Age],220)&lt;40,20,IF(INDEX(tblCleanData[Age],220)&lt;50,10,15)))</f>
        <v>15</v>
      </c>
      <c r="J228">
        <f>IF(INDEX(tblCleanData[MonthlyIncome],220)&lt;=$B$3,25,IF(INDEX(tblCleanData[MonthlyIncome],220)&lt;=$B$4,12,5))</f>
        <v>5</v>
      </c>
      <c r="K228">
        <f>IF(INDEX(tblCleanData[OverTime],220)="Yes",25,0)</f>
        <v>0</v>
      </c>
      <c r="L228">
        <f>(5-INDEX(tblCleanData[JobSatisfaction],220))*6.25</f>
        <v>25</v>
      </c>
      <c r="M228">
        <f>IF(INDEX(tblCleanData[YearsAtCompany],220)&lt;=2,25,IF(INDEX(tblCleanData[YearsAtCompany],220)&lt;=5,15,IF(INDEX(tblCleanData[YearsAtCompany],220)&lt;=10,8,3)))</f>
        <v>8</v>
      </c>
      <c r="N228">
        <f t="shared" si="6"/>
        <v>53</v>
      </c>
      <c r="O228" t="str">
        <f t="shared" si="7"/>
        <v>Medium Risk</v>
      </c>
    </row>
    <row r="229" spans="1:15" x14ac:dyDescent="0.25">
      <c r="A229">
        <f>INDEX(tblCleanData[EmployeeNumber],221)</f>
        <v>304</v>
      </c>
      <c r="B229" t="str">
        <f>IF(INDEX(tblCleanData[Age],221)&lt;30,"Under 30",IF(INDEX(tblCleanData[Age],221)&lt;40,"30-39",IF(INDEX(tblCleanData[Age],221)&lt;50,"40-49","50+")))</f>
        <v>30-39</v>
      </c>
      <c r="C229" t="str">
        <f>IF(INDEX(tblCleanData[MonthlyIncome],221)&lt;=$B$3,"Low Income",IF(INDEX(tblCleanData[MonthlyIncome],221)&lt;=$B$4,"Medium Income","High Income"))</f>
        <v>High Income</v>
      </c>
      <c r="D229">
        <f>IF(INDEX(tblCleanData[Attrition],221)="Yes",1,0)</f>
        <v>0</v>
      </c>
      <c r="E229">
        <f>IF(INDEX(tblCleanData[OverTime],221)="Yes",1,0)</f>
        <v>0</v>
      </c>
      <c r="F229" t="str">
        <f>CHOOSE(INDEX(tblCleanData[Education],221),"Below College","College","Bachelor","Master","Doctor")</f>
        <v>College</v>
      </c>
      <c r="G229" t="str">
        <f>IF(INDEX(tblCleanData[YearsAtCompany],221)&lt;=2,"0-2 Years",IF(INDEX(tblCleanData[YearsAtCompany],221)&lt;=5,"3-5 Years",IF(INDEX(tblCleanData[YearsAtCompany],221)&lt;=10,"6-10 Years","10+ Years")))</f>
        <v>10+ Years</v>
      </c>
      <c r="H229" t="str">
        <f>IF(INDEX(tblCleanData[WorkLifeBalance],221)&lt;=2,"Elevated","Normal")</f>
        <v>Normal</v>
      </c>
      <c r="I229">
        <f>IF(INDEX(tblCleanData[Age],221)&lt;30,30,IF(INDEX(tblCleanData[Age],221)&lt;40,20,IF(INDEX(tblCleanData[Age],221)&lt;50,10,15)))</f>
        <v>20</v>
      </c>
      <c r="J229">
        <f>IF(INDEX(tblCleanData[MonthlyIncome],221)&lt;=$B$3,25,IF(INDEX(tblCleanData[MonthlyIncome],221)&lt;=$B$4,12,5))</f>
        <v>5</v>
      </c>
      <c r="K229">
        <f>IF(INDEX(tblCleanData[OverTime],221)="Yes",25,0)</f>
        <v>0</v>
      </c>
      <c r="L229">
        <f>(5-INDEX(tblCleanData[JobSatisfaction],221))*6.25</f>
        <v>18.75</v>
      </c>
      <c r="M229">
        <f>IF(INDEX(tblCleanData[YearsAtCompany],221)&lt;=2,25,IF(INDEX(tblCleanData[YearsAtCompany],221)&lt;=5,15,IF(INDEX(tblCleanData[YearsAtCompany],221)&lt;=10,8,3)))</f>
        <v>3</v>
      </c>
      <c r="N229">
        <f t="shared" si="6"/>
        <v>47</v>
      </c>
      <c r="O229" t="str">
        <f t="shared" si="7"/>
        <v>Medium Risk</v>
      </c>
    </row>
    <row r="230" spans="1:15" x14ac:dyDescent="0.25">
      <c r="A230">
        <f>INDEX(tblCleanData[EmployeeNumber],222)</f>
        <v>305</v>
      </c>
      <c r="B230" t="str">
        <f>IF(INDEX(tblCleanData[Age],222)&lt;30,"Under 30",IF(INDEX(tblCleanData[Age],222)&lt;40,"30-39",IF(INDEX(tblCleanData[Age],222)&lt;50,"40-49","50+")))</f>
        <v>30-39</v>
      </c>
      <c r="C230" t="str">
        <f>IF(INDEX(tblCleanData[MonthlyIncome],222)&lt;=$B$3,"Low Income",IF(INDEX(tblCleanData[MonthlyIncome],222)&lt;=$B$4,"Medium Income","High Income"))</f>
        <v>High Income</v>
      </c>
      <c r="D230">
        <f>IF(INDEX(tblCleanData[Attrition],222)="Yes",1,0)</f>
        <v>0</v>
      </c>
      <c r="E230">
        <f>IF(INDEX(tblCleanData[OverTime],222)="Yes",1,0)</f>
        <v>0</v>
      </c>
      <c r="F230" t="str">
        <f>CHOOSE(INDEX(tblCleanData[Education],222),"Below College","College","Bachelor","Master","Doctor")</f>
        <v>Master</v>
      </c>
      <c r="G230" t="str">
        <f>IF(INDEX(tblCleanData[YearsAtCompany],222)&lt;=2,"0-2 Years",IF(INDEX(tblCleanData[YearsAtCompany],222)&lt;=5,"3-5 Years",IF(INDEX(tblCleanData[YearsAtCompany],222)&lt;=10,"6-10 Years","10+ Years")))</f>
        <v>3-5 Years</v>
      </c>
      <c r="H230" t="str">
        <f>IF(INDEX(tblCleanData[WorkLifeBalance],222)&lt;=2,"Elevated","Normal")</f>
        <v>Normal</v>
      </c>
      <c r="I230">
        <f>IF(INDEX(tblCleanData[Age],222)&lt;30,30,IF(INDEX(tblCleanData[Age],222)&lt;40,20,IF(INDEX(tblCleanData[Age],222)&lt;50,10,15)))</f>
        <v>20</v>
      </c>
      <c r="J230">
        <f>IF(INDEX(tblCleanData[MonthlyIncome],222)&lt;=$B$3,25,IF(INDEX(tblCleanData[MonthlyIncome],222)&lt;=$B$4,12,5))</f>
        <v>5</v>
      </c>
      <c r="K230">
        <f>IF(INDEX(tblCleanData[OverTime],222)="Yes",25,0)</f>
        <v>0</v>
      </c>
      <c r="L230">
        <f>(5-INDEX(tblCleanData[JobSatisfaction],222))*6.25</f>
        <v>18.75</v>
      </c>
      <c r="M230">
        <f>IF(INDEX(tblCleanData[YearsAtCompany],222)&lt;=2,25,IF(INDEX(tblCleanData[YearsAtCompany],222)&lt;=5,15,IF(INDEX(tblCleanData[YearsAtCompany],222)&lt;=10,8,3)))</f>
        <v>15</v>
      </c>
      <c r="N230">
        <f t="shared" si="6"/>
        <v>59</v>
      </c>
      <c r="O230" t="str">
        <f t="shared" si="7"/>
        <v>High Risk</v>
      </c>
    </row>
    <row r="231" spans="1:15" x14ac:dyDescent="0.25">
      <c r="A231">
        <f>INDEX(tblCleanData[EmployeeNumber],223)</f>
        <v>306</v>
      </c>
      <c r="B231" t="str">
        <f>IF(INDEX(tblCleanData[Age],223)&lt;30,"Under 30",IF(INDEX(tblCleanData[Age],223)&lt;40,"30-39",IF(INDEX(tblCleanData[Age],223)&lt;50,"40-49","50+")))</f>
        <v>30-39</v>
      </c>
      <c r="C231" t="str">
        <f>IF(INDEX(tblCleanData[MonthlyIncome],223)&lt;=$B$3,"Low Income",IF(INDEX(tblCleanData[MonthlyIncome],223)&lt;=$B$4,"Medium Income","High Income"))</f>
        <v>High Income</v>
      </c>
      <c r="D231">
        <f>IF(INDEX(tblCleanData[Attrition],223)="Yes",1,0)</f>
        <v>0</v>
      </c>
      <c r="E231">
        <f>IF(INDEX(tblCleanData[OverTime],223)="Yes",1,0)</f>
        <v>1</v>
      </c>
      <c r="F231" t="str">
        <f>CHOOSE(INDEX(tblCleanData[Education],223),"Below College","College","Bachelor","Master","Doctor")</f>
        <v>Bachelor</v>
      </c>
      <c r="G231" t="str">
        <f>IF(INDEX(tblCleanData[YearsAtCompany],223)&lt;=2,"0-2 Years",IF(INDEX(tblCleanData[YearsAtCompany],223)&lt;=5,"3-5 Years",IF(INDEX(tblCleanData[YearsAtCompany],223)&lt;=10,"6-10 Years","10+ Years")))</f>
        <v>6-10 Years</v>
      </c>
      <c r="H231" t="str">
        <f>IF(INDEX(tblCleanData[WorkLifeBalance],223)&lt;=2,"Elevated","Normal")</f>
        <v>Normal</v>
      </c>
      <c r="I231">
        <f>IF(INDEX(tblCleanData[Age],223)&lt;30,30,IF(INDEX(tblCleanData[Age],223)&lt;40,20,IF(INDEX(tblCleanData[Age],223)&lt;50,10,15)))</f>
        <v>20</v>
      </c>
      <c r="J231">
        <f>IF(INDEX(tblCleanData[MonthlyIncome],223)&lt;=$B$3,25,IF(INDEX(tblCleanData[MonthlyIncome],223)&lt;=$B$4,12,5))</f>
        <v>5</v>
      </c>
      <c r="K231">
        <f>IF(INDEX(tblCleanData[OverTime],223)="Yes",25,0)</f>
        <v>25</v>
      </c>
      <c r="L231">
        <f>(5-INDEX(tblCleanData[JobSatisfaction],223))*6.25</f>
        <v>6.25</v>
      </c>
      <c r="M231">
        <f>IF(INDEX(tblCleanData[YearsAtCompany],223)&lt;=2,25,IF(INDEX(tblCleanData[YearsAtCompany],223)&lt;=5,15,IF(INDEX(tblCleanData[YearsAtCompany],223)&lt;=10,8,3)))</f>
        <v>8</v>
      </c>
      <c r="N231">
        <f t="shared" si="6"/>
        <v>64</v>
      </c>
      <c r="O231" t="str">
        <f t="shared" si="7"/>
        <v>High Risk</v>
      </c>
    </row>
    <row r="232" spans="1:15" x14ac:dyDescent="0.25">
      <c r="A232">
        <f>INDEX(tblCleanData[EmployeeNumber],224)</f>
        <v>307</v>
      </c>
      <c r="B232" t="str">
        <f>IF(INDEX(tblCleanData[Age],224)&lt;30,"Under 30",IF(INDEX(tblCleanData[Age],224)&lt;40,"30-39",IF(INDEX(tblCleanData[Age],224)&lt;50,"40-49","50+")))</f>
        <v>30-39</v>
      </c>
      <c r="C232" t="str">
        <f>IF(INDEX(tblCleanData[MonthlyIncome],224)&lt;=$B$3,"Low Income",IF(INDEX(tblCleanData[MonthlyIncome],224)&lt;=$B$4,"Medium Income","High Income"))</f>
        <v>High Income</v>
      </c>
      <c r="D232">
        <f>IF(INDEX(tblCleanData[Attrition],224)="Yes",1,0)</f>
        <v>0</v>
      </c>
      <c r="E232">
        <f>IF(INDEX(tblCleanData[OverTime],224)="Yes",1,0)</f>
        <v>0</v>
      </c>
      <c r="F232" t="str">
        <f>CHOOSE(INDEX(tblCleanData[Education],224),"Below College","College","Bachelor","Master","Doctor")</f>
        <v>Bachelor</v>
      </c>
      <c r="G232" t="str">
        <f>IF(INDEX(tblCleanData[YearsAtCompany],224)&lt;=2,"0-2 Years",IF(INDEX(tblCleanData[YearsAtCompany],224)&lt;=5,"3-5 Years",IF(INDEX(tblCleanData[YearsAtCompany],224)&lt;=10,"6-10 Years","10+ Years")))</f>
        <v>10+ Years</v>
      </c>
      <c r="H232" t="str">
        <f>IF(INDEX(tblCleanData[WorkLifeBalance],224)&lt;=2,"Elevated","Normal")</f>
        <v>Elevated</v>
      </c>
      <c r="I232">
        <f>IF(INDEX(tblCleanData[Age],224)&lt;30,30,IF(INDEX(tblCleanData[Age],224)&lt;40,20,IF(INDEX(tblCleanData[Age],224)&lt;50,10,15)))</f>
        <v>20</v>
      </c>
      <c r="J232">
        <f>IF(INDEX(tblCleanData[MonthlyIncome],224)&lt;=$B$3,25,IF(INDEX(tblCleanData[MonthlyIncome],224)&lt;=$B$4,12,5))</f>
        <v>5</v>
      </c>
      <c r="K232">
        <f>IF(INDEX(tblCleanData[OverTime],224)="Yes",25,0)</f>
        <v>0</v>
      </c>
      <c r="L232">
        <f>(5-INDEX(tblCleanData[JobSatisfaction],224))*6.25</f>
        <v>12.5</v>
      </c>
      <c r="M232">
        <f>IF(INDEX(tblCleanData[YearsAtCompany],224)&lt;=2,25,IF(INDEX(tblCleanData[YearsAtCompany],224)&lt;=5,15,IF(INDEX(tblCleanData[YearsAtCompany],224)&lt;=10,8,3)))</f>
        <v>3</v>
      </c>
      <c r="N232">
        <f t="shared" si="6"/>
        <v>41</v>
      </c>
      <c r="O232" t="str">
        <f t="shared" si="7"/>
        <v>Medium Risk</v>
      </c>
    </row>
    <row r="233" spans="1:15" x14ac:dyDescent="0.25">
      <c r="A233">
        <f>INDEX(tblCleanData[EmployeeNumber],225)</f>
        <v>308</v>
      </c>
      <c r="B233" t="str">
        <f>IF(INDEX(tblCleanData[Age],225)&lt;30,"Under 30",IF(INDEX(tblCleanData[Age],225)&lt;40,"30-39",IF(INDEX(tblCleanData[Age],225)&lt;50,"40-49","50+")))</f>
        <v>30-39</v>
      </c>
      <c r="C233" t="str">
        <f>IF(INDEX(tblCleanData[MonthlyIncome],225)&lt;=$B$3,"Low Income",IF(INDEX(tblCleanData[MonthlyIncome],225)&lt;=$B$4,"Medium Income","High Income"))</f>
        <v>High Income</v>
      </c>
      <c r="D233">
        <f>IF(INDEX(tblCleanData[Attrition],225)="Yes",1,0)</f>
        <v>0</v>
      </c>
      <c r="E233">
        <f>IF(INDEX(tblCleanData[OverTime],225)="Yes",1,0)</f>
        <v>0</v>
      </c>
      <c r="F233" t="str">
        <f>CHOOSE(INDEX(tblCleanData[Education],225),"Below College","College","Bachelor","Master","Doctor")</f>
        <v>Master</v>
      </c>
      <c r="G233" t="str">
        <f>IF(INDEX(tblCleanData[YearsAtCompany],225)&lt;=2,"0-2 Years",IF(INDEX(tblCleanData[YearsAtCompany],225)&lt;=5,"3-5 Years",IF(INDEX(tblCleanData[YearsAtCompany],225)&lt;=10,"6-10 Years","10+ Years")))</f>
        <v>3-5 Years</v>
      </c>
      <c r="H233" t="str">
        <f>IF(INDEX(tblCleanData[WorkLifeBalance],225)&lt;=2,"Elevated","Normal")</f>
        <v>Normal</v>
      </c>
      <c r="I233">
        <f>IF(INDEX(tblCleanData[Age],225)&lt;30,30,IF(INDEX(tblCleanData[Age],225)&lt;40,20,IF(INDEX(tblCleanData[Age],225)&lt;50,10,15)))</f>
        <v>20</v>
      </c>
      <c r="J233">
        <f>IF(INDEX(tblCleanData[MonthlyIncome],225)&lt;=$B$3,25,IF(INDEX(tblCleanData[MonthlyIncome],225)&lt;=$B$4,12,5))</f>
        <v>5</v>
      </c>
      <c r="K233">
        <f>IF(INDEX(tblCleanData[OverTime],225)="Yes",25,0)</f>
        <v>0</v>
      </c>
      <c r="L233">
        <f>(5-INDEX(tblCleanData[JobSatisfaction],225))*6.25</f>
        <v>12.5</v>
      </c>
      <c r="M233">
        <f>IF(INDEX(tblCleanData[YearsAtCompany],225)&lt;=2,25,IF(INDEX(tblCleanData[YearsAtCompany],225)&lt;=5,15,IF(INDEX(tblCleanData[YearsAtCompany],225)&lt;=10,8,3)))</f>
        <v>15</v>
      </c>
      <c r="N233">
        <f t="shared" si="6"/>
        <v>53</v>
      </c>
      <c r="O233" t="str">
        <f t="shared" si="7"/>
        <v>Medium Risk</v>
      </c>
    </row>
    <row r="234" spans="1:15" x14ac:dyDescent="0.25">
      <c r="A234">
        <f>INDEX(tblCleanData[EmployeeNumber],226)</f>
        <v>309</v>
      </c>
      <c r="B234" t="str">
        <f>IF(INDEX(tblCleanData[Age],226)&lt;30,"Under 30",IF(INDEX(tblCleanData[Age],226)&lt;40,"30-39",IF(INDEX(tblCleanData[Age],226)&lt;50,"40-49","50+")))</f>
        <v>50+</v>
      </c>
      <c r="C234" t="str">
        <f>IF(INDEX(tblCleanData[MonthlyIncome],226)&lt;=$B$3,"Low Income",IF(INDEX(tblCleanData[MonthlyIncome],226)&lt;=$B$4,"Medium Income","High Income"))</f>
        <v>High Income</v>
      </c>
      <c r="D234">
        <f>IF(INDEX(tblCleanData[Attrition],226)="Yes",1,0)</f>
        <v>0</v>
      </c>
      <c r="E234">
        <f>IF(INDEX(tblCleanData[OverTime],226)="Yes",1,0)</f>
        <v>0</v>
      </c>
      <c r="F234" t="str">
        <f>CHOOSE(INDEX(tblCleanData[Education],226),"Below College","College","Bachelor","Master","Doctor")</f>
        <v>Bachelor</v>
      </c>
      <c r="G234" t="str">
        <f>IF(INDEX(tblCleanData[YearsAtCompany],226)&lt;=2,"0-2 Years",IF(INDEX(tblCleanData[YearsAtCompany],226)&lt;=5,"3-5 Years",IF(INDEX(tblCleanData[YearsAtCompany],226)&lt;=10,"6-10 Years","10+ Years")))</f>
        <v>0-2 Years</v>
      </c>
      <c r="H234" t="str">
        <f>IF(INDEX(tblCleanData[WorkLifeBalance],226)&lt;=2,"Elevated","Normal")</f>
        <v>Normal</v>
      </c>
      <c r="I234">
        <f>IF(INDEX(tblCleanData[Age],226)&lt;30,30,IF(INDEX(tblCleanData[Age],226)&lt;40,20,IF(INDEX(tblCleanData[Age],226)&lt;50,10,15)))</f>
        <v>15</v>
      </c>
      <c r="J234">
        <f>IF(INDEX(tblCleanData[MonthlyIncome],226)&lt;=$B$3,25,IF(INDEX(tblCleanData[MonthlyIncome],226)&lt;=$B$4,12,5))</f>
        <v>5</v>
      </c>
      <c r="K234">
        <f>IF(INDEX(tblCleanData[OverTime],226)="Yes",25,0)</f>
        <v>0</v>
      </c>
      <c r="L234">
        <f>(5-INDEX(tblCleanData[JobSatisfaction],226))*6.25</f>
        <v>6.25</v>
      </c>
      <c r="M234">
        <f>IF(INDEX(tblCleanData[YearsAtCompany],226)&lt;=2,25,IF(INDEX(tblCleanData[YearsAtCompany],226)&lt;=5,15,IF(INDEX(tblCleanData[YearsAtCompany],226)&lt;=10,8,3)))</f>
        <v>25</v>
      </c>
      <c r="N234">
        <f t="shared" si="6"/>
        <v>51</v>
      </c>
      <c r="O234" t="str">
        <f t="shared" si="7"/>
        <v>Medium Risk</v>
      </c>
    </row>
    <row r="235" spans="1:15" x14ac:dyDescent="0.25">
      <c r="A235">
        <f>INDEX(tblCleanData[EmployeeNumber],227)</f>
        <v>311</v>
      </c>
      <c r="B235" t="str">
        <f>IF(INDEX(tblCleanData[Age],227)&lt;30,"Under 30",IF(INDEX(tblCleanData[Age],227)&lt;40,"30-39",IF(INDEX(tblCleanData[Age],227)&lt;50,"40-49","50+")))</f>
        <v>30-39</v>
      </c>
      <c r="C235" t="str">
        <f>IF(INDEX(tblCleanData[MonthlyIncome],227)&lt;=$B$3,"Low Income",IF(INDEX(tblCleanData[MonthlyIncome],227)&lt;=$B$4,"Medium Income","High Income"))</f>
        <v>High Income</v>
      </c>
      <c r="D235">
        <f>IF(INDEX(tblCleanData[Attrition],227)="Yes",1,0)</f>
        <v>0</v>
      </c>
      <c r="E235">
        <f>IF(INDEX(tblCleanData[OverTime],227)="Yes",1,0)</f>
        <v>0</v>
      </c>
      <c r="F235" t="str">
        <f>CHOOSE(INDEX(tblCleanData[Education],227),"Below College","College","Bachelor","Master","Doctor")</f>
        <v>Master</v>
      </c>
      <c r="G235" t="str">
        <f>IF(INDEX(tblCleanData[YearsAtCompany],227)&lt;=2,"0-2 Years",IF(INDEX(tblCleanData[YearsAtCompany],227)&lt;=5,"3-5 Years",IF(INDEX(tblCleanData[YearsAtCompany],227)&lt;=10,"6-10 Years","10+ Years")))</f>
        <v>6-10 Years</v>
      </c>
      <c r="H235" t="str">
        <f>IF(INDEX(tblCleanData[WorkLifeBalance],227)&lt;=2,"Elevated","Normal")</f>
        <v>Normal</v>
      </c>
      <c r="I235">
        <f>IF(INDEX(tblCleanData[Age],227)&lt;30,30,IF(INDEX(tblCleanData[Age],227)&lt;40,20,IF(INDEX(tblCleanData[Age],227)&lt;50,10,15)))</f>
        <v>20</v>
      </c>
      <c r="J235">
        <f>IF(INDEX(tblCleanData[MonthlyIncome],227)&lt;=$B$3,25,IF(INDEX(tblCleanData[MonthlyIncome],227)&lt;=$B$4,12,5))</f>
        <v>5</v>
      </c>
      <c r="K235">
        <f>IF(INDEX(tblCleanData[OverTime],227)="Yes",25,0)</f>
        <v>0</v>
      </c>
      <c r="L235">
        <f>(5-INDEX(tblCleanData[JobSatisfaction],227))*6.25</f>
        <v>6.25</v>
      </c>
      <c r="M235">
        <f>IF(INDEX(tblCleanData[YearsAtCompany],227)&lt;=2,25,IF(INDEX(tblCleanData[YearsAtCompany],227)&lt;=5,15,IF(INDEX(tblCleanData[YearsAtCompany],227)&lt;=10,8,3)))</f>
        <v>8</v>
      </c>
      <c r="N235">
        <f t="shared" si="6"/>
        <v>39</v>
      </c>
      <c r="O235" t="str">
        <f t="shared" si="7"/>
        <v>Medium Risk</v>
      </c>
    </row>
    <row r="236" spans="1:15" x14ac:dyDescent="0.25">
      <c r="A236">
        <f>INDEX(tblCleanData[EmployeeNumber],228)</f>
        <v>312</v>
      </c>
      <c r="B236" t="str">
        <f>IF(INDEX(tblCleanData[Age],228)&lt;30,"Under 30",IF(INDEX(tblCleanData[Age],228)&lt;40,"30-39",IF(INDEX(tblCleanData[Age],228)&lt;50,"40-49","50+")))</f>
        <v>Under 30</v>
      </c>
      <c r="C236" t="str">
        <f>IF(INDEX(tblCleanData[MonthlyIncome],228)&lt;=$B$3,"Low Income",IF(INDEX(tblCleanData[MonthlyIncome],228)&lt;=$B$4,"Medium Income","High Income"))</f>
        <v>High Income</v>
      </c>
      <c r="D236">
        <f>IF(INDEX(tblCleanData[Attrition],228)="Yes",1,0)</f>
        <v>0</v>
      </c>
      <c r="E236">
        <f>IF(INDEX(tblCleanData[OverTime],228)="Yes",1,0)</f>
        <v>0</v>
      </c>
      <c r="F236" t="str">
        <f>CHOOSE(INDEX(tblCleanData[Education],228),"Below College","College","Bachelor","Master","Doctor")</f>
        <v>Below College</v>
      </c>
      <c r="G236" t="str">
        <f>IF(INDEX(tblCleanData[YearsAtCompany],228)&lt;=2,"0-2 Years",IF(INDEX(tblCleanData[YearsAtCompany],228)&lt;=5,"3-5 Years",IF(INDEX(tblCleanData[YearsAtCompany],228)&lt;=10,"6-10 Years","10+ Years")))</f>
        <v>10+ Years</v>
      </c>
      <c r="H236" t="str">
        <f>IF(INDEX(tblCleanData[WorkLifeBalance],228)&lt;=2,"Elevated","Normal")</f>
        <v>Normal</v>
      </c>
      <c r="I236">
        <f>IF(INDEX(tblCleanData[Age],228)&lt;30,30,IF(INDEX(tblCleanData[Age],228)&lt;40,20,IF(INDEX(tblCleanData[Age],228)&lt;50,10,15)))</f>
        <v>30</v>
      </c>
      <c r="J236">
        <f>IF(INDEX(tblCleanData[MonthlyIncome],228)&lt;=$B$3,25,IF(INDEX(tblCleanData[MonthlyIncome],228)&lt;=$B$4,12,5))</f>
        <v>5</v>
      </c>
      <c r="K236">
        <f>IF(INDEX(tblCleanData[OverTime],228)="Yes",25,0)</f>
        <v>0</v>
      </c>
      <c r="L236">
        <f>(5-INDEX(tblCleanData[JobSatisfaction],228))*6.25</f>
        <v>6.25</v>
      </c>
      <c r="M236">
        <f>IF(INDEX(tblCleanData[YearsAtCompany],228)&lt;=2,25,IF(INDEX(tblCleanData[YearsAtCompany],228)&lt;=5,15,IF(INDEX(tblCleanData[YearsAtCompany],228)&lt;=10,8,3)))</f>
        <v>3</v>
      </c>
      <c r="N236">
        <f t="shared" si="6"/>
        <v>44</v>
      </c>
      <c r="O236" t="str">
        <f t="shared" si="7"/>
        <v>Medium Risk</v>
      </c>
    </row>
    <row r="237" spans="1:15" x14ac:dyDescent="0.25">
      <c r="A237">
        <f>INDEX(tblCleanData[EmployeeNumber],229)</f>
        <v>314</v>
      </c>
      <c r="B237" t="str">
        <f>IF(INDEX(tblCleanData[Age],229)&lt;30,"Under 30",IF(INDEX(tblCleanData[Age],229)&lt;40,"30-39",IF(INDEX(tblCleanData[Age],229)&lt;50,"40-49","50+")))</f>
        <v>30-39</v>
      </c>
      <c r="C237" t="str">
        <f>IF(INDEX(tblCleanData[MonthlyIncome],229)&lt;=$B$3,"Low Income",IF(INDEX(tblCleanData[MonthlyIncome],229)&lt;=$B$4,"Medium Income","High Income"))</f>
        <v>High Income</v>
      </c>
      <c r="D237">
        <f>IF(INDEX(tblCleanData[Attrition],229)="Yes",1,0)</f>
        <v>0</v>
      </c>
      <c r="E237">
        <f>IF(INDEX(tblCleanData[OverTime],229)="Yes",1,0)</f>
        <v>0</v>
      </c>
      <c r="F237" t="str">
        <f>CHOOSE(INDEX(tblCleanData[Education],229),"Below College","College","Bachelor","Master","Doctor")</f>
        <v>Bachelor</v>
      </c>
      <c r="G237" t="str">
        <f>IF(INDEX(tblCleanData[YearsAtCompany],229)&lt;=2,"0-2 Years",IF(INDEX(tblCleanData[YearsAtCompany],229)&lt;=5,"3-5 Years",IF(INDEX(tblCleanData[YearsAtCompany],229)&lt;=10,"6-10 Years","10+ Years")))</f>
        <v>6-10 Years</v>
      </c>
      <c r="H237" t="str">
        <f>IF(INDEX(tblCleanData[WorkLifeBalance],229)&lt;=2,"Elevated","Normal")</f>
        <v>Normal</v>
      </c>
      <c r="I237">
        <f>IF(INDEX(tblCleanData[Age],229)&lt;30,30,IF(INDEX(tblCleanData[Age],229)&lt;40,20,IF(INDEX(tblCleanData[Age],229)&lt;50,10,15)))</f>
        <v>20</v>
      </c>
      <c r="J237">
        <f>IF(INDEX(tblCleanData[MonthlyIncome],229)&lt;=$B$3,25,IF(INDEX(tblCleanData[MonthlyIncome],229)&lt;=$B$4,12,5))</f>
        <v>5</v>
      </c>
      <c r="K237">
        <f>IF(INDEX(tblCleanData[OverTime],229)="Yes",25,0)</f>
        <v>0</v>
      </c>
      <c r="L237">
        <f>(5-INDEX(tblCleanData[JobSatisfaction],229))*6.25</f>
        <v>12.5</v>
      </c>
      <c r="M237">
        <f>IF(INDEX(tblCleanData[YearsAtCompany],229)&lt;=2,25,IF(INDEX(tblCleanData[YearsAtCompany],229)&lt;=5,15,IF(INDEX(tblCleanData[YearsAtCompany],229)&lt;=10,8,3)))</f>
        <v>8</v>
      </c>
      <c r="N237">
        <f t="shared" si="6"/>
        <v>46</v>
      </c>
      <c r="O237" t="str">
        <f t="shared" si="7"/>
        <v>Medium Risk</v>
      </c>
    </row>
    <row r="238" spans="1:15" x14ac:dyDescent="0.25">
      <c r="A238">
        <f>INDEX(tblCleanData[EmployeeNumber],230)</f>
        <v>315</v>
      </c>
      <c r="B238" t="str">
        <f>IF(INDEX(tblCleanData[Age],230)&lt;30,"Under 30",IF(INDEX(tblCleanData[Age],230)&lt;40,"30-39",IF(INDEX(tblCleanData[Age],230)&lt;50,"40-49","50+")))</f>
        <v>Under 30</v>
      </c>
      <c r="C238" t="str">
        <f>IF(INDEX(tblCleanData[MonthlyIncome],230)&lt;=$B$3,"Low Income",IF(INDEX(tblCleanData[MonthlyIncome],230)&lt;=$B$4,"Medium Income","High Income"))</f>
        <v>High Income</v>
      </c>
      <c r="D238">
        <f>IF(INDEX(tblCleanData[Attrition],230)="Yes",1,0)</f>
        <v>1</v>
      </c>
      <c r="E238">
        <f>IF(INDEX(tblCleanData[OverTime],230)="Yes",1,0)</f>
        <v>1</v>
      </c>
      <c r="F238" t="str">
        <f>CHOOSE(INDEX(tblCleanData[Education],230),"Below College","College","Bachelor","Master","Doctor")</f>
        <v>Below College</v>
      </c>
      <c r="G238" t="str">
        <f>IF(INDEX(tblCleanData[YearsAtCompany],230)&lt;=2,"0-2 Years",IF(INDEX(tblCleanData[YearsAtCompany],230)&lt;=5,"3-5 Years",IF(INDEX(tblCleanData[YearsAtCompany],230)&lt;=10,"6-10 Years","10+ Years")))</f>
        <v>3-5 Years</v>
      </c>
      <c r="H238" t="str">
        <f>IF(INDEX(tblCleanData[WorkLifeBalance],230)&lt;=2,"Elevated","Normal")</f>
        <v>Elevated</v>
      </c>
      <c r="I238">
        <f>IF(INDEX(tblCleanData[Age],230)&lt;30,30,IF(INDEX(tblCleanData[Age],230)&lt;40,20,IF(INDEX(tblCleanData[Age],230)&lt;50,10,15)))</f>
        <v>30</v>
      </c>
      <c r="J238">
        <f>IF(INDEX(tblCleanData[MonthlyIncome],230)&lt;=$B$3,25,IF(INDEX(tblCleanData[MonthlyIncome],230)&lt;=$B$4,12,5))</f>
        <v>5</v>
      </c>
      <c r="K238">
        <f>IF(INDEX(tblCleanData[OverTime],230)="Yes",25,0)</f>
        <v>25</v>
      </c>
      <c r="L238">
        <f>(5-INDEX(tblCleanData[JobSatisfaction],230))*6.25</f>
        <v>6.25</v>
      </c>
      <c r="M238">
        <f>IF(INDEX(tblCleanData[YearsAtCompany],230)&lt;=2,25,IF(INDEX(tblCleanData[YearsAtCompany],230)&lt;=5,15,IF(INDEX(tblCleanData[YearsAtCompany],230)&lt;=10,8,3)))</f>
        <v>15</v>
      </c>
      <c r="N238">
        <f t="shared" si="6"/>
        <v>81</v>
      </c>
      <c r="O238" t="str">
        <f t="shared" si="7"/>
        <v>High Risk</v>
      </c>
    </row>
    <row r="239" spans="1:15" x14ac:dyDescent="0.25">
      <c r="A239">
        <f>INDEX(tblCleanData[EmployeeNumber],231)</f>
        <v>316</v>
      </c>
      <c r="B239" t="str">
        <f>IF(INDEX(tblCleanData[Age],231)&lt;30,"Under 30",IF(INDEX(tblCleanData[Age],231)&lt;40,"30-39",IF(INDEX(tblCleanData[Age],231)&lt;50,"40-49","50+")))</f>
        <v>50+</v>
      </c>
      <c r="C239" t="str">
        <f>IF(INDEX(tblCleanData[MonthlyIncome],231)&lt;=$B$3,"Low Income",IF(INDEX(tblCleanData[MonthlyIncome],231)&lt;=$B$4,"Medium Income","High Income"))</f>
        <v>High Income</v>
      </c>
      <c r="D239">
        <f>IF(INDEX(tblCleanData[Attrition],231)="Yes",1,0)</f>
        <v>0</v>
      </c>
      <c r="E239">
        <f>IF(INDEX(tblCleanData[OverTime],231)="Yes",1,0)</f>
        <v>0</v>
      </c>
      <c r="F239" t="str">
        <f>CHOOSE(INDEX(tblCleanData[Education],231),"Below College","College","Bachelor","Master","Doctor")</f>
        <v>Bachelor</v>
      </c>
      <c r="G239" t="str">
        <f>IF(INDEX(tblCleanData[YearsAtCompany],231)&lt;=2,"0-2 Years",IF(INDEX(tblCleanData[YearsAtCompany],231)&lt;=5,"3-5 Years",IF(INDEX(tblCleanData[YearsAtCompany],231)&lt;=10,"6-10 Years","10+ Years")))</f>
        <v>0-2 Years</v>
      </c>
      <c r="H239" t="str">
        <f>IF(INDEX(tblCleanData[WorkLifeBalance],231)&lt;=2,"Elevated","Normal")</f>
        <v>Elevated</v>
      </c>
      <c r="I239">
        <f>IF(INDEX(tblCleanData[Age],231)&lt;30,30,IF(INDEX(tblCleanData[Age],231)&lt;40,20,IF(INDEX(tblCleanData[Age],231)&lt;50,10,15)))</f>
        <v>15</v>
      </c>
      <c r="J239">
        <f>IF(INDEX(tblCleanData[MonthlyIncome],231)&lt;=$B$3,25,IF(INDEX(tblCleanData[MonthlyIncome],231)&lt;=$B$4,12,5))</f>
        <v>5</v>
      </c>
      <c r="K239">
        <f>IF(INDEX(tblCleanData[OverTime],231)="Yes",25,0)</f>
        <v>0</v>
      </c>
      <c r="L239">
        <f>(5-INDEX(tblCleanData[JobSatisfaction],231))*6.25</f>
        <v>6.25</v>
      </c>
      <c r="M239">
        <f>IF(INDEX(tblCleanData[YearsAtCompany],231)&lt;=2,25,IF(INDEX(tblCleanData[YearsAtCompany],231)&lt;=5,15,IF(INDEX(tblCleanData[YearsAtCompany],231)&lt;=10,8,3)))</f>
        <v>25</v>
      </c>
      <c r="N239">
        <f t="shared" si="6"/>
        <v>51</v>
      </c>
      <c r="O239" t="str">
        <f t="shared" si="7"/>
        <v>Medium Risk</v>
      </c>
    </row>
    <row r="240" spans="1:15" x14ac:dyDescent="0.25">
      <c r="A240">
        <f>INDEX(tblCleanData[EmployeeNumber],232)</f>
        <v>319</v>
      </c>
      <c r="B240" t="str">
        <f>IF(INDEX(tblCleanData[Age],232)&lt;30,"Under 30",IF(INDEX(tblCleanData[Age],232)&lt;40,"30-39",IF(INDEX(tblCleanData[Age],232)&lt;50,"40-49","50+")))</f>
        <v>40-49</v>
      </c>
      <c r="C240" t="str">
        <f>IF(INDEX(tblCleanData[MonthlyIncome],232)&lt;=$B$3,"Low Income",IF(INDEX(tblCleanData[MonthlyIncome],232)&lt;=$B$4,"Medium Income","High Income"))</f>
        <v>High Income</v>
      </c>
      <c r="D240">
        <f>IF(INDEX(tblCleanData[Attrition],232)="Yes",1,0)</f>
        <v>0</v>
      </c>
      <c r="E240">
        <f>IF(INDEX(tblCleanData[OverTime],232)="Yes",1,0)</f>
        <v>0</v>
      </c>
      <c r="F240" t="str">
        <f>CHOOSE(INDEX(tblCleanData[Education],232),"Below College","College","Bachelor","Master","Doctor")</f>
        <v>College</v>
      </c>
      <c r="G240" t="str">
        <f>IF(INDEX(tblCleanData[YearsAtCompany],232)&lt;=2,"0-2 Years",IF(INDEX(tblCleanData[YearsAtCompany],232)&lt;=5,"3-5 Years",IF(INDEX(tblCleanData[YearsAtCompany],232)&lt;=10,"6-10 Years","10+ Years")))</f>
        <v>10+ Years</v>
      </c>
      <c r="H240" t="str">
        <f>IF(INDEX(tblCleanData[WorkLifeBalance],232)&lt;=2,"Elevated","Normal")</f>
        <v>Normal</v>
      </c>
      <c r="I240">
        <f>IF(INDEX(tblCleanData[Age],232)&lt;30,30,IF(INDEX(tblCleanData[Age],232)&lt;40,20,IF(INDEX(tblCleanData[Age],232)&lt;50,10,15)))</f>
        <v>10</v>
      </c>
      <c r="J240">
        <f>IF(INDEX(tblCleanData[MonthlyIncome],232)&lt;=$B$3,25,IF(INDEX(tblCleanData[MonthlyIncome],232)&lt;=$B$4,12,5))</f>
        <v>5</v>
      </c>
      <c r="K240">
        <f>IF(INDEX(tblCleanData[OverTime],232)="Yes",25,0)</f>
        <v>0</v>
      </c>
      <c r="L240">
        <f>(5-INDEX(tblCleanData[JobSatisfaction],232))*6.25</f>
        <v>6.25</v>
      </c>
      <c r="M240">
        <f>IF(INDEX(tblCleanData[YearsAtCompany],232)&lt;=2,25,IF(INDEX(tblCleanData[YearsAtCompany],232)&lt;=5,15,IF(INDEX(tblCleanData[YearsAtCompany],232)&lt;=10,8,3)))</f>
        <v>3</v>
      </c>
      <c r="N240">
        <f t="shared" si="6"/>
        <v>24</v>
      </c>
      <c r="O240" t="str">
        <f t="shared" si="7"/>
        <v>Low Risk</v>
      </c>
    </row>
    <row r="241" spans="1:15" x14ac:dyDescent="0.25">
      <c r="A241">
        <f>INDEX(tblCleanData[EmployeeNumber],233)</f>
        <v>321</v>
      </c>
      <c r="B241" t="str">
        <f>IF(INDEX(tblCleanData[Age],233)&lt;30,"Under 30",IF(INDEX(tblCleanData[Age],233)&lt;40,"30-39",IF(INDEX(tblCleanData[Age],233)&lt;50,"40-49","50+")))</f>
        <v>50+</v>
      </c>
      <c r="C241" t="str">
        <f>IF(INDEX(tblCleanData[MonthlyIncome],233)&lt;=$B$3,"Low Income",IF(INDEX(tblCleanData[MonthlyIncome],233)&lt;=$B$4,"Medium Income","High Income"))</f>
        <v>High Income</v>
      </c>
      <c r="D241">
        <f>IF(INDEX(tblCleanData[Attrition],233)="Yes",1,0)</f>
        <v>0</v>
      </c>
      <c r="E241">
        <f>IF(INDEX(tblCleanData[OverTime],233)="Yes",1,0)</f>
        <v>0</v>
      </c>
      <c r="F241" t="str">
        <f>CHOOSE(INDEX(tblCleanData[Education],233),"Below College","College","Bachelor","Master","Doctor")</f>
        <v>College</v>
      </c>
      <c r="G241" t="str">
        <f>IF(INDEX(tblCleanData[YearsAtCompany],233)&lt;=2,"0-2 Years",IF(INDEX(tblCleanData[YearsAtCompany],233)&lt;=5,"3-5 Years",IF(INDEX(tblCleanData[YearsAtCompany],233)&lt;=10,"6-10 Years","10+ Years")))</f>
        <v>0-2 Years</v>
      </c>
      <c r="H241" t="str">
        <f>IF(INDEX(tblCleanData[WorkLifeBalance],233)&lt;=2,"Elevated","Normal")</f>
        <v>Elevated</v>
      </c>
      <c r="I241">
        <f>IF(INDEX(tblCleanData[Age],233)&lt;30,30,IF(INDEX(tblCleanData[Age],233)&lt;40,20,IF(INDEX(tblCleanData[Age],233)&lt;50,10,15)))</f>
        <v>15</v>
      </c>
      <c r="J241">
        <f>IF(INDEX(tblCleanData[MonthlyIncome],233)&lt;=$B$3,25,IF(INDEX(tblCleanData[MonthlyIncome],233)&lt;=$B$4,12,5))</f>
        <v>5</v>
      </c>
      <c r="K241">
        <f>IF(INDEX(tblCleanData[OverTime],233)="Yes",25,0)</f>
        <v>0</v>
      </c>
      <c r="L241">
        <f>(5-INDEX(tblCleanData[JobSatisfaction],233))*6.25</f>
        <v>12.5</v>
      </c>
      <c r="M241">
        <f>IF(INDEX(tblCleanData[YearsAtCompany],233)&lt;=2,25,IF(INDEX(tblCleanData[YearsAtCompany],233)&lt;=5,15,IF(INDEX(tblCleanData[YearsAtCompany],233)&lt;=10,8,3)))</f>
        <v>25</v>
      </c>
      <c r="N241">
        <f t="shared" si="6"/>
        <v>58</v>
      </c>
      <c r="O241" t="str">
        <f t="shared" si="7"/>
        <v>High Risk</v>
      </c>
    </row>
    <row r="242" spans="1:15" x14ac:dyDescent="0.25">
      <c r="A242">
        <f>INDEX(tblCleanData[EmployeeNumber],234)</f>
        <v>323</v>
      </c>
      <c r="B242" t="str">
        <f>IF(INDEX(tblCleanData[Age],234)&lt;30,"Under 30",IF(INDEX(tblCleanData[Age],234)&lt;40,"30-39",IF(INDEX(tblCleanData[Age],234)&lt;50,"40-49","50+")))</f>
        <v>50+</v>
      </c>
      <c r="C242" t="str">
        <f>IF(INDEX(tblCleanData[MonthlyIncome],234)&lt;=$B$3,"Low Income",IF(INDEX(tblCleanData[MonthlyIncome],234)&lt;=$B$4,"Medium Income","High Income"))</f>
        <v>High Income</v>
      </c>
      <c r="D242">
        <f>IF(INDEX(tblCleanData[Attrition],234)="Yes",1,0)</f>
        <v>0</v>
      </c>
      <c r="E242">
        <f>IF(INDEX(tblCleanData[OverTime],234)="Yes",1,0)</f>
        <v>0</v>
      </c>
      <c r="F242" t="str">
        <f>CHOOSE(INDEX(tblCleanData[Education],234),"Below College","College","Bachelor","Master","Doctor")</f>
        <v>Master</v>
      </c>
      <c r="G242" t="str">
        <f>IF(INDEX(tblCleanData[YearsAtCompany],234)&lt;=2,"0-2 Years",IF(INDEX(tblCleanData[YearsAtCompany],234)&lt;=5,"3-5 Years",IF(INDEX(tblCleanData[YearsAtCompany],234)&lt;=10,"6-10 Years","10+ Years")))</f>
        <v>6-10 Years</v>
      </c>
      <c r="H242" t="str">
        <f>IF(INDEX(tblCleanData[WorkLifeBalance],234)&lt;=2,"Elevated","Normal")</f>
        <v>Elevated</v>
      </c>
      <c r="I242">
        <f>IF(INDEX(tblCleanData[Age],234)&lt;30,30,IF(INDEX(tblCleanData[Age],234)&lt;40,20,IF(INDEX(tblCleanData[Age],234)&lt;50,10,15)))</f>
        <v>15</v>
      </c>
      <c r="J242">
        <f>IF(INDEX(tblCleanData[MonthlyIncome],234)&lt;=$B$3,25,IF(INDEX(tblCleanData[MonthlyIncome],234)&lt;=$B$4,12,5))</f>
        <v>5</v>
      </c>
      <c r="K242">
        <f>IF(INDEX(tblCleanData[OverTime],234)="Yes",25,0)</f>
        <v>0</v>
      </c>
      <c r="L242">
        <f>(5-INDEX(tblCleanData[JobSatisfaction],234))*6.25</f>
        <v>6.25</v>
      </c>
      <c r="M242">
        <f>IF(INDEX(tblCleanData[YearsAtCompany],234)&lt;=2,25,IF(INDEX(tblCleanData[YearsAtCompany],234)&lt;=5,15,IF(INDEX(tblCleanData[YearsAtCompany],234)&lt;=10,8,3)))</f>
        <v>8</v>
      </c>
      <c r="N242">
        <f t="shared" si="6"/>
        <v>34</v>
      </c>
      <c r="O242" t="str">
        <f t="shared" si="7"/>
        <v>Low Risk</v>
      </c>
    </row>
    <row r="243" spans="1:15" x14ac:dyDescent="0.25">
      <c r="A243">
        <f>INDEX(tblCleanData[EmployeeNumber],235)</f>
        <v>325</v>
      </c>
      <c r="B243" t="str">
        <f>IF(INDEX(tblCleanData[Age],235)&lt;30,"Under 30",IF(INDEX(tblCleanData[Age],235)&lt;40,"30-39",IF(INDEX(tblCleanData[Age],235)&lt;50,"40-49","50+")))</f>
        <v>30-39</v>
      </c>
      <c r="C243" t="str">
        <f>IF(INDEX(tblCleanData[MonthlyIncome],235)&lt;=$B$3,"Low Income",IF(INDEX(tblCleanData[MonthlyIncome],235)&lt;=$B$4,"Medium Income","High Income"))</f>
        <v>High Income</v>
      </c>
      <c r="D243">
        <f>IF(INDEX(tblCleanData[Attrition],235)="Yes",1,0)</f>
        <v>1</v>
      </c>
      <c r="E243">
        <f>IF(INDEX(tblCleanData[OverTime],235)="Yes",1,0)</f>
        <v>1</v>
      </c>
      <c r="F243" t="str">
        <f>CHOOSE(INDEX(tblCleanData[Education],235),"Below College","College","Bachelor","Master","Doctor")</f>
        <v>Bachelor</v>
      </c>
      <c r="G243" t="str">
        <f>IF(INDEX(tblCleanData[YearsAtCompany],235)&lt;=2,"0-2 Years",IF(INDEX(tblCleanData[YearsAtCompany],235)&lt;=5,"3-5 Years",IF(INDEX(tblCleanData[YearsAtCompany],235)&lt;=10,"6-10 Years","10+ Years")))</f>
        <v>3-5 Years</v>
      </c>
      <c r="H243" t="str">
        <f>IF(INDEX(tblCleanData[WorkLifeBalance],235)&lt;=2,"Elevated","Normal")</f>
        <v>Elevated</v>
      </c>
      <c r="I243">
        <f>IF(INDEX(tblCleanData[Age],235)&lt;30,30,IF(INDEX(tblCleanData[Age],235)&lt;40,20,IF(INDEX(tblCleanData[Age],235)&lt;50,10,15)))</f>
        <v>20</v>
      </c>
      <c r="J243">
        <f>IF(INDEX(tblCleanData[MonthlyIncome],235)&lt;=$B$3,25,IF(INDEX(tblCleanData[MonthlyIncome],235)&lt;=$B$4,12,5))</f>
        <v>5</v>
      </c>
      <c r="K243">
        <f>IF(INDEX(tblCleanData[OverTime],235)="Yes",25,0)</f>
        <v>25</v>
      </c>
      <c r="L243">
        <f>(5-INDEX(tblCleanData[JobSatisfaction],235))*6.25</f>
        <v>6.25</v>
      </c>
      <c r="M243">
        <f>IF(INDEX(tblCleanData[YearsAtCompany],235)&lt;=2,25,IF(INDEX(tblCleanData[YearsAtCompany],235)&lt;=5,15,IF(INDEX(tblCleanData[YearsAtCompany],235)&lt;=10,8,3)))</f>
        <v>15</v>
      </c>
      <c r="N243">
        <f t="shared" si="6"/>
        <v>71</v>
      </c>
      <c r="O243" t="str">
        <f t="shared" si="7"/>
        <v>High Risk</v>
      </c>
    </row>
    <row r="244" spans="1:15" x14ac:dyDescent="0.25">
      <c r="A244">
        <f>INDEX(tblCleanData[EmployeeNumber],236)</f>
        <v>327</v>
      </c>
      <c r="B244" t="str">
        <f>IF(INDEX(tblCleanData[Age],236)&lt;30,"Under 30",IF(INDEX(tblCleanData[Age],236)&lt;40,"30-39",IF(INDEX(tblCleanData[Age],236)&lt;50,"40-49","50+")))</f>
        <v>40-49</v>
      </c>
      <c r="C244" t="str">
        <f>IF(INDEX(tblCleanData[MonthlyIncome],236)&lt;=$B$3,"Low Income",IF(INDEX(tblCleanData[MonthlyIncome],236)&lt;=$B$4,"Medium Income","High Income"))</f>
        <v>High Income</v>
      </c>
      <c r="D244">
        <f>IF(INDEX(tblCleanData[Attrition],236)="Yes",1,0)</f>
        <v>0</v>
      </c>
      <c r="E244">
        <f>IF(INDEX(tblCleanData[OverTime],236)="Yes",1,0)</f>
        <v>1</v>
      </c>
      <c r="F244" t="str">
        <f>CHOOSE(INDEX(tblCleanData[Education],236),"Below College","College","Bachelor","Master","Doctor")</f>
        <v>Bachelor</v>
      </c>
      <c r="G244" t="str">
        <f>IF(INDEX(tblCleanData[YearsAtCompany],236)&lt;=2,"0-2 Years",IF(INDEX(tblCleanData[YearsAtCompany],236)&lt;=5,"3-5 Years",IF(INDEX(tblCleanData[YearsAtCompany],236)&lt;=10,"6-10 Years","10+ Years")))</f>
        <v>10+ Years</v>
      </c>
      <c r="H244" t="str">
        <f>IF(INDEX(tblCleanData[WorkLifeBalance],236)&lt;=2,"Elevated","Normal")</f>
        <v>Normal</v>
      </c>
      <c r="I244">
        <f>IF(INDEX(tblCleanData[Age],236)&lt;30,30,IF(INDEX(tblCleanData[Age],236)&lt;40,20,IF(INDEX(tblCleanData[Age],236)&lt;50,10,15)))</f>
        <v>10</v>
      </c>
      <c r="J244">
        <f>IF(INDEX(tblCleanData[MonthlyIncome],236)&lt;=$B$3,25,IF(INDEX(tblCleanData[MonthlyIncome],236)&lt;=$B$4,12,5))</f>
        <v>5</v>
      </c>
      <c r="K244">
        <f>IF(INDEX(tblCleanData[OverTime],236)="Yes",25,0)</f>
        <v>25</v>
      </c>
      <c r="L244">
        <f>(5-INDEX(tblCleanData[JobSatisfaction],236))*6.25</f>
        <v>6.25</v>
      </c>
      <c r="M244">
        <f>IF(INDEX(tblCleanData[YearsAtCompany],236)&lt;=2,25,IF(INDEX(tblCleanData[YearsAtCompany],236)&lt;=5,15,IF(INDEX(tblCleanData[YearsAtCompany],236)&lt;=10,8,3)))</f>
        <v>3</v>
      </c>
      <c r="N244">
        <f t="shared" si="6"/>
        <v>49</v>
      </c>
      <c r="O244" t="str">
        <f t="shared" si="7"/>
        <v>Medium Risk</v>
      </c>
    </row>
    <row r="245" spans="1:15" x14ac:dyDescent="0.25">
      <c r="A245">
        <f>INDEX(tblCleanData[EmployeeNumber],237)</f>
        <v>328</v>
      </c>
      <c r="B245" t="str">
        <f>IF(INDEX(tblCleanData[Age],237)&lt;30,"Under 30",IF(INDEX(tblCleanData[Age],237)&lt;40,"30-39",IF(INDEX(tblCleanData[Age],237)&lt;50,"40-49","50+")))</f>
        <v>30-39</v>
      </c>
      <c r="C245" t="str">
        <f>IF(INDEX(tblCleanData[MonthlyIncome],237)&lt;=$B$3,"Low Income",IF(INDEX(tblCleanData[MonthlyIncome],237)&lt;=$B$4,"Medium Income","High Income"))</f>
        <v>High Income</v>
      </c>
      <c r="D245">
        <f>IF(INDEX(tblCleanData[Attrition],237)="Yes",1,0)</f>
        <v>1</v>
      </c>
      <c r="E245">
        <f>IF(INDEX(tblCleanData[OverTime],237)="Yes",1,0)</f>
        <v>0</v>
      </c>
      <c r="F245" t="str">
        <f>CHOOSE(INDEX(tblCleanData[Education],237),"Below College","College","Bachelor","Master","Doctor")</f>
        <v>College</v>
      </c>
      <c r="G245" t="str">
        <f>IF(INDEX(tblCleanData[YearsAtCompany],237)&lt;=2,"0-2 Years",IF(INDEX(tblCleanData[YearsAtCompany],237)&lt;=5,"3-5 Years",IF(INDEX(tblCleanData[YearsAtCompany],237)&lt;=10,"6-10 Years","10+ Years")))</f>
        <v>6-10 Years</v>
      </c>
      <c r="H245" t="str">
        <f>IF(INDEX(tblCleanData[WorkLifeBalance],237)&lt;=2,"Elevated","Normal")</f>
        <v>Normal</v>
      </c>
      <c r="I245">
        <f>IF(INDEX(tblCleanData[Age],237)&lt;30,30,IF(INDEX(tblCleanData[Age],237)&lt;40,20,IF(INDEX(tblCleanData[Age],237)&lt;50,10,15)))</f>
        <v>20</v>
      </c>
      <c r="J245">
        <f>IF(INDEX(tblCleanData[MonthlyIncome],237)&lt;=$B$3,25,IF(INDEX(tblCleanData[MonthlyIncome],237)&lt;=$B$4,12,5))</f>
        <v>5</v>
      </c>
      <c r="K245">
        <f>IF(INDEX(tblCleanData[OverTime],237)="Yes",25,0)</f>
        <v>0</v>
      </c>
      <c r="L245">
        <f>(5-INDEX(tblCleanData[JobSatisfaction],237))*6.25</f>
        <v>25</v>
      </c>
      <c r="M245">
        <f>IF(INDEX(tblCleanData[YearsAtCompany],237)&lt;=2,25,IF(INDEX(tblCleanData[YearsAtCompany],237)&lt;=5,15,IF(INDEX(tblCleanData[YearsAtCompany],237)&lt;=10,8,3)))</f>
        <v>8</v>
      </c>
      <c r="N245">
        <f t="shared" si="6"/>
        <v>58</v>
      </c>
      <c r="O245" t="str">
        <f t="shared" si="7"/>
        <v>High Risk</v>
      </c>
    </row>
    <row r="246" spans="1:15" x14ac:dyDescent="0.25">
      <c r="A246">
        <f>INDEX(tblCleanData[EmployeeNumber],238)</f>
        <v>329</v>
      </c>
      <c r="B246" t="str">
        <f>IF(INDEX(tblCleanData[Age],238)&lt;30,"Under 30",IF(INDEX(tblCleanData[Age],238)&lt;40,"30-39",IF(INDEX(tblCleanData[Age],238)&lt;50,"40-49","50+")))</f>
        <v>50+</v>
      </c>
      <c r="C246" t="str">
        <f>IF(INDEX(tblCleanData[MonthlyIncome],238)&lt;=$B$3,"Low Income",IF(INDEX(tblCleanData[MonthlyIncome],238)&lt;=$B$4,"Medium Income","High Income"))</f>
        <v>High Income</v>
      </c>
      <c r="D246">
        <f>IF(INDEX(tblCleanData[Attrition],238)="Yes",1,0)</f>
        <v>0</v>
      </c>
      <c r="E246">
        <f>IF(INDEX(tblCleanData[OverTime],238)="Yes",1,0)</f>
        <v>1</v>
      </c>
      <c r="F246" t="str">
        <f>CHOOSE(INDEX(tblCleanData[Education],238),"Below College","College","Bachelor","Master","Doctor")</f>
        <v>Master</v>
      </c>
      <c r="G246" t="str">
        <f>IF(INDEX(tblCleanData[YearsAtCompany],238)&lt;=2,"0-2 Years",IF(INDEX(tblCleanData[YearsAtCompany],238)&lt;=5,"3-5 Years",IF(INDEX(tblCleanData[YearsAtCompany],238)&lt;=10,"6-10 Years","10+ Years")))</f>
        <v>10+ Years</v>
      </c>
      <c r="H246" t="str">
        <f>IF(INDEX(tblCleanData[WorkLifeBalance],238)&lt;=2,"Elevated","Normal")</f>
        <v>Normal</v>
      </c>
      <c r="I246">
        <f>IF(INDEX(tblCleanData[Age],238)&lt;30,30,IF(INDEX(tblCleanData[Age],238)&lt;40,20,IF(INDEX(tblCleanData[Age],238)&lt;50,10,15)))</f>
        <v>15</v>
      </c>
      <c r="J246">
        <f>IF(INDEX(tblCleanData[MonthlyIncome],238)&lt;=$B$3,25,IF(INDEX(tblCleanData[MonthlyIncome],238)&lt;=$B$4,12,5))</f>
        <v>5</v>
      </c>
      <c r="K246">
        <f>IF(INDEX(tblCleanData[OverTime],238)="Yes",25,0)</f>
        <v>25</v>
      </c>
      <c r="L246">
        <f>(5-INDEX(tblCleanData[JobSatisfaction],238))*6.25</f>
        <v>12.5</v>
      </c>
      <c r="M246">
        <f>IF(INDEX(tblCleanData[YearsAtCompany],238)&lt;=2,25,IF(INDEX(tblCleanData[YearsAtCompany],238)&lt;=5,15,IF(INDEX(tblCleanData[YearsAtCompany],238)&lt;=10,8,3)))</f>
        <v>3</v>
      </c>
      <c r="N246">
        <f t="shared" si="6"/>
        <v>61</v>
      </c>
      <c r="O246" t="str">
        <f t="shared" si="7"/>
        <v>High Risk</v>
      </c>
    </row>
    <row r="247" spans="1:15" x14ac:dyDescent="0.25">
      <c r="A247">
        <f>INDEX(tblCleanData[EmployeeNumber],239)</f>
        <v>330</v>
      </c>
      <c r="B247" t="str">
        <f>IF(INDEX(tblCleanData[Age],239)&lt;30,"Under 30",IF(INDEX(tblCleanData[Age],239)&lt;40,"30-39",IF(INDEX(tblCleanData[Age],239)&lt;50,"40-49","50+")))</f>
        <v>30-39</v>
      </c>
      <c r="C247" t="str">
        <f>IF(INDEX(tblCleanData[MonthlyIncome],239)&lt;=$B$3,"Low Income",IF(INDEX(tblCleanData[MonthlyIncome],239)&lt;=$B$4,"Medium Income","High Income"))</f>
        <v>High Income</v>
      </c>
      <c r="D247">
        <f>IF(INDEX(tblCleanData[Attrition],239)="Yes",1,0)</f>
        <v>0</v>
      </c>
      <c r="E247">
        <f>IF(INDEX(tblCleanData[OverTime],239)="Yes",1,0)</f>
        <v>0</v>
      </c>
      <c r="F247" t="str">
        <f>CHOOSE(INDEX(tblCleanData[Education],239),"Below College","College","Bachelor","Master","Doctor")</f>
        <v>College</v>
      </c>
      <c r="G247" t="str">
        <f>IF(INDEX(tblCleanData[YearsAtCompany],239)&lt;=2,"0-2 Years",IF(INDEX(tblCleanData[YearsAtCompany],239)&lt;=5,"3-5 Years",IF(INDEX(tblCleanData[YearsAtCompany],239)&lt;=10,"6-10 Years","10+ Years")))</f>
        <v>3-5 Years</v>
      </c>
      <c r="H247" t="str">
        <f>IF(INDEX(tblCleanData[WorkLifeBalance],239)&lt;=2,"Elevated","Normal")</f>
        <v>Normal</v>
      </c>
      <c r="I247">
        <f>IF(INDEX(tblCleanData[Age],239)&lt;30,30,IF(INDEX(tblCleanData[Age],239)&lt;40,20,IF(INDEX(tblCleanData[Age],239)&lt;50,10,15)))</f>
        <v>20</v>
      </c>
      <c r="J247">
        <f>IF(INDEX(tblCleanData[MonthlyIncome],239)&lt;=$B$3,25,IF(INDEX(tblCleanData[MonthlyIncome],239)&lt;=$B$4,12,5))</f>
        <v>5</v>
      </c>
      <c r="K247">
        <f>IF(INDEX(tblCleanData[OverTime],239)="Yes",25,0)</f>
        <v>0</v>
      </c>
      <c r="L247">
        <f>(5-INDEX(tblCleanData[JobSatisfaction],239))*6.25</f>
        <v>18.75</v>
      </c>
      <c r="M247">
        <f>IF(INDEX(tblCleanData[YearsAtCompany],239)&lt;=2,25,IF(INDEX(tblCleanData[YearsAtCompany],239)&lt;=5,15,IF(INDEX(tblCleanData[YearsAtCompany],239)&lt;=10,8,3)))</f>
        <v>15</v>
      </c>
      <c r="N247">
        <f t="shared" si="6"/>
        <v>59</v>
      </c>
      <c r="O247" t="str">
        <f t="shared" si="7"/>
        <v>High Risk</v>
      </c>
    </row>
    <row r="248" spans="1:15" x14ac:dyDescent="0.25">
      <c r="A248">
        <f>INDEX(tblCleanData[EmployeeNumber],240)</f>
        <v>331</v>
      </c>
      <c r="B248" t="str">
        <f>IF(INDEX(tblCleanData[Age],240)&lt;30,"Under 30",IF(INDEX(tblCleanData[Age],240)&lt;40,"30-39",IF(INDEX(tblCleanData[Age],240)&lt;50,"40-49","50+")))</f>
        <v>30-39</v>
      </c>
      <c r="C248" t="str">
        <f>IF(INDEX(tblCleanData[MonthlyIncome],240)&lt;=$B$3,"Low Income",IF(INDEX(tblCleanData[MonthlyIncome],240)&lt;=$B$4,"Medium Income","High Income"))</f>
        <v>High Income</v>
      </c>
      <c r="D248">
        <f>IF(INDEX(tblCleanData[Attrition],240)="Yes",1,0)</f>
        <v>1</v>
      </c>
      <c r="E248">
        <f>IF(INDEX(tblCleanData[OverTime],240)="Yes",1,0)</f>
        <v>1</v>
      </c>
      <c r="F248" t="str">
        <f>CHOOSE(INDEX(tblCleanData[Education],240),"Below College","College","Bachelor","Master","Doctor")</f>
        <v>Bachelor</v>
      </c>
      <c r="G248" t="str">
        <f>IF(INDEX(tblCleanData[YearsAtCompany],240)&lt;=2,"0-2 Years",IF(INDEX(tblCleanData[YearsAtCompany],240)&lt;=5,"3-5 Years",IF(INDEX(tblCleanData[YearsAtCompany],240)&lt;=10,"6-10 Years","10+ Years")))</f>
        <v>3-5 Years</v>
      </c>
      <c r="H248" t="str">
        <f>IF(INDEX(tblCleanData[WorkLifeBalance],240)&lt;=2,"Elevated","Normal")</f>
        <v>Elevated</v>
      </c>
      <c r="I248">
        <f>IF(INDEX(tblCleanData[Age],240)&lt;30,30,IF(INDEX(tblCleanData[Age],240)&lt;40,20,IF(INDEX(tblCleanData[Age],240)&lt;50,10,15)))</f>
        <v>20</v>
      </c>
      <c r="J248">
        <f>IF(INDEX(tblCleanData[MonthlyIncome],240)&lt;=$B$3,25,IF(INDEX(tblCleanData[MonthlyIncome],240)&lt;=$B$4,12,5))</f>
        <v>5</v>
      </c>
      <c r="K248">
        <f>IF(INDEX(tblCleanData[OverTime],240)="Yes",25,0)</f>
        <v>25</v>
      </c>
      <c r="L248">
        <f>(5-INDEX(tblCleanData[JobSatisfaction],240))*6.25</f>
        <v>12.5</v>
      </c>
      <c r="M248">
        <f>IF(INDEX(tblCleanData[YearsAtCompany],240)&lt;=2,25,IF(INDEX(tblCleanData[YearsAtCompany],240)&lt;=5,15,IF(INDEX(tblCleanData[YearsAtCompany],240)&lt;=10,8,3)))</f>
        <v>15</v>
      </c>
      <c r="N248">
        <f t="shared" si="6"/>
        <v>78</v>
      </c>
      <c r="O248" t="str">
        <f t="shared" si="7"/>
        <v>High Risk</v>
      </c>
    </row>
    <row r="249" spans="1:15" x14ac:dyDescent="0.25">
      <c r="A249">
        <f>INDEX(tblCleanData[EmployeeNumber],241)</f>
        <v>332</v>
      </c>
      <c r="B249" t="str">
        <f>IF(INDEX(tblCleanData[Age],241)&lt;30,"Under 30",IF(INDEX(tblCleanData[Age],241)&lt;40,"30-39",IF(INDEX(tblCleanData[Age],241)&lt;50,"40-49","50+")))</f>
        <v>30-39</v>
      </c>
      <c r="C249" t="str">
        <f>IF(INDEX(tblCleanData[MonthlyIncome],241)&lt;=$B$3,"Low Income",IF(INDEX(tblCleanData[MonthlyIncome],241)&lt;=$B$4,"Medium Income","High Income"))</f>
        <v>High Income</v>
      </c>
      <c r="D249">
        <f>IF(INDEX(tblCleanData[Attrition],241)="Yes",1,0)</f>
        <v>0</v>
      </c>
      <c r="E249">
        <f>IF(INDEX(tblCleanData[OverTime],241)="Yes",1,0)</f>
        <v>0</v>
      </c>
      <c r="F249" t="str">
        <f>CHOOSE(INDEX(tblCleanData[Education],241),"Below College","College","Bachelor","Master","Doctor")</f>
        <v>Master</v>
      </c>
      <c r="G249" t="str">
        <f>IF(INDEX(tblCleanData[YearsAtCompany],241)&lt;=2,"0-2 Years",IF(INDEX(tblCleanData[YearsAtCompany],241)&lt;=5,"3-5 Years",IF(INDEX(tblCleanData[YearsAtCompany],241)&lt;=10,"6-10 Years","10+ Years")))</f>
        <v>3-5 Years</v>
      </c>
      <c r="H249" t="str">
        <f>IF(INDEX(tblCleanData[WorkLifeBalance],241)&lt;=2,"Elevated","Normal")</f>
        <v>Normal</v>
      </c>
      <c r="I249">
        <f>IF(INDEX(tblCleanData[Age],241)&lt;30,30,IF(INDEX(tblCleanData[Age],241)&lt;40,20,IF(INDEX(tblCleanData[Age],241)&lt;50,10,15)))</f>
        <v>20</v>
      </c>
      <c r="J249">
        <f>IF(INDEX(tblCleanData[MonthlyIncome],241)&lt;=$B$3,25,IF(INDEX(tblCleanData[MonthlyIncome],241)&lt;=$B$4,12,5))</f>
        <v>5</v>
      </c>
      <c r="K249">
        <f>IF(INDEX(tblCleanData[OverTime],241)="Yes",25,0)</f>
        <v>0</v>
      </c>
      <c r="L249">
        <f>(5-INDEX(tblCleanData[JobSatisfaction],241))*6.25</f>
        <v>12.5</v>
      </c>
      <c r="M249">
        <f>IF(INDEX(tblCleanData[YearsAtCompany],241)&lt;=2,25,IF(INDEX(tblCleanData[YearsAtCompany],241)&lt;=5,15,IF(INDEX(tblCleanData[YearsAtCompany],241)&lt;=10,8,3)))</f>
        <v>15</v>
      </c>
      <c r="N249">
        <f t="shared" si="6"/>
        <v>53</v>
      </c>
      <c r="O249" t="str">
        <f t="shared" si="7"/>
        <v>Medium Risk</v>
      </c>
    </row>
    <row r="250" spans="1:15" x14ac:dyDescent="0.25">
      <c r="A250">
        <f>INDEX(tblCleanData[EmployeeNumber],242)</f>
        <v>333</v>
      </c>
      <c r="B250" t="str">
        <f>IF(INDEX(tblCleanData[Age],242)&lt;30,"Under 30",IF(INDEX(tblCleanData[Age],242)&lt;40,"30-39",IF(INDEX(tblCleanData[Age],242)&lt;50,"40-49","50+")))</f>
        <v>30-39</v>
      </c>
      <c r="C250" t="str">
        <f>IF(INDEX(tblCleanData[MonthlyIncome],242)&lt;=$B$3,"Low Income",IF(INDEX(tblCleanData[MonthlyIncome],242)&lt;=$B$4,"Medium Income","High Income"))</f>
        <v>High Income</v>
      </c>
      <c r="D250">
        <f>IF(INDEX(tblCleanData[Attrition],242)="Yes",1,0)</f>
        <v>0</v>
      </c>
      <c r="E250">
        <f>IF(INDEX(tblCleanData[OverTime],242)="Yes",1,0)</f>
        <v>0</v>
      </c>
      <c r="F250" t="str">
        <f>CHOOSE(INDEX(tblCleanData[Education],242),"Below College","College","Bachelor","Master","Doctor")</f>
        <v>Master</v>
      </c>
      <c r="G250" t="str">
        <f>IF(INDEX(tblCleanData[YearsAtCompany],242)&lt;=2,"0-2 Years",IF(INDEX(tblCleanData[YearsAtCompany],242)&lt;=5,"3-5 Years",IF(INDEX(tblCleanData[YearsAtCompany],242)&lt;=10,"6-10 Years","10+ Years")))</f>
        <v>3-5 Years</v>
      </c>
      <c r="H250" t="str">
        <f>IF(INDEX(tblCleanData[WorkLifeBalance],242)&lt;=2,"Elevated","Normal")</f>
        <v>Normal</v>
      </c>
      <c r="I250">
        <f>IF(INDEX(tblCleanData[Age],242)&lt;30,30,IF(INDEX(tblCleanData[Age],242)&lt;40,20,IF(INDEX(tblCleanData[Age],242)&lt;50,10,15)))</f>
        <v>20</v>
      </c>
      <c r="J250">
        <f>IF(INDEX(tblCleanData[MonthlyIncome],242)&lt;=$B$3,25,IF(INDEX(tblCleanData[MonthlyIncome],242)&lt;=$B$4,12,5))</f>
        <v>5</v>
      </c>
      <c r="K250">
        <f>IF(INDEX(tblCleanData[OverTime],242)="Yes",25,0)</f>
        <v>0</v>
      </c>
      <c r="L250">
        <f>(5-INDEX(tblCleanData[JobSatisfaction],242))*6.25</f>
        <v>6.25</v>
      </c>
      <c r="M250">
        <f>IF(INDEX(tblCleanData[YearsAtCompany],242)&lt;=2,25,IF(INDEX(tblCleanData[YearsAtCompany],242)&lt;=5,15,IF(INDEX(tblCleanData[YearsAtCompany],242)&lt;=10,8,3)))</f>
        <v>15</v>
      </c>
      <c r="N250">
        <f t="shared" si="6"/>
        <v>46</v>
      </c>
      <c r="O250" t="str">
        <f t="shared" si="7"/>
        <v>Medium Risk</v>
      </c>
    </row>
    <row r="251" spans="1:15" x14ac:dyDescent="0.25">
      <c r="A251">
        <f>INDEX(tblCleanData[EmployeeNumber],243)</f>
        <v>334</v>
      </c>
      <c r="B251" t="str">
        <f>IF(INDEX(tblCleanData[Age],243)&lt;30,"Under 30",IF(INDEX(tblCleanData[Age],243)&lt;40,"30-39",IF(INDEX(tblCleanData[Age],243)&lt;50,"40-49","50+")))</f>
        <v>40-49</v>
      </c>
      <c r="C251" t="str">
        <f>IF(INDEX(tblCleanData[MonthlyIncome],243)&lt;=$B$3,"Low Income",IF(INDEX(tblCleanData[MonthlyIncome],243)&lt;=$B$4,"Medium Income","High Income"))</f>
        <v>High Income</v>
      </c>
      <c r="D251">
        <f>IF(INDEX(tblCleanData[Attrition],243)="Yes",1,0)</f>
        <v>0</v>
      </c>
      <c r="E251">
        <f>IF(INDEX(tblCleanData[OverTime],243)="Yes",1,0)</f>
        <v>0</v>
      </c>
      <c r="F251" t="str">
        <f>CHOOSE(INDEX(tblCleanData[Education],243),"Below College","College","Bachelor","Master","Doctor")</f>
        <v>College</v>
      </c>
      <c r="G251" t="str">
        <f>IF(INDEX(tblCleanData[YearsAtCompany],243)&lt;=2,"0-2 Years",IF(INDEX(tblCleanData[YearsAtCompany],243)&lt;=5,"3-5 Years",IF(INDEX(tblCleanData[YearsAtCompany],243)&lt;=10,"6-10 Years","10+ Years")))</f>
        <v>0-2 Years</v>
      </c>
      <c r="H251" t="str">
        <f>IF(INDEX(tblCleanData[WorkLifeBalance],243)&lt;=2,"Elevated","Normal")</f>
        <v>Elevated</v>
      </c>
      <c r="I251">
        <f>IF(INDEX(tblCleanData[Age],243)&lt;30,30,IF(INDEX(tblCleanData[Age],243)&lt;40,20,IF(INDEX(tblCleanData[Age],243)&lt;50,10,15)))</f>
        <v>10</v>
      </c>
      <c r="J251">
        <f>IF(INDEX(tblCleanData[MonthlyIncome],243)&lt;=$B$3,25,IF(INDEX(tblCleanData[MonthlyIncome],243)&lt;=$B$4,12,5))</f>
        <v>5</v>
      </c>
      <c r="K251">
        <f>IF(INDEX(tblCleanData[OverTime],243)="Yes",25,0)</f>
        <v>0</v>
      </c>
      <c r="L251">
        <f>(5-INDEX(tblCleanData[JobSatisfaction],243))*6.25</f>
        <v>25</v>
      </c>
      <c r="M251">
        <f>IF(INDEX(tblCleanData[YearsAtCompany],243)&lt;=2,25,IF(INDEX(tblCleanData[YearsAtCompany],243)&lt;=5,15,IF(INDEX(tblCleanData[YearsAtCompany],243)&lt;=10,8,3)))</f>
        <v>25</v>
      </c>
      <c r="N251">
        <f t="shared" si="6"/>
        <v>65</v>
      </c>
      <c r="O251" t="str">
        <f t="shared" si="7"/>
        <v>High Risk</v>
      </c>
    </row>
    <row r="252" spans="1:15" x14ac:dyDescent="0.25">
      <c r="A252">
        <f>INDEX(tblCleanData[EmployeeNumber],244)</f>
        <v>335</v>
      </c>
      <c r="B252" t="str">
        <f>IF(INDEX(tblCleanData[Age],244)&lt;30,"Under 30",IF(INDEX(tblCleanData[Age],244)&lt;40,"30-39",IF(INDEX(tblCleanData[Age],244)&lt;50,"40-49","50+")))</f>
        <v>40-49</v>
      </c>
      <c r="C252" t="str">
        <f>IF(INDEX(tblCleanData[MonthlyIncome],244)&lt;=$B$3,"Low Income",IF(INDEX(tblCleanData[MonthlyIncome],244)&lt;=$B$4,"Medium Income","High Income"))</f>
        <v>High Income</v>
      </c>
      <c r="D252">
        <f>IF(INDEX(tblCleanData[Attrition],244)="Yes",1,0)</f>
        <v>0</v>
      </c>
      <c r="E252">
        <f>IF(INDEX(tblCleanData[OverTime],244)="Yes",1,0)</f>
        <v>0</v>
      </c>
      <c r="F252" t="str">
        <f>CHOOSE(INDEX(tblCleanData[Education],244),"Below College","College","Bachelor","Master","Doctor")</f>
        <v>College</v>
      </c>
      <c r="G252" t="str">
        <f>IF(INDEX(tblCleanData[YearsAtCompany],244)&lt;=2,"0-2 Years",IF(INDEX(tblCleanData[YearsAtCompany],244)&lt;=5,"3-5 Years",IF(INDEX(tblCleanData[YearsAtCompany],244)&lt;=10,"6-10 Years","10+ Years")))</f>
        <v>6-10 Years</v>
      </c>
      <c r="H252" t="str">
        <f>IF(INDEX(tblCleanData[WorkLifeBalance],244)&lt;=2,"Elevated","Normal")</f>
        <v>Normal</v>
      </c>
      <c r="I252">
        <f>IF(INDEX(tblCleanData[Age],244)&lt;30,30,IF(INDEX(tblCleanData[Age],244)&lt;40,20,IF(INDEX(tblCleanData[Age],244)&lt;50,10,15)))</f>
        <v>10</v>
      </c>
      <c r="J252">
        <f>IF(INDEX(tblCleanData[MonthlyIncome],244)&lt;=$B$3,25,IF(INDEX(tblCleanData[MonthlyIncome],244)&lt;=$B$4,12,5))</f>
        <v>5</v>
      </c>
      <c r="K252">
        <f>IF(INDEX(tblCleanData[OverTime],244)="Yes",25,0)</f>
        <v>0</v>
      </c>
      <c r="L252">
        <f>(5-INDEX(tblCleanData[JobSatisfaction],244))*6.25</f>
        <v>6.25</v>
      </c>
      <c r="M252">
        <f>IF(INDEX(tblCleanData[YearsAtCompany],244)&lt;=2,25,IF(INDEX(tblCleanData[YearsAtCompany],244)&lt;=5,15,IF(INDEX(tblCleanData[YearsAtCompany],244)&lt;=10,8,3)))</f>
        <v>8</v>
      </c>
      <c r="N252">
        <f t="shared" si="6"/>
        <v>29</v>
      </c>
      <c r="O252" t="str">
        <f t="shared" si="7"/>
        <v>Low Risk</v>
      </c>
    </row>
    <row r="253" spans="1:15" x14ac:dyDescent="0.25">
      <c r="A253">
        <f>INDEX(tblCleanData[EmployeeNumber],245)</f>
        <v>336</v>
      </c>
      <c r="B253" t="str">
        <f>IF(INDEX(tblCleanData[Age],245)&lt;30,"Under 30",IF(INDEX(tblCleanData[Age],245)&lt;40,"30-39",IF(INDEX(tblCleanData[Age],245)&lt;50,"40-49","50+")))</f>
        <v>40-49</v>
      </c>
      <c r="C253" t="str">
        <f>IF(INDEX(tblCleanData[MonthlyIncome],245)&lt;=$B$3,"Low Income",IF(INDEX(tblCleanData[MonthlyIncome],245)&lt;=$B$4,"Medium Income","High Income"))</f>
        <v>High Income</v>
      </c>
      <c r="D253">
        <f>IF(INDEX(tblCleanData[Attrition],245)="Yes",1,0)</f>
        <v>0</v>
      </c>
      <c r="E253">
        <f>IF(INDEX(tblCleanData[OverTime],245)="Yes",1,0)</f>
        <v>0</v>
      </c>
      <c r="F253" t="str">
        <f>CHOOSE(INDEX(tblCleanData[Education],245),"Below College","College","Bachelor","Master","Doctor")</f>
        <v>Bachelor</v>
      </c>
      <c r="G253" t="str">
        <f>IF(INDEX(tblCleanData[YearsAtCompany],245)&lt;=2,"0-2 Years",IF(INDEX(tblCleanData[YearsAtCompany],245)&lt;=5,"3-5 Years",IF(INDEX(tblCleanData[YearsAtCompany],245)&lt;=10,"6-10 Years","10+ Years")))</f>
        <v>10+ Years</v>
      </c>
      <c r="H253" t="str">
        <f>IF(INDEX(tblCleanData[WorkLifeBalance],245)&lt;=2,"Elevated","Normal")</f>
        <v>Normal</v>
      </c>
      <c r="I253">
        <f>IF(INDEX(tblCleanData[Age],245)&lt;30,30,IF(INDEX(tblCleanData[Age],245)&lt;40,20,IF(INDEX(tblCleanData[Age],245)&lt;50,10,15)))</f>
        <v>10</v>
      </c>
      <c r="J253">
        <f>IF(INDEX(tblCleanData[MonthlyIncome],245)&lt;=$B$3,25,IF(INDEX(tblCleanData[MonthlyIncome],245)&lt;=$B$4,12,5))</f>
        <v>5</v>
      </c>
      <c r="K253">
        <f>IF(INDEX(tblCleanData[OverTime],245)="Yes",25,0)</f>
        <v>0</v>
      </c>
      <c r="L253">
        <f>(5-INDEX(tblCleanData[JobSatisfaction],245))*6.25</f>
        <v>6.25</v>
      </c>
      <c r="M253">
        <f>IF(INDEX(tblCleanData[YearsAtCompany],245)&lt;=2,25,IF(INDEX(tblCleanData[YearsAtCompany],245)&lt;=5,15,IF(INDEX(tblCleanData[YearsAtCompany],245)&lt;=10,8,3)))</f>
        <v>3</v>
      </c>
      <c r="N253">
        <f t="shared" si="6"/>
        <v>24</v>
      </c>
      <c r="O253" t="str">
        <f t="shared" si="7"/>
        <v>Low Risk</v>
      </c>
    </row>
    <row r="254" spans="1:15" x14ac:dyDescent="0.25">
      <c r="A254">
        <f>INDEX(tblCleanData[EmployeeNumber],246)</f>
        <v>337</v>
      </c>
      <c r="B254" t="str">
        <f>IF(INDEX(tblCleanData[Age],246)&lt;30,"Under 30",IF(INDEX(tblCleanData[Age],246)&lt;40,"30-39",IF(INDEX(tblCleanData[Age],246)&lt;50,"40-49","50+")))</f>
        <v>30-39</v>
      </c>
      <c r="C254" t="str">
        <f>IF(INDEX(tblCleanData[MonthlyIncome],246)&lt;=$B$3,"Low Income",IF(INDEX(tblCleanData[MonthlyIncome],246)&lt;=$B$4,"Medium Income","High Income"))</f>
        <v>High Income</v>
      </c>
      <c r="D254">
        <f>IF(INDEX(tblCleanData[Attrition],246)="Yes",1,0)</f>
        <v>0</v>
      </c>
      <c r="E254">
        <f>IF(INDEX(tblCleanData[OverTime],246)="Yes",1,0)</f>
        <v>0</v>
      </c>
      <c r="F254" t="str">
        <f>CHOOSE(INDEX(tblCleanData[Education],246),"Below College","College","Bachelor","Master","Doctor")</f>
        <v>Master</v>
      </c>
      <c r="G254" t="str">
        <f>IF(INDEX(tblCleanData[YearsAtCompany],246)&lt;=2,"0-2 Years",IF(INDEX(tblCleanData[YearsAtCompany],246)&lt;=5,"3-5 Years",IF(INDEX(tblCleanData[YearsAtCompany],246)&lt;=10,"6-10 Years","10+ Years")))</f>
        <v>0-2 Years</v>
      </c>
      <c r="H254" t="str">
        <f>IF(INDEX(tblCleanData[WorkLifeBalance],246)&lt;=2,"Elevated","Normal")</f>
        <v>Normal</v>
      </c>
      <c r="I254">
        <f>IF(INDEX(tblCleanData[Age],246)&lt;30,30,IF(INDEX(tblCleanData[Age],246)&lt;40,20,IF(INDEX(tblCleanData[Age],246)&lt;50,10,15)))</f>
        <v>20</v>
      </c>
      <c r="J254">
        <f>IF(INDEX(tblCleanData[MonthlyIncome],246)&lt;=$B$3,25,IF(INDEX(tblCleanData[MonthlyIncome],246)&lt;=$B$4,12,5))</f>
        <v>5</v>
      </c>
      <c r="K254">
        <f>IF(INDEX(tblCleanData[OverTime],246)="Yes",25,0)</f>
        <v>0</v>
      </c>
      <c r="L254">
        <f>(5-INDEX(tblCleanData[JobSatisfaction],246))*6.25</f>
        <v>12.5</v>
      </c>
      <c r="M254">
        <f>IF(INDEX(tblCleanData[YearsAtCompany],246)&lt;=2,25,IF(INDEX(tblCleanData[YearsAtCompany],246)&lt;=5,15,IF(INDEX(tblCleanData[YearsAtCompany],246)&lt;=10,8,3)))</f>
        <v>25</v>
      </c>
      <c r="N254">
        <f t="shared" si="6"/>
        <v>63</v>
      </c>
      <c r="O254" t="str">
        <f t="shared" si="7"/>
        <v>High Risk</v>
      </c>
    </row>
    <row r="255" spans="1:15" x14ac:dyDescent="0.25">
      <c r="A255">
        <f>INDEX(tblCleanData[EmployeeNumber],247)</f>
        <v>338</v>
      </c>
      <c r="B255" t="str">
        <f>IF(INDEX(tblCleanData[Age],247)&lt;30,"Under 30",IF(INDEX(tblCleanData[Age],247)&lt;40,"30-39",IF(INDEX(tblCleanData[Age],247)&lt;50,"40-49","50+")))</f>
        <v>30-39</v>
      </c>
      <c r="C255" t="str">
        <f>IF(INDEX(tblCleanData[MonthlyIncome],247)&lt;=$B$3,"Low Income",IF(INDEX(tblCleanData[MonthlyIncome],247)&lt;=$B$4,"Medium Income","High Income"))</f>
        <v>High Income</v>
      </c>
      <c r="D255">
        <f>IF(INDEX(tblCleanData[Attrition],247)="Yes",1,0)</f>
        <v>0</v>
      </c>
      <c r="E255">
        <f>IF(INDEX(tblCleanData[OverTime],247)="Yes",1,0)</f>
        <v>0</v>
      </c>
      <c r="F255" t="str">
        <f>CHOOSE(INDEX(tblCleanData[Education],247),"Below College","College","Bachelor","Master","Doctor")</f>
        <v>Master</v>
      </c>
      <c r="G255" t="str">
        <f>IF(INDEX(tblCleanData[YearsAtCompany],247)&lt;=2,"0-2 Years",IF(INDEX(tblCleanData[YearsAtCompany],247)&lt;=5,"3-5 Years",IF(INDEX(tblCleanData[YearsAtCompany],247)&lt;=10,"6-10 Years","10+ Years")))</f>
        <v>0-2 Years</v>
      </c>
      <c r="H255" t="str">
        <f>IF(INDEX(tblCleanData[WorkLifeBalance],247)&lt;=2,"Elevated","Normal")</f>
        <v>Elevated</v>
      </c>
      <c r="I255">
        <f>IF(INDEX(tblCleanData[Age],247)&lt;30,30,IF(INDEX(tblCleanData[Age],247)&lt;40,20,IF(INDEX(tblCleanData[Age],247)&lt;50,10,15)))</f>
        <v>20</v>
      </c>
      <c r="J255">
        <f>IF(INDEX(tblCleanData[MonthlyIncome],247)&lt;=$B$3,25,IF(INDEX(tblCleanData[MonthlyIncome],247)&lt;=$B$4,12,5))</f>
        <v>5</v>
      </c>
      <c r="K255">
        <f>IF(INDEX(tblCleanData[OverTime],247)="Yes",25,0)</f>
        <v>0</v>
      </c>
      <c r="L255">
        <f>(5-INDEX(tblCleanData[JobSatisfaction],247))*6.25</f>
        <v>6.25</v>
      </c>
      <c r="M255">
        <f>IF(INDEX(tblCleanData[YearsAtCompany],247)&lt;=2,25,IF(INDEX(tblCleanData[YearsAtCompany],247)&lt;=5,15,IF(INDEX(tblCleanData[YearsAtCompany],247)&lt;=10,8,3)))</f>
        <v>25</v>
      </c>
      <c r="N255">
        <f t="shared" si="6"/>
        <v>56</v>
      </c>
      <c r="O255" t="str">
        <f t="shared" si="7"/>
        <v>High Risk</v>
      </c>
    </row>
    <row r="256" spans="1:15" x14ac:dyDescent="0.25">
      <c r="A256">
        <f>INDEX(tblCleanData[EmployeeNumber],248)</f>
        <v>339</v>
      </c>
      <c r="B256" t="str">
        <f>IF(INDEX(tblCleanData[Age],248)&lt;30,"Under 30",IF(INDEX(tblCleanData[Age],248)&lt;40,"30-39",IF(INDEX(tblCleanData[Age],248)&lt;50,"40-49","50+")))</f>
        <v>30-39</v>
      </c>
      <c r="C256" t="str">
        <f>IF(INDEX(tblCleanData[MonthlyIncome],248)&lt;=$B$3,"Low Income",IF(INDEX(tblCleanData[MonthlyIncome],248)&lt;=$B$4,"Medium Income","High Income"))</f>
        <v>High Income</v>
      </c>
      <c r="D256">
        <f>IF(INDEX(tblCleanData[Attrition],248)="Yes",1,0)</f>
        <v>0</v>
      </c>
      <c r="E256">
        <f>IF(INDEX(tblCleanData[OverTime],248)="Yes",1,0)</f>
        <v>0</v>
      </c>
      <c r="F256" t="str">
        <f>CHOOSE(INDEX(tblCleanData[Education],248),"Below College","College","Bachelor","Master","Doctor")</f>
        <v>Master</v>
      </c>
      <c r="G256" t="str">
        <f>IF(INDEX(tblCleanData[YearsAtCompany],248)&lt;=2,"0-2 Years",IF(INDEX(tblCleanData[YearsAtCompany],248)&lt;=5,"3-5 Years",IF(INDEX(tblCleanData[YearsAtCompany],248)&lt;=10,"6-10 Years","10+ Years")))</f>
        <v>10+ Years</v>
      </c>
      <c r="H256" t="str">
        <f>IF(INDEX(tblCleanData[WorkLifeBalance],248)&lt;=2,"Elevated","Normal")</f>
        <v>Normal</v>
      </c>
      <c r="I256">
        <f>IF(INDEX(tblCleanData[Age],248)&lt;30,30,IF(INDEX(tblCleanData[Age],248)&lt;40,20,IF(INDEX(tblCleanData[Age],248)&lt;50,10,15)))</f>
        <v>20</v>
      </c>
      <c r="J256">
        <f>IF(INDEX(tblCleanData[MonthlyIncome],248)&lt;=$B$3,25,IF(INDEX(tblCleanData[MonthlyIncome],248)&lt;=$B$4,12,5))</f>
        <v>5</v>
      </c>
      <c r="K256">
        <f>IF(INDEX(tblCleanData[OverTime],248)="Yes",25,0)</f>
        <v>0</v>
      </c>
      <c r="L256">
        <f>(5-INDEX(tblCleanData[JobSatisfaction],248))*6.25</f>
        <v>25</v>
      </c>
      <c r="M256">
        <f>IF(INDEX(tblCleanData[YearsAtCompany],248)&lt;=2,25,IF(INDEX(tblCleanData[YearsAtCompany],248)&lt;=5,15,IF(INDEX(tblCleanData[YearsAtCompany],248)&lt;=10,8,3)))</f>
        <v>3</v>
      </c>
      <c r="N256">
        <f t="shared" si="6"/>
        <v>53</v>
      </c>
      <c r="O256" t="str">
        <f t="shared" si="7"/>
        <v>Medium Risk</v>
      </c>
    </row>
    <row r="257" spans="1:15" x14ac:dyDescent="0.25">
      <c r="A257">
        <f>INDEX(tblCleanData[EmployeeNumber],249)</f>
        <v>340</v>
      </c>
      <c r="B257" t="str">
        <f>IF(INDEX(tblCleanData[Age],249)&lt;30,"Under 30",IF(INDEX(tblCleanData[Age],249)&lt;40,"30-39",IF(INDEX(tblCleanData[Age],249)&lt;50,"40-49","50+")))</f>
        <v>30-39</v>
      </c>
      <c r="C257" t="str">
        <f>IF(INDEX(tblCleanData[MonthlyIncome],249)&lt;=$B$3,"Low Income",IF(INDEX(tblCleanData[MonthlyIncome],249)&lt;=$B$4,"Medium Income","High Income"))</f>
        <v>High Income</v>
      </c>
      <c r="D257">
        <f>IF(INDEX(tblCleanData[Attrition],249)="Yes",1,0)</f>
        <v>0</v>
      </c>
      <c r="E257">
        <f>IF(INDEX(tblCleanData[OverTime],249)="Yes",1,0)</f>
        <v>0</v>
      </c>
      <c r="F257" t="str">
        <f>CHOOSE(INDEX(tblCleanData[Education],249),"Below College","College","Bachelor","Master","Doctor")</f>
        <v>College</v>
      </c>
      <c r="G257" t="str">
        <f>IF(INDEX(tblCleanData[YearsAtCompany],249)&lt;=2,"0-2 Years",IF(INDEX(tblCleanData[YearsAtCompany],249)&lt;=5,"3-5 Years",IF(INDEX(tblCleanData[YearsAtCompany],249)&lt;=10,"6-10 Years","10+ Years")))</f>
        <v>3-5 Years</v>
      </c>
      <c r="H257" t="str">
        <f>IF(INDEX(tblCleanData[WorkLifeBalance],249)&lt;=2,"Elevated","Normal")</f>
        <v>Elevated</v>
      </c>
      <c r="I257">
        <f>IF(INDEX(tblCleanData[Age],249)&lt;30,30,IF(INDEX(tblCleanData[Age],249)&lt;40,20,IF(INDEX(tblCleanData[Age],249)&lt;50,10,15)))</f>
        <v>20</v>
      </c>
      <c r="J257">
        <f>IF(INDEX(tblCleanData[MonthlyIncome],249)&lt;=$B$3,25,IF(INDEX(tblCleanData[MonthlyIncome],249)&lt;=$B$4,12,5))</f>
        <v>5</v>
      </c>
      <c r="K257">
        <f>IF(INDEX(tblCleanData[OverTime],249)="Yes",25,0)</f>
        <v>0</v>
      </c>
      <c r="L257">
        <f>(5-INDEX(tblCleanData[JobSatisfaction],249))*6.25</f>
        <v>25</v>
      </c>
      <c r="M257">
        <f>IF(INDEX(tblCleanData[YearsAtCompany],249)&lt;=2,25,IF(INDEX(tblCleanData[YearsAtCompany],249)&lt;=5,15,IF(INDEX(tblCleanData[YearsAtCompany],249)&lt;=10,8,3)))</f>
        <v>15</v>
      </c>
      <c r="N257">
        <f t="shared" si="6"/>
        <v>65</v>
      </c>
      <c r="O257" t="str">
        <f t="shared" si="7"/>
        <v>High Risk</v>
      </c>
    </row>
    <row r="258" spans="1:15" x14ac:dyDescent="0.25">
      <c r="A258">
        <f>INDEX(tblCleanData[EmployeeNumber],250)</f>
        <v>341</v>
      </c>
      <c r="B258" t="str">
        <f>IF(INDEX(tblCleanData[Age],250)&lt;30,"Under 30",IF(INDEX(tblCleanData[Age],250)&lt;40,"30-39",IF(INDEX(tblCleanData[Age],250)&lt;50,"40-49","50+")))</f>
        <v>40-49</v>
      </c>
      <c r="C258" t="str">
        <f>IF(INDEX(tblCleanData[MonthlyIncome],250)&lt;=$B$3,"Low Income",IF(INDEX(tblCleanData[MonthlyIncome],250)&lt;=$B$4,"Medium Income","High Income"))</f>
        <v>High Income</v>
      </c>
      <c r="D258">
        <f>IF(INDEX(tblCleanData[Attrition],250)="Yes",1,0)</f>
        <v>0</v>
      </c>
      <c r="E258">
        <f>IF(INDEX(tblCleanData[OverTime],250)="Yes",1,0)</f>
        <v>0</v>
      </c>
      <c r="F258" t="str">
        <f>CHOOSE(INDEX(tblCleanData[Education],250),"Below College","College","Bachelor","Master","Doctor")</f>
        <v>Master</v>
      </c>
      <c r="G258" t="str">
        <f>IF(INDEX(tblCleanData[YearsAtCompany],250)&lt;=2,"0-2 Years",IF(INDEX(tblCleanData[YearsAtCompany],250)&lt;=5,"3-5 Years",IF(INDEX(tblCleanData[YearsAtCompany],250)&lt;=10,"6-10 Years","10+ Years")))</f>
        <v>3-5 Years</v>
      </c>
      <c r="H258" t="str">
        <f>IF(INDEX(tblCleanData[WorkLifeBalance],250)&lt;=2,"Elevated","Normal")</f>
        <v>Normal</v>
      </c>
      <c r="I258">
        <f>IF(INDEX(tblCleanData[Age],250)&lt;30,30,IF(INDEX(tblCleanData[Age],250)&lt;40,20,IF(INDEX(tblCleanData[Age],250)&lt;50,10,15)))</f>
        <v>10</v>
      </c>
      <c r="J258">
        <f>IF(INDEX(tblCleanData[MonthlyIncome],250)&lt;=$B$3,25,IF(INDEX(tblCleanData[MonthlyIncome],250)&lt;=$B$4,12,5))</f>
        <v>5</v>
      </c>
      <c r="K258">
        <f>IF(INDEX(tblCleanData[OverTime],250)="Yes",25,0)</f>
        <v>0</v>
      </c>
      <c r="L258">
        <f>(5-INDEX(tblCleanData[JobSatisfaction],250))*6.25</f>
        <v>12.5</v>
      </c>
      <c r="M258">
        <f>IF(INDEX(tblCleanData[YearsAtCompany],250)&lt;=2,25,IF(INDEX(tblCleanData[YearsAtCompany],250)&lt;=5,15,IF(INDEX(tblCleanData[YearsAtCompany],250)&lt;=10,8,3)))</f>
        <v>15</v>
      </c>
      <c r="N258">
        <f t="shared" si="6"/>
        <v>43</v>
      </c>
      <c r="O258" t="str">
        <f t="shared" si="7"/>
        <v>Medium Risk</v>
      </c>
    </row>
    <row r="259" spans="1:15" x14ac:dyDescent="0.25">
      <c r="A259">
        <f>INDEX(tblCleanData[EmployeeNumber],251)</f>
        <v>342</v>
      </c>
      <c r="B259" t="str">
        <f>IF(INDEX(tblCleanData[Age],251)&lt;30,"Under 30",IF(INDEX(tblCleanData[Age],251)&lt;40,"30-39",IF(INDEX(tblCleanData[Age],251)&lt;50,"40-49","50+")))</f>
        <v>30-39</v>
      </c>
      <c r="C259" t="str">
        <f>IF(INDEX(tblCleanData[MonthlyIncome],251)&lt;=$B$3,"Low Income",IF(INDEX(tblCleanData[MonthlyIncome],251)&lt;=$B$4,"Medium Income","High Income"))</f>
        <v>High Income</v>
      </c>
      <c r="D259">
        <f>IF(INDEX(tblCleanData[Attrition],251)="Yes",1,0)</f>
        <v>1</v>
      </c>
      <c r="E259">
        <f>IF(INDEX(tblCleanData[OverTime],251)="Yes",1,0)</f>
        <v>0</v>
      </c>
      <c r="F259" t="str">
        <f>CHOOSE(INDEX(tblCleanData[Education],251),"Below College","College","Bachelor","Master","Doctor")</f>
        <v>Bachelor</v>
      </c>
      <c r="G259" t="str">
        <f>IF(INDEX(tblCleanData[YearsAtCompany],251)&lt;=2,"0-2 Years",IF(INDEX(tblCleanData[YearsAtCompany],251)&lt;=5,"3-5 Years",IF(INDEX(tblCleanData[YearsAtCompany],251)&lt;=10,"6-10 Years","10+ Years")))</f>
        <v>0-2 Years</v>
      </c>
      <c r="H259" t="str">
        <f>IF(INDEX(tblCleanData[WorkLifeBalance],251)&lt;=2,"Elevated","Normal")</f>
        <v>Normal</v>
      </c>
      <c r="I259">
        <f>IF(INDEX(tblCleanData[Age],251)&lt;30,30,IF(INDEX(tblCleanData[Age],251)&lt;40,20,IF(INDEX(tblCleanData[Age],251)&lt;50,10,15)))</f>
        <v>20</v>
      </c>
      <c r="J259">
        <f>IF(INDEX(tblCleanData[MonthlyIncome],251)&lt;=$B$3,25,IF(INDEX(tblCleanData[MonthlyIncome],251)&lt;=$B$4,12,5))</f>
        <v>5</v>
      </c>
      <c r="K259">
        <f>IF(INDEX(tblCleanData[OverTime],251)="Yes",25,0)</f>
        <v>0</v>
      </c>
      <c r="L259">
        <f>(5-INDEX(tblCleanData[JobSatisfaction],251))*6.25</f>
        <v>12.5</v>
      </c>
      <c r="M259">
        <f>IF(INDEX(tblCleanData[YearsAtCompany],251)&lt;=2,25,IF(INDEX(tblCleanData[YearsAtCompany],251)&lt;=5,15,IF(INDEX(tblCleanData[YearsAtCompany],251)&lt;=10,8,3)))</f>
        <v>25</v>
      </c>
      <c r="N259">
        <f t="shared" si="6"/>
        <v>63</v>
      </c>
      <c r="O259" t="str">
        <f t="shared" si="7"/>
        <v>High Risk</v>
      </c>
    </row>
    <row r="260" spans="1:15" x14ac:dyDescent="0.25">
      <c r="A260">
        <f>INDEX(tblCleanData[EmployeeNumber],252)</f>
        <v>343</v>
      </c>
      <c r="B260" t="str">
        <f>IF(INDEX(tblCleanData[Age],252)&lt;30,"Under 30",IF(INDEX(tblCleanData[Age],252)&lt;40,"30-39",IF(INDEX(tblCleanData[Age],252)&lt;50,"40-49","50+")))</f>
        <v>30-39</v>
      </c>
      <c r="C260" t="str">
        <f>IF(INDEX(tblCleanData[MonthlyIncome],252)&lt;=$B$3,"Low Income",IF(INDEX(tblCleanData[MonthlyIncome],252)&lt;=$B$4,"Medium Income","High Income"))</f>
        <v>High Income</v>
      </c>
      <c r="D260">
        <f>IF(INDEX(tblCleanData[Attrition],252)="Yes",1,0)</f>
        <v>0</v>
      </c>
      <c r="E260">
        <f>IF(INDEX(tblCleanData[OverTime],252)="Yes",1,0)</f>
        <v>0</v>
      </c>
      <c r="F260" t="str">
        <f>CHOOSE(INDEX(tblCleanData[Education],252),"Below College","College","Bachelor","Master","Doctor")</f>
        <v>Master</v>
      </c>
      <c r="G260" t="str">
        <f>IF(INDEX(tblCleanData[YearsAtCompany],252)&lt;=2,"0-2 Years",IF(INDEX(tblCleanData[YearsAtCompany],252)&lt;=5,"3-5 Years",IF(INDEX(tblCleanData[YearsAtCompany],252)&lt;=10,"6-10 Years","10+ Years")))</f>
        <v>10+ Years</v>
      </c>
      <c r="H260" t="str">
        <f>IF(INDEX(tblCleanData[WorkLifeBalance],252)&lt;=2,"Elevated","Normal")</f>
        <v>Normal</v>
      </c>
      <c r="I260">
        <f>IF(INDEX(tblCleanData[Age],252)&lt;30,30,IF(INDEX(tblCleanData[Age],252)&lt;40,20,IF(INDEX(tblCleanData[Age],252)&lt;50,10,15)))</f>
        <v>20</v>
      </c>
      <c r="J260">
        <f>IF(INDEX(tblCleanData[MonthlyIncome],252)&lt;=$B$3,25,IF(INDEX(tblCleanData[MonthlyIncome],252)&lt;=$B$4,12,5))</f>
        <v>5</v>
      </c>
      <c r="K260">
        <f>IF(INDEX(tblCleanData[OverTime],252)="Yes",25,0)</f>
        <v>0</v>
      </c>
      <c r="L260">
        <f>(5-INDEX(tblCleanData[JobSatisfaction],252))*6.25</f>
        <v>12.5</v>
      </c>
      <c r="M260">
        <f>IF(INDEX(tblCleanData[YearsAtCompany],252)&lt;=2,25,IF(INDEX(tblCleanData[YearsAtCompany],252)&lt;=5,15,IF(INDEX(tblCleanData[YearsAtCompany],252)&lt;=10,8,3)))</f>
        <v>3</v>
      </c>
      <c r="N260">
        <f t="shared" si="6"/>
        <v>41</v>
      </c>
      <c r="O260" t="str">
        <f t="shared" si="7"/>
        <v>Medium Risk</v>
      </c>
    </row>
    <row r="261" spans="1:15" x14ac:dyDescent="0.25">
      <c r="A261">
        <f>INDEX(tblCleanData[EmployeeNumber],253)</f>
        <v>346</v>
      </c>
      <c r="B261" t="str">
        <f>IF(INDEX(tblCleanData[Age],253)&lt;30,"Under 30",IF(INDEX(tblCleanData[Age],253)&lt;40,"30-39",IF(INDEX(tblCleanData[Age],253)&lt;50,"40-49","50+")))</f>
        <v>Under 30</v>
      </c>
      <c r="C261" t="str">
        <f>IF(INDEX(tblCleanData[MonthlyIncome],253)&lt;=$B$3,"Low Income",IF(INDEX(tblCleanData[MonthlyIncome],253)&lt;=$B$4,"Medium Income","High Income"))</f>
        <v>High Income</v>
      </c>
      <c r="D261">
        <f>IF(INDEX(tblCleanData[Attrition],253)="Yes",1,0)</f>
        <v>0</v>
      </c>
      <c r="E261">
        <f>IF(INDEX(tblCleanData[OverTime],253)="Yes",1,0)</f>
        <v>0</v>
      </c>
      <c r="F261" t="str">
        <f>CHOOSE(INDEX(tblCleanData[Education],253),"Below College","College","Bachelor","Master","Doctor")</f>
        <v>Bachelor</v>
      </c>
      <c r="G261" t="str">
        <f>IF(INDEX(tblCleanData[YearsAtCompany],253)&lt;=2,"0-2 Years",IF(INDEX(tblCleanData[YearsAtCompany],253)&lt;=5,"3-5 Years",IF(INDEX(tblCleanData[YearsAtCompany],253)&lt;=10,"6-10 Years","10+ Years")))</f>
        <v>6-10 Years</v>
      </c>
      <c r="H261" t="str">
        <f>IF(INDEX(tblCleanData[WorkLifeBalance],253)&lt;=2,"Elevated","Normal")</f>
        <v>Normal</v>
      </c>
      <c r="I261">
        <f>IF(INDEX(tblCleanData[Age],253)&lt;30,30,IF(INDEX(tblCleanData[Age],253)&lt;40,20,IF(INDEX(tblCleanData[Age],253)&lt;50,10,15)))</f>
        <v>30</v>
      </c>
      <c r="J261">
        <f>IF(INDEX(tblCleanData[MonthlyIncome],253)&lt;=$B$3,25,IF(INDEX(tblCleanData[MonthlyIncome],253)&lt;=$B$4,12,5))</f>
        <v>5</v>
      </c>
      <c r="K261">
        <f>IF(INDEX(tblCleanData[OverTime],253)="Yes",25,0)</f>
        <v>0</v>
      </c>
      <c r="L261">
        <f>(5-INDEX(tblCleanData[JobSatisfaction],253))*6.25</f>
        <v>6.25</v>
      </c>
      <c r="M261">
        <f>IF(INDEX(tblCleanData[YearsAtCompany],253)&lt;=2,25,IF(INDEX(tblCleanData[YearsAtCompany],253)&lt;=5,15,IF(INDEX(tblCleanData[YearsAtCompany],253)&lt;=10,8,3)))</f>
        <v>8</v>
      </c>
      <c r="N261">
        <f t="shared" si="6"/>
        <v>49</v>
      </c>
      <c r="O261" t="str">
        <f t="shared" si="7"/>
        <v>Medium Risk</v>
      </c>
    </row>
    <row r="262" spans="1:15" x14ac:dyDescent="0.25">
      <c r="A262">
        <f>INDEX(tblCleanData[EmployeeNumber],254)</f>
        <v>347</v>
      </c>
      <c r="B262" t="str">
        <f>IF(INDEX(tblCleanData[Age],254)&lt;30,"Under 30",IF(INDEX(tblCleanData[Age],254)&lt;40,"30-39",IF(INDEX(tblCleanData[Age],254)&lt;50,"40-49","50+")))</f>
        <v>40-49</v>
      </c>
      <c r="C262" t="str">
        <f>IF(INDEX(tblCleanData[MonthlyIncome],254)&lt;=$B$3,"Low Income",IF(INDEX(tblCleanData[MonthlyIncome],254)&lt;=$B$4,"Medium Income","High Income"))</f>
        <v>High Income</v>
      </c>
      <c r="D262">
        <f>IF(INDEX(tblCleanData[Attrition],254)="Yes",1,0)</f>
        <v>0</v>
      </c>
      <c r="E262">
        <f>IF(INDEX(tblCleanData[OverTime],254)="Yes",1,0)</f>
        <v>1</v>
      </c>
      <c r="F262" t="str">
        <f>CHOOSE(INDEX(tblCleanData[Education],254),"Below College","College","Bachelor","Master","Doctor")</f>
        <v>College</v>
      </c>
      <c r="G262" t="str">
        <f>IF(INDEX(tblCleanData[YearsAtCompany],254)&lt;=2,"0-2 Years",IF(INDEX(tblCleanData[YearsAtCompany],254)&lt;=5,"3-5 Years",IF(INDEX(tblCleanData[YearsAtCompany],254)&lt;=10,"6-10 Years","10+ Years")))</f>
        <v>3-5 Years</v>
      </c>
      <c r="H262" t="str">
        <f>IF(INDEX(tblCleanData[WorkLifeBalance],254)&lt;=2,"Elevated","Normal")</f>
        <v>Normal</v>
      </c>
      <c r="I262">
        <f>IF(INDEX(tblCleanData[Age],254)&lt;30,30,IF(INDEX(tblCleanData[Age],254)&lt;40,20,IF(INDEX(tblCleanData[Age],254)&lt;50,10,15)))</f>
        <v>10</v>
      </c>
      <c r="J262">
        <f>IF(INDEX(tblCleanData[MonthlyIncome],254)&lt;=$B$3,25,IF(INDEX(tblCleanData[MonthlyIncome],254)&lt;=$B$4,12,5))</f>
        <v>5</v>
      </c>
      <c r="K262">
        <f>IF(INDEX(tblCleanData[OverTime],254)="Yes",25,0)</f>
        <v>25</v>
      </c>
      <c r="L262">
        <f>(5-INDEX(tblCleanData[JobSatisfaction],254))*6.25</f>
        <v>25</v>
      </c>
      <c r="M262">
        <f>IF(INDEX(tblCleanData[YearsAtCompany],254)&lt;=2,25,IF(INDEX(tblCleanData[YearsAtCompany],254)&lt;=5,15,IF(INDEX(tblCleanData[YearsAtCompany],254)&lt;=10,8,3)))</f>
        <v>15</v>
      </c>
      <c r="N262">
        <f t="shared" si="6"/>
        <v>80</v>
      </c>
      <c r="O262" t="str">
        <f t="shared" si="7"/>
        <v>High Risk</v>
      </c>
    </row>
    <row r="263" spans="1:15" x14ac:dyDescent="0.25">
      <c r="A263">
        <f>INDEX(tblCleanData[EmployeeNumber],255)</f>
        <v>349</v>
      </c>
      <c r="B263" t="str">
        <f>IF(INDEX(tblCleanData[Age],255)&lt;30,"Under 30",IF(INDEX(tblCleanData[Age],255)&lt;40,"30-39",IF(INDEX(tblCleanData[Age],255)&lt;50,"40-49","50+")))</f>
        <v>Under 30</v>
      </c>
      <c r="C263" t="str">
        <f>IF(INDEX(tblCleanData[MonthlyIncome],255)&lt;=$B$3,"Low Income",IF(INDEX(tblCleanData[MonthlyIncome],255)&lt;=$B$4,"Medium Income","High Income"))</f>
        <v>High Income</v>
      </c>
      <c r="D263">
        <f>IF(INDEX(tblCleanData[Attrition],255)="Yes",1,0)</f>
        <v>0</v>
      </c>
      <c r="E263">
        <f>IF(INDEX(tblCleanData[OverTime],255)="Yes",1,0)</f>
        <v>0</v>
      </c>
      <c r="F263" t="str">
        <f>CHOOSE(INDEX(tblCleanData[Education],255),"Below College","College","Bachelor","Master","Doctor")</f>
        <v>College</v>
      </c>
      <c r="G263" t="str">
        <f>IF(INDEX(tblCleanData[YearsAtCompany],255)&lt;=2,"0-2 Years",IF(INDEX(tblCleanData[YearsAtCompany],255)&lt;=5,"3-5 Years",IF(INDEX(tblCleanData[YearsAtCompany],255)&lt;=10,"6-10 Years","10+ Years")))</f>
        <v>3-5 Years</v>
      </c>
      <c r="H263" t="str">
        <f>IF(INDEX(tblCleanData[WorkLifeBalance],255)&lt;=2,"Elevated","Normal")</f>
        <v>Normal</v>
      </c>
      <c r="I263">
        <f>IF(INDEX(tblCleanData[Age],255)&lt;30,30,IF(INDEX(tblCleanData[Age],255)&lt;40,20,IF(INDEX(tblCleanData[Age],255)&lt;50,10,15)))</f>
        <v>30</v>
      </c>
      <c r="J263">
        <f>IF(INDEX(tblCleanData[MonthlyIncome],255)&lt;=$B$3,25,IF(INDEX(tblCleanData[MonthlyIncome],255)&lt;=$B$4,12,5))</f>
        <v>5</v>
      </c>
      <c r="K263">
        <f>IF(INDEX(tblCleanData[OverTime],255)="Yes",25,0)</f>
        <v>0</v>
      </c>
      <c r="L263">
        <f>(5-INDEX(tblCleanData[JobSatisfaction],255))*6.25</f>
        <v>6.25</v>
      </c>
      <c r="M263">
        <f>IF(INDEX(tblCleanData[YearsAtCompany],255)&lt;=2,25,IF(INDEX(tblCleanData[YearsAtCompany],255)&lt;=5,15,IF(INDEX(tblCleanData[YearsAtCompany],255)&lt;=10,8,3)))</f>
        <v>15</v>
      </c>
      <c r="N263">
        <f t="shared" si="6"/>
        <v>56</v>
      </c>
      <c r="O263" t="str">
        <f t="shared" si="7"/>
        <v>High Risk</v>
      </c>
    </row>
    <row r="264" spans="1:15" x14ac:dyDescent="0.25">
      <c r="A264">
        <f>INDEX(tblCleanData[EmployeeNumber],256)</f>
        <v>350</v>
      </c>
      <c r="B264" t="str">
        <f>IF(INDEX(tblCleanData[Age],256)&lt;30,"Under 30",IF(INDEX(tblCleanData[Age],256)&lt;40,"30-39",IF(INDEX(tblCleanData[Age],256)&lt;50,"40-49","50+")))</f>
        <v>Under 30</v>
      </c>
      <c r="C264" t="str">
        <f>IF(INDEX(tblCleanData[MonthlyIncome],256)&lt;=$B$3,"Low Income",IF(INDEX(tblCleanData[MonthlyIncome],256)&lt;=$B$4,"Medium Income","High Income"))</f>
        <v>High Income</v>
      </c>
      <c r="D264">
        <f>IF(INDEX(tblCleanData[Attrition],256)="Yes",1,0)</f>
        <v>0</v>
      </c>
      <c r="E264">
        <f>IF(INDEX(tblCleanData[OverTime],256)="Yes",1,0)</f>
        <v>0</v>
      </c>
      <c r="F264" t="str">
        <f>CHOOSE(INDEX(tblCleanData[Education],256),"Below College","College","Bachelor","Master","Doctor")</f>
        <v>Bachelor</v>
      </c>
      <c r="G264" t="str">
        <f>IF(INDEX(tblCleanData[YearsAtCompany],256)&lt;=2,"0-2 Years",IF(INDEX(tblCleanData[YearsAtCompany],256)&lt;=5,"3-5 Years",IF(INDEX(tblCleanData[YearsAtCompany],256)&lt;=10,"6-10 Years","10+ Years")))</f>
        <v>3-5 Years</v>
      </c>
      <c r="H264" t="str">
        <f>IF(INDEX(tblCleanData[WorkLifeBalance],256)&lt;=2,"Elevated","Normal")</f>
        <v>Normal</v>
      </c>
      <c r="I264">
        <f>IF(INDEX(tblCleanData[Age],256)&lt;30,30,IF(INDEX(tblCleanData[Age],256)&lt;40,20,IF(INDEX(tblCleanData[Age],256)&lt;50,10,15)))</f>
        <v>30</v>
      </c>
      <c r="J264">
        <f>IF(INDEX(tblCleanData[MonthlyIncome],256)&lt;=$B$3,25,IF(INDEX(tblCleanData[MonthlyIncome],256)&lt;=$B$4,12,5))</f>
        <v>5</v>
      </c>
      <c r="K264">
        <f>IF(INDEX(tblCleanData[OverTime],256)="Yes",25,0)</f>
        <v>0</v>
      </c>
      <c r="L264">
        <f>(5-INDEX(tblCleanData[JobSatisfaction],256))*6.25</f>
        <v>12.5</v>
      </c>
      <c r="M264">
        <f>IF(INDEX(tblCleanData[YearsAtCompany],256)&lt;=2,25,IF(INDEX(tblCleanData[YearsAtCompany],256)&lt;=5,15,IF(INDEX(tblCleanData[YearsAtCompany],256)&lt;=10,8,3)))</f>
        <v>15</v>
      </c>
      <c r="N264">
        <f t="shared" si="6"/>
        <v>63</v>
      </c>
      <c r="O264" t="str">
        <f t="shared" si="7"/>
        <v>High Risk</v>
      </c>
    </row>
    <row r="265" spans="1:15" x14ac:dyDescent="0.25">
      <c r="A265">
        <f>INDEX(tblCleanData[EmployeeNumber],257)</f>
        <v>351</v>
      </c>
      <c r="B265" t="str">
        <f>IF(INDEX(tblCleanData[Age],257)&lt;30,"Under 30",IF(INDEX(tblCleanData[Age],257)&lt;40,"30-39",IF(INDEX(tblCleanData[Age],257)&lt;50,"40-49","50+")))</f>
        <v>40-49</v>
      </c>
      <c r="C265" t="str">
        <f>IF(INDEX(tblCleanData[MonthlyIncome],257)&lt;=$B$3,"Low Income",IF(INDEX(tblCleanData[MonthlyIncome],257)&lt;=$B$4,"Medium Income","High Income"))</f>
        <v>High Income</v>
      </c>
      <c r="D265">
        <f>IF(INDEX(tblCleanData[Attrition],257)="Yes",1,0)</f>
        <v>0</v>
      </c>
      <c r="E265">
        <f>IF(INDEX(tblCleanData[OverTime],257)="Yes",1,0)</f>
        <v>1</v>
      </c>
      <c r="F265" t="str">
        <f>CHOOSE(INDEX(tblCleanData[Education],257),"Below College","College","Bachelor","Master","Doctor")</f>
        <v>Bachelor</v>
      </c>
      <c r="G265" t="str">
        <f>IF(INDEX(tblCleanData[YearsAtCompany],257)&lt;=2,"0-2 Years",IF(INDEX(tblCleanData[YearsAtCompany],257)&lt;=5,"3-5 Years",IF(INDEX(tblCleanData[YearsAtCompany],257)&lt;=10,"6-10 Years","10+ Years")))</f>
        <v>6-10 Years</v>
      </c>
      <c r="H265" t="str">
        <f>IF(INDEX(tblCleanData[WorkLifeBalance],257)&lt;=2,"Elevated","Normal")</f>
        <v>Normal</v>
      </c>
      <c r="I265">
        <f>IF(INDEX(tblCleanData[Age],257)&lt;30,30,IF(INDEX(tblCleanData[Age],257)&lt;40,20,IF(INDEX(tblCleanData[Age],257)&lt;50,10,15)))</f>
        <v>10</v>
      </c>
      <c r="J265">
        <f>IF(INDEX(tblCleanData[MonthlyIncome],257)&lt;=$B$3,25,IF(INDEX(tblCleanData[MonthlyIncome],257)&lt;=$B$4,12,5))</f>
        <v>5</v>
      </c>
      <c r="K265">
        <f>IF(INDEX(tblCleanData[OverTime],257)="Yes",25,0)</f>
        <v>25</v>
      </c>
      <c r="L265">
        <f>(5-INDEX(tblCleanData[JobSatisfaction],257))*6.25</f>
        <v>25</v>
      </c>
      <c r="M265">
        <f>IF(INDEX(tblCleanData[YearsAtCompany],257)&lt;=2,25,IF(INDEX(tblCleanData[YearsAtCompany],257)&lt;=5,15,IF(INDEX(tblCleanData[YearsAtCompany],257)&lt;=10,8,3)))</f>
        <v>8</v>
      </c>
      <c r="N265">
        <f t="shared" ref="N265:N328" si="8">ROUND(I265+J265+K265+L265+M265,0)</f>
        <v>73</v>
      </c>
      <c r="O265" t="str">
        <f t="shared" ref="O265:O328" si="9">IF(N265&gt;=55,"High Risk",IF(N265&gt;=35,"Medium Risk","Low Risk"))</f>
        <v>High Risk</v>
      </c>
    </row>
    <row r="266" spans="1:15" x14ac:dyDescent="0.25">
      <c r="A266">
        <f>INDEX(tblCleanData[EmployeeNumber],258)</f>
        <v>352</v>
      </c>
      <c r="B266" t="str">
        <f>IF(INDEX(tblCleanData[Age],258)&lt;30,"Under 30",IF(INDEX(tblCleanData[Age],258)&lt;40,"30-39",IF(INDEX(tblCleanData[Age],258)&lt;50,"40-49","50+")))</f>
        <v>40-49</v>
      </c>
      <c r="C266" t="str">
        <f>IF(INDEX(tblCleanData[MonthlyIncome],258)&lt;=$B$3,"Low Income",IF(INDEX(tblCleanData[MonthlyIncome],258)&lt;=$B$4,"Medium Income","High Income"))</f>
        <v>High Income</v>
      </c>
      <c r="D266">
        <f>IF(INDEX(tblCleanData[Attrition],258)="Yes",1,0)</f>
        <v>0</v>
      </c>
      <c r="E266">
        <f>IF(INDEX(tblCleanData[OverTime],258)="Yes",1,0)</f>
        <v>0</v>
      </c>
      <c r="F266" t="str">
        <f>CHOOSE(INDEX(tblCleanData[Education],258),"Below College","College","Bachelor","Master","Doctor")</f>
        <v>College</v>
      </c>
      <c r="G266" t="str">
        <f>IF(INDEX(tblCleanData[YearsAtCompany],258)&lt;=2,"0-2 Years",IF(INDEX(tblCleanData[YearsAtCompany],258)&lt;=5,"3-5 Years",IF(INDEX(tblCleanData[YearsAtCompany],258)&lt;=10,"6-10 Years","10+ Years")))</f>
        <v>10+ Years</v>
      </c>
      <c r="H266" t="str">
        <f>IF(INDEX(tblCleanData[WorkLifeBalance],258)&lt;=2,"Elevated","Normal")</f>
        <v>Normal</v>
      </c>
      <c r="I266">
        <f>IF(INDEX(tblCleanData[Age],258)&lt;30,30,IF(INDEX(tblCleanData[Age],258)&lt;40,20,IF(INDEX(tblCleanData[Age],258)&lt;50,10,15)))</f>
        <v>10</v>
      </c>
      <c r="J266">
        <f>IF(INDEX(tblCleanData[MonthlyIncome],258)&lt;=$B$3,25,IF(INDEX(tblCleanData[MonthlyIncome],258)&lt;=$B$4,12,5))</f>
        <v>5</v>
      </c>
      <c r="K266">
        <f>IF(INDEX(tblCleanData[OverTime],258)="Yes",25,0)</f>
        <v>0</v>
      </c>
      <c r="L266">
        <f>(5-INDEX(tblCleanData[JobSatisfaction],258))*6.25</f>
        <v>12.5</v>
      </c>
      <c r="M266">
        <f>IF(INDEX(tblCleanData[YearsAtCompany],258)&lt;=2,25,IF(INDEX(tblCleanData[YearsAtCompany],258)&lt;=5,15,IF(INDEX(tblCleanData[YearsAtCompany],258)&lt;=10,8,3)))</f>
        <v>3</v>
      </c>
      <c r="N266">
        <f t="shared" si="8"/>
        <v>31</v>
      </c>
      <c r="O266" t="str">
        <f t="shared" si="9"/>
        <v>Low Risk</v>
      </c>
    </row>
    <row r="267" spans="1:15" x14ac:dyDescent="0.25">
      <c r="A267">
        <f>INDEX(tblCleanData[EmployeeNumber],259)</f>
        <v>353</v>
      </c>
      <c r="B267" t="str">
        <f>IF(INDEX(tblCleanData[Age],259)&lt;30,"Under 30",IF(INDEX(tblCleanData[Age],259)&lt;40,"30-39",IF(INDEX(tblCleanData[Age],259)&lt;50,"40-49","50+")))</f>
        <v>50+</v>
      </c>
      <c r="C267" t="str">
        <f>IF(INDEX(tblCleanData[MonthlyIncome],259)&lt;=$B$3,"Low Income",IF(INDEX(tblCleanData[MonthlyIncome],259)&lt;=$B$4,"Medium Income","High Income"))</f>
        <v>High Income</v>
      </c>
      <c r="D267">
        <f>IF(INDEX(tblCleanData[Attrition],259)="Yes",1,0)</f>
        <v>0</v>
      </c>
      <c r="E267">
        <f>IF(INDEX(tblCleanData[OverTime],259)="Yes",1,0)</f>
        <v>0</v>
      </c>
      <c r="F267" t="str">
        <f>CHOOSE(INDEX(tblCleanData[Education],259),"Below College","College","Bachelor","Master","Doctor")</f>
        <v>Bachelor</v>
      </c>
      <c r="G267" t="str">
        <f>IF(INDEX(tblCleanData[YearsAtCompany],259)&lt;=2,"0-2 Years",IF(INDEX(tblCleanData[YearsAtCompany],259)&lt;=5,"3-5 Years",IF(INDEX(tblCleanData[YearsAtCompany],259)&lt;=10,"6-10 Years","10+ Years")))</f>
        <v>0-2 Years</v>
      </c>
      <c r="H267" t="str">
        <f>IF(INDEX(tblCleanData[WorkLifeBalance],259)&lt;=2,"Elevated","Normal")</f>
        <v>Elevated</v>
      </c>
      <c r="I267">
        <f>IF(INDEX(tblCleanData[Age],259)&lt;30,30,IF(INDEX(tblCleanData[Age],259)&lt;40,20,IF(INDEX(tblCleanData[Age],259)&lt;50,10,15)))</f>
        <v>15</v>
      </c>
      <c r="J267">
        <f>IF(INDEX(tblCleanData[MonthlyIncome],259)&lt;=$B$3,25,IF(INDEX(tblCleanData[MonthlyIncome],259)&lt;=$B$4,12,5))</f>
        <v>5</v>
      </c>
      <c r="K267">
        <f>IF(INDEX(tblCleanData[OverTime],259)="Yes",25,0)</f>
        <v>0</v>
      </c>
      <c r="L267">
        <f>(5-INDEX(tblCleanData[JobSatisfaction],259))*6.25</f>
        <v>6.25</v>
      </c>
      <c r="M267">
        <f>IF(INDEX(tblCleanData[YearsAtCompany],259)&lt;=2,25,IF(INDEX(tblCleanData[YearsAtCompany],259)&lt;=5,15,IF(INDEX(tblCleanData[YearsAtCompany],259)&lt;=10,8,3)))</f>
        <v>25</v>
      </c>
      <c r="N267">
        <f t="shared" si="8"/>
        <v>51</v>
      </c>
      <c r="O267" t="str">
        <f t="shared" si="9"/>
        <v>Medium Risk</v>
      </c>
    </row>
    <row r="268" spans="1:15" x14ac:dyDescent="0.25">
      <c r="A268">
        <f>INDEX(tblCleanData[EmployeeNumber],260)</f>
        <v>355</v>
      </c>
      <c r="B268" t="str">
        <f>IF(INDEX(tblCleanData[Age],260)&lt;30,"Under 30",IF(INDEX(tblCleanData[Age],260)&lt;40,"30-39",IF(INDEX(tblCleanData[Age],260)&lt;50,"40-49","50+")))</f>
        <v>30-39</v>
      </c>
      <c r="C268" t="str">
        <f>IF(INDEX(tblCleanData[MonthlyIncome],260)&lt;=$B$3,"Low Income",IF(INDEX(tblCleanData[MonthlyIncome],260)&lt;=$B$4,"Medium Income","High Income"))</f>
        <v>High Income</v>
      </c>
      <c r="D268">
        <f>IF(INDEX(tblCleanData[Attrition],260)="Yes",1,0)</f>
        <v>1</v>
      </c>
      <c r="E268">
        <f>IF(INDEX(tblCleanData[OverTime],260)="Yes",1,0)</f>
        <v>0</v>
      </c>
      <c r="F268" t="str">
        <f>CHOOSE(INDEX(tblCleanData[Education],260),"Below College","College","Bachelor","Master","Doctor")</f>
        <v>College</v>
      </c>
      <c r="G268" t="str">
        <f>IF(INDEX(tblCleanData[YearsAtCompany],260)&lt;=2,"0-2 Years",IF(INDEX(tblCleanData[YearsAtCompany],260)&lt;=5,"3-5 Years",IF(INDEX(tblCleanData[YearsAtCompany],260)&lt;=10,"6-10 Years","10+ Years")))</f>
        <v>3-5 Years</v>
      </c>
      <c r="H268" t="str">
        <f>IF(INDEX(tblCleanData[WorkLifeBalance],260)&lt;=2,"Elevated","Normal")</f>
        <v>Normal</v>
      </c>
      <c r="I268">
        <f>IF(INDEX(tblCleanData[Age],260)&lt;30,30,IF(INDEX(tblCleanData[Age],260)&lt;40,20,IF(INDEX(tblCleanData[Age],260)&lt;50,10,15)))</f>
        <v>20</v>
      </c>
      <c r="J268">
        <f>IF(INDEX(tblCleanData[MonthlyIncome],260)&lt;=$B$3,25,IF(INDEX(tblCleanData[MonthlyIncome],260)&lt;=$B$4,12,5))</f>
        <v>5</v>
      </c>
      <c r="K268">
        <f>IF(INDEX(tblCleanData[OverTime],260)="Yes",25,0)</f>
        <v>0</v>
      </c>
      <c r="L268">
        <f>(5-INDEX(tblCleanData[JobSatisfaction],260))*6.25</f>
        <v>18.75</v>
      </c>
      <c r="M268">
        <f>IF(INDEX(tblCleanData[YearsAtCompany],260)&lt;=2,25,IF(INDEX(tblCleanData[YearsAtCompany],260)&lt;=5,15,IF(INDEX(tblCleanData[YearsAtCompany],260)&lt;=10,8,3)))</f>
        <v>15</v>
      </c>
      <c r="N268">
        <f t="shared" si="8"/>
        <v>59</v>
      </c>
      <c r="O268" t="str">
        <f t="shared" si="9"/>
        <v>High Risk</v>
      </c>
    </row>
    <row r="269" spans="1:15" x14ac:dyDescent="0.25">
      <c r="A269">
        <f>INDEX(tblCleanData[EmployeeNumber],261)</f>
        <v>359</v>
      </c>
      <c r="B269" t="str">
        <f>IF(INDEX(tblCleanData[Age],261)&lt;30,"Under 30",IF(INDEX(tblCleanData[Age],261)&lt;40,"30-39",IF(INDEX(tblCleanData[Age],261)&lt;50,"40-49","50+")))</f>
        <v>30-39</v>
      </c>
      <c r="C269" t="str">
        <f>IF(INDEX(tblCleanData[MonthlyIncome],261)&lt;=$B$3,"Low Income",IF(INDEX(tblCleanData[MonthlyIncome],261)&lt;=$B$4,"Medium Income","High Income"))</f>
        <v>High Income</v>
      </c>
      <c r="D269">
        <f>IF(INDEX(tblCleanData[Attrition],261)="Yes",1,0)</f>
        <v>0</v>
      </c>
      <c r="E269">
        <f>IF(INDEX(tblCleanData[OverTime],261)="Yes",1,0)</f>
        <v>0</v>
      </c>
      <c r="F269" t="str">
        <f>CHOOSE(INDEX(tblCleanData[Education],261),"Below College","College","Bachelor","Master","Doctor")</f>
        <v>Bachelor</v>
      </c>
      <c r="G269" t="str">
        <f>IF(INDEX(tblCleanData[YearsAtCompany],261)&lt;=2,"0-2 Years",IF(INDEX(tblCleanData[YearsAtCompany],261)&lt;=5,"3-5 Years",IF(INDEX(tblCleanData[YearsAtCompany],261)&lt;=10,"6-10 Years","10+ Years")))</f>
        <v>3-5 Years</v>
      </c>
      <c r="H269" t="str">
        <f>IF(INDEX(tblCleanData[WorkLifeBalance],261)&lt;=2,"Elevated","Normal")</f>
        <v>Elevated</v>
      </c>
      <c r="I269">
        <f>IF(INDEX(tblCleanData[Age],261)&lt;30,30,IF(INDEX(tblCleanData[Age],261)&lt;40,20,IF(INDEX(tblCleanData[Age],261)&lt;50,10,15)))</f>
        <v>20</v>
      </c>
      <c r="J269">
        <f>IF(INDEX(tblCleanData[MonthlyIncome],261)&lt;=$B$3,25,IF(INDEX(tblCleanData[MonthlyIncome],261)&lt;=$B$4,12,5))</f>
        <v>5</v>
      </c>
      <c r="K269">
        <f>IF(INDEX(tblCleanData[OverTime],261)="Yes",25,0)</f>
        <v>0</v>
      </c>
      <c r="L269">
        <f>(5-INDEX(tblCleanData[JobSatisfaction],261))*6.25</f>
        <v>18.75</v>
      </c>
      <c r="M269">
        <f>IF(INDEX(tblCleanData[YearsAtCompany],261)&lt;=2,25,IF(INDEX(tblCleanData[YearsAtCompany],261)&lt;=5,15,IF(INDEX(tblCleanData[YearsAtCompany],261)&lt;=10,8,3)))</f>
        <v>15</v>
      </c>
      <c r="N269">
        <f t="shared" si="8"/>
        <v>59</v>
      </c>
      <c r="O269" t="str">
        <f t="shared" si="9"/>
        <v>High Risk</v>
      </c>
    </row>
    <row r="270" spans="1:15" x14ac:dyDescent="0.25">
      <c r="A270">
        <f>INDEX(tblCleanData[EmployeeNumber],262)</f>
        <v>361</v>
      </c>
      <c r="B270" t="str">
        <f>IF(INDEX(tblCleanData[Age],262)&lt;30,"Under 30",IF(INDEX(tblCleanData[Age],262)&lt;40,"30-39",IF(INDEX(tblCleanData[Age],262)&lt;50,"40-49","50+")))</f>
        <v>30-39</v>
      </c>
      <c r="C270" t="str">
        <f>IF(INDEX(tblCleanData[MonthlyIncome],262)&lt;=$B$3,"Low Income",IF(INDEX(tblCleanData[MonthlyIncome],262)&lt;=$B$4,"Medium Income","High Income"))</f>
        <v>High Income</v>
      </c>
      <c r="D270">
        <f>IF(INDEX(tblCleanData[Attrition],262)="Yes",1,0)</f>
        <v>0</v>
      </c>
      <c r="E270">
        <f>IF(INDEX(tblCleanData[OverTime],262)="Yes",1,0)</f>
        <v>0</v>
      </c>
      <c r="F270" t="str">
        <f>CHOOSE(INDEX(tblCleanData[Education],262),"Below College","College","Bachelor","Master","Doctor")</f>
        <v>College</v>
      </c>
      <c r="G270" t="str">
        <f>IF(INDEX(tblCleanData[YearsAtCompany],262)&lt;=2,"0-2 Years",IF(INDEX(tblCleanData[YearsAtCompany],262)&lt;=5,"3-5 Years",IF(INDEX(tblCleanData[YearsAtCompany],262)&lt;=10,"6-10 Years","10+ Years")))</f>
        <v>6-10 Years</v>
      </c>
      <c r="H270" t="str">
        <f>IF(INDEX(tblCleanData[WorkLifeBalance],262)&lt;=2,"Elevated","Normal")</f>
        <v>Normal</v>
      </c>
      <c r="I270">
        <f>IF(INDEX(tblCleanData[Age],262)&lt;30,30,IF(INDEX(tblCleanData[Age],262)&lt;40,20,IF(INDEX(tblCleanData[Age],262)&lt;50,10,15)))</f>
        <v>20</v>
      </c>
      <c r="J270">
        <f>IF(INDEX(tblCleanData[MonthlyIncome],262)&lt;=$B$3,25,IF(INDEX(tblCleanData[MonthlyIncome],262)&lt;=$B$4,12,5))</f>
        <v>5</v>
      </c>
      <c r="K270">
        <f>IF(INDEX(tblCleanData[OverTime],262)="Yes",25,0)</f>
        <v>0</v>
      </c>
      <c r="L270">
        <f>(5-INDEX(tblCleanData[JobSatisfaction],262))*6.25</f>
        <v>6.25</v>
      </c>
      <c r="M270">
        <f>IF(INDEX(tblCleanData[YearsAtCompany],262)&lt;=2,25,IF(INDEX(tblCleanData[YearsAtCompany],262)&lt;=5,15,IF(INDEX(tblCleanData[YearsAtCompany],262)&lt;=10,8,3)))</f>
        <v>8</v>
      </c>
      <c r="N270">
        <f t="shared" si="8"/>
        <v>39</v>
      </c>
      <c r="O270" t="str">
        <f t="shared" si="9"/>
        <v>Medium Risk</v>
      </c>
    </row>
    <row r="271" spans="1:15" x14ac:dyDescent="0.25">
      <c r="A271">
        <f>INDEX(tblCleanData[EmployeeNumber],263)</f>
        <v>362</v>
      </c>
      <c r="B271" t="str">
        <f>IF(INDEX(tblCleanData[Age],263)&lt;30,"Under 30",IF(INDEX(tblCleanData[Age],263)&lt;40,"30-39",IF(INDEX(tblCleanData[Age],263)&lt;50,"40-49","50+")))</f>
        <v>30-39</v>
      </c>
      <c r="C271" t="str">
        <f>IF(INDEX(tblCleanData[MonthlyIncome],263)&lt;=$B$3,"Low Income",IF(INDEX(tblCleanData[MonthlyIncome],263)&lt;=$B$4,"Medium Income","High Income"))</f>
        <v>High Income</v>
      </c>
      <c r="D271">
        <f>IF(INDEX(tblCleanData[Attrition],263)="Yes",1,0)</f>
        <v>0</v>
      </c>
      <c r="E271">
        <f>IF(INDEX(tblCleanData[OverTime],263)="Yes",1,0)</f>
        <v>0</v>
      </c>
      <c r="F271" t="str">
        <f>CHOOSE(INDEX(tblCleanData[Education],263),"Below College","College","Bachelor","Master","Doctor")</f>
        <v>Below College</v>
      </c>
      <c r="G271" t="str">
        <f>IF(INDEX(tblCleanData[YearsAtCompany],263)&lt;=2,"0-2 Years",IF(INDEX(tblCleanData[YearsAtCompany],263)&lt;=5,"3-5 Years",IF(INDEX(tblCleanData[YearsAtCompany],263)&lt;=10,"6-10 Years","10+ Years")))</f>
        <v>6-10 Years</v>
      </c>
      <c r="H271" t="str">
        <f>IF(INDEX(tblCleanData[WorkLifeBalance],263)&lt;=2,"Elevated","Normal")</f>
        <v>Normal</v>
      </c>
      <c r="I271">
        <f>IF(INDEX(tblCleanData[Age],263)&lt;30,30,IF(INDEX(tblCleanData[Age],263)&lt;40,20,IF(INDEX(tblCleanData[Age],263)&lt;50,10,15)))</f>
        <v>20</v>
      </c>
      <c r="J271">
        <f>IF(INDEX(tblCleanData[MonthlyIncome],263)&lt;=$B$3,25,IF(INDEX(tblCleanData[MonthlyIncome],263)&lt;=$B$4,12,5))</f>
        <v>5</v>
      </c>
      <c r="K271">
        <f>IF(INDEX(tblCleanData[OverTime],263)="Yes",25,0)</f>
        <v>0</v>
      </c>
      <c r="L271">
        <f>(5-INDEX(tblCleanData[JobSatisfaction],263))*6.25</f>
        <v>25</v>
      </c>
      <c r="M271">
        <f>IF(INDEX(tblCleanData[YearsAtCompany],263)&lt;=2,25,IF(INDEX(tblCleanData[YearsAtCompany],263)&lt;=5,15,IF(INDEX(tblCleanData[YearsAtCompany],263)&lt;=10,8,3)))</f>
        <v>8</v>
      </c>
      <c r="N271">
        <f t="shared" si="8"/>
        <v>58</v>
      </c>
      <c r="O271" t="str">
        <f t="shared" si="9"/>
        <v>High Risk</v>
      </c>
    </row>
    <row r="272" spans="1:15" x14ac:dyDescent="0.25">
      <c r="A272">
        <f>INDEX(tblCleanData[EmployeeNumber],264)</f>
        <v>363</v>
      </c>
      <c r="B272" t="str">
        <f>IF(INDEX(tblCleanData[Age],264)&lt;30,"Under 30",IF(INDEX(tblCleanData[Age],264)&lt;40,"30-39",IF(INDEX(tblCleanData[Age],264)&lt;50,"40-49","50+")))</f>
        <v>40-49</v>
      </c>
      <c r="C272" t="str">
        <f>IF(INDEX(tblCleanData[MonthlyIncome],264)&lt;=$B$3,"Low Income",IF(INDEX(tblCleanData[MonthlyIncome],264)&lt;=$B$4,"Medium Income","High Income"))</f>
        <v>High Income</v>
      </c>
      <c r="D272">
        <f>IF(INDEX(tblCleanData[Attrition],264)="Yes",1,0)</f>
        <v>0</v>
      </c>
      <c r="E272">
        <f>IF(INDEX(tblCleanData[OverTime],264)="Yes",1,0)</f>
        <v>1</v>
      </c>
      <c r="F272" t="str">
        <f>CHOOSE(INDEX(tblCleanData[Education],264),"Below College","College","Bachelor","Master","Doctor")</f>
        <v>Bachelor</v>
      </c>
      <c r="G272" t="str">
        <f>IF(INDEX(tblCleanData[YearsAtCompany],264)&lt;=2,"0-2 Years",IF(INDEX(tblCleanData[YearsAtCompany],264)&lt;=5,"3-5 Years",IF(INDEX(tblCleanData[YearsAtCompany],264)&lt;=10,"6-10 Years","10+ Years")))</f>
        <v>6-10 Years</v>
      </c>
      <c r="H272" t="str">
        <f>IF(INDEX(tblCleanData[WorkLifeBalance],264)&lt;=2,"Elevated","Normal")</f>
        <v>Elevated</v>
      </c>
      <c r="I272">
        <f>IF(INDEX(tblCleanData[Age],264)&lt;30,30,IF(INDEX(tblCleanData[Age],264)&lt;40,20,IF(INDEX(tblCleanData[Age],264)&lt;50,10,15)))</f>
        <v>10</v>
      </c>
      <c r="J272">
        <f>IF(INDEX(tblCleanData[MonthlyIncome],264)&lt;=$B$3,25,IF(INDEX(tblCleanData[MonthlyIncome],264)&lt;=$B$4,12,5))</f>
        <v>5</v>
      </c>
      <c r="K272">
        <f>IF(INDEX(tblCleanData[OverTime],264)="Yes",25,0)</f>
        <v>25</v>
      </c>
      <c r="L272">
        <f>(5-INDEX(tblCleanData[JobSatisfaction],264))*6.25</f>
        <v>18.75</v>
      </c>
      <c r="M272">
        <f>IF(INDEX(tblCleanData[YearsAtCompany],264)&lt;=2,25,IF(INDEX(tblCleanData[YearsAtCompany],264)&lt;=5,15,IF(INDEX(tblCleanData[YearsAtCompany],264)&lt;=10,8,3)))</f>
        <v>8</v>
      </c>
      <c r="N272">
        <f t="shared" si="8"/>
        <v>67</v>
      </c>
      <c r="O272" t="str">
        <f t="shared" si="9"/>
        <v>High Risk</v>
      </c>
    </row>
    <row r="273" spans="1:15" x14ac:dyDescent="0.25">
      <c r="A273">
        <f>INDEX(tblCleanData[EmployeeNumber],265)</f>
        <v>364</v>
      </c>
      <c r="B273" t="str">
        <f>IF(INDEX(tblCleanData[Age],265)&lt;30,"Under 30",IF(INDEX(tblCleanData[Age],265)&lt;40,"30-39",IF(INDEX(tblCleanData[Age],265)&lt;50,"40-49","50+")))</f>
        <v>Under 30</v>
      </c>
      <c r="C273" t="str">
        <f>IF(INDEX(tblCleanData[MonthlyIncome],265)&lt;=$B$3,"Low Income",IF(INDEX(tblCleanData[MonthlyIncome],265)&lt;=$B$4,"Medium Income","High Income"))</f>
        <v>High Income</v>
      </c>
      <c r="D273">
        <f>IF(INDEX(tblCleanData[Attrition],265)="Yes",1,0)</f>
        <v>1</v>
      </c>
      <c r="E273">
        <f>IF(INDEX(tblCleanData[OverTime],265)="Yes",1,0)</f>
        <v>0</v>
      </c>
      <c r="F273" t="str">
        <f>CHOOSE(INDEX(tblCleanData[Education],265),"Below College","College","Bachelor","Master","Doctor")</f>
        <v>Master</v>
      </c>
      <c r="G273" t="str">
        <f>IF(INDEX(tblCleanData[YearsAtCompany],265)&lt;=2,"0-2 Years",IF(INDEX(tblCleanData[YearsAtCompany],265)&lt;=5,"3-5 Years",IF(INDEX(tblCleanData[YearsAtCompany],265)&lt;=10,"6-10 Years","10+ Years")))</f>
        <v>0-2 Years</v>
      </c>
      <c r="H273" t="str">
        <f>IF(INDEX(tblCleanData[WorkLifeBalance],265)&lt;=2,"Elevated","Normal")</f>
        <v>Elevated</v>
      </c>
      <c r="I273">
        <f>IF(INDEX(tblCleanData[Age],265)&lt;30,30,IF(INDEX(tblCleanData[Age],265)&lt;40,20,IF(INDEX(tblCleanData[Age],265)&lt;50,10,15)))</f>
        <v>30</v>
      </c>
      <c r="J273">
        <f>IF(INDEX(tblCleanData[MonthlyIncome],265)&lt;=$B$3,25,IF(INDEX(tblCleanData[MonthlyIncome],265)&lt;=$B$4,12,5))</f>
        <v>5</v>
      </c>
      <c r="K273">
        <f>IF(INDEX(tblCleanData[OverTime],265)="Yes",25,0)</f>
        <v>0</v>
      </c>
      <c r="L273">
        <f>(5-INDEX(tblCleanData[JobSatisfaction],265))*6.25</f>
        <v>12.5</v>
      </c>
      <c r="M273">
        <f>IF(INDEX(tblCleanData[YearsAtCompany],265)&lt;=2,25,IF(INDEX(tblCleanData[YearsAtCompany],265)&lt;=5,15,IF(INDEX(tblCleanData[YearsAtCompany],265)&lt;=10,8,3)))</f>
        <v>25</v>
      </c>
      <c r="N273">
        <f t="shared" si="8"/>
        <v>73</v>
      </c>
      <c r="O273" t="str">
        <f t="shared" si="9"/>
        <v>High Risk</v>
      </c>
    </row>
    <row r="274" spans="1:15" x14ac:dyDescent="0.25">
      <c r="A274">
        <f>INDEX(tblCleanData[EmployeeNumber],266)</f>
        <v>366</v>
      </c>
      <c r="B274" t="str">
        <f>IF(INDEX(tblCleanData[Age],266)&lt;30,"Under 30",IF(INDEX(tblCleanData[Age],266)&lt;40,"30-39",IF(INDEX(tblCleanData[Age],266)&lt;50,"40-49","50+")))</f>
        <v>Under 30</v>
      </c>
      <c r="C274" t="str">
        <f>IF(INDEX(tblCleanData[MonthlyIncome],266)&lt;=$B$3,"Low Income",IF(INDEX(tblCleanData[MonthlyIncome],266)&lt;=$B$4,"Medium Income","High Income"))</f>
        <v>High Income</v>
      </c>
      <c r="D274">
        <f>IF(INDEX(tblCleanData[Attrition],266)="Yes",1,0)</f>
        <v>0</v>
      </c>
      <c r="E274">
        <f>IF(INDEX(tblCleanData[OverTime],266)="Yes",1,0)</f>
        <v>0</v>
      </c>
      <c r="F274" t="str">
        <f>CHOOSE(INDEX(tblCleanData[Education],266),"Below College","College","Bachelor","Master","Doctor")</f>
        <v>Bachelor</v>
      </c>
      <c r="G274" t="str">
        <f>IF(INDEX(tblCleanData[YearsAtCompany],266)&lt;=2,"0-2 Years",IF(INDEX(tblCleanData[YearsAtCompany],266)&lt;=5,"3-5 Years",IF(INDEX(tblCleanData[YearsAtCompany],266)&lt;=10,"6-10 Years","10+ Years")))</f>
        <v>0-2 Years</v>
      </c>
      <c r="H274" t="str">
        <f>IF(INDEX(tblCleanData[WorkLifeBalance],266)&lt;=2,"Elevated","Normal")</f>
        <v>Normal</v>
      </c>
      <c r="I274">
        <f>IF(INDEX(tblCleanData[Age],266)&lt;30,30,IF(INDEX(tblCleanData[Age],266)&lt;40,20,IF(INDEX(tblCleanData[Age],266)&lt;50,10,15)))</f>
        <v>30</v>
      </c>
      <c r="J274">
        <f>IF(INDEX(tblCleanData[MonthlyIncome],266)&lt;=$B$3,25,IF(INDEX(tblCleanData[MonthlyIncome],266)&lt;=$B$4,12,5))</f>
        <v>5</v>
      </c>
      <c r="K274">
        <f>IF(INDEX(tblCleanData[OverTime],266)="Yes",25,0)</f>
        <v>0</v>
      </c>
      <c r="L274">
        <f>(5-INDEX(tblCleanData[JobSatisfaction],266))*6.25</f>
        <v>18.75</v>
      </c>
      <c r="M274">
        <f>IF(INDEX(tblCleanData[YearsAtCompany],266)&lt;=2,25,IF(INDEX(tblCleanData[YearsAtCompany],266)&lt;=5,15,IF(INDEX(tblCleanData[YearsAtCompany],266)&lt;=10,8,3)))</f>
        <v>25</v>
      </c>
      <c r="N274">
        <f t="shared" si="8"/>
        <v>79</v>
      </c>
      <c r="O274" t="str">
        <f t="shared" si="9"/>
        <v>High Risk</v>
      </c>
    </row>
    <row r="275" spans="1:15" x14ac:dyDescent="0.25">
      <c r="A275">
        <f>INDEX(tblCleanData[EmployeeNumber],267)</f>
        <v>367</v>
      </c>
      <c r="B275" t="str">
        <f>IF(INDEX(tblCleanData[Age],267)&lt;30,"Under 30",IF(INDEX(tblCleanData[Age],267)&lt;40,"30-39",IF(INDEX(tblCleanData[Age],267)&lt;50,"40-49","50+")))</f>
        <v>30-39</v>
      </c>
      <c r="C275" t="str">
        <f>IF(INDEX(tblCleanData[MonthlyIncome],267)&lt;=$B$3,"Low Income",IF(INDEX(tblCleanData[MonthlyIncome],267)&lt;=$B$4,"Medium Income","High Income"))</f>
        <v>High Income</v>
      </c>
      <c r="D275">
        <f>IF(INDEX(tblCleanData[Attrition],267)="Yes",1,0)</f>
        <v>0</v>
      </c>
      <c r="E275">
        <f>IF(INDEX(tblCleanData[OverTime],267)="Yes",1,0)</f>
        <v>0</v>
      </c>
      <c r="F275" t="str">
        <f>CHOOSE(INDEX(tblCleanData[Education],267),"Below College","College","Bachelor","Master","Doctor")</f>
        <v>Bachelor</v>
      </c>
      <c r="G275" t="str">
        <f>IF(INDEX(tblCleanData[YearsAtCompany],267)&lt;=2,"0-2 Years",IF(INDEX(tblCleanData[YearsAtCompany],267)&lt;=5,"3-5 Years",IF(INDEX(tblCleanData[YearsAtCompany],267)&lt;=10,"6-10 Years","10+ Years")))</f>
        <v>6-10 Years</v>
      </c>
      <c r="H275" t="str">
        <f>IF(INDEX(tblCleanData[WorkLifeBalance],267)&lt;=2,"Elevated","Normal")</f>
        <v>Normal</v>
      </c>
      <c r="I275">
        <f>IF(INDEX(tblCleanData[Age],267)&lt;30,30,IF(INDEX(tblCleanData[Age],267)&lt;40,20,IF(INDEX(tblCleanData[Age],267)&lt;50,10,15)))</f>
        <v>20</v>
      </c>
      <c r="J275">
        <f>IF(INDEX(tblCleanData[MonthlyIncome],267)&lt;=$B$3,25,IF(INDEX(tblCleanData[MonthlyIncome],267)&lt;=$B$4,12,5))</f>
        <v>5</v>
      </c>
      <c r="K275">
        <f>IF(INDEX(tblCleanData[OverTime],267)="Yes",25,0)</f>
        <v>0</v>
      </c>
      <c r="L275">
        <f>(5-INDEX(tblCleanData[JobSatisfaction],267))*6.25</f>
        <v>6.25</v>
      </c>
      <c r="M275">
        <f>IF(INDEX(tblCleanData[YearsAtCompany],267)&lt;=2,25,IF(INDEX(tblCleanData[YearsAtCompany],267)&lt;=5,15,IF(INDEX(tblCleanData[YearsAtCompany],267)&lt;=10,8,3)))</f>
        <v>8</v>
      </c>
      <c r="N275">
        <f t="shared" si="8"/>
        <v>39</v>
      </c>
      <c r="O275" t="str">
        <f t="shared" si="9"/>
        <v>Medium Risk</v>
      </c>
    </row>
    <row r="276" spans="1:15" x14ac:dyDescent="0.25">
      <c r="A276">
        <f>INDEX(tblCleanData[EmployeeNumber],268)</f>
        <v>369</v>
      </c>
      <c r="B276" t="str">
        <f>IF(INDEX(tblCleanData[Age],268)&lt;30,"Under 30",IF(INDEX(tblCleanData[Age],268)&lt;40,"30-39",IF(INDEX(tblCleanData[Age],268)&lt;50,"40-49","50+")))</f>
        <v>Under 30</v>
      </c>
      <c r="C276" t="str">
        <f>IF(INDEX(tblCleanData[MonthlyIncome],268)&lt;=$B$3,"Low Income",IF(INDEX(tblCleanData[MonthlyIncome],268)&lt;=$B$4,"Medium Income","High Income"))</f>
        <v>High Income</v>
      </c>
      <c r="D276">
        <f>IF(INDEX(tblCleanData[Attrition],268)="Yes",1,0)</f>
        <v>0</v>
      </c>
      <c r="E276">
        <f>IF(INDEX(tblCleanData[OverTime],268)="Yes",1,0)</f>
        <v>0</v>
      </c>
      <c r="F276" t="str">
        <f>CHOOSE(INDEX(tblCleanData[Education],268),"Below College","College","Bachelor","Master","Doctor")</f>
        <v>College</v>
      </c>
      <c r="G276" t="str">
        <f>IF(INDEX(tblCleanData[YearsAtCompany],268)&lt;=2,"0-2 Years",IF(INDEX(tblCleanData[YearsAtCompany],268)&lt;=5,"3-5 Years",IF(INDEX(tblCleanData[YearsAtCompany],268)&lt;=10,"6-10 Years","10+ Years")))</f>
        <v>6-10 Years</v>
      </c>
      <c r="H276" t="str">
        <f>IF(INDEX(tblCleanData[WorkLifeBalance],268)&lt;=2,"Elevated","Normal")</f>
        <v>Normal</v>
      </c>
      <c r="I276">
        <f>IF(INDEX(tblCleanData[Age],268)&lt;30,30,IF(INDEX(tblCleanData[Age],268)&lt;40,20,IF(INDEX(tblCleanData[Age],268)&lt;50,10,15)))</f>
        <v>30</v>
      </c>
      <c r="J276">
        <f>IF(INDEX(tblCleanData[MonthlyIncome],268)&lt;=$B$3,25,IF(INDEX(tblCleanData[MonthlyIncome],268)&lt;=$B$4,12,5))</f>
        <v>5</v>
      </c>
      <c r="K276">
        <f>IF(INDEX(tblCleanData[OverTime],268)="Yes",25,0)</f>
        <v>0</v>
      </c>
      <c r="L276">
        <f>(5-INDEX(tblCleanData[JobSatisfaction],268))*6.25</f>
        <v>25</v>
      </c>
      <c r="M276">
        <f>IF(INDEX(tblCleanData[YearsAtCompany],268)&lt;=2,25,IF(INDEX(tblCleanData[YearsAtCompany],268)&lt;=5,15,IF(INDEX(tblCleanData[YearsAtCompany],268)&lt;=10,8,3)))</f>
        <v>8</v>
      </c>
      <c r="N276">
        <f t="shared" si="8"/>
        <v>68</v>
      </c>
      <c r="O276" t="str">
        <f t="shared" si="9"/>
        <v>High Risk</v>
      </c>
    </row>
    <row r="277" spans="1:15" x14ac:dyDescent="0.25">
      <c r="A277">
        <f>INDEX(tblCleanData[EmployeeNumber],269)</f>
        <v>372</v>
      </c>
      <c r="B277" t="str">
        <f>IF(INDEX(tblCleanData[Age],269)&lt;30,"Under 30",IF(INDEX(tblCleanData[Age],269)&lt;40,"30-39",IF(INDEX(tblCleanData[Age],269)&lt;50,"40-49","50+")))</f>
        <v>40-49</v>
      </c>
      <c r="C277" t="str">
        <f>IF(INDEX(tblCleanData[MonthlyIncome],269)&lt;=$B$3,"Low Income",IF(INDEX(tblCleanData[MonthlyIncome],269)&lt;=$B$4,"Medium Income","High Income"))</f>
        <v>High Income</v>
      </c>
      <c r="D277">
        <f>IF(INDEX(tblCleanData[Attrition],269)="Yes",1,0)</f>
        <v>0</v>
      </c>
      <c r="E277">
        <f>IF(INDEX(tblCleanData[OverTime],269)="Yes",1,0)</f>
        <v>1</v>
      </c>
      <c r="F277" t="str">
        <f>CHOOSE(INDEX(tblCleanData[Education],269),"Below College","College","Bachelor","Master","Doctor")</f>
        <v>College</v>
      </c>
      <c r="G277" t="str">
        <f>IF(INDEX(tblCleanData[YearsAtCompany],269)&lt;=2,"0-2 Years",IF(INDEX(tblCleanData[YearsAtCompany],269)&lt;=5,"3-5 Years",IF(INDEX(tblCleanData[YearsAtCompany],269)&lt;=10,"6-10 Years","10+ Years")))</f>
        <v>10+ Years</v>
      </c>
      <c r="H277" t="str">
        <f>IF(INDEX(tblCleanData[WorkLifeBalance],269)&lt;=2,"Elevated","Normal")</f>
        <v>Normal</v>
      </c>
      <c r="I277">
        <f>IF(INDEX(tblCleanData[Age],269)&lt;30,30,IF(INDEX(tblCleanData[Age],269)&lt;40,20,IF(INDEX(tblCleanData[Age],269)&lt;50,10,15)))</f>
        <v>10</v>
      </c>
      <c r="J277">
        <f>IF(INDEX(tblCleanData[MonthlyIncome],269)&lt;=$B$3,25,IF(INDEX(tblCleanData[MonthlyIncome],269)&lt;=$B$4,12,5))</f>
        <v>5</v>
      </c>
      <c r="K277">
        <f>IF(INDEX(tblCleanData[OverTime],269)="Yes",25,0)</f>
        <v>25</v>
      </c>
      <c r="L277">
        <f>(5-INDEX(tblCleanData[JobSatisfaction],269))*6.25</f>
        <v>6.25</v>
      </c>
      <c r="M277">
        <f>IF(INDEX(tblCleanData[YearsAtCompany],269)&lt;=2,25,IF(INDEX(tblCleanData[YearsAtCompany],269)&lt;=5,15,IF(INDEX(tblCleanData[YearsAtCompany],269)&lt;=10,8,3)))</f>
        <v>3</v>
      </c>
      <c r="N277">
        <f t="shared" si="8"/>
        <v>49</v>
      </c>
      <c r="O277" t="str">
        <f t="shared" si="9"/>
        <v>Medium Risk</v>
      </c>
    </row>
    <row r="278" spans="1:15" x14ac:dyDescent="0.25">
      <c r="A278">
        <f>INDEX(tblCleanData[EmployeeNumber],270)</f>
        <v>373</v>
      </c>
      <c r="B278" t="str">
        <f>IF(INDEX(tblCleanData[Age],270)&lt;30,"Under 30",IF(INDEX(tblCleanData[Age],270)&lt;40,"30-39",IF(INDEX(tblCleanData[Age],270)&lt;50,"40-49","50+")))</f>
        <v>30-39</v>
      </c>
      <c r="C278" t="str">
        <f>IF(INDEX(tblCleanData[MonthlyIncome],270)&lt;=$B$3,"Low Income",IF(INDEX(tblCleanData[MonthlyIncome],270)&lt;=$B$4,"Medium Income","High Income"))</f>
        <v>High Income</v>
      </c>
      <c r="D278">
        <f>IF(INDEX(tblCleanData[Attrition],270)="Yes",1,0)</f>
        <v>0</v>
      </c>
      <c r="E278">
        <f>IF(INDEX(tblCleanData[OverTime],270)="Yes",1,0)</f>
        <v>0</v>
      </c>
      <c r="F278" t="str">
        <f>CHOOSE(INDEX(tblCleanData[Education],270),"Below College","College","Bachelor","Master","Doctor")</f>
        <v>Bachelor</v>
      </c>
      <c r="G278" t="str">
        <f>IF(INDEX(tblCleanData[YearsAtCompany],270)&lt;=2,"0-2 Years",IF(INDEX(tblCleanData[YearsAtCompany],270)&lt;=5,"3-5 Years",IF(INDEX(tblCleanData[YearsAtCompany],270)&lt;=10,"6-10 Years","10+ Years")))</f>
        <v>10+ Years</v>
      </c>
      <c r="H278" t="str">
        <f>IF(INDEX(tblCleanData[WorkLifeBalance],270)&lt;=2,"Elevated","Normal")</f>
        <v>Normal</v>
      </c>
      <c r="I278">
        <f>IF(INDEX(tblCleanData[Age],270)&lt;30,30,IF(INDEX(tblCleanData[Age],270)&lt;40,20,IF(INDEX(tblCleanData[Age],270)&lt;50,10,15)))</f>
        <v>20</v>
      </c>
      <c r="J278">
        <f>IF(INDEX(tblCleanData[MonthlyIncome],270)&lt;=$B$3,25,IF(INDEX(tblCleanData[MonthlyIncome],270)&lt;=$B$4,12,5))</f>
        <v>5</v>
      </c>
      <c r="K278">
        <f>IF(INDEX(tblCleanData[OverTime],270)="Yes",25,0)</f>
        <v>0</v>
      </c>
      <c r="L278">
        <f>(5-INDEX(tblCleanData[JobSatisfaction],270))*6.25</f>
        <v>6.25</v>
      </c>
      <c r="M278">
        <f>IF(INDEX(tblCleanData[YearsAtCompany],270)&lt;=2,25,IF(INDEX(tblCleanData[YearsAtCompany],270)&lt;=5,15,IF(INDEX(tblCleanData[YearsAtCompany],270)&lt;=10,8,3)))</f>
        <v>3</v>
      </c>
      <c r="N278">
        <f t="shared" si="8"/>
        <v>34</v>
      </c>
      <c r="O278" t="str">
        <f t="shared" si="9"/>
        <v>Low Risk</v>
      </c>
    </row>
    <row r="279" spans="1:15" x14ac:dyDescent="0.25">
      <c r="A279">
        <f>INDEX(tblCleanData[EmployeeNumber],271)</f>
        <v>374</v>
      </c>
      <c r="B279" t="str">
        <f>IF(INDEX(tblCleanData[Age],271)&lt;30,"Under 30",IF(INDEX(tblCleanData[Age],271)&lt;40,"30-39",IF(INDEX(tblCleanData[Age],271)&lt;50,"40-49","50+")))</f>
        <v>50+</v>
      </c>
      <c r="C279" t="str">
        <f>IF(INDEX(tblCleanData[MonthlyIncome],271)&lt;=$B$3,"Low Income",IF(INDEX(tblCleanData[MonthlyIncome],271)&lt;=$B$4,"Medium Income","High Income"))</f>
        <v>High Income</v>
      </c>
      <c r="D279">
        <f>IF(INDEX(tblCleanData[Attrition],271)="Yes",1,0)</f>
        <v>0</v>
      </c>
      <c r="E279">
        <f>IF(INDEX(tblCleanData[OverTime],271)="Yes",1,0)</f>
        <v>1</v>
      </c>
      <c r="F279" t="str">
        <f>CHOOSE(INDEX(tblCleanData[Education],271),"Below College","College","Bachelor","Master","Doctor")</f>
        <v>Bachelor</v>
      </c>
      <c r="G279" t="str">
        <f>IF(INDEX(tblCleanData[YearsAtCompany],271)&lt;=2,"0-2 Years",IF(INDEX(tblCleanData[YearsAtCompany],271)&lt;=5,"3-5 Years",IF(INDEX(tblCleanData[YearsAtCompany],271)&lt;=10,"6-10 Years","10+ Years")))</f>
        <v>10+ Years</v>
      </c>
      <c r="H279" t="str">
        <f>IF(INDEX(tblCleanData[WorkLifeBalance],271)&lt;=2,"Elevated","Normal")</f>
        <v>Normal</v>
      </c>
      <c r="I279">
        <f>IF(INDEX(tblCleanData[Age],271)&lt;30,30,IF(INDEX(tblCleanData[Age],271)&lt;40,20,IF(INDEX(tblCleanData[Age],271)&lt;50,10,15)))</f>
        <v>15</v>
      </c>
      <c r="J279">
        <f>IF(INDEX(tblCleanData[MonthlyIncome],271)&lt;=$B$3,25,IF(INDEX(tblCleanData[MonthlyIncome],271)&lt;=$B$4,12,5))</f>
        <v>5</v>
      </c>
      <c r="K279">
        <f>IF(INDEX(tblCleanData[OverTime],271)="Yes",25,0)</f>
        <v>25</v>
      </c>
      <c r="L279">
        <f>(5-INDEX(tblCleanData[JobSatisfaction],271))*6.25</f>
        <v>25</v>
      </c>
      <c r="M279">
        <f>IF(INDEX(tblCleanData[YearsAtCompany],271)&lt;=2,25,IF(INDEX(tblCleanData[YearsAtCompany],271)&lt;=5,15,IF(INDEX(tblCleanData[YearsAtCompany],271)&lt;=10,8,3)))</f>
        <v>3</v>
      </c>
      <c r="N279">
        <f t="shared" si="8"/>
        <v>73</v>
      </c>
      <c r="O279" t="str">
        <f t="shared" si="9"/>
        <v>High Risk</v>
      </c>
    </row>
    <row r="280" spans="1:15" x14ac:dyDescent="0.25">
      <c r="A280">
        <f>INDEX(tblCleanData[EmployeeNumber],272)</f>
        <v>376</v>
      </c>
      <c r="B280" t="str">
        <f>IF(INDEX(tblCleanData[Age],272)&lt;30,"Under 30",IF(INDEX(tblCleanData[Age],272)&lt;40,"30-39",IF(INDEX(tblCleanData[Age],272)&lt;50,"40-49","50+")))</f>
        <v>40-49</v>
      </c>
      <c r="C280" t="str">
        <f>IF(INDEX(tblCleanData[MonthlyIncome],272)&lt;=$B$3,"Low Income",IF(INDEX(tblCleanData[MonthlyIncome],272)&lt;=$B$4,"Medium Income","High Income"))</f>
        <v>High Income</v>
      </c>
      <c r="D280">
        <f>IF(INDEX(tblCleanData[Attrition],272)="Yes",1,0)</f>
        <v>1</v>
      </c>
      <c r="E280">
        <f>IF(INDEX(tblCleanData[OverTime],272)="Yes",1,0)</f>
        <v>1</v>
      </c>
      <c r="F280" t="str">
        <f>CHOOSE(INDEX(tblCleanData[Education],272),"Below College","College","Bachelor","Master","Doctor")</f>
        <v>Master</v>
      </c>
      <c r="G280" t="str">
        <f>IF(INDEX(tblCleanData[YearsAtCompany],272)&lt;=2,"0-2 Years",IF(INDEX(tblCleanData[YearsAtCompany],272)&lt;=5,"3-5 Years",IF(INDEX(tblCleanData[YearsAtCompany],272)&lt;=10,"6-10 Years","10+ Years")))</f>
        <v>6-10 Years</v>
      </c>
      <c r="H280" t="str">
        <f>IF(INDEX(tblCleanData[WorkLifeBalance],272)&lt;=2,"Elevated","Normal")</f>
        <v>Elevated</v>
      </c>
      <c r="I280">
        <f>IF(INDEX(tblCleanData[Age],272)&lt;30,30,IF(INDEX(tblCleanData[Age],272)&lt;40,20,IF(INDEX(tblCleanData[Age],272)&lt;50,10,15)))</f>
        <v>10</v>
      </c>
      <c r="J280">
        <f>IF(INDEX(tblCleanData[MonthlyIncome],272)&lt;=$B$3,25,IF(INDEX(tblCleanData[MonthlyIncome],272)&lt;=$B$4,12,5))</f>
        <v>5</v>
      </c>
      <c r="K280">
        <f>IF(INDEX(tblCleanData[OverTime],272)="Yes",25,0)</f>
        <v>25</v>
      </c>
      <c r="L280">
        <f>(5-INDEX(tblCleanData[JobSatisfaction],272))*6.25</f>
        <v>18.75</v>
      </c>
      <c r="M280">
        <f>IF(INDEX(tblCleanData[YearsAtCompany],272)&lt;=2,25,IF(INDEX(tblCleanData[YearsAtCompany],272)&lt;=5,15,IF(INDEX(tblCleanData[YearsAtCompany],272)&lt;=10,8,3)))</f>
        <v>8</v>
      </c>
      <c r="N280">
        <f t="shared" si="8"/>
        <v>67</v>
      </c>
      <c r="O280" t="str">
        <f t="shared" si="9"/>
        <v>High Risk</v>
      </c>
    </row>
    <row r="281" spans="1:15" x14ac:dyDescent="0.25">
      <c r="A281">
        <f>INDEX(tblCleanData[EmployeeNumber],273)</f>
        <v>377</v>
      </c>
      <c r="B281" t="str">
        <f>IF(INDEX(tblCleanData[Age],273)&lt;30,"Under 30",IF(INDEX(tblCleanData[Age],273)&lt;40,"30-39",IF(INDEX(tblCleanData[Age],273)&lt;50,"40-49","50+")))</f>
        <v>Under 30</v>
      </c>
      <c r="C281" t="str">
        <f>IF(INDEX(tblCleanData[MonthlyIncome],273)&lt;=$B$3,"Low Income",IF(INDEX(tblCleanData[MonthlyIncome],273)&lt;=$B$4,"Medium Income","High Income"))</f>
        <v>High Income</v>
      </c>
      <c r="D281">
        <f>IF(INDEX(tblCleanData[Attrition],273)="Yes",1,0)</f>
        <v>0</v>
      </c>
      <c r="E281">
        <f>IF(INDEX(tblCleanData[OverTime],273)="Yes",1,0)</f>
        <v>0</v>
      </c>
      <c r="F281" t="str">
        <f>CHOOSE(INDEX(tblCleanData[Education],273),"Below College","College","Bachelor","Master","Doctor")</f>
        <v>Bachelor</v>
      </c>
      <c r="G281" t="str">
        <f>IF(INDEX(tblCleanData[YearsAtCompany],273)&lt;=2,"0-2 Years",IF(INDEX(tblCleanData[YearsAtCompany],273)&lt;=5,"3-5 Years",IF(INDEX(tblCleanData[YearsAtCompany],273)&lt;=10,"6-10 Years","10+ Years")))</f>
        <v>3-5 Years</v>
      </c>
      <c r="H281" t="str">
        <f>IF(INDEX(tblCleanData[WorkLifeBalance],273)&lt;=2,"Elevated","Normal")</f>
        <v>Elevated</v>
      </c>
      <c r="I281">
        <f>IF(INDEX(tblCleanData[Age],273)&lt;30,30,IF(INDEX(tblCleanData[Age],273)&lt;40,20,IF(INDEX(tblCleanData[Age],273)&lt;50,10,15)))</f>
        <v>30</v>
      </c>
      <c r="J281">
        <f>IF(INDEX(tblCleanData[MonthlyIncome],273)&lt;=$B$3,25,IF(INDEX(tblCleanData[MonthlyIncome],273)&lt;=$B$4,12,5))</f>
        <v>5</v>
      </c>
      <c r="K281">
        <f>IF(INDEX(tblCleanData[OverTime],273)="Yes",25,0)</f>
        <v>0</v>
      </c>
      <c r="L281">
        <f>(5-INDEX(tblCleanData[JobSatisfaction],273))*6.25</f>
        <v>6.25</v>
      </c>
      <c r="M281">
        <f>IF(INDEX(tblCleanData[YearsAtCompany],273)&lt;=2,25,IF(INDEX(tblCleanData[YearsAtCompany],273)&lt;=5,15,IF(INDEX(tblCleanData[YearsAtCompany],273)&lt;=10,8,3)))</f>
        <v>15</v>
      </c>
      <c r="N281">
        <f t="shared" si="8"/>
        <v>56</v>
      </c>
      <c r="O281" t="str">
        <f t="shared" si="9"/>
        <v>High Risk</v>
      </c>
    </row>
    <row r="282" spans="1:15" x14ac:dyDescent="0.25">
      <c r="A282">
        <f>INDEX(tblCleanData[EmployeeNumber],274)</f>
        <v>378</v>
      </c>
      <c r="B282" t="str">
        <f>IF(INDEX(tblCleanData[Age],274)&lt;30,"Under 30",IF(INDEX(tblCleanData[Age],274)&lt;40,"30-39",IF(INDEX(tblCleanData[Age],274)&lt;50,"40-49","50+")))</f>
        <v>30-39</v>
      </c>
      <c r="C282" t="str">
        <f>IF(INDEX(tblCleanData[MonthlyIncome],274)&lt;=$B$3,"Low Income",IF(INDEX(tblCleanData[MonthlyIncome],274)&lt;=$B$4,"Medium Income","High Income"))</f>
        <v>High Income</v>
      </c>
      <c r="D282">
        <f>IF(INDEX(tblCleanData[Attrition],274)="Yes",1,0)</f>
        <v>0</v>
      </c>
      <c r="E282">
        <f>IF(INDEX(tblCleanData[OverTime],274)="Yes",1,0)</f>
        <v>0</v>
      </c>
      <c r="F282" t="str">
        <f>CHOOSE(INDEX(tblCleanData[Education],274),"Below College","College","Bachelor","Master","Doctor")</f>
        <v>Master</v>
      </c>
      <c r="G282" t="str">
        <f>IF(INDEX(tblCleanData[YearsAtCompany],274)&lt;=2,"0-2 Years",IF(INDEX(tblCleanData[YearsAtCompany],274)&lt;=5,"3-5 Years",IF(INDEX(tblCleanData[YearsAtCompany],274)&lt;=10,"6-10 Years","10+ Years")))</f>
        <v>3-5 Years</v>
      </c>
      <c r="H282" t="str">
        <f>IF(INDEX(tblCleanData[WorkLifeBalance],274)&lt;=2,"Elevated","Normal")</f>
        <v>Normal</v>
      </c>
      <c r="I282">
        <f>IF(INDEX(tblCleanData[Age],274)&lt;30,30,IF(INDEX(tblCleanData[Age],274)&lt;40,20,IF(INDEX(tblCleanData[Age],274)&lt;50,10,15)))</f>
        <v>20</v>
      </c>
      <c r="J282">
        <f>IF(INDEX(tblCleanData[MonthlyIncome],274)&lt;=$B$3,25,IF(INDEX(tblCleanData[MonthlyIncome],274)&lt;=$B$4,12,5))</f>
        <v>5</v>
      </c>
      <c r="K282">
        <f>IF(INDEX(tblCleanData[OverTime],274)="Yes",25,0)</f>
        <v>0</v>
      </c>
      <c r="L282">
        <f>(5-INDEX(tblCleanData[JobSatisfaction],274))*6.25</f>
        <v>6.25</v>
      </c>
      <c r="M282">
        <f>IF(INDEX(tblCleanData[YearsAtCompany],274)&lt;=2,25,IF(INDEX(tblCleanData[YearsAtCompany],274)&lt;=5,15,IF(INDEX(tblCleanData[YearsAtCompany],274)&lt;=10,8,3)))</f>
        <v>15</v>
      </c>
      <c r="N282">
        <f t="shared" si="8"/>
        <v>46</v>
      </c>
      <c r="O282" t="str">
        <f t="shared" si="9"/>
        <v>Medium Risk</v>
      </c>
    </row>
    <row r="283" spans="1:15" x14ac:dyDescent="0.25">
      <c r="A283">
        <f>INDEX(tblCleanData[EmployeeNumber],275)</f>
        <v>379</v>
      </c>
      <c r="B283" t="str">
        <f>IF(INDEX(tblCleanData[Age],275)&lt;30,"Under 30",IF(INDEX(tblCleanData[Age],275)&lt;40,"30-39",IF(INDEX(tblCleanData[Age],275)&lt;50,"40-49","50+")))</f>
        <v>Under 30</v>
      </c>
      <c r="C283" t="str">
        <f>IF(INDEX(tblCleanData[MonthlyIncome],275)&lt;=$B$3,"Low Income",IF(INDEX(tblCleanData[MonthlyIncome],275)&lt;=$B$4,"Medium Income","High Income"))</f>
        <v>High Income</v>
      </c>
      <c r="D283">
        <f>IF(INDEX(tblCleanData[Attrition],275)="Yes",1,0)</f>
        <v>0</v>
      </c>
      <c r="E283">
        <f>IF(INDEX(tblCleanData[OverTime],275)="Yes",1,0)</f>
        <v>0</v>
      </c>
      <c r="F283" t="str">
        <f>CHOOSE(INDEX(tblCleanData[Education],275),"Below College","College","Bachelor","Master","Doctor")</f>
        <v>College</v>
      </c>
      <c r="G283" t="str">
        <f>IF(INDEX(tblCleanData[YearsAtCompany],275)&lt;=2,"0-2 Years",IF(INDEX(tblCleanData[YearsAtCompany],275)&lt;=5,"3-5 Years",IF(INDEX(tblCleanData[YearsAtCompany],275)&lt;=10,"6-10 Years","10+ Years")))</f>
        <v>3-5 Years</v>
      </c>
      <c r="H283" t="str">
        <f>IF(INDEX(tblCleanData[WorkLifeBalance],275)&lt;=2,"Elevated","Normal")</f>
        <v>Normal</v>
      </c>
      <c r="I283">
        <f>IF(INDEX(tblCleanData[Age],275)&lt;30,30,IF(INDEX(tblCleanData[Age],275)&lt;40,20,IF(INDEX(tblCleanData[Age],275)&lt;50,10,15)))</f>
        <v>30</v>
      </c>
      <c r="J283">
        <f>IF(INDEX(tblCleanData[MonthlyIncome],275)&lt;=$B$3,25,IF(INDEX(tblCleanData[MonthlyIncome],275)&lt;=$B$4,12,5))</f>
        <v>5</v>
      </c>
      <c r="K283">
        <f>IF(INDEX(tblCleanData[OverTime],275)="Yes",25,0)</f>
        <v>0</v>
      </c>
      <c r="L283">
        <f>(5-INDEX(tblCleanData[JobSatisfaction],275))*6.25</f>
        <v>12.5</v>
      </c>
      <c r="M283">
        <f>IF(INDEX(tblCleanData[YearsAtCompany],275)&lt;=2,25,IF(INDEX(tblCleanData[YearsAtCompany],275)&lt;=5,15,IF(INDEX(tblCleanData[YearsAtCompany],275)&lt;=10,8,3)))</f>
        <v>15</v>
      </c>
      <c r="N283">
        <f t="shared" si="8"/>
        <v>63</v>
      </c>
      <c r="O283" t="str">
        <f t="shared" si="9"/>
        <v>High Risk</v>
      </c>
    </row>
    <row r="284" spans="1:15" x14ac:dyDescent="0.25">
      <c r="A284">
        <f>INDEX(tblCleanData[EmployeeNumber],276)</f>
        <v>380</v>
      </c>
      <c r="B284" t="str">
        <f>IF(INDEX(tblCleanData[Age],276)&lt;30,"Under 30",IF(INDEX(tblCleanData[Age],276)&lt;40,"30-39",IF(INDEX(tblCleanData[Age],276)&lt;50,"40-49","50+")))</f>
        <v>30-39</v>
      </c>
      <c r="C284" t="str">
        <f>IF(INDEX(tblCleanData[MonthlyIncome],276)&lt;=$B$3,"Low Income",IF(INDEX(tblCleanData[MonthlyIncome],276)&lt;=$B$4,"Medium Income","High Income"))</f>
        <v>High Income</v>
      </c>
      <c r="D284">
        <f>IF(INDEX(tblCleanData[Attrition],276)="Yes",1,0)</f>
        <v>0</v>
      </c>
      <c r="E284">
        <f>IF(INDEX(tblCleanData[OverTime],276)="Yes",1,0)</f>
        <v>1</v>
      </c>
      <c r="F284" t="str">
        <f>CHOOSE(INDEX(tblCleanData[Education],276),"Below College","College","Bachelor","Master","Doctor")</f>
        <v>Master</v>
      </c>
      <c r="G284" t="str">
        <f>IF(INDEX(tblCleanData[YearsAtCompany],276)&lt;=2,"0-2 Years",IF(INDEX(tblCleanData[YearsAtCompany],276)&lt;=5,"3-5 Years",IF(INDEX(tblCleanData[YearsAtCompany],276)&lt;=10,"6-10 Years","10+ Years")))</f>
        <v>3-5 Years</v>
      </c>
      <c r="H284" t="str">
        <f>IF(INDEX(tblCleanData[WorkLifeBalance],276)&lt;=2,"Elevated","Normal")</f>
        <v>Normal</v>
      </c>
      <c r="I284">
        <f>IF(INDEX(tblCleanData[Age],276)&lt;30,30,IF(INDEX(tblCleanData[Age],276)&lt;40,20,IF(INDEX(tblCleanData[Age],276)&lt;50,10,15)))</f>
        <v>20</v>
      </c>
      <c r="J284">
        <f>IF(INDEX(tblCleanData[MonthlyIncome],276)&lt;=$B$3,25,IF(INDEX(tblCleanData[MonthlyIncome],276)&lt;=$B$4,12,5))</f>
        <v>5</v>
      </c>
      <c r="K284">
        <f>IF(INDEX(tblCleanData[OverTime],276)="Yes",25,0)</f>
        <v>25</v>
      </c>
      <c r="L284">
        <f>(5-INDEX(tblCleanData[JobSatisfaction],276))*6.25</f>
        <v>6.25</v>
      </c>
      <c r="M284">
        <f>IF(INDEX(tblCleanData[YearsAtCompany],276)&lt;=2,25,IF(INDEX(tblCleanData[YearsAtCompany],276)&lt;=5,15,IF(INDEX(tblCleanData[YearsAtCompany],276)&lt;=10,8,3)))</f>
        <v>15</v>
      </c>
      <c r="N284">
        <f t="shared" si="8"/>
        <v>71</v>
      </c>
      <c r="O284" t="str">
        <f t="shared" si="9"/>
        <v>High Risk</v>
      </c>
    </row>
    <row r="285" spans="1:15" x14ac:dyDescent="0.25">
      <c r="A285">
        <f>INDEX(tblCleanData[EmployeeNumber],277)</f>
        <v>381</v>
      </c>
      <c r="B285" t="str">
        <f>IF(INDEX(tblCleanData[Age],277)&lt;30,"Under 30",IF(INDEX(tblCleanData[Age],277)&lt;40,"30-39",IF(INDEX(tblCleanData[Age],277)&lt;50,"40-49","50+")))</f>
        <v>30-39</v>
      </c>
      <c r="C285" t="str">
        <f>IF(INDEX(tblCleanData[MonthlyIncome],277)&lt;=$B$3,"Low Income",IF(INDEX(tblCleanData[MonthlyIncome],277)&lt;=$B$4,"Medium Income","High Income"))</f>
        <v>High Income</v>
      </c>
      <c r="D285">
        <f>IF(INDEX(tblCleanData[Attrition],277)="Yes",1,0)</f>
        <v>0</v>
      </c>
      <c r="E285">
        <f>IF(INDEX(tblCleanData[OverTime],277)="Yes",1,0)</f>
        <v>0</v>
      </c>
      <c r="F285" t="str">
        <f>CHOOSE(INDEX(tblCleanData[Education],277),"Below College","College","Bachelor","Master","Doctor")</f>
        <v>Bachelor</v>
      </c>
      <c r="G285" t="str">
        <f>IF(INDEX(tblCleanData[YearsAtCompany],277)&lt;=2,"0-2 Years",IF(INDEX(tblCleanData[YearsAtCompany],277)&lt;=5,"3-5 Years",IF(INDEX(tblCleanData[YearsAtCompany],277)&lt;=10,"6-10 Years","10+ Years")))</f>
        <v>6-10 Years</v>
      </c>
      <c r="H285" t="str">
        <f>IF(INDEX(tblCleanData[WorkLifeBalance],277)&lt;=2,"Elevated","Normal")</f>
        <v>Elevated</v>
      </c>
      <c r="I285">
        <f>IF(INDEX(tblCleanData[Age],277)&lt;30,30,IF(INDEX(tblCleanData[Age],277)&lt;40,20,IF(INDEX(tblCleanData[Age],277)&lt;50,10,15)))</f>
        <v>20</v>
      </c>
      <c r="J285">
        <f>IF(INDEX(tblCleanData[MonthlyIncome],277)&lt;=$B$3,25,IF(INDEX(tblCleanData[MonthlyIncome],277)&lt;=$B$4,12,5))</f>
        <v>5</v>
      </c>
      <c r="K285">
        <f>IF(INDEX(tblCleanData[OverTime],277)="Yes",25,0)</f>
        <v>0</v>
      </c>
      <c r="L285">
        <f>(5-INDEX(tblCleanData[JobSatisfaction],277))*6.25</f>
        <v>18.75</v>
      </c>
      <c r="M285">
        <f>IF(INDEX(tblCleanData[YearsAtCompany],277)&lt;=2,25,IF(INDEX(tblCleanData[YearsAtCompany],277)&lt;=5,15,IF(INDEX(tblCleanData[YearsAtCompany],277)&lt;=10,8,3)))</f>
        <v>8</v>
      </c>
      <c r="N285">
        <f t="shared" si="8"/>
        <v>52</v>
      </c>
      <c r="O285" t="str">
        <f t="shared" si="9"/>
        <v>Medium Risk</v>
      </c>
    </row>
    <row r="286" spans="1:15" x14ac:dyDescent="0.25">
      <c r="A286">
        <f>INDEX(tblCleanData[EmployeeNumber],278)</f>
        <v>382</v>
      </c>
      <c r="B286" t="str">
        <f>IF(INDEX(tblCleanData[Age],278)&lt;30,"Under 30",IF(INDEX(tblCleanData[Age],278)&lt;40,"30-39",IF(INDEX(tblCleanData[Age],278)&lt;50,"40-49","50+")))</f>
        <v>30-39</v>
      </c>
      <c r="C286" t="str">
        <f>IF(INDEX(tblCleanData[MonthlyIncome],278)&lt;=$B$3,"Low Income",IF(INDEX(tblCleanData[MonthlyIncome],278)&lt;=$B$4,"Medium Income","High Income"))</f>
        <v>High Income</v>
      </c>
      <c r="D286">
        <f>IF(INDEX(tblCleanData[Attrition],278)="Yes",1,0)</f>
        <v>0</v>
      </c>
      <c r="E286">
        <f>IF(INDEX(tblCleanData[OverTime],278)="Yes",1,0)</f>
        <v>1</v>
      </c>
      <c r="F286" t="str">
        <f>CHOOSE(INDEX(tblCleanData[Education],278),"Below College","College","Bachelor","Master","Doctor")</f>
        <v>College</v>
      </c>
      <c r="G286" t="str">
        <f>IF(INDEX(tblCleanData[YearsAtCompany],278)&lt;=2,"0-2 Years",IF(INDEX(tblCleanData[YearsAtCompany],278)&lt;=5,"3-5 Years",IF(INDEX(tblCleanData[YearsAtCompany],278)&lt;=10,"6-10 Years","10+ Years")))</f>
        <v>6-10 Years</v>
      </c>
      <c r="H286" t="str">
        <f>IF(INDEX(tblCleanData[WorkLifeBalance],278)&lt;=2,"Elevated","Normal")</f>
        <v>Normal</v>
      </c>
      <c r="I286">
        <f>IF(INDEX(tblCleanData[Age],278)&lt;30,30,IF(INDEX(tblCleanData[Age],278)&lt;40,20,IF(INDEX(tblCleanData[Age],278)&lt;50,10,15)))</f>
        <v>20</v>
      </c>
      <c r="J286">
        <f>IF(INDEX(tblCleanData[MonthlyIncome],278)&lt;=$B$3,25,IF(INDEX(tblCleanData[MonthlyIncome],278)&lt;=$B$4,12,5))</f>
        <v>5</v>
      </c>
      <c r="K286">
        <f>IF(INDEX(tblCleanData[OverTime],278)="Yes",25,0)</f>
        <v>25</v>
      </c>
      <c r="L286">
        <f>(5-INDEX(tblCleanData[JobSatisfaction],278))*6.25</f>
        <v>25</v>
      </c>
      <c r="M286">
        <f>IF(INDEX(tblCleanData[YearsAtCompany],278)&lt;=2,25,IF(INDEX(tblCleanData[YearsAtCompany],278)&lt;=5,15,IF(INDEX(tblCleanData[YearsAtCompany],278)&lt;=10,8,3)))</f>
        <v>8</v>
      </c>
      <c r="N286">
        <f t="shared" si="8"/>
        <v>83</v>
      </c>
      <c r="O286" t="str">
        <f t="shared" si="9"/>
        <v>High Risk</v>
      </c>
    </row>
    <row r="287" spans="1:15" x14ac:dyDescent="0.25">
      <c r="A287">
        <f>INDEX(tblCleanData[EmployeeNumber],279)</f>
        <v>384</v>
      </c>
      <c r="B287" t="str">
        <f>IF(INDEX(tblCleanData[Age],279)&lt;30,"Under 30",IF(INDEX(tblCleanData[Age],279)&lt;40,"30-39",IF(INDEX(tblCleanData[Age],279)&lt;50,"40-49","50+")))</f>
        <v>Under 30</v>
      </c>
      <c r="C287" t="str">
        <f>IF(INDEX(tblCleanData[MonthlyIncome],279)&lt;=$B$3,"Low Income",IF(INDEX(tblCleanData[MonthlyIncome],279)&lt;=$B$4,"Medium Income","High Income"))</f>
        <v>High Income</v>
      </c>
      <c r="D287">
        <f>IF(INDEX(tblCleanData[Attrition],279)="Yes",1,0)</f>
        <v>0</v>
      </c>
      <c r="E287">
        <f>IF(INDEX(tblCleanData[OverTime],279)="Yes",1,0)</f>
        <v>0</v>
      </c>
      <c r="F287" t="str">
        <f>CHOOSE(INDEX(tblCleanData[Education],279),"Below College","College","Bachelor","Master","Doctor")</f>
        <v>Bachelor</v>
      </c>
      <c r="G287" t="str">
        <f>IF(INDEX(tblCleanData[YearsAtCompany],279)&lt;=2,"0-2 Years",IF(INDEX(tblCleanData[YearsAtCompany],279)&lt;=5,"3-5 Years",IF(INDEX(tblCleanData[YearsAtCompany],279)&lt;=10,"6-10 Years","10+ Years")))</f>
        <v>6-10 Years</v>
      </c>
      <c r="H287" t="str">
        <f>IF(INDEX(tblCleanData[WorkLifeBalance],279)&lt;=2,"Elevated","Normal")</f>
        <v>Elevated</v>
      </c>
      <c r="I287">
        <f>IF(INDEX(tblCleanData[Age],279)&lt;30,30,IF(INDEX(tblCleanData[Age],279)&lt;40,20,IF(INDEX(tblCleanData[Age],279)&lt;50,10,15)))</f>
        <v>30</v>
      </c>
      <c r="J287">
        <f>IF(INDEX(tblCleanData[MonthlyIncome],279)&lt;=$B$3,25,IF(INDEX(tblCleanData[MonthlyIncome],279)&lt;=$B$4,12,5))</f>
        <v>5</v>
      </c>
      <c r="K287">
        <f>IF(INDEX(tblCleanData[OverTime],279)="Yes",25,0)</f>
        <v>0</v>
      </c>
      <c r="L287">
        <f>(5-INDEX(tblCleanData[JobSatisfaction],279))*6.25</f>
        <v>18.75</v>
      </c>
      <c r="M287">
        <f>IF(INDEX(tblCleanData[YearsAtCompany],279)&lt;=2,25,IF(INDEX(tblCleanData[YearsAtCompany],279)&lt;=5,15,IF(INDEX(tblCleanData[YearsAtCompany],279)&lt;=10,8,3)))</f>
        <v>8</v>
      </c>
      <c r="N287">
        <f t="shared" si="8"/>
        <v>62</v>
      </c>
      <c r="O287" t="str">
        <f t="shared" si="9"/>
        <v>High Risk</v>
      </c>
    </row>
    <row r="288" spans="1:15" x14ac:dyDescent="0.25">
      <c r="A288">
        <f>INDEX(tblCleanData[EmployeeNumber],280)</f>
        <v>385</v>
      </c>
      <c r="B288" t="str">
        <f>IF(INDEX(tblCleanData[Age],280)&lt;30,"Under 30",IF(INDEX(tblCleanData[Age],280)&lt;40,"30-39",IF(INDEX(tblCleanData[Age],280)&lt;50,"40-49","50+")))</f>
        <v>50+</v>
      </c>
      <c r="C288" t="str">
        <f>IF(INDEX(tblCleanData[MonthlyIncome],280)&lt;=$B$3,"Low Income",IF(INDEX(tblCleanData[MonthlyIncome],280)&lt;=$B$4,"Medium Income","High Income"))</f>
        <v>High Income</v>
      </c>
      <c r="D288">
        <f>IF(INDEX(tblCleanData[Attrition],280)="Yes",1,0)</f>
        <v>0</v>
      </c>
      <c r="E288">
        <f>IF(INDEX(tblCleanData[OverTime],280)="Yes",1,0)</f>
        <v>0</v>
      </c>
      <c r="F288" t="str">
        <f>CHOOSE(INDEX(tblCleanData[Education],280),"Below College","College","Bachelor","Master","Doctor")</f>
        <v>Below College</v>
      </c>
      <c r="G288" t="str">
        <f>IF(INDEX(tblCleanData[YearsAtCompany],280)&lt;=2,"0-2 Years",IF(INDEX(tblCleanData[YearsAtCompany],280)&lt;=5,"3-5 Years",IF(INDEX(tblCleanData[YearsAtCompany],280)&lt;=10,"6-10 Years","10+ Years")))</f>
        <v>6-10 Years</v>
      </c>
      <c r="H288" t="str">
        <f>IF(INDEX(tblCleanData[WorkLifeBalance],280)&lt;=2,"Elevated","Normal")</f>
        <v>Elevated</v>
      </c>
      <c r="I288">
        <f>IF(INDEX(tblCleanData[Age],280)&lt;30,30,IF(INDEX(tblCleanData[Age],280)&lt;40,20,IF(INDEX(tblCleanData[Age],280)&lt;50,10,15)))</f>
        <v>15</v>
      </c>
      <c r="J288">
        <f>IF(INDEX(tblCleanData[MonthlyIncome],280)&lt;=$B$3,25,IF(INDEX(tblCleanData[MonthlyIncome],280)&lt;=$B$4,12,5))</f>
        <v>5</v>
      </c>
      <c r="K288">
        <f>IF(INDEX(tblCleanData[OverTime],280)="Yes",25,0)</f>
        <v>0</v>
      </c>
      <c r="L288">
        <f>(5-INDEX(tblCleanData[JobSatisfaction],280))*6.25</f>
        <v>18.75</v>
      </c>
      <c r="M288">
        <f>IF(INDEX(tblCleanData[YearsAtCompany],280)&lt;=2,25,IF(INDEX(tblCleanData[YearsAtCompany],280)&lt;=5,15,IF(INDEX(tblCleanData[YearsAtCompany],280)&lt;=10,8,3)))</f>
        <v>8</v>
      </c>
      <c r="N288">
        <f t="shared" si="8"/>
        <v>47</v>
      </c>
      <c r="O288" t="str">
        <f t="shared" si="9"/>
        <v>Medium Risk</v>
      </c>
    </row>
    <row r="289" spans="1:15" x14ac:dyDescent="0.25">
      <c r="A289">
        <f>INDEX(tblCleanData[EmployeeNumber],281)</f>
        <v>386</v>
      </c>
      <c r="B289" t="str">
        <f>IF(INDEX(tblCleanData[Age],281)&lt;30,"Under 30",IF(INDEX(tblCleanData[Age],281)&lt;40,"30-39",IF(INDEX(tblCleanData[Age],281)&lt;50,"40-49","50+")))</f>
        <v>50+</v>
      </c>
      <c r="C289" t="str">
        <f>IF(INDEX(tblCleanData[MonthlyIncome],281)&lt;=$B$3,"Low Income",IF(INDEX(tblCleanData[MonthlyIncome],281)&lt;=$B$4,"Medium Income","High Income"))</f>
        <v>High Income</v>
      </c>
      <c r="D289">
        <f>IF(INDEX(tblCleanData[Attrition],281)="Yes",1,0)</f>
        <v>0</v>
      </c>
      <c r="E289">
        <f>IF(INDEX(tblCleanData[OverTime],281)="Yes",1,0)</f>
        <v>1</v>
      </c>
      <c r="F289" t="str">
        <f>CHOOSE(INDEX(tblCleanData[Education],281),"Below College","College","Bachelor","Master","Doctor")</f>
        <v>Master</v>
      </c>
      <c r="G289" t="str">
        <f>IF(INDEX(tblCleanData[YearsAtCompany],281)&lt;=2,"0-2 Years",IF(INDEX(tblCleanData[YearsAtCompany],281)&lt;=5,"3-5 Years",IF(INDEX(tblCleanData[YearsAtCompany],281)&lt;=10,"6-10 Years","10+ Years")))</f>
        <v>3-5 Years</v>
      </c>
      <c r="H289" t="str">
        <f>IF(INDEX(tblCleanData[WorkLifeBalance],281)&lt;=2,"Elevated","Normal")</f>
        <v>Elevated</v>
      </c>
      <c r="I289">
        <f>IF(INDEX(tblCleanData[Age],281)&lt;30,30,IF(INDEX(tblCleanData[Age],281)&lt;40,20,IF(INDEX(tblCleanData[Age],281)&lt;50,10,15)))</f>
        <v>15</v>
      </c>
      <c r="J289">
        <f>IF(INDEX(tblCleanData[MonthlyIncome],281)&lt;=$B$3,25,IF(INDEX(tblCleanData[MonthlyIncome],281)&lt;=$B$4,12,5))</f>
        <v>5</v>
      </c>
      <c r="K289">
        <f>IF(INDEX(tblCleanData[OverTime],281)="Yes",25,0)</f>
        <v>25</v>
      </c>
      <c r="L289">
        <f>(5-INDEX(tblCleanData[JobSatisfaction],281))*6.25</f>
        <v>12.5</v>
      </c>
      <c r="M289">
        <f>IF(INDEX(tblCleanData[YearsAtCompany],281)&lt;=2,25,IF(INDEX(tblCleanData[YearsAtCompany],281)&lt;=5,15,IF(INDEX(tblCleanData[YearsAtCompany],281)&lt;=10,8,3)))</f>
        <v>15</v>
      </c>
      <c r="N289">
        <f t="shared" si="8"/>
        <v>73</v>
      </c>
      <c r="O289" t="str">
        <f t="shared" si="9"/>
        <v>High Risk</v>
      </c>
    </row>
    <row r="290" spans="1:15" x14ac:dyDescent="0.25">
      <c r="A290">
        <f>INDEX(tblCleanData[EmployeeNumber],282)</f>
        <v>387</v>
      </c>
      <c r="B290" t="str">
        <f>IF(INDEX(tblCleanData[Age],282)&lt;30,"Under 30",IF(INDEX(tblCleanData[Age],282)&lt;40,"30-39",IF(INDEX(tblCleanData[Age],282)&lt;50,"40-49","50+")))</f>
        <v>40-49</v>
      </c>
      <c r="C290" t="str">
        <f>IF(INDEX(tblCleanData[MonthlyIncome],282)&lt;=$B$3,"Low Income",IF(INDEX(tblCleanData[MonthlyIncome],282)&lt;=$B$4,"Medium Income","High Income"))</f>
        <v>High Income</v>
      </c>
      <c r="D290">
        <f>IF(INDEX(tblCleanData[Attrition],282)="Yes",1,0)</f>
        <v>0</v>
      </c>
      <c r="E290">
        <f>IF(INDEX(tblCleanData[OverTime],282)="Yes",1,0)</f>
        <v>0</v>
      </c>
      <c r="F290" t="str">
        <f>CHOOSE(INDEX(tblCleanData[Education],282),"Below College","College","Bachelor","Master","Doctor")</f>
        <v>Below College</v>
      </c>
      <c r="G290" t="str">
        <f>IF(INDEX(tblCleanData[YearsAtCompany],282)&lt;=2,"0-2 Years",IF(INDEX(tblCleanData[YearsAtCompany],282)&lt;=5,"3-5 Years",IF(INDEX(tblCleanData[YearsAtCompany],282)&lt;=10,"6-10 Years","10+ Years")))</f>
        <v>10+ Years</v>
      </c>
      <c r="H290" t="str">
        <f>IF(INDEX(tblCleanData[WorkLifeBalance],282)&lt;=2,"Elevated","Normal")</f>
        <v>Normal</v>
      </c>
      <c r="I290">
        <f>IF(INDEX(tblCleanData[Age],282)&lt;30,30,IF(INDEX(tblCleanData[Age],282)&lt;40,20,IF(INDEX(tblCleanData[Age],282)&lt;50,10,15)))</f>
        <v>10</v>
      </c>
      <c r="J290">
        <f>IF(INDEX(tblCleanData[MonthlyIncome],282)&lt;=$B$3,25,IF(INDEX(tblCleanData[MonthlyIncome],282)&lt;=$B$4,12,5))</f>
        <v>5</v>
      </c>
      <c r="K290">
        <f>IF(INDEX(tblCleanData[OverTime],282)="Yes",25,0)</f>
        <v>0</v>
      </c>
      <c r="L290">
        <f>(5-INDEX(tblCleanData[JobSatisfaction],282))*6.25</f>
        <v>12.5</v>
      </c>
      <c r="M290">
        <f>IF(INDEX(tblCleanData[YearsAtCompany],282)&lt;=2,25,IF(INDEX(tblCleanData[YearsAtCompany],282)&lt;=5,15,IF(INDEX(tblCleanData[YearsAtCompany],282)&lt;=10,8,3)))</f>
        <v>3</v>
      </c>
      <c r="N290">
        <f t="shared" si="8"/>
        <v>31</v>
      </c>
      <c r="O290" t="str">
        <f t="shared" si="9"/>
        <v>Low Risk</v>
      </c>
    </row>
    <row r="291" spans="1:15" x14ac:dyDescent="0.25">
      <c r="A291">
        <f>INDEX(tblCleanData[EmployeeNumber],283)</f>
        <v>388</v>
      </c>
      <c r="B291" t="str">
        <f>IF(INDEX(tblCleanData[Age],283)&lt;30,"Under 30",IF(INDEX(tblCleanData[Age],283)&lt;40,"30-39",IF(INDEX(tblCleanData[Age],283)&lt;50,"40-49","50+")))</f>
        <v>Under 30</v>
      </c>
      <c r="C291" t="str">
        <f>IF(INDEX(tblCleanData[MonthlyIncome],283)&lt;=$B$3,"Low Income",IF(INDEX(tblCleanData[MonthlyIncome],283)&lt;=$B$4,"Medium Income","High Income"))</f>
        <v>High Income</v>
      </c>
      <c r="D291">
        <f>IF(INDEX(tblCleanData[Attrition],283)="Yes",1,0)</f>
        <v>0</v>
      </c>
      <c r="E291">
        <f>IF(INDEX(tblCleanData[OverTime],283)="Yes",1,0)</f>
        <v>0</v>
      </c>
      <c r="F291" t="str">
        <f>CHOOSE(INDEX(tblCleanData[Education],283),"Below College","College","Bachelor","Master","Doctor")</f>
        <v>College</v>
      </c>
      <c r="G291" t="str">
        <f>IF(INDEX(tblCleanData[YearsAtCompany],283)&lt;=2,"0-2 Years",IF(INDEX(tblCleanData[YearsAtCompany],283)&lt;=5,"3-5 Years",IF(INDEX(tblCleanData[YearsAtCompany],283)&lt;=10,"6-10 Years","10+ Years")))</f>
        <v>6-10 Years</v>
      </c>
      <c r="H291" t="str">
        <f>IF(INDEX(tblCleanData[WorkLifeBalance],283)&lt;=2,"Elevated","Normal")</f>
        <v>Elevated</v>
      </c>
      <c r="I291">
        <f>IF(INDEX(tblCleanData[Age],283)&lt;30,30,IF(INDEX(tblCleanData[Age],283)&lt;40,20,IF(INDEX(tblCleanData[Age],283)&lt;50,10,15)))</f>
        <v>30</v>
      </c>
      <c r="J291">
        <f>IF(INDEX(tblCleanData[MonthlyIncome],283)&lt;=$B$3,25,IF(INDEX(tblCleanData[MonthlyIncome],283)&lt;=$B$4,12,5))</f>
        <v>5</v>
      </c>
      <c r="K291">
        <f>IF(INDEX(tblCleanData[OverTime],283)="Yes",25,0)</f>
        <v>0</v>
      </c>
      <c r="L291">
        <f>(5-INDEX(tblCleanData[JobSatisfaction],283))*6.25</f>
        <v>6.25</v>
      </c>
      <c r="M291">
        <f>IF(INDEX(tblCleanData[YearsAtCompany],283)&lt;=2,25,IF(INDEX(tblCleanData[YearsAtCompany],283)&lt;=5,15,IF(INDEX(tblCleanData[YearsAtCompany],283)&lt;=10,8,3)))</f>
        <v>8</v>
      </c>
      <c r="N291">
        <f t="shared" si="8"/>
        <v>49</v>
      </c>
      <c r="O291" t="str">
        <f t="shared" si="9"/>
        <v>Medium Risk</v>
      </c>
    </row>
    <row r="292" spans="1:15" x14ac:dyDescent="0.25">
      <c r="A292">
        <f>INDEX(tblCleanData[EmployeeNumber],284)</f>
        <v>389</v>
      </c>
      <c r="B292" t="str">
        <f>IF(INDEX(tblCleanData[Age],284)&lt;30,"Under 30",IF(INDEX(tblCleanData[Age],284)&lt;40,"30-39",IF(INDEX(tblCleanData[Age],284)&lt;50,"40-49","50+")))</f>
        <v>50+</v>
      </c>
      <c r="C292" t="str">
        <f>IF(INDEX(tblCleanData[MonthlyIncome],284)&lt;=$B$3,"Low Income",IF(INDEX(tblCleanData[MonthlyIncome],284)&lt;=$B$4,"Medium Income","High Income"))</f>
        <v>High Income</v>
      </c>
      <c r="D292">
        <f>IF(INDEX(tblCleanData[Attrition],284)="Yes",1,0)</f>
        <v>0</v>
      </c>
      <c r="E292">
        <f>IF(INDEX(tblCleanData[OverTime],284)="Yes",1,0)</f>
        <v>1</v>
      </c>
      <c r="F292" t="str">
        <f>CHOOSE(INDEX(tblCleanData[Education],284),"Below College","College","Bachelor","Master","Doctor")</f>
        <v>College</v>
      </c>
      <c r="G292" t="str">
        <f>IF(INDEX(tblCleanData[YearsAtCompany],284)&lt;=2,"0-2 Years",IF(INDEX(tblCleanData[YearsAtCompany],284)&lt;=5,"3-5 Years",IF(INDEX(tblCleanData[YearsAtCompany],284)&lt;=10,"6-10 Years","10+ Years")))</f>
        <v>6-10 Years</v>
      </c>
      <c r="H292" t="str">
        <f>IF(INDEX(tblCleanData[WorkLifeBalance],284)&lt;=2,"Elevated","Normal")</f>
        <v>Normal</v>
      </c>
      <c r="I292">
        <f>IF(INDEX(tblCleanData[Age],284)&lt;30,30,IF(INDEX(tblCleanData[Age],284)&lt;40,20,IF(INDEX(tblCleanData[Age],284)&lt;50,10,15)))</f>
        <v>15</v>
      </c>
      <c r="J292">
        <f>IF(INDEX(tblCleanData[MonthlyIncome],284)&lt;=$B$3,25,IF(INDEX(tblCleanData[MonthlyIncome],284)&lt;=$B$4,12,5))</f>
        <v>5</v>
      </c>
      <c r="K292">
        <f>IF(INDEX(tblCleanData[OverTime],284)="Yes",25,0)</f>
        <v>25</v>
      </c>
      <c r="L292">
        <f>(5-INDEX(tblCleanData[JobSatisfaction],284))*6.25</f>
        <v>6.25</v>
      </c>
      <c r="M292">
        <f>IF(INDEX(tblCleanData[YearsAtCompany],284)&lt;=2,25,IF(INDEX(tblCleanData[YearsAtCompany],284)&lt;=5,15,IF(INDEX(tblCleanData[YearsAtCompany],284)&lt;=10,8,3)))</f>
        <v>8</v>
      </c>
      <c r="N292">
        <f t="shared" si="8"/>
        <v>59</v>
      </c>
      <c r="O292" t="str">
        <f t="shared" si="9"/>
        <v>High Risk</v>
      </c>
    </row>
    <row r="293" spans="1:15" x14ac:dyDescent="0.25">
      <c r="A293">
        <f>INDEX(tblCleanData[EmployeeNumber],285)</f>
        <v>390</v>
      </c>
      <c r="B293" t="str">
        <f>IF(INDEX(tblCleanData[Age],285)&lt;30,"Under 30",IF(INDEX(tblCleanData[Age],285)&lt;40,"30-39",IF(INDEX(tblCleanData[Age],285)&lt;50,"40-49","50+")))</f>
        <v>Under 30</v>
      </c>
      <c r="C293" t="str">
        <f>IF(INDEX(tblCleanData[MonthlyIncome],285)&lt;=$B$3,"Low Income",IF(INDEX(tblCleanData[MonthlyIncome],285)&lt;=$B$4,"Medium Income","High Income"))</f>
        <v>High Income</v>
      </c>
      <c r="D293">
        <f>IF(INDEX(tblCleanData[Attrition],285)="Yes",1,0)</f>
        <v>0</v>
      </c>
      <c r="E293">
        <f>IF(INDEX(tblCleanData[OverTime],285)="Yes",1,0)</f>
        <v>1</v>
      </c>
      <c r="F293" t="str">
        <f>CHOOSE(INDEX(tblCleanData[Education],285),"Below College","College","Bachelor","Master","Doctor")</f>
        <v>College</v>
      </c>
      <c r="G293" t="str">
        <f>IF(INDEX(tblCleanData[YearsAtCompany],285)&lt;=2,"0-2 Years",IF(INDEX(tblCleanData[YearsAtCompany],285)&lt;=5,"3-5 Years",IF(INDEX(tblCleanData[YearsAtCompany],285)&lt;=10,"6-10 Years","10+ Years")))</f>
        <v>3-5 Years</v>
      </c>
      <c r="H293" t="str">
        <f>IF(INDEX(tblCleanData[WorkLifeBalance],285)&lt;=2,"Elevated","Normal")</f>
        <v>Normal</v>
      </c>
      <c r="I293">
        <f>IF(INDEX(tblCleanData[Age],285)&lt;30,30,IF(INDEX(tblCleanData[Age],285)&lt;40,20,IF(INDEX(tblCleanData[Age],285)&lt;50,10,15)))</f>
        <v>30</v>
      </c>
      <c r="J293">
        <f>IF(INDEX(tblCleanData[MonthlyIncome],285)&lt;=$B$3,25,IF(INDEX(tblCleanData[MonthlyIncome],285)&lt;=$B$4,12,5))</f>
        <v>5</v>
      </c>
      <c r="K293">
        <f>IF(INDEX(tblCleanData[OverTime],285)="Yes",25,0)</f>
        <v>25</v>
      </c>
      <c r="L293">
        <f>(5-INDEX(tblCleanData[JobSatisfaction],285))*6.25</f>
        <v>25</v>
      </c>
      <c r="M293">
        <f>IF(INDEX(tblCleanData[YearsAtCompany],285)&lt;=2,25,IF(INDEX(tblCleanData[YearsAtCompany],285)&lt;=5,15,IF(INDEX(tblCleanData[YearsAtCompany],285)&lt;=10,8,3)))</f>
        <v>15</v>
      </c>
      <c r="N293">
        <f t="shared" si="8"/>
        <v>100</v>
      </c>
      <c r="O293" t="str">
        <f t="shared" si="9"/>
        <v>High Risk</v>
      </c>
    </row>
    <row r="294" spans="1:15" x14ac:dyDescent="0.25">
      <c r="A294">
        <f>INDEX(tblCleanData[EmployeeNumber],286)</f>
        <v>391</v>
      </c>
      <c r="B294" t="str">
        <f>IF(INDEX(tblCleanData[Age],286)&lt;30,"Under 30",IF(INDEX(tblCleanData[Age],286)&lt;40,"30-39",IF(INDEX(tblCleanData[Age],286)&lt;50,"40-49","50+")))</f>
        <v>30-39</v>
      </c>
      <c r="C294" t="str">
        <f>IF(INDEX(tblCleanData[MonthlyIncome],286)&lt;=$B$3,"Low Income",IF(INDEX(tblCleanData[MonthlyIncome],286)&lt;=$B$4,"Medium Income","High Income"))</f>
        <v>High Income</v>
      </c>
      <c r="D294">
        <f>IF(INDEX(tblCleanData[Attrition],286)="Yes",1,0)</f>
        <v>0</v>
      </c>
      <c r="E294">
        <f>IF(INDEX(tblCleanData[OverTime],286)="Yes",1,0)</f>
        <v>0</v>
      </c>
      <c r="F294" t="str">
        <f>CHOOSE(INDEX(tblCleanData[Education],286),"Below College","College","Bachelor","Master","Doctor")</f>
        <v>Bachelor</v>
      </c>
      <c r="G294" t="str">
        <f>IF(INDEX(tblCleanData[YearsAtCompany],286)&lt;=2,"0-2 Years",IF(INDEX(tblCleanData[YearsAtCompany],286)&lt;=5,"3-5 Years",IF(INDEX(tblCleanData[YearsAtCompany],286)&lt;=10,"6-10 Years","10+ Years")))</f>
        <v>10+ Years</v>
      </c>
      <c r="H294" t="str">
        <f>IF(INDEX(tblCleanData[WorkLifeBalance],286)&lt;=2,"Elevated","Normal")</f>
        <v>Normal</v>
      </c>
      <c r="I294">
        <f>IF(INDEX(tblCleanData[Age],286)&lt;30,30,IF(INDEX(tblCleanData[Age],286)&lt;40,20,IF(INDEX(tblCleanData[Age],286)&lt;50,10,15)))</f>
        <v>20</v>
      </c>
      <c r="J294">
        <f>IF(INDEX(tblCleanData[MonthlyIncome],286)&lt;=$B$3,25,IF(INDEX(tblCleanData[MonthlyIncome],286)&lt;=$B$4,12,5))</f>
        <v>5</v>
      </c>
      <c r="K294">
        <f>IF(INDEX(tblCleanData[OverTime],286)="Yes",25,0)</f>
        <v>0</v>
      </c>
      <c r="L294">
        <f>(5-INDEX(tblCleanData[JobSatisfaction],286))*6.25</f>
        <v>6.25</v>
      </c>
      <c r="M294">
        <f>IF(INDEX(tblCleanData[YearsAtCompany],286)&lt;=2,25,IF(INDEX(tblCleanData[YearsAtCompany],286)&lt;=5,15,IF(INDEX(tblCleanData[YearsAtCompany],286)&lt;=10,8,3)))</f>
        <v>3</v>
      </c>
      <c r="N294">
        <f t="shared" si="8"/>
        <v>34</v>
      </c>
      <c r="O294" t="str">
        <f t="shared" si="9"/>
        <v>Low Risk</v>
      </c>
    </row>
    <row r="295" spans="1:15" x14ac:dyDescent="0.25">
      <c r="A295">
        <f>INDEX(tblCleanData[EmployeeNumber],287)</f>
        <v>392</v>
      </c>
      <c r="B295" t="str">
        <f>IF(INDEX(tblCleanData[Age],287)&lt;30,"Under 30",IF(INDEX(tblCleanData[Age],287)&lt;40,"30-39",IF(INDEX(tblCleanData[Age],287)&lt;50,"40-49","50+")))</f>
        <v>40-49</v>
      </c>
      <c r="C295" t="str">
        <f>IF(INDEX(tblCleanData[MonthlyIncome],287)&lt;=$B$3,"Low Income",IF(INDEX(tblCleanData[MonthlyIncome],287)&lt;=$B$4,"Medium Income","High Income"))</f>
        <v>High Income</v>
      </c>
      <c r="D295">
        <f>IF(INDEX(tblCleanData[Attrition],287)="Yes",1,0)</f>
        <v>1</v>
      </c>
      <c r="E295">
        <f>IF(INDEX(tblCleanData[OverTime],287)="Yes",1,0)</f>
        <v>1</v>
      </c>
      <c r="F295" t="str">
        <f>CHOOSE(INDEX(tblCleanData[Education],287),"Below College","College","Bachelor","Master","Doctor")</f>
        <v>Bachelor</v>
      </c>
      <c r="G295" t="str">
        <f>IF(INDEX(tblCleanData[YearsAtCompany],287)&lt;=2,"0-2 Years",IF(INDEX(tblCleanData[YearsAtCompany],287)&lt;=5,"3-5 Years",IF(INDEX(tblCleanData[YearsAtCompany],287)&lt;=10,"6-10 Years","10+ Years")))</f>
        <v>0-2 Years</v>
      </c>
      <c r="H295" t="str">
        <f>IF(INDEX(tblCleanData[WorkLifeBalance],287)&lt;=2,"Elevated","Normal")</f>
        <v>Elevated</v>
      </c>
      <c r="I295">
        <f>IF(INDEX(tblCleanData[Age],287)&lt;30,30,IF(INDEX(tblCleanData[Age],287)&lt;40,20,IF(INDEX(tblCleanData[Age],287)&lt;50,10,15)))</f>
        <v>10</v>
      </c>
      <c r="J295">
        <f>IF(INDEX(tblCleanData[MonthlyIncome],287)&lt;=$B$3,25,IF(INDEX(tblCleanData[MonthlyIncome],287)&lt;=$B$4,12,5))</f>
        <v>5</v>
      </c>
      <c r="K295">
        <f>IF(INDEX(tblCleanData[OverTime],287)="Yes",25,0)</f>
        <v>25</v>
      </c>
      <c r="L295">
        <f>(5-INDEX(tblCleanData[JobSatisfaction],287))*6.25</f>
        <v>12.5</v>
      </c>
      <c r="M295">
        <f>IF(INDEX(tblCleanData[YearsAtCompany],287)&lt;=2,25,IF(INDEX(tblCleanData[YearsAtCompany],287)&lt;=5,15,IF(INDEX(tblCleanData[YearsAtCompany],287)&lt;=10,8,3)))</f>
        <v>25</v>
      </c>
      <c r="N295">
        <f t="shared" si="8"/>
        <v>78</v>
      </c>
      <c r="O295" t="str">
        <f t="shared" si="9"/>
        <v>High Risk</v>
      </c>
    </row>
    <row r="296" spans="1:15" x14ac:dyDescent="0.25">
      <c r="A296">
        <f>INDEX(tblCleanData[EmployeeNumber],288)</f>
        <v>393</v>
      </c>
      <c r="B296" t="str">
        <f>IF(INDEX(tblCleanData[Age],288)&lt;30,"Under 30",IF(INDEX(tblCleanData[Age],288)&lt;40,"30-39",IF(INDEX(tblCleanData[Age],288)&lt;50,"40-49","50+")))</f>
        <v>30-39</v>
      </c>
      <c r="C296" t="str">
        <f>IF(INDEX(tblCleanData[MonthlyIncome],288)&lt;=$B$3,"Low Income",IF(INDEX(tblCleanData[MonthlyIncome],288)&lt;=$B$4,"Medium Income","High Income"))</f>
        <v>High Income</v>
      </c>
      <c r="D296">
        <f>IF(INDEX(tblCleanData[Attrition],288)="Yes",1,0)</f>
        <v>0</v>
      </c>
      <c r="E296">
        <f>IF(INDEX(tblCleanData[OverTime],288)="Yes",1,0)</f>
        <v>0</v>
      </c>
      <c r="F296" t="str">
        <f>CHOOSE(INDEX(tblCleanData[Education],288),"Below College","College","Bachelor","Master","Doctor")</f>
        <v>Master</v>
      </c>
      <c r="G296" t="str">
        <f>IF(INDEX(tblCleanData[YearsAtCompany],288)&lt;=2,"0-2 Years",IF(INDEX(tblCleanData[YearsAtCompany],288)&lt;=5,"3-5 Years",IF(INDEX(tblCleanData[YearsAtCompany],288)&lt;=10,"6-10 Years","10+ Years")))</f>
        <v>0-2 Years</v>
      </c>
      <c r="H296" t="str">
        <f>IF(INDEX(tblCleanData[WorkLifeBalance],288)&lt;=2,"Elevated","Normal")</f>
        <v>Normal</v>
      </c>
      <c r="I296">
        <f>IF(INDEX(tblCleanData[Age],288)&lt;30,30,IF(INDEX(tblCleanData[Age],288)&lt;40,20,IF(INDEX(tblCleanData[Age],288)&lt;50,10,15)))</f>
        <v>20</v>
      </c>
      <c r="J296">
        <f>IF(INDEX(tblCleanData[MonthlyIncome],288)&lt;=$B$3,25,IF(INDEX(tblCleanData[MonthlyIncome],288)&lt;=$B$4,12,5))</f>
        <v>5</v>
      </c>
      <c r="K296">
        <f>IF(INDEX(tblCleanData[OverTime],288)="Yes",25,0)</f>
        <v>0</v>
      </c>
      <c r="L296">
        <f>(5-INDEX(tblCleanData[JobSatisfaction],288))*6.25</f>
        <v>6.25</v>
      </c>
      <c r="M296">
        <f>IF(INDEX(tblCleanData[YearsAtCompany],288)&lt;=2,25,IF(INDEX(tblCleanData[YearsAtCompany],288)&lt;=5,15,IF(INDEX(tblCleanData[YearsAtCompany],288)&lt;=10,8,3)))</f>
        <v>25</v>
      </c>
      <c r="N296">
        <f t="shared" si="8"/>
        <v>56</v>
      </c>
      <c r="O296" t="str">
        <f t="shared" si="9"/>
        <v>High Risk</v>
      </c>
    </row>
    <row r="297" spans="1:15" x14ac:dyDescent="0.25">
      <c r="A297">
        <f>INDEX(tblCleanData[EmployeeNumber],289)</f>
        <v>394</v>
      </c>
      <c r="B297" t="str">
        <f>IF(INDEX(tblCleanData[Age],289)&lt;30,"Under 30",IF(INDEX(tblCleanData[Age],289)&lt;40,"30-39",IF(INDEX(tblCleanData[Age],289)&lt;50,"40-49","50+")))</f>
        <v>Under 30</v>
      </c>
      <c r="C297" t="str">
        <f>IF(INDEX(tblCleanData[MonthlyIncome],289)&lt;=$B$3,"Low Income",IF(INDEX(tblCleanData[MonthlyIncome],289)&lt;=$B$4,"Medium Income","High Income"))</f>
        <v>High Income</v>
      </c>
      <c r="D297">
        <f>IF(INDEX(tblCleanData[Attrition],289)="Yes",1,0)</f>
        <v>1</v>
      </c>
      <c r="E297">
        <f>IF(INDEX(tblCleanData[OverTime],289)="Yes",1,0)</f>
        <v>1</v>
      </c>
      <c r="F297" t="str">
        <f>CHOOSE(INDEX(tblCleanData[Education],289),"Below College","College","Bachelor","Master","Doctor")</f>
        <v>Master</v>
      </c>
      <c r="G297" t="str">
        <f>IF(INDEX(tblCleanData[YearsAtCompany],289)&lt;=2,"0-2 Years",IF(INDEX(tblCleanData[YearsAtCompany],289)&lt;=5,"3-5 Years",IF(INDEX(tblCleanData[YearsAtCompany],289)&lt;=10,"6-10 Years","10+ Years")))</f>
        <v>3-5 Years</v>
      </c>
      <c r="H297" t="str">
        <f>IF(INDEX(tblCleanData[WorkLifeBalance],289)&lt;=2,"Elevated","Normal")</f>
        <v>Normal</v>
      </c>
      <c r="I297">
        <f>IF(INDEX(tblCleanData[Age],289)&lt;30,30,IF(INDEX(tblCleanData[Age],289)&lt;40,20,IF(INDEX(tblCleanData[Age],289)&lt;50,10,15)))</f>
        <v>30</v>
      </c>
      <c r="J297">
        <f>IF(INDEX(tblCleanData[MonthlyIncome],289)&lt;=$B$3,25,IF(INDEX(tblCleanData[MonthlyIncome],289)&lt;=$B$4,12,5))</f>
        <v>5</v>
      </c>
      <c r="K297">
        <f>IF(INDEX(tblCleanData[OverTime],289)="Yes",25,0)</f>
        <v>25</v>
      </c>
      <c r="L297">
        <f>(5-INDEX(tblCleanData[JobSatisfaction],289))*6.25</f>
        <v>18.75</v>
      </c>
      <c r="M297">
        <f>IF(INDEX(tblCleanData[YearsAtCompany],289)&lt;=2,25,IF(INDEX(tblCleanData[YearsAtCompany],289)&lt;=5,15,IF(INDEX(tblCleanData[YearsAtCompany],289)&lt;=10,8,3)))</f>
        <v>15</v>
      </c>
      <c r="N297">
        <f t="shared" si="8"/>
        <v>94</v>
      </c>
      <c r="O297" t="str">
        <f t="shared" si="9"/>
        <v>High Risk</v>
      </c>
    </row>
    <row r="298" spans="1:15" x14ac:dyDescent="0.25">
      <c r="A298">
        <f>INDEX(tblCleanData[EmployeeNumber],290)</f>
        <v>395</v>
      </c>
      <c r="B298" t="str">
        <f>IF(INDEX(tblCleanData[Age],290)&lt;30,"Under 30",IF(INDEX(tblCleanData[Age],290)&lt;40,"30-39",IF(INDEX(tblCleanData[Age],290)&lt;50,"40-49","50+")))</f>
        <v>Under 30</v>
      </c>
      <c r="C298" t="str">
        <f>IF(INDEX(tblCleanData[MonthlyIncome],290)&lt;=$B$3,"Low Income",IF(INDEX(tblCleanData[MonthlyIncome],290)&lt;=$B$4,"Medium Income","High Income"))</f>
        <v>High Income</v>
      </c>
      <c r="D298">
        <f>IF(INDEX(tblCleanData[Attrition],290)="Yes",1,0)</f>
        <v>0</v>
      </c>
      <c r="E298">
        <f>IF(INDEX(tblCleanData[OverTime],290)="Yes",1,0)</f>
        <v>0</v>
      </c>
      <c r="F298" t="str">
        <f>CHOOSE(INDEX(tblCleanData[Education],290),"Below College","College","Bachelor","Master","Doctor")</f>
        <v>College</v>
      </c>
      <c r="G298" t="str">
        <f>IF(INDEX(tblCleanData[YearsAtCompany],290)&lt;=2,"0-2 Years",IF(INDEX(tblCleanData[YearsAtCompany],290)&lt;=5,"3-5 Years",IF(INDEX(tblCleanData[YearsAtCompany],290)&lt;=10,"6-10 Years","10+ Years")))</f>
        <v>3-5 Years</v>
      </c>
      <c r="H298" t="str">
        <f>IF(INDEX(tblCleanData[WorkLifeBalance],290)&lt;=2,"Elevated","Normal")</f>
        <v>Normal</v>
      </c>
      <c r="I298">
        <f>IF(INDEX(tblCleanData[Age],290)&lt;30,30,IF(INDEX(tblCleanData[Age],290)&lt;40,20,IF(INDEX(tblCleanData[Age],290)&lt;50,10,15)))</f>
        <v>30</v>
      </c>
      <c r="J298">
        <f>IF(INDEX(tblCleanData[MonthlyIncome],290)&lt;=$B$3,25,IF(INDEX(tblCleanData[MonthlyIncome],290)&lt;=$B$4,12,5))</f>
        <v>5</v>
      </c>
      <c r="K298">
        <f>IF(INDEX(tblCleanData[OverTime],290)="Yes",25,0)</f>
        <v>0</v>
      </c>
      <c r="L298">
        <f>(5-INDEX(tblCleanData[JobSatisfaction],290))*6.25</f>
        <v>6.25</v>
      </c>
      <c r="M298">
        <f>IF(INDEX(tblCleanData[YearsAtCompany],290)&lt;=2,25,IF(INDEX(tblCleanData[YearsAtCompany],290)&lt;=5,15,IF(INDEX(tblCleanData[YearsAtCompany],290)&lt;=10,8,3)))</f>
        <v>15</v>
      </c>
      <c r="N298">
        <f t="shared" si="8"/>
        <v>56</v>
      </c>
      <c r="O298" t="str">
        <f t="shared" si="9"/>
        <v>High Risk</v>
      </c>
    </row>
    <row r="299" spans="1:15" x14ac:dyDescent="0.25">
      <c r="A299">
        <f>INDEX(tblCleanData[EmployeeNumber],291)</f>
        <v>396</v>
      </c>
      <c r="B299" t="str">
        <f>IF(INDEX(tblCleanData[Age],291)&lt;30,"Under 30",IF(INDEX(tblCleanData[Age],291)&lt;40,"30-39",IF(INDEX(tblCleanData[Age],291)&lt;50,"40-49","50+")))</f>
        <v>40-49</v>
      </c>
      <c r="C299" t="str">
        <f>IF(INDEX(tblCleanData[MonthlyIncome],291)&lt;=$B$3,"Low Income",IF(INDEX(tblCleanData[MonthlyIncome],291)&lt;=$B$4,"Medium Income","High Income"))</f>
        <v>High Income</v>
      </c>
      <c r="D299">
        <f>IF(INDEX(tblCleanData[Attrition],291)="Yes",1,0)</f>
        <v>0</v>
      </c>
      <c r="E299">
        <f>IF(INDEX(tblCleanData[OverTime],291)="Yes",1,0)</f>
        <v>1</v>
      </c>
      <c r="F299" t="str">
        <f>CHOOSE(INDEX(tblCleanData[Education],291),"Below College","College","Bachelor","Master","Doctor")</f>
        <v>Master</v>
      </c>
      <c r="G299" t="str">
        <f>IF(INDEX(tblCleanData[YearsAtCompany],291)&lt;=2,"0-2 Years",IF(INDEX(tblCleanData[YearsAtCompany],291)&lt;=5,"3-5 Years",IF(INDEX(tblCleanData[YearsAtCompany],291)&lt;=10,"6-10 Years","10+ Years")))</f>
        <v>3-5 Years</v>
      </c>
      <c r="H299" t="str">
        <f>IF(INDEX(tblCleanData[WorkLifeBalance],291)&lt;=2,"Elevated","Normal")</f>
        <v>Normal</v>
      </c>
      <c r="I299">
        <f>IF(INDEX(tblCleanData[Age],291)&lt;30,30,IF(INDEX(tblCleanData[Age],291)&lt;40,20,IF(INDEX(tblCleanData[Age],291)&lt;50,10,15)))</f>
        <v>10</v>
      </c>
      <c r="J299">
        <f>IF(INDEX(tblCleanData[MonthlyIncome],291)&lt;=$B$3,25,IF(INDEX(tblCleanData[MonthlyIncome],291)&lt;=$B$4,12,5))</f>
        <v>5</v>
      </c>
      <c r="K299">
        <f>IF(INDEX(tblCleanData[OverTime],291)="Yes",25,0)</f>
        <v>25</v>
      </c>
      <c r="L299">
        <f>(5-INDEX(tblCleanData[JobSatisfaction],291))*6.25</f>
        <v>25</v>
      </c>
      <c r="M299">
        <f>IF(INDEX(tblCleanData[YearsAtCompany],291)&lt;=2,25,IF(INDEX(tblCleanData[YearsAtCompany],291)&lt;=5,15,IF(INDEX(tblCleanData[YearsAtCompany],291)&lt;=10,8,3)))</f>
        <v>15</v>
      </c>
      <c r="N299">
        <f t="shared" si="8"/>
        <v>80</v>
      </c>
      <c r="O299" t="str">
        <f t="shared" si="9"/>
        <v>High Risk</v>
      </c>
    </row>
    <row r="300" spans="1:15" x14ac:dyDescent="0.25">
      <c r="A300">
        <f>INDEX(tblCleanData[EmployeeNumber],292)</f>
        <v>397</v>
      </c>
      <c r="B300" t="str">
        <f>IF(INDEX(tblCleanData[Age],292)&lt;30,"Under 30",IF(INDEX(tblCleanData[Age],292)&lt;40,"30-39",IF(INDEX(tblCleanData[Age],292)&lt;50,"40-49","50+")))</f>
        <v>30-39</v>
      </c>
      <c r="C300" t="str">
        <f>IF(INDEX(tblCleanData[MonthlyIncome],292)&lt;=$B$3,"Low Income",IF(INDEX(tblCleanData[MonthlyIncome],292)&lt;=$B$4,"Medium Income","High Income"))</f>
        <v>High Income</v>
      </c>
      <c r="D300">
        <f>IF(INDEX(tblCleanData[Attrition],292)="Yes",1,0)</f>
        <v>0</v>
      </c>
      <c r="E300">
        <f>IF(INDEX(tblCleanData[OverTime],292)="Yes",1,0)</f>
        <v>0</v>
      </c>
      <c r="F300" t="str">
        <f>CHOOSE(INDEX(tblCleanData[Education],292),"Below College","College","Bachelor","Master","Doctor")</f>
        <v>Bachelor</v>
      </c>
      <c r="G300" t="str">
        <f>IF(INDEX(tblCleanData[YearsAtCompany],292)&lt;=2,"0-2 Years",IF(INDEX(tblCleanData[YearsAtCompany],292)&lt;=5,"3-5 Years",IF(INDEX(tblCleanData[YearsAtCompany],292)&lt;=10,"6-10 Years","10+ Years")))</f>
        <v>6-10 Years</v>
      </c>
      <c r="H300" t="str">
        <f>IF(INDEX(tblCleanData[WorkLifeBalance],292)&lt;=2,"Elevated","Normal")</f>
        <v>Normal</v>
      </c>
      <c r="I300">
        <f>IF(INDEX(tblCleanData[Age],292)&lt;30,30,IF(INDEX(tblCleanData[Age],292)&lt;40,20,IF(INDEX(tblCleanData[Age],292)&lt;50,10,15)))</f>
        <v>20</v>
      </c>
      <c r="J300">
        <f>IF(INDEX(tblCleanData[MonthlyIncome],292)&lt;=$B$3,25,IF(INDEX(tblCleanData[MonthlyIncome],292)&lt;=$B$4,12,5))</f>
        <v>5</v>
      </c>
      <c r="K300">
        <f>IF(INDEX(tblCleanData[OverTime],292)="Yes",25,0)</f>
        <v>0</v>
      </c>
      <c r="L300">
        <f>(5-INDEX(tblCleanData[JobSatisfaction],292))*6.25</f>
        <v>18.75</v>
      </c>
      <c r="M300">
        <f>IF(INDEX(tblCleanData[YearsAtCompany],292)&lt;=2,25,IF(INDEX(tblCleanData[YearsAtCompany],292)&lt;=5,15,IF(INDEX(tblCleanData[YearsAtCompany],292)&lt;=10,8,3)))</f>
        <v>8</v>
      </c>
      <c r="N300">
        <f t="shared" si="8"/>
        <v>52</v>
      </c>
      <c r="O300" t="str">
        <f t="shared" si="9"/>
        <v>Medium Risk</v>
      </c>
    </row>
    <row r="301" spans="1:15" x14ac:dyDescent="0.25">
      <c r="A301">
        <f>INDEX(tblCleanData[EmployeeNumber],293)</f>
        <v>399</v>
      </c>
      <c r="B301" t="str">
        <f>IF(INDEX(tblCleanData[Age],293)&lt;30,"Under 30",IF(INDEX(tblCleanData[Age],293)&lt;40,"30-39",IF(INDEX(tblCleanData[Age],293)&lt;50,"40-49","50+")))</f>
        <v>30-39</v>
      </c>
      <c r="C301" t="str">
        <f>IF(INDEX(tblCleanData[MonthlyIncome],293)&lt;=$B$3,"Low Income",IF(INDEX(tblCleanData[MonthlyIncome],293)&lt;=$B$4,"Medium Income","High Income"))</f>
        <v>High Income</v>
      </c>
      <c r="D301">
        <f>IF(INDEX(tblCleanData[Attrition],293)="Yes",1,0)</f>
        <v>0</v>
      </c>
      <c r="E301">
        <f>IF(INDEX(tblCleanData[OverTime],293)="Yes",1,0)</f>
        <v>0</v>
      </c>
      <c r="F301" t="str">
        <f>CHOOSE(INDEX(tblCleanData[Education],293),"Below College","College","Bachelor","Master","Doctor")</f>
        <v>Bachelor</v>
      </c>
      <c r="G301" t="str">
        <f>IF(INDEX(tblCleanData[YearsAtCompany],293)&lt;=2,"0-2 Years",IF(INDEX(tblCleanData[YearsAtCompany],293)&lt;=5,"3-5 Years",IF(INDEX(tblCleanData[YearsAtCompany],293)&lt;=10,"6-10 Years","10+ Years")))</f>
        <v>0-2 Years</v>
      </c>
      <c r="H301" t="str">
        <f>IF(INDEX(tblCleanData[WorkLifeBalance],293)&lt;=2,"Elevated","Normal")</f>
        <v>Elevated</v>
      </c>
      <c r="I301">
        <f>IF(INDEX(tblCleanData[Age],293)&lt;30,30,IF(INDEX(tblCleanData[Age],293)&lt;40,20,IF(INDEX(tblCleanData[Age],293)&lt;50,10,15)))</f>
        <v>20</v>
      </c>
      <c r="J301">
        <f>IF(INDEX(tblCleanData[MonthlyIncome],293)&lt;=$B$3,25,IF(INDEX(tblCleanData[MonthlyIncome],293)&lt;=$B$4,12,5))</f>
        <v>5</v>
      </c>
      <c r="K301">
        <f>IF(INDEX(tblCleanData[OverTime],293)="Yes",25,0)</f>
        <v>0</v>
      </c>
      <c r="L301">
        <f>(5-INDEX(tblCleanData[JobSatisfaction],293))*6.25</f>
        <v>18.75</v>
      </c>
      <c r="M301">
        <f>IF(INDEX(tblCleanData[YearsAtCompany],293)&lt;=2,25,IF(INDEX(tblCleanData[YearsAtCompany],293)&lt;=5,15,IF(INDEX(tblCleanData[YearsAtCompany],293)&lt;=10,8,3)))</f>
        <v>25</v>
      </c>
      <c r="N301">
        <f t="shared" si="8"/>
        <v>69</v>
      </c>
      <c r="O301" t="str">
        <f t="shared" si="9"/>
        <v>High Risk</v>
      </c>
    </row>
    <row r="302" spans="1:15" x14ac:dyDescent="0.25">
      <c r="A302">
        <f>INDEX(tblCleanData[EmployeeNumber],294)</f>
        <v>401</v>
      </c>
      <c r="B302" t="str">
        <f>IF(INDEX(tblCleanData[Age],294)&lt;30,"Under 30",IF(INDEX(tblCleanData[Age],294)&lt;40,"30-39",IF(INDEX(tblCleanData[Age],294)&lt;50,"40-49","50+")))</f>
        <v>Under 30</v>
      </c>
      <c r="C302" t="str">
        <f>IF(INDEX(tblCleanData[MonthlyIncome],294)&lt;=$B$3,"Low Income",IF(INDEX(tblCleanData[MonthlyIncome],294)&lt;=$B$4,"Medium Income","High Income"))</f>
        <v>High Income</v>
      </c>
      <c r="D302">
        <f>IF(INDEX(tblCleanData[Attrition],294)="Yes",1,0)</f>
        <v>1</v>
      </c>
      <c r="E302">
        <f>IF(INDEX(tblCleanData[OverTime],294)="Yes",1,0)</f>
        <v>1</v>
      </c>
      <c r="F302" t="str">
        <f>CHOOSE(INDEX(tblCleanData[Education],294),"Below College","College","Bachelor","Master","Doctor")</f>
        <v>Master</v>
      </c>
      <c r="G302" t="str">
        <f>IF(INDEX(tblCleanData[YearsAtCompany],294)&lt;=2,"0-2 Years",IF(INDEX(tblCleanData[YearsAtCompany],294)&lt;=5,"3-5 Years",IF(INDEX(tblCleanData[YearsAtCompany],294)&lt;=10,"6-10 Years","10+ Years")))</f>
        <v>6-10 Years</v>
      </c>
      <c r="H302" t="str">
        <f>IF(INDEX(tblCleanData[WorkLifeBalance],294)&lt;=2,"Elevated","Normal")</f>
        <v>Normal</v>
      </c>
      <c r="I302">
        <f>IF(INDEX(tblCleanData[Age],294)&lt;30,30,IF(INDEX(tblCleanData[Age],294)&lt;40,20,IF(INDEX(tblCleanData[Age],294)&lt;50,10,15)))</f>
        <v>30</v>
      </c>
      <c r="J302">
        <f>IF(INDEX(tblCleanData[MonthlyIncome],294)&lt;=$B$3,25,IF(INDEX(tblCleanData[MonthlyIncome],294)&lt;=$B$4,12,5))</f>
        <v>5</v>
      </c>
      <c r="K302">
        <f>IF(INDEX(tblCleanData[OverTime],294)="Yes",25,0)</f>
        <v>25</v>
      </c>
      <c r="L302">
        <f>(5-INDEX(tblCleanData[JobSatisfaction],294))*6.25</f>
        <v>6.25</v>
      </c>
      <c r="M302">
        <f>IF(INDEX(tblCleanData[YearsAtCompany],294)&lt;=2,25,IF(INDEX(tblCleanData[YearsAtCompany],294)&lt;=5,15,IF(INDEX(tblCleanData[YearsAtCompany],294)&lt;=10,8,3)))</f>
        <v>8</v>
      </c>
      <c r="N302">
        <f t="shared" si="8"/>
        <v>74</v>
      </c>
      <c r="O302" t="str">
        <f t="shared" si="9"/>
        <v>High Risk</v>
      </c>
    </row>
    <row r="303" spans="1:15" x14ac:dyDescent="0.25">
      <c r="A303">
        <f>INDEX(tblCleanData[EmployeeNumber],295)</f>
        <v>403</v>
      </c>
      <c r="B303" t="str">
        <f>IF(INDEX(tblCleanData[Age],295)&lt;30,"Under 30",IF(INDEX(tblCleanData[Age],295)&lt;40,"30-39",IF(INDEX(tblCleanData[Age],295)&lt;50,"40-49","50+")))</f>
        <v>30-39</v>
      </c>
      <c r="C303" t="str">
        <f>IF(INDEX(tblCleanData[MonthlyIncome],295)&lt;=$B$3,"Low Income",IF(INDEX(tblCleanData[MonthlyIncome],295)&lt;=$B$4,"Medium Income","High Income"))</f>
        <v>High Income</v>
      </c>
      <c r="D303">
        <f>IF(INDEX(tblCleanData[Attrition],295)="Yes",1,0)</f>
        <v>0</v>
      </c>
      <c r="E303">
        <f>IF(INDEX(tblCleanData[OverTime],295)="Yes",1,0)</f>
        <v>1</v>
      </c>
      <c r="F303" t="str">
        <f>CHOOSE(INDEX(tblCleanData[Education],295),"Below College","College","Bachelor","Master","Doctor")</f>
        <v>Bachelor</v>
      </c>
      <c r="G303" t="str">
        <f>IF(INDEX(tblCleanData[YearsAtCompany],295)&lt;=2,"0-2 Years",IF(INDEX(tblCleanData[YearsAtCompany],295)&lt;=5,"3-5 Years",IF(INDEX(tblCleanData[YearsAtCompany],295)&lt;=10,"6-10 Years","10+ Years")))</f>
        <v>3-5 Years</v>
      </c>
      <c r="H303" t="str">
        <f>IF(INDEX(tblCleanData[WorkLifeBalance],295)&lt;=2,"Elevated","Normal")</f>
        <v>Elevated</v>
      </c>
      <c r="I303">
        <f>IF(INDEX(tblCleanData[Age],295)&lt;30,30,IF(INDEX(tblCleanData[Age],295)&lt;40,20,IF(INDEX(tblCleanData[Age],295)&lt;50,10,15)))</f>
        <v>20</v>
      </c>
      <c r="J303">
        <f>IF(INDEX(tblCleanData[MonthlyIncome],295)&lt;=$B$3,25,IF(INDEX(tblCleanData[MonthlyIncome],295)&lt;=$B$4,12,5))</f>
        <v>5</v>
      </c>
      <c r="K303">
        <f>IF(INDEX(tblCleanData[OverTime],295)="Yes",25,0)</f>
        <v>25</v>
      </c>
      <c r="L303">
        <f>(5-INDEX(tblCleanData[JobSatisfaction],295))*6.25</f>
        <v>6.25</v>
      </c>
      <c r="M303">
        <f>IF(INDEX(tblCleanData[YearsAtCompany],295)&lt;=2,25,IF(INDEX(tblCleanData[YearsAtCompany],295)&lt;=5,15,IF(INDEX(tblCleanData[YearsAtCompany],295)&lt;=10,8,3)))</f>
        <v>15</v>
      </c>
      <c r="N303">
        <f t="shared" si="8"/>
        <v>71</v>
      </c>
      <c r="O303" t="str">
        <f t="shared" si="9"/>
        <v>High Risk</v>
      </c>
    </row>
    <row r="304" spans="1:15" x14ac:dyDescent="0.25">
      <c r="A304">
        <f>INDEX(tblCleanData[EmployeeNumber],296)</f>
        <v>404</v>
      </c>
      <c r="B304" t="str">
        <f>IF(INDEX(tblCleanData[Age],296)&lt;30,"Under 30",IF(INDEX(tblCleanData[Age],296)&lt;40,"30-39",IF(INDEX(tblCleanData[Age],296)&lt;50,"40-49","50+")))</f>
        <v>40-49</v>
      </c>
      <c r="C304" t="str">
        <f>IF(INDEX(tblCleanData[MonthlyIncome],296)&lt;=$B$3,"Low Income",IF(INDEX(tblCleanData[MonthlyIncome],296)&lt;=$B$4,"Medium Income","High Income"))</f>
        <v>High Income</v>
      </c>
      <c r="D304">
        <f>IF(INDEX(tblCleanData[Attrition],296)="Yes",1,0)</f>
        <v>0</v>
      </c>
      <c r="E304">
        <f>IF(INDEX(tblCleanData[OverTime],296)="Yes",1,0)</f>
        <v>0</v>
      </c>
      <c r="F304" t="str">
        <f>CHOOSE(INDEX(tblCleanData[Education],296),"Below College","College","Bachelor","Master","Doctor")</f>
        <v>Bachelor</v>
      </c>
      <c r="G304" t="str">
        <f>IF(INDEX(tblCleanData[YearsAtCompany],296)&lt;=2,"0-2 Years",IF(INDEX(tblCleanData[YearsAtCompany],296)&lt;=5,"3-5 Years",IF(INDEX(tblCleanData[YearsAtCompany],296)&lt;=10,"6-10 Years","10+ Years")))</f>
        <v>10+ Years</v>
      </c>
      <c r="H304" t="str">
        <f>IF(INDEX(tblCleanData[WorkLifeBalance],296)&lt;=2,"Elevated","Normal")</f>
        <v>Normal</v>
      </c>
      <c r="I304">
        <f>IF(INDEX(tblCleanData[Age],296)&lt;30,30,IF(INDEX(tblCleanData[Age],296)&lt;40,20,IF(INDEX(tblCleanData[Age],296)&lt;50,10,15)))</f>
        <v>10</v>
      </c>
      <c r="J304">
        <f>IF(INDEX(tblCleanData[MonthlyIncome],296)&lt;=$B$3,25,IF(INDEX(tblCleanData[MonthlyIncome],296)&lt;=$B$4,12,5))</f>
        <v>5</v>
      </c>
      <c r="K304">
        <f>IF(INDEX(tblCleanData[OverTime],296)="Yes",25,0)</f>
        <v>0</v>
      </c>
      <c r="L304">
        <f>(5-INDEX(tblCleanData[JobSatisfaction],296))*6.25</f>
        <v>18.75</v>
      </c>
      <c r="M304">
        <f>IF(INDEX(tblCleanData[YearsAtCompany],296)&lt;=2,25,IF(INDEX(tblCleanData[YearsAtCompany],296)&lt;=5,15,IF(INDEX(tblCleanData[YearsAtCompany],296)&lt;=10,8,3)))</f>
        <v>3</v>
      </c>
      <c r="N304">
        <f t="shared" si="8"/>
        <v>37</v>
      </c>
      <c r="O304" t="str">
        <f t="shared" si="9"/>
        <v>Medium Risk</v>
      </c>
    </row>
    <row r="305" spans="1:15" x14ac:dyDescent="0.25">
      <c r="A305">
        <f>INDEX(tblCleanData[EmployeeNumber],297)</f>
        <v>405</v>
      </c>
      <c r="B305" t="str">
        <f>IF(INDEX(tblCleanData[Age],297)&lt;30,"Under 30",IF(INDEX(tblCleanData[Age],297)&lt;40,"30-39",IF(INDEX(tblCleanData[Age],297)&lt;50,"40-49","50+")))</f>
        <v>Under 30</v>
      </c>
      <c r="C305" t="str">
        <f>IF(INDEX(tblCleanData[MonthlyIncome],297)&lt;=$B$3,"Low Income",IF(INDEX(tblCleanData[MonthlyIncome],297)&lt;=$B$4,"Medium Income","High Income"))</f>
        <v>High Income</v>
      </c>
      <c r="D305">
        <f>IF(INDEX(tblCleanData[Attrition],297)="Yes",1,0)</f>
        <v>1</v>
      </c>
      <c r="E305">
        <f>IF(INDEX(tblCleanData[OverTime],297)="Yes",1,0)</f>
        <v>0</v>
      </c>
      <c r="F305" t="str">
        <f>CHOOSE(INDEX(tblCleanData[Education],297),"Below College","College","Bachelor","Master","Doctor")</f>
        <v>Bachelor</v>
      </c>
      <c r="G305" t="str">
        <f>IF(INDEX(tblCleanData[YearsAtCompany],297)&lt;=2,"0-2 Years",IF(INDEX(tblCleanData[YearsAtCompany],297)&lt;=5,"3-5 Years",IF(INDEX(tblCleanData[YearsAtCompany],297)&lt;=10,"6-10 Years","10+ Years")))</f>
        <v>0-2 Years</v>
      </c>
      <c r="H305" t="str">
        <f>IF(INDEX(tblCleanData[WorkLifeBalance],297)&lt;=2,"Elevated","Normal")</f>
        <v>Normal</v>
      </c>
      <c r="I305">
        <f>IF(INDEX(tblCleanData[Age],297)&lt;30,30,IF(INDEX(tblCleanData[Age],297)&lt;40,20,IF(INDEX(tblCleanData[Age],297)&lt;50,10,15)))</f>
        <v>30</v>
      </c>
      <c r="J305">
        <f>IF(INDEX(tblCleanData[MonthlyIncome],297)&lt;=$B$3,25,IF(INDEX(tblCleanData[MonthlyIncome],297)&lt;=$B$4,12,5))</f>
        <v>5</v>
      </c>
      <c r="K305">
        <f>IF(INDEX(tblCleanData[OverTime],297)="Yes",25,0)</f>
        <v>0</v>
      </c>
      <c r="L305">
        <f>(5-INDEX(tblCleanData[JobSatisfaction],297))*6.25</f>
        <v>12.5</v>
      </c>
      <c r="M305">
        <f>IF(INDEX(tblCleanData[YearsAtCompany],297)&lt;=2,25,IF(INDEX(tblCleanData[YearsAtCompany],297)&lt;=5,15,IF(INDEX(tblCleanData[YearsAtCompany],297)&lt;=10,8,3)))</f>
        <v>25</v>
      </c>
      <c r="N305">
        <f t="shared" si="8"/>
        <v>73</v>
      </c>
      <c r="O305" t="str">
        <f t="shared" si="9"/>
        <v>High Risk</v>
      </c>
    </row>
    <row r="306" spans="1:15" x14ac:dyDescent="0.25">
      <c r="A306">
        <f>INDEX(tblCleanData[EmployeeNumber],298)</f>
        <v>406</v>
      </c>
      <c r="B306" t="str">
        <f>IF(INDEX(tblCleanData[Age],298)&lt;30,"Under 30",IF(INDEX(tblCleanData[Age],298)&lt;40,"30-39",IF(INDEX(tblCleanData[Age],298)&lt;50,"40-49","50+")))</f>
        <v>30-39</v>
      </c>
      <c r="C306" t="str">
        <f>IF(INDEX(tblCleanData[MonthlyIncome],298)&lt;=$B$3,"Low Income",IF(INDEX(tblCleanData[MonthlyIncome],298)&lt;=$B$4,"Medium Income","High Income"))</f>
        <v>High Income</v>
      </c>
      <c r="D306">
        <f>IF(INDEX(tblCleanData[Attrition],298)="Yes",1,0)</f>
        <v>0</v>
      </c>
      <c r="E306">
        <f>IF(INDEX(tblCleanData[OverTime],298)="Yes",1,0)</f>
        <v>0</v>
      </c>
      <c r="F306" t="str">
        <f>CHOOSE(INDEX(tblCleanData[Education],298),"Below College","College","Bachelor","Master","Doctor")</f>
        <v>Bachelor</v>
      </c>
      <c r="G306" t="str">
        <f>IF(INDEX(tblCleanData[YearsAtCompany],298)&lt;=2,"0-2 Years",IF(INDEX(tblCleanData[YearsAtCompany],298)&lt;=5,"3-5 Years",IF(INDEX(tblCleanData[YearsAtCompany],298)&lt;=10,"6-10 Years","10+ Years")))</f>
        <v>10+ Years</v>
      </c>
      <c r="H306" t="str">
        <f>IF(INDEX(tblCleanData[WorkLifeBalance],298)&lt;=2,"Elevated","Normal")</f>
        <v>Elevated</v>
      </c>
      <c r="I306">
        <f>IF(INDEX(tblCleanData[Age],298)&lt;30,30,IF(INDEX(tblCleanData[Age],298)&lt;40,20,IF(INDEX(tblCleanData[Age],298)&lt;50,10,15)))</f>
        <v>20</v>
      </c>
      <c r="J306">
        <f>IF(INDEX(tblCleanData[MonthlyIncome],298)&lt;=$B$3,25,IF(INDEX(tblCleanData[MonthlyIncome],298)&lt;=$B$4,12,5))</f>
        <v>5</v>
      </c>
      <c r="K306">
        <f>IF(INDEX(tblCleanData[OverTime],298)="Yes",25,0)</f>
        <v>0</v>
      </c>
      <c r="L306">
        <f>(5-INDEX(tblCleanData[JobSatisfaction],298))*6.25</f>
        <v>18.75</v>
      </c>
      <c r="M306">
        <f>IF(INDEX(tblCleanData[YearsAtCompany],298)&lt;=2,25,IF(INDEX(tblCleanData[YearsAtCompany],298)&lt;=5,15,IF(INDEX(tblCleanData[YearsAtCompany],298)&lt;=10,8,3)))</f>
        <v>3</v>
      </c>
      <c r="N306">
        <f t="shared" si="8"/>
        <v>47</v>
      </c>
      <c r="O306" t="str">
        <f t="shared" si="9"/>
        <v>Medium Risk</v>
      </c>
    </row>
    <row r="307" spans="1:15" x14ac:dyDescent="0.25">
      <c r="A307">
        <f>INDEX(tblCleanData[EmployeeNumber],299)</f>
        <v>407</v>
      </c>
      <c r="B307" t="str">
        <f>IF(INDEX(tblCleanData[Age],299)&lt;30,"Under 30",IF(INDEX(tblCleanData[Age],299)&lt;40,"30-39",IF(INDEX(tblCleanData[Age],299)&lt;50,"40-49","50+")))</f>
        <v>30-39</v>
      </c>
      <c r="C307" t="str">
        <f>IF(INDEX(tblCleanData[MonthlyIncome],299)&lt;=$B$3,"Low Income",IF(INDEX(tblCleanData[MonthlyIncome],299)&lt;=$B$4,"Medium Income","High Income"))</f>
        <v>High Income</v>
      </c>
      <c r="D307">
        <f>IF(INDEX(tblCleanData[Attrition],299)="Yes",1,0)</f>
        <v>0</v>
      </c>
      <c r="E307">
        <f>IF(INDEX(tblCleanData[OverTime],299)="Yes",1,0)</f>
        <v>0</v>
      </c>
      <c r="F307" t="str">
        <f>CHOOSE(INDEX(tblCleanData[Education],299),"Below College","College","Bachelor","Master","Doctor")</f>
        <v>Master</v>
      </c>
      <c r="G307" t="str">
        <f>IF(INDEX(tblCleanData[YearsAtCompany],299)&lt;=2,"0-2 Years",IF(INDEX(tblCleanData[YearsAtCompany],299)&lt;=5,"3-5 Years",IF(INDEX(tblCleanData[YearsAtCompany],299)&lt;=10,"6-10 Years","10+ Years")))</f>
        <v>0-2 Years</v>
      </c>
      <c r="H307" t="str">
        <f>IF(INDEX(tblCleanData[WorkLifeBalance],299)&lt;=2,"Elevated","Normal")</f>
        <v>Normal</v>
      </c>
      <c r="I307">
        <f>IF(INDEX(tblCleanData[Age],299)&lt;30,30,IF(INDEX(tblCleanData[Age],299)&lt;40,20,IF(INDEX(tblCleanData[Age],299)&lt;50,10,15)))</f>
        <v>20</v>
      </c>
      <c r="J307">
        <f>IF(INDEX(tblCleanData[MonthlyIncome],299)&lt;=$B$3,25,IF(INDEX(tblCleanData[MonthlyIncome],299)&lt;=$B$4,12,5))</f>
        <v>5</v>
      </c>
      <c r="K307">
        <f>IF(INDEX(tblCleanData[OverTime],299)="Yes",25,0)</f>
        <v>0</v>
      </c>
      <c r="L307">
        <f>(5-INDEX(tblCleanData[JobSatisfaction],299))*6.25</f>
        <v>6.25</v>
      </c>
      <c r="M307">
        <f>IF(INDEX(tblCleanData[YearsAtCompany],299)&lt;=2,25,IF(INDEX(tblCleanData[YearsAtCompany],299)&lt;=5,15,IF(INDEX(tblCleanData[YearsAtCompany],299)&lt;=10,8,3)))</f>
        <v>25</v>
      </c>
      <c r="N307">
        <f t="shared" si="8"/>
        <v>56</v>
      </c>
      <c r="O307" t="str">
        <f t="shared" si="9"/>
        <v>High Risk</v>
      </c>
    </row>
    <row r="308" spans="1:15" x14ac:dyDescent="0.25">
      <c r="A308">
        <f>INDEX(tblCleanData[EmployeeNumber],300)</f>
        <v>408</v>
      </c>
      <c r="B308" t="str">
        <f>IF(INDEX(tblCleanData[Age],300)&lt;30,"Under 30",IF(INDEX(tblCleanData[Age],300)&lt;40,"30-39",IF(INDEX(tblCleanData[Age],300)&lt;50,"40-49","50+")))</f>
        <v>50+</v>
      </c>
      <c r="C308" t="str">
        <f>IF(INDEX(tblCleanData[MonthlyIncome],300)&lt;=$B$3,"Low Income",IF(INDEX(tblCleanData[MonthlyIncome],300)&lt;=$B$4,"Medium Income","High Income"))</f>
        <v>High Income</v>
      </c>
      <c r="D308">
        <f>IF(INDEX(tblCleanData[Attrition],300)="Yes",1,0)</f>
        <v>0</v>
      </c>
      <c r="E308">
        <f>IF(INDEX(tblCleanData[OverTime],300)="Yes",1,0)</f>
        <v>0</v>
      </c>
      <c r="F308" t="str">
        <f>CHOOSE(INDEX(tblCleanData[Education],300),"Below College","College","Bachelor","Master","Doctor")</f>
        <v>Bachelor</v>
      </c>
      <c r="G308" t="str">
        <f>IF(INDEX(tblCleanData[YearsAtCompany],300)&lt;=2,"0-2 Years",IF(INDEX(tblCleanData[YearsAtCompany],300)&lt;=5,"3-5 Years",IF(INDEX(tblCleanData[YearsAtCompany],300)&lt;=10,"6-10 Years","10+ Years")))</f>
        <v>3-5 Years</v>
      </c>
      <c r="H308" t="str">
        <f>IF(INDEX(tblCleanData[WorkLifeBalance],300)&lt;=2,"Elevated","Normal")</f>
        <v>Normal</v>
      </c>
      <c r="I308">
        <f>IF(INDEX(tblCleanData[Age],300)&lt;30,30,IF(INDEX(tblCleanData[Age],300)&lt;40,20,IF(INDEX(tblCleanData[Age],300)&lt;50,10,15)))</f>
        <v>15</v>
      </c>
      <c r="J308">
        <f>IF(INDEX(tblCleanData[MonthlyIncome],300)&lt;=$B$3,25,IF(INDEX(tblCleanData[MonthlyIncome],300)&lt;=$B$4,12,5))</f>
        <v>5</v>
      </c>
      <c r="K308">
        <f>IF(INDEX(tblCleanData[OverTime],300)="Yes",25,0)</f>
        <v>0</v>
      </c>
      <c r="L308">
        <f>(5-INDEX(tblCleanData[JobSatisfaction],300))*6.25</f>
        <v>18.75</v>
      </c>
      <c r="M308">
        <f>IF(INDEX(tblCleanData[YearsAtCompany],300)&lt;=2,25,IF(INDEX(tblCleanData[YearsAtCompany],300)&lt;=5,15,IF(INDEX(tblCleanData[YearsAtCompany],300)&lt;=10,8,3)))</f>
        <v>15</v>
      </c>
      <c r="N308">
        <f t="shared" si="8"/>
        <v>54</v>
      </c>
      <c r="O308" t="str">
        <f t="shared" si="9"/>
        <v>Medium Risk</v>
      </c>
    </row>
    <row r="309" spans="1:15" x14ac:dyDescent="0.25">
      <c r="A309">
        <f>INDEX(tblCleanData[EmployeeNumber],301)</f>
        <v>410</v>
      </c>
      <c r="B309" t="str">
        <f>IF(INDEX(tblCleanData[Age],301)&lt;30,"Under 30",IF(INDEX(tblCleanData[Age],301)&lt;40,"30-39",IF(INDEX(tblCleanData[Age],301)&lt;50,"40-49","50+")))</f>
        <v>40-49</v>
      </c>
      <c r="C309" t="str">
        <f>IF(INDEX(tblCleanData[MonthlyIncome],301)&lt;=$B$3,"Low Income",IF(INDEX(tblCleanData[MonthlyIncome],301)&lt;=$B$4,"Medium Income","High Income"))</f>
        <v>High Income</v>
      </c>
      <c r="D309">
        <f>IF(INDEX(tblCleanData[Attrition],301)="Yes",1,0)</f>
        <v>0</v>
      </c>
      <c r="E309">
        <f>IF(INDEX(tblCleanData[OverTime],301)="Yes",1,0)</f>
        <v>0</v>
      </c>
      <c r="F309" t="str">
        <f>CHOOSE(INDEX(tblCleanData[Education],301),"Below College","College","Bachelor","Master","Doctor")</f>
        <v>Master</v>
      </c>
      <c r="G309" t="str">
        <f>IF(INDEX(tblCleanData[YearsAtCompany],301)&lt;=2,"0-2 Years",IF(INDEX(tblCleanData[YearsAtCompany],301)&lt;=5,"3-5 Years",IF(INDEX(tblCleanData[YearsAtCompany],301)&lt;=10,"6-10 Years","10+ Years")))</f>
        <v>10+ Years</v>
      </c>
      <c r="H309" t="str">
        <f>IF(INDEX(tblCleanData[WorkLifeBalance],301)&lt;=2,"Elevated","Normal")</f>
        <v>Normal</v>
      </c>
      <c r="I309">
        <f>IF(INDEX(tblCleanData[Age],301)&lt;30,30,IF(INDEX(tblCleanData[Age],301)&lt;40,20,IF(INDEX(tblCleanData[Age],301)&lt;50,10,15)))</f>
        <v>10</v>
      </c>
      <c r="J309">
        <f>IF(INDEX(tblCleanData[MonthlyIncome],301)&lt;=$B$3,25,IF(INDEX(tblCleanData[MonthlyIncome],301)&lt;=$B$4,12,5))</f>
        <v>5</v>
      </c>
      <c r="K309">
        <f>IF(INDEX(tblCleanData[OverTime],301)="Yes",25,0)</f>
        <v>0</v>
      </c>
      <c r="L309">
        <f>(5-INDEX(tblCleanData[JobSatisfaction],301))*6.25</f>
        <v>18.75</v>
      </c>
      <c r="M309">
        <f>IF(INDEX(tblCleanData[YearsAtCompany],301)&lt;=2,25,IF(INDEX(tblCleanData[YearsAtCompany],301)&lt;=5,15,IF(INDEX(tblCleanData[YearsAtCompany],301)&lt;=10,8,3)))</f>
        <v>3</v>
      </c>
      <c r="N309">
        <f t="shared" si="8"/>
        <v>37</v>
      </c>
      <c r="O309" t="str">
        <f t="shared" si="9"/>
        <v>Medium Risk</v>
      </c>
    </row>
    <row r="310" spans="1:15" x14ac:dyDescent="0.25">
      <c r="A310">
        <f>INDEX(tblCleanData[EmployeeNumber],302)</f>
        <v>411</v>
      </c>
      <c r="B310" t="str">
        <f>IF(INDEX(tblCleanData[Age],302)&lt;30,"Under 30",IF(INDEX(tblCleanData[Age],302)&lt;40,"30-39",IF(INDEX(tblCleanData[Age],302)&lt;50,"40-49","50+")))</f>
        <v>Under 30</v>
      </c>
      <c r="C310" t="str">
        <f>IF(INDEX(tblCleanData[MonthlyIncome],302)&lt;=$B$3,"Low Income",IF(INDEX(tblCleanData[MonthlyIncome],302)&lt;=$B$4,"Medium Income","High Income"))</f>
        <v>High Income</v>
      </c>
      <c r="D310">
        <f>IF(INDEX(tblCleanData[Attrition],302)="Yes",1,0)</f>
        <v>0</v>
      </c>
      <c r="E310">
        <f>IF(INDEX(tblCleanData[OverTime],302)="Yes",1,0)</f>
        <v>0</v>
      </c>
      <c r="F310" t="str">
        <f>CHOOSE(INDEX(tblCleanData[Education],302),"Below College","College","Bachelor","Master","Doctor")</f>
        <v>Bachelor</v>
      </c>
      <c r="G310" t="str">
        <f>IF(INDEX(tblCleanData[YearsAtCompany],302)&lt;=2,"0-2 Years",IF(INDEX(tblCleanData[YearsAtCompany],302)&lt;=5,"3-5 Years",IF(INDEX(tblCleanData[YearsAtCompany],302)&lt;=10,"6-10 Years","10+ Years")))</f>
        <v>0-2 Years</v>
      </c>
      <c r="H310" t="str">
        <f>IF(INDEX(tblCleanData[WorkLifeBalance],302)&lt;=2,"Elevated","Normal")</f>
        <v>Normal</v>
      </c>
      <c r="I310">
        <f>IF(INDEX(tblCleanData[Age],302)&lt;30,30,IF(INDEX(tblCleanData[Age],302)&lt;40,20,IF(INDEX(tblCleanData[Age],302)&lt;50,10,15)))</f>
        <v>30</v>
      </c>
      <c r="J310">
        <f>IF(INDEX(tblCleanData[MonthlyIncome],302)&lt;=$B$3,25,IF(INDEX(tblCleanData[MonthlyIncome],302)&lt;=$B$4,12,5))</f>
        <v>5</v>
      </c>
      <c r="K310">
        <f>IF(INDEX(tblCleanData[OverTime],302)="Yes",25,0)</f>
        <v>0</v>
      </c>
      <c r="L310">
        <f>(5-INDEX(tblCleanData[JobSatisfaction],302))*6.25</f>
        <v>12.5</v>
      </c>
      <c r="M310">
        <f>IF(INDEX(tblCleanData[YearsAtCompany],302)&lt;=2,25,IF(INDEX(tblCleanData[YearsAtCompany],302)&lt;=5,15,IF(INDEX(tblCleanData[YearsAtCompany],302)&lt;=10,8,3)))</f>
        <v>25</v>
      </c>
      <c r="N310">
        <f t="shared" si="8"/>
        <v>73</v>
      </c>
      <c r="O310" t="str">
        <f t="shared" si="9"/>
        <v>High Risk</v>
      </c>
    </row>
    <row r="311" spans="1:15" x14ac:dyDescent="0.25">
      <c r="A311">
        <f>INDEX(tblCleanData[EmployeeNumber],303)</f>
        <v>412</v>
      </c>
      <c r="B311" t="str">
        <f>IF(INDEX(tblCleanData[Age],303)&lt;30,"Under 30",IF(INDEX(tblCleanData[Age],303)&lt;40,"30-39",IF(INDEX(tblCleanData[Age],303)&lt;50,"40-49","50+")))</f>
        <v>Under 30</v>
      </c>
      <c r="C311" t="str">
        <f>IF(INDEX(tblCleanData[MonthlyIncome],303)&lt;=$B$3,"Low Income",IF(INDEX(tblCleanData[MonthlyIncome],303)&lt;=$B$4,"Medium Income","High Income"))</f>
        <v>High Income</v>
      </c>
      <c r="D311">
        <f>IF(INDEX(tblCleanData[Attrition],303)="Yes",1,0)</f>
        <v>0</v>
      </c>
      <c r="E311">
        <f>IF(INDEX(tblCleanData[OverTime],303)="Yes",1,0)</f>
        <v>0</v>
      </c>
      <c r="F311" t="str">
        <f>CHOOSE(INDEX(tblCleanData[Education],303),"Below College","College","Bachelor","Master","Doctor")</f>
        <v>College</v>
      </c>
      <c r="G311" t="str">
        <f>IF(INDEX(tblCleanData[YearsAtCompany],303)&lt;=2,"0-2 Years",IF(INDEX(tblCleanData[YearsAtCompany],303)&lt;=5,"3-5 Years",IF(INDEX(tblCleanData[YearsAtCompany],303)&lt;=10,"6-10 Years","10+ Years")))</f>
        <v>6-10 Years</v>
      </c>
      <c r="H311" t="str">
        <f>IF(INDEX(tblCleanData[WorkLifeBalance],303)&lt;=2,"Elevated","Normal")</f>
        <v>Normal</v>
      </c>
      <c r="I311">
        <f>IF(INDEX(tblCleanData[Age],303)&lt;30,30,IF(INDEX(tblCleanData[Age],303)&lt;40,20,IF(INDEX(tblCleanData[Age],303)&lt;50,10,15)))</f>
        <v>30</v>
      </c>
      <c r="J311">
        <f>IF(INDEX(tblCleanData[MonthlyIncome],303)&lt;=$B$3,25,IF(INDEX(tblCleanData[MonthlyIncome],303)&lt;=$B$4,12,5))</f>
        <v>5</v>
      </c>
      <c r="K311">
        <f>IF(INDEX(tblCleanData[OverTime],303)="Yes",25,0)</f>
        <v>0</v>
      </c>
      <c r="L311">
        <f>(5-INDEX(tblCleanData[JobSatisfaction],303))*6.25</f>
        <v>25</v>
      </c>
      <c r="M311">
        <f>IF(INDEX(tblCleanData[YearsAtCompany],303)&lt;=2,25,IF(INDEX(tblCleanData[YearsAtCompany],303)&lt;=5,15,IF(INDEX(tblCleanData[YearsAtCompany],303)&lt;=10,8,3)))</f>
        <v>8</v>
      </c>
      <c r="N311">
        <f t="shared" si="8"/>
        <v>68</v>
      </c>
      <c r="O311" t="str">
        <f t="shared" si="9"/>
        <v>High Risk</v>
      </c>
    </row>
    <row r="312" spans="1:15" x14ac:dyDescent="0.25">
      <c r="A312">
        <f>INDEX(tblCleanData[EmployeeNumber],304)</f>
        <v>416</v>
      </c>
      <c r="B312" t="str">
        <f>IF(INDEX(tblCleanData[Age],304)&lt;30,"Under 30",IF(INDEX(tblCleanData[Age],304)&lt;40,"30-39",IF(INDEX(tblCleanData[Age],304)&lt;50,"40-49","50+")))</f>
        <v>30-39</v>
      </c>
      <c r="C312" t="str">
        <f>IF(INDEX(tblCleanData[MonthlyIncome],304)&lt;=$B$3,"Low Income",IF(INDEX(tblCleanData[MonthlyIncome],304)&lt;=$B$4,"Medium Income","High Income"))</f>
        <v>High Income</v>
      </c>
      <c r="D312">
        <f>IF(INDEX(tblCleanData[Attrition],304)="Yes",1,0)</f>
        <v>0</v>
      </c>
      <c r="E312">
        <f>IF(INDEX(tblCleanData[OverTime],304)="Yes",1,0)</f>
        <v>0</v>
      </c>
      <c r="F312" t="str">
        <f>CHOOSE(INDEX(tblCleanData[Education],304),"Below College","College","Bachelor","Master","Doctor")</f>
        <v>Bachelor</v>
      </c>
      <c r="G312" t="str">
        <f>IF(INDEX(tblCleanData[YearsAtCompany],304)&lt;=2,"0-2 Years",IF(INDEX(tblCleanData[YearsAtCompany],304)&lt;=5,"3-5 Years",IF(INDEX(tblCleanData[YearsAtCompany],304)&lt;=10,"6-10 Years","10+ Years")))</f>
        <v>6-10 Years</v>
      </c>
      <c r="H312" t="str">
        <f>IF(INDEX(tblCleanData[WorkLifeBalance],304)&lt;=2,"Elevated","Normal")</f>
        <v>Elevated</v>
      </c>
      <c r="I312">
        <f>IF(INDEX(tblCleanData[Age],304)&lt;30,30,IF(INDEX(tblCleanData[Age],304)&lt;40,20,IF(INDEX(tblCleanData[Age],304)&lt;50,10,15)))</f>
        <v>20</v>
      </c>
      <c r="J312">
        <f>IF(INDEX(tblCleanData[MonthlyIncome],304)&lt;=$B$3,25,IF(INDEX(tblCleanData[MonthlyIncome],304)&lt;=$B$4,12,5))</f>
        <v>5</v>
      </c>
      <c r="K312">
        <f>IF(INDEX(tblCleanData[OverTime],304)="Yes",25,0)</f>
        <v>0</v>
      </c>
      <c r="L312">
        <f>(5-INDEX(tblCleanData[JobSatisfaction],304))*6.25</f>
        <v>6.25</v>
      </c>
      <c r="M312">
        <f>IF(INDEX(tblCleanData[YearsAtCompany],304)&lt;=2,25,IF(INDEX(tblCleanData[YearsAtCompany],304)&lt;=5,15,IF(INDEX(tblCleanData[YearsAtCompany],304)&lt;=10,8,3)))</f>
        <v>8</v>
      </c>
      <c r="N312">
        <f t="shared" si="8"/>
        <v>39</v>
      </c>
      <c r="O312" t="str">
        <f t="shared" si="9"/>
        <v>Medium Risk</v>
      </c>
    </row>
    <row r="313" spans="1:15" x14ac:dyDescent="0.25">
      <c r="A313">
        <f>INDEX(tblCleanData[EmployeeNumber],305)</f>
        <v>417</v>
      </c>
      <c r="B313" t="str">
        <f>IF(INDEX(tblCleanData[Age],305)&lt;30,"Under 30",IF(INDEX(tblCleanData[Age],305)&lt;40,"30-39",IF(INDEX(tblCleanData[Age],305)&lt;50,"40-49","50+")))</f>
        <v>30-39</v>
      </c>
      <c r="C313" t="str">
        <f>IF(INDEX(tblCleanData[MonthlyIncome],305)&lt;=$B$3,"Low Income",IF(INDEX(tblCleanData[MonthlyIncome],305)&lt;=$B$4,"Medium Income","High Income"))</f>
        <v>High Income</v>
      </c>
      <c r="D313">
        <f>IF(INDEX(tblCleanData[Attrition],305)="Yes",1,0)</f>
        <v>0</v>
      </c>
      <c r="E313">
        <f>IF(INDEX(tblCleanData[OverTime],305)="Yes",1,0)</f>
        <v>0</v>
      </c>
      <c r="F313" t="str">
        <f>CHOOSE(INDEX(tblCleanData[Education],305),"Below College","College","Bachelor","Master","Doctor")</f>
        <v>Bachelor</v>
      </c>
      <c r="G313" t="str">
        <f>IF(INDEX(tblCleanData[YearsAtCompany],305)&lt;=2,"0-2 Years",IF(INDEX(tblCleanData[YearsAtCompany],305)&lt;=5,"3-5 Years",IF(INDEX(tblCleanData[YearsAtCompany],305)&lt;=10,"6-10 Years","10+ Years")))</f>
        <v>10+ Years</v>
      </c>
      <c r="H313" t="str">
        <f>IF(INDEX(tblCleanData[WorkLifeBalance],305)&lt;=2,"Elevated","Normal")</f>
        <v>Elevated</v>
      </c>
      <c r="I313">
        <f>IF(INDEX(tblCleanData[Age],305)&lt;30,30,IF(INDEX(tblCleanData[Age],305)&lt;40,20,IF(INDEX(tblCleanData[Age],305)&lt;50,10,15)))</f>
        <v>20</v>
      </c>
      <c r="J313">
        <f>IF(INDEX(tblCleanData[MonthlyIncome],305)&lt;=$B$3,25,IF(INDEX(tblCleanData[MonthlyIncome],305)&lt;=$B$4,12,5))</f>
        <v>5</v>
      </c>
      <c r="K313">
        <f>IF(INDEX(tblCleanData[OverTime],305)="Yes",25,0)</f>
        <v>0</v>
      </c>
      <c r="L313">
        <f>(5-INDEX(tblCleanData[JobSatisfaction],305))*6.25</f>
        <v>6.25</v>
      </c>
      <c r="M313">
        <f>IF(INDEX(tblCleanData[YearsAtCompany],305)&lt;=2,25,IF(INDEX(tblCleanData[YearsAtCompany],305)&lt;=5,15,IF(INDEX(tblCleanData[YearsAtCompany],305)&lt;=10,8,3)))</f>
        <v>3</v>
      </c>
      <c r="N313">
        <f t="shared" si="8"/>
        <v>34</v>
      </c>
      <c r="O313" t="str">
        <f t="shared" si="9"/>
        <v>Low Risk</v>
      </c>
    </row>
    <row r="314" spans="1:15" x14ac:dyDescent="0.25">
      <c r="A314">
        <f>INDEX(tblCleanData[EmployeeNumber],306)</f>
        <v>419</v>
      </c>
      <c r="B314" t="str">
        <f>IF(INDEX(tblCleanData[Age],306)&lt;30,"Under 30",IF(INDEX(tblCleanData[Age],306)&lt;40,"30-39",IF(INDEX(tblCleanData[Age],306)&lt;50,"40-49","50+")))</f>
        <v>30-39</v>
      </c>
      <c r="C314" t="str">
        <f>IF(INDEX(tblCleanData[MonthlyIncome],306)&lt;=$B$3,"Low Income",IF(INDEX(tblCleanData[MonthlyIncome],306)&lt;=$B$4,"Medium Income","High Income"))</f>
        <v>High Income</v>
      </c>
      <c r="D314">
        <f>IF(INDEX(tblCleanData[Attrition],306)="Yes",1,0)</f>
        <v>0</v>
      </c>
      <c r="E314">
        <f>IF(INDEX(tblCleanData[OverTime],306)="Yes",1,0)</f>
        <v>0</v>
      </c>
      <c r="F314" t="str">
        <f>CHOOSE(INDEX(tblCleanData[Education],306),"Below College","College","Bachelor","Master","Doctor")</f>
        <v>Master</v>
      </c>
      <c r="G314" t="str">
        <f>IF(INDEX(tblCleanData[YearsAtCompany],306)&lt;=2,"0-2 Years",IF(INDEX(tblCleanData[YearsAtCompany],306)&lt;=5,"3-5 Years",IF(INDEX(tblCleanData[YearsAtCompany],306)&lt;=10,"6-10 Years","10+ Years")))</f>
        <v>6-10 Years</v>
      </c>
      <c r="H314" t="str">
        <f>IF(INDEX(tblCleanData[WorkLifeBalance],306)&lt;=2,"Elevated","Normal")</f>
        <v>Normal</v>
      </c>
      <c r="I314">
        <f>IF(INDEX(tblCleanData[Age],306)&lt;30,30,IF(INDEX(tblCleanData[Age],306)&lt;40,20,IF(INDEX(tblCleanData[Age],306)&lt;50,10,15)))</f>
        <v>20</v>
      </c>
      <c r="J314">
        <f>IF(INDEX(tblCleanData[MonthlyIncome],306)&lt;=$B$3,25,IF(INDEX(tblCleanData[MonthlyIncome],306)&lt;=$B$4,12,5))</f>
        <v>5</v>
      </c>
      <c r="K314">
        <f>IF(INDEX(tblCleanData[OverTime],306)="Yes",25,0)</f>
        <v>0</v>
      </c>
      <c r="L314">
        <f>(5-INDEX(tblCleanData[JobSatisfaction],306))*6.25</f>
        <v>18.75</v>
      </c>
      <c r="M314">
        <f>IF(INDEX(tblCleanData[YearsAtCompany],306)&lt;=2,25,IF(INDEX(tblCleanData[YearsAtCompany],306)&lt;=5,15,IF(INDEX(tblCleanData[YearsAtCompany],306)&lt;=10,8,3)))</f>
        <v>8</v>
      </c>
      <c r="N314">
        <f t="shared" si="8"/>
        <v>52</v>
      </c>
      <c r="O314" t="str">
        <f t="shared" si="9"/>
        <v>Medium Risk</v>
      </c>
    </row>
    <row r="315" spans="1:15" x14ac:dyDescent="0.25">
      <c r="A315">
        <f>INDEX(tblCleanData[EmployeeNumber],307)</f>
        <v>420</v>
      </c>
      <c r="B315" t="str">
        <f>IF(INDEX(tblCleanData[Age],307)&lt;30,"Under 30",IF(INDEX(tblCleanData[Age],307)&lt;40,"30-39",IF(INDEX(tblCleanData[Age],307)&lt;50,"40-49","50+")))</f>
        <v>30-39</v>
      </c>
      <c r="C315" t="str">
        <f>IF(INDEX(tblCleanData[MonthlyIncome],307)&lt;=$B$3,"Low Income",IF(INDEX(tblCleanData[MonthlyIncome],307)&lt;=$B$4,"Medium Income","High Income"))</f>
        <v>High Income</v>
      </c>
      <c r="D315">
        <f>IF(INDEX(tblCleanData[Attrition],307)="Yes",1,0)</f>
        <v>0</v>
      </c>
      <c r="E315">
        <f>IF(INDEX(tblCleanData[OverTime],307)="Yes",1,0)</f>
        <v>0</v>
      </c>
      <c r="F315" t="str">
        <f>CHOOSE(INDEX(tblCleanData[Education],307),"Below College","College","Bachelor","Master","Doctor")</f>
        <v>Bachelor</v>
      </c>
      <c r="G315" t="str">
        <f>IF(INDEX(tblCleanData[YearsAtCompany],307)&lt;=2,"0-2 Years",IF(INDEX(tblCleanData[YearsAtCompany],307)&lt;=5,"3-5 Years",IF(INDEX(tblCleanData[YearsAtCompany],307)&lt;=10,"6-10 Years","10+ Years")))</f>
        <v>10+ Years</v>
      </c>
      <c r="H315" t="str">
        <f>IF(INDEX(tblCleanData[WorkLifeBalance],307)&lt;=2,"Elevated","Normal")</f>
        <v>Elevated</v>
      </c>
      <c r="I315">
        <f>IF(INDEX(tblCleanData[Age],307)&lt;30,30,IF(INDEX(tblCleanData[Age],307)&lt;40,20,IF(INDEX(tblCleanData[Age],307)&lt;50,10,15)))</f>
        <v>20</v>
      </c>
      <c r="J315">
        <f>IF(INDEX(tblCleanData[MonthlyIncome],307)&lt;=$B$3,25,IF(INDEX(tblCleanData[MonthlyIncome],307)&lt;=$B$4,12,5))</f>
        <v>5</v>
      </c>
      <c r="K315">
        <f>IF(INDEX(tblCleanData[OverTime],307)="Yes",25,0)</f>
        <v>0</v>
      </c>
      <c r="L315">
        <f>(5-INDEX(tblCleanData[JobSatisfaction],307))*6.25</f>
        <v>12.5</v>
      </c>
      <c r="M315">
        <f>IF(INDEX(tblCleanData[YearsAtCompany],307)&lt;=2,25,IF(INDEX(tblCleanData[YearsAtCompany],307)&lt;=5,15,IF(INDEX(tblCleanData[YearsAtCompany],307)&lt;=10,8,3)))</f>
        <v>3</v>
      </c>
      <c r="N315">
        <f t="shared" si="8"/>
        <v>41</v>
      </c>
      <c r="O315" t="str">
        <f t="shared" si="9"/>
        <v>Medium Risk</v>
      </c>
    </row>
    <row r="316" spans="1:15" x14ac:dyDescent="0.25">
      <c r="A316">
        <f>INDEX(tblCleanData[EmployeeNumber],308)</f>
        <v>421</v>
      </c>
      <c r="B316" t="str">
        <f>IF(INDEX(tblCleanData[Age],308)&lt;30,"Under 30",IF(INDEX(tblCleanData[Age],308)&lt;40,"30-39",IF(INDEX(tblCleanData[Age],308)&lt;50,"40-49","50+")))</f>
        <v>30-39</v>
      </c>
      <c r="C316" t="str">
        <f>IF(INDEX(tblCleanData[MonthlyIncome],308)&lt;=$B$3,"Low Income",IF(INDEX(tblCleanData[MonthlyIncome],308)&lt;=$B$4,"Medium Income","High Income"))</f>
        <v>High Income</v>
      </c>
      <c r="D316">
        <f>IF(INDEX(tblCleanData[Attrition],308)="Yes",1,0)</f>
        <v>0</v>
      </c>
      <c r="E316">
        <f>IF(INDEX(tblCleanData[OverTime],308)="Yes",1,0)</f>
        <v>0</v>
      </c>
      <c r="F316" t="str">
        <f>CHOOSE(INDEX(tblCleanData[Education],308),"Below College","College","Bachelor","Master","Doctor")</f>
        <v>College</v>
      </c>
      <c r="G316" t="str">
        <f>IF(INDEX(tblCleanData[YearsAtCompany],308)&lt;=2,"0-2 Years",IF(INDEX(tblCleanData[YearsAtCompany],308)&lt;=5,"3-5 Years",IF(INDEX(tblCleanData[YearsAtCompany],308)&lt;=10,"6-10 Years","10+ Years")))</f>
        <v>6-10 Years</v>
      </c>
      <c r="H316" t="str">
        <f>IF(INDEX(tblCleanData[WorkLifeBalance],308)&lt;=2,"Elevated","Normal")</f>
        <v>Normal</v>
      </c>
      <c r="I316">
        <f>IF(INDEX(tblCleanData[Age],308)&lt;30,30,IF(INDEX(tblCleanData[Age],308)&lt;40,20,IF(INDEX(tblCleanData[Age],308)&lt;50,10,15)))</f>
        <v>20</v>
      </c>
      <c r="J316">
        <f>IF(INDEX(tblCleanData[MonthlyIncome],308)&lt;=$B$3,25,IF(INDEX(tblCleanData[MonthlyIncome],308)&lt;=$B$4,12,5))</f>
        <v>5</v>
      </c>
      <c r="K316">
        <f>IF(INDEX(tblCleanData[OverTime],308)="Yes",25,0)</f>
        <v>0</v>
      </c>
      <c r="L316">
        <f>(5-INDEX(tblCleanData[JobSatisfaction],308))*6.25</f>
        <v>18.75</v>
      </c>
      <c r="M316">
        <f>IF(INDEX(tblCleanData[YearsAtCompany],308)&lt;=2,25,IF(INDEX(tblCleanData[YearsAtCompany],308)&lt;=5,15,IF(INDEX(tblCleanData[YearsAtCompany],308)&lt;=10,8,3)))</f>
        <v>8</v>
      </c>
      <c r="N316">
        <f t="shared" si="8"/>
        <v>52</v>
      </c>
      <c r="O316" t="str">
        <f t="shared" si="9"/>
        <v>Medium Risk</v>
      </c>
    </row>
    <row r="317" spans="1:15" x14ac:dyDescent="0.25">
      <c r="A317">
        <f>INDEX(tblCleanData[EmployeeNumber],309)</f>
        <v>422</v>
      </c>
      <c r="B317" t="str">
        <f>IF(INDEX(tblCleanData[Age],309)&lt;30,"Under 30",IF(INDEX(tblCleanData[Age],309)&lt;40,"30-39",IF(INDEX(tblCleanData[Age],309)&lt;50,"40-49","50+")))</f>
        <v>50+</v>
      </c>
      <c r="C317" t="str">
        <f>IF(INDEX(tblCleanData[MonthlyIncome],309)&lt;=$B$3,"Low Income",IF(INDEX(tblCleanData[MonthlyIncome],309)&lt;=$B$4,"Medium Income","High Income"))</f>
        <v>High Income</v>
      </c>
      <c r="D317">
        <f>IF(INDEX(tblCleanData[Attrition],309)="Yes",1,0)</f>
        <v>0</v>
      </c>
      <c r="E317">
        <f>IF(INDEX(tblCleanData[OverTime],309)="Yes",1,0)</f>
        <v>1</v>
      </c>
      <c r="F317" t="str">
        <f>CHOOSE(INDEX(tblCleanData[Education],309),"Below College","College","Bachelor","Master","Doctor")</f>
        <v>Master</v>
      </c>
      <c r="G317" t="str">
        <f>IF(INDEX(tblCleanData[YearsAtCompany],309)&lt;=2,"0-2 Years",IF(INDEX(tblCleanData[YearsAtCompany],309)&lt;=5,"3-5 Years",IF(INDEX(tblCleanData[YearsAtCompany],309)&lt;=10,"6-10 Years","10+ Years")))</f>
        <v>3-5 Years</v>
      </c>
      <c r="H317" t="str">
        <f>IF(INDEX(tblCleanData[WorkLifeBalance],309)&lt;=2,"Elevated","Normal")</f>
        <v>Normal</v>
      </c>
      <c r="I317">
        <f>IF(INDEX(tblCleanData[Age],309)&lt;30,30,IF(INDEX(tblCleanData[Age],309)&lt;40,20,IF(INDEX(tblCleanData[Age],309)&lt;50,10,15)))</f>
        <v>15</v>
      </c>
      <c r="J317">
        <f>IF(INDEX(tblCleanData[MonthlyIncome],309)&lt;=$B$3,25,IF(INDEX(tblCleanData[MonthlyIncome],309)&lt;=$B$4,12,5))</f>
        <v>5</v>
      </c>
      <c r="K317">
        <f>IF(INDEX(tblCleanData[OverTime],309)="Yes",25,0)</f>
        <v>25</v>
      </c>
      <c r="L317">
        <f>(5-INDEX(tblCleanData[JobSatisfaction],309))*6.25</f>
        <v>12.5</v>
      </c>
      <c r="M317">
        <f>IF(INDEX(tblCleanData[YearsAtCompany],309)&lt;=2,25,IF(INDEX(tblCleanData[YearsAtCompany],309)&lt;=5,15,IF(INDEX(tblCleanData[YearsAtCompany],309)&lt;=10,8,3)))</f>
        <v>15</v>
      </c>
      <c r="N317">
        <f t="shared" si="8"/>
        <v>73</v>
      </c>
      <c r="O317" t="str">
        <f t="shared" si="9"/>
        <v>High Risk</v>
      </c>
    </row>
    <row r="318" spans="1:15" x14ac:dyDescent="0.25">
      <c r="A318">
        <f>INDEX(tblCleanData[EmployeeNumber],310)</f>
        <v>423</v>
      </c>
      <c r="B318" t="str">
        <f>IF(INDEX(tblCleanData[Age],310)&lt;30,"Under 30",IF(INDEX(tblCleanData[Age],310)&lt;40,"30-39",IF(INDEX(tblCleanData[Age],310)&lt;50,"40-49","50+")))</f>
        <v>30-39</v>
      </c>
      <c r="C318" t="str">
        <f>IF(INDEX(tblCleanData[MonthlyIncome],310)&lt;=$B$3,"Low Income",IF(INDEX(tblCleanData[MonthlyIncome],310)&lt;=$B$4,"Medium Income","High Income"))</f>
        <v>High Income</v>
      </c>
      <c r="D318">
        <f>IF(INDEX(tblCleanData[Attrition],310)="Yes",1,0)</f>
        <v>0</v>
      </c>
      <c r="E318">
        <f>IF(INDEX(tblCleanData[OverTime],310)="Yes",1,0)</f>
        <v>1</v>
      </c>
      <c r="F318" t="str">
        <f>CHOOSE(INDEX(tblCleanData[Education],310),"Below College","College","Bachelor","Master","Doctor")</f>
        <v>Master</v>
      </c>
      <c r="G318" t="str">
        <f>IF(INDEX(tblCleanData[YearsAtCompany],310)&lt;=2,"0-2 Years",IF(INDEX(tblCleanData[YearsAtCompany],310)&lt;=5,"3-5 Years",IF(INDEX(tblCleanData[YearsAtCompany],310)&lt;=10,"6-10 Years","10+ Years")))</f>
        <v>3-5 Years</v>
      </c>
      <c r="H318" t="str">
        <f>IF(INDEX(tblCleanData[WorkLifeBalance],310)&lt;=2,"Elevated","Normal")</f>
        <v>Normal</v>
      </c>
      <c r="I318">
        <f>IF(INDEX(tblCleanData[Age],310)&lt;30,30,IF(INDEX(tblCleanData[Age],310)&lt;40,20,IF(INDEX(tblCleanData[Age],310)&lt;50,10,15)))</f>
        <v>20</v>
      </c>
      <c r="J318">
        <f>IF(INDEX(tblCleanData[MonthlyIncome],310)&lt;=$B$3,25,IF(INDEX(tblCleanData[MonthlyIncome],310)&lt;=$B$4,12,5))</f>
        <v>5</v>
      </c>
      <c r="K318">
        <f>IF(INDEX(tblCleanData[OverTime],310)="Yes",25,0)</f>
        <v>25</v>
      </c>
      <c r="L318">
        <f>(5-INDEX(tblCleanData[JobSatisfaction],310))*6.25</f>
        <v>6.25</v>
      </c>
      <c r="M318">
        <f>IF(INDEX(tblCleanData[YearsAtCompany],310)&lt;=2,25,IF(INDEX(tblCleanData[YearsAtCompany],310)&lt;=5,15,IF(INDEX(tblCleanData[YearsAtCompany],310)&lt;=10,8,3)))</f>
        <v>15</v>
      </c>
      <c r="N318">
        <f t="shared" si="8"/>
        <v>71</v>
      </c>
      <c r="O318" t="str">
        <f t="shared" si="9"/>
        <v>High Risk</v>
      </c>
    </row>
    <row r="319" spans="1:15" x14ac:dyDescent="0.25">
      <c r="A319">
        <f>INDEX(tblCleanData[EmployeeNumber],311)</f>
        <v>424</v>
      </c>
      <c r="B319" t="str">
        <f>IF(INDEX(tblCleanData[Age],311)&lt;30,"Under 30",IF(INDEX(tblCleanData[Age],311)&lt;40,"30-39",IF(INDEX(tblCleanData[Age],311)&lt;50,"40-49","50+")))</f>
        <v>30-39</v>
      </c>
      <c r="C319" t="str">
        <f>IF(INDEX(tblCleanData[MonthlyIncome],311)&lt;=$B$3,"Low Income",IF(INDEX(tblCleanData[MonthlyIncome],311)&lt;=$B$4,"Medium Income","High Income"))</f>
        <v>High Income</v>
      </c>
      <c r="D319">
        <f>IF(INDEX(tblCleanData[Attrition],311)="Yes",1,0)</f>
        <v>0</v>
      </c>
      <c r="E319">
        <f>IF(INDEX(tblCleanData[OverTime],311)="Yes",1,0)</f>
        <v>0</v>
      </c>
      <c r="F319" t="str">
        <f>CHOOSE(INDEX(tblCleanData[Education],311),"Below College","College","Bachelor","Master","Doctor")</f>
        <v>Bachelor</v>
      </c>
      <c r="G319" t="str">
        <f>IF(INDEX(tblCleanData[YearsAtCompany],311)&lt;=2,"0-2 Years",IF(INDEX(tblCleanData[YearsAtCompany],311)&lt;=5,"3-5 Years",IF(INDEX(tblCleanData[YearsAtCompany],311)&lt;=10,"6-10 Years","10+ Years")))</f>
        <v>0-2 Years</v>
      </c>
      <c r="H319" t="str">
        <f>IF(INDEX(tblCleanData[WorkLifeBalance],311)&lt;=2,"Elevated","Normal")</f>
        <v>Normal</v>
      </c>
      <c r="I319">
        <f>IF(INDEX(tblCleanData[Age],311)&lt;30,30,IF(INDEX(tblCleanData[Age],311)&lt;40,20,IF(INDEX(tblCleanData[Age],311)&lt;50,10,15)))</f>
        <v>20</v>
      </c>
      <c r="J319">
        <f>IF(INDEX(tblCleanData[MonthlyIncome],311)&lt;=$B$3,25,IF(INDEX(tblCleanData[MonthlyIncome],311)&lt;=$B$4,12,5))</f>
        <v>5</v>
      </c>
      <c r="K319">
        <f>IF(INDEX(tblCleanData[OverTime],311)="Yes",25,0)</f>
        <v>0</v>
      </c>
      <c r="L319">
        <f>(5-INDEX(tblCleanData[JobSatisfaction],311))*6.25</f>
        <v>25</v>
      </c>
      <c r="M319">
        <f>IF(INDEX(tblCleanData[YearsAtCompany],311)&lt;=2,25,IF(INDEX(tblCleanData[YearsAtCompany],311)&lt;=5,15,IF(INDEX(tblCleanData[YearsAtCompany],311)&lt;=10,8,3)))</f>
        <v>25</v>
      </c>
      <c r="N319">
        <f t="shared" si="8"/>
        <v>75</v>
      </c>
      <c r="O319" t="str">
        <f t="shared" si="9"/>
        <v>High Risk</v>
      </c>
    </row>
    <row r="320" spans="1:15" x14ac:dyDescent="0.25">
      <c r="A320">
        <f>INDEX(tblCleanData[EmployeeNumber],312)</f>
        <v>425</v>
      </c>
      <c r="B320" t="str">
        <f>IF(INDEX(tblCleanData[Age],312)&lt;30,"Under 30",IF(INDEX(tblCleanData[Age],312)&lt;40,"30-39",IF(INDEX(tblCleanData[Age],312)&lt;50,"40-49","50+")))</f>
        <v>40-49</v>
      </c>
      <c r="C320" t="str">
        <f>IF(INDEX(tblCleanData[MonthlyIncome],312)&lt;=$B$3,"Low Income",IF(INDEX(tblCleanData[MonthlyIncome],312)&lt;=$B$4,"Medium Income","High Income"))</f>
        <v>High Income</v>
      </c>
      <c r="D320">
        <f>IF(INDEX(tblCleanData[Attrition],312)="Yes",1,0)</f>
        <v>0</v>
      </c>
      <c r="E320">
        <f>IF(INDEX(tblCleanData[OverTime],312)="Yes",1,0)</f>
        <v>0</v>
      </c>
      <c r="F320" t="str">
        <f>CHOOSE(INDEX(tblCleanData[Education],312),"Below College","College","Bachelor","Master","Doctor")</f>
        <v>Bachelor</v>
      </c>
      <c r="G320" t="str">
        <f>IF(INDEX(tblCleanData[YearsAtCompany],312)&lt;=2,"0-2 Years",IF(INDEX(tblCleanData[YearsAtCompany],312)&lt;=5,"3-5 Years",IF(INDEX(tblCleanData[YearsAtCompany],312)&lt;=10,"6-10 Years","10+ Years")))</f>
        <v>10+ Years</v>
      </c>
      <c r="H320" t="str">
        <f>IF(INDEX(tblCleanData[WorkLifeBalance],312)&lt;=2,"Elevated","Normal")</f>
        <v>Normal</v>
      </c>
      <c r="I320">
        <f>IF(INDEX(tblCleanData[Age],312)&lt;30,30,IF(INDEX(tblCleanData[Age],312)&lt;40,20,IF(INDEX(tblCleanData[Age],312)&lt;50,10,15)))</f>
        <v>10</v>
      </c>
      <c r="J320">
        <f>IF(INDEX(tblCleanData[MonthlyIncome],312)&lt;=$B$3,25,IF(INDEX(tblCleanData[MonthlyIncome],312)&lt;=$B$4,12,5))</f>
        <v>5</v>
      </c>
      <c r="K320">
        <f>IF(INDEX(tblCleanData[OverTime],312)="Yes",25,0)</f>
        <v>0</v>
      </c>
      <c r="L320">
        <f>(5-INDEX(tblCleanData[JobSatisfaction],312))*6.25</f>
        <v>25</v>
      </c>
      <c r="M320">
        <f>IF(INDEX(tblCleanData[YearsAtCompany],312)&lt;=2,25,IF(INDEX(tblCleanData[YearsAtCompany],312)&lt;=5,15,IF(INDEX(tblCleanData[YearsAtCompany],312)&lt;=10,8,3)))</f>
        <v>3</v>
      </c>
      <c r="N320">
        <f t="shared" si="8"/>
        <v>43</v>
      </c>
      <c r="O320" t="str">
        <f t="shared" si="9"/>
        <v>Medium Risk</v>
      </c>
    </row>
    <row r="321" spans="1:15" x14ac:dyDescent="0.25">
      <c r="A321">
        <f>INDEX(tblCleanData[EmployeeNumber],313)</f>
        <v>426</v>
      </c>
      <c r="B321" t="str">
        <f>IF(INDEX(tblCleanData[Age],313)&lt;30,"Under 30",IF(INDEX(tblCleanData[Age],313)&lt;40,"30-39",IF(INDEX(tblCleanData[Age],313)&lt;50,"40-49","50+")))</f>
        <v>30-39</v>
      </c>
      <c r="C321" t="str">
        <f>IF(INDEX(tblCleanData[MonthlyIncome],313)&lt;=$B$3,"Low Income",IF(INDEX(tblCleanData[MonthlyIncome],313)&lt;=$B$4,"Medium Income","High Income"))</f>
        <v>High Income</v>
      </c>
      <c r="D321">
        <f>IF(INDEX(tblCleanData[Attrition],313)="Yes",1,0)</f>
        <v>0</v>
      </c>
      <c r="E321">
        <f>IF(INDEX(tblCleanData[OverTime],313)="Yes",1,0)</f>
        <v>1</v>
      </c>
      <c r="F321" t="str">
        <f>CHOOSE(INDEX(tblCleanData[Education],313),"Below College","College","Bachelor","Master","Doctor")</f>
        <v>Master</v>
      </c>
      <c r="G321" t="str">
        <f>IF(INDEX(tblCleanData[YearsAtCompany],313)&lt;=2,"0-2 Years",IF(INDEX(tblCleanData[YearsAtCompany],313)&lt;=5,"3-5 Years",IF(INDEX(tblCleanData[YearsAtCompany],313)&lt;=10,"6-10 Years","10+ Years")))</f>
        <v>0-2 Years</v>
      </c>
      <c r="H321" t="str">
        <f>IF(INDEX(tblCleanData[WorkLifeBalance],313)&lt;=2,"Elevated","Normal")</f>
        <v>Elevated</v>
      </c>
      <c r="I321">
        <f>IF(INDEX(tblCleanData[Age],313)&lt;30,30,IF(INDEX(tblCleanData[Age],313)&lt;40,20,IF(INDEX(tblCleanData[Age],313)&lt;50,10,15)))</f>
        <v>20</v>
      </c>
      <c r="J321">
        <f>IF(INDEX(tblCleanData[MonthlyIncome],313)&lt;=$B$3,25,IF(INDEX(tblCleanData[MonthlyIncome],313)&lt;=$B$4,12,5))</f>
        <v>5</v>
      </c>
      <c r="K321">
        <f>IF(INDEX(tblCleanData[OverTime],313)="Yes",25,0)</f>
        <v>25</v>
      </c>
      <c r="L321">
        <f>(5-INDEX(tblCleanData[JobSatisfaction],313))*6.25</f>
        <v>6.25</v>
      </c>
      <c r="M321">
        <f>IF(INDEX(tblCleanData[YearsAtCompany],313)&lt;=2,25,IF(INDEX(tblCleanData[YearsAtCompany],313)&lt;=5,15,IF(INDEX(tblCleanData[YearsAtCompany],313)&lt;=10,8,3)))</f>
        <v>25</v>
      </c>
      <c r="N321">
        <f t="shared" si="8"/>
        <v>81</v>
      </c>
      <c r="O321" t="str">
        <f t="shared" si="9"/>
        <v>High Risk</v>
      </c>
    </row>
    <row r="322" spans="1:15" x14ac:dyDescent="0.25">
      <c r="A322">
        <f>INDEX(tblCleanData[EmployeeNumber],314)</f>
        <v>428</v>
      </c>
      <c r="B322" t="str">
        <f>IF(INDEX(tblCleanData[Age],314)&lt;30,"Under 30",IF(INDEX(tblCleanData[Age],314)&lt;40,"30-39",IF(INDEX(tblCleanData[Age],314)&lt;50,"40-49","50+")))</f>
        <v>30-39</v>
      </c>
      <c r="C322" t="str">
        <f>IF(INDEX(tblCleanData[MonthlyIncome],314)&lt;=$B$3,"Low Income",IF(INDEX(tblCleanData[MonthlyIncome],314)&lt;=$B$4,"Medium Income","High Income"))</f>
        <v>High Income</v>
      </c>
      <c r="D322">
        <f>IF(INDEX(tblCleanData[Attrition],314)="Yes",1,0)</f>
        <v>0</v>
      </c>
      <c r="E322">
        <f>IF(INDEX(tblCleanData[OverTime],314)="Yes",1,0)</f>
        <v>0</v>
      </c>
      <c r="F322" t="str">
        <f>CHOOSE(INDEX(tblCleanData[Education],314),"Below College","College","Bachelor","Master","Doctor")</f>
        <v>Master</v>
      </c>
      <c r="G322" t="str">
        <f>IF(INDEX(tblCleanData[YearsAtCompany],314)&lt;=2,"0-2 Years",IF(INDEX(tblCleanData[YearsAtCompany],314)&lt;=5,"3-5 Years",IF(INDEX(tblCleanData[YearsAtCompany],314)&lt;=10,"6-10 Years","10+ Years")))</f>
        <v>6-10 Years</v>
      </c>
      <c r="H322" t="str">
        <f>IF(INDEX(tblCleanData[WorkLifeBalance],314)&lt;=2,"Elevated","Normal")</f>
        <v>Normal</v>
      </c>
      <c r="I322">
        <f>IF(INDEX(tblCleanData[Age],314)&lt;30,30,IF(INDEX(tblCleanData[Age],314)&lt;40,20,IF(INDEX(tblCleanData[Age],314)&lt;50,10,15)))</f>
        <v>20</v>
      </c>
      <c r="J322">
        <f>IF(INDEX(tblCleanData[MonthlyIncome],314)&lt;=$B$3,25,IF(INDEX(tblCleanData[MonthlyIncome],314)&lt;=$B$4,12,5))</f>
        <v>5</v>
      </c>
      <c r="K322">
        <f>IF(INDEX(tblCleanData[OverTime],314)="Yes",25,0)</f>
        <v>0</v>
      </c>
      <c r="L322">
        <f>(5-INDEX(tblCleanData[JobSatisfaction],314))*6.25</f>
        <v>18.75</v>
      </c>
      <c r="M322">
        <f>IF(INDEX(tblCleanData[YearsAtCompany],314)&lt;=2,25,IF(INDEX(tblCleanData[YearsAtCompany],314)&lt;=5,15,IF(INDEX(tblCleanData[YearsAtCompany],314)&lt;=10,8,3)))</f>
        <v>8</v>
      </c>
      <c r="N322">
        <f t="shared" si="8"/>
        <v>52</v>
      </c>
      <c r="O322" t="str">
        <f t="shared" si="9"/>
        <v>Medium Risk</v>
      </c>
    </row>
    <row r="323" spans="1:15" x14ac:dyDescent="0.25">
      <c r="A323">
        <f>INDEX(tblCleanData[EmployeeNumber],315)</f>
        <v>429</v>
      </c>
      <c r="B323" t="str">
        <f>IF(INDEX(tblCleanData[Age],315)&lt;30,"Under 30",IF(INDEX(tblCleanData[Age],315)&lt;40,"30-39",IF(INDEX(tblCleanData[Age],315)&lt;50,"40-49","50+")))</f>
        <v>30-39</v>
      </c>
      <c r="C323" t="str">
        <f>IF(INDEX(tblCleanData[MonthlyIncome],315)&lt;=$B$3,"Low Income",IF(INDEX(tblCleanData[MonthlyIncome],315)&lt;=$B$4,"Medium Income","High Income"))</f>
        <v>High Income</v>
      </c>
      <c r="D323">
        <f>IF(INDEX(tblCleanData[Attrition],315)="Yes",1,0)</f>
        <v>0</v>
      </c>
      <c r="E323">
        <f>IF(INDEX(tblCleanData[OverTime],315)="Yes",1,0)</f>
        <v>1</v>
      </c>
      <c r="F323" t="str">
        <f>CHOOSE(INDEX(tblCleanData[Education],315),"Below College","College","Bachelor","Master","Doctor")</f>
        <v>Below College</v>
      </c>
      <c r="G323" t="str">
        <f>IF(INDEX(tblCleanData[YearsAtCompany],315)&lt;=2,"0-2 Years",IF(INDEX(tblCleanData[YearsAtCompany],315)&lt;=5,"3-5 Years",IF(INDEX(tblCleanData[YearsAtCompany],315)&lt;=10,"6-10 Years","10+ Years")))</f>
        <v>10+ Years</v>
      </c>
      <c r="H323" t="str">
        <f>IF(INDEX(tblCleanData[WorkLifeBalance],315)&lt;=2,"Elevated","Normal")</f>
        <v>Normal</v>
      </c>
      <c r="I323">
        <f>IF(INDEX(tblCleanData[Age],315)&lt;30,30,IF(INDEX(tblCleanData[Age],315)&lt;40,20,IF(INDEX(tblCleanData[Age],315)&lt;50,10,15)))</f>
        <v>20</v>
      </c>
      <c r="J323">
        <f>IF(INDEX(tblCleanData[MonthlyIncome],315)&lt;=$B$3,25,IF(INDEX(tblCleanData[MonthlyIncome],315)&lt;=$B$4,12,5))</f>
        <v>5</v>
      </c>
      <c r="K323">
        <f>IF(INDEX(tblCleanData[OverTime],315)="Yes",25,0)</f>
        <v>25</v>
      </c>
      <c r="L323">
        <f>(5-INDEX(tblCleanData[JobSatisfaction],315))*6.25</f>
        <v>25</v>
      </c>
      <c r="M323">
        <f>IF(INDEX(tblCleanData[YearsAtCompany],315)&lt;=2,25,IF(INDEX(tblCleanData[YearsAtCompany],315)&lt;=5,15,IF(INDEX(tblCleanData[YearsAtCompany],315)&lt;=10,8,3)))</f>
        <v>3</v>
      </c>
      <c r="N323">
        <f t="shared" si="8"/>
        <v>78</v>
      </c>
      <c r="O323" t="str">
        <f t="shared" si="9"/>
        <v>High Risk</v>
      </c>
    </row>
    <row r="324" spans="1:15" x14ac:dyDescent="0.25">
      <c r="A324">
        <f>INDEX(tblCleanData[EmployeeNumber],316)</f>
        <v>430</v>
      </c>
      <c r="B324" t="str">
        <f>IF(INDEX(tblCleanData[Age],316)&lt;30,"Under 30",IF(INDEX(tblCleanData[Age],316)&lt;40,"30-39",IF(INDEX(tblCleanData[Age],316)&lt;50,"40-49","50+")))</f>
        <v>40-49</v>
      </c>
      <c r="C324" t="str">
        <f>IF(INDEX(tblCleanData[MonthlyIncome],316)&lt;=$B$3,"Low Income",IF(INDEX(tblCleanData[MonthlyIncome],316)&lt;=$B$4,"Medium Income","High Income"))</f>
        <v>High Income</v>
      </c>
      <c r="D324">
        <f>IF(INDEX(tblCleanData[Attrition],316)="Yes",1,0)</f>
        <v>0</v>
      </c>
      <c r="E324">
        <f>IF(INDEX(tblCleanData[OverTime],316)="Yes",1,0)</f>
        <v>0</v>
      </c>
      <c r="F324" t="str">
        <f>CHOOSE(INDEX(tblCleanData[Education],316),"Below College","College","Bachelor","Master","Doctor")</f>
        <v>Master</v>
      </c>
      <c r="G324" t="str">
        <f>IF(INDEX(tblCleanData[YearsAtCompany],316)&lt;=2,"0-2 Years",IF(INDEX(tblCleanData[YearsAtCompany],316)&lt;=5,"3-5 Years",IF(INDEX(tblCleanData[YearsAtCompany],316)&lt;=10,"6-10 Years","10+ Years")))</f>
        <v>6-10 Years</v>
      </c>
      <c r="H324" t="str">
        <f>IF(INDEX(tblCleanData[WorkLifeBalance],316)&lt;=2,"Elevated","Normal")</f>
        <v>Normal</v>
      </c>
      <c r="I324">
        <f>IF(INDEX(tblCleanData[Age],316)&lt;30,30,IF(INDEX(tblCleanData[Age],316)&lt;40,20,IF(INDEX(tblCleanData[Age],316)&lt;50,10,15)))</f>
        <v>10</v>
      </c>
      <c r="J324">
        <f>IF(INDEX(tblCleanData[MonthlyIncome],316)&lt;=$B$3,25,IF(INDEX(tblCleanData[MonthlyIncome],316)&lt;=$B$4,12,5))</f>
        <v>5</v>
      </c>
      <c r="K324">
        <f>IF(INDEX(tblCleanData[OverTime],316)="Yes",25,0)</f>
        <v>0</v>
      </c>
      <c r="L324">
        <f>(5-INDEX(tblCleanData[JobSatisfaction],316))*6.25</f>
        <v>6.25</v>
      </c>
      <c r="M324">
        <f>IF(INDEX(tblCleanData[YearsAtCompany],316)&lt;=2,25,IF(INDEX(tblCleanData[YearsAtCompany],316)&lt;=5,15,IF(INDEX(tblCleanData[YearsAtCompany],316)&lt;=10,8,3)))</f>
        <v>8</v>
      </c>
      <c r="N324">
        <f t="shared" si="8"/>
        <v>29</v>
      </c>
      <c r="O324" t="str">
        <f t="shared" si="9"/>
        <v>Low Risk</v>
      </c>
    </row>
    <row r="325" spans="1:15" x14ac:dyDescent="0.25">
      <c r="A325">
        <f>INDEX(tblCleanData[EmployeeNumber],317)</f>
        <v>431</v>
      </c>
      <c r="B325" t="str">
        <f>IF(INDEX(tblCleanData[Age],317)&lt;30,"Under 30",IF(INDEX(tblCleanData[Age],317)&lt;40,"30-39",IF(INDEX(tblCleanData[Age],317)&lt;50,"40-49","50+")))</f>
        <v>40-49</v>
      </c>
      <c r="C325" t="str">
        <f>IF(INDEX(tblCleanData[MonthlyIncome],317)&lt;=$B$3,"Low Income",IF(INDEX(tblCleanData[MonthlyIncome],317)&lt;=$B$4,"Medium Income","High Income"))</f>
        <v>High Income</v>
      </c>
      <c r="D325">
        <f>IF(INDEX(tblCleanData[Attrition],317)="Yes",1,0)</f>
        <v>0</v>
      </c>
      <c r="E325">
        <f>IF(INDEX(tblCleanData[OverTime],317)="Yes",1,0)</f>
        <v>1</v>
      </c>
      <c r="F325" t="str">
        <f>CHOOSE(INDEX(tblCleanData[Education],317),"Below College","College","Bachelor","Master","Doctor")</f>
        <v>College</v>
      </c>
      <c r="G325" t="str">
        <f>IF(INDEX(tblCleanData[YearsAtCompany],317)&lt;=2,"0-2 Years",IF(INDEX(tblCleanData[YearsAtCompany],317)&lt;=5,"3-5 Years",IF(INDEX(tblCleanData[YearsAtCompany],317)&lt;=10,"6-10 Years","10+ Years")))</f>
        <v>6-10 Years</v>
      </c>
      <c r="H325" t="str">
        <f>IF(INDEX(tblCleanData[WorkLifeBalance],317)&lt;=2,"Elevated","Normal")</f>
        <v>Normal</v>
      </c>
      <c r="I325">
        <f>IF(INDEX(tblCleanData[Age],317)&lt;30,30,IF(INDEX(tblCleanData[Age],317)&lt;40,20,IF(INDEX(tblCleanData[Age],317)&lt;50,10,15)))</f>
        <v>10</v>
      </c>
      <c r="J325">
        <f>IF(INDEX(tblCleanData[MonthlyIncome],317)&lt;=$B$3,25,IF(INDEX(tblCleanData[MonthlyIncome],317)&lt;=$B$4,12,5))</f>
        <v>5</v>
      </c>
      <c r="K325">
        <f>IF(INDEX(tblCleanData[OverTime],317)="Yes",25,0)</f>
        <v>25</v>
      </c>
      <c r="L325">
        <f>(5-INDEX(tblCleanData[JobSatisfaction],317))*6.25</f>
        <v>12.5</v>
      </c>
      <c r="M325">
        <f>IF(INDEX(tblCleanData[YearsAtCompany],317)&lt;=2,25,IF(INDEX(tblCleanData[YearsAtCompany],317)&lt;=5,15,IF(INDEX(tblCleanData[YearsAtCompany],317)&lt;=10,8,3)))</f>
        <v>8</v>
      </c>
      <c r="N325">
        <f t="shared" si="8"/>
        <v>61</v>
      </c>
      <c r="O325" t="str">
        <f t="shared" si="9"/>
        <v>High Risk</v>
      </c>
    </row>
    <row r="326" spans="1:15" x14ac:dyDescent="0.25">
      <c r="A326">
        <f>INDEX(tblCleanData[EmployeeNumber],318)</f>
        <v>433</v>
      </c>
      <c r="B326" t="str">
        <f>IF(INDEX(tblCleanData[Age],318)&lt;30,"Under 30",IF(INDEX(tblCleanData[Age],318)&lt;40,"30-39",IF(INDEX(tblCleanData[Age],318)&lt;50,"40-49","50+")))</f>
        <v>50+</v>
      </c>
      <c r="C326" t="str">
        <f>IF(INDEX(tblCleanData[MonthlyIncome],318)&lt;=$B$3,"Low Income",IF(INDEX(tblCleanData[MonthlyIncome],318)&lt;=$B$4,"Medium Income","High Income"))</f>
        <v>High Income</v>
      </c>
      <c r="D326">
        <f>IF(INDEX(tblCleanData[Attrition],318)="Yes",1,0)</f>
        <v>1</v>
      </c>
      <c r="E326">
        <f>IF(INDEX(tblCleanData[OverTime],318)="Yes",1,0)</f>
        <v>0</v>
      </c>
      <c r="F326" t="str">
        <f>CHOOSE(INDEX(tblCleanData[Education],318),"Below College","College","Bachelor","Master","Doctor")</f>
        <v>Master</v>
      </c>
      <c r="G326" t="str">
        <f>IF(INDEX(tblCleanData[YearsAtCompany],318)&lt;=2,"0-2 Years",IF(INDEX(tblCleanData[YearsAtCompany],318)&lt;=5,"3-5 Years",IF(INDEX(tblCleanData[YearsAtCompany],318)&lt;=10,"6-10 Years","10+ Years")))</f>
        <v>6-10 Years</v>
      </c>
      <c r="H326" t="str">
        <f>IF(INDEX(tblCleanData[WorkLifeBalance],318)&lt;=2,"Elevated","Normal")</f>
        <v>Elevated</v>
      </c>
      <c r="I326">
        <f>IF(INDEX(tblCleanData[Age],318)&lt;30,30,IF(INDEX(tblCleanData[Age],318)&lt;40,20,IF(INDEX(tblCleanData[Age],318)&lt;50,10,15)))</f>
        <v>15</v>
      </c>
      <c r="J326">
        <f>IF(INDEX(tblCleanData[MonthlyIncome],318)&lt;=$B$3,25,IF(INDEX(tblCleanData[MonthlyIncome],318)&lt;=$B$4,12,5))</f>
        <v>5</v>
      </c>
      <c r="K326">
        <f>IF(INDEX(tblCleanData[OverTime],318)="Yes",25,0)</f>
        <v>0</v>
      </c>
      <c r="L326">
        <f>(5-INDEX(tblCleanData[JobSatisfaction],318))*6.25</f>
        <v>18.75</v>
      </c>
      <c r="M326">
        <f>IF(INDEX(tblCleanData[YearsAtCompany],318)&lt;=2,25,IF(INDEX(tblCleanData[YearsAtCompany],318)&lt;=5,15,IF(INDEX(tblCleanData[YearsAtCompany],318)&lt;=10,8,3)))</f>
        <v>8</v>
      </c>
      <c r="N326">
        <f t="shared" si="8"/>
        <v>47</v>
      </c>
      <c r="O326" t="str">
        <f t="shared" si="9"/>
        <v>Medium Risk</v>
      </c>
    </row>
    <row r="327" spans="1:15" x14ac:dyDescent="0.25">
      <c r="A327">
        <f>INDEX(tblCleanData[EmployeeNumber],319)</f>
        <v>434</v>
      </c>
      <c r="B327" t="str">
        <f>IF(INDEX(tblCleanData[Age],319)&lt;30,"Under 30",IF(INDEX(tblCleanData[Age],319)&lt;40,"30-39",IF(INDEX(tblCleanData[Age],319)&lt;50,"40-49","50+")))</f>
        <v>Under 30</v>
      </c>
      <c r="C327" t="str">
        <f>IF(INDEX(tblCleanData[MonthlyIncome],319)&lt;=$B$3,"Low Income",IF(INDEX(tblCleanData[MonthlyIncome],319)&lt;=$B$4,"Medium Income","High Income"))</f>
        <v>High Income</v>
      </c>
      <c r="D327">
        <f>IF(INDEX(tblCleanData[Attrition],319)="Yes",1,0)</f>
        <v>0</v>
      </c>
      <c r="E327">
        <f>IF(INDEX(tblCleanData[OverTime],319)="Yes",1,0)</f>
        <v>1</v>
      </c>
      <c r="F327" t="str">
        <f>CHOOSE(INDEX(tblCleanData[Education],319),"Below College","College","Bachelor","Master","Doctor")</f>
        <v>Bachelor</v>
      </c>
      <c r="G327" t="str">
        <f>IF(INDEX(tblCleanData[YearsAtCompany],319)&lt;=2,"0-2 Years",IF(INDEX(tblCleanData[YearsAtCompany],319)&lt;=5,"3-5 Years",IF(INDEX(tblCleanData[YearsAtCompany],319)&lt;=10,"6-10 Years","10+ Years")))</f>
        <v>3-5 Years</v>
      </c>
      <c r="H327" t="str">
        <f>IF(INDEX(tblCleanData[WorkLifeBalance],319)&lt;=2,"Elevated","Normal")</f>
        <v>Elevated</v>
      </c>
      <c r="I327">
        <f>IF(INDEX(tblCleanData[Age],319)&lt;30,30,IF(INDEX(tblCleanData[Age],319)&lt;40,20,IF(INDEX(tblCleanData[Age],319)&lt;50,10,15)))</f>
        <v>30</v>
      </c>
      <c r="J327">
        <f>IF(INDEX(tblCleanData[MonthlyIncome],319)&lt;=$B$3,25,IF(INDEX(tblCleanData[MonthlyIncome],319)&lt;=$B$4,12,5))</f>
        <v>5</v>
      </c>
      <c r="K327">
        <f>IF(INDEX(tblCleanData[OverTime],319)="Yes",25,0)</f>
        <v>25</v>
      </c>
      <c r="L327">
        <f>(5-INDEX(tblCleanData[JobSatisfaction],319))*6.25</f>
        <v>18.75</v>
      </c>
      <c r="M327">
        <f>IF(INDEX(tblCleanData[YearsAtCompany],319)&lt;=2,25,IF(INDEX(tblCleanData[YearsAtCompany],319)&lt;=5,15,IF(INDEX(tblCleanData[YearsAtCompany],319)&lt;=10,8,3)))</f>
        <v>15</v>
      </c>
      <c r="N327">
        <f t="shared" si="8"/>
        <v>94</v>
      </c>
      <c r="O327" t="str">
        <f t="shared" si="9"/>
        <v>High Risk</v>
      </c>
    </row>
    <row r="328" spans="1:15" x14ac:dyDescent="0.25">
      <c r="A328">
        <f>INDEX(tblCleanData[EmployeeNumber],320)</f>
        <v>436</v>
      </c>
      <c r="B328" t="str">
        <f>IF(INDEX(tblCleanData[Age],320)&lt;30,"Under 30",IF(INDEX(tblCleanData[Age],320)&lt;40,"30-39",IF(INDEX(tblCleanData[Age],320)&lt;50,"40-49","50+")))</f>
        <v>30-39</v>
      </c>
      <c r="C328" t="str">
        <f>IF(INDEX(tblCleanData[MonthlyIncome],320)&lt;=$B$3,"Low Income",IF(INDEX(tblCleanData[MonthlyIncome],320)&lt;=$B$4,"Medium Income","High Income"))</f>
        <v>High Income</v>
      </c>
      <c r="D328">
        <f>IF(INDEX(tblCleanData[Attrition],320)="Yes",1,0)</f>
        <v>0</v>
      </c>
      <c r="E328">
        <f>IF(INDEX(tblCleanData[OverTime],320)="Yes",1,0)</f>
        <v>1</v>
      </c>
      <c r="F328" t="str">
        <f>CHOOSE(INDEX(tblCleanData[Education],320),"Below College","College","Bachelor","Master","Doctor")</f>
        <v>College</v>
      </c>
      <c r="G328" t="str">
        <f>IF(INDEX(tblCleanData[YearsAtCompany],320)&lt;=2,"0-2 Years",IF(INDEX(tblCleanData[YearsAtCompany],320)&lt;=5,"3-5 Years",IF(INDEX(tblCleanData[YearsAtCompany],320)&lt;=10,"6-10 Years","10+ Years")))</f>
        <v>10+ Years</v>
      </c>
      <c r="H328" t="str">
        <f>IF(INDEX(tblCleanData[WorkLifeBalance],320)&lt;=2,"Elevated","Normal")</f>
        <v>Normal</v>
      </c>
      <c r="I328">
        <f>IF(INDEX(tblCleanData[Age],320)&lt;30,30,IF(INDEX(tblCleanData[Age],320)&lt;40,20,IF(INDEX(tblCleanData[Age],320)&lt;50,10,15)))</f>
        <v>20</v>
      </c>
      <c r="J328">
        <f>IF(INDEX(tblCleanData[MonthlyIncome],320)&lt;=$B$3,25,IF(INDEX(tblCleanData[MonthlyIncome],320)&lt;=$B$4,12,5))</f>
        <v>5</v>
      </c>
      <c r="K328">
        <f>IF(INDEX(tblCleanData[OverTime],320)="Yes",25,0)</f>
        <v>25</v>
      </c>
      <c r="L328">
        <f>(5-INDEX(tblCleanData[JobSatisfaction],320))*6.25</f>
        <v>18.75</v>
      </c>
      <c r="M328">
        <f>IF(INDEX(tblCleanData[YearsAtCompany],320)&lt;=2,25,IF(INDEX(tblCleanData[YearsAtCompany],320)&lt;=5,15,IF(INDEX(tblCleanData[YearsAtCompany],320)&lt;=10,8,3)))</f>
        <v>3</v>
      </c>
      <c r="N328">
        <f t="shared" si="8"/>
        <v>72</v>
      </c>
      <c r="O328" t="str">
        <f t="shared" si="9"/>
        <v>High Risk</v>
      </c>
    </row>
    <row r="329" spans="1:15" x14ac:dyDescent="0.25">
      <c r="A329">
        <f>INDEX(tblCleanData[EmployeeNumber],321)</f>
        <v>437</v>
      </c>
      <c r="B329" t="str">
        <f>IF(INDEX(tblCleanData[Age],321)&lt;30,"Under 30",IF(INDEX(tblCleanData[Age],321)&lt;40,"30-39",IF(INDEX(tblCleanData[Age],321)&lt;50,"40-49","50+")))</f>
        <v>Under 30</v>
      </c>
      <c r="C329" t="str">
        <f>IF(INDEX(tblCleanData[MonthlyIncome],321)&lt;=$B$3,"Low Income",IF(INDEX(tblCleanData[MonthlyIncome],321)&lt;=$B$4,"Medium Income","High Income"))</f>
        <v>High Income</v>
      </c>
      <c r="D329">
        <f>IF(INDEX(tblCleanData[Attrition],321)="Yes",1,0)</f>
        <v>0</v>
      </c>
      <c r="E329">
        <f>IF(INDEX(tblCleanData[OverTime],321)="Yes",1,0)</f>
        <v>1</v>
      </c>
      <c r="F329" t="str">
        <f>CHOOSE(INDEX(tblCleanData[Education],321),"Below College","College","Bachelor","Master","Doctor")</f>
        <v>Bachelor</v>
      </c>
      <c r="G329" t="str">
        <f>IF(INDEX(tblCleanData[YearsAtCompany],321)&lt;=2,"0-2 Years",IF(INDEX(tblCleanData[YearsAtCompany],321)&lt;=5,"3-5 Years",IF(INDEX(tblCleanData[YearsAtCompany],321)&lt;=10,"6-10 Years","10+ Years")))</f>
        <v>3-5 Years</v>
      </c>
      <c r="H329" t="str">
        <f>IF(INDEX(tblCleanData[WorkLifeBalance],321)&lt;=2,"Elevated","Normal")</f>
        <v>Normal</v>
      </c>
      <c r="I329">
        <f>IF(INDEX(tblCleanData[Age],321)&lt;30,30,IF(INDEX(tblCleanData[Age],321)&lt;40,20,IF(INDEX(tblCleanData[Age],321)&lt;50,10,15)))</f>
        <v>30</v>
      </c>
      <c r="J329">
        <f>IF(INDEX(tblCleanData[MonthlyIncome],321)&lt;=$B$3,25,IF(INDEX(tblCleanData[MonthlyIncome],321)&lt;=$B$4,12,5))</f>
        <v>5</v>
      </c>
      <c r="K329">
        <f>IF(INDEX(tblCleanData[OverTime],321)="Yes",25,0)</f>
        <v>25</v>
      </c>
      <c r="L329">
        <f>(5-INDEX(tblCleanData[JobSatisfaction],321))*6.25</f>
        <v>12.5</v>
      </c>
      <c r="M329">
        <f>IF(INDEX(tblCleanData[YearsAtCompany],321)&lt;=2,25,IF(INDEX(tblCleanData[YearsAtCompany],321)&lt;=5,15,IF(INDEX(tblCleanData[YearsAtCompany],321)&lt;=10,8,3)))</f>
        <v>15</v>
      </c>
      <c r="N329">
        <f t="shared" ref="N329:N392" si="10">ROUND(I329+J329+K329+L329+M329,0)</f>
        <v>88</v>
      </c>
      <c r="O329" t="str">
        <f t="shared" ref="O329:O392" si="11">IF(N329&gt;=55,"High Risk",IF(N329&gt;=35,"Medium Risk","Low Risk"))</f>
        <v>High Risk</v>
      </c>
    </row>
    <row r="330" spans="1:15" x14ac:dyDescent="0.25">
      <c r="A330">
        <f>INDEX(tblCleanData[EmployeeNumber],322)</f>
        <v>438</v>
      </c>
      <c r="B330" t="str">
        <f>IF(INDEX(tblCleanData[Age],322)&lt;30,"Under 30",IF(INDEX(tblCleanData[Age],322)&lt;40,"30-39",IF(INDEX(tblCleanData[Age],322)&lt;50,"40-49","50+")))</f>
        <v>30-39</v>
      </c>
      <c r="C330" t="str">
        <f>IF(INDEX(tblCleanData[MonthlyIncome],322)&lt;=$B$3,"Low Income",IF(INDEX(tblCleanData[MonthlyIncome],322)&lt;=$B$4,"Medium Income","High Income"))</f>
        <v>High Income</v>
      </c>
      <c r="D330">
        <f>IF(INDEX(tblCleanData[Attrition],322)="Yes",1,0)</f>
        <v>0</v>
      </c>
      <c r="E330">
        <f>IF(INDEX(tblCleanData[OverTime],322)="Yes",1,0)</f>
        <v>0</v>
      </c>
      <c r="F330" t="str">
        <f>CHOOSE(INDEX(tblCleanData[Education],322),"Below College","College","Bachelor","Master","Doctor")</f>
        <v>Bachelor</v>
      </c>
      <c r="G330" t="str">
        <f>IF(INDEX(tblCleanData[YearsAtCompany],322)&lt;=2,"0-2 Years",IF(INDEX(tblCleanData[YearsAtCompany],322)&lt;=5,"3-5 Years",IF(INDEX(tblCleanData[YearsAtCompany],322)&lt;=10,"6-10 Years","10+ Years")))</f>
        <v>6-10 Years</v>
      </c>
      <c r="H330" t="str">
        <f>IF(INDEX(tblCleanData[WorkLifeBalance],322)&lt;=2,"Elevated","Normal")</f>
        <v>Normal</v>
      </c>
      <c r="I330">
        <f>IF(INDEX(tblCleanData[Age],322)&lt;30,30,IF(INDEX(tblCleanData[Age],322)&lt;40,20,IF(INDEX(tblCleanData[Age],322)&lt;50,10,15)))</f>
        <v>20</v>
      </c>
      <c r="J330">
        <f>IF(INDEX(tblCleanData[MonthlyIncome],322)&lt;=$B$3,25,IF(INDEX(tblCleanData[MonthlyIncome],322)&lt;=$B$4,12,5))</f>
        <v>5</v>
      </c>
      <c r="K330">
        <f>IF(INDEX(tblCleanData[OverTime],322)="Yes",25,0)</f>
        <v>0</v>
      </c>
      <c r="L330">
        <f>(5-INDEX(tblCleanData[JobSatisfaction],322))*6.25</f>
        <v>6.25</v>
      </c>
      <c r="M330">
        <f>IF(INDEX(tblCleanData[YearsAtCompany],322)&lt;=2,25,IF(INDEX(tblCleanData[YearsAtCompany],322)&lt;=5,15,IF(INDEX(tblCleanData[YearsAtCompany],322)&lt;=10,8,3)))</f>
        <v>8</v>
      </c>
      <c r="N330">
        <f t="shared" si="10"/>
        <v>39</v>
      </c>
      <c r="O330" t="str">
        <f t="shared" si="11"/>
        <v>Medium Risk</v>
      </c>
    </row>
    <row r="331" spans="1:15" x14ac:dyDescent="0.25">
      <c r="A331">
        <f>INDEX(tblCleanData[EmployeeNumber],323)</f>
        <v>439</v>
      </c>
      <c r="B331" t="str">
        <f>IF(INDEX(tblCleanData[Age],323)&lt;30,"Under 30",IF(INDEX(tblCleanData[Age],323)&lt;40,"30-39",IF(INDEX(tblCleanData[Age],323)&lt;50,"40-49","50+")))</f>
        <v>30-39</v>
      </c>
      <c r="C331" t="str">
        <f>IF(INDEX(tblCleanData[MonthlyIncome],323)&lt;=$B$3,"Low Income",IF(INDEX(tblCleanData[MonthlyIncome],323)&lt;=$B$4,"Medium Income","High Income"))</f>
        <v>High Income</v>
      </c>
      <c r="D331">
        <f>IF(INDEX(tblCleanData[Attrition],323)="Yes",1,0)</f>
        <v>0</v>
      </c>
      <c r="E331">
        <f>IF(INDEX(tblCleanData[OverTime],323)="Yes",1,0)</f>
        <v>0</v>
      </c>
      <c r="F331" t="str">
        <f>CHOOSE(INDEX(tblCleanData[Education],323),"Below College","College","Bachelor","Master","Doctor")</f>
        <v>Master</v>
      </c>
      <c r="G331" t="str">
        <f>IF(INDEX(tblCleanData[YearsAtCompany],323)&lt;=2,"0-2 Years",IF(INDEX(tblCleanData[YearsAtCompany],323)&lt;=5,"3-5 Years",IF(INDEX(tblCleanData[YearsAtCompany],323)&lt;=10,"6-10 Years","10+ Years")))</f>
        <v>6-10 Years</v>
      </c>
      <c r="H331" t="str">
        <f>IF(INDEX(tblCleanData[WorkLifeBalance],323)&lt;=2,"Elevated","Normal")</f>
        <v>Elevated</v>
      </c>
      <c r="I331">
        <f>IF(INDEX(tblCleanData[Age],323)&lt;30,30,IF(INDEX(tblCleanData[Age],323)&lt;40,20,IF(INDEX(tblCleanData[Age],323)&lt;50,10,15)))</f>
        <v>20</v>
      </c>
      <c r="J331">
        <f>IF(INDEX(tblCleanData[MonthlyIncome],323)&lt;=$B$3,25,IF(INDEX(tblCleanData[MonthlyIncome],323)&lt;=$B$4,12,5))</f>
        <v>5</v>
      </c>
      <c r="K331">
        <f>IF(INDEX(tblCleanData[OverTime],323)="Yes",25,0)</f>
        <v>0</v>
      </c>
      <c r="L331">
        <f>(5-INDEX(tblCleanData[JobSatisfaction],323))*6.25</f>
        <v>6.25</v>
      </c>
      <c r="M331">
        <f>IF(INDEX(tblCleanData[YearsAtCompany],323)&lt;=2,25,IF(INDEX(tblCleanData[YearsAtCompany],323)&lt;=5,15,IF(INDEX(tblCleanData[YearsAtCompany],323)&lt;=10,8,3)))</f>
        <v>8</v>
      </c>
      <c r="N331">
        <f t="shared" si="10"/>
        <v>39</v>
      </c>
      <c r="O331" t="str">
        <f t="shared" si="11"/>
        <v>Medium Risk</v>
      </c>
    </row>
    <row r="332" spans="1:15" x14ac:dyDescent="0.25">
      <c r="A332">
        <f>INDEX(tblCleanData[EmployeeNumber],324)</f>
        <v>440</v>
      </c>
      <c r="B332" t="str">
        <f>IF(INDEX(tblCleanData[Age],324)&lt;30,"Under 30",IF(INDEX(tblCleanData[Age],324)&lt;40,"30-39",IF(INDEX(tblCleanData[Age],324)&lt;50,"40-49","50+")))</f>
        <v>Under 30</v>
      </c>
      <c r="C332" t="str">
        <f>IF(INDEX(tblCleanData[MonthlyIncome],324)&lt;=$B$3,"Low Income",IF(INDEX(tblCleanData[MonthlyIncome],324)&lt;=$B$4,"Medium Income","High Income"))</f>
        <v>High Income</v>
      </c>
      <c r="D332">
        <f>IF(INDEX(tblCleanData[Attrition],324)="Yes",1,0)</f>
        <v>1</v>
      </c>
      <c r="E332">
        <f>IF(INDEX(tblCleanData[OverTime],324)="Yes",1,0)</f>
        <v>1</v>
      </c>
      <c r="F332" t="str">
        <f>CHOOSE(INDEX(tblCleanData[Education],324),"Below College","College","Bachelor","Master","Doctor")</f>
        <v>Master</v>
      </c>
      <c r="G332" t="str">
        <f>IF(INDEX(tblCleanData[YearsAtCompany],324)&lt;=2,"0-2 Years",IF(INDEX(tblCleanData[YearsAtCompany],324)&lt;=5,"3-5 Years",IF(INDEX(tblCleanData[YearsAtCompany],324)&lt;=10,"6-10 Years","10+ Years")))</f>
        <v>3-5 Years</v>
      </c>
      <c r="H332" t="str">
        <f>IF(INDEX(tblCleanData[WorkLifeBalance],324)&lt;=2,"Elevated","Normal")</f>
        <v>Elevated</v>
      </c>
      <c r="I332">
        <f>IF(INDEX(tblCleanData[Age],324)&lt;30,30,IF(INDEX(tblCleanData[Age],324)&lt;40,20,IF(INDEX(tblCleanData[Age],324)&lt;50,10,15)))</f>
        <v>30</v>
      </c>
      <c r="J332">
        <f>IF(INDEX(tblCleanData[MonthlyIncome],324)&lt;=$B$3,25,IF(INDEX(tblCleanData[MonthlyIncome],324)&lt;=$B$4,12,5))</f>
        <v>5</v>
      </c>
      <c r="K332">
        <f>IF(INDEX(tblCleanData[OverTime],324)="Yes",25,0)</f>
        <v>25</v>
      </c>
      <c r="L332">
        <f>(5-INDEX(tblCleanData[JobSatisfaction],324))*6.25</f>
        <v>6.25</v>
      </c>
      <c r="M332">
        <f>IF(INDEX(tblCleanData[YearsAtCompany],324)&lt;=2,25,IF(INDEX(tblCleanData[YearsAtCompany],324)&lt;=5,15,IF(INDEX(tblCleanData[YearsAtCompany],324)&lt;=10,8,3)))</f>
        <v>15</v>
      </c>
      <c r="N332">
        <f t="shared" si="10"/>
        <v>81</v>
      </c>
      <c r="O332" t="str">
        <f t="shared" si="11"/>
        <v>High Risk</v>
      </c>
    </row>
    <row r="333" spans="1:15" x14ac:dyDescent="0.25">
      <c r="A333">
        <f>INDEX(tblCleanData[EmployeeNumber],325)</f>
        <v>441</v>
      </c>
      <c r="B333" t="str">
        <f>IF(INDEX(tblCleanData[Age],325)&lt;30,"Under 30",IF(INDEX(tblCleanData[Age],325)&lt;40,"30-39",IF(INDEX(tblCleanData[Age],325)&lt;50,"40-49","50+")))</f>
        <v>30-39</v>
      </c>
      <c r="C333" t="str">
        <f>IF(INDEX(tblCleanData[MonthlyIncome],325)&lt;=$B$3,"Low Income",IF(INDEX(tblCleanData[MonthlyIncome],325)&lt;=$B$4,"Medium Income","High Income"))</f>
        <v>High Income</v>
      </c>
      <c r="D333">
        <f>IF(INDEX(tblCleanData[Attrition],325)="Yes",1,0)</f>
        <v>0</v>
      </c>
      <c r="E333">
        <f>IF(INDEX(tblCleanData[OverTime],325)="Yes",1,0)</f>
        <v>0</v>
      </c>
      <c r="F333" t="str">
        <f>CHOOSE(INDEX(tblCleanData[Education],325),"Below College","College","Bachelor","Master","Doctor")</f>
        <v>College</v>
      </c>
      <c r="G333" t="str">
        <f>IF(INDEX(tblCleanData[YearsAtCompany],325)&lt;=2,"0-2 Years",IF(INDEX(tblCleanData[YearsAtCompany],325)&lt;=5,"3-5 Years",IF(INDEX(tblCleanData[YearsAtCompany],325)&lt;=10,"6-10 Years","10+ Years")))</f>
        <v>6-10 Years</v>
      </c>
      <c r="H333" t="str">
        <f>IF(INDEX(tblCleanData[WorkLifeBalance],325)&lt;=2,"Elevated","Normal")</f>
        <v>Normal</v>
      </c>
      <c r="I333">
        <f>IF(INDEX(tblCleanData[Age],325)&lt;30,30,IF(INDEX(tblCleanData[Age],325)&lt;40,20,IF(INDEX(tblCleanData[Age],325)&lt;50,10,15)))</f>
        <v>20</v>
      </c>
      <c r="J333">
        <f>IF(INDEX(tblCleanData[MonthlyIncome],325)&lt;=$B$3,25,IF(INDEX(tblCleanData[MonthlyIncome],325)&lt;=$B$4,12,5))</f>
        <v>5</v>
      </c>
      <c r="K333">
        <f>IF(INDEX(tblCleanData[OverTime],325)="Yes",25,0)</f>
        <v>0</v>
      </c>
      <c r="L333">
        <f>(5-INDEX(tblCleanData[JobSatisfaction],325))*6.25</f>
        <v>6.25</v>
      </c>
      <c r="M333">
        <f>IF(INDEX(tblCleanData[YearsAtCompany],325)&lt;=2,25,IF(INDEX(tblCleanData[YearsAtCompany],325)&lt;=5,15,IF(INDEX(tblCleanData[YearsAtCompany],325)&lt;=10,8,3)))</f>
        <v>8</v>
      </c>
      <c r="N333">
        <f t="shared" si="10"/>
        <v>39</v>
      </c>
      <c r="O333" t="str">
        <f t="shared" si="11"/>
        <v>Medium Risk</v>
      </c>
    </row>
    <row r="334" spans="1:15" x14ac:dyDescent="0.25">
      <c r="A334">
        <f>INDEX(tblCleanData[EmployeeNumber],326)</f>
        <v>442</v>
      </c>
      <c r="B334" t="str">
        <f>IF(INDEX(tblCleanData[Age],326)&lt;30,"Under 30",IF(INDEX(tblCleanData[Age],326)&lt;40,"30-39",IF(INDEX(tblCleanData[Age],326)&lt;50,"40-49","50+")))</f>
        <v>30-39</v>
      </c>
      <c r="C334" t="str">
        <f>IF(INDEX(tblCleanData[MonthlyIncome],326)&lt;=$B$3,"Low Income",IF(INDEX(tblCleanData[MonthlyIncome],326)&lt;=$B$4,"Medium Income","High Income"))</f>
        <v>High Income</v>
      </c>
      <c r="D334">
        <f>IF(INDEX(tblCleanData[Attrition],326)="Yes",1,0)</f>
        <v>0</v>
      </c>
      <c r="E334">
        <f>IF(INDEX(tblCleanData[OverTime],326)="Yes",1,0)</f>
        <v>0</v>
      </c>
      <c r="F334" t="str">
        <f>CHOOSE(INDEX(tblCleanData[Education],326),"Below College","College","Bachelor","Master","Doctor")</f>
        <v>College</v>
      </c>
      <c r="G334" t="str">
        <f>IF(INDEX(tblCleanData[YearsAtCompany],326)&lt;=2,"0-2 Years",IF(INDEX(tblCleanData[YearsAtCompany],326)&lt;=5,"3-5 Years",IF(INDEX(tblCleanData[YearsAtCompany],326)&lt;=10,"6-10 Years","10+ Years")))</f>
        <v>6-10 Years</v>
      </c>
      <c r="H334" t="str">
        <f>IF(INDEX(tblCleanData[WorkLifeBalance],326)&lt;=2,"Elevated","Normal")</f>
        <v>Normal</v>
      </c>
      <c r="I334">
        <f>IF(INDEX(tblCleanData[Age],326)&lt;30,30,IF(INDEX(tblCleanData[Age],326)&lt;40,20,IF(INDEX(tblCleanData[Age],326)&lt;50,10,15)))</f>
        <v>20</v>
      </c>
      <c r="J334">
        <f>IF(INDEX(tblCleanData[MonthlyIncome],326)&lt;=$B$3,25,IF(INDEX(tblCleanData[MonthlyIncome],326)&lt;=$B$4,12,5))</f>
        <v>5</v>
      </c>
      <c r="K334">
        <f>IF(INDEX(tblCleanData[OverTime],326)="Yes",25,0)</f>
        <v>0</v>
      </c>
      <c r="L334">
        <f>(5-INDEX(tblCleanData[JobSatisfaction],326))*6.25</f>
        <v>12.5</v>
      </c>
      <c r="M334">
        <f>IF(INDEX(tblCleanData[YearsAtCompany],326)&lt;=2,25,IF(INDEX(tblCleanData[YearsAtCompany],326)&lt;=5,15,IF(INDEX(tblCleanData[YearsAtCompany],326)&lt;=10,8,3)))</f>
        <v>8</v>
      </c>
      <c r="N334">
        <f t="shared" si="10"/>
        <v>46</v>
      </c>
      <c r="O334" t="str">
        <f t="shared" si="11"/>
        <v>Medium Risk</v>
      </c>
    </row>
    <row r="335" spans="1:15" x14ac:dyDescent="0.25">
      <c r="A335">
        <f>INDEX(tblCleanData[EmployeeNumber],327)</f>
        <v>444</v>
      </c>
      <c r="B335" t="str">
        <f>IF(INDEX(tblCleanData[Age],327)&lt;30,"Under 30",IF(INDEX(tblCleanData[Age],327)&lt;40,"30-39",IF(INDEX(tblCleanData[Age],327)&lt;50,"40-49","50+")))</f>
        <v>30-39</v>
      </c>
      <c r="C335" t="str">
        <f>IF(INDEX(tblCleanData[MonthlyIncome],327)&lt;=$B$3,"Low Income",IF(INDEX(tblCleanData[MonthlyIncome],327)&lt;=$B$4,"Medium Income","High Income"))</f>
        <v>High Income</v>
      </c>
      <c r="D335">
        <f>IF(INDEX(tblCleanData[Attrition],327)="Yes",1,0)</f>
        <v>0</v>
      </c>
      <c r="E335">
        <f>IF(INDEX(tblCleanData[OverTime],327)="Yes",1,0)</f>
        <v>0</v>
      </c>
      <c r="F335" t="str">
        <f>CHOOSE(INDEX(tblCleanData[Education],327),"Below College","College","Bachelor","Master","Doctor")</f>
        <v>College</v>
      </c>
      <c r="G335" t="str">
        <f>IF(INDEX(tblCleanData[YearsAtCompany],327)&lt;=2,"0-2 Years",IF(INDEX(tblCleanData[YearsAtCompany],327)&lt;=5,"3-5 Years",IF(INDEX(tblCleanData[YearsAtCompany],327)&lt;=10,"6-10 Years","10+ Years")))</f>
        <v>10+ Years</v>
      </c>
      <c r="H335" t="str">
        <f>IF(INDEX(tblCleanData[WorkLifeBalance],327)&lt;=2,"Elevated","Normal")</f>
        <v>Normal</v>
      </c>
      <c r="I335">
        <f>IF(INDEX(tblCleanData[Age],327)&lt;30,30,IF(INDEX(tblCleanData[Age],327)&lt;40,20,IF(INDEX(tblCleanData[Age],327)&lt;50,10,15)))</f>
        <v>20</v>
      </c>
      <c r="J335">
        <f>IF(INDEX(tblCleanData[MonthlyIncome],327)&lt;=$B$3,25,IF(INDEX(tblCleanData[MonthlyIncome],327)&lt;=$B$4,12,5))</f>
        <v>5</v>
      </c>
      <c r="K335">
        <f>IF(INDEX(tblCleanData[OverTime],327)="Yes",25,0)</f>
        <v>0</v>
      </c>
      <c r="L335">
        <f>(5-INDEX(tblCleanData[JobSatisfaction],327))*6.25</f>
        <v>6.25</v>
      </c>
      <c r="M335">
        <f>IF(INDEX(tblCleanData[YearsAtCompany],327)&lt;=2,25,IF(INDEX(tblCleanData[YearsAtCompany],327)&lt;=5,15,IF(INDEX(tblCleanData[YearsAtCompany],327)&lt;=10,8,3)))</f>
        <v>3</v>
      </c>
      <c r="N335">
        <f t="shared" si="10"/>
        <v>34</v>
      </c>
      <c r="O335" t="str">
        <f t="shared" si="11"/>
        <v>Low Risk</v>
      </c>
    </row>
    <row r="336" spans="1:15" x14ac:dyDescent="0.25">
      <c r="A336">
        <f>INDEX(tblCleanData[EmployeeNumber],328)</f>
        <v>445</v>
      </c>
      <c r="B336" t="str">
        <f>IF(INDEX(tblCleanData[Age],328)&lt;30,"Under 30",IF(INDEX(tblCleanData[Age],328)&lt;40,"30-39",IF(INDEX(tblCleanData[Age],328)&lt;50,"40-49","50+")))</f>
        <v>30-39</v>
      </c>
      <c r="C336" t="str">
        <f>IF(INDEX(tblCleanData[MonthlyIncome],328)&lt;=$B$3,"Low Income",IF(INDEX(tblCleanData[MonthlyIncome],328)&lt;=$B$4,"Medium Income","High Income"))</f>
        <v>High Income</v>
      </c>
      <c r="D336">
        <f>IF(INDEX(tblCleanData[Attrition],328)="Yes",1,0)</f>
        <v>1</v>
      </c>
      <c r="E336">
        <f>IF(INDEX(tblCleanData[OverTime],328)="Yes",1,0)</f>
        <v>1</v>
      </c>
      <c r="F336" t="str">
        <f>CHOOSE(INDEX(tblCleanData[Education],328),"Below College","College","Bachelor","Master","Doctor")</f>
        <v>College</v>
      </c>
      <c r="G336" t="str">
        <f>IF(INDEX(tblCleanData[YearsAtCompany],328)&lt;=2,"0-2 Years",IF(INDEX(tblCleanData[YearsAtCompany],328)&lt;=5,"3-5 Years",IF(INDEX(tblCleanData[YearsAtCompany],328)&lt;=10,"6-10 Years","10+ Years")))</f>
        <v>0-2 Years</v>
      </c>
      <c r="H336" t="str">
        <f>IF(INDEX(tblCleanData[WorkLifeBalance],328)&lt;=2,"Elevated","Normal")</f>
        <v>Elevated</v>
      </c>
      <c r="I336">
        <f>IF(INDEX(tblCleanData[Age],328)&lt;30,30,IF(INDEX(tblCleanData[Age],328)&lt;40,20,IF(INDEX(tblCleanData[Age],328)&lt;50,10,15)))</f>
        <v>20</v>
      </c>
      <c r="J336">
        <f>IF(INDEX(tblCleanData[MonthlyIncome],328)&lt;=$B$3,25,IF(INDEX(tblCleanData[MonthlyIncome],328)&lt;=$B$4,12,5))</f>
        <v>5</v>
      </c>
      <c r="K336">
        <f>IF(INDEX(tblCleanData[OverTime],328)="Yes",25,0)</f>
        <v>25</v>
      </c>
      <c r="L336">
        <f>(5-INDEX(tblCleanData[JobSatisfaction],328))*6.25</f>
        <v>12.5</v>
      </c>
      <c r="M336">
        <f>IF(INDEX(tblCleanData[YearsAtCompany],328)&lt;=2,25,IF(INDEX(tblCleanData[YearsAtCompany],328)&lt;=5,15,IF(INDEX(tblCleanData[YearsAtCompany],328)&lt;=10,8,3)))</f>
        <v>25</v>
      </c>
      <c r="N336">
        <f t="shared" si="10"/>
        <v>88</v>
      </c>
      <c r="O336" t="str">
        <f t="shared" si="11"/>
        <v>High Risk</v>
      </c>
    </row>
    <row r="337" spans="1:15" x14ac:dyDescent="0.25">
      <c r="A337">
        <f>INDEX(tblCleanData[EmployeeNumber],329)</f>
        <v>446</v>
      </c>
      <c r="B337" t="str">
        <f>IF(INDEX(tblCleanData[Age],329)&lt;30,"Under 30",IF(INDEX(tblCleanData[Age],329)&lt;40,"30-39",IF(INDEX(tblCleanData[Age],329)&lt;50,"40-49","50+")))</f>
        <v>30-39</v>
      </c>
      <c r="C337" t="str">
        <f>IF(INDEX(tblCleanData[MonthlyIncome],329)&lt;=$B$3,"Low Income",IF(INDEX(tblCleanData[MonthlyIncome],329)&lt;=$B$4,"Medium Income","High Income"))</f>
        <v>High Income</v>
      </c>
      <c r="D337">
        <f>IF(INDEX(tblCleanData[Attrition],329)="Yes",1,0)</f>
        <v>0</v>
      </c>
      <c r="E337">
        <f>IF(INDEX(tblCleanData[OverTime],329)="Yes",1,0)</f>
        <v>0</v>
      </c>
      <c r="F337" t="str">
        <f>CHOOSE(INDEX(tblCleanData[Education],329),"Below College","College","Bachelor","Master","Doctor")</f>
        <v>Bachelor</v>
      </c>
      <c r="G337" t="str">
        <f>IF(INDEX(tblCleanData[YearsAtCompany],329)&lt;=2,"0-2 Years",IF(INDEX(tblCleanData[YearsAtCompany],329)&lt;=5,"3-5 Years",IF(INDEX(tblCleanData[YearsAtCompany],329)&lt;=10,"6-10 Years","10+ Years")))</f>
        <v>6-10 Years</v>
      </c>
      <c r="H337" t="str">
        <f>IF(INDEX(tblCleanData[WorkLifeBalance],329)&lt;=2,"Elevated","Normal")</f>
        <v>Elevated</v>
      </c>
      <c r="I337">
        <f>IF(INDEX(tblCleanData[Age],329)&lt;30,30,IF(INDEX(tblCleanData[Age],329)&lt;40,20,IF(INDEX(tblCleanData[Age],329)&lt;50,10,15)))</f>
        <v>20</v>
      </c>
      <c r="J337">
        <f>IF(INDEX(tblCleanData[MonthlyIncome],329)&lt;=$B$3,25,IF(INDEX(tblCleanData[MonthlyIncome],329)&lt;=$B$4,12,5))</f>
        <v>5</v>
      </c>
      <c r="K337">
        <f>IF(INDEX(tblCleanData[OverTime],329)="Yes",25,0)</f>
        <v>0</v>
      </c>
      <c r="L337">
        <f>(5-INDEX(tblCleanData[JobSatisfaction],329))*6.25</f>
        <v>6.25</v>
      </c>
      <c r="M337">
        <f>IF(INDEX(tblCleanData[YearsAtCompany],329)&lt;=2,25,IF(INDEX(tblCleanData[YearsAtCompany],329)&lt;=5,15,IF(INDEX(tblCleanData[YearsAtCompany],329)&lt;=10,8,3)))</f>
        <v>8</v>
      </c>
      <c r="N337">
        <f t="shared" si="10"/>
        <v>39</v>
      </c>
      <c r="O337" t="str">
        <f t="shared" si="11"/>
        <v>Medium Risk</v>
      </c>
    </row>
    <row r="338" spans="1:15" x14ac:dyDescent="0.25">
      <c r="A338">
        <f>INDEX(tblCleanData[EmployeeNumber],330)</f>
        <v>447</v>
      </c>
      <c r="B338" t="str">
        <f>IF(INDEX(tblCleanData[Age],330)&lt;30,"Under 30",IF(INDEX(tblCleanData[Age],330)&lt;40,"30-39",IF(INDEX(tblCleanData[Age],330)&lt;50,"40-49","50+")))</f>
        <v>40-49</v>
      </c>
      <c r="C338" t="str">
        <f>IF(INDEX(tblCleanData[MonthlyIncome],330)&lt;=$B$3,"Low Income",IF(INDEX(tblCleanData[MonthlyIncome],330)&lt;=$B$4,"Medium Income","High Income"))</f>
        <v>High Income</v>
      </c>
      <c r="D338">
        <f>IF(INDEX(tblCleanData[Attrition],330)="Yes",1,0)</f>
        <v>0</v>
      </c>
      <c r="E338">
        <f>IF(INDEX(tblCleanData[OverTime],330)="Yes",1,0)</f>
        <v>0</v>
      </c>
      <c r="F338" t="str">
        <f>CHOOSE(INDEX(tblCleanData[Education],330),"Below College","College","Bachelor","Master","Doctor")</f>
        <v>Doctor</v>
      </c>
      <c r="G338" t="str">
        <f>IF(INDEX(tblCleanData[YearsAtCompany],330)&lt;=2,"0-2 Years",IF(INDEX(tblCleanData[YearsAtCompany],330)&lt;=5,"3-5 Years",IF(INDEX(tblCleanData[YearsAtCompany],330)&lt;=10,"6-10 Years","10+ Years")))</f>
        <v>3-5 Years</v>
      </c>
      <c r="H338" t="str">
        <f>IF(INDEX(tblCleanData[WorkLifeBalance],330)&lt;=2,"Elevated","Normal")</f>
        <v>Normal</v>
      </c>
      <c r="I338">
        <f>IF(INDEX(tblCleanData[Age],330)&lt;30,30,IF(INDEX(tblCleanData[Age],330)&lt;40,20,IF(INDEX(tblCleanData[Age],330)&lt;50,10,15)))</f>
        <v>10</v>
      </c>
      <c r="J338">
        <f>IF(INDEX(tblCleanData[MonthlyIncome],330)&lt;=$B$3,25,IF(INDEX(tblCleanData[MonthlyIncome],330)&lt;=$B$4,12,5))</f>
        <v>5</v>
      </c>
      <c r="K338">
        <f>IF(INDEX(tblCleanData[OverTime],330)="Yes",25,0)</f>
        <v>0</v>
      </c>
      <c r="L338">
        <f>(5-INDEX(tblCleanData[JobSatisfaction],330))*6.25</f>
        <v>12.5</v>
      </c>
      <c r="M338">
        <f>IF(INDEX(tblCleanData[YearsAtCompany],330)&lt;=2,25,IF(INDEX(tblCleanData[YearsAtCompany],330)&lt;=5,15,IF(INDEX(tblCleanData[YearsAtCompany],330)&lt;=10,8,3)))</f>
        <v>15</v>
      </c>
      <c r="N338">
        <f t="shared" si="10"/>
        <v>43</v>
      </c>
      <c r="O338" t="str">
        <f t="shared" si="11"/>
        <v>Medium Risk</v>
      </c>
    </row>
    <row r="339" spans="1:15" x14ac:dyDescent="0.25">
      <c r="A339">
        <f>INDEX(tblCleanData[EmployeeNumber],331)</f>
        <v>448</v>
      </c>
      <c r="B339" t="str">
        <f>IF(INDEX(tblCleanData[Age],331)&lt;30,"Under 30",IF(INDEX(tblCleanData[Age],331)&lt;40,"30-39",IF(INDEX(tblCleanData[Age],331)&lt;50,"40-49","50+")))</f>
        <v>40-49</v>
      </c>
      <c r="C339" t="str">
        <f>IF(INDEX(tblCleanData[MonthlyIncome],331)&lt;=$B$3,"Low Income",IF(INDEX(tblCleanData[MonthlyIncome],331)&lt;=$B$4,"Medium Income","High Income"))</f>
        <v>High Income</v>
      </c>
      <c r="D339">
        <f>IF(INDEX(tblCleanData[Attrition],331)="Yes",1,0)</f>
        <v>0</v>
      </c>
      <c r="E339">
        <f>IF(INDEX(tblCleanData[OverTime],331)="Yes",1,0)</f>
        <v>0</v>
      </c>
      <c r="F339" t="str">
        <f>CHOOSE(INDEX(tblCleanData[Education],331),"Below College","College","Bachelor","Master","Doctor")</f>
        <v>Master</v>
      </c>
      <c r="G339" t="str">
        <f>IF(INDEX(tblCleanData[YearsAtCompany],331)&lt;=2,"0-2 Years",IF(INDEX(tblCleanData[YearsAtCompany],331)&lt;=5,"3-5 Years",IF(INDEX(tblCleanData[YearsAtCompany],331)&lt;=10,"6-10 Years","10+ Years")))</f>
        <v>6-10 Years</v>
      </c>
      <c r="H339" t="str">
        <f>IF(INDEX(tblCleanData[WorkLifeBalance],331)&lt;=2,"Elevated","Normal")</f>
        <v>Normal</v>
      </c>
      <c r="I339">
        <f>IF(INDEX(tblCleanData[Age],331)&lt;30,30,IF(INDEX(tblCleanData[Age],331)&lt;40,20,IF(INDEX(tblCleanData[Age],331)&lt;50,10,15)))</f>
        <v>10</v>
      </c>
      <c r="J339">
        <f>IF(INDEX(tblCleanData[MonthlyIncome],331)&lt;=$B$3,25,IF(INDEX(tblCleanData[MonthlyIncome],331)&lt;=$B$4,12,5))</f>
        <v>5</v>
      </c>
      <c r="K339">
        <f>IF(INDEX(tblCleanData[OverTime],331)="Yes",25,0)</f>
        <v>0</v>
      </c>
      <c r="L339">
        <f>(5-INDEX(tblCleanData[JobSatisfaction],331))*6.25</f>
        <v>12.5</v>
      </c>
      <c r="M339">
        <f>IF(INDEX(tblCleanData[YearsAtCompany],331)&lt;=2,25,IF(INDEX(tblCleanData[YearsAtCompany],331)&lt;=5,15,IF(INDEX(tblCleanData[YearsAtCompany],331)&lt;=10,8,3)))</f>
        <v>8</v>
      </c>
      <c r="N339">
        <f t="shared" si="10"/>
        <v>36</v>
      </c>
      <c r="O339" t="str">
        <f t="shared" si="11"/>
        <v>Medium Risk</v>
      </c>
    </row>
    <row r="340" spans="1:15" x14ac:dyDescent="0.25">
      <c r="A340">
        <f>INDEX(tblCleanData[EmployeeNumber],332)</f>
        <v>449</v>
      </c>
      <c r="B340" t="str">
        <f>IF(INDEX(tblCleanData[Age],332)&lt;30,"Under 30",IF(INDEX(tblCleanData[Age],332)&lt;40,"30-39",IF(INDEX(tblCleanData[Age],332)&lt;50,"40-49","50+")))</f>
        <v>Under 30</v>
      </c>
      <c r="C340" t="str">
        <f>IF(INDEX(tblCleanData[MonthlyIncome],332)&lt;=$B$3,"Low Income",IF(INDEX(tblCleanData[MonthlyIncome],332)&lt;=$B$4,"Medium Income","High Income"))</f>
        <v>High Income</v>
      </c>
      <c r="D340">
        <f>IF(INDEX(tblCleanData[Attrition],332)="Yes",1,0)</f>
        <v>0</v>
      </c>
      <c r="E340">
        <f>IF(INDEX(tblCleanData[OverTime],332)="Yes",1,0)</f>
        <v>1</v>
      </c>
      <c r="F340" t="str">
        <f>CHOOSE(INDEX(tblCleanData[Education],332),"Below College","College","Bachelor","Master","Doctor")</f>
        <v>Below College</v>
      </c>
      <c r="G340" t="str">
        <f>IF(INDEX(tblCleanData[YearsAtCompany],332)&lt;=2,"0-2 Years",IF(INDEX(tblCleanData[YearsAtCompany],332)&lt;=5,"3-5 Years",IF(INDEX(tblCleanData[YearsAtCompany],332)&lt;=10,"6-10 Years","10+ Years")))</f>
        <v>3-5 Years</v>
      </c>
      <c r="H340" t="str">
        <f>IF(INDEX(tblCleanData[WorkLifeBalance],332)&lt;=2,"Elevated","Normal")</f>
        <v>Normal</v>
      </c>
      <c r="I340">
        <f>IF(INDEX(tblCleanData[Age],332)&lt;30,30,IF(INDEX(tblCleanData[Age],332)&lt;40,20,IF(INDEX(tblCleanData[Age],332)&lt;50,10,15)))</f>
        <v>30</v>
      </c>
      <c r="J340">
        <f>IF(INDEX(tblCleanData[MonthlyIncome],332)&lt;=$B$3,25,IF(INDEX(tblCleanData[MonthlyIncome],332)&lt;=$B$4,12,5))</f>
        <v>5</v>
      </c>
      <c r="K340">
        <f>IF(INDEX(tblCleanData[OverTime],332)="Yes",25,0)</f>
        <v>25</v>
      </c>
      <c r="L340">
        <f>(5-INDEX(tblCleanData[JobSatisfaction],332))*6.25</f>
        <v>18.75</v>
      </c>
      <c r="M340">
        <f>IF(INDEX(tblCleanData[YearsAtCompany],332)&lt;=2,25,IF(INDEX(tblCleanData[YearsAtCompany],332)&lt;=5,15,IF(INDEX(tblCleanData[YearsAtCompany],332)&lt;=10,8,3)))</f>
        <v>15</v>
      </c>
      <c r="N340">
        <f t="shared" si="10"/>
        <v>94</v>
      </c>
      <c r="O340" t="str">
        <f t="shared" si="11"/>
        <v>High Risk</v>
      </c>
    </row>
    <row r="341" spans="1:15" x14ac:dyDescent="0.25">
      <c r="A341">
        <f>INDEX(tblCleanData[EmployeeNumber],333)</f>
        <v>450</v>
      </c>
      <c r="B341" t="str">
        <f>IF(INDEX(tblCleanData[Age],333)&lt;30,"Under 30",IF(INDEX(tblCleanData[Age],333)&lt;40,"30-39",IF(INDEX(tblCleanData[Age],333)&lt;50,"40-49","50+")))</f>
        <v>50+</v>
      </c>
      <c r="C341" t="str">
        <f>IF(INDEX(tblCleanData[MonthlyIncome],333)&lt;=$B$3,"Low Income",IF(INDEX(tblCleanData[MonthlyIncome],333)&lt;=$B$4,"Medium Income","High Income"))</f>
        <v>High Income</v>
      </c>
      <c r="D341">
        <f>IF(INDEX(tblCleanData[Attrition],333)="Yes",1,0)</f>
        <v>0</v>
      </c>
      <c r="E341">
        <f>IF(INDEX(tblCleanData[OverTime],333)="Yes",1,0)</f>
        <v>0</v>
      </c>
      <c r="F341" t="str">
        <f>CHOOSE(INDEX(tblCleanData[Education],333),"Below College","College","Bachelor","Master","Doctor")</f>
        <v>Master</v>
      </c>
      <c r="G341" t="str">
        <f>IF(INDEX(tblCleanData[YearsAtCompany],333)&lt;=2,"0-2 Years",IF(INDEX(tblCleanData[YearsAtCompany],333)&lt;=5,"3-5 Years",IF(INDEX(tblCleanData[YearsAtCompany],333)&lt;=10,"6-10 Years","10+ Years")))</f>
        <v>3-5 Years</v>
      </c>
      <c r="H341" t="str">
        <f>IF(INDEX(tblCleanData[WorkLifeBalance],333)&lt;=2,"Elevated","Normal")</f>
        <v>Elevated</v>
      </c>
      <c r="I341">
        <f>IF(INDEX(tblCleanData[Age],333)&lt;30,30,IF(INDEX(tblCleanData[Age],333)&lt;40,20,IF(INDEX(tblCleanData[Age],333)&lt;50,10,15)))</f>
        <v>15</v>
      </c>
      <c r="J341">
        <f>IF(INDEX(tblCleanData[MonthlyIncome],333)&lt;=$B$3,25,IF(INDEX(tblCleanData[MonthlyIncome],333)&lt;=$B$4,12,5))</f>
        <v>5</v>
      </c>
      <c r="K341">
        <f>IF(INDEX(tblCleanData[OverTime],333)="Yes",25,0)</f>
        <v>0</v>
      </c>
      <c r="L341">
        <f>(5-INDEX(tblCleanData[JobSatisfaction],333))*6.25</f>
        <v>12.5</v>
      </c>
      <c r="M341">
        <f>IF(INDEX(tblCleanData[YearsAtCompany],333)&lt;=2,25,IF(INDEX(tblCleanData[YearsAtCompany],333)&lt;=5,15,IF(INDEX(tblCleanData[YearsAtCompany],333)&lt;=10,8,3)))</f>
        <v>15</v>
      </c>
      <c r="N341">
        <f t="shared" si="10"/>
        <v>48</v>
      </c>
      <c r="O341" t="str">
        <f t="shared" si="11"/>
        <v>Medium Risk</v>
      </c>
    </row>
    <row r="342" spans="1:15" x14ac:dyDescent="0.25">
      <c r="A342">
        <f>INDEX(tblCleanData[EmployeeNumber],334)</f>
        <v>451</v>
      </c>
      <c r="B342" t="str">
        <f>IF(INDEX(tblCleanData[Age],334)&lt;30,"Under 30",IF(INDEX(tblCleanData[Age],334)&lt;40,"30-39",IF(INDEX(tblCleanData[Age],334)&lt;50,"40-49","50+")))</f>
        <v>40-49</v>
      </c>
      <c r="C342" t="str">
        <f>IF(INDEX(tblCleanData[MonthlyIncome],334)&lt;=$B$3,"Low Income",IF(INDEX(tblCleanData[MonthlyIncome],334)&lt;=$B$4,"Medium Income","High Income"))</f>
        <v>High Income</v>
      </c>
      <c r="D342">
        <f>IF(INDEX(tblCleanData[Attrition],334)="Yes",1,0)</f>
        <v>0</v>
      </c>
      <c r="E342">
        <f>IF(INDEX(tblCleanData[OverTime],334)="Yes",1,0)</f>
        <v>0</v>
      </c>
      <c r="F342" t="str">
        <f>CHOOSE(INDEX(tblCleanData[Education],334),"Below College","College","Bachelor","Master","Doctor")</f>
        <v>Bachelor</v>
      </c>
      <c r="G342" t="str">
        <f>IF(INDEX(tblCleanData[YearsAtCompany],334)&lt;=2,"0-2 Years",IF(INDEX(tblCleanData[YearsAtCompany],334)&lt;=5,"3-5 Years",IF(INDEX(tblCleanData[YearsAtCompany],334)&lt;=10,"6-10 Years","10+ Years")))</f>
        <v>0-2 Years</v>
      </c>
      <c r="H342" t="str">
        <f>IF(INDEX(tblCleanData[WorkLifeBalance],334)&lt;=2,"Elevated","Normal")</f>
        <v>Elevated</v>
      </c>
      <c r="I342">
        <f>IF(INDEX(tblCleanData[Age],334)&lt;30,30,IF(INDEX(tblCleanData[Age],334)&lt;40,20,IF(INDEX(tblCleanData[Age],334)&lt;50,10,15)))</f>
        <v>10</v>
      </c>
      <c r="J342">
        <f>IF(INDEX(tblCleanData[MonthlyIncome],334)&lt;=$B$3,25,IF(INDEX(tblCleanData[MonthlyIncome],334)&lt;=$B$4,12,5))</f>
        <v>5</v>
      </c>
      <c r="K342">
        <f>IF(INDEX(tblCleanData[OverTime],334)="Yes",25,0)</f>
        <v>0</v>
      </c>
      <c r="L342">
        <f>(5-INDEX(tblCleanData[JobSatisfaction],334))*6.25</f>
        <v>25</v>
      </c>
      <c r="M342">
        <f>IF(INDEX(tblCleanData[YearsAtCompany],334)&lt;=2,25,IF(INDEX(tblCleanData[YearsAtCompany],334)&lt;=5,15,IF(INDEX(tblCleanData[YearsAtCompany],334)&lt;=10,8,3)))</f>
        <v>25</v>
      </c>
      <c r="N342">
        <f t="shared" si="10"/>
        <v>65</v>
      </c>
      <c r="O342" t="str">
        <f t="shared" si="11"/>
        <v>High Risk</v>
      </c>
    </row>
    <row r="343" spans="1:15" x14ac:dyDescent="0.25">
      <c r="A343">
        <f>INDEX(tblCleanData[EmployeeNumber],335)</f>
        <v>452</v>
      </c>
      <c r="B343" t="str">
        <f>IF(INDEX(tblCleanData[Age],335)&lt;30,"Under 30",IF(INDEX(tblCleanData[Age],335)&lt;40,"30-39",IF(INDEX(tblCleanData[Age],335)&lt;50,"40-49","50+")))</f>
        <v>40-49</v>
      </c>
      <c r="C343" t="str">
        <f>IF(INDEX(tblCleanData[MonthlyIncome],335)&lt;=$B$3,"Low Income",IF(INDEX(tblCleanData[MonthlyIncome],335)&lt;=$B$4,"Medium Income","High Income"))</f>
        <v>High Income</v>
      </c>
      <c r="D343">
        <f>IF(INDEX(tblCleanData[Attrition],335)="Yes",1,0)</f>
        <v>0</v>
      </c>
      <c r="E343">
        <f>IF(INDEX(tblCleanData[OverTime],335)="Yes",1,0)</f>
        <v>0</v>
      </c>
      <c r="F343" t="str">
        <f>CHOOSE(INDEX(tblCleanData[Education],335),"Below College","College","Bachelor","Master","Doctor")</f>
        <v>Master</v>
      </c>
      <c r="G343" t="str">
        <f>IF(INDEX(tblCleanData[YearsAtCompany],335)&lt;=2,"0-2 Years",IF(INDEX(tblCleanData[YearsAtCompany],335)&lt;=5,"3-5 Years",IF(INDEX(tblCleanData[YearsAtCompany],335)&lt;=10,"6-10 Years","10+ Years")))</f>
        <v>6-10 Years</v>
      </c>
      <c r="H343" t="str">
        <f>IF(INDEX(tblCleanData[WorkLifeBalance],335)&lt;=2,"Elevated","Normal")</f>
        <v>Normal</v>
      </c>
      <c r="I343">
        <f>IF(INDEX(tblCleanData[Age],335)&lt;30,30,IF(INDEX(tblCleanData[Age],335)&lt;40,20,IF(INDEX(tblCleanData[Age],335)&lt;50,10,15)))</f>
        <v>10</v>
      </c>
      <c r="J343">
        <f>IF(INDEX(tblCleanData[MonthlyIncome],335)&lt;=$B$3,25,IF(INDEX(tblCleanData[MonthlyIncome],335)&lt;=$B$4,12,5))</f>
        <v>5</v>
      </c>
      <c r="K343">
        <f>IF(INDEX(tblCleanData[OverTime],335)="Yes",25,0)</f>
        <v>0</v>
      </c>
      <c r="L343">
        <f>(5-INDEX(tblCleanData[JobSatisfaction],335))*6.25</f>
        <v>6.25</v>
      </c>
      <c r="M343">
        <f>IF(INDEX(tblCleanData[YearsAtCompany],335)&lt;=2,25,IF(INDEX(tblCleanData[YearsAtCompany],335)&lt;=5,15,IF(INDEX(tblCleanData[YearsAtCompany],335)&lt;=10,8,3)))</f>
        <v>8</v>
      </c>
      <c r="N343">
        <f t="shared" si="10"/>
        <v>29</v>
      </c>
      <c r="O343" t="str">
        <f t="shared" si="11"/>
        <v>Low Risk</v>
      </c>
    </row>
    <row r="344" spans="1:15" x14ac:dyDescent="0.25">
      <c r="A344">
        <f>INDEX(tblCleanData[EmployeeNumber],336)</f>
        <v>453</v>
      </c>
      <c r="B344" t="str">
        <f>IF(INDEX(tblCleanData[Age],336)&lt;30,"Under 30",IF(INDEX(tblCleanData[Age],336)&lt;40,"30-39",IF(INDEX(tblCleanData[Age],336)&lt;50,"40-49","50+")))</f>
        <v>40-49</v>
      </c>
      <c r="C344" t="str">
        <f>IF(INDEX(tblCleanData[MonthlyIncome],336)&lt;=$B$3,"Low Income",IF(INDEX(tblCleanData[MonthlyIncome],336)&lt;=$B$4,"Medium Income","High Income"))</f>
        <v>High Income</v>
      </c>
      <c r="D344">
        <f>IF(INDEX(tblCleanData[Attrition],336)="Yes",1,0)</f>
        <v>0</v>
      </c>
      <c r="E344">
        <f>IF(INDEX(tblCleanData[OverTime],336)="Yes",1,0)</f>
        <v>1</v>
      </c>
      <c r="F344" t="str">
        <f>CHOOSE(INDEX(tblCleanData[Education],336),"Below College","College","Bachelor","Master","Doctor")</f>
        <v>College</v>
      </c>
      <c r="G344" t="str">
        <f>IF(INDEX(tblCleanData[YearsAtCompany],336)&lt;=2,"0-2 Years",IF(INDEX(tblCleanData[YearsAtCompany],336)&lt;=5,"3-5 Years",IF(INDEX(tblCleanData[YearsAtCompany],336)&lt;=10,"6-10 Years","10+ Years")))</f>
        <v>3-5 Years</v>
      </c>
      <c r="H344" t="str">
        <f>IF(INDEX(tblCleanData[WorkLifeBalance],336)&lt;=2,"Elevated","Normal")</f>
        <v>Elevated</v>
      </c>
      <c r="I344">
        <f>IF(INDEX(tblCleanData[Age],336)&lt;30,30,IF(INDEX(tblCleanData[Age],336)&lt;40,20,IF(INDEX(tblCleanData[Age],336)&lt;50,10,15)))</f>
        <v>10</v>
      </c>
      <c r="J344">
        <f>IF(INDEX(tblCleanData[MonthlyIncome],336)&lt;=$B$3,25,IF(INDEX(tblCleanData[MonthlyIncome],336)&lt;=$B$4,12,5))</f>
        <v>5</v>
      </c>
      <c r="K344">
        <f>IF(INDEX(tblCleanData[OverTime],336)="Yes",25,0)</f>
        <v>25</v>
      </c>
      <c r="L344">
        <f>(5-INDEX(tblCleanData[JobSatisfaction],336))*6.25</f>
        <v>6.25</v>
      </c>
      <c r="M344">
        <f>IF(INDEX(tblCleanData[YearsAtCompany],336)&lt;=2,25,IF(INDEX(tblCleanData[YearsAtCompany],336)&lt;=5,15,IF(INDEX(tblCleanData[YearsAtCompany],336)&lt;=10,8,3)))</f>
        <v>15</v>
      </c>
      <c r="N344">
        <f t="shared" si="10"/>
        <v>61</v>
      </c>
      <c r="O344" t="str">
        <f t="shared" si="11"/>
        <v>High Risk</v>
      </c>
    </row>
    <row r="345" spans="1:15" x14ac:dyDescent="0.25">
      <c r="A345">
        <f>INDEX(tblCleanData[EmployeeNumber],337)</f>
        <v>454</v>
      </c>
      <c r="B345" t="str">
        <f>IF(INDEX(tblCleanData[Age],337)&lt;30,"Under 30",IF(INDEX(tblCleanData[Age],337)&lt;40,"30-39",IF(INDEX(tblCleanData[Age],337)&lt;50,"40-49","50+")))</f>
        <v>Under 30</v>
      </c>
      <c r="C345" t="str">
        <f>IF(INDEX(tblCleanData[MonthlyIncome],337)&lt;=$B$3,"Low Income",IF(INDEX(tblCleanData[MonthlyIncome],337)&lt;=$B$4,"Medium Income","High Income"))</f>
        <v>High Income</v>
      </c>
      <c r="D345">
        <f>IF(INDEX(tblCleanData[Attrition],337)="Yes",1,0)</f>
        <v>1</v>
      </c>
      <c r="E345">
        <f>IF(INDEX(tblCleanData[OverTime],337)="Yes",1,0)</f>
        <v>1</v>
      </c>
      <c r="F345" t="str">
        <f>CHOOSE(INDEX(tblCleanData[Education],337),"Below College","College","Bachelor","Master","Doctor")</f>
        <v>Master</v>
      </c>
      <c r="G345" t="str">
        <f>IF(INDEX(tblCleanData[YearsAtCompany],337)&lt;=2,"0-2 Years",IF(INDEX(tblCleanData[YearsAtCompany],337)&lt;=5,"3-5 Years",IF(INDEX(tblCleanData[YearsAtCompany],337)&lt;=10,"6-10 Years","10+ Years")))</f>
        <v>6-10 Years</v>
      </c>
      <c r="H345" t="str">
        <f>IF(INDEX(tblCleanData[WorkLifeBalance],337)&lt;=2,"Elevated","Normal")</f>
        <v>Elevated</v>
      </c>
      <c r="I345">
        <f>IF(INDEX(tblCleanData[Age],337)&lt;30,30,IF(INDEX(tblCleanData[Age],337)&lt;40,20,IF(INDEX(tblCleanData[Age],337)&lt;50,10,15)))</f>
        <v>30</v>
      </c>
      <c r="J345">
        <f>IF(INDEX(tblCleanData[MonthlyIncome],337)&lt;=$B$3,25,IF(INDEX(tblCleanData[MonthlyIncome],337)&lt;=$B$4,12,5))</f>
        <v>5</v>
      </c>
      <c r="K345">
        <f>IF(INDEX(tblCleanData[OverTime],337)="Yes",25,0)</f>
        <v>25</v>
      </c>
      <c r="L345">
        <f>(5-INDEX(tblCleanData[JobSatisfaction],337))*6.25</f>
        <v>25</v>
      </c>
      <c r="M345">
        <f>IF(INDEX(tblCleanData[YearsAtCompany],337)&lt;=2,25,IF(INDEX(tblCleanData[YearsAtCompany],337)&lt;=5,15,IF(INDEX(tblCleanData[YearsAtCompany],337)&lt;=10,8,3)))</f>
        <v>8</v>
      </c>
      <c r="N345">
        <f t="shared" si="10"/>
        <v>93</v>
      </c>
      <c r="O345" t="str">
        <f t="shared" si="11"/>
        <v>High Risk</v>
      </c>
    </row>
    <row r="346" spans="1:15" x14ac:dyDescent="0.25">
      <c r="A346">
        <f>INDEX(tblCleanData[EmployeeNumber],338)</f>
        <v>455</v>
      </c>
      <c r="B346" t="str">
        <f>IF(INDEX(tblCleanData[Age],338)&lt;30,"Under 30",IF(INDEX(tblCleanData[Age],338)&lt;40,"30-39",IF(INDEX(tblCleanData[Age],338)&lt;50,"40-49","50+")))</f>
        <v>Under 30</v>
      </c>
      <c r="C346" t="str">
        <f>IF(INDEX(tblCleanData[MonthlyIncome],338)&lt;=$B$3,"Low Income",IF(INDEX(tblCleanData[MonthlyIncome],338)&lt;=$B$4,"Medium Income","High Income"))</f>
        <v>High Income</v>
      </c>
      <c r="D346">
        <f>IF(INDEX(tblCleanData[Attrition],338)="Yes",1,0)</f>
        <v>0</v>
      </c>
      <c r="E346">
        <f>IF(INDEX(tblCleanData[OverTime],338)="Yes",1,0)</f>
        <v>0</v>
      </c>
      <c r="F346" t="str">
        <f>CHOOSE(INDEX(tblCleanData[Education],338),"Below College","College","Bachelor","Master","Doctor")</f>
        <v>Doctor</v>
      </c>
      <c r="G346" t="str">
        <f>IF(INDEX(tblCleanData[YearsAtCompany],338)&lt;=2,"0-2 Years",IF(INDEX(tblCleanData[YearsAtCompany],338)&lt;=5,"3-5 Years",IF(INDEX(tblCleanData[YearsAtCompany],338)&lt;=10,"6-10 Years","10+ Years")))</f>
        <v>3-5 Years</v>
      </c>
      <c r="H346" t="str">
        <f>IF(INDEX(tblCleanData[WorkLifeBalance],338)&lt;=2,"Elevated","Normal")</f>
        <v>Normal</v>
      </c>
      <c r="I346">
        <f>IF(INDEX(tblCleanData[Age],338)&lt;30,30,IF(INDEX(tblCleanData[Age],338)&lt;40,20,IF(INDEX(tblCleanData[Age],338)&lt;50,10,15)))</f>
        <v>30</v>
      </c>
      <c r="J346">
        <f>IF(INDEX(tblCleanData[MonthlyIncome],338)&lt;=$B$3,25,IF(INDEX(tblCleanData[MonthlyIncome],338)&lt;=$B$4,12,5))</f>
        <v>5</v>
      </c>
      <c r="K346">
        <f>IF(INDEX(tblCleanData[OverTime],338)="Yes",25,0)</f>
        <v>0</v>
      </c>
      <c r="L346">
        <f>(5-INDEX(tblCleanData[JobSatisfaction],338))*6.25</f>
        <v>6.25</v>
      </c>
      <c r="M346">
        <f>IF(INDEX(tblCleanData[YearsAtCompany],338)&lt;=2,25,IF(INDEX(tblCleanData[YearsAtCompany],338)&lt;=5,15,IF(INDEX(tblCleanData[YearsAtCompany],338)&lt;=10,8,3)))</f>
        <v>15</v>
      </c>
      <c r="N346">
        <f t="shared" si="10"/>
        <v>56</v>
      </c>
      <c r="O346" t="str">
        <f t="shared" si="11"/>
        <v>High Risk</v>
      </c>
    </row>
    <row r="347" spans="1:15" x14ac:dyDescent="0.25">
      <c r="A347">
        <f>INDEX(tblCleanData[EmployeeNumber],339)</f>
        <v>456</v>
      </c>
      <c r="B347" t="str">
        <f>IF(INDEX(tblCleanData[Age],339)&lt;30,"Under 30",IF(INDEX(tblCleanData[Age],339)&lt;40,"30-39",IF(INDEX(tblCleanData[Age],339)&lt;50,"40-49","50+")))</f>
        <v>30-39</v>
      </c>
      <c r="C347" t="str">
        <f>IF(INDEX(tblCleanData[MonthlyIncome],339)&lt;=$B$3,"Low Income",IF(INDEX(tblCleanData[MonthlyIncome],339)&lt;=$B$4,"Medium Income","High Income"))</f>
        <v>High Income</v>
      </c>
      <c r="D347">
        <f>IF(INDEX(tblCleanData[Attrition],339)="Yes",1,0)</f>
        <v>0</v>
      </c>
      <c r="E347">
        <f>IF(INDEX(tblCleanData[OverTime],339)="Yes",1,0)</f>
        <v>0</v>
      </c>
      <c r="F347" t="str">
        <f>CHOOSE(INDEX(tblCleanData[Education],339),"Below College","College","Bachelor","Master","Doctor")</f>
        <v>Bachelor</v>
      </c>
      <c r="G347" t="str">
        <f>IF(INDEX(tblCleanData[YearsAtCompany],339)&lt;=2,"0-2 Years",IF(INDEX(tblCleanData[YearsAtCompany],339)&lt;=5,"3-5 Years",IF(INDEX(tblCleanData[YearsAtCompany],339)&lt;=10,"6-10 Years","10+ Years")))</f>
        <v>6-10 Years</v>
      </c>
      <c r="H347" t="str">
        <f>IF(INDEX(tblCleanData[WorkLifeBalance],339)&lt;=2,"Elevated","Normal")</f>
        <v>Normal</v>
      </c>
      <c r="I347">
        <f>IF(INDEX(tblCleanData[Age],339)&lt;30,30,IF(INDEX(tblCleanData[Age],339)&lt;40,20,IF(INDEX(tblCleanData[Age],339)&lt;50,10,15)))</f>
        <v>20</v>
      </c>
      <c r="J347">
        <f>IF(INDEX(tblCleanData[MonthlyIncome],339)&lt;=$B$3,25,IF(INDEX(tblCleanData[MonthlyIncome],339)&lt;=$B$4,12,5))</f>
        <v>5</v>
      </c>
      <c r="K347">
        <f>IF(INDEX(tblCleanData[OverTime],339)="Yes",25,0)</f>
        <v>0</v>
      </c>
      <c r="L347">
        <f>(5-INDEX(tblCleanData[JobSatisfaction],339))*6.25</f>
        <v>12.5</v>
      </c>
      <c r="M347">
        <f>IF(INDEX(tblCleanData[YearsAtCompany],339)&lt;=2,25,IF(INDEX(tblCleanData[YearsAtCompany],339)&lt;=5,15,IF(INDEX(tblCleanData[YearsAtCompany],339)&lt;=10,8,3)))</f>
        <v>8</v>
      </c>
      <c r="N347">
        <f t="shared" si="10"/>
        <v>46</v>
      </c>
      <c r="O347" t="str">
        <f t="shared" si="11"/>
        <v>Medium Risk</v>
      </c>
    </row>
    <row r="348" spans="1:15" x14ac:dyDescent="0.25">
      <c r="A348">
        <f>INDEX(tblCleanData[EmployeeNumber],340)</f>
        <v>458</v>
      </c>
      <c r="B348" t="str">
        <f>IF(INDEX(tblCleanData[Age],340)&lt;30,"Under 30",IF(INDEX(tblCleanData[Age],340)&lt;40,"30-39",IF(INDEX(tblCleanData[Age],340)&lt;50,"40-49","50+")))</f>
        <v>Under 30</v>
      </c>
      <c r="C348" t="str">
        <f>IF(INDEX(tblCleanData[MonthlyIncome],340)&lt;=$B$3,"Low Income",IF(INDEX(tblCleanData[MonthlyIncome],340)&lt;=$B$4,"Medium Income","High Income"))</f>
        <v>High Income</v>
      </c>
      <c r="D348">
        <f>IF(INDEX(tblCleanData[Attrition],340)="Yes",1,0)</f>
        <v>0</v>
      </c>
      <c r="E348">
        <f>IF(INDEX(tblCleanData[OverTime],340)="Yes",1,0)</f>
        <v>0</v>
      </c>
      <c r="F348" t="str">
        <f>CHOOSE(INDEX(tblCleanData[Education],340),"Below College","College","Bachelor","Master","Doctor")</f>
        <v>Master</v>
      </c>
      <c r="G348" t="str">
        <f>IF(INDEX(tblCleanData[YearsAtCompany],340)&lt;=2,"0-2 Years",IF(INDEX(tblCleanData[YearsAtCompany],340)&lt;=5,"3-5 Years",IF(INDEX(tblCleanData[YearsAtCompany],340)&lt;=10,"6-10 Years","10+ Years")))</f>
        <v>6-10 Years</v>
      </c>
      <c r="H348" t="str">
        <f>IF(INDEX(tblCleanData[WorkLifeBalance],340)&lt;=2,"Elevated","Normal")</f>
        <v>Normal</v>
      </c>
      <c r="I348">
        <f>IF(INDEX(tblCleanData[Age],340)&lt;30,30,IF(INDEX(tblCleanData[Age],340)&lt;40,20,IF(INDEX(tblCleanData[Age],340)&lt;50,10,15)))</f>
        <v>30</v>
      </c>
      <c r="J348">
        <f>IF(INDEX(tblCleanData[MonthlyIncome],340)&lt;=$B$3,25,IF(INDEX(tblCleanData[MonthlyIncome],340)&lt;=$B$4,12,5))</f>
        <v>5</v>
      </c>
      <c r="K348">
        <f>IF(INDEX(tblCleanData[OverTime],340)="Yes",25,0)</f>
        <v>0</v>
      </c>
      <c r="L348">
        <f>(5-INDEX(tblCleanData[JobSatisfaction],340))*6.25</f>
        <v>18.75</v>
      </c>
      <c r="M348">
        <f>IF(INDEX(tblCleanData[YearsAtCompany],340)&lt;=2,25,IF(INDEX(tblCleanData[YearsAtCompany],340)&lt;=5,15,IF(INDEX(tblCleanData[YearsAtCompany],340)&lt;=10,8,3)))</f>
        <v>8</v>
      </c>
      <c r="N348">
        <f t="shared" si="10"/>
        <v>62</v>
      </c>
      <c r="O348" t="str">
        <f t="shared" si="11"/>
        <v>High Risk</v>
      </c>
    </row>
    <row r="349" spans="1:15" x14ac:dyDescent="0.25">
      <c r="A349">
        <f>INDEX(tblCleanData[EmployeeNumber],341)</f>
        <v>460</v>
      </c>
      <c r="B349" t="str">
        <f>IF(INDEX(tblCleanData[Age],341)&lt;30,"Under 30",IF(INDEX(tblCleanData[Age],341)&lt;40,"30-39",IF(INDEX(tblCleanData[Age],341)&lt;50,"40-49","50+")))</f>
        <v>30-39</v>
      </c>
      <c r="C349" t="str">
        <f>IF(INDEX(tblCleanData[MonthlyIncome],341)&lt;=$B$3,"Low Income",IF(INDEX(tblCleanData[MonthlyIncome],341)&lt;=$B$4,"Medium Income","High Income"))</f>
        <v>High Income</v>
      </c>
      <c r="D349">
        <f>IF(INDEX(tblCleanData[Attrition],341)="Yes",1,0)</f>
        <v>0</v>
      </c>
      <c r="E349">
        <f>IF(INDEX(tblCleanData[OverTime],341)="Yes",1,0)</f>
        <v>0</v>
      </c>
      <c r="F349" t="str">
        <f>CHOOSE(INDEX(tblCleanData[Education],341),"Below College","College","Bachelor","Master","Doctor")</f>
        <v>College</v>
      </c>
      <c r="G349" t="str">
        <f>IF(INDEX(tblCleanData[YearsAtCompany],341)&lt;=2,"0-2 Years",IF(INDEX(tblCleanData[YearsAtCompany],341)&lt;=5,"3-5 Years",IF(INDEX(tblCleanData[YearsAtCompany],341)&lt;=10,"6-10 Years","10+ Years")))</f>
        <v>6-10 Years</v>
      </c>
      <c r="H349" t="str">
        <f>IF(INDEX(tblCleanData[WorkLifeBalance],341)&lt;=2,"Elevated","Normal")</f>
        <v>Elevated</v>
      </c>
      <c r="I349">
        <f>IF(INDEX(tblCleanData[Age],341)&lt;30,30,IF(INDEX(tblCleanData[Age],341)&lt;40,20,IF(INDEX(tblCleanData[Age],341)&lt;50,10,15)))</f>
        <v>20</v>
      </c>
      <c r="J349">
        <f>IF(INDEX(tblCleanData[MonthlyIncome],341)&lt;=$B$3,25,IF(INDEX(tblCleanData[MonthlyIncome],341)&lt;=$B$4,12,5))</f>
        <v>5</v>
      </c>
      <c r="K349">
        <f>IF(INDEX(tblCleanData[OverTime],341)="Yes",25,0)</f>
        <v>0</v>
      </c>
      <c r="L349">
        <f>(5-INDEX(tblCleanData[JobSatisfaction],341))*6.25</f>
        <v>6.25</v>
      </c>
      <c r="M349">
        <f>IF(INDEX(tblCleanData[YearsAtCompany],341)&lt;=2,25,IF(INDEX(tblCleanData[YearsAtCompany],341)&lt;=5,15,IF(INDEX(tblCleanData[YearsAtCompany],341)&lt;=10,8,3)))</f>
        <v>8</v>
      </c>
      <c r="N349">
        <f t="shared" si="10"/>
        <v>39</v>
      </c>
      <c r="O349" t="str">
        <f t="shared" si="11"/>
        <v>Medium Risk</v>
      </c>
    </row>
    <row r="350" spans="1:15" x14ac:dyDescent="0.25">
      <c r="A350">
        <f>INDEX(tblCleanData[EmployeeNumber],342)</f>
        <v>461</v>
      </c>
      <c r="B350" t="str">
        <f>IF(INDEX(tblCleanData[Age],342)&lt;30,"Under 30",IF(INDEX(tblCleanData[Age],342)&lt;40,"30-39",IF(INDEX(tblCleanData[Age],342)&lt;50,"40-49","50+")))</f>
        <v>30-39</v>
      </c>
      <c r="C350" t="str">
        <f>IF(INDEX(tblCleanData[MonthlyIncome],342)&lt;=$B$3,"Low Income",IF(INDEX(tblCleanData[MonthlyIncome],342)&lt;=$B$4,"Medium Income","High Income"))</f>
        <v>High Income</v>
      </c>
      <c r="D350">
        <f>IF(INDEX(tblCleanData[Attrition],342)="Yes",1,0)</f>
        <v>0</v>
      </c>
      <c r="E350">
        <f>IF(INDEX(tblCleanData[OverTime],342)="Yes",1,0)</f>
        <v>1</v>
      </c>
      <c r="F350" t="str">
        <f>CHOOSE(INDEX(tblCleanData[Education],342),"Below College","College","Bachelor","Master","Doctor")</f>
        <v>College</v>
      </c>
      <c r="G350" t="str">
        <f>IF(INDEX(tblCleanData[YearsAtCompany],342)&lt;=2,"0-2 Years",IF(INDEX(tblCleanData[YearsAtCompany],342)&lt;=5,"3-5 Years",IF(INDEX(tblCleanData[YearsAtCompany],342)&lt;=10,"6-10 Years","10+ Years")))</f>
        <v>10+ Years</v>
      </c>
      <c r="H350" t="str">
        <f>IF(INDEX(tblCleanData[WorkLifeBalance],342)&lt;=2,"Elevated","Normal")</f>
        <v>Normal</v>
      </c>
      <c r="I350">
        <f>IF(INDEX(tblCleanData[Age],342)&lt;30,30,IF(INDEX(tblCleanData[Age],342)&lt;40,20,IF(INDEX(tblCleanData[Age],342)&lt;50,10,15)))</f>
        <v>20</v>
      </c>
      <c r="J350">
        <f>IF(INDEX(tblCleanData[MonthlyIncome],342)&lt;=$B$3,25,IF(INDEX(tblCleanData[MonthlyIncome],342)&lt;=$B$4,12,5))</f>
        <v>5</v>
      </c>
      <c r="K350">
        <f>IF(INDEX(tblCleanData[OverTime],342)="Yes",25,0)</f>
        <v>25</v>
      </c>
      <c r="L350">
        <f>(5-INDEX(tblCleanData[JobSatisfaction],342))*6.25</f>
        <v>6.25</v>
      </c>
      <c r="M350">
        <f>IF(INDEX(tblCleanData[YearsAtCompany],342)&lt;=2,25,IF(INDEX(tblCleanData[YearsAtCompany],342)&lt;=5,15,IF(INDEX(tblCleanData[YearsAtCompany],342)&lt;=10,8,3)))</f>
        <v>3</v>
      </c>
      <c r="N350">
        <f t="shared" si="10"/>
        <v>59</v>
      </c>
      <c r="O350" t="str">
        <f t="shared" si="11"/>
        <v>High Risk</v>
      </c>
    </row>
    <row r="351" spans="1:15" x14ac:dyDescent="0.25">
      <c r="A351">
        <f>INDEX(tblCleanData[EmployeeNumber],343)</f>
        <v>462</v>
      </c>
      <c r="B351" t="str">
        <f>IF(INDEX(tblCleanData[Age],343)&lt;30,"Under 30",IF(INDEX(tblCleanData[Age],343)&lt;40,"30-39",IF(INDEX(tblCleanData[Age],343)&lt;50,"40-49","50+")))</f>
        <v>30-39</v>
      </c>
      <c r="C351" t="str">
        <f>IF(INDEX(tblCleanData[MonthlyIncome],343)&lt;=$B$3,"Low Income",IF(INDEX(tblCleanData[MonthlyIncome],343)&lt;=$B$4,"Medium Income","High Income"))</f>
        <v>High Income</v>
      </c>
      <c r="D351">
        <f>IF(INDEX(tblCleanData[Attrition],343)="Yes",1,0)</f>
        <v>0</v>
      </c>
      <c r="E351">
        <f>IF(INDEX(tblCleanData[OverTime],343)="Yes",1,0)</f>
        <v>1</v>
      </c>
      <c r="F351" t="str">
        <f>CHOOSE(INDEX(tblCleanData[Education],343),"Below College","College","Bachelor","Master","Doctor")</f>
        <v>Master</v>
      </c>
      <c r="G351" t="str">
        <f>IF(INDEX(tblCleanData[YearsAtCompany],343)&lt;=2,"0-2 Years",IF(INDEX(tblCleanData[YearsAtCompany],343)&lt;=5,"3-5 Years",IF(INDEX(tblCleanData[YearsAtCompany],343)&lt;=10,"6-10 Years","10+ Years")))</f>
        <v>10+ Years</v>
      </c>
      <c r="H351" t="str">
        <f>IF(INDEX(tblCleanData[WorkLifeBalance],343)&lt;=2,"Elevated","Normal")</f>
        <v>Elevated</v>
      </c>
      <c r="I351">
        <f>IF(INDEX(tblCleanData[Age],343)&lt;30,30,IF(INDEX(tblCleanData[Age],343)&lt;40,20,IF(INDEX(tblCleanData[Age],343)&lt;50,10,15)))</f>
        <v>20</v>
      </c>
      <c r="J351">
        <f>IF(INDEX(tblCleanData[MonthlyIncome],343)&lt;=$B$3,25,IF(INDEX(tblCleanData[MonthlyIncome],343)&lt;=$B$4,12,5))</f>
        <v>5</v>
      </c>
      <c r="K351">
        <f>IF(INDEX(tblCleanData[OverTime],343)="Yes",25,0)</f>
        <v>25</v>
      </c>
      <c r="L351">
        <f>(5-INDEX(tblCleanData[JobSatisfaction],343))*6.25</f>
        <v>6.25</v>
      </c>
      <c r="M351">
        <f>IF(INDEX(tblCleanData[YearsAtCompany],343)&lt;=2,25,IF(INDEX(tblCleanData[YearsAtCompany],343)&lt;=5,15,IF(INDEX(tblCleanData[YearsAtCompany],343)&lt;=10,8,3)))</f>
        <v>3</v>
      </c>
      <c r="N351">
        <f t="shared" si="10"/>
        <v>59</v>
      </c>
      <c r="O351" t="str">
        <f t="shared" si="11"/>
        <v>High Risk</v>
      </c>
    </row>
    <row r="352" spans="1:15" x14ac:dyDescent="0.25">
      <c r="A352">
        <f>INDEX(tblCleanData[EmployeeNumber],344)</f>
        <v>463</v>
      </c>
      <c r="B352" t="str">
        <f>IF(INDEX(tblCleanData[Age],344)&lt;30,"Under 30",IF(INDEX(tblCleanData[Age],344)&lt;40,"30-39",IF(INDEX(tblCleanData[Age],344)&lt;50,"40-49","50+")))</f>
        <v>Under 30</v>
      </c>
      <c r="C352" t="str">
        <f>IF(INDEX(tblCleanData[MonthlyIncome],344)&lt;=$B$3,"Low Income",IF(INDEX(tblCleanData[MonthlyIncome],344)&lt;=$B$4,"Medium Income","High Income"))</f>
        <v>High Income</v>
      </c>
      <c r="D352">
        <f>IF(INDEX(tblCleanData[Attrition],344)="Yes",1,0)</f>
        <v>0</v>
      </c>
      <c r="E352">
        <f>IF(INDEX(tblCleanData[OverTime],344)="Yes",1,0)</f>
        <v>1</v>
      </c>
      <c r="F352" t="str">
        <f>CHOOSE(INDEX(tblCleanData[Education],344),"Below College","College","Bachelor","Master","Doctor")</f>
        <v>Below College</v>
      </c>
      <c r="G352" t="str">
        <f>IF(INDEX(tblCleanData[YearsAtCompany],344)&lt;=2,"0-2 Years",IF(INDEX(tblCleanData[YearsAtCompany],344)&lt;=5,"3-5 Years",IF(INDEX(tblCleanData[YearsAtCompany],344)&lt;=10,"6-10 Years","10+ Years")))</f>
        <v>6-10 Years</v>
      </c>
      <c r="H352" t="str">
        <f>IF(INDEX(tblCleanData[WorkLifeBalance],344)&lt;=2,"Elevated","Normal")</f>
        <v>Normal</v>
      </c>
      <c r="I352">
        <f>IF(INDEX(tblCleanData[Age],344)&lt;30,30,IF(INDEX(tblCleanData[Age],344)&lt;40,20,IF(INDEX(tblCleanData[Age],344)&lt;50,10,15)))</f>
        <v>30</v>
      </c>
      <c r="J352">
        <f>IF(INDEX(tblCleanData[MonthlyIncome],344)&lt;=$B$3,25,IF(INDEX(tblCleanData[MonthlyIncome],344)&lt;=$B$4,12,5))</f>
        <v>5</v>
      </c>
      <c r="K352">
        <f>IF(INDEX(tblCleanData[OverTime],344)="Yes",25,0)</f>
        <v>25</v>
      </c>
      <c r="L352">
        <f>(5-INDEX(tblCleanData[JobSatisfaction],344))*6.25</f>
        <v>18.75</v>
      </c>
      <c r="M352">
        <f>IF(INDEX(tblCleanData[YearsAtCompany],344)&lt;=2,25,IF(INDEX(tblCleanData[YearsAtCompany],344)&lt;=5,15,IF(INDEX(tblCleanData[YearsAtCompany],344)&lt;=10,8,3)))</f>
        <v>8</v>
      </c>
      <c r="N352">
        <f t="shared" si="10"/>
        <v>87</v>
      </c>
      <c r="O352" t="str">
        <f t="shared" si="11"/>
        <v>High Risk</v>
      </c>
    </row>
    <row r="353" spans="1:15" x14ac:dyDescent="0.25">
      <c r="A353">
        <f>INDEX(tblCleanData[EmployeeNumber],345)</f>
        <v>464</v>
      </c>
      <c r="B353" t="str">
        <f>IF(INDEX(tblCleanData[Age],345)&lt;30,"Under 30",IF(INDEX(tblCleanData[Age],345)&lt;40,"30-39",IF(INDEX(tblCleanData[Age],345)&lt;50,"40-49","50+")))</f>
        <v>30-39</v>
      </c>
      <c r="C353" t="str">
        <f>IF(INDEX(tblCleanData[MonthlyIncome],345)&lt;=$B$3,"Low Income",IF(INDEX(tblCleanData[MonthlyIncome],345)&lt;=$B$4,"Medium Income","High Income"))</f>
        <v>High Income</v>
      </c>
      <c r="D353">
        <f>IF(INDEX(tblCleanData[Attrition],345)="Yes",1,0)</f>
        <v>0</v>
      </c>
      <c r="E353">
        <f>IF(INDEX(tblCleanData[OverTime],345)="Yes",1,0)</f>
        <v>0</v>
      </c>
      <c r="F353" t="str">
        <f>CHOOSE(INDEX(tblCleanData[Education],345),"Below College","College","Bachelor","Master","Doctor")</f>
        <v>Master</v>
      </c>
      <c r="G353" t="str">
        <f>IF(INDEX(tblCleanData[YearsAtCompany],345)&lt;=2,"0-2 Years",IF(INDEX(tblCleanData[YearsAtCompany],345)&lt;=5,"3-5 Years",IF(INDEX(tblCleanData[YearsAtCompany],345)&lt;=10,"6-10 Years","10+ Years")))</f>
        <v>10+ Years</v>
      </c>
      <c r="H353" t="str">
        <f>IF(INDEX(tblCleanData[WorkLifeBalance],345)&lt;=2,"Elevated","Normal")</f>
        <v>Normal</v>
      </c>
      <c r="I353">
        <f>IF(INDEX(tblCleanData[Age],345)&lt;30,30,IF(INDEX(tblCleanData[Age],345)&lt;40,20,IF(INDEX(tblCleanData[Age],345)&lt;50,10,15)))</f>
        <v>20</v>
      </c>
      <c r="J353">
        <f>IF(INDEX(tblCleanData[MonthlyIncome],345)&lt;=$B$3,25,IF(INDEX(tblCleanData[MonthlyIncome],345)&lt;=$B$4,12,5))</f>
        <v>5</v>
      </c>
      <c r="K353">
        <f>IF(INDEX(tblCleanData[OverTime],345)="Yes",25,0)</f>
        <v>0</v>
      </c>
      <c r="L353">
        <f>(5-INDEX(tblCleanData[JobSatisfaction],345))*6.25</f>
        <v>18.75</v>
      </c>
      <c r="M353">
        <f>IF(INDEX(tblCleanData[YearsAtCompany],345)&lt;=2,25,IF(INDEX(tblCleanData[YearsAtCompany],345)&lt;=5,15,IF(INDEX(tblCleanData[YearsAtCompany],345)&lt;=10,8,3)))</f>
        <v>3</v>
      </c>
      <c r="N353">
        <f t="shared" si="10"/>
        <v>47</v>
      </c>
      <c r="O353" t="str">
        <f t="shared" si="11"/>
        <v>Medium Risk</v>
      </c>
    </row>
    <row r="354" spans="1:15" x14ac:dyDescent="0.25">
      <c r="A354">
        <f>INDEX(tblCleanData[EmployeeNumber],346)</f>
        <v>465</v>
      </c>
      <c r="B354" t="str">
        <f>IF(INDEX(tblCleanData[Age],346)&lt;30,"Under 30",IF(INDEX(tblCleanData[Age],346)&lt;40,"30-39",IF(INDEX(tblCleanData[Age],346)&lt;50,"40-49","50+")))</f>
        <v>Under 30</v>
      </c>
      <c r="C354" t="str">
        <f>IF(INDEX(tblCleanData[MonthlyIncome],346)&lt;=$B$3,"Low Income",IF(INDEX(tblCleanData[MonthlyIncome],346)&lt;=$B$4,"Medium Income","High Income"))</f>
        <v>High Income</v>
      </c>
      <c r="D354">
        <f>IF(INDEX(tblCleanData[Attrition],346)="Yes",1,0)</f>
        <v>0</v>
      </c>
      <c r="E354">
        <f>IF(INDEX(tblCleanData[OverTime],346)="Yes",1,0)</f>
        <v>0</v>
      </c>
      <c r="F354" t="str">
        <f>CHOOSE(INDEX(tblCleanData[Education],346),"Below College","College","Bachelor","Master","Doctor")</f>
        <v>Below College</v>
      </c>
      <c r="G354" t="str">
        <f>IF(INDEX(tblCleanData[YearsAtCompany],346)&lt;=2,"0-2 Years",IF(INDEX(tblCleanData[YearsAtCompany],346)&lt;=5,"3-5 Years",IF(INDEX(tblCleanData[YearsAtCompany],346)&lt;=10,"6-10 Years","10+ Years")))</f>
        <v>3-5 Years</v>
      </c>
      <c r="H354" t="str">
        <f>IF(INDEX(tblCleanData[WorkLifeBalance],346)&lt;=2,"Elevated","Normal")</f>
        <v>Elevated</v>
      </c>
      <c r="I354">
        <f>IF(INDEX(tblCleanData[Age],346)&lt;30,30,IF(INDEX(tblCleanData[Age],346)&lt;40,20,IF(INDEX(tblCleanData[Age],346)&lt;50,10,15)))</f>
        <v>30</v>
      </c>
      <c r="J354">
        <f>IF(INDEX(tblCleanData[MonthlyIncome],346)&lt;=$B$3,25,IF(INDEX(tblCleanData[MonthlyIncome],346)&lt;=$B$4,12,5))</f>
        <v>5</v>
      </c>
      <c r="K354">
        <f>IF(INDEX(tblCleanData[OverTime],346)="Yes",25,0)</f>
        <v>0</v>
      </c>
      <c r="L354">
        <f>(5-INDEX(tblCleanData[JobSatisfaction],346))*6.25</f>
        <v>6.25</v>
      </c>
      <c r="M354">
        <f>IF(INDEX(tblCleanData[YearsAtCompany],346)&lt;=2,25,IF(INDEX(tblCleanData[YearsAtCompany],346)&lt;=5,15,IF(INDEX(tblCleanData[YearsAtCompany],346)&lt;=10,8,3)))</f>
        <v>15</v>
      </c>
      <c r="N354">
        <f t="shared" si="10"/>
        <v>56</v>
      </c>
      <c r="O354" t="str">
        <f t="shared" si="11"/>
        <v>High Risk</v>
      </c>
    </row>
    <row r="355" spans="1:15" x14ac:dyDescent="0.25">
      <c r="A355">
        <f>INDEX(tblCleanData[EmployeeNumber],347)</f>
        <v>466</v>
      </c>
      <c r="B355" t="str">
        <f>IF(INDEX(tblCleanData[Age],347)&lt;30,"Under 30",IF(INDEX(tblCleanData[Age],347)&lt;40,"30-39",IF(INDEX(tblCleanData[Age],347)&lt;50,"40-49","50+")))</f>
        <v>40-49</v>
      </c>
      <c r="C355" t="str">
        <f>IF(INDEX(tblCleanData[MonthlyIncome],347)&lt;=$B$3,"Low Income",IF(INDEX(tblCleanData[MonthlyIncome],347)&lt;=$B$4,"Medium Income","High Income"))</f>
        <v>High Income</v>
      </c>
      <c r="D355">
        <f>IF(INDEX(tblCleanData[Attrition],347)="Yes",1,0)</f>
        <v>0</v>
      </c>
      <c r="E355">
        <f>IF(INDEX(tblCleanData[OverTime],347)="Yes",1,0)</f>
        <v>1</v>
      </c>
      <c r="F355" t="str">
        <f>CHOOSE(INDEX(tblCleanData[Education],347),"Below College","College","Bachelor","Master","Doctor")</f>
        <v>Bachelor</v>
      </c>
      <c r="G355" t="str">
        <f>IF(INDEX(tblCleanData[YearsAtCompany],347)&lt;=2,"0-2 Years",IF(INDEX(tblCleanData[YearsAtCompany],347)&lt;=5,"3-5 Years",IF(INDEX(tblCleanData[YearsAtCompany],347)&lt;=10,"6-10 Years","10+ Years")))</f>
        <v>3-5 Years</v>
      </c>
      <c r="H355" t="str">
        <f>IF(INDEX(tblCleanData[WorkLifeBalance],347)&lt;=2,"Elevated","Normal")</f>
        <v>Normal</v>
      </c>
      <c r="I355">
        <f>IF(INDEX(tblCleanData[Age],347)&lt;30,30,IF(INDEX(tblCleanData[Age],347)&lt;40,20,IF(INDEX(tblCleanData[Age],347)&lt;50,10,15)))</f>
        <v>10</v>
      </c>
      <c r="J355">
        <f>IF(INDEX(tblCleanData[MonthlyIncome],347)&lt;=$B$3,25,IF(INDEX(tblCleanData[MonthlyIncome],347)&lt;=$B$4,12,5))</f>
        <v>5</v>
      </c>
      <c r="K355">
        <f>IF(INDEX(tblCleanData[OverTime],347)="Yes",25,0)</f>
        <v>25</v>
      </c>
      <c r="L355">
        <f>(5-INDEX(tblCleanData[JobSatisfaction],347))*6.25</f>
        <v>18.75</v>
      </c>
      <c r="M355">
        <f>IF(INDEX(tblCleanData[YearsAtCompany],347)&lt;=2,25,IF(INDEX(tblCleanData[YearsAtCompany],347)&lt;=5,15,IF(INDEX(tblCleanData[YearsAtCompany],347)&lt;=10,8,3)))</f>
        <v>15</v>
      </c>
      <c r="N355">
        <f t="shared" si="10"/>
        <v>74</v>
      </c>
      <c r="O355" t="str">
        <f t="shared" si="11"/>
        <v>High Risk</v>
      </c>
    </row>
    <row r="356" spans="1:15" x14ac:dyDescent="0.25">
      <c r="A356">
        <f>INDEX(tblCleanData[EmployeeNumber],348)</f>
        <v>467</v>
      </c>
      <c r="B356" t="str">
        <f>IF(INDEX(tblCleanData[Age],348)&lt;30,"Under 30",IF(INDEX(tblCleanData[Age],348)&lt;40,"30-39",IF(INDEX(tblCleanData[Age],348)&lt;50,"40-49","50+")))</f>
        <v>40-49</v>
      </c>
      <c r="C356" t="str">
        <f>IF(INDEX(tblCleanData[MonthlyIncome],348)&lt;=$B$3,"Low Income",IF(INDEX(tblCleanData[MonthlyIncome],348)&lt;=$B$4,"Medium Income","High Income"))</f>
        <v>High Income</v>
      </c>
      <c r="D356">
        <f>IF(INDEX(tblCleanData[Attrition],348)="Yes",1,0)</f>
        <v>0</v>
      </c>
      <c r="E356">
        <f>IF(INDEX(tblCleanData[OverTime],348)="Yes",1,0)</f>
        <v>0</v>
      </c>
      <c r="F356" t="str">
        <f>CHOOSE(INDEX(tblCleanData[Education],348),"Below College","College","Bachelor","Master","Doctor")</f>
        <v>Below College</v>
      </c>
      <c r="G356" t="str">
        <f>IF(INDEX(tblCleanData[YearsAtCompany],348)&lt;=2,"0-2 Years",IF(INDEX(tblCleanData[YearsAtCompany],348)&lt;=5,"3-5 Years",IF(INDEX(tblCleanData[YearsAtCompany],348)&lt;=10,"6-10 Years","10+ Years")))</f>
        <v>0-2 Years</v>
      </c>
      <c r="H356" t="str">
        <f>IF(INDEX(tblCleanData[WorkLifeBalance],348)&lt;=2,"Elevated","Normal")</f>
        <v>Normal</v>
      </c>
      <c r="I356">
        <f>IF(INDEX(tblCleanData[Age],348)&lt;30,30,IF(INDEX(tblCleanData[Age],348)&lt;40,20,IF(INDEX(tblCleanData[Age],348)&lt;50,10,15)))</f>
        <v>10</v>
      </c>
      <c r="J356">
        <f>IF(INDEX(tblCleanData[MonthlyIncome],348)&lt;=$B$3,25,IF(INDEX(tblCleanData[MonthlyIncome],348)&lt;=$B$4,12,5))</f>
        <v>5</v>
      </c>
      <c r="K356">
        <f>IF(INDEX(tblCleanData[OverTime],348)="Yes",25,0)</f>
        <v>0</v>
      </c>
      <c r="L356">
        <f>(5-INDEX(tblCleanData[JobSatisfaction],348))*6.25</f>
        <v>12.5</v>
      </c>
      <c r="M356">
        <f>IF(INDEX(tblCleanData[YearsAtCompany],348)&lt;=2,25,IF(INDEX(tblCleanData[YearsAtCompany],348)&lt;=5,15,IF(INDEX(tblCleanData[YearsAtCompany],348)&lt;=10,8,3)))</f>
        <v>25</v>
      </c>
      <c r="N356">
        <f t="shared" si="10"/>
        <v>53</v>
      </c>
      <c r="O356" t="str">
        <f t="shared" si="11"/>
        <v>Medium Risk</v>
      </c>
    </row>
    <row r="357" spans="1:15" x14ac:dyDescent="0.25">
      <c r="A357">
        <f>INDEX(tblCleanData[EmployeeNumber],349)</f>
        <v>468</v>
      </c>
      <c r="B357" t="str">
        <f>IF(INDEX(tblCleanData[Age],349)&lt;30,"Under 30",IF(INDEX(tblCleanData[Age],349)&lt;40,"30-39",IF(INDEX(tblCleanData[Age],349)&lt;50,"40-49","50+")))</f>
        <v>40-49</v>
      </c>
      <c r="C357" t="str">
        <f>IF(INDEX(tblCleanData[MonthlyIncome],349)&lt;=$B$3,"Low Income",IF(INDEX(tblCleanData[MonthlyIncome],349)&lt;=$B$4,"Medium Income","High Income"))</f>
        <v>High Income</v>
      </c>
      <c r="D357">
        <f>IF(INDEX(tblCleanData[Attrition],349)="Yes",1,0)</f>
        <v>0</v>
      </c>
      <c r="E357">
        <f>IF(INDEX(tblCleanData[OverTime],349)="Yes",1,0)</f>
        <v>0</v>
      </c>
      <c r="F357" t="str">
        <f>CHOOSE(INDEX(tblCleanData[Education],349),"Below College","College","Bachelor","Master","Doctor")</f>
        <v>Doctor</v>
      </c>
      <c r="G357" t="str">
        <f>IF(INDEX(tblCleanData[YearsAtCompany],349)&lt;=2,"0-2 Years",IF(INDEX(tblCleanData[YearsAtCompany],349)&lt;=5,"3-5 Years",IF(INDEX(tblCleanData[YearsAtCompany],349)&lt;=10,"6-10 Years","10+ Years")))</f>
        <v>0-2 Years</v>
      </c>
      <c r="H357" t="str">
        <f>IF(INDEX(tblCleanData[WorkLifeBalance],349)&lt;=2,"Elevated","Normal")</f>
        <v>Normal</v>
      </c>
      <c r="I357">
        <f>IF(INDEX(tblCleanData[Age],349)&lt;30,30,IF(INDEX(tblCleanData[Age],349)&lt;40,20,IF(INDEX(tblCleanData[Age],349)&lt;50,10,15)))</f>
        <v>10</v>
      </c>
      <c r="J357">
        <f>IF(INDEX(tblCleanData[MonthlyIncome],349)&lt;=$B$3,25,IF(INDEX(tblCleanData[MonthlyIncome],349)&lt;=$B$4,12,5))</f>
        <v>5</v>
      </c>
      <c r="K357">
        <f>IF(INDEX(tblCleanData[OverTime],349)="Yes",25,0)</f>
        <v>0</v>
      </c>
      <c r="L357">
        <f>(5-INDEX(tblCleanData[JobSatisfaction],349))*6.25</f>
        <v>6.25</v>
      </c>
      <c r="M357">
        <f>IF(INDEX(tblCleanData[YearsAtCompany],349)&lt;=2,25,IF(INDEX(tblCleanData[YearsAtCompany],349)&lt;=5,15,IF(INDEX(tblCleanData[YearsAtCompany],349)&lt;=10,8,3)))</f>
        <v>25</v>
      </c>
      <c r="N357">
        <f t="shared" si="10"/>
        <v>46</v>
      </c>
      <c r="O357" t="str">
        <f t="shared" si="11"/>
        <v>Medium Risk</v>
      </c>
    </row>
    <row r="358" spans="1:15" x14ac:dyDescent="0.25">
      <c r="A358">
        <f>INDEX(tblCleanData[EmployeeNumber],350)</f>
        <v>469</v>
      </c>
      <c r="B358" t="str">
        <f>IF(INDEX(tblCleanData[Age],350)&lt;30,"Under 30",IF(INDEX(tblCleanData[Age],350)&lt;40,"30-39",IF(INDEX(tblCleanData[Age],350)&lt;50,"40-49","50+")))</f>
        <v>Under 30</v>
      </c>
      <c r="C358" t="str">
        <f>IF(INDEX(tblCleanData[MonthlyIncome],350)&lt;=$B$3,"Low Income",IF(INDEX(tblCleanData[MonthlyIncome],350)&lt;=$B$4,"Medium Income","High Income"))</f>
        <v>High Income</v>
      </c>
      <c r="D358">
        <f>IF(INDEX(tblCleanData[Attrition],350)="Yes",1,0)</f>
        <v>0</v>
      </c>
      <c r="E358">
        <f>IF(INDEX(tblCleanData[OverTime],350)="Yes",1,0)</f>
        <v>0</v>
      </c>
      <c r="F358" t="str">
        <f>CHOOSE(INDEX(tblCleanData[Education],350),"Below College","College","Bachelor","Master","Doctor")</f>
        <v>Bachelor</v>
      </c>
      <c r="G358" t="str">
        <f>IF(INDEX(tblCleanData[YearsAtCompany],350)&lt;=2,"0-2 Years",IF(INDEX(tblCleanData[YearsAtCompany],350)&lt;=5,"3-5 Years",IF(INDEX(tblCleanData[YearsAtCompany],350)&lt;=10,"6-10 Years","10+ Years")))</f>
        <v>3-5 Years</v>
      </c>
      <c r="H358" t="str">
        <f>IF(INDEX(tblCleanData[WorkLifeBalance],350)&lt;=2,"Elevated","Normal")</f>
        <v>Elevated</v>
      </c>
      <c r="I358">
        <f>IF(INDEX(tblCleanData[Age],350)&lt;30,30,IF(INDEX(tblCleanData[Age],350)&lt;40,20,IF(INDEX(tblCleanData[Age],350)&lt;50,10,15)))</f>
        <v>30</v>
      </c>
      <c r="J358">
        <f>IF(INDEX(tblCleanData[MonthlyIncome],350)&lt;=$B$3,25,IF(INDEX(tblCleanData[MonthlyIncome],350)&lt;=$B$4,12,5))</f>
        <v>5</v>
      </c>
      <c r="K358">
        <f>IF(INDEX(tblCleanData[OverTime],350)="Yes",25,0)</f>
        <v>0</v>
      </c>
      <c r="L358">
        <f>(5-INDEX(tblCleanData[JobSatisfaction],350))*6.25</f>
        <v>12.5</v>
      </c>
      <c r="M358">
        <f>IF(INDEX(tblCleanData[YearsAtCompany],350)&lt;=2,25,IF(INDEX(tblCleanData[YearsAtCompany],350)&lt;=5,15,IF(INDEX(tblCleanData[YearsAtCompany],350)&lt;=10,8,3)))</f>
        <v>15</v>
      </c>
      <c r="N358">
        <f t="shared" si="10"/>
        <v>63</v>
      </c>
      <c r="O358" t="str">
        <f t="shared" si="11"/>
        <v>High Risk</v>
      </c>
    </row>
    <row r="359" spans="1:15" x14ac:dyDescent="0.25">
      <c r="A359">
        <f>INDEX(tblCleanData[EmployeeNumber],351)</f>
        <v>470</v>
      </c>
      <c r="B359" t="str">
        <f>IF(INDEX(tblCleanData[Age],351)&lt;30,"Under 30",IF(INDEX(tblCleanData[Age],351)&lt;40,"30-39",IF(INDEX(tblCleanData[Age],351)&lt;50,"40-49","50+")))</f>
        <v>40-49</v>
      </c>
      <c r="C359" t="str">
        <f>IF(INDEX(tblCleanData[MonthlyIncome],351)&lt;=$B$3,"Low Income",IF(INDEX(tblCleanData[MonthlyIncome],351)&lt;=$B$4,"Medium Income","High Income"))</f>
        <v>High Income</v>
      </c>
      <c r="D359">
        <f>IF(INDEX(tblCleanData[Attrition],351)="Yes",1,0)</f>
        <v>0</v>
      </c>
      <c r="E359">
        <f>IF(INDEX(tblCleanData[OverTime],351)="Yes",1,0)</f>
        <v>1</v>
      </c>
      <c r="F359" t="str">
        <f>CHOOSE(INDEX(tblCleanData[Education],351),"Below College","College","Bachelor","Master","Doctor")</f>
        <v>Below College</v>
      </c>
      <c r="G359" t="str">
        <f>IF(INDEX(tblCleanData[YearsAtCompany],351)&lt;=2,"0-2 Years",IF(INDEX(tblCleanData[YearsAtCompany],351)&lt;=5,"3-5 Years",IF(INDEX(tblCleanData[YearsAtCompany],351)&lt;=10,"6-10 Years","10+ Years")))</f>
        <v>3-5 Years</v>
      </c>
      <c r="H359" t="str">
        <f>IF(INDEX(tblCleanData[WorkLifeBalance],351)&lt;=2,"Elevated","Normal")</f>
        <v>Normal</v>
      </c>
      <c r="I359">
        <f>IF(INDEX(tblCleanData[Age],351)&lt;30,30,IF(INDEX(tblCleanData[Age],351)&lt;40,20,IF(INDEX(tblCleanData[Age],351)&lt;50,10,15)))</f>
        <v>10</v>
      </c>
      <c r="J359">
        <f>IF(INDEX(tblCleanData[MonthlyIncome],351)&lt;=$B$3,25,IF(INDEX(tblCleanData[MonthlyIncome],351)&lt;=$B$4,12,5))</f>
        <v>5</v>
      </c>
      <c r="K359">
        <f>IF(INDEX(tblCleanData[OverTime],351)="Yes",25,0)</f>
        <v>25</v>
      </c>
      <c r="L359">
        <f>(5-INDEX(tblCleanData[JobSatisfaction],351))*6.25</f>
        <v>12.5</v>
      </c>
      <c r="M359">
        <f>IF(INDEX(tblCleanData[YearsAtCompany],351)&lt;=2,25,IF(INDEX(tblCleanData[YearsAtCompany],351)&lt;=5,15,IF(INDEX(tblCleanData[YearsAtCompany],351)&lt;=10,8,3)))</f>
        <v>15</v>
      </c>
      <c r="N359">
        <f t="shared" si="10"/>
        <v>68</v>
      </c>
      <c r="O359" t="str">
        <f t="shared" si="11"/>
        <v>High Risk</v>
      </c>
    </row>
    <row r="360" spans="1:15" x14ac:dyDescent="0.25">
      <c r="A360">
        <f>INDEX(tblCleanData[EmployeeNumber],352)</f>
        <v>471</v>
      </c>
      <c r="B360" t="str">
        <f>IF(INDEX(tblCleanData[Age],352)&lt;30,"Under 30",IF(INDEX(tblCleanData[Age],352)&lt;40,"30-39",IF(INDEX(tblCleanData[Age],352)&lt;50,"40-49","50+")))</f>
        <v>30-39</v>
      </c>
      <c r="C360" t="str">
        <f>IF(INDEX(tblCleanData[MonthlyIncome],352)&lt;=$B$3,"Low Income",IF(INDEX(tblCleanData[MonthlyIncome],352)&lt;=$B$4,"Medium Income","High Income"))</f>
        <v>High Income</v>
      </c>
      <c r="D360">
        <f>IF(INDEX(tblCleanData[Attrition],352)="Yes",1,0)</f>
        <v>0</v>
      </c>
      <c r="E360">
        <f>IF(INDEX(tblCleanData[OverTime],352)="Yes",1,0)</f>
        <v>0</v>
      </c>
      <c r="F360" t="str">
        <f>CHOOSE(INDEX(tblCleanData[Education],352),"Below College","College","Bachelor","Master","Doctor")</f>
        <v>Bachelor</v>
      </c>
      <c r="G360" t="str">
        <f>IF(INDEX(tblCleanData[YearsAtCompany],352)&lt;=2,"0-2 Years",IF(INDEX(tblCleanData[YearsAtCompany],352)&lt;=5,"3-5 Years",IF(INDEX(tblCleanData[YearsAtCompany],352)&lt;=10,"6-10 Years","10+ Years")))</f>
        <v>6-10 Years</v>
      </c>
      <c r="H360" t="str">
        <f>IF(INDEX(tblCleanData[WorkLifeBalance],352)&lt;=2,"Elevated","Normal")</f>
        <v>Normal</v>
      </c>
      <c r="I360">
        <f>IF(INDEX(tblCleanData[Age],352)&lt;30,30,IF(INDEX(tblCleanData[Age],352)&lt;40,20,IF(INDEX(tblCleanData[Age],352)&lt;50,10,15)))</f>
        <v>20</v>
      </c>
      <c r="J360">
        <f>IF(INDEX(tblCleanData[MonthlyIncome],352)&lt;=$B$3,25,IF(INDEX(tblCleanData[MonthlyIncome],352)&lt;=$B$4,12,5))</f>
        <v>5</v>
      </c>
      <c r="K360">
        <f>IF(INDEX(tblCleanData[OverTime],352)="Yes",25,0)</f>
        <v>0</v>
      </c>
      <c r="L360">
        <f>(5-INDEX(tblCleanData[JobSatisfaction],352))*6.25</f>
        <v>18.75</v>
      </c>
      <c r="M360">
        <f>IF(INDEX(tblCleanData[YearsAtCompany],352)&lt;=2,25,IF(INDEX(tblCleanData[YearsAtCompany],352)&lt;=5,15,IF(INDEX(tblCleanData[YearsAtCompany],352)&lt;=10,8,3)))</f>
        <v>8</v>
      </c>
      <c r="N360">
        <f t="shared" si="10"/>
        <v>52</v>
      </c>
      <c r="O360" t="str">
        <f t="shared" si="11"/>
        <v>Medium Risk</v>
      </c>
    </row>
    <row r="361" spans="1:15" x14ac:dyDescent="0.25">
      <c r="A361">
        <f>INDEX(tblCleanData[EmployeeNumber],353)</f>
        <v>473</v>
      </c>
      <c r="B361" t="str">
        <f>IF(INDEX(tblCleanData[Age],353)&lt;30,"Under 30",IF(INDEX(tblCleanData[Age],353)&lt;40,"30-39",IF(INDEX(tblCleanData[Age],353)&lt;50,"40-49","50+")))</f>
        <v>40-49</v>
      </c>
      <c r="C361" t="str">
        <f>IF(INDEX(tblCleanData[MonthlyIncome],353)&lt;=$B$3,"Low Income",IF(INDEX(tblCleanData[MonthlyIncome],353)&lt;=$B$4,"Medium Income","High Income"))</f>
        <v>High Income</v>
      </c>
      <c r="D361">
        <f>IF(INDEX(tblCleanData[Attrition],353)="Yes",1,0)</f>
        <v>0</v>
      </c>
      <c r="E361">
        <f>IF(INDEX(tblCleanData[OverTime],353)="Yes",1,0)</f>
        <v>0</v>
      </c>
      <c r="F361" t="str">
        <f>CHOOSE(INDEX(tblCleanData[Education],353),"Below College","College","Bachelor","Master","Doctor")</f>
        <v>Below College</v>
      </c>
      <c r="G361" t="str">
        <f>IF(INDEX(tblCleanData[YearsAtCompany],353)&lt;=2,"0-2 Years",IF(INDEX(tblCleanData[YearsAtCompany],353)&lt;=5,"3-5 Years",IF(INDEX(tblCleanData[YearsAtCompany],353)&lt;=10,"6-10 Years","10+ Years")))</f>
        <v>0-2 Years</v>
      </c>
      <c r="H361" t="str">
        <f>IF(INDEX(tblCleanData[WorkLifeBalance],353)&lt;=2,"Elevated","Normal")</f>
        <v>Elevated</v>
      </c>
      <c r="I361">
        <f>IF(INDEX(tblCleanData[Age],353)&lt;30,30,IF(INDEX(tblCleanData[Age],353)&lt;40,20,IF(INDEX(tblCleanData[Age],353)&lt;50,10,15)))</f>
        <v>10</v>
      </c>
      <c r="J361">
        <f>IF(INDEX(tblCleanData[MonthlyIncome],353)&lt;=$B$3,25,IF(INDEX(tblCleanData[MonthlyIncome],353)&lt;=$B$4,12,5))</f>
        <v>5</v>
      </c>
      <c r="K361">
        <f>IF(INDEX(tblCleanData[OverTime],353)="Yes",25,0)</f>
        <v>0</v>
      </c>
      <c r="L361">
        <f>(5-INDEX(tblCleanData[JobSatisfaction],353))*6.25</f>
        <v>12.5</v>
      </c>
      <c r="M361">
        <f>IF(INDEX(tblCleanData[YearsAtCompany],353)&lt;=2,25,IF(INDEX(tblCleanData[YearsAtCompany],353)&lt;=5,15,IF(INDEX(tblCleanData[YearsAtCompany],353)&lt;=10,8,3)))</f>
        <v>25</v>
      </c>
      <c r="N361">
        <f t="shared" si="10"/>
        <v>53</v>
      </c>
      <c r="O361" t="str">
        <f t="shared" si="11"/>
        <v>Medium Risk</v>
      </c>
    </row>
    <row r="362" spans="1:15" x14ac:dyDescent="0.25">
      <c r="A362">
        <f>INDEX(tblCleanData[EmployeeNumber],354)</f>
        <v>474</v>
      </c>
      <c r="B362" t="str">
        <f>IF(INDEX(tblCleanData[Age],354)&lt;30,"Under 30",IF(INDEX(tblCleanData[Age],354)&lt;40,"30-39",IF(INDEX(tblCleanData[Age],354)&lt;50,"40-49","50+")))</f>
        <v>30-39</v>
      </c>
      <c r="C362" t="str">
        <f>IF(INDEX(tblCleanData[MonthlyIncome],354)&lt;=$B$3,"Low Income",IF(INDEX(tblCleanData[MonthlyIncome],354)&lt;=$B$4,"Medium Income","High Income"))</f>
        <v>High Income</v>
      </c>
      <c r="D362">
        <f>IF(INDEX(tblCleanData[Attrition],354)="Yes",1,0)</f>
        <v>0</v>
      </c>
      <c r="E362">
        <f>IF(INDEX(tblCleanData[OverTime],354)="Yes",1,0)</f>
        <v>1</v>
      </c>
      <c r="F362" t="str">
        <f>CHOOSE(INDEX(tblCleanData[Education],354),"Below College","College","Bachelor","Master","Doctor")</f>
        <v>Bachelor</v>
      </c>
      <c r="G362" t="str">
        <f>IF(INDEX(tblCleanData[YearsAtCompany],354)&lt;=2,"0-2 Years",IF(INDEX(tblCleanData[YearsAtCompany],354)&lt;=5,"3-5 Years",IF(INDEX(tblCleanData[YearsAtCompany],354)&lt;=10,"6-10 Years","10+ Years")))</f>
        <v>6-10 Years</v>
      </c>
      <c r="H362" t="str">
        <f>IF(INDEX(tblCleanData[WorkLifeBalance],354)&lt;=2,"Elevated","Normal")</f>
        <v>Normal</v>
      </c>
      <c r="I362">
        <f>IF(INDEX(tblCleanData[Age],354)&lt;30,30,IF(INDEX(tblCleanData[Age],354)&lt;40,20,IF(INDEX(tblCleanData[Age],354)&lt;50,10,15)))</f>
        <v>20</v>
      </c>
      <c r="J362">
        <f>IF(INDEX(tblCleanData[MonthlyIncome],354)&lt;=$B$3,25,IF(INDEX(tblCleanData[MonthlyIncome],354)&lt;=$B$4,12,5))</f>
        <v>5</v>
      </c>
      <c r="K362">
        <f>IF(INDEX(tblCleanData[OverTime],354)="Yes",25,0)</f>
        <v>25</v>
      </c>
      <c r="L362">
        <f>(5-INDEX(tblCleanData[JobSatisfaction],354))*6.25</f>
        <v>25</v>
      </c>
      <c r="M362">
        <f>IF(INDEX(tblCleanData[YearsAtCompany],354)&lt;=2,25,IF(INDEX(tblCleanData[YearsAtCompany],354)&lt;=5,15,IF(INDEX(tblCleanData[YearsAtCompany],354)&lt;=10,8,3)))</f>
        <v>8</v>
      </c>
      <c r="N362">
        <f t="shared" si="10"/>
        <v>83</v>
      </c>
      <c r="O362" t="str">
        <f t="shared" si="11"/>
        <v>High Risk</v>
      </c>
    </row>
    <row r="363" spans="1:15" x14ac:dyDescent="0.25">
      <c r="A363">
        <f>INDEX(tblCleanData[EmployeeNumber],355)</f>
        <v>475</v>
      </c>
      <c r="B363" t="str">
        <f>IF(INDEX(tblCleanData[Age],355)&lt;30,"Under 30",IF(INDEX(tblCleanData[Age],355)&lt;40,"30-39",IF(INDEX(tblCleanData[Age],355)&lt;50,"40-49","50+")))</f>
        <v>30-39</v>
      </c>
      <c r="C363" t="str">
        <f>IF(INDEX(tblCleanData[MonthlyIncome],355)&lt;=$B$3,"Low Income",IF(INDEX(tblCleanData[MonthlyIncome],355)&lt;=$B$4,"Medium Income","High Income"))</f>
        <v>High Income</v>
      </c>
      <c r="D363">
        <f>IF(INDEX(tblCleanData[Attrition],355)="Yes",1,0)</f>
        <v>0</v>
      </c>
      <c r="E363">
        <f>IF(INDEX(tblCleanData[OverTime],355)="Yes",1,0)</f>
        <v>1</v>
      </c>
      <c r="F363" t="str">
        <f>CHOOSE(INDEX(tblCleanData[Education],355),"Below College","College","Bachelor","Master","Doctor")</f>
        <v>College</v>
      </c>
      <c r="G363" t="str">
        <f>IF(INDEX(tblCleanData[YearsAtCompany],355)&lt;=2,"0-2 Years",IF(INDEX(tblCleanData[YearsAtCompany],355)&lt;=5,"3-5 Years",IF(INDEX(tblCleanData[YearsAtCompany],355)&lt;=10,"6-10 Years","10+ Years")))</f>
        <v>0-2 Years</v>
      </c>
      <c r="H363" t="str">
        <f>IF(INDEX(tblCleanData[WorkLifeBalance],355)&lt;=2,"Elevated","Normal")</f>
        <v>Normal</v>
      </c>
      <c r="I363">
        <f>IF(INDEX(tblCleanData[Age],355)&lt;30,30,IF(INDEX(tblCleanData[Age],355)&lt;40,20,IF(INDEX(tblCleanData[Age],355)&lt;50,10,15)))</f>
        <v>20</v>
      </c>
      <c r="J363">
        <f>IF(INDEX(tblCleanData[MonthlyIncome],355)&lt;=$B$3,25,IF(INDEX(tblCleanData[MonthlyIncome],355)&lt;=$B$4,12,5))</f>
        <v>5</v>
      </c>
      <c r="K363">
        <f>IF(INDEX(tblCleanData[OverTime],355)="Yes",25,0)</f>
        <v>25</v>
      </c>
      <c r="L363">
        <f>(5-INDEX(tblCleanData[JobSatisfaction],355))*6.25</f>
        <v>12.5</v>
      </c>
      <c r="M363">
        <f>IF(INDEX(tblCleanData[YearsAtCompany],355)&lt;=2,25,IF(INDEX(tblCleanData[YearsAtCompany],355)&lt;=5,15,IF(INDEX(tblCleanData[YearsAtCompany],355)&lt;=10,8,3)))</f>
        <v>25</v>
      </c>
      <c r="N363">
        <f t="shared" si="10"/>
        <v>88</v>
      </c>
      <c r="O363" t="str">
        <f t="shared" si="11"/>
        <v>High Risk</v>
      </c>
    </row>
    <row r="364" spans="1:15" x14ac:dyDescent="0.25">
      <c r="A364">
        <f>INDEX(tblCleanData[EmployeeNumber],356)</f>
        <v>476</v>
      </c>
      <c r="B364" t="str">
        <f>IF(INDEX(tblCleanData[Age],356)&lt;30,"Under 30",IF(INDEX(tblCleanData[Age],356)&lt;40,"30-39",IF(INDEX(tblCleanData[Age],356)&lt;50,"40-49","50+")))</f>
        <v>Under 30</v>
      </c>
      <c r="C364" t="str">
        <f>IF(INDEX(tblCleanData[MonthlyIncome],356)&lt;=$B$3,"Low Income",IF(INDEX(tblCleanData[MonthlyIncome],356)&lt;=$B$4,"Medium Income","High Income"))</f>
        <v>High Income</v>
      </c>
      <c r="D364">
        <f>IF(INDEX(tblCleanData[Attrition],356)="Yes",1,0)</f>
        <v>0</v>
      </c>
      <c r="E364">
        <f>IF(INDEX(tblCleanData[OverTime],356)="Yes",1,0)</f>
        <v>0</v>
      </c>
      <c r="F364" t="str">
        <f>CHOOSE(INDEX(tblCleanData[Education],356),"Below College","College","Bachelor","Master","Doctor")</f>
        <v>Bachelor</v>
      </c>
      <c r="G364" t="str">
        <f>IF(INDEX(tblCleanData[YearsAtCompany],356)&lt;=2,"0-2 Years",IF(INDEX(tblCleanData[YearsAtCompany],356)&lt;=5,"3-5 Years",IF(INDEX(tblCleanData[YearsAtCompany],356)&lt;=10,"6-10 Years","10+ Years")))</f>
        <v>6-10 Years</v>
      </c>
      <c r="H364" t="str">
        <f>IF(INDEX(tblCleanData[WorkLifeBalance],356)&lt;=2,"Elevated","Normal")</f>
        <v>Normal</v>
      </c>
      <c r="I364">
        <f>IF(INDEX(tblCleanData[Age],356)&lt;30,30,IF(INDEX(tblCleanData[Age],356)&lt;40,20,IF(INDEX(tblCleanData[Age],356)&lt;50,10,15)))</f>
        <v>30</v>
      </c>
      <c r="J364">
        <f>IF(INDEX(tblCleanData[MonthlyIncome],356)&lt;=$B$3,25,IF(INDEX(tblCleanData[MonthlyIncome],356)&lt;=$B$4,12,5))</f>
        <v>5</v>
      </c>
      <c r="K364">
        <f>IF(INDEX(tblCleanData[OverTime],356)="Yes",25,0)</f>
        <v>0</v>
      </c>
      <c r="L364">
        <f>(5-INDEX(tblCleanData[JobSatisfaction],356))*6.25</f>
        <v>12.5</v>
      </c>
      <c r="M364">
        <f>IF(INDEX(tblCleanData[YearsAtCompany],356)&lt;=2,25,IF(INDEX(tblCleanData[YearsAtCompany],356)&lt;=5,15,IF(INDEX(tblCleanData[YearsAtCompany],356)&lt;=10,8,3)))</f>
        <v>8</v>
      </c>
      <c r="N364">
        <f t="shared" si="10"/>
        <v>56</v>
      </c>
      <c r="O364" t="str">
        <f t="shared" si="11"/>
        <v>High Risk</v>
      </c>
    </row>
    <row r="365" spans="1:15" x14ac:dyDescent="0.25">
      <c r="A365">
        <f>INDEX(tblCleanData[EmployeeNumber],357)</f>
        <v>477</v>
      </c>
      <c r="B365" t="str">
        <f>IF(INDEX(tblCleanData[Age],357)&lt;30,"Under 30",IF(INDEX(tblCleanData[Age],357)&lt;40,"30-39",IF(INDEX(tblCleanData[Age],357)&lt;50,"40-49","50+")))</f>
        <v>40-49</v>
      </c>
      <c r="C365" t="str">
        <f>IF(INDEX(tblCleanData[MonthlyIncome],357)&lt;=$B$3,"Low Income",IF(INDEX(tblCleanData[MonthlyIncome],357)&lt;=$B$4,"Medium Income","High Income"))</f>
        <v>High Income</v>
      </c>
      <c r="D365">
        <f>IF(INDEX(tblCleanData[Attrition],357)="Yes",1,0)</f>
        <v>0</v>
      </c>
      <c r="E365">
        <f>IF(INDEX(tblCleanData[OverTime],357)="Yes",1,0)</f>
        <v>0</v>
      </c>
      <c r="F365" t="str">
        <f>CHOOSE(INDEX(tblCleanData[Education],357),"Below College","College","Bachelor","Master","Doctor")</f>
        <v>Master</v>
      </c>
      <c r="G365" t="str">
        <f>IF(INDEX(tblCleanData[YearsAtCompany],357)&lt;=2,"0-2 Years",IF(INDEX(tblCleanData[YearsAtCompany],357)&lt;=5,"3-5 Years",IF(INDEX(tblCleanData[YearsAtCompany],357)&lt;=10,"6-10 Years","10+ Years")))</f>
        <v>0-2 Years</v>
      </c>
      <c r="H365" t="str">
        <f>IF(INDEX(tblCleanData[WorkLifeBalance],357)&lt;=2,"Elevated","Normal")</f>
        <v>Normal</v>
      </c>
      <c r="I365">
        <f>IF(INDEX(tblCleanData[Age],357)&lt;30,30,IF(INDEX(tblCleanData[Age],357)&lt;40,20,IF(INDEX(tblCleanData[Age],357)&lt;50,10,15)))</f>
        <v>10</v>
      </c>
      <c r="J365">
        <f>IF(INDEX(tblCleanData[MonthlyIncome],357)&lt;=$B$3,25,IF(INDEX(tblCleanData[MonthlyIncome],357)&lt;=$B$4,12,5))</f>
        <v>5</v>
      </c>
      <c r="K365">
        <f>IF(INDEX(tblCleanData[OverTime],357)="Yes",25,0)</f>
        <v>0</v>
      </c>
      <c r="L365">
        <f>(5-INDEX(tblCleanData[JobSatisfaction],357))*6.25</f>
        <v>6.25</v>
      </c>
      <c r="M365">
        <f>IF(INDEX(tblCleanData[YearsAtCompany],357)&lt;=2,25,IF(INDEX(tblCleanData[YearsAtCompany],357)&lt;=5,15,IF(INDEX(tblCleanData[YearsAtCompany],357)&lt;=10,8,3)))</f>
        <v>25</v>
      </c>
      <c r="N365">
        <f t="shared" si="10"/>
        <v>46</v>
      </c>
      <c r="O365" t="str">
        <f t="shared" si="11"/>
        <v>Medium Risk</v>
      </c>
    </row>
    <row r="366" spans="1:15" x14ac:dyDescent="0.25">
      <c r="A366">
        <f>INDEX(tblCleanData[EmployeeNumber],358)</f>
        <v>478</v>
      </c>
      <c r="B366" t="str">
        <f>IF(INDEX(tblCleanData[Age],358)&lt;30,"Under 30",IF(INDEX(tblCleanData[Age],358)&lt;40,"30-39",IF(INDEX(tblCleanData[Age],358)&lt;50,"40-49","50+")))</f>
        <v>Under 30</v>
      </c>
      <c r="C366" t="str">
        <f>IF(INDEX(tblCleanData[MonthlyIncome],358)&lt;=$B$3,"Low Income",IF(INDEX(tblCleanData[MonthlyIncome],358)&lt;=$B$4,"Medium Income","High Income"))</f>
        <v>High Income</v>
      </c>
      <c r="D366">
        <f>IF(INDEX(tblCleanData[Attrition],358)="Yes",1,0)</f>
        <v>1</v>
      </c>
      <c r="E366">
        <f>IF(INDEX(tblCleanData[OverTime],358)="Yes",1,0)</f>
        <v>1</v>
      </c>
      <c r="F366" t="str">
        <f>CHOOSE(INDEX(tblCleanData[Education],358),"Below College","College","Bachelor","Master","Doctor")</f>
        <v>Below College</v>
      </c>
      <c r="G366" t="str">
        <f>IF(INDEX(tblCleanData[YearsAtCompany],358)&lt;=2,"0-2 Years",IF(INDEX(tblCleanData[YearsAtCompany],358)&lt;=5,"3-5 Years",IF(INDEX(tblCleanData[YearsAtCompany],358)&lt;=10,"6-10 Years","10+ Years")))</f>
        <v>3-5 Years</v>
      </c>
      <c r="H366" t="str">
        <f>IF(INDEX(tblCleanData[WorkLifeBalance],358)&lt;=2,"Elevated","Normal")</f>
        <v>Normal</v>
      </c>
      <c r="I366">
        <f>IF(INDEX(tblCleanData[Age],358)&lt;30,30,IF(INDEX(tblCleanData[Age],358)&lt;40,20,IF(INDEX(tblCleanData[Age],358)&lt;50,10,15)))</f>
        <v>30</v>
      </c>
      <c r="J366">
        <f>IF(INDEX(tblCleanData[MonthlyIncome],358)&lt;=$B$3,25,IF(INDEX(tblCleanData[MonthlyIncome],358)&lt;=$B$4,12,5))</f>
        <v>5</v>
      </c>
      <c r="K366">
        <f>IF(INDEX(tblCleanData[OverTime],358)="Yes",25,0)</f>
        <v>25</v>
      </c>
      <c r="L366">
        <f>(5-INDEX(tblCleanData[JobSatisfaction],358))*6.25</f>
        <v>18.75</v>
      </c>
      <c r="M366">
        <f>IF(INDEX(tblCleanData[YearsAtCompany],358)&lt;=2,25,IF(INDEX(tblCleanData[YearsAtCompany],358)&lt;=5,15,IF(INDEX(tblCleanData[YearsAtCompany],358)&lt;=10,8,3)))</f>
        <v>15</v>
      </c>
      <c r="N366">
        <f t="shared" si="10"/>
        <v>94</v>
      </c>
      <c r="O366" t="str">
        <f t="shared" si="11"/>
        <v>High Risk</v>
      </c>
    </row>
    <row r="367" spans="1:15" x14ac:dyDescent="0.25">
      <c r="A367">
        <f>INDEX(tblCleanData[EmployeeNumber],359)</f>
        <v>479</v>
      </c>
      <c r="B367" t="str">
        <f>IF(INDEX(tblCleanData[Age],359)&lt;30,"Under 30",IF(INDEX(tblCleanData[Age],359)&lt;40,"30-39",IF(INDEX(tblCleanData[Age],359)&lt;50,"40-49","50+")))</f>
        <v>30-39</v>
      </c>
      <c r="C367" t="str">
        <f>IF(INDEX(tblCleanData[MonthlyIncome],359)&lt;=$B$3,"Low Income",IF(INDEX(tblCleanData[MonthlyIncome],359)&lt;=$B$4,"Medium Income","High Income"))</f>
        <v>High Income</v>
      </c>
      <c r="D367">
        <f>IF(INDEX(tblCleanData[Attrition],359)="Yes",1,0)</f>
        <v>0</v>
      </c>
      <c r="E367">
        <f>IF(INDEX(tblCleanData[OverTime],359)="Yes",1,0)</f>
        <v>0</v>
      </c>
      <c r="F367" t="str">
        <f>CHOOSE(INDEX(tblCleanData[Education],359),"Below College","College","Bachelor","Master","Doctor")</f>
        <v>Doctor</v>
      </c>
      <c r="G367" t="str">
        <f>IF(INDEX(tblCleanData[YearsAtCompany],359)&lt;=2,"0-2 Years",IF(INDEX(tblCleanData[YearsAtCompany],359)&lt;=5,"3-5 Years",IF(INDEX(tblCleanData[YearsAtCompany],359)&lt;=10,"6-10 Years","10+ Years")))</f>
        <v>0-2 Years</v>
      </c>
      <c r="H367" t="str">
        <f>IF(INDEX(tblCleanData[WorkLifeBalance],359)&lt;=2,"Elevated","Normal")</f>
        <v>Normal</v>
      </c>
      <c r="I367">
        <f>IF(INDEX(tblCleanData[Age],359)&lt;30,30,IF(INDEX(tblCleanData[Age],359)&lt;40,20,IF(INDEX(tblCleanData[Age],359)&lt;50,10,15)))</f>
        <v>20</v>
      </c>
      <c r="J367">
        <f>IF(INDEX(tblCleanData[MonthlyIncome],359)&lt;=$B$3,25,IF(INDEX(tblCleanData[MonthlyIncome],359)&lt;=$B$4,12,5))</f>
        <v>5</v>
      </c>
      <c r="K367">
        <f>IF(INDEX(tblCleanData[OverTime],359)="Yes",25,0)</f>
        <v>0</v>
      </c>
      <c r="L367">
        <f>(5-INDEX(tblCleanData[JobSatisfaction],359))*6.25</f>
        <v>6.25</v>
      </c>
      <c r="M367">
        <f>IF(INDEX(tblCleanData[YearsAtCompany],359)&lt;=2,25,IF(INDEX(tblCleanData[YearsAtCompany],359)&lt;=5,15,IF(INDEX(tblCleanData[YearsAtCompany],359)&lt;=10,8,3)))</f>
        <v>25</v>
      </c>
      <c r="N367">
        <f t="shared" si="10"/>
        <v>56</v>
      </c>
      <c r="O367" t="str">
        <f t="shared" si="11"/>
        <v>High Risk</v>
      </c>
    </row>
    <row r="368" spans="1:15" x14ac:dyDescent="0.25">
      <c r="A368">
        <f>INDEX(tblCleanData[EmployeeNumber],360)</f>
        <v>481</v>
      </c>
      <c r="B368" t="str">
        <f>IF(INDEX(tblCleanData[Age],360)&lt;30,"Under 30",IF(INDEX(tblCleanData[Age],360)&lt;40,"30-39",IF(INDEX(tblCleanData[Age],360)&lt;50,"40-49","50+")))</f>
        <v>30-39</v>
      </c>
      <c r="C368" t="str">
        <f>IF(INDEX(tblCleanData[MonthlyIncome],360)&lt;=$B$3,"Low Income",IF(INDEX(tblCleanData[MonthlyIncome],360)&lt;=$B$4,"Medium Income","High Income"))</f>
        <v>High Income</v>
      </c>
      <c r="D368">
        <f>IF(INDEX(tblCleanData[Attrition],360)="Yes",1,0)</f>
        <v>0</v>
      </c>
      <c r="E368">
        <f>IF(INDEX(tblCleanData[OverTime],360)="Yes",1,0)</f>
        <v>0</v>
      </c>
      <c r="F368" t="str">
        <f>CHOOSE(INDEX(tblCleanData[Education],360),"Below College","College","Bachelor","Master","Doctor")</f>
        <v>Master</v>
      </c>
      <c r="G368" t="str">
        <f>IF(INDEX(tblCleanData[YearsAtCompany],360)&lt;=2,"0-2 Years",IF(INDEX(tblCleanData[YearsAtCompany],360)&lt;=5,"3-5 Years",IF(INDEX(tblCleanData[YearsAtCompany],360)&lt;=10,"6-10 Years","10+ Years")))</f>
        <v>10+ Years</v>
      </c>
      <c r="H368" t="str">
        <f>IF(INDEX(tblCleanData[WorkLifeBalance],360)&lt;=2,"Elevated","Normal")</f>
        <v>Normal</v>
      </c>
      <c r="I368">
        <f>IF(INDEX(tblCleanData[Age],360)&lt;30,30,IF(INDEX(tblCleanData[Age],360)&lt;40,20,IF(INDEX(tblCleanData[Age],360)&lt;50,10,15)))</f>
        <v>20</v>
      </c>
      <c r="J368">
        <f>IF(INDEX(tblCleanData[MonthlyIncome],360)&lt;=$B$3,25,IF(INDEX(tblCleanData[MonthlyIncome],360)&lt;=$B$4,12,5))</f>
        <v>5</v>
      </c>
      <c r="K368">
        <f>IF(INDEX(tblCleanData[OverTime],360)="Yes",25,0)</f>
        <v>0</v>
      </c>
      <c r="L368">
        <f>(5-INDEX(tblCleanData[JobSatisfaction],360))*6.25</f>
        <v>6.25</v>
      </c>
      <c r="M368">
        <f>IF(INDEX(tblCleanData[YearsAtCompany],360)&lt;=2,25,IF(INDEX(tblCleanData[YearsAtCompany],360)&lt;=5,15,IF(INDEX(tblCleanData[YearsAtCompany],360)&lt;=10,8,3)))</f>
        <v>3</v>
      </c>
      <c r="N368">
        <f t="shared" si="10"/>
        <v>34</v>
      </c>
      <c r="O368" t="str">
        <f t="shared" si="11"/>
        <v>Low Risk</v>
      </c>
    </row>
    <row r="369" spans="1:15" x14ac:dyDescent="0.25">
      <c r="A369">
        <f>INDEX(tblCleanData[EmployeeNumber],361)</f>
        <v>482</v>
      </c>
      <c r="B369" t="str">
        <f>IF(INDEX(tblCleanData[Age],361)&lt;30,"Under 30",IF(INDEX(tblCleanData[Age],361)&lt;40,"30-39",IF(INDEX(tblCleanData[Age],361)&lt;50,"40-49","50+")))</f>
        <v>50+</v>
      </c>
      <c r="C369" t="str">
        <f>IF(INDEX(tblCleanData[MonthlyIncome],361)&lt;=$B$3,"Low Income",IF(INDEX(tblCleanData[MonthlyIncome],361)&lt;=$B$4,"Medium Income","High Income"))</f>
        <v>High Income</v>
      </c>
      <c r="D369">
        <f>IF(INDEX(tblCleanData[Attrition],361)="Yes",1,0)</f>
        <v>0</v>
      </c>
      <c r="E369">
        <f>IF(INDEX(tblCleanData[OverTime],361)="Yes",1,0)</f>
        <v>0</v>
      </c>
      <c r="F369" t="str">
        <f>CHOOSE(INDEX(tblCleanData[Education],361),"Below College","College","Bachelor","Master","Doctor")</f>
        <v>Master</v>
      </c>
      <c r="G369" t="str">
        <f>IF(INDEX(tblCleanData[YearsAtCompany],361)&lt;=2,"0-2 Years",IF(INDEX(tblCleanData[YearsAtCompany],361)&lt;=5,"3-5 Years",IF(INDEX(tblCleanData[YearsAtCompany],361)&lt;=10,"6-10 Years","10+ Years")))</f>
        <v>3-5 Years</v>
      </c>
      <c r="H369" t="str">
        <f>IF(INDEX(tblCleanData[WorkLifeBalance],361)&lt;=2,"Elevated","Normal")</f>
        <v>Normal</v>
      </c>
      <c r="I369">
        <f>IF(INDEX(tblCleanData[Age],361)&lt;30,30,IF(INDEX(tblCleanData[Age],361)&lt;40,20,IF(INDEX(tblCleanData[Age],361)&lt;50,10,15)))</f>
        <v>15</v>
      </c>
      <c r="J369">
        <f>IF(INDEX(tblCleanData[MonthlyIncome],361)&lt;=$B$3,25,IF(INDEX(tblCleanData[MonthlyIncome],361)&lt;=$B$4,12,5))</f>
        <v>5</v>
      </c>
      <c r="K369">
        <f>IF(INDEX(tblCleanData[OverTime],361)="Yes",25,0)</f>
        <v>0</v>
      </c>
      <c r="L369">
        <f>(5-INDEX(tblCleanData[JobSatisfaction],361))*6.25</f>
        <v>12.5</v>
      </c>
      <c r="M369">
        <f>IF(INDEX(tblCleanData[YearsAtCompany],361)&lt;=2,25,IF(INDEX(tblCleanData[YearsAtCompany],361)&lt;=5,15,IF(INDEX(tblCleanData[YearsAtCompany],361)&lt;=10,8,3)))</f>
        <v>15</v>
      </c>
      <c r="N369">
        <f t="shared" si="10"/>
        <v>48</v>
      </c>
      <c r="O369" t="str">
        <f t="shared" si="11"/>
        <v>Medium Risk</v>
      </c>
    </row>
    <row r="370" spans="1:15" x14ac:dyDescent="0.25">
      <c r="A370">
        <f>INDEX(tblCleanData[EmployeeNumber],362)</f>
        <v>483</v>
      </c>
      <c r="B370" t="str">
        <f>IF(INDEX(tblCleanData[Age],362)&lt;30,"Under 30",IF(INDEX(tblCleanData[Age],362)&lt;40,"30-39",IF(INDEX(tblCleanData[Age],362)&lt;50,"40-49","50+")))</f>
        <v>40-49</v>
      </c>
      <c r="C370" t="str">
        <f>IF(INDEX(tblCleanData[MonthlyIncome],362)&lt;=$B$3,"Low Income",IF(INDEX(tblCleanData[MonthlyIncome],362)&lt;=$B$4,"Medium Income","High Income"))</f>
        <v>High Income</v>
      </c>
      <c r="D370">
        <f>IF(INDEX(tblCleanData[Attrition],362)="Yes",1,0)</f>
        <v>0</v>
      </c>
      <c r="E370">
        <f>IF(INDEX(tblCleanData[OverTime],362)="Yes",1,0)</f>
        <v>1</v>
      </c>
      <c r="F370" t="str">
        <f>CHOOSE(INDEX(tblCleanData[Education],362),"Below College","College","Bachelor","Master","Doctor")</f>
        <v>Master</v>
      </c>
      <c r="G370" t="str">
        <f>IF(INDEX(tblCleanData[YearsAtCompany],362)&lt;=2,"0-2 Years",IF(INDEX(tblCleanData[YearsAtCompany],362)&lt;=5,"3-5 Years",IF(INDEX(tblCleanData[YearsAtCompany],362)&lt;=10,"6-10 Years","10+ Years")))</f>
        <v>6-10 Years</v>
      </c>
      <c r="H370" t="str">
        <f>IF(INDEX(tblCleanData[WorkLifeBalance],362)&lt;=2,"Elevated","Normal")</f>
        <v>Normal</v>
      </c>
      <c r="I370">
        <f>IF(INDEX(tblCleanData[Age],362)&lt;30,30,IF(INDEX(tblCleanData[Age],362)&lt;40,20,IF(INDEX(tblCleanData[Age],362)&lt;50,10,15)))</f>
        <v>10</v>
      </c>
      <c r="J370">
        <f>IF(INDEX(tblCleanData[MonthlyIncome],362)&lt;=$B$3,25,IF(INDEX(tblCleanData[MonthlyIncome],362)&lt;=$B$4,12,5))</f>
        <v>5</v>
      </c>
      <c r="K370">
        <f>IF(INDEX(tblCleanData[OverTime],362)="Yes",25,0)</f>
        <v>25</v>
      </c>
      <c r="L370">
        <f>(5-INDEX(tblCleanData[JobSatisfaction],362))*6.25</f>
        <v>12.5</v>
      </c>
      <c r="M370">
        <f>IF(INDEX(tblCleanData[YearsAtCompany],362)&lt;=2,25,IF(INDEX(tblCleanData[YearsAtCompany],362)&lt;=5,15,IF(INDEX(tblCleanData[YearsAtCompany],362)&lt;=10,8,3)))</f>
        <v>8</v>
      </c>
      <c r="N370">
        <f t="shared" si="10"/>
        <v>61</v>
      </c>
      <c r="O370" t="str">
        <f t="shared" si="11"/>
        <v>High Risk</v>
      </c>
    </row>
    <row r="371" spans="1:15" x14ac:dyDescent="0.25">
      <c r="A371">
        <f>INDEX(tblCleanData[EmployeeNumber],363)</f>
        <v>484</v>
      </c>
      <c r="B371" t="str">
        <f>IF(INDEX(tblCleanData[Age],363)&lt;30,"Under 30",IF(INDEX(tblCleanData[Age],363)&lt;40,"30-39",IF(INDEX(tblCleanData[Age],363)&lt;50,"40-49","50+")))</f>
        <v>Under 30</v>
      </c>
      <c r="C371" t="str">
        <f>IF(INDEX(tblCleanData[MonthlyIncome],363)&lt;=$B$3,"Low Income",IF(INDEX(tblCleanData[MonthlyIncome],363)&lt;=$B$4,"Medium Income","High Income"))</f>
        <v>High Income</v>
      </c>
      <c r="D371">
        <f>IF(INDEX(tblCleanData[Attrition],363)="Yes",1,0)</f>
        <v>0</v>
      </c>
      <c r="E371">
        <f>IF(INDEX(tblCleanData[OverTime],363)="Yes",1,0)</f>
        <v>0</v>
      </c>
      <c r="F371" t="str">
        <f>CHOOSE(INDEX(tblCleanData[Education],363),"Below College","College","Bachelor","Master","Doctor")</f>
        <v>College</v>
      </c>
      <c r="G371" t="str">
        <f>IF(INDEX(tblCleanData[YearsAtCompany],363)&lt;=2,"0-2 Years",IF(INDEX(tblCleanData[YearsAtCompany],363)&lt;=5,"3-5 Years",IF(INDEX(tblCleanData[YearsAtCompany],363)&lt;=10,"6-10 Years","10+ Years")))</f>
        <v>3-5 Years</v>
      </c>
      <c r="H371" t="str">
        <f>IF(INDEX(tblCleanData[WorkLifeBalance],363)&lt;=2,"Elevated","Normal")</f>
        <v>Elevated</v>
      </c>
      <c r="I371">
        <f>IF(INDEX(tblCleanData[Age],363)&lt;30,30,IF(INDEX(tblCleanData[Age],363)&lt;40,20,IF(INDEX(tblCleanData[Age],363)&lt;50,10,15)))</f>
        <v>30</v>
      </c>
      <c r="J371">
        <f>IF(INDEX(tblCleanData[MonthlyIncome],363)&lt;=$B$3,25,IF(INDEX(tblCleanData[MonthlyIncome],363)&lt;=$B$4,12,5))</f>
        <v>5</v>
      </c>
      <c r="K371">
        <f>IF(INDEX(tblCleanData[OverTime],363)="Yes",25,0)</f>
        <v>0</v>
      </c>
      <c r="L371">
        <f>(5-INDEX(tblCleanData[JobSatisfaction],363))*6.25</f>
        <v>6.25</v>
      </c>
      <c r="M371">
        <f>IF(INDEX(tblCleanData[YearsAtCompany],363)&lt;=2,25,IF(INDEX(tblCleanData[YearsAtCompany],363)&lt;=5,15,IF(INDEX(tblCleanData[YearsAtCompany],363)&lt;=10,8,3)))</f>
        <v>15</v>
      </c>
      <c r="N371">
        <f t="shared" si="10"/>
        <v>56</v>
      </c>
      <c r="O371" t="str">
        <f t="shared" si="11"/>
        <v>High Risk</v>
      </c>
    </row>
    <row r="372" spans="1:15" x14ac:dyDescent="0.25">
      <c r="A372">
        <f>INDEX(tblCleanData[EmployeeNumber],364)</f>
        <v>485</v>
      </c>
      <c r="B372" t="str">
        <f>IF(INDEX(tblCleanData[Age],364)&lt;30,"Under 30",IF(INDEX(tblCleanData[Age],364)&lt;40,"30-39",IF(INDEX(tblCleanData[Age],364)&lt;50,"40-49","50+")))</f>
        <v>30-39</v>
      </c>
      <c r="C372" t="str">
        <f>IF(INDEX(tblCleanData[MonthlyIncome],364)&lt;=$B$3,"Low Income",IF(INDEX(tblCleanData[MonthlyIncome],364)&lt;=$B$4,"Medium Income","High Income"))</f>
        <v>High Income</v>
      </c>
      <c r="D372">
        <f>IF(INDEX(tblCleanData[Attrition],364)="Yes",1,0)</f>
        <v>1</v>
      </c>
      <c r="E372">
        <f>IF(INDEX(tblCleanData[OverTime],364)="Yes",1,0)</f>
        <v>1</v>
      </c>
      <c r="F372" t="str">
        <f>CHOOSE(INDEX(tblCleanData[Education],364),"Below College","College","Bachelor","Master","Doctor")</f>
        <v>Bachelor</v>
      </c>
      <c r="G372" t="str">
        <f>IF(INDEX(tblCleanData[YearsAtCompany],364)&lt;=2,"0-2 Years",IF(INDEX(tblCleanData[YearsAtCompany],364)&lt;=5,"3-5 Years",IF(INDEX(tblCleanData[YearsAtCompany],364)&lt;=10,"6-10 Years","10+ Years")))</f>
        <v>0-2 Years</v>
      </c>
      <c r="H372" t="str">
        <f>IF(INDEX(tblCleanData[WorkLifeBalance],364)&lt;=2,"Elevated","Normal")</f>
        <v>Normal</v>
      </c>
      <c r="I372">
        <f>IF(INDEX(tblCleanData[Age],364)&lt;30,30,IF(INDEX(tblCleanData[Age],364)&lt;40,20,IF(INDEX(tblCleanData[Age],364)&lt;50,10,15)))</f>
        <v>20</v>
      </c>
      <c r="J372">
        <f>IF(INDEX(tblCleanData[MonthlyIncome],364)&lt;=$B$3,25,IF(INDEX(tblCleanData[MonthlyIncome],364)&lt;=$B$4,12,5))</f>
        <v>5</v>
      </c>
      <c r="K372">
        <f>IF(INDEX(tblCleanData[OverTime],364)="Yes",25,0)</f>
        <v>25</v>
      </c>
      <c r="L372">
        <f>(5-INDEX(tblCleanData[JobSatisfaction],364))*6.25</f>
        <v>12.5</v>
      </c>
      <c r="M372">
        <f>IF(INDEX(tblCleanData[YearsAtCompany],364)&lt;=2,25,IF(INDEX(tblCleanData[YearsAtCompany],364)&lt;=5,15,IF(INDEX(tblCleanData[YearsAtCompany],364)&lt;=10,8,3)))</f>
        <v>25</v>
      </c>
      <c r="N372">
        <f t="shared" si="10"/>
        <v>88</v>
      </c>
      <c r="O372" t="str">
        <f t="shared" si="11"/>
        <v>High Risk</v>
      </c>
    </row>
    <row r="373" spans="1:15" x14ac:dyDescent="0.25">
      <c r="A373">
        <f>INDEX(tblCleanData[EmployeeNumber],365)</f>
        <v>486</v>
      </c>
      <c r="B373" t="str">
        <f>IF(INDEX(tblCleanData[Age],365)&lt;30,"Under 30",IF(INDEX(tblCleanData[Age],365)&lt;40,"30-39",IF(INDEX(tblCleanData[Age],365)&lt;50,"40-49","50+")))</f>
        <v>30-39</v>
      </c>
      <c r="C373" t="str">
        <f>IF(INDEX(tblCleanData[MonthlyIncome],365)&lt;=$B$3,"Low Income",IF(INDEX(tblCleanData[MonthlyIncome],365)&lt;=$B$4,"Medium Income","High Income"))</f>
        <v>High Income</v>
      </c>
      <c r="D373">
        <f>IF(INDEX(tblCleanData[Attrition],365)="Yes",1,0)</f>
        <v>0</v>
      </c>
      <c r="E373">
        <f>IF(INDEX(tblCleanData[OverTime],365)="Yes",1,0)</f>
        <v>0</v>
      </c>
      <c r="F373" t="str">
        <f>CHOOSE(INDEX(tblCleanData[Education],365),"Below College","College","Bachelor","Master","Doctor")</f>
        <v>Bachelor</v>
      </c>
      <c r="G373" t="str">
        <f>IF(INDEX(tblCleanData[YearsAtCompany],365)&lt;=2,"0-2 Years",IF(INDEX(tblCleanData[YearsAtCompany],365)&lt;=5,"3-5 Years",IF(INDEX(tblCleanData[YearsAtCompany],365)&lt;=10,"6-10 Years","10+ Years")))</f>
        <v>3-5 Years</v>
      </c>
      <c r="H373" t="str">
        <f>IF(INDEX(tblCleanData[WorkLifeBalance],365)&lt;=2,"Elevated","Normal")</f>
        <v>Normal</v>
      </c>
      <c r="I373">
        <f>IF(INDEX(tblCleanData[Age],365)&lt;30,30,IF(INDEX(tblCleanData[Age],365)&lt;40,20,IF(INDEX(tblCleanData[Age],365)&lt;50,10,15)))</f>
        <v>20</v>
      </c>
      <c r="J373">
        <f>IF(INDEX(tblCleanData[MonthlyIncome],365)&lt;=$B$3,25,IF(INDEX(tblCleanData[MonthlyIncome],365)&lt;=$B$4,12,5))</f>
        <v>5</v>
      </c>
      <c r="K373">
        <f>IF(INDEX(tblCleanData[OverTime],365)="Yes",25,0)</f>
        <v>0</v>
      </c>
      <c r="L373">
        <f>(5-INDEX(tblCleanData[JobSatisfaction],365))*6.25</f>
        <v>25</v>
      </c>
      <c r="M373">
        <f>IF(INDEX(tblCleanData[YearsAtCompany],365)&lt;=2,25,IF(INDEX(tblCleanData[YearsAtCompany],365)&lt;=5,15,IF(INDEX(tblCleanData[YearsAtCompany],365)&lt;=10,8,3)))</f>
        <v>15</v>
      </c>
      <c r="N373">
        <f t="shared" si="10"/>
        <v>65</v>
      </c>
      <c r="O373" t="str">
        <f t="shared" si="11"/>
        <v>High Risk</v>
      </c>
    </row>
    <row r="374" spans="1:15" x14ac:dyDescent="0.25">
      <c r="A374">
        <f>INDEX(tblCleanData[EmployeeNumber],366)</f>
        <v>487</v>
      </c>
      <c r="B374" t="str">
        <f>IF(INDEX(tblCleanData[Age],366)&lt;30,"Under 30",IF(INDEX(tblCleanData[Age],366)&lt;40,"30-39",IF(INDEX(tblCleanData[Age],366)&lt;50,"40-49","50+")))</f>
        <v>40-49</v>
      </c>
      <c r="C374" t="str">
        <f>IF(INDEX(tblCleanData[MonthlyIncome],366)&lt;=$B$3,"Low Income",IF(INDEX(tblCleanData[MonthlyIncome],366)&lt;=$B$4,"Medium Income","High Income"))</f>
        <v>High Income</v>
      </c>
      <c r="D374">
        <f>IF(INDEX(tblCleanData[Attrition],366)="Yes",1,0)</f>
        <v>0</v>
      </c>
      <c r="E374">
        <f>IF(INDEX(tblCleanData[OverTime],366)="Yes",1,0)</f>
        <v>0</v>
      </c>
      <c r="F374" t="str">
        <f>CHOOSE(INDEX(tblCleanData[Education],366),"Below College","College","Bachelor","Master","Doctor")</f>
        <v>Master</v>
      </c>
      <c r="G374" t="str">
        <f>IF(INDEX(tblCleanData[YearsAtCompany],366)&lt;=2,"0-2 Years",IF(INDEX(tblCleanData[YearsAtCompany],366)&lt;=5,"3-5 Years",IF(INDEX(tblCleanData[YearsAtCompany],366)&lt;=10,"6-10 Years","10+ Years")))</f>
        <v>0-2 Years</v>
      </c>
      <c r="H374" t="str">
        <f>IF(INDEX(tblCleanData[WorkLifeBalance],366)&lt;=2,"Elevated","Normal")</f>
        <v>Normal</v>
      </c>
      <c r="I374">
        <f>IF(INDEX(tblCleanData[Age],366)&lt;30,30,IF(INDEX(tblCleanData[Age],366)&lt;40,20,IF(INDEX(tblCleanData[Age],366)&lt;50,10,15)))</f>
        <v>10</v>
      </c>
      <c r="J374">
        <f>IF(INDEX(tblCleanData[MonthlyIncome],366)&lt;=$B$3,25,IF(INDEX(tblCleanData[MonthlyIncome],366)&lt;=$B$4,12,5))</f>
        <v>5</v>
      </c>
      <c r="K374">
        <f>IF(INDEX(tblCleanData[OverTime],366)="Yes",25,0)</f>
        <v>0</v>
      </c>
      <c r="L374">
        <f>(5-INDEX(tblCleanData[JobSatisfaction],366))*6.25</f>
        <v>12.5</v>
      </c>
      <c r="M374">
        <f>IF(INDEX(tblCleanData[YearsAtCompany],366)&lt;=2,25,IF(INDEX(tblCleanData[YearsAtCompany],366)&lt;=5,15,IF(INDEX(tblCleanData[YearsAtCompany],366)&lt;=10,8,3)))</f>
        <v>25</v>
      </c>
      <c r="N374">
        <f t="shared" si="10"/>
        <v>53</v>
      </c>
      <c r="O374" t="str">
        <f t="shared" si="11"/>
        <v>Medium Risk</v>
      </c>
    </row>
    <row r="375" spans="1:15" x14ac:dyDescent="0.25">
      <c r="A375">
        <f>INDEX(tblCleanData[EmployeeNumber],367)</f>
        <v>488</v>
      </c>
      <c r="B375" t="str">
        <f>IF(INDEX(tblCleanData[Age],367)&lt;30,"Under 30",IF(INDEX(tblCleanData[Age],367)&lt;40,"30-39",IF(INDEX(tblCleanData[Age],367)&lt;50,"40-49","50+")))</f>
        <v>40-49</v>
      </c>
      <c r="C375" t="str">
        <f>IF(INDEX(tblCleanData[MonthlyIncome],367)&lt;=$B$3,"Low Income",IF(INDEX(tblCleanData[MonthlyIncome],367)&lt;=$B$4,"Medium Income","High Income"))</f>
        <v>High Income</v>
      </c>
      <c r="D375">
        <f>IF(INDEX(tblCleanData[Attrition],367)="Yes",1,0)</f>
        <v>1</v>
      </c>
      <c r="E375">
        <f>IF(INDEX(tblCleanData[OverTime],367)="Yes",1,0)</f>
        <v>0</v>
      </c>
      <c r="F375" t="str">
        <f>CHOOSE(INDEX(tblCleanData[Education],367),"Below College","College","Bachelor","Master","Doctor")</f>
        <v>Bachelor</v>
      </c>
      <c r="G375" t="str">
        <f>IF(INDEX(tblCleanData[YearsAtCompany],367)&lt;=2,"0-2 Years",IF(INDEX(tblCleanData[YearsAtCompany],367)&lt;=5,"3-5 Years",IF(INDEX(tblCleanData[YearsAtCompany],367)&lt;=10,"6-10 Years","10+ Years")))</f>
        <v>6-10 Years</v>
      </c>
      <c r="H375" t="str">
        <f>IF(INDEX(tblCleanData[WorkLifeBalance],367)&lt;=2,"Elevated","Normal")</f>
        <v>Normal</v>
      </c>
      <c r="I375">
        <f>IF(INDEX(tblCleanData[Age],367)&lt;30,30,IF(INDEX(tblCleanData[Age],367)&lt;40,20,IF(INDEX(tblCleanData[Age],367)&lt;50,10,15)))</f>
        <v>10</v>
      </c>
      <c r="J375">
        <f>IF(INDEX(tblCleanData[MonthlyIncome],367)&lt;=$B$3,25,IF(INDEX(tblCleanData[MonthlyIncome],367)&lt;=$B$4,12,5))</f>
        <v>5</v>
      </c>
      <c r="K375">
        <f>IF(INDEX(tblCleanData[OverTime],367)="Yes",25,0)</f>
        <v>0</v>
      </c>
      <c r="L375">
        <f>(5-INDEX(tblCleanData[JobSatisfaction],367))*6.25</f>
        <v>18.75</v>
      </c>
      <c r="M375">
        <f>IF(INDEX(tblCleanData[YearsAtCompany],367)&lt;=2,25,IF(INDEX(tblCleanData[YearsAtCompany],367)&lt;=5,15,IF(INDEX(tblCleanData[YearsAtCompany],367)&lt;=10,8,3)))</f>
        <v>8</v>
      </c>
      <c r="N375">
        <f t="shared" si="10"/>
        <v>42</v>
      </c>
      <c r="O375" t="str">
        <f t="shared" si="11"/>
        <v>Medium Risk</v>
      </c>
    </row>
    <row r="376" spans="1:15" x14ac:dyDescent="0.25">
      <c r="A376">
        <f>INDEX(tblCleanData[EmployeeNumber],368)</f>
        <v>491</v>
      </c>
      <c r="B376" t="str">
        <f>IF(INDEX(tblCleanData[Age],368)&lt;30,"Under 30",IF(INDEX(tblCleanData[Age],368)&lt;40,"30-39",IF(INDEX(tblCleanData[Age],368)&lt;50,"40-49","50+")))</f>
        <v>50+</v>
      </c>
      <c r="C376" t="str">
        <f>IF(INDEX(tblCleanData[MonthlyIncome],368)&lt;=$B$3,"Low Income",IF(INDEX(tblCleanData[MonthlyIncome],368)&lt;=$B$4,"Medium Income","High Income"))</f>
        <v>High Income</v>
      </c>
      <c r="D376">
        <f>IF(INDEX(tblCleanData[Attrition],368)="Yes",1,0)</f>
        <v>0</v>
      </c>
      <c r="E376">
        <f>IF(INDEX(tblCleanData[OverTime],368)="Yes",1,0)</f>
        <v>0</v>
      </c>
      <c r="F376" t="str">
        <f>CHOOSE(INDEX(tblCleanData[Education],368),"Below College","College","Bachelor","Master","Doctor")</f>
        <v>Bachelor</v>
      </c>
      <c r="G376" t="str">
        <f>IF(INDEX(tblCleanData[YearsAtCompany],368)&lt;=2,"0-2 Years",IF(INDEX(tblCleanData[YearsAtCompany],368)&lt;=5,"3-5 Years",IF(INDEX(tblCleanData[YearsAtCompany],368)&lt;=10,"6-10 Years","10+ Years")))</f>
        <v>3-5 Years</v>
      </c>
      <c r="H376" t="str">
        <f>IF(INDEX(tblCleanData[WorkLifeBalance],368)&lt;=2,"Elevated","Normal")</f>
        <v>Normal</v>
      </c>
      <c r="I376">
        <f>IF(INDEX(tblCleanData[Age],368)&lt;30,30,IF(INDEX(tblCleanData[Age],368)&lt;40,20,IF(INDEX(tblCleanData[Age],368)&lt;50,10,15)))</f>
        <v>15</v>
      </c>
      <c r="J376">
        <f>IF(INDEX(tblCleanData[MonthlyIncome],368)&lt;=$B$3,25,IF(INDEX(tblCleanData[MonthlyIncome],368)&lt;=$B$4,12,5))</f>
        <v>5</v>
      </c>
      <c r="K376">
        <f>IF(INDEX(tblCleanData[OverTime],368)="Yes",25,0)</f>
        <v>0</v>
      </c>
      <c r="L376">
        <f>(5-INDEX(tblCleanData[JobSatisfaction],368))*6.25</f>
        <v>6.25</v>
      </c>
      <c r="M376">
        <f>IF(INDEX(tblCleanData[YearsAtCompany],368)&lt;=2,25,IF(INDEX(tblCleanData[YearsAtCompany],368)&lt;=5,15,IF(INDEX(tblCleanData[YearsAtCompany],368)&lt;=10,8,3)))</f>
        <v>15</v>
      </c>
      <c r="N376">
        <f t="shared" si="10"/>
        <v>41</v>
      </c>
      <c r="O376" t="str">
        <f t="shared" si="11"/>
        <v>Medium Risk</v>
      </c>
    </row>
    <row r="377" spans="1:15" x14ac:dyDescent="0.25">
      <c r="A377">
        <f>INDEX(tblCleanData[EmployeeNumber],369)</f>
        <v>492</v>
      </c>
      <c r="B377" t="str">
        <f>IF(INDEX(tblCleanData[Age],369)&lt;30,"Under 30",IF(INDEX(tblCleanData[Age],369)&lt;40,"30-39",IF(INDEX(tblCleanData[Age],369)&lt;50,"40-49","50+")))</f>
        <v>40-49</v>
      </c>
      <c r="C377" t="str">
        <f>IF(INDEX(tblCleanData[MonthlyIncome],369)&lt;=$B$3,"Low Income",IF(INDEX(tblCleanData[MonthlyIncome],369)&lt;=$B$4,"Medium Income","High Income"))</f>
        <v>High Income</v>
      </c>
      <c r="D377">
        <f>IF(INDEX(tblCleanData[Attrition],369)="Yes",1,0)</f>
        <v>1</v>
      </c>
      <c r="E377">
        <f>IF(INDEX(tblCleanData[OverTime],369)="Yes",1,0)</f>
        <v>1</v>
      </c>
      <c r="F377" t="str">
        <f>CHOOSE(INDEX(tblCleanData[Education],369),"Below College","College","Bachelor","Master","Doctor")</f>
        <v>College</v>
      </c>
      <c r="G377" t="str">
        <f>IF(INDEX(tblCleanData[YearsAtCompany],369)&lt;=2,"0-2 Years",IF(INDEX(tblCleanData[YearsAtCompany],369)&lt;=5,"3-5 Years",IF(INDEX(tblCleanData[YearsAtCompany],369)&lt;=10,"6-10 Years","10+ Years")))</f>
        <v>6-10 Years</v>
      </c>
      <c r="H377" t="str">
        <f>IF(INDEX(tblCleanData[WorkLifeBalance],369)&lt;=2,"Elevated","Normal")</f>
        <v>Normal</v>
      </c>
      <c r="I377">
        <f>IF(INDEX(tblCleanData[Age],369)&lt;30,30,IF(INDEX(tblCleanData[Age],369)&lt;40,20,IF(INDEX(tblCleanData[Age],369)&lt;50,10,15)))</f>
        <v>10</v>
      </c>
      <c r="J377">
        <f>IF(INDEX(tblCleanData[MonthlyIncome],369)&lt;=$B$3,25,IF(INDEX(tblCleanData[MonthlyIncome],369)&lt;=$B$4,12,5))</f>
        <v>5</v>
      </c>
      <c r="K377">
        <f>IF(INDEX(tblCleanData[OverTime],369)="Yes",25,0)</f>
        <v>25</v>
      </c>
      <c r="L377">
        <f>(5-INDEX(tblCleanData[JobSatisfaction],369))*6.25</f>
        <v>12.5</v>
      </c>
      <c r="M377">
        <f>IF(INDEX(tblCleanData[YearsAtCompany],369)&lt;=2,25,IF(INDEX(tblCleanData[YearsAtCompany],369)&lt;=5,15,IF(INDEX(tblCleanData[YearsAtCompany],369)&lt;=10,8,3)))</f>
        <v>8</v>
      </c>
      <c r="N377">
        <f t="shared" si="10"/>
        <v>61</v>
      </c>
      <c r="O377" t="str">
        <f t="shared" si="11"/>
        <v>High Risk</v>
      </c>
    </row>
    <row r="378" spans="1:15" x14ac:dyDescent="0.25">
      <c r="A378">
        <f>INDEX(tblCleanData[EmployeeNumber],370)</f>
        <v>493</v>
      </c>
      <c r="B378" t="str">
        <f>IF(INDEX(tblCleanData[Age],370)&lt;30,"Under 30",IF(INDEX(tblCleanData[Age],370)&lt;40,"30-39",IF(INDEX(tblCleanData[Age],370)&lt;50,"40-49","50+")))</f>
        <v>30-39</v>
      </c>
      <c r="C378" t="str">
        <f>IF(INDEX(tblCleanData[MonthlyIncome],370)&lt;=$B$3,"Low Income",IF(INDEX(tblCleanData[MonthlyIncome],370)&lt;=$B$4,"Medium Income","High Income"))</f>
        <v>High Income</v>
      </c>
      <c r="D378">
        <f>IF(INDEX(tblCleanData[Attrition],370)="Yes",1,0)</f>
        <v>0</v>
      </c>
      <c r="E378">
        <f>IF(INDEX(tblCleanData[OverTime],370)="Yes",1,0)</f>
        <v>1</v>
      </c>
      <c r="F378" t="str">
        <f>CHOOSE(INDEX(tblCleanData[Education],370),"Below College","College","Bachelor","Master","Doctor")</f>
        <v>Master</v>
      </c>
      <c r="G378" t="str">
        <f>IF(INDEX(tblCleanData[YearsAtCompany],370)&lt;=2,"0-2 Years",IF(INDEX(tblCleanData[YearsAtCompany],370)&lt;=5,"3-5 Years",IF(INDEX(tblCleanData[YearsAtCompany],370)&lt;=10,"6-10 Years","10+ Years")))</f>
        <v>0-2 Years</v>
      </c>
      <c r="H378" t="str">
        <f>IF(INDEX(tblCleanData[WorkLifeBalance],370)&lt;=2,"Elevated","Normal")</f>
        <v>Normal</v>
      </c>
      <c r="I378">
        <f>IF(INDEX(tblCleanData[Age],370)&lt;30,30,IF(INDEX(tblCleanData[Age],370)&lt;40,20,IF(INDEX(tblCleanData[Age],370)&lt;50,10,15)))</f>
        <v>20</v>
      </c>
      <c r="J378">
        <f>IF(INDEX(tblCleanData[MonthlyIncome],370)&lt;=$B$3,25,IF(INDEX(tblCleanData[MonthlyIncome],370)&lt;=$B$4,12,5))</f>
        <v>5</v>
      </c>
      <c r="K378">
        <f>IF(INDEX(tblCleanData[OverTime],370)="Yes",25,0)</f>
        <v>25</v>
      </c>
      <c r="L378">
        <f>(5-INDEX(tblCleanData[JobSatisfaction],370))*6.25</f>
        <v>18.75</v>
      </c>
      <c r="M378">
        <f>IF(INDEX(tblCleanData[YearsAtCompany],370)&lt;=2,25,IF(INDEX(tblCleanData[YearsAtCompany],370)&lt;=5,15,IF(INDEX(tblCleanData[YearsAtCompany],370)&lt;=10,8,3)))</f>
        <v>25</v>
      </c>
      <c r="N378">
        <f t="shared" si="10"/>
        <v>94</v>
      </c>
      <c r="O378" t="str">
        <f t="shared" si="11"/>
        <v>High Risk</v>
      </c>
    </row>
    <row r="379" spans="1:15" x14ac:dyDescent="0.25">
      <c r="A379">
        <f>INDEX(tblCleanData[EmployeeNumber],371)</f>
        <v>494</v>
      </c>
      <c r="B379" t="str">
        <f>IF(INDEX(tblCleanData[Age],371)&lt;30,"Under 30",IF(INDEX(tblCleanData[Age],371)&lt;40,"30-39",IF(INDEX(tblCleanData[Age],371)&lt;50,"40-49","50+")))</f>
        <v>Under 30</v>
      </c>
      <c r="C379" t="str">
        <f>IF(INDEX(tblCleanData[MonthlyIncome],371)&lt;=$B$3,"Low Income",IF(INDEX(tblCleanData[MonthlyIncome],371)&lt;=$B$4,"Medium Income","High Income"))</f>
        <v>High Income</v>
      </c>
      <c r="D379">
        <f>IF(INDEX(tblCleanData[Attrition],371)="Yes",1,0)</f>
        <v>1</v>
      </c>
      <c r="E379">
        <f>IF(INDEX(tblCleanData[OverTime],371)="Yes",1,0)</f>
        <v>0</v>
      </c>
      <c r="F379" t="str">
        <f>CHOOSE(INDEX(tblCleanData[Education],371),"Below College","College","Bachelor","Master","Doctor")</f>
        <v>Bachelor</v>
      </c>
      <c r="G379" t="str">
        <f>IF(INDEX(tblCleanData[YearsAtCompany],371)&lt;=2,"0-2 Years",IF(INDEX(tblCleanData[YearsAtCompany],371)&lt;=5,"3-5 Years",IF(INDEX(tblCleanData[YearsAtCompany],371)&lt;=10,"6-10 Years","10+ Years")))</f>
        <v>0-2 Years</v>
      </c>
      <c r="H379" t="str">
        <f>IF(INDEX(tblCleanData[WorkLifeBalance],371)&lt;=2,"Elevated","Normal")</f>
        <v>Normal</v>
      </c>
      <c r="I379">
        <f>IF(INDEX(tblCleanData[Age],371)&lt;30,30,IF(INDEX(tblCleanData[Age],371)&lt;40,20,IF(INDEX(tblCleanData[Age],371)&lt;50,10,15)))</f>
        <v>30</v>
      </c>
      <c r="J379">
        <f>IF(INDEX(tblCleanData[MonthlyIncome],371)&lt;=$B$3,25,IF(INDEX(tblCleanData[MonthlyIncome],371)&lt;=$B$4,12,5))</f>
        <v>5</v>
      </c>
      <c r="K379">
        <f>IF(INDEX(tblCleanData[OverTime],371)="Yes",25,0)</f>
        <v>0</v>
      </c>
      <c r="L379">
        <f>(5-INDEX(tblCleanData[JobSatisfaction],371))*6.25</f>
        <v>18.75</v>
      </c>
      <c r="M379">
        <f>IF(INDEX(tblCleanData[YearsAtCompany],371)&lt;=2,25,IF(INDEX(tblCleanData[YearsAtCompany],371)&lt;=5,15,IF(INDEX(tblCleanData[YearsAtCompany],371)&lt;=10,8,3)))</f>
        <v>25</v>
      </c>
      <c r="N379">
        <f t="shared" si="10"/>
        <v>79</v>
      </c>
      <c r="O379" t="str">
        <f t="shared" si="11"/>
        <v>High Risk</v>
      </c>
    </row>
    <row r="380" spans="1:15" x14ac:dyDescent="0.25">
      <c r="A380">
        <f>INDEX(tblCleanData[EmployeeNumber],372)</f>
        <v>495</v>
      </c>
      <c r="B380" t="str">
        <f>IF(INDEX(tblCleanData[Age],372)&lt;30,"Under 30",IF(INDEX(tblCleanData[Age],372)&lt;40,"30-39",IF(INDEX(tblCleanData[Age],372)&lt;50,"40-49","50+")))</f>
        <v>Under 30</v>
      </c>
      <c r="C380" t="str">
        <f>IF(INDEX(tblCleanData[MonthlyIncome],372)&lt;=$B$3,"Low Income",IF(INDEX(tblCleanData[MonthlyIncome],372)&lt;=$B$4,"Medium Income","High Income"))</f>
        <v>High Income</v>
      </c>
      <c r="D380">
        <f>IF(INDEX(tblCleanData[Attrition],372)="Yes",1,0)</f>
        <v>0</v>
      </c>
      <c r="E380">
        <f>IF(INDEX(tblCleanData[OverTime],372)="Yes",1,0)</f>
        <v>0</v>
      </c>
      <c r="F380" t="str">
        <f>CHOOSE(INDEX(tblCleanData[Education],372),"Below College","College","Bachelor","Master","Doctor")</f>
        <v>Bachelor</v>
      </c>
      <c r="G380" t="str">
        <f>IF(INDEX(tblCleanData[YearsAtCompany],372)&lt;=2,"0-2 Years",IF(INDEX(tblCleanData[YearsAtCompany],372)&lt;=5,"3-5 Years",IF(INDEX(tblCleanData[YearsAtCompany],372)&lt;=10,"6-10 Years","10+ Years")))</f>
        <v>3-5 Years</v>
      </c>
      <c r="H380" t="str">
        <f>IF(INDEX(tblCleanData[WorkLifeBalance],372)&lt;=2,"Elevated","Normal")</f>
        <v>Normal</v>
      </c>
      <c r="I380">
        <f>IF(INDEX(tblCleanData[Age],372)&lt;30,30,IF(INDEX(tblCleanData[Age],372)&lt;40,20,IF(INDEX(tblCleanData[Age],372)&lt;50,10,15)))</f>
        <v>30</v>
      </c>
      <c r="J380">
        <f>IF(INDEX(tblCleanData[MonthlyIncome],372)&lt;=$B$3,25,IF(INDEX(tblCleanData[MonthlyIncome],372)&lt;=$B$4,12,5))</f>
        <v>5</v>
      </c>
      <c r="K380">
        <f>IF(INDEX(tblCleanData[OverTime],372)="Yes",25,0)</f>
        <v>0</v>
      </c>
      <c r="L380">
        <f>(5-INDEX(tblCleanData[JobSatisfaction],372))*6.25</f>
        <v>6.25</v>
      </c>
      <c r="M380">
        <f>IF(INDEX(tblCleanData[YearsAtCompany],372)&lt;=2,25,IF(INDEX(tblCleanData[YearsAtCompany],372)&lt;=5,15,IF(INDEX(tblCleanData[YearsAtCompany],372)&lt;=10,8,3)))</f>
        <v>15</v>
      </c>
      <c r="N380">
        <f t="shared" si="10"/>
        <v>56</v>
      </c>
      <c r="O380" t="str">
        <f t="shared" si="11"/>
        <v>High Risk</v>
      </c>
    </row>
    <row r="381" spans="1:15" x14ac:dyDescent="0.25">
      <c r="A381">
        <f>INDEX(tblCleanData[EmployeeNumber],373)</f>
        <v>496</v>
      </c>
      <c r="B381" t="str">
        <f>IF(INDEX(tblCleanData[Age],373)&lt;30,"Under 30",IF(INDEX(tblCleanData[Age],373)&lt;40,"30-39",IF(INDEX(tblCleanData[Age],373)&lt;50,"40-49","50+")))</f>
        <v>30-39</v>
      </c>
      <c r="C381" t="str">
        <f>IF(INDEX(tblCleanData[MonthlyIncome],373)&lt;=$B$3,"Low Income",IF(INDEX(tblCleanData[MonthlyIncome],373)&lt;=$B$4,"Medium Income","High Income"))</f>
        <v>High Income</v>
      </c>
      <c r="D381">
        <f>IF(INDEX(tblCleanData[Attrition],373)="Yes",1,0)</f>
        <v>0</v>
      </c>
      <c r="E381">
        <f>IF(INDEX(tblCleanData[OverTime],373)="Yes",1,0)</f>
        <v>0</v>
      </c>
      <c r="F381" t="str">
        <f>CHOOSE(INDEX(tblCleanData[Education],373),"Below College","College","Bachelor","Master","Doctor")</f>
        <v>Master</v>
      </c>
      <c r="G381" t="str">
        <f>IF(INDEX(tblCleanData[YearsAtCompany],373)&lt;=2,"0-2 Years",IF(INDEX(tblCleanData[YearsAtCompany],373)&lt;=5,"3-5 Years",IF(INDEX(tblCleanData[YearsAtCompany],373)&lt;=10,"6-10 Years","10+ Years")))</f>
        <v>0-2 Years</v>
      </c>
      <c r="H381" t="str">
        <f>IF(INDEX(tblCleanData[WorkLifeBalance],373)&lt;=2,"Elevated","Normal")</f>
        <v>Normal</v>
      </c>
      <c r="I381">
        <f>IF(INDEX(tblCleanData[Age],373)&lt;30,30,IF(INDEX(tblCleanData[Age],373)&lt;40,20,IF(INDEX(tblCleanData[Age],373)&lt;50,10,15)))</f>
        <v>20</v>
      </c>
      <c r="J381">
        <f>IF(INDEX(tblCleanData[MonthlyIncome],373)&lt;=$B$3,25,IF(INDEX(tblCleanData[MonthlyIncome],373)&lt;=$B$4,12,5))</f>
        <v>5</v>
      </c>
      <c r="K381">
        <f>IF(INDEX(tblCleanData[OverTime],373)="Yes",25,0)</f>
        <v>0</v>
      </c>
      <c r="L381">
        <f>(5-INDEX(tblCleanData[JobSatisfaction],373))*6.25</f>
        <v>18.75</v>
      </c>
      <c r="M381">
        <f>IF(INDEX(tblCleanData[YearsAtCompany],373)&lt;=2,25,IF(INDEX(tblCleanData[YearsAtCompany],373)&lt;=5,15,IF(INDEX(tblCleanData[YearsAtCompany],373)&lt;=10,8,3)))</f>
        <v>25</v>
      </c>
      <c r="N381">
        <f t="shared" si="10"/>
        <v>69</v>
      </c>
      <c r="O381" t="str">
        <f t="shared" si="11"/>
        <v>High Risk</v>
      </c>
    </row>
    <row r="382" spans="1:15" x14ac:dyDescent="0.25">
      <c r="A382">
        <f>INDEX(tblCleanData[EmployeeNumber],374)</f>
        <v>497</v>
      </c>
      <c r="B382" t="str">
        <f>IF(INDEX(tblCleanData[Age],374)&lt;30,"Under 30",IF(INDEX(tblCleanData[Age],374)&lt;40,"30-39",IF(INDEX(tblCleanData[Age],374)&lt;50,"40-49","50+")))</f>
        <v>Under 30</v>
      </c>
      <c r="C382" t="str">
        <f>IF(INDEX(tblCleanData[MonthlyIncome],374)&lt;=$B$3,"Low Income",IF(INDEX(tblCleanData[MonthlyIncome],374)&lt;=$B$4,"Medium Income","High Income"))</f>
        <v>High Income</v>
      </c>
      <c r="D382">
        <f>IF(INDEX(tblCleanData[Attrition],374)="Yes",1,0)</f>
        <v>0</v>
      </c>
      <c r="E382">
        <f>IF(INDEX(tblCleanData[OverTime],374)="Yes",1,0)</f>
        <v>0</v>
      </c>
      <c r="F382" t="str">
        <f>CHOOSE(INDEX(tblCleanData[Education],374),"Below College","College","Bachelor","Master","Doctor")</f>
        <v>College</v>
      </c>
      <c r="G382" t="str">
        <f>IF(INDEX(tblCleanData[YearsAtCompany],374)&lt;=2,"0-2 Years",IF(INDEX(tblCleanData[YearsAtCompany],374)&lt;=5,"3-5 Years",IF(INDEX(tblCleanData[YearsAtCompany],374)&lt;=10,"6-10 Years","10+ Years")))</f>
        <v>3-5 Years</v>
      </c>
      <c r="H382" t="str">
        <f>IF(INDEX(tblCleanData[WorkLifeBalance],374)&lt;=2,"Elevated","Normal")</f>
        <v>Normal</v>
      </c>
      <c r="I382">
        <f>IF(INDEX(tblCleanData[Age],374)&lt;30,30,IF(INDEX(tblCleanData[Age],374)&lt;40,20,IF(INDEX(tblCleanData[Age],374)&lt;50,10,15)))</f>
        <v>30</v>
      </c>
      <c r="J382">
        <f>IF(INDEX(tblCleanData[MonthlyIncome],374)&lt;=$B$3,25,IF(INDEX(tblCleanData[MonthlyIncome],374)&lt;=$B$4,12,5))</f>
        <v>5</v>
      </c>
      <c r="K382">
        <f>IF(INDEX(tblCleanData[OverTime],374)="Yes",25,0)</f>
        <v>0</v>
      </c>
      <c r="L382">
        <f>(5-INDEX(tblCleanData[JobSatisfaction],374))*6.25</f>
        <v>18.75</v>
      </c>
      <c r="M382">
        <f>IF(INDEX(tblCleanData[YearsAtCompany],374)&lt;=2,25,IF(INDEX(tblCleanData[YearsAtCompany],374)&lt;=5,15,IF(INDEX(tblCleanData[YearsAtCompany],374)&lt;=10,8,3)))</f>
        <v>15</v>
      </c>
      <c r="N382">
        <f t="shared" si="10"/>
        <v>69</v>
      </c>
      <c r="O382" t="str">
        <f t="shared" si="11"/>
        <v>High Risk</v>
      </c>
    </row>
    <row r="383" spans="1:15" x14ac:dyDescent="0.25">
      <c r="A383">
        <f>INDEX(tblCleanData[EmployeeNumber],375)</f>
        <v>498</v>
      </c>
      <c r="B383" t="str">
        <f>IF(INDEX(tblCleanData[Age],375)&lt;30,"Under 30",IF(INDEX(tblCleanData[Age],375)&lt;40,"30-39",IF(INDEX(tblCleanData[Age],375)&lt;50,"40-49","50+")))</f>
        <v>Under 30</v>
      </c>
      <c r="C383" t="str">
        <f>IF(INDEX(tblCleanData[MonthlyIncome],375)&lt;=$B$3,"Low Income",IF(INDEX(tblCleanData[MonthlyIncome],375)&lt;=$B$4,"Medium Income","High Income"))</f>
        <v>High Income</v>
      </c>
      <c r="D383">
        <f>IF(INDEX(tblCleanData[Attrition],375)="Yes",1,0)</f>
        <v>0</v>
      </c>
      <c r="E383">
        <f>IF(INDEX(tblCleanData[OverTime],375)="Yes",1,0)</f>
        <v>0</v>
      </c>
      <c r="F383" t="str">
        <f>CHOOSE(INDEX(tblCleanData[Education],375),"Below College","College","Bachelor","Master","Doctor")</f>
        <v>Master</v>
      </c>
      <c r="G383" t="str">
        <f>IF(INDEX(tblCleanData[YearsAtCompany],375)&lt;=2,"0-2 Years",IF(INDEX(tblCleanData[YearsAtCompany],375)&lt;=5,"3-5 Years",IF(INDEX(tblCleanData[YearsAtCompany],375)&lt;=10,"6-10 Years","10+ Years")))</f>
        <v>6-10 Years</v>
      </c>
      <c r="H383" t="str">
        <f>IF(INDEX(tblCleanData[WorkLifeBalance],375)&lt;=2,"Elevated","Normal")</f>
        <v>Normal</v>
      </c>
      <c r="I383">
        <f>IF(INDEX(tblCleanData[Age],375)&lt;30,30,IF(INDEX(tblCleanData[Age],375)&lt;40,20,IF(INDEX(tblCleanData[Age],375)&lt;50,10,15)))</f>
        <v>30</v>
      </c>
      <c r="J383">
        <f>IF(INDEX(tblCleanData[MonthlyIncome],375)&lt;=$B$3,25,IF(INDEX(tblCleanData[MonthlyIncome],375)&lt;=$B$4,12,5))</f>
        <v>5</v>
      </c>
      <c r="K383">
        <f>IF(INDEX(tblCleanData[OverTime],375)="Yes",25,0)</f>
        <v>0</v>
      </c>
      <c r="L383">
        <f>(5-INDEX(tblCleanData[JobSatisfaction],375))*6.25</f>
        <v>6.25</v>
      </c>
      <c r="M383">
        <f>IF(INDEX(tblCleanData[YearsAtCompany],375)&lt;=2,25,IF(INDEX(tblCleanData[YearsAtCompany],375)&lt;=5,15,IF(INDEX(tblCleanData[YearsAtCompany],375)&lt;=10,8,3)))</f>
        <v>8</v>
      </c>
      <c r="N383">
        <f t="shared" si="10"/>
        <v>49</v>
      </c>
      <c r="O383" t="str">
        <f t="shared" si="11"/>
        <v>Medium Risk</v>
      </c>
    </row>
    <row r="384" spans="1:15" x14ac:dyDescent="0.25">
      <c r="A384">
        <f>INDEX(tblCleanData[EmployeeNumber],376)</f>
        <v>499</v>
      </c>
      <c r="B384" t="str">
        <f>IF(INDEX(tblCleanData[Age],376)&lt;30,"Under 30",IF(INDEX(tblCleanData[Age],376)&lt;40,"30-39",IF(INDEX(tblCleanData[Age],376)&lt;50,"40-49","50+")))</f>
        <v>40-49</v>
      </c>
      <c r="C384" t="str">
        <f>IF(INDEX(tblCleanData[MonthlyIncome],376)&lt;=$B$3,"Low Income",IF(INDEX(tblCleanData[MonthlyIncome],376)&lt;=$B$4,"Medium Income","High Income"))</f>
        <v>High Income</v>
      </c>
      <c r="D384">
        <f>IF(INDEX(tblCleanData[Attrition],376)="Yes",1,0)</f>
        <v>0</v>
      </c>
      <c r="E384">
        <f>IF(INDEX(tblCleanData[OverTime],376)="Yes",1,0)</f>
        <v>0</v>
      </c>
      <c r="F384" t="str">
        <f>CHOOSE(INDEX(tblCleanData[Education],376),"Below College","College","Bachelor","Master","Doctor")</f>
        <v>Bachelor</v>
      </c>
      <c r="G384" t="str">
        <f>IF(INDEX(tblCleanData[YearsAtCompany],376)&lt;=2,"0-2 Years",IF(INDEX(tblCleanData[YearsAtCompany],376)&lt;=5,"3-5 Years",IF(INDEX(tblCleanData[YearsAtCompany],376)&lt;=10,"6-10 Years","10+ Years")))</f>
        <v>3-5 Years</v>
      </c>
      <c r="H384" t="str">
        <f>IF(INDEX(tblCleanData[WorkLifeBalance],376)&lt;=2,"Elevated","Normal")</f>
        <v>Normal</v>
      </c>
      <c r="I384">
        <f>IF(INDEX(tblCleanData[Age],376)&lt;30,30,IF(INDEX(tblCleanData[Age],376)&lt;40,20,IF(INDEX(tblCleanData[Age],376)&lt;50,10,15)))</f>
        <v>10</v>
      </c>
      <c r="J384">
        <f>IF(INDEX(tblCleanData[MonthlyIncome],376)&lt;=$B$3,25,IF(INDEX(tblCleanData[MonthlyIncome],376)&lt;=$B$4,12,5))</f>
        <v>5</v>
      </c>
      <c r="K384">
        <f>IF(INDEX(tblCleanData[OverTime],376)="Yes",25,0)</f>
        <v>0</v>
      </c>
      <c r="L384">
        <f>(5-INDEX(tblCleanData[JobSatisfaction],376))*6.25</f>
        <v>12.5</v>
      </c>
      <c r="M384">
        <f>IF(INDEX(tblCleanData[YearsAtCompany],376)&lt;=2,25,IF(INDEX(tblCleanData[YearsAtCompany],376)&lt;=5,15,IF(INDEX(tblCleanData[YearsAtCompany],376)&lt;=10,8,3)))</f>
        <v>15</v>
      </c>
      <c r="N384">
        <f t="shared" si="10"/>
        <v>43</v>
      </c>
      <c r="O384" t="str">
        <f t="shared" si="11"/>
        <v>Medium Risk</v>
      </c>
    </row>
    <row r="385" spans="1:15" x14ac:dyDescent="0.25">
      <c r="A385">
        <f>INDEX(tblCleanData[EmployeeNumber],377)</f>
        <v>500</v>
      </c>
      <c r="B385" t="str">
        <f>IF(INDEX(tblCleanData[Age],377)&lt;30,"Under 30",IF(INDEX(tblCleanData[Age],377)&lt;40,"30-39",IF(INDEX(tblCleanData[Age],377)&lt;50,"40-49","50+")))</f>
        <v>50+</v>
      </c>
      <c r="C385" t="str">
        <f>IF(INDEX(tblCleanData[MonthlyIncome],377)&lt;=$B$3,"Low Income",IF(INDEX(tblCleanData[MonthlyIncome],377)&lt;=$B$4,"Medium Income","High Income"))</f>
        <v>High Income</v>
      </c>
      <c r="D385">
        <f>IF(INDEX(tblCleanData[Attrition],377)="Yes",1,0)</f>
        <v>0</v>
      </c>
      <c r="E385">
        <f>IF(INDEX(tblCleanData[OverTime],377)="Yes",1,0)</f>
        <v>0</v>
      </c>
      <c r="F385" t="str">
        <f>CHOOSE(INDEX(tblCleanData[Education],377),"Below College","College","Bachelor","Master","Doctor")</f>
        <v>College</v>
      </c>
      <c r="G385" t="str">
        <f>IF(INDEX(tblCleanData[YearsAtCompany],377)&lt;=2,"0-2 Years",IF(INDEX(tblCleanData[YearsAtCompany],377)&lt;=5,"3-5 Years",IF(INDEX(tblCleanData[YearsAtCompany],377)&lt;=10,"6-10 Years","10+ Years")))</f>
        <v>6-10 Years</v>
      </c>
      <c r="H385" t="str">
        <f>IF(INDEX(tblCleanData[WorkLifeBalance],377)&lt;=2,"Elevated","Normal")</f>
        <v>Elevated</v>
      </c>
      <c r="I385">
        <f>IF(INDEX(tblCleanData[Age],377)&lt;30,30,IF(INDEX(tblCleanData[Age],377)&lt;40,20,IF(INDEX(tblCleanData[Age],377)&lt;50,10,15)))</f>
        <v>15</v>
      </c>
      <c r="J385">
        <f>IF(INDEX(tblCleanData[MonthlyIncome],377)&lt;=$B$3,25,IF(INDEX(tblCleanData[MonthlyIncome],377)&lt;=$B$4,12,5))</f>
        <v>5</v>
      </c>
      <c r="K385">
        <f>IF(INDEX(tblCleanData[OverTime],377)="Yes",25,0)</f>
        <v>0</v>
      </c>
      <c r="L385">
        <f>(5-INDEX(tblCleanData[JobSatisfaction],377))*6.25</f>
        <v>6.25</v>
      </c>
      <c r="M385">
        <f>IF(INDEX(tblCleanData[YearsAtCompany],377)&lt;=2,25,IF(INDEX(tblCleanData[YearsAtCompany],377)&lt;=5,15,IF(INDEX(tblCleanData[YearsAtCompany],377)&lt;=10,8,3)))</f>
        <v>8</v>
      </c>
      <c r="N385">
        <f t="shared" si="10"/>
        <v>34</v>
      </c>
      <c r="O385" t="str">
        <f t="shared" si="11"/>
        <v>Low Risk</v>
      </c>
    </row>
    <row r="386" spans="1:15" x14ac:dyDescent="0.25">
      <c r="A386">
        <f>INDEX(tblCleanData[EmployeeNumber],378)</f>
        <v>501</v>
      </c>
      <c r="B386" t="str">
        <f>IF(INDEX(tblCleanData[Age],378)&lt;30,"Under 30",IF(INDEX(tblCleanData[Age],378)&lt;40,"30-39",IF(INDEX(tblCleanData[Age],378)&lt;50,"40-49","50+")))</f>
        <v>30-39</v>
      </c>
      <c r="C386" t="str">
        <f>IF(INDEX(tblCleanData[MonthlyIncome],378)&lt;=$B$3,"Low Income",IF(INDEX(tblCleanData[MonthlyIncome],378)&lt;=$B$4,"Medium Income","High Income"))</f>
        <v>High Income</v>
      </c>
      <c r="D386">
        <f>IF(INDEX(tblCleanData[Attrition],378)="Yes",1,0)</f>
        <v>0</v>
      </c>
      <c r="E386">
        <f>IF(INDEX(tblCleanData[OverTime],378)="Yes",1,0)</f>
        <v>0</v>
      </c>
      <c r="F386" t="str">
        <f>CHOOSE(INDEX(tblCleanData[Education],378),"Below College","College","Bachelor","Master","Doctor")</f>
        <v>Bachelor</v>
      </c>
      <c r="G386" t="str">
        <f>IF(INDEX(tblCleanData[YearsAtCompany],378)&lt;=2,"0-2 Years",IF(INDEX(tblCleanData[YearsAtCompany],378)&lt;=5,"3-5 Years",IF(INDEX(tblCleanData[YearsAtCompany],378)&lt;=10,"6-10 Years","10+ Years")))</f>
        <v>0-2 Years</v>
      </c>
      <c r="H386" t="str">
        <f>IF(INDEX(tblCleanData[WorkLifeBalance],378)&lt;=2,"Elevated","Normal")</f>
        <v>Normal</v>
      </c>
      <c r="I386">
        <f>IF(INDEX(tblCleanData[Age],378)&lt;30,30,IF(INDEX(tblCleanData[Age],378)&lt;40,20,IF(INDEX(tblCleanData[Age],378)&lt;50,10,15)))</f>
        <v>20</v>
      </c>
      <c r="J386">
        <f>IF(INDEX(tblCleanData[MonthlyIncome],378)&lt;=$B$3,25,IF(INDEX(tblCleanData[MonthlyIncome],378)&lt;=$B$4,12,5))</f>
        <v>5</v>
      </c>
      <c r="K386">
        <f>IF(INDEX(tblCleanData[OverTime],378)="Yes",25,0)</f>
        <v>0</v>
      </c>
      <c r="L386">
        <f>(5-INDEX(tblCleanData[JobSatisfaction],378))*6.25</f>
        <v>12.5</v>
      </c>
      <c r="M386">
        <f>IF(INDEX(tblCleanData[YearsAtCompany],378)&lt;=2,25,IF(INDEX(tblCleanData[YearsAtCompany],378)&lt;=5,15,IF(INDEX(tblCleanData[YearsAtCompany],378)&lt;=10,8,3)))</f>
        <v>25</v>
      </c>
      <c r="N386">
        <f t="shared" si="10"/>
        <v>63</v>
      </c>
      <c r="O386" t="str">
        <f t="shared" si="11"/>
        <v>High Risk</v>
      </c>
    </row>
    <row r="387" spans="1:15" x14ac:dyDescent="0.25">
      <c r="A387">
        <f>INDEX(tblCleanData[EmployeeNumber],379)</f>
        <v>502</v>
      </c>
      <c r="B387" t="str">
        <f>IF(INDEX(tblCleanData[Age],379)&lt;30,"Under 30",IF(INDEX(tblCleanData[Age],379)&lt;40,"30-39",IF(INDEX(tblCleanData[Age],379)&lt;50,"40-49","50+")))</f>
        <v>30-39</v>
      </c>
      <c r="C387" t="str">
        <f>IF(INDEX(tblCleanData[MonthlyIncome],379)&lt;=$B$3,"Low Income",IF(INDEX(tblCleanData[MonthlyIncome],379)&lt;=$B$4,"Medium Income","High Income"))</f>
        <v>High Income</v>
      </c>
      <c r="D387">
        <f>IF(INDEX(tblCleanData[Attrition],379)="Yes",1,0)</f>
        <v>1</v>
      </c>
      <c r="E387">
        <f>IF(INDEX(tblCleanData[OverTime],379)="Yes",1,0)</f>
        <v>1</v>
      </c>
      <c r="F387" t="str">
        <f>CHOOSE(INDEX(tblCleanData[Education],379),"Below College","College","Bachelor","Master","Doctor")</f>
        <v>Bachelor</v>
      </c>
      <c r="G387" t="str">
        <f>IF(INDEX(tblCleanData[YearsAtCompany],379)&lt;=2,"0-2 Years",IF(INDEX(tblCleanData[YearsAtCompany],379)&lt;=5,"3-5 Years",IF(INDEX(tblCleanData[YearsAtCompany],379)&lt;=10,"6-10 Years","10+ Years")))</f>
        <v>3-5 Years</v>
      </c>
      <c r="H387" t="str">
        <f>IF(INDEX(tblCleanData[WorkLifeBalance],379)&lt;=2,"Elevated","Normal")</f>
        <v>Elevated</v>
      </c>
      <c r="I387">
        <f>IF(INDEX(tblCleanData[Age],379)&lt;30,30,IF(INDEX(tblCleanData[Age],379)&lt;40,20,IF(INDEX(tblCleanData[Age],379)&lt;50,10,15)))</f>
        <v>20</v>
      </c>
      <c r="J387">
        <f>IF(INDEX(tblCleanData[MonthlyIncome],379)&lt;=$B$3,25,IF(INDEX(tblCleanData[MonthlyIncome],379)&lt;=$B$4,12,5))</f>
        <v>5</v>
      </c>
      <c r="K387">
        <f>IF(INDEX(tblCleanData[OverTime],379)="Yes",25,0)</f>
        <v>25</v>
      </c>
      <c r="L387">
        <f>(5-INDEX(tblCleanData[JobSatisfaction],379))*6.25</f>
        <v>6.25</v>
      </c>
      <c r="M387">
        <f>IF(INDEX(tblCleanData[YearsAtCompany],379)&lt;=2,25,IF(INDEX(tblCleanData[YearsAtCompany],379)&lt;=5,15,IF(INDEX(tblCleanData[YearsAtCompany],379)&lt;=10,8,3)))</f>
        <v>15</v>
      </c>
      <c r="N387">
        <f t="shared" si="10"/>
        <v>71</v>
      </c>
      <c r="O387" t="str">
        <f t="shared" si="11"/>
        <v>High Risk</v>
      </c>
    </row>
    <row r="388" spans="1:15" x14ac:dyDescent="0.25">
      <c r="A388">
        <f>INDEX(tblCleanData[EmployeeNumber],380)</f>
        <v>505</v>
      </c>
      <c r="B388" t="str">
        <f>IF(INDEX(tblCleanData[Age],380)&lt;30,"Under 30",IF(INDEX(tblCleanData[Age],380)&lt;40,"30-39",IF(INDEX(tblCleanData[Age],380)&lt;50,"40-49","50+")))</f>
        <v>50+</v>
      </c>
      <c r="C388" t="str">
        <f>IF(INDEX(tblCleanData[MonthlyIncome],380)&lt;=$B$3,"Low Income",IF(INDEX(tblCleanData[MonthlyIncome],380)&lt;=$B$4,"Medium Income","High Income"))</f>
        <v>High Income</v>
      </c>
      <c r="D388">
        <f>IF(INDEX(tblCleanData[Attrition],380)="Yes",1,0)</f>
        <v>0</v>
      </c>
      <c r="E388">
        <f>IF(INDEX(tblCleanData[OverTime],380)="Yes",1,0)</f>
        <v>1</v>
      </c>
      <c r="F388" t="str">
        <f>CHOOSE(INDEX(tblCleanData[Education],380),"Below College","College","Bachelor","Master","Doctor")</f>
        <v>Bachelor</v>
      </c>
      <c r="G388" t="str">
        <f>IF(INDEX(tblCleanData[YearsAtCompany],380)&lt;=2,"0-2 Years",IF(INDEX(tblCleanData[YearsAtCompany],380)&lt;=5,"3-5 Years",IF(INDEX(tblCleanData[YearsAtCompany],380)&lt;=10,"6-10 Years","10+ Years")))</f>
        <v>3-5 Years</v>
      </c>
      <c r="H388" t="str">
        <f>IF(INDEX(tblCleanData[WorkLifeBalance],380)&lt;=2,"Elevated","Normal")</f>
        <v>Normal</v>
      </c>
      <c r="I388">
        <f>IF(INDEX(tblCleanData[Age],380)&lt;30,30,IF(INDEX(tblCleanData[Age],380)&lt;40,20,IF(INDEX(tblCleanData[Age],380)&lt;50,10,15)))</f>
        <v>15</v>
      </c>
      <c r="J388">
        <f>IF(INDEX(tblCleanData[MonthlyIncome],380)&lt;=$B$3,25,IF(INDEX(tblCleanData[MonthlyIncome],380)&lt;=$B$4,12,5))</f>
        <v>5</v>
      </c>
      <c r="K388">
        <f>IF(INDEX(tblCleanData[OverTime],380)="Yes",25,0)</f>
        <v>25</v>
      </c>
      <c r="L388">
        <f>(5-INDEX(tblCleanData[JobSatisfaction],380))*6.25</f>
        <v>6.25</v>
      </c>
      <c r="M388">
        <f>IF(INDEX(tblCleanData[YearsAtCompany],380)&lt;=2,25,IF(INDEX(tblCleanData[YearsAtCompany],380)&lt;=5,15,IF(INDEX(tblCleanData[YearsAtCompany],380)&lt;=10,8,3)))</f>
        <v>15</v>
      </c>
      <c r="N388">
        <f t="shared" si="10"/>
        <v>66</v>
      </c>
      <c r="O388" t="str">
        <f t="shared" si="11"/>
        <v>High Risk</v>
      </c>
    </row>
    <row r="389" spans="1:15" x14ac:dyDescent="0.25">
      <c r="A389">
        <f>INDEX(tblCleanData[EmployeeNumber],381)</f>
        <v>507</v>
      </c>
      <c r="B389" t="str">
        <f>IF(INDEX(tblCleanData[Age],381)&lt;30,"Under 30",IF(INDEX(tblCleanData[Age],381)&lt;40,"30-39",IF(INDEX(tblCleanData[Age],381)&lt;50,"40-49","50+")))</f>
        <v>Under 30</v>
      </c>
      <c r="C389" t="str">
        <f>IF(INDEX(tblCleanData[MonthlyIncome],381)&lt;=$B$3,"Low Income",IF(INDEX(tblCleanData[MonthlyIncome],381)&lt;=$B$4,"Medium Income","High Income"))</f>
        <v>High Income</v>
      </c>
      <c r="D389">
        <f>IF(INDEX(tblCleanData[Attrition],381)="Yes",1,0)</f>
        <v>0</v>
      </c>
      <c r="E389">
        <f>IF(INDEX(tblCleanData[OverTime],381)="Yes",1,0)</f>
        <v>1</v>
      </c>
      <c r="F389" t="str">
        <f>CHOOSE(INDEX(tblCleanData[Education],381),"Below College","College","Bachelor","Master","Doctor")</f>
        <v>Master</v>
      </c>
      <c r="G389" t="str">
        <f>IF(INDEX(tblCleanData[YearsAtCompany],381)&lt;=2,"0-2 Years",IF(INDEX(tblCleanData[YearsAtCompany],381)&lt;=5,"3-5 Years",IF(INDEX(tblCleanData[YearsAtCompany],381)&lt;=10,"6-10 Years","10+ Years")))</f>
        <v>3-5 Years</v>
      </c>
      <c r="H389" t="str">
        <f>IF(INDEX(tblCleanData[WorkLifeBalance],381)&lt;=2,"Elevated","Normal")</f>
        <v>Normal</v>
      </c>
      <c r="I389">
        <f>IF(INDEX(tblCleanData[Age],381)&lt;30,30,IF(INDEX(tblCleanData[Age],381)&lt;40,20,IF(INDEX(tblCleanData[Age],381)&lt;50,10,15)))</f>
        <v>30</v>
      </c>
      <c r="J389">
        <f>IF(INDEX(tblCleanData[MonthlyIncome],381)&lt;=$B$3,25,IF(INDEX(tblCleanData[MonthlyIncome],381)&lt;=$B$4,12,5))</f>
        <v>5</v>
      </c>
      <c r="K389">
        <f>IF(INDEX(tblCleanData[OverTime],381)="Yes",25,0)</f>
        <v>25</v>
      </c>
      <c r="L389">
        <f>(5-INDEX(tblCleanData[JobSatisfaction],381))*6.25</f>
        <v>12.5</v>
      </c>
      <c r="M389">
        <f>IF(INDEX(tblCleanData[YearsAtCompany],381)&lt;=2,25,IF(INDEX(tblCleanData[YearsAtCompany],381)&lt;=5,15,IF(INDEX(tblCleanData[YearsAtCompany],381)&lt;=10,8,3)))</f>
        <v>15</v>
      </c>
      <c r="N389">
        <f t="shared" si="10"/>
        <v>88</v>
      </c>
      <c r="O389" t="str">
        <f t="shared" si="11"/>
        <v>High Risk</v>
      </c>
    </row>
    <row r="390" spans="1:15" x14ac:dyDescent="0.25">
      <c r="A390">
        <f>INDEX(tblCleanData[EmployeeNumber],382)</f>
        <v>508</v>
      </c>
      <c r="B390" t="str">
        <f>IF(INDEX(tblCleanData[Age],382)&lt;30,"Under 30",IF(INDEX(tblCleanData[Age],382)&lt;40,"30-39",IF(INDEX(tblCleanData[Age],382)&lt;50,"40-49","50+")))</f>
        <v>30-39</v>
      </c>
      <c r="C390" t="str">
        <f>IF(INDEX(tblCleanData[MonthlyIncome],382)&lt;=$B$3,"Low Income",IF(INDEX(tblCleanData[MonthlyIncome],382)&lt;=$B$4,"Medium Income","High Income"))</f>
        <v>High Income</v>
      </c>
      <c r="D390">
        <f>IF(INDEX(tblCleanData[Attrition],382)="Yes",1,0)</f>
        <v>0</v>
      </c>
      <c r="E390">
        <f>IF(INDEX(tblCleanData[OverTime],382)="Yes",1,0)</f>
        <v>0</v>
      </c>
      <c r="F390" t="str">
        <f>CHOOSE(INDEX(tblCleanData[Education],382),"Below College","College","Bachelor","Master","Doctor")</f>
        <v>Below College</v>
      </c>
      <c r="G390" t="str">
        <f>IF(INDEX(tblCleanData[YearsAtCompany],382)&lt;=2,"0-2 Years",IF(INDEX(tblCleanData[YearsAtCompany],382)&lt;=5,"3-5 Years",IF(INDEX(tblCleanData[YearsAtCompany],382)&lt;=10,"6-10 Years","10+ Years")))</f>
        <v>0-2 Years</v>
      </c>
      <c r="H390" t="str">
        <f>IF(INDEX(tblCleanData[WorkLifeBalance],382)&lt;=2,"Elevated","Normal")</f>
        <v>Normal</v>
      </c>
      <c r="I390">
        <f>IF(INDEX(tblCleanData[Age],382)&lt;30,30,IF(INDEX(tblCleanData[Age],382)&lt;40,20,IF(INDEX(tblCleanData[Age],382)&lt;50,10,15)))</f>
        <v>20</v>
      </c>
      <c r="J390">
        <f>IF(INDEX(tblCleanData[MonthlyIncome],382)&lt;=$B$3,25,IF(INDEX(tblCleanData[MonthlyIncome],382)&lt;=$B$4,12,5))</f>
        <v>5</v>
      </c>
      <c r="K390">
        <f>IF(INDEX(tblCleanData[OverTime],382)="Yes",25,0)</f>
        <v>0</v>
      </c>
      <c r="L390">
        <f>(5-INDEX(tblCleanData[JobSatisfaction],382))*6.25</f>
        <v>18.75</v>
      </c>
      <c r="M390">
        <f>IF(INDEX(tblCleanData[YearsAtCompany],382)&lt;=2,25,IF(INDEX(tblCleanData[YearsAtCompany],382)&lt;=5,15,IF(INDEX(tblCleanData[YearsAtCompany],382)&lt;=10,8,3)))</f>
        <v>25</v>
      </c>
      <c r="N390">
        <f t="shared" si="10"/>
        <v>69</v>
      </c>
      <c r="O390" t="str">
        <f t="shared" si="11"/>
        <v>High Risk</v>
      </c>
    </row>
    <row r="391" spans="1:15" x14ac:dyDescent="0.25">
      <c r="A391">
        <f>INDEX(tblCleanData[EmployeeNumber],383)</f>
        <v>510</v>
      </c>
      <c r="B391" t="str">
        <f>IF(INDEX(tblCleanData[Age],383)&lt;30,"Under 30",IF(INDEX(tblCleanData[Age],383)&lt;40,"30-39",IF(INDEX(tblCleanData[Age],383)&lt;50,"40-49","50+")))</f>
        <v>Under 30</v>
      </c>
      <c r="C391" t="str">
        <f>IF(INDEX(tblCleanData[MonthlyIncome],383)&lt;=$B$3,"Low Income",IF(INDEX(tblCleanData[MonthlyIncome],383)&lt;=$B$4,"Medium Income","High Income"))</f>
        <v>High Income</v>
      </c>
      <c r="D391">
        <f>IF(INDEX(tblCleanData[Attrition],383)="Yes",1,0)</f>
        <v>1</v>
      </c>
      <c r="E391">
        <f>IF(INDEX(tblCleanData[OverTime],383)="Yes",1,0)</f>
        <v>0</v>
      </c>
      <c r="F391" t="str">
        <f>CHOOSE(INDEX(tblCleanData[Education],383),"Below College","College","Bachelor","Master","Doctor")</f>
        <v>Below College</v>
      </c>
      <c r="G391" t="str">
        <f>IF(INDEX(tblCleanData[YearsAtCompany],383)&lt;=2,"0-2 Years",IF(INDEX(tblCleanData[YearsAtCompany],383)&lt;=5,"3-5 Years",IF(INDEX(tblCleanData[YearsAtCompany],383)&lt;=10,"6-10 Years","10+ Years")))</f>
        <v>6-10 Years</v>
      </c>
      <c r="H391" t="str">
        <f>IF(INDEX(tblCleanData[WorkLifeBalance],383)&lt;=2,"Elevated","Normal")</f>
        <v>Normal</v>
      </c>
      <c r="I391">
        <f>IF(INDEX(tblCleanData[Age],383)&lt;30,30,IF(INDEX(tblCleanData[Age],383)&lt;40,20,IF(INDEX(tblCleanData[Age],383)&lt;50,10,15)))</f>
        <v>30</v>
      </c>
      <c r="J391">
        <f>IF(INDEX(tblCleanData[MonthlyIncome],383)&lt;=$B$3,25,IF(INDEX(tblCleanData[MonthlyIncome],383)&lt;=$B$4,12,5))</f>
        <v>5</v>
      </c>
      <c r="K391">
        <f>IF(INDEX(tblCleanData[OverTime],383)="Yes",25,0)</f>
        <v>0</v>
      </c>
      <c r="L391">
        <f>(5-INDEX(tblCleanData[JobSatisfaction],383))*6.25</f>
        <v>25</v>
      </c>
      <c r="M391">
        <f>IF(INDEX(tblCleanData[YearsAtCompany],383)&lt;=2,25,IF(INDEX(tblCleanData[YearsAtCompany],383)&lt;=5,15,IF(INDEX(tblCleanData[YearsAtCompany],383)&lt;=10,8,3)))</f>
        <v>8</v>
      </c>
      <c r="N391">
        <f t="shared" si="10"/>
        <v>68</v>
      </c>
      <c r="O391" t="str">
        <f t="shared" si="11"/>
        <v>High Risk</v>
      </c>
    </row>
    <row r="392" spans="1:15" x14ac:dyDescent="0.25">
      <c r="A392">
        <f>INDEX(tblCleanData[EmployeeNumber],384)</f>
        <v>511</v>
      </c>
      <c r="B392" t="str">
        <f>IF(INDEX(tblCleanData[Age],384)&lt;30,"Under 30",IF(INDEX(tblCleanData[Age],384)&lt;40,"30-39",IF(INDEX(tblCleanData[Age],384)&lt;50,"40-49","50+")))</f>
        <v>Under 30</v>
      </c>
      <c r="C392" t="str">
        <f>IF(INDEX(tblCleanData[MonthlyIncome],384)&lt;=$B$3,"Low Income",IF(INDEX(tblCleanData[MonthlyIncome],384)&lt;=$B$4,"Medium Income","High Income"))</f>
        <v>High Income</v>
      </c>
      <c r="D392">
        <f>IF(INDEX(tblCleanData[Attrition],384)="Yes",1,0)</f>
        <v>0</v>
      </c>
      <c r="E392">
        <f>IF(INDEX(tblCleanData[OverTime],384)="Yes",1,0)</f>
        <v>0</v>
      </c>
      <c r="F392" t="str">
        <f>CHOOSE(INDEX(tblCleanData[Education],384),"Below College","College","Bachelor","Master","Doctor")</f>
        <v>Bachelor</v>
      </c>
      <c r="G392" t="str">
        <f>IF(INDEX(tblCleanData[YearsAtCompany],384)&lt;=2,"0-2 Years",IF(INDEX(tblCleanData[YearsAtCompany],384)&lt;=5,"3-5 Years",IF(INDEX(tblCleanData[YearsAtCompany],384)&lt;=10,"6-10 Years","10+ Years")))</f>
        <v>0-2 Years</v>
      </c>
      <c r="H392" t="str">
        <f>IF(INDEX(tblCleanData[WorkLifeBalance],384)&lt;=2,"Elevated","Normal")</f>
        <v>Normal</v>
      </c>
      <c r="I392">
        <f>IF(INDEX(tblCleanData[Age],384)&lt;30,30,IF(INDEX(tblCleanData[Age],384)&lt;40,20,IF(INDEX(tblCleanData[Age],384)&lt;50,10,15)))</f>
        <v>30</v>
      </c>
      <c r="J392">
        <f>IF(INDEX(tblCleanData[MonthlyIncome],384)&lt;=$B$3,25,IF(INDEX(tblCleanData[MonthlyIncome],384)&lt;=$B$4,12,5))</f>
        <v>5</v>
      </c>
      <c r="K392">
        <f>IF(INDEX(tblCleanData[OverTime],384)="Yes",25,0)</f>
        <v>0</v>
      </c>
      <c r="L392">
        <f>(5-INDEX(tblCleanData[JobSatisfaction],384))*6.25</f>
        <v>18.75</v>
      </c>
      <c r="M392">
        <f>IF(INDEX(tblCleanData[YearsAtCompany],384)&lt;=2,25,IF(INDEX(tblCleanData[YearsAtCompany],384)&lt;=5,15,IF(INDEX(tblCleanData[YearsAtCompany],384)&lt;=10,8,3)))</f>
        <v>25</v>
      </c>
      <c r="N392">
        <f t="shared" si="10"/>
        <v>79</v>
      </c>
      <c r="O392" t="str">
        <f t="shared" si="11"/>
        <v>High Risk</v>
      </c>
    </row>
    <row r="393" spans="1:15" x14ac:dyDescent="0.25">
      <c r="A393">
        <f>INDEX(tblCleanData[EmployeeNumber],385)</f>
        <v>513</v>
      </c>
      <c r="B393" t="str">
        <f>IF(INDEX(tblCleanData[Age],385)&lt;30,"Under 30",IF(INDEX(tblCleanData[Age],385)&lt;40,"30-39",IF(INDEX(tblCleanData[Age],385)&lt;50,"40-49","50+")))</f>
        <v>30-39</v>
      </c>
      <c r="C393" t="str">
        <f>IF(INDEX(tblCleanData[MonthlyIncome],385)&lt;=$B$3,"Low Income",IF(INDEX(tblCleanData[MonthlyIncome],385)&lt;=$B$4,"Medium Income","High Income"))</f>
        <v>High Income</v>
      </c>
      <c r="D393">
        <f>IF(INDEX(tblCleanData[Attrition],385)="Yes",1,0)</f>
        <v>0</v>
      </c>
      <c r="E393">
        <f>IF(INDEX(tblCleanData[OverTime],385)="Yes",1,0)</f>
        <v>0</v>
      </c>
      <c r="F393" t="str">
        <f>CHOOSE(INDEX(tblCleanData[Education],385),"Below College","College","Bachelor","Master","Doctor")</f>
        <v>College</v>
      </c>
      <c r="G393" t="str">
        <f>IF(INDEX(tblCleanData[YearsAtCompany],385)&lt;=2,"0-2 Years",IF(INDEX(tblCleanData[YearsAtCompany],385)&lt;=5,"3-5 Years",IF(INDEX(tblCleanData[YearsAtCompany],385)&lt;=10,"6-10 Years","10+ Years")))</f>
        <v>6-10 Years</v>
      </c>
      <c r="H393" t="str">
        <f>IF(INDEX(tblCleanData[WorkLifeBalance],385)&lt;=2,"Elevated","Normal")</f>
        <v>Normal</v>
      </c>
      <c r="I393">
        <f>IF(INDEX(tblCleanData[Age],385)&lt;30,30,IF(INDEX(tblCleanData[Age],385)&lt;40,20,IF(INDEX(tblCleanData[Age],385)&lt;50,10,15)))</f>
        <v>20</v>
      </c>
      <c r="J393">
        <f>IF(INDEX(tblCleanData[MonthlyIncome],385)&lt;=$B$3,25,IF(INDEX(tblCleanData[MonthlyIncome],385)&lt;=$B$4,12,5))</f>
        <v>5</v>
      </c>
      <c r="K393">
        <f>IF(INDEX(tblCleanData[OverTime],385)="Yes",25,0)</f>
        <v>0</v>
      </c>
      <c r="L393">
        <f>(5-INDEX(tblCleanData[JobSatisfaction],385))*6.25</f>
        <v>12.5</v>
      </c>
      <c r="M393">
        <f>IF(INDEX(tblCleanData[YearsAtCompany],385)&lt;=2,25,IF(INDEX(tblCleanData[YearsAtCompany],385)&lt;=5,15,IF(INDEX(tblCleanData[YearsAtCompany],385)&lt;=10,8,3)))</f>
        <v>8</v>
      </c>
      <c r="N393">
        <f t="shared" ref="N393:N456" si="12">ROUND(I393+J393+K393+L393+M393,0)</f>
        <v>46</v>
      </c>
      <c r="O393" t="str">
        <f t="shared" ref="O393:O456" si="13">IF(N393&gt;=55,"High Risk",IF(N393&gt;=35,"Medium Risk","Low Risk"))</f>
        <v>Medium Risk</v>
      </c>
    </row>
    <row r="394" spans="1:15" x14ac:dyDescent="0.25">
      <c r="A394">
        <f>INDEX(tblCleanData[EmployeeNumber],386)</f>
        <v>514</v>
      </c>
      <c r="B394" t="str">
        <f>IF(INDEX(tblCleanData[Age],386)&lt;30,"Under 30",IF(INDEX(tblCleanData[Age],386)&lt;40,"30-39",IF(INDEX(tblCleanData[Age],386)&lt;50,"40-49","50+")))</f>
        <v>30-39</v>
      </c>
      <c r="C394" t="str">
        <f>IF(INDEX(tblCleanData[MonthlyIncome],386)&lt;=$B$3,"Low Income",IF(INDEX(tblCleanData[MonthlyIncome],386)&lt;=$B$4,"Medium Income","High Income"))</f>
        <v>High Income</v>
      </c>
      <c r="D394">
        <f>IF(INDEX(tblCleanData[Attrition],386)="Yes",1,0)</f>
        <v>1</v>
      </c>
      <c r="E394">
        <f>IF(INDEX(tblCleanData[OverTime],386)="Yes",1,0)</f>
        <v>1</v>
      </c>
      <c r="F394" t="str">
        <f>CHOOSE(INDEX(tblCleanData[Education],386),"Below College","College","Bachelor","Master","Doctor")</f>
        <v>Bachelor</v>
      </c>
      <c r="G394" t="str">
        <f>IF(INDEX(tblCleanData[YearsAtCompany],386)&lt;=2,"0-2 Years",IF(INDEX(tblCleanData[YearsAtCompany],386)&lt;=5,"3-5 Years",IF(INDEX(tblCleanData[YearsAtCompany],386)&lt;=10,"6-10 Years","10+ Years")))</f>
        <v>0-2 Years</v>
      </c>
      <c r="H394" t="str">
        <f>IF(INDEX(tblCleanData[WorkLifeBalance],386)&lt;=2,"Elevated","Normal")</f>
        <v>Normal</v>
      </c>
      <c r="I394">
        <f>IF(INDEX(tblCleanData[Age],386)&lt;30,30,IF(INDEX(tblCleanData[Age],386)&lt;40,20,IF(INDEX(tblCleanData[Age],386)&lt;50,10,15)))</f>
        <v>20</v>
      </c>
      <c r="J394">
        <f>IF(INDEX(tblCleanData[MonthlyIncome],386)&lt;=$B$3,25,IF(INDEX(tblCleanData[MonthlyIncome],386)&lt;=$B$4,12,5))</f>
        <v>5</v>
      </c>
      <c r="K394">
        <f>IF(INDEX(tblCleanData[OverTime],386)="Yes",25,0)</f>
        <v>25</v>
      </c>
      <c r="L394">
        <f>(5-INDEX(tblCleanData[JobSatisfaction],386))*6.25</f>
        <v>6.25</v>
      </c>
      <c r="M394">
        <f>IF(INDEX(tblCleanData[YearsAtCompany],386)&lt;=2,25,IF(INDEX(tblCleanData[YearsAtCompany],386)&lt;=5,15,IF(INDEX(tblCleanData[YearsAtCompany],386)&lt;=10,8,3)))</f>
        <v>25</v>
      </c>
      <c r="N394">
        <f t="shared" si="12"/>
        <v>81</v>
      </c>
      <c r="O394" t="str">
        <f t="shared" si="13"/>
        <v>High Risk</v>
      </c>
    </row>
    <row r="395" spans="1:15" x14ac:dyDescent="0.25">
      <c r="A395">
        <f>INDEX(tblCleanData[EmployeeNumber],387)</f>
        <v>515</v>
      </c>
      <c r="B395" t="str">
        <f>IF(INDEX(tblCleanData[Age],387)&lt;30,"Under 30",IF(INDEX(tblCleanData[Age],387)&lt;40,"30-39",IF(INDEX(tblCleanData[Age],387)&lt;50,"40-49","50+")))</f>
        <v>30-39</v>
      </c>
      <c r="C395" t="str">
        <f>IF(INDEX(tblCleanData[MonthlyIncome],387)&lt;=$B$3,"Low Income",IF(INDEX(tblCleanData[MonthlyIncome],387)&lt;=$B$4,"Medium Income","High Income"))</f>
        <v>High Income</v>
      </c>
      <c r="D395">
        <f>IF(INDEX(tblCleanData[Attrition],387)="Yes",1,0)</f>
        <v>0</v>
      </c>
      <c r="E395">
        <f>IF(INDEX(tblCleanData[OverTime],387)="Yes",1,0)</f>
        <v>0</v>
      </c>
      <c r="F395" t="str">
        <f>CHOOSE(INDEX(tblCleanData[Education],387),"Below College","College","Bachelor","Master","Doctor")</f>
        <v>Bachelor</v>
      </c>
      <c r="G395" t="str">
        <f>IF(INDEX(tblCleanData[YearsAtCompany],387)&lt;=2,"0-2 Years",IF(INDEX(tblCleanData[YearsAtCompany],387)&lt;=5,"3-5 Years",IF(INDEX(tblCleanData[YearsAtCompany],387)&lt;=10,"6-10 Years","10+ Years")))</f>
        <v>10+ Years</v>
      </c>
      <c r="H395" t="str">
        <f>IF(INDEX(tblCleanData[WorkLifeBalance],387)&lt;=2,"Elevated","Normal")</f>
        <v>Elevated</v>
      </c>
      <c r="I395">
        <f>IF(INDEX(tblCleanData[Age],387)&lt;30,30,IF(INDEX(tblCleanData[Age],387)&lt;40,20,IF(INDEX(tblCleanData[Age],387)&lt;50,10,15)))</f>
        <v>20</v>
      </c>
      <c r="J395">
        <f>IF(INDEX(tblCleanData[MonthlyIncome],387)&lt;=$B$3,25,IF(INDEX(tblCleanData[MonthlyIncome],387)&lt;=$B$4,12,5))</f>
        <v>5</v>
      </c>
      <c r="K395">
        <f>IF(INDEX(tblCleanData[OverTime],387)="Yes",25,0)</f>
        <v>0</v>
      </c>
      <c r="L395">
        <f>(5-INDEX(tblCleanData[JobSatisfaction],387))*6.25</f>
        <v>25</v>
      </c>
      <c r="M395">
        <f>IF(INDEX(tblCleanData[YearsAtCompany],387)&lt;=2,25,IF(INDEX(tblCleanData[YearsAtCompany],387)&lt;=5,15,IF(INDEX(tblCleanData[YearsAtCompany],387)&lt;=10,8,3)))</f>
        <v>3</v>
      </c>
      <c r="N395">
        <f t="shared" si="12"/>
        <v>53</v>
      </c>
      <c r="O395" t="str">
        <f t="shared" si="13"/>
        <v>Medium Risk</v>
      </c>
    </row>
    <row r="396" spans="1:15" x14ac:dyDescent="0.25">
      <c r="A396">
        <f>INDEX(tblCleanData[EmployeeNumber],388)</f>
        <v>516</v>
      </c>
      <c r="B396" t="str">
        <f>IF(INDEX(tblCleanData[Age],388)&lt;30,"Under 30",IF(INDEX(tblCleanData[Age],388)&lt;40,"30-39",IF(INDEX(tblCleanData[Age],388)&lt;50,"40-49","50+")))</f>
        <v>40-49</v>
      </c>
      <c r="C396" t="str">
        <f>IF(INDEX(tblCleanData[MonthlyIncome],388)&lt;=$B$3,"Low Income",IF(INDEX(tblCleanData[MonthlyIncome],388)&lt;=$B$4,"Medium Income","High Income"))</f>
        <v>High Income</v>
      </c>
      <c r="D396">
        <f>IF(INDEX(tblCleanData[Attrition],388)="Yes",1,0)</f>
        <v>0</v>
      </c>
      <c r="E396">
        <f>IF(INDEX(tblCleanData[OverTime],388)="Yes",1,0)</f>
        <v>0</v>
      </c>
      <c r="F396" t="str">
        <f>CHOOSE(INDEX(tblCleanData[Education],388),"Below College","College","Bachelor","Master","Doctor")</f>
        <v>College</v>
      </c>
      <c r="G396" t="str">
        <f>IF(INDEX(tblCleanData[YearsAtCompany],388)&lt;=2,"0-2 Years",IF(INDEX(tblCleanData[YearsAtCompany],388)&lt;=5,"3-5 Years",IF(INDEX(tblCleanData[YearsAtCompany],388)&lt;=10,"6-10 Years","10+ Years")))</f>
        <v>3-5 Years</v>
      </c>
      <c r="H396" t="str">
        <f>IF(INDEX(tblCleanData[WorkLifeBalance],388)&lt;=2,"Elevated","Normal")</f>
        <v>Normal</v>
      </c>
      <c r="I396">
        <f>IF(INDEX(tblCleanData[Age],388)&lt;30,30,IF(INDEX(tblCleanData[Age],388)&lt;40,20,IF(INDEX(tblCleanData[Age],388)&lt;50,10,15)))</f>
        <v>10</v>
      </c>
      <c r="J396">
        <f>IF(INDEX(tblCleanData[MonthlyIncome],388)&lt;=$B$3,25,IF(INDEX(tblCleanData[MonthlyIncome],388)&lt;=$B$4,12,5))</f>
        <v>5</v>
      </c>
      <c r="K396">
        <f>IF(INDEX(tblCleanData[OverTime],388)="Yes",25,0)</f>
        <v>0</v>
      </c>
      <c r="L396">
        <f>(5-INDEX(tblCleanData[JobSatisfaction],388))*6.25</f>
        <v>18.75</v>
      </c>
      <c r="M396">
        <f>IF(INDEX(tblCleanData[YearsAtCompany],388)&lt;=2,25,IF(INDEX(tblCleanData[YearsAtCompany],388)&lt;=5,15,IF(INDEX(tblCleanData[YearsAtCompany],388)&lt;=10,8,3)))</f>
        <v>15</v>
      </c>
      <c r="N396">
        <f t="shared" si="12"/>
        <v>49</v>
      </c>
      <c r="O396" t="str">
        <f t="shared" si="13"/>
        <v>Medium Risk</v>
      </c>
    </row>
    <row r="397" spans="1:15" x14ac:dyDescent="0.25">
      <c r="A397">
        <f>INDEX(tblCleanData[EmployeeNumber],389)</f>
        <v>517</v>
      </c>
      <c r="B397" t="str">
        <f>IF(INDEX(tblCleanData[Age],389)&lt;30,"Under 30",IF(INDEX(tblCleanData[Age],389)&lt;40,"30-39",IF(INDEX(tblCleanData[Age],389)&lt;50,"40-49","50+")))</f>
        <v>40-49</v>
      </c>
      <c r="C397" t="str">
        <f>IF(INDEX(tblCleanData[MonthlyIncome],389)&lt;=$B$3,"Low Income",IF(INDEX(tblCleanData[MonthlyIncome],389)&lt;=$B$4,"Medium Income","High Income"))</f>
        <v>High Income</v>
      </c>
      <c r="D397">
        <f>IF(INDEX(tblCleanData[Attrition],389)="Yes",1,0)</f>
        <v>0</v>
      </c>
      <c r="E397">
        <f>IF(INDEX(tblCleanData[OverTime],389)="Yes",1,0)</f>
        <v>0</v>
      </c>
      <c r="F397" t="str">
        <f>CHOOSE(INDEX(tblCleanData[Education],389),"Below College","College","Bachelor","Master","Doctor")</f>
        <v>Master</v>
      </c>
      <c r="G397" t="str">
        <f>IF(INDEX(tblCleanData[YearsAtCompany],389)&lt;=2,"0-2 Years",IF(INDEX(tblCleanData[YearsAtCompany],389)&lt;=5,"3-5 Years",IF(INDEX(tblCleanData[YearsAtCompany],389)&lt;=10,"6-10 Years","10+ Years")))</f>
        <v>3-5 Years</v>
      </c>
      <c r="H397" t="str">
        <f>IF(INDEX(tblCleanData[WorkLifeBalance],389)&lt;=2,"Elevated","Normal")</f>
        <v>Normal</v>
      </c>
      <c r="I397">
        <f>IF(INDEX(tblCleanData[Age],389)&lt;30,30,IF(INDEX(tblCleanData[Age],389)&lt;40,20,IF(INDEX(tblCleanData[Age],389)&lt;50,10,15)))</f>
        <v>10</v>
      </c>
      <c r="J397">
        <f>IF(INDEX(tblCleanData[MonthlyIncome],389)&lt;=$B$3,25,IF(INDEX(tblCleanData[MonthlyIncome],389)&lt;=$B$4,12,5))</f>
        <v>5</v>
      </c>
      <c r="K397">
        <f>IF(INDEX(tblCleanData[OverTime],389)="Yes",25,0)</f>
        <v>0</v>
      </c>
      <c r="L397">
        <f>(5-INDEX(tblCleanData[JobSatisfaction],389))*6.25</f>
        <v>25</v>
      </c>
      <c r="M397">
        <f>IF(INDEX(tblCleanData[YearsAtCompany],389)&lt;=2,25,IF(INDEX(tblCleanData[YearsAtCompany],389)&lt;=5,15,IF(INDEX(tblCleanData[YearsAtCompany],389)&lt;=10,8,3)))</f>
        <v>15</v>
      </c>
      <c r="N397">
        <f t="shared" si="12"/>
        <v>55</v>
      </c>
      <c r="O397" t="str">
        <f t="shared" si="13"/>
        <v>High Risk</v>
      </c>
    </row>
    <row r="398" spans="1:15" x14ac:dyDescent="0.25">
      <c r="A398">
        <f>INDEX(tblCleanData[EmployeeNumber],390)</f>
        <v>518</v>
      </c>
      <c r="B398" t="str">
        <f>IF(INDEX(tblCleanData[Age],390)&lt;30,"Under 30",IF(INDEX(tblCleanData[Age],390)&lt;40,"30-39",IF(INDEX(tblCleanData[Age],390)&lt;50,"40-49","50+")))</f>
        <v>30-39</v>
      </c>
      <c r="C398" t="str">
        <f>IF(INDEX(tblCleanData[MonthlyIncome],390)&lt;=$B$3,"Low Income",IF(INDEX(tblCleanData[MonthlyIncome],390)&lt;=$B$4,"Medium Income","High Income"))</f>
        <v>High Income</v>
      </c>
      <c r="D398">
        <f>IF(INDEX(tblCleanData[Attrition],390)="Yes",1,0)</f>
        <v>0</v>
      </c>
      <c r="E398">
        <f>IF(INDEX(tblCleanData[OverTime],390)="Yes",1,0)</f>
        <v>1</v>
      </c>
      <c r="F398" t="str">
        <f>CHOOSE(INDEX(tblCleanData[Education],390),"Below College","College","Bachelor","Master","Doctor")</f>
        <v>Master</v>
      </c>
      <c r="G398" t="str">
        <f>IF(INDEX(tblCleanData[YearsAtCompany],390)&lt;=2,"0-2 Years",IF(INDEX(tblCleanData[YearsAtCompany],390)&lt;=5,"3-5 Years",IF(INDEX(tblCleanData[YearsAtCompany],390)&lt;=10,"6-10 Years","10+ Years")))</f>
        <v>0-2 Years</v>
      </c>
      <c r="H398" t="str">
        <f>IF(INDEX(tblCleanData[WorkLifeBalance],390)&lt;=2,"Elevated","Normal")</f>
        <v>Elevated</v>
      </c>
      <c r="I398">
        <f>IF(INDEX(tblCleanData[Age],390)&lt;30,30,IF(INDEX(tblCleanData[Age],390)&lt;40,20,IF(INDEX(tblCleanData[Age],390)&lt;50,10,15)))</f>
        <v>20</v>
      </c>
      <c r="J398">
        <f>IF(INDEX(tblCleanData[MonthlyIncome],390)&lt;=$B$3,25,IF(INDEX(tblCleanData[MonthlyIncome],390)&lt;=$B$4,12,5))</f>
        <v>5</v>
      </c>
      <c r="K398">
        <f>IF(INDEX(tblCleanData[OverTime],390)="Yes",25,0)</f>
        <v>25</v>
      </c>
      <c r="L398">
        <f>(5-INDEX(tblCleanData[JobSatisfaction],390))*6.25</f>
        <v>18.75</v>
      </c>
      <c r="M398">
        <f>IF(INDEX(tblCleanData[YearsAtCompany],390)&lt;=2,25,IF(INDEX(tblCleanData[YearsAtCompany],390)&lt;=5,15,IF(INDEX(tblCleanData[YearsAtCompany],390)&lt;=10,8,3)))</f>
        <v>25</v>
      </c>
      <c r="N398">
        <f t="shared" si="12"/>
        <v>94</v>
      </c>
      <c r="O398" t="str">
        <f t="shared" si="13"/>
        <v>High Risk</v>
      </c>
    </row>
    <row r="399" spans="1:15" x14ac:dyDescent="0.25">
      <c r="A399">
        <f>INDEX(tblCleanData[EmployeeNumber],391)</f>
        <v>520</v>
      </c>
      <c r="B399" t="str">
        <f>IF(INDEX(tblCleanData[Age],391)&lt;30,"Under 30",IF(INDEX(tblCleanData[Age],391)&lt;40,"30-39",IF(INDEX(tblCleanData[Age],391)&lt;50,"40-49","50+")))</f>
        <v>40-49</v>
      </c>
      <c r="C399" t="str">
        <f>IF(INDEX(tblCleanData[MonthlyIncome],391)&lt;=$B$3,"Low Income",IF(INDEX(tblCleanData[MonthlyIncome],391)&lt;=$B$4,"Medium Income","High Income"))</f>
        <v>High Income</v>
      </c>
      <c r="D399">
        <f>IF(INDEX(tblCleanData[Attrition],391)="Yes",1,0)</f>
        <v>0</v>
      </c>
      <c r="E399">
        <f>IF(INDEX(tblCleanData[OverTime],391)="Yes",1,0)</f>
        <v>0</v>
      </c>
      <c r="F399" t="str">
        <f>CHOOSE(INDEX(tblCleanData[Education],391),"Below College","College","Bachelor","Master","Doctor")</f>
        <v>Bachelor</v>
      </c>
      <c r="G399" t="str">
        <f>IF(INDEX(tblCleanData[YearsAtCompany],391)&lt;=2,"0-2 Years",IF(INDEX(tblCleanData[YearsAtCompany],391)&lt;=5,"3-5 Years",IF(INDEX(tblCleanData[YearsAtCompany],391)&lt;=10,"6-10 Years","10+ Years")))</f>
        <v>10+ Years</v>
      </c>
      <c r="H399" t="str">
        <f>IF(INDEX(tblCleanData[WorkLifeBalance],391)&lt;=2,"Elevated","Normal")</f>
        <v>Normal</v>
      </c>
      <c r="I399">
        <f>IF(INDEX(tblCleanData[Age],391)&lt;30,30,IF(INDEX(tblCleanData[Age],391)&lt;40,20,IF(INDEX(tblCleanData[Age],391)&lt;50,10,15)))</f>
        <v>10</v>
      </c>
      <c r="J399">
        <f>IF(INDEX(tblCleanData[MonthlyIncome],391)&lt;=$B$3,25,IF(INDEX(tblCleanData[MonthlyIncome],391)&lt;=$B$4,12,5))</f>
        <v>5</v>
      </c>
      <c r="K399">
        <f>IF(INDEX(tblCleanData[OverTime],391)="Yes",25,0)</f>
        <v>0</v>
      </c>
      <c r="L399">
        <f>(5-INDEX(tblCleanData[JobSatisfaction],391))*6.25</f>
        <v>18.75</v>
      </c>
      <c r="M399">
        <f>IF(INDEX(tblCleanData[YearsAtCompany],391)&lt;=2,25,IF(INDEX(tblCleanData[YearsAtCompany],391)&lt;=5,15,IF(INDEX(tblCleanData[YearsAtCompany],391)&lt;=10,8,3)))</f>
        <v>3</v>
      </c>
      <c r="N399">
        <f t="shared" si="12"/>
        <v>37</v>
      </c>
      <c r="O399" t="str">
        <f t="shared" si="13"/>
        <v>Medium Risk</v>
      </c>
    </row>
    <row r="400" spans="1:15" x14ac:dyDescent="0.25">
      <c r="A400">
        <f>INDEX(tblCleanData[EmployeeNumber],392)</f>
        <v>521</v>
      </c>
      <c r="B400" t="str">
        <f>IF(INDEX(tblCleanData[Age],392)&lt;30,"Under 30",IF(INDEX(tblCleanData[Age],392)&lt;40,"30-39",IF(INDEX(tblCleanData[Age],392)&lt;50,"40-49","50+")))</f>
        <v>40-49</v>
      </c>
      <c r="C400" t="str">
        <f>IF(INDEX(tblCleanData[MonthlyIncome],392)&lt;=$B$3,"Low Income",IF(INDEX(tblCleanData[MonthlyIncome],392)&lt;=$B$4,"Medium Income","High Income"))</f>
        <v>High Income</v>
      </c>
      <c r="D400">
        <f>IF(INDEX(tblCleanData[Attrition],392)="Yes",1,0)</f>
        <v>0</v>
      </c>
      <c r="E400">
        <f>IF(INDEX(tblCleanData[OverTime],392)="Yes",1,0)</f>
        <v>0</v>
      </c>
      <c r="F400" t="str">
        <f>CHOOSE(INDEX(tblCleanData[Education],392),"Below College","College","Bachelor","Master","Doctor")</f>
        <v>Bachelor</v>
      </c>
      <c r="G400" t="str">
        <f>IF(INDEX(tblCleanData[YearsAtCompany],392)&lt;=2,"0-2 Years",IF(INDEX(tblCleanData[YearsAtCompany],392)&lt;=5,"3-5 Years",IF(INDEX(tblCleanData[YearsAtCompany],392)&lt;=10,"6-10 Years","10+ Years")))</f>
        <v>0-2 Years</v>
      </c>
      <c r="H400" t="str">
        <f>IF(INDEX(tblCleanData[WorkLifeBalance],392)&lt;=2,"Elevated","Normal")</f>
        <v>Normal</v>
      </c>
      <c r="I400">
        <f>IF(INDEX(tblCleanData[Age],392)&lt;30,30,IF(INDEX(tblCleanData[Age],392)&lt;40,20,IF(INDEX(tblCleanData[Age],392)&lt;50,10,15)))</f>
        <v>10</v>
      </c>
      <c r="J400">
        <f>IF(INDEX(tblCleanData[MonthlyIncome],392)&lt;=$B$3,25,IF(INDEX(tblCleanData[MonthlyIncome],392)&lt;=$B$4,12,5))</f>
        <v>5</v>
      </c>
      <c r="K400">
        <f>IF(INDEX(tblCleanData[OverTime],392)="Yes",25,0)</f>
        <v>0</v>
      </c>
      <c r="L400">
        <f>(5-INDEX(tblCleanData[JobSatisfaction],392))*6.25</f>
        <v>12.5</v>
      </c>
      <c r="M400">
        <f>IF(INDEX(tblCleanData[YearsAtCompany],392)&lt;=2,25,IF(INDEX(tblCleanData[YearsAtCompany],392)&lt;=5,15,IF(INDEX(tblCleanData[YearsAtCompany],392)&lt;=10,8,3)))</f>
        <v>25</v>
      </c>
      <c r="N400">
        <f t="shared" si="12"/>
        <v>53</v>
      </c>
      <c r="O400" t="str">
        <f t="shared" si="13"/>
        <v>Medium Risk</v>
      </c>
    </row>
    <row r="401" spans="1:15" x14ac:dyDescent="0.25">
      <c r="A401">
        <f>INDEX(tblCleanData[EmployeeNumber],393)</f>
        <v>522</v>
      </c>
      <c r="B401" t="str">
        <f>IF(INDEX(tblCleanData[Age],393)&lt;30,"Under 30",IF(INDEX(tblCleanData[Age],393)&lt;40,"30-39",IF(INDEX(tblCleanData[Age],393)&lt;50,"40-49","50+")))</f>
        <v>50+</v>
      </c>
      <c r="C401" t="str">
        <f>IF(INDEX(tblCleanData[MonthlyIncome],393)&lt;=$B$3,"Low Income",IF(INDEX(tblCleanData[MonthlyIncome],393)&lt;=$B$4,"Medium Income","High Income"))</f>
        <v>High Income</v>
      </c>
      <c r="D401">
        <f>IF(INDEX(tblCleanData[Attrition],393)="Yes",1,0)</f>
        <v>0</v>
      </c>
      <c r="E401">
        <f>IF(INDEX(tblCleanData[OverTime],393)="Yes",1,0)</f>
        <v>0</v>
      </c>
      <c r="F401" t="str">
        <f>CHOOSE(INDEX(tblCleanData[Education],393),"Below College","College","Bachelor","Master","Doctor")</f>
        <v>College</v>
      </c>
      <c r="G401" t="str">
        <f>IF(INDEX(tblCleanData[YearsAtCompany],393)&lt;=2,"0-2 Years",IF(INDEX(tblCleanData[YearsAtCompany],393)&lt;=5,"3-5 Years",IF(INDEX(tblCleanData[YearsAtCompany],393)&lt;=10,"6-10 Years","10+ Years")))</f>
        <v>3-5 Years</v>
      </c>
      <c r="H401" t="str">
        <f>IF(INDEX(tblCleanData[WorkLifeBalance],393)&lt;=2,"Elevated","Normal")</f>
        <v>Elevated</v>
      </c>
      <c r="I401">
        <f>IF(INDEX(tblCleanData[Age],393)&lt;30,30,IF(INDEX(tblCleanData[Age],393)&lt;40,20,IF(INDEX(tblCleanData[Age],393)&lt;50,10,15)))</f>
        <v>15</v>
      </c>
      <c r="J401">
        <f>IF(INDEX(tblCleanData[MonthlyIncome],393)&lt;=$B$3,25,IF(INDEX(tblCleanData[MonthlyIncome],393)&lt;=$B$4,12,5))</f>
        <v>5</v>
      </c>
      <c r="K401">
        <f>IF(INDEX(tblCleanData[OverTime],393)="Yes",25,0)</f>
        <v>0</v>
      </c>
      <c r="L401">
        <f>(5-INDEX(tblCleanData[JobSatisfaction],393))*6.25</f>
        <v>25</v>
      </c>
      <c r="M401">
        <f>IF(INDEX(tblCleanData[YearsAtCompany],393)&lt;=2,25,IF(INDEX(tblCleanData[YearsAtCompany],393)&lt;=5,15,IF(INDEX(tblCleanData[YearsAtCompany],393)&lt;=10,8,3)))</f>
        <v>15</v>
      </c>
      <c r="N401">
        <f t="shared" si="12"/>
        <v>60</v>
      </c>
      <c r="O401" t="str">
        <f t="shared" si="13"/>
        <v>High Risk</v>
      </c>
    </row>
    <row r="402" spans="1:15" x14ac:dyDescent="0.25">
      <c r="A402">
        <f>INDEX(tblCleanData[EmployeeNumber],394)</f>
        <v>523</v>
      </c>
      <c r="B402" t="str">
        <f>IF(INDEX(tblCleanData[Age],394)&lt;30,"Under 30",IF(INDEX(tblCleanData[Age],394)&lt;40,"30-39",IF(INDEX(tblCleanData[Age],394)&lt;50,"40-49","50+")))</f>
        <v>30-39</v>
      </c>
      <c r="C402" t="str">
        <f>IF(INDEX(tblCleanData[MonthlyIncome],394)&lt;=$B$3,"Low Income",IF(INDEX(tblCleanData[MonthlyIncome],394)&lt;=$B$4,"Medium Income","High Income"))</f>
        <v>High Income</v>
      </c>
      <c r="D402">
        <f>IF(INDEX(tblCleanData[Attrition],394)="Yes",1,0)</f>
        <v>0</v>
      </c>
      <c r="E402">
        <f>IF(INDEX(tblCleanData[OverTime],394)="Yes",1,0)</f>
        <v>0</v>
      </c>
      <c r="F402" t="str">
        <f>CHOOSE(INDEX(tblCleanData[Education],394),"Below College","College","Bachelor","Master","Doctor")</f>
        <v>Master</v>
      </c>
      <c r="G402" t="str">
        <f>IF(INDEX(tblCleanData[YearsAtCompany],394)&lt;=2,"0-2 Years",IF(INDEX(tblCleanData[YearsAtCompany],394)&lt;=5,"3-5 Years",IF(INDEX(tblCleanData[YearsAtCompany],394)&lt;=10,"6-10 Years","10+ Years")))</f>
        <v>3-5 Years</v>
      </c>
      <c r="H402" t="str">
        <f>IF(INDEX(tblCleanData[WorkLifeBalance],394)&lt;=2,"Elevated","Normal")</f>
        <v>Normal</v>
      </c>
      <c r="I402">
        <f>IF(INDEX(tblCleanData[Age],394)&lt;30,30,IF(INDEX(tblCleanData[Age],394)&lt;40,20,IF(INDEX(tblCleanData[Age],394)&lt;50,10,15)))</f>
        <v>20</v>
      </c>
      <c r="J402">
        <f>IF(INDEX(tblCleanData[MonthlyIncome],394)&lt;=$B$3,25,IF(INDEX(tblCleanData[MonthlyIncome],394)&lt;=$B$4,12,5))</f>
        <v>5</v>
      </c>
      <c r="K402">
        <f>IF(INDEX(tblCleanData[OverTime],394)="Yes",25,0)</f>
        <v>0</v>
      </c>
      <c r="L402">
        <f>(5-INDEX(tblCleanData[JobSatisfaction],394))*6.25</f>
        <v>12.5</v>
      </c>
      <c r="M402">
        <f>IF(INDEX(tblCleanData[YearsAtCompany],394)&lt;=2,25,IF(INDEX(tblCleanData[YearsAtCompany],394)&lt;=5,15,IF(INDEX(tblCleanData[YearsAtCompany],394)&lt;=10,8,3)))</f>
        <v>15</v>
      </c>
      <c r="N402">
        <f t="shared" si="12"/>
        <v>53</v>
      </c>
      <c r="O402" t="str">
        <f t="shared" si="13"/>
        <v>Medium Risk</v>
      </c>
    </row>
    <row r="403" spans="1:15" x14ac:dyDescent="0.25">
      <c r="A403">
        <f>INDEX(tblCleanData[EmployeeNumber],395)</f>
        <v>524</v>
      </c>
      <c r="B403" t="str">
        <f>IF(INDEX(tblCleanData[Age],395)&lt;30,"Under 30",IF(INDEX(tblCleanData[Age],395)&lt;40,"30-39",IF(INDEX(tblCleanData[Age],395)&lt;50,"40-49","50+")))</f>
        <v>30-39</v>
      </c>
      <c r="C403" t="str">
        <f>IF(INDEX(tblCleanData[MonthlyIncome],395)&lt;=$B$3,"Low Income",IF(INDEX(tblCleanData[MonthlyIncome],395)&lt;=$B$4,"Medium Income","High Income"))</f>
        <v>High Income</v>
      </c>
      <c r="D403">
        <f>IF(INDEX(tblCleanData[Attrition],395)="Yes",1,0)</f>
        <v>0</v>
      </c>
      <c r="E403">
        <f>IF(INDEX(tblCleanData[OverTime],395)="Yes",1,0)</f>
        <v>0</v>
      </c>
      <c r="F403" t="str">
        <f>CHOOSE(INDEX(tblCleanData[Education],395),"Below College","College","Bachelor","Master","Doctor")</f>
        <v>College</v>
      </c>
      <c r="G403" t="str">
        <f>IF(INDEX(tblCleanData[YearsAtCompany],395)&lt;=2,"0-2 Years",IF(INDEX(tblCleanData[YearsAtCompany],395)&lt;=5,"3-5 Years",IF(INDEX(tblCleanData[YearsAtCompany],395)&lt;=10,"6-10 Years","10+ Years")))</f>
        <v>10+ Years</v>
      </c>
      <c r="H403" t="str">
        <f>IF(INDEX(tblCleanData[WorkLifeBalance],395)&lt;=2,"Elevated","Normal")</f>
        <v>Elevated</v>
      </c>
      <c r="I403">
        <f>IF(INDEX(tblCleanData[Age],395)&lt;30,30,IF(INDEX(tblCleanData[Age],395)&lt;40,20,IF(INDEX(tblCleanData[Age],395)&lt;50,10,15)))</f>
        <v>20</v>
      </c>
      <c r="J403">
        <f>IF(INDEX(tblCleanData[MonthlyIncome],395)&lt;=$B$3,25,IF(INDEX(tblCleanData[MonthlyIncome],395)&lt;=$B$4,12,5))</f>
        <v>5</v>
      </c>
      <c r="K403">
        <f>IF(INDEX(tblCleanData[OverTime],395)="Yes",25,0)</f>
        <v>0</v>
      </c>
      <c r="L403">
        <f>(5-INDEX(tblCleanData[JobSatisfaction],395))*6.25</f>
        <v>25</v>
      </c>
      <c r="M403">
        <f>IF(INDEX(tblCleanData[YearsAtCompany],395)&lt;=2,25,IF(INDEX(tblCleanData[YearsAtCompany],395)&lt;=5,15,IF(INDEX(tblCleanData[YearsAtCompany],395)&lt;=10,8,3)))</f>
        <v>3</v>
      </c>
      <c r="N403">
        <f t="shared" si="12"/>
        <v>53</v>
      </c>
      <c r="O403" t="str">
        <f t="shared" si="13"/>
        <v>Medium Risk</v>
      </c>
    </row>
    <row r="404" spans="1:15" x14ac:dyDescent="0.25">
      <c r="A404">
        <f>INDEX(tblCleanData[EmployeeNumber],396)</f>
        <v>525</v>
      </c>
      <c r="B404" t="str">
        <f>IF(INDEX(tblCleanData[Age],396)&lt;30,"Under 30",IF(INDEX(tblCleanData[Age],396)&lt;40,"30-39",IF(INDEX(tblCleanData[Age],396)&lt;50,"40-49","50+")))</f>
        <v>40-49</v>
      </c>
      <c r="C404" t="str">
        <f>IF(INDEX(tblCleanData[MonthlyIncome],396)&lt;=$B$3,"Low Income",IF(INDEX(tblCleanData[MonthlyIncome],396)&lt;=$B$4,"Medium Income","High Income"))</f>
        <v>High Income</v>
      </c>
      <c r="D404">
        <f>IF(INDEX(tblCleanData[Attrition],396)="Yes",1,0)</f>
        <v>0</v>
      </c>
      <c r="E404">
        <f>IF(INDEX(tblCleanData[OverTime],396)="Yes",1,0)</f>
        <v>0</v>
      </c>
      <c r="F404" t="str">
        <f>CHOOSE(INDEX(tblCleanData[Education],396),"Below College","College","Bachelor","Master","Doctor")</f>
        <v>Bachelor</v>
      </c>
      <c r="G404" t="str">
        <f>IF(INDEX(tblCleanData[YearsAtCompany],396)&lt;=2,"0-2 Years",IF(INDEX(tblCleanData[YearsAtCompany],396)&lt;=5,"3-5 Years",IF(INDEX(tblCleanData[YearsAtCompany],396)&lt;=10,"6-10 Years","10+ Years")))</f>
        <v>3-5 Years</v>
      </c>
      <c r="H404" t="str">
        <f>IF(INDEX(tblCleanData[WorkLifeBalance],396)&lt;=2,"Elevated","Normal")</f>
        <v>Normal</v>
      </c>
      <c r="I404">
        <f>IF(INDEX(tblCleanData[Age],396)&lt;30,30,IF(INDEX(tblCleanData[Age],396)&lt;40,20,IF(INDEX(tblCleanData[Age],396)&lt;50,10,15)))</f>
        <v>10</v>
      </c>
      <c r="J404">
        <f>IF(INDEX(tblCleanData[MonthlyIncome],396)&lt;=$B$3,25,IF(INDEX(tblCleanData[MonthlyIncome],396)&lt;=$B$4,12,5))</f>
        <v>5</v>
      </c>
      <c r="K404">
        <f>IF(INDEX(tblCleanData[OverTime],396)="Yes",25,0)</f>
        <v>0</v>
      </c>
      <c r="L404">
        <f>(5-INDEX(tblCleanData[JobSatisfaction],396))*6.25</f>
        <v>6.25</v>
      </c>
      <c r="M404">
        <f>IF(INDEX(tblCleanData[YearsAtCompany],396)&lt;=2,25,IF(INDEX(tblCleanData[YearsAtCompany],396)&lt;=5,15,IF(INDEX(tblCleanData[YearsAtCompany],396)&lt;=10,8,3)))</f>
        <v>15</v>
      </c>
      <c r="N404">
        <f t="shared" si="12"/>
        <v>36</v>
      </c>
      <c r="O404" t="str">
        <f t="shared" si="13"/>
        <v>Medium Risk</v>
      </c>
    </row>
    <row r="405" spans="1:15" x14ac:dyDescent="0.25">
      <c r="A405">
        <f>INDEX(tblCleanData[EmployeeNumber],397)</f>
        <v>526</v>
      </c>
      <c r="B405" t="str">
        <f>IF(INDEX(tblCleanData[Age],397)&lt;30,"Under 30",IF(INDEX(tblCleanData[Age],397)&lt;40,"30-39",IF(INDEX(tblCleanData[Age],397)&lt;50,"40-49","50+")))</f>
        <v>40-49</v>
      </c>
      <c r="C405" t="str">
        <f>IF(INDEX(tblCleanData[MonthlyIncome],397)&lt;=$B$3,"Low Income",IF(INDEX(tblCleanData[MonthlyIncome],397)&lt;=$B$4,"Medium Income","High Income"))</f>
        <v>High Income</v>
      </c>
      <c r="D405">
        <f>IF(INDEX(tblCleanData[Attrition],397)="Yes",1,0)</f>
        <v>0</v>
      </c>
      <c r="E405">
        <f>IF(INDEX(tblCleanData[OverTime],397)="Yes",1,0)</f>
        <v>1</v>
      </c>
      <c r="F405" t="str">
        <f>CHOOSE(INDEX(tblCleanData[Education],397),"Below College","College","Bachelor","Master","Doctor")</f>
        <v>Master</v>
      </c>
      <c r="G405" t="str">
        <f>IF(INDEX(tblCleanData[YearsAtCompany],397)&lt;=2,"0-2 Years",IF(INDEX(tblCleanData[YearsAtCompany],397)&lt;=5,"3-5 Years",IF(INDEX(tblCleanData[YearsAtCompany],397)&lt;=10,"6-10 Years","10+ Years")))</f>
        <v>3-5 Years</v>
      </c>
      <c r="H405" t="str">
        <f>IF(INDEX(tblCleanData[WorkLifeBalance],397)&lt;=2,"Elevated","Normal")</f>
        <v>Normal</v>
      </c>
      <c r="I405">
        <f>IF(INDEX(tblCleanData[Age],397)&lt;30,30,IF(INDEX(tblCleanData[Age],397)&lt;40,20,IF(INDEX(tblCleanData[Age],397)&lt;50,10,15)))</f>
        <v>10</v>
      </c>
      <c r="J405">
        <f>IF(INDEX(tblCleanData[MonthlyIncome],397)&lt;=$B$3,25,IF(INDEX(tblCleanData[MonthlyIncome],397)&lt;=$B$4,12,5))</f>
        <v>5</v>
      </c>
      <c r="K405">
        <f>IF(INDEX(tblCleanData[OverTime],397)="Yes",25,0)</f>
        <v>25</v>
      </c>
      <c r="L405">
        <f>(5-INDEX(tblCleanData[JobSatisfaction],397))*6.25</f>
        <v>12.5</v>
      </c>
      <c r="M405">
        <f>IF(INDEX(tblCleanData[YearsAtCompany],397)&lt;=2,25,IF(INDEX(tblCleanData[YearsAtCompany],397)&lt;=5,15,IF(INDEX(tblCleanData[YearsAtCompany],397)&lt;=10,8,3)))</f>
        <v>15</v>
      </c>
      <c r="N405">
        <f t="shared" si="12"/>
        <v>68</v>
      </c>
      <c r="O405" t="str">
        <f t="shared" si="13"/>
        <v>High Risk</v>
      </c>
    </row>
    <row r="406" spans="1:15" x14ac:dyDescent="0.25">
      <c r="A406">
        <f>INDEX(tblCleanData[EmployeeNumber],398)</f>
        <v>527</v>
      </c>
      <c r="B406" t="str">
        <f>IF(INDEX(tblCleanData[Age],398)&lt;30,"Under 30",IF(INDEX(tblCleanData[Age],398)&lt;40,"30-39",IF(INDEX(tblCleanData[Age],398)&lt;50,"40-49","50+")))</f>
        <v>Under 30</v>
      </c>
      <c r="C406" t="str">
        <f>IF(INDEX(tblCleanData[MonthlyIncome],398)&lt;=$B$3,"Low Income",IF(INDEX(tblCleanData[MonthlyIncome],398)&lt;=$B$4,"Medium Income","High Income"))</f>
        <v>High Income</v>
      </c>
      <c r="D406">
        <f>IF(INDEX(tblCleanData[Attrition],398)="Yes",1,0)</f>
        <v>0</v>
      </c>
      <c r="E406">
        <f>IF(INDEX(tblCleanData[OverTime],398)="Yes",1,0)</f>
        <v>1</v>
      </c>
      <c r="F406" t="str">
        <f>CHOOSE(INDEX(tblCleanData[Education],398),"Below College","College","Bachelor","Master","Doctor")</f>
        <v>College</v>
      </c>
      <c r="G406" t="str">
        <f>IF(INDEX(tblCleanData[YearsAtCompany],398)&lt;=2,"0-2 Years",IF(INDEX(tblCleanData[YearsAtCompany],398)&lt;=5,"3-5 Years",IF(INDEX(tblCleanData[YearsAtCompany],398)&lt;=10,"6-10 Years","10+ Years")))</f>
        <v>3-5 Years</v>
      </c>
      <c r="H406" t="str">
        <f>IF(INDEX(tblCleanData[WorkLifeBalance],398)&lt;=2,"Elevated","Normal")</f>
        <v>Normal</v>
      </c>
      <c r="I406">
        <f>IF(INDEX(tblCleanData[Age],398)&lt;30,30,IF(INDEX(tblCleanData[Age],398)&lt;40,20,IF(INDEX(tblCleanData[Age],398)&lt;50,10,15)))</f>
        <v>30</v>
      </c>
      <c r="J406">
        <f>IF(INDEX(tblCleanData[MonthlyIncome],398)&lt;=$B$3,25,IF(INDEX(tblCleanData[MonthlyIncome],398)&lt;=$B$4,12,5))</f>
        <v>5</v>
      </c>
      <c r="K406">
        <f>IF(INDEX(tblCleanData[OverTime],398)="Yes",25,0)</f>
        <v>25</v>
      </c>
      <c r="L406">
        <f>(5-INDEX(tblCleanData[JobSatisfaction],398))*6.25</f>
        <v>6.25</v>
      </c>
      <c r="M406">
        <f>IF(INDEX(tblCleanData[YearsAtCompany],398)&lt;=2,25,IF(INDEX(tblCleanData[YearsAtCompany],398)&lt;=5,15,IF(INDEX(tblCleanData[YearsAtCompany],398)&lt;=10,8,3)))</f>
        <v>15</v>
      </c>
      <c r="N406">
        <f t="shared" si="12"/>
        <v>81</v>
      </c>
      <c r="O406" t="str">
        <f t="shared" si="13"/>
        <v>High Risk</v>
      </c>
    </row>
    <row r="407" spans="1:15" x14ac:dyDescent="0.25">
      <c r="A407">
        <f>INDEX(tblCleanData[EmployeeNumber],399)</f>
        <v>529</v>
      </c>
      <c r="B407" t="str">
        <f>IF(INDEX(tblCleanData[Age],399)&lt;30,"Under 30",IF(INDEX(tblCleanData[Age],399)&lt;40,"30-39",IF(INDEX(tblCleanData[Age],399)&lt;50,"40-49","50+")))</f>
        <v>30-39</v>
      </c>
      <c r="C407" t="str">
        <f>IF(INDEX(tblCleanData[MonthlyIncome],399)&lt;=$B$3,"Low Income",IF(INDEX(tblCleanData[MonthlyIncome],399)&lt;=$B$4,"Medium Income","High Income"))</f>
        <v>High Income</v>
      </c>
      <c r="D407">
        <f>IF(INDEX(tblCleanData[Attrition],399)="Yes",1,0)</f>
        <v>0</v>
      </c>
      <c r="E407">
        <f>IF(INDEX(tblCleanData[OverTime],399)="Yes",1,0)</f>
        <v>1</v>
      </c>
      <c r="F407" t="str">
        <f>CHOOSE(INDEX(tblCleanData[Education],399),"Below College","College","Bachelor","Master","Doctor")</f>
        <v>Doctor</v>
      </c>
      <c r="G407" t="str">
        <f>IF(INDEX(tblCleanData[YearsAtCompany],399)&lt;=2,"0-2 Years",IF(INDEX(tblCleanData[YearsAtCompany],399)&lt;=5,"3-5 Years",IF(INDEX(tblCleanData[YearsAtCompany],399)&lt;=10,"6-10 Years","10+ Years")))</f>
        <v>10+ Years</v>
      </c>
      <c r="H407" t="str">
        <f>IF(INDEX(tblCleanData[WorkLifeBalance],399)&lt;=2,"Elevated","Normal")</f>
        <v>Normal</v>
      </c>
      <c r="I407">
        <f>IF(INDEX(tblCleanData[Age],399)&lt;30,30,IF(INDEX(tblCleanData[Age],399)&lt;40,20,IF(INDEX(tblCleanData[Age],399)&lt;50,10,15)))</f>
        <v>20</v>
      </c>
      <c r="J407">
        <f>IF(INDEX(tblCleanData[MonthlyIncome],399)&lt;=$B$3,25,IF(INDEX(tblCleanData[MonthlyIncome],399)&lt;=$B$4,12,5))</f>
        <v>5</v>
      </c>
      <c r="K407">
        <f>IF(INDEX(tblCleanData[OverTime],399)="Yes",25,0)</f>
        <v>25</v>
      </c>
      <c r="L407">
        <f>(5-INDEX(tblCleanData[JobSatisfaction],399))*6.25</f>
        <v>12.5</v>
      </c>
      <c r="M407">
        <f>IF(INDEX(tblCleanData[YearsAtCompany],399)&lt;=2,25,IF(INDEX(tblCleanData[YearsAtCompany],399)&lt;=5,15,IF(INDEX(tblCleanData[YearsAtCompany],399)&lt;=10,8,3)))</f>
        <v>3</v>
      </c>
      <c r="N407">
        <f t="shared" si="12"/>
        <v>66</v>
      </c>
      <c r="O407" t="str">
        <f t="shared" si="13"/>
        <v>High Risk</v>
      </c>
    </row>
    <row r="408" spans="1:15" x14ac:dyDescent="0.25">
      <c r="A408">
        <f>INDEX(tblCleanData[EmployeeNumber],400)</f>
        <v>530</v>
      </c>
      <c r="B408" t="str">
        <f>IF(INDEX(tblCleanData[Age],400)&lt;30,"Under 30",IF(INDEX(tblCleanData[Age],400)&lt;40,"30-39",IF(INDEX(tblCleanData[Age],400)&lt;50,"40-49","50+")))</f>
        <v>30-39</v>
      </c>
      <c r="C408" t="str">
        <f>IF(INDEX(tblCleanData[MonthlyIncome],400)&lt;=$B$3,"Low Income",IF(INDEX(tblCleanData[MonthlyIncome],400)&lt;=$B$4,"Medium Income","High Income"))</f>
        <v>High Income</v>
      </c>
      <c r="D408">
        <f>IF(INDEX(tblCleanData[Attrition],400)="Yes",1,0)</f>
        <v>0</v>
      </c>
      <c r="E408">
        <f>IF(INDEX(tblCleanData[OverTime],400)="Yes",1,0)</f>
        <v>0</v>
      </c>
      <c r="F408" t="str">
        <f>CHOOSE(INDEX(tblCleanData[Education],400),"Below College","College","Bachelor","Master","Doctor")</f>
        <v>College</v>
      </c>
      <c r="G408" t="str">
        <f>IF(INDEX(tblCleanData[YearsAtCompany],400)&lt;=2,"0-2 Years",IF(INDEX(tblCleanData[YearsAtCompany],400)&lt;=5,"3-5 Years",IF(INDEX(tblCleanData[YearsAtCompany],400)&lt;=10,"6-10 Years","10+ Years")))</f>
        <v>3-5 Years</v>
      </c>
      <c r="H408" t="str">
        <f>IF(INDEX(tblCleanData[WorkLifeBalance],400)&lt;=2,"Elevated","Normal")</f>
        <v>Normal</v>
      </c>
      <c r="I408">
        <f>IF(INDEX(tblCleanData[Age],400)&lt;30,30,IF(INDEX(tblCleanData[Age],400)&lt;40,20,IF(INDEX(tblCleanData[Age],400)&lt;50,10,15)))</f>
        <v>20</v>
      </c>
      <c r="J408">
        <f>IF(INDEX(tblCleanData[MonthlyIncome],400)&lt;=$B$3,25,IF(INDEX(tblCleanData[MonthlyIncome],400)&lt;=$B$4,12,5))</f>
        <v>5</v>
      </c>
      <c r="K408">
        <f>IF(INDEX(tblCleanData[OverTime],400)="Yes",25,0)</f>
        <v>0</v>
      </c>
      <c r="L408">
        <f>(5-INDEX(tblCleanData[JobSatisfaction],400))*6.25</f>
        <v>25</v>
      </c>
      <c r="M408">
        <f>IF(INDEX(tblCleanData[YearsAtCompany],400)&lt;=2,25,IF(INDEX(tblCleanData[YearsAtCompany],400)&lt;=5,15,IF(INDEX(tblCleanData[YearsAtCompany],400)&lt;=10,8,3)))</f>
        <v>15</v>
      </c>
      <c r="N408">
        <f t="shared" si="12"/>
        <v>65</v>
      </c>
      <c r="O408" t="str">
        <f t="shared" si="13"/>
        <v>High Risk</v>
      </c>
    </row>
    <row r="409" spans="1:15" x14ac:dyDescent="0.25">
      <c r="A409">
        <f>INDEX(tblCleanData[EmployeeNumber],401)</f>
        <v>531</v>
      </c>
      <c r="B409" t="str">
        <f>IF(INDEX(tblCleanData[Age],401)&lt;30,"Under 30",IF(INDEX(tblCleanData[Age],401)&lt;40,"30-39",IF(INDEX(tblCleanData[Age],401)&lt;50,"40-49","50+")))</f>
        <v>30-39</v>
      </c>
      <c r="C409" t="str">
        <f>IF(INDEX(tblCleanData[MonthlyIncome],401)&lt;=$B$3,"Low Income",IF(INDEX(tblCleanData[MonthlyIncome],401)&lt;=$B$4,"Medium Income","High Income"))</f>
        <v>High Income</v>
      </c>
      <c r="D409">
        <f>IF(INDEX(tblCleanData[Attrition],401)="Yes",1,0)</f>
        <v>0</v>
      </c>
      <c r="E409">
        <f>IF(INDEX(tblCleanData[OverTime],401)="Yes",1,0)</f>
        <v>1</v>
      </c>
      <c r="F409" t="str">
        <f>CHOOSE(INDEX(tblCleanData[Education],401),"Below College","College","Bachelor","Master","Doctor")</f>
        <v>Below College</v>
      </c>
      <c r="G409" t="str">
        <f>IF(INDEX(tblCleanData[YearsAtCompany],401)&lt;=2,"0-2 Years",IF(INDEX(tblCleanData[YearsAtCompany],401)&lt;=5,"3-5 Years",IF(INDEX(tblCleanData[YearsAtCompany],401)&lt;=10,"6-10 Years","10+ Years")))</f>
        <v>10+ Years</v>
      </c>
      <c r="H409" t="str">
        <f>IF(INDEX(tblCleanData[WorkLifeBalance],401)&lt;=2,"Elevated","Normal")</f>
        <v>Normal</v>
      </c>
      <c r="I409">
        <f>IF(INDEX(tblCleanData[Age],401)&lt;30,30,IF(INDEX(tblCleanData[Age],401)&lt;40,20,IF(INDEX(tblCleanData[Age],401)&lt;50,10,15)))</f>
        <v>20</v>
      </c>
      <c r="J409">
        <f>IF(INDEX(tblCleanData[MonthlyIncome],401)&lt;=$B$3,25,IF(INDEX(tblCleanData[MonthlyIncome],401)&lt;=$B$4,12,5))</f>
        <v>5</v>
      </c>
      <c r="K409">
        <f>IF(INDEX(tblCleanData[OverTime],401)="Yes",25,0)</f>
        <v>25</v>
      </c>
      <c r="L409">
        <f>(5-INDEX(tblCleanData[JobSatisfaction],401))*6.25</f>
        <v>12.5</v>
      </c>
      <c r="M409">
        <f>IF(INDEX(tblCleanData[YearsAtCompany],401)&lt;=2,25,IF(INDEX(tblCleanData[YearsAtCompany],401)&lt;=5,15,IF(INDEX(tblCleanData[YearsAtCompany],401)&lt;=10,8,3)))</f>
        <v>3</v>
      </c>
      <c r="N409">
        <f t="shared" si="12"/>
        <v>66</v>
      </c>
      <c r="O409" t="str">
        <f t="shared" si="13"/>
        <v>High Risk</v>
      </c>
    </row>
    <row r="410" spans="1:15" x14ac:dyDescent="0.25">
      <c r="A410">
        <f>INDEX(tblCleanData[EmployeeNumber],402)</f>
        <v>532</v>
      </c>
      <c r="B410" t="str">
        <f>IF(INDEX(tblCleanData[Age],402)&lt;30,"Under 30",IF(INDEX(tblCleanData[Age],402)&lt;40,"30-39",IF(INDEX(tblCleanData[Age],402)&lt;50,"40-49","50+")))</f>
        <v>50+</v>
      </c>
      <c r="C410" t="str">
        <f>IF(INDEX(tblCleanData[MonthlyIncome],402)&lt;=$B$3,"Low Income",IF(INDEX(tblCleanData[MonthlyIncome],402)&lt;=$B$4,"Medium Income","High Income"))</f>
        <v>High Income</v>
      </c>
      <c r="D410">
        <f>IF(INDEX(tblCleanData[Attrition],402)="Yes",1,0)</f>
        <v>0</v>
      </c>
      <c r="E410">
        <f>IF(INDEX(tblCleanData[OverTime],402)="Yes",1,0)</f>
        <v>0</v>
      </c>
      <c r="F410" t="str">
        <f>CHOOSE(INDEX(tblCleanData[Education],402),"Below College","College","Bachelor","Master","Doctor")</f>
        <v>Bachelor</v>
      </c>
      <c r="G410" t="str">
        <f>IF(INDEX(tblCleanData[YearsAtCompany],402)&lt;=2,"0-2 Years",IF(INDEX(tblCleanData[YearsAtCompany],402)&lt;=5,"3-5 Years",IF(INDEX(tblCleanData[YearsAtCompany],402)&lt;=10,"6-10 Years","10+ Years")))</f>
        <v>6-10 Years</v>
      </c>
      <c r="H410" t="str">
        <f>IF(INDEX(tblCleanData[WorkLifeBalance],402)&lt;=2,"Elevated","Normal")</f>
        <v>Elevated</v>
      </c>
      <c r="I410">
        <f>IF(INDEX(tblCleanData[Age],402)&lt;30,30,IF(INDEX(tblCleanData[Age],402)&lt;40,20,IF(INDEX(tblCleanData[Age],402)&lt;50,10,15)))</f>
        <v>15</v>
      </c>
      <c r="J410">
        <f>IF(INDEX(tblCleanData[MonthlyIncome],402)&lt;=$B$3,25,IF(INDEX(tblCleanData[MonthlyIncome],402)&lt;=$B$4,12,5))</f>
        <v>5</v>
      </c>
      <c r="K410">
        <f>IF(INDEX(tblCleanData[OverTime],402)="Yes",25,0)</f>
        <v>0</v>
      </c>
      <c r="L410">
        <f>(5-INDEX(tblCleanData[JobSatisfaction],402))*6.25</f>
        <v>25</v>
      </c>
      <c r="M410">
        <f>IF(INDEX(tblCleanData[YearsAtCompany],402)&lt;=2,25,IF(INDEX(tblCleanData[YearsAtCompany],402)&lt;=5,15,IF(INDEX(tblCleanData[YearsAtCompany],402)&lt;=10,8,3)))</f>
        <v>8</v>
      </c>
      <c r="N410">
        <f t="shared" si="12"/>
        <v>53</v>
      </c>
      <c r="O410" t="str">
        <f t="shared" si="13"/>
        <v>Medium Risk</v>
      </c>
    </row>
    <row r="411" spans="1:15" x14ac:dyDescent="0.25">
      <c r="A411">
        <f>INDEX(tblCleanData[EmployeeNumber],403)</f>
        <v>533</v>
      </c>
      <c r="B411" t="str">
        <f>IF(INDEX(tblCleanData[Age],403)&lt;30,"Under 30",IF(INDEX(tblCleanData[Age],403)&lt;40,"30-39",IF(INDEX(tblCleanData[Age],403)&lt;50,"40-49","50+")))</f>
        <v>30-39</v>
      </c>
      <c r="C411" t="str">
        <f>IF(INDEX(tblCleanData[MonthlyIncome],403)&lt;=$B$3,"Low Income",IF(INDEX(tblCleanData[MonthlyIncome],403)&lt;=$B$4,"Medium Income","High Income"))</f>
        <v>High Income</v>
      </c>
      <c r="D411">
        <f>IF(INDEX(tblCleanData[Attrition],403)="Yes",1,0)</f>
        <v>0</v>
      </c>
      <c r="E411">
        <f>IF(INDEX(tblCleanData[OverTime],403)="Yes",1,0)</f>
        <v>0</v>
      </c>
      <c r="F411" t="str">
        <f>CHOOSE(INDEX(tblCleanData[Education],403),"Below College","College","Bachelor","Master","Doctor")</f>
        <v>Bachelor</v>
      </c>
      <c r="G411" t="str">
        <f>IF(INDEX(tblCleanData[YearsAtCompany],403)&lt;=2,"0-2 Years",IF(INDEX(tblCleanData[YearsAtCompany],403)&lt;=5,"3-5 Years",IF(INDEX(tblCleanData[YearsAtCompany],403)&lt;=10,"6-10 Years","10+ Years")))</f>
        <v>3-5 Years</v>
      </c>
      <c r="H411" t="str">
        <f>IF(INDEX(tblCleanData[WorkLifeBalance],403)&lt;=2,"Elevated","Normal")</f>
        <v>Normal</v>
      </c>
      <c r="I411">
        <f>IF(INDEX(tblCleanData[Age],403)&lt;30,30,IF(INDEX(tblCleanData[Age],403)&lt;40,20,IF(INDEX(tblCleanData[Age],403)&lt;50,10,15)))</f>
        <v>20</v>
      </c>
      <c r="J411">
        <f>IF(INDEX(tblCleanData[MonthlyIncome],403)&lt;=$B$3,25,IF(INDEX(tblCleanData[MonthlyIncome],403)&lt;=$B$4,12,5))</f>
        <v>5</v>
      </c>
      <c r="K411">
        <f>IF(INDEX(tblCleanData[OverTime],403)="Yes",25,0)</f>
        <v>0</v>
      </c>
      <c r="L411">
        <f>(5-INDEX(tblCleanData[JobSatisfaction],403))*6.25</f>
        <v>12.5</v>
      </c>
      <c r="M411">
        <f>IF(INDEX(tblCleanData[YearsAtCompany],403)&lt;=2,25,IF(INDEX(tblCleanData[YearsAtCompany],403)&lt;=5,15,IF(INDEX(tblCleanData[YearsAtCompany],403)&lt;=10,8,3)))</f>
        <v>15</v>
      </c>
      <c r="N411">
        <f t="shared" si="12"/>
        <v>53</v>
      </c>
      <c r="O411" t="str">
        <f t="shared" si="13"/>
        <v>Medium Risk</v>
      </c>
    </row>
    <row r="412" spans="1:15" x14ac:dyDescent="0.25">
      <c r="A412">
        <f>INDEX(tblCleanData[EmployeeNumber],404)</f>
        <v>534</v>
      </c>
      <c r="B412" t="str">
        <f>IF(INDEX(tblCleanData[Age],404)&lt;30,"Under 30",IF(INDEX(tblCleanData[Age],404)&lt;40,"30-39",IF(INDEX(tblCleanData[Age],404)&lt;50,"40-49","50+")))</f>
        <v>40-49</v>
      </c>
      <c r="C412" t="str">
        <f>IF(INDEX(tblCleanData[MonthlyIncome],404)&lt;=$B$3,"Low Income",IF(INDEX(tblCleanData[MonthlyIncome],404)&lt;=$B$4,"Medium Income","High Income"))</f>
        <v>High Income</v>
      </c>
      <c r="D412">
        <f>IF(INDEX(tblCleanData[Attrition],404)="Yes",1,0)</f>
        <v>0</v>
      </c>
      <c r="E412">
        <f>IF(INDEX(tblCleanData[OverTime],404)="Yes",1,0)</f>
        <v>0</v>
      </c>
      <c r="F412" t="str">
        <f>CHOOSE(INDEX(tblCleanData[Education],404),"Below College","College","Bachelor","Master","Doctor")</f>
        <v>Bachelor</v>
      </c>
      <c r="G412" t="str">
        <f>IF(INDEX(tblCleanData[YearsAtCompany],404)&lt;=2,"0-2 Years",IF(INDEX(tblCleanData[YearsAtCompany],404)&lt;=5,"3-5 Years",IF(INDEX(tblCleanData[YearsAtCompany],404)&lt;=10,"6-10 Years","10+ Years")))</f>
        <v>6-10 Years</v>
      </c>
      <c r="H412" t="str">
        <f>IF(INDEX(tblCleanData[WorkLifeBalance],404)&lt;=2,"Elevated","Normal")</f>
        <v>Normal</v>
      </c>
      <c r="I412">
        <f>IF(INDEX(tblCleanData[Age],404)&lt;30,30,IF(INDEX(tblCleanData[Age],404)&lt;40,20,IF(INDEX(tblCleanData[Age],404)&lt;50,10,15)))</f>
        <v>10</v>
      </c>
      <c r="J412">
        <f>IF(INDEX(tblCleanData[MonthlyIncome],404)&lt;=$B$3,25,IF(INDEX(tblCleanData[MonthlyIncome],404)&lt;=$B$4,12,5))</f>
        <v>5</v>
      </c>
      <c r="K412">
        <f>IF(INDEX(tblCleanData[OverTime],404)="Yes",25,0)</f>
        <v>0</v>
      </c>
      <c r="L412">
        <f>(5-INDEX(tblCleanData[JobSatisfaction],404))*6.25</f>
        <v>25</v>
      </c>
      <c r="M412">
        <f>IF(INDEX(tblCleanData[YearsAtCompany],404)&lt;=2,25,IF(INDEX(tblCleanData[YearsAtCompany],404)&lt;=5,15,IF(INDEX(tblCleanData[YearsAtCompany],404)&lt;=10,8,3)))</f>
        <v>8</v>
      </c>
      <c r="N412">
        <f t="shared" si="12"/>
        <v>48</v>
      </c>
      <c r="O412" t="str">
        <f t="shared" si="13"/>
        <v>Medium Risk</v>
      </c>
    </row>
    <row r="413" spans="1:15" x14ac:dyDescent="0.25">
      <c r="A413">
        <f>INDEX(tblCleanData[EmployeeNumber],405)</f>
        <v>536</v>
      </c>
      <c r="B413" t="str">
        <f>IF(INDEX(tblCleanData[Age],405)&lt;30,"Under 30",IF(INDEX(tblCleanData[Age],405)&lt;40,"30-39",IF(INDEX(tblCleanData[Age],405)&lt;50,"40-49","50+")))</f>
        <v>Under 30</v>
      </c>
      <c r="C413" t="str">
        <f>IF(INDEX(tblCleanData[MonthlyIncome],405)&lt;=$B$3,"Low Income",IF(INDEX(tblCleanData[MonthlyIncome],405)&lt;=$B$4,"Medium Income","High Income"))</f>
        <v>High Income</v>
      </c>
      <c r="D413">
        <f>IF(INDEX(tblCleanData[Attrition],405)="Yes",1,0)</f>
        <v>0</v>
      </c>
      <c r="E413">
        <f>IF(INDEX(tblCleanData[OverTime],405)="Yes",1,0)</f>
        <v>0</v>
      </c>
      <c r="F413" t="str">
        <f>CHOOSE(INDEX(tblCleanData[Education],405),"Below College","College","Bachelor","Master","Doctor")</f>
        <v>College</v>
      </c>
      <c r="G413" t="str">
        <f>IF(INDEX(tblCleanData[YearsAtCompany],405)&lt;=2,"0-2 Years",IF(INDEX(tblCleanData[YearsAtCompany],405)&lt;=5,"3-5 Years",IF(INDEX(tblCleanData[YearsAtCompany],405)&lt;=10,"6-10 Years","10+ Years")))</f>
        <v>6-10 Years</v>
      </c>
      <c r="H413" t="str">
        <f>IF(INDEX(tblCleanData[WorkLifeBalance],405)&lt;=2,"Elevated","Normal")</f>
        <v>Normal</v>
      </c>
      <c r="I413">
        <f>IF(INDEX(tblCleanData[Age],405)&lt;30,30,IF(INDEX(tblCleanData[Age],405)&lt;40,20,IF(INDEX(tblCleanData[Age],405)&lt;50,10,15)))</f>
        <v>30</v>
      </c>
      <c r="J413">
        <f>IF(INDEX(tblCleanData[MonthlyIncome],405)&lt;=$B$3,25,IF(INDEX(tblCleanData[MonthlyIncome],405)&lt;=$B$4,12,5))</f>
        <v>5</v>
      </c>
      <c r="K413">
        <f>IF(INDEX(tblCleanData[OverTime],405)="Yes",25,0)</f>
        <v>0</v>
      </c>
      <c r="L413">
        <f>(5-INDEX(tblCleanData[JobSatisfaction],405))*6.25</f>
        <v>25</v>
      </c>
      <c r="M413">
        <f>IF(INDEX(tblCleanData[YearsAtCompany],405)&lt;=2,25,IF(INDEX(tblCleanData[YearsAtCompany],405)&lt;=5,15,IF(INDEX(tblCleanData[YearsAtCompany],405)&lt;=10,8,3)))</f>
        <v>8</v>
      </c>
      <c r="N413">
        <f t="shared" si="12"/>
        <v>68</v>
      </c>
      <c r="O413" t="str">
        <f t="shared" si="13"/>
        <v>High Risk</v>
      </c>
    </row>
    <row r="414" spans="1:15" x14ac:dyDescent="0.25">
      <c r="A414">
        <f>INDEX(tblCleanData[EmployeeNumber],406)</f>
        <v>538</v>
      </c>
      <c r="B414" t="str">
        <f>IF(INDEX(tblCleanData[Age],406)&lt;30,"Under 30",IF(INDEX(tblCleanData[Age],406)&lt;40,"30-39",IF(INDEX(tblCleanData[Age],406)&lt;50,"40-49","50+")))</f>
        <v>Under 30</v>
      </c>
      <c r="C414" t="str">
        <f>IF(INDEX(tblCleanData[MonthlyIncome],406)&lt;=$B$3,"Low Income",IF(INDEX(tblCleanData[MonthlyIncome],406)&lt;=$B$4,"Medium Income","High Income"))</f>
        <v>High Income</v>
      </c>
      <c r="D414">
        <f>IF(INDEX(tblCleanData[Attrition],406)="Yes",1,0)</f>
        <v>1</v>
      </c>
      <c r="E414">
        <f>IF(INDEX(tblCleanData[OverTime],406)="Yes",1,0)</f>
        <v>0</v>
      </c>
      <c r="F414" t="str">
        <f>CHOOSE(INDEX(tblCleanData[Education],406),"Below College","College","Bachelor","Master","Doctor")</f>
        <v>Bachelor</v>
      </c>
      <c r="G414" t="str">
        <f>IF(INDEX(tblCleanData[YearsAtCompany],406)&lt;=2,"0-2 Years",IF(INDEX(tblCleanData[YearsAtCompany],406)&lt;=5,"3-5 Years",IF(INDEX(tblCleanData[YearsAtCompany],406)&lt;=10,"6-10 Years","10+ Years")))</f>
        <v>0-2 Years</v>
      </c>
      <c r="H414" t="str">
        <f>IF(INDEX(tblCleanData[WorkLifeBalance],406)&lt;=2,"Elevated","Normal")</f>
        <v>Normal</v>
      </c>
      <c r="I414">
        <f>IF(INDEX(tblCleanData[Age],406)&lt;30,30,IF(INDEX(tblCleanData[Age],406)&lt;40,20,IF(INDEX(tblCleanData[Age],406)&lt;50,10,15)))</f>
        <v>30</v>
      </c>
      <c r="J414">
        <f>IF(INDEX(tblCleanData[MonthlyIncome],406)&lt;=$B$3,25,IF(INDEX(tblCleanData[MonthlyIncome],406)&lt;=$B$4,12,5))</f>
        <v>5</v>
      </c>
      <c r="K414">
        <f>IF(INDEX(tblCleanData[OverTime],406)="Yes",25,0)</f>
        <v>0</v>
      </c>
      <c r="L414">
        <f>(5-INDEX(tblCleanData[JobSatisfaction],406))*6.25</f>
        <v>25</v>
      </c>
      <c r="M414">
        <f>IF(INDEX(tblCleanData[YearsAtCompany],406)&lt;=2,25,IF(INDEX(tblCleanData[YearsAtCompany],406)&lt;=5,15,IF(INDEX(tblCleanData[YearsAtCompany],406)&lt;=10,8,3)))</f>
        <v>25</v>
      </c>
      <c r="N414">
        <f t="shared" si="12"/>
        <v>85</v>
      </c>
      <c r="O414" t="str">
        <f t="shared" si="13"/>
        <v>High Risk</v>
      </c>
    </row>
    <row r="415" spans="1:15" x14ac:dyDescent="0.25">
      <c r="A415">
        <f>INDEX(tblCleanData[EmployeeNumber],407)</f>
        <v>543</v>
      </c>
      <c r="B415" t="str">
        <f>IF(INDEX(tblCleanData[Age],407)&lt;30,"Under 30",IF(INDEX(tblCleanData[Age],407)&lt;40,"30-39",IF(INDEX(tblCleanData[Age],407)&lt;50,"40-49","50+")))</f>
        <v>50+</v>
      </c>
      <c r="C415" t="str">
        <f>IF(INDEX(tblCleanData[MonthlyIncome],407)&lt;=$B$3,"Low Income",IF(INDEX(tblCleanData[MonthlyIncome],407)&lt;=$B$4,"Medium Income","High Income"))</f>
        <v>High Income</v>
      </c>
      <c r="D415">
        <f>IF(INDEX(tblCleanData[Attrition],407)="Yes",1,0)</f>
        <v>0</v>
      </c>
      <c r="E415">
        <f>IF(INDEX(tblCleanData[OverTime],407)="Yes",1,0)</f>
        <v>1</v>
      </c>
      <c r="F415" t="str">
        <f>CHOOSE(INDEX(tblCleanData[Education],407),"Below College","College","Bachelor","Master","Doctor")</f>
        <v>Bachelor</v>
      </c>
      <c r="G415" t="str">
        <f>IF(INDEX(tblCleanData[YearsAtCompany],407)&lt;=2,"0-2 Years",IF(INDEX(tblCleanData[YearsAtCompany],407)&lt;=5,"3-5 Years",IF(INDEX(tblCleanData[YearsAtCompany],407)&lt;=10,"6-10 Years","10+ Years")))</f>
        <v>3-5 Years</v>
      </c>
      <c r="H415" t="str">
        <f>IF(INDEX(tblCleanData[WorkLifeBalance],407)&lt;=2,"Elevated","Normal")</f>
        <v>Normal</v>
      </c>
      <c r="I415">
        <f>IF(INDEX(tblCleanData[Age],407)&lt;30,30,IF(INDEX(tblCleanData[Age],407)&lt;40,20,IF(INDEX(tblCleanData[Age],407)&lt;50,10,15)))</f>
        <v>15</v>
      </c>
      <c r="J415">
        <f>IF(INDEX(tblCleanData[MonthlyIncome],407)&lt;=$B$3,25,IF(INDEX(tblCleanData[MonthlyIncome],407)&lt;=$B$4,12,5))</f>
        <v>5</v>
      </c>
      <c r="K415">
        <f>IF(INDEX(tblCleanData[OverTime],407)="Yes",25,0)</f>
        <v>25</v>
      </c>
      <c r="L415">
        <f>(5-INDEX(tblCleanData[JobSatisfaction],407))*6.25</f>
        <v>12.5</v>
      </c>
      <c r="M415">
        <f>IF(INDEX(tblCleanData[YearsAtCompany],407)&lt;=2,25,IF(INDEX(tblCleanData[YearsAtCompany],407)&lt;=5,15,IF(INDEX(tblCleanData[YearsAtCompany],407)&lt;=10,8,3)))</f>
        <v>15</v>
      </c>
      <c r="N415">
        <f t="shared" si="12"/>
        <v>73</v>
      </c>
      <c r="O415" t="str">
        <f t="shared" si="13"/>
        <v>High Risk</v>
      </c>
    </row>
    <row r="416" spans="1:15" x14ac:dyDescent="0.25">
      <c r="A416">
        <f>INDEX(tblCleanData[EmployeeNumber],408)</f>
        <v>544</v>
      </c>
      <c r="B416" t="str">
        <f>IF(INDEX(tblCleanData[Age],408)&lt;30,"Under 30",IF(INDEX(tblCleanData[Age],408)&lt;40,"30-39",IF(INDEX(tblCleanData[Age],408)&lt;50,"40-49","50+")))</f>
        <v>40-49</v>
      </c>
      <c r="C416" t="str">
        <f>IF(INDEX(tblCleanData[MonthlyIncome],408)&lt;=$B$3,"Low Income",IF(INDEX(tblCleanData[MonthlyIncome],408)&lt;=$B$4,"Medium Income","High Income"))</f>
        <v>High Income</v>
      </c>
      <c r="D416">
        <f>IF(INDEX(tblCleanData[Attrition],408)="Yes",1,0)</f>
        <v>0</v>
      </c>
      <c r="E416">
        <f>IF(INDEX(tblCleanData[OverTime],408)="Yes",1,0)</f>
        <v>0</v>
      </c>
      <c r="F416" t="str">
        <f>CHOOSE(INDEX(tblCleanData[Education],408),"Below College","College","Bachelor","Master","Doctor")</f>
        <v>College</v>
      </c>
      <c r="G416" t="str">
        <f>IF(INDEX(tblCleanData[YearsAtCompany],408)&lt;=2,"0-2 Years",IF(INDEX(tblCleanData[YearsAtCompany],408)&lt;=5,"3-5 Years",IF(INDEX(tblCleanData[YearsAtCompany],408)&lt;=10,"6-10 Years","10+ Years")))</f>
        <v>0-2 Years</v>
      </c>
      <c r="H416" t="str">
        <f>IF(INDEX(tblCleanData[WorkLifeBalance],408)&lt;=2,"Elevated","Normal")</f>
        <v>Elevated</v>
      </c>
      <c r="I416">
        <f>IF(INDEX(tblCleanData[Age],408)&lt;30,30,IF(INDEX(tblCleanData[Age],408)&lt;40,20,IF(INDEX(tblCleanData[Age],408)&lt;50,10,15)))</f>
        <v>10</v>
      </c>
      <c r="J416">
        <f>IF(INDEX(tblCleanData[MonthlyIncome],408)&lt;=$B$3,25,IF(INDEX(tblCleanData[MonthlyIncome],408)&lt;=$B$4,12,5))</f>
        <v>5</v>
      </c>
      <c r="K416">
        <f>IF(INDEX(tblCleanData[OverTime],408)="Yes",25,0)</f>
        <v>0</v>
      </c>
      <c r="L416">
        <f>(5-INDEX(tblCleanData[JobSatisfaction],408))*6.25</f>
        <v>6.25</v>
      </c>
      <c r="M416">
        <f>IF(INDEX(tblCleanData[YearsAtCompany],408)&lt;=2,25,IF(INDEX(tblCleanData[YearsAtCompany],408)&lt;=5,15,IF(INDEX(tblCleanData[YearsAtCompany],408)&lt;=10,8,3)))</f>
        <v>25</v>
      </c>
      <c r="N416">
        <f t="shared" si="12"/>
        <v>46</v>
      </c>
      <c r="O416" t="str">
        <f t="shared" si="13"/>
        <v>Medium Risk</v>
      </c>
    </row>
    <row r="417" spans="1:15" x14ac:dyDescent="0.25">
      <c r="A417">
        <f>INDEX(tblCleanData[EmployeeNumber],409)</f>
        <v>546</v>
      </c>
      <c r="B417" t="str">
        <f>IF(INDEX(tblCleanData[Age],409)&lt;30,"Under 30",IF(INDEX(tblCleanData[Age],409)&lt;40,"30-39",IF(INDEX(tblCleanData[Age],409)&lt;50,"40-49","50+")))</f>
        <v>50+</v>
      </c>
      <c r="C417" t="str">
        <f>IF(INDEX(tblCleanData[MonthlyIncome],409)&lt;=$B$3,"Low Income",IF(INDEX(tblCleanData[MonthlyIncome],409)&lt;=$B$4,"Medium Income","High Income"))</f>
        <v>High Income</v>
      </c>
      <c r="D417">
        <f>IF(INDEX(tblCleanData[Attrition],409)="Yes",1,0)</f>
        <v>0</v>
      </c>
      <c r="E417">
        <f>IF(INDEX(tblCleanData[OverTime],409)="Yes",1,0)</f>
        <v>0</v>
      </c>
      <c r="F417" t="str">
        <f>CHOOSE(INDEX(tblCleanData[Education],409),"Below College","College","Bachelor","Master","Doctor")</f>
        <v>College</v>
      </c>
      <c r="G417" t="str">
        <f>IF(INDEX(tblCleanData[YearsAtCompany],409)&lt;=2,"0-2 Years",IF(INDEX(tblCleanData[YearsAtCompany],409)&lt;=5,"3-5 Years",IF(INDEX(tblCleanData[YearsAtCompany],409)&lt;=10,"6-10 Years","10+ Years")))</f>
        <v>3-5 Years</v>
      </c>
      <c r="H417" t="str">
        <f>IF(INDEX(tblCleanData[WorkLifeBalance],409)&lt;=2,"Elevated","Normal")</f>
        <v>Elevated</v>
      </c>
      <c r="I417">
        <f>IF(INDEX(tblCleanData[Age],409)&lt;30,30,IF(INDEX(tblCleanData[Age],409)&lt;40,20,IF(INDEX(tblCleanData[Age],409)&lt;50,10,15)))</f>
        <v>15</v>
      </c>
      <c r="J417">
        <f>IF(INDEX(tblCleanData[MonthlyIncome],409)&lt;=$B$3,25,IF(INDEX(tblCleanData[MonthlyIncome],409)&lt;=$B$4,12,5))</f>
        <v>5</v>
      </c>
      <c r="K417">
        <f>IF(INDEX(tblCleanData[OverTime],409)="Yes",25,0)</f>
        <v>0</v>
      </c>
      <c r="L417">
        <f>(5-INDEX(tblCleanData[JobSatisfaction],409))*6.25</f>
        <v>6.25</v>
      </c>
      <c r="M417">
        <f>IF(INDEX(tblCleanData[YearsAtCompany],409)&lt;=2,25,IF(INDEX(tblCleanData[YearsAtCompany],409)&lt;=5,15,IF(INDEX(tblCleanData[YearsAtCompany],409)&lt;=10,8,3)))</f>
        <v>15</v>
      </c>
      <c r="N417">
        <f t="shared" si="12"/>
        <v>41</v>
      </c>
      <c r="O417" t="str">
        <f t="shared" si="13"/>
        <v>Medium Risk</v>
      </c>
    </row>
    <row r="418" spans="1:15" x14ac:dyDescent="0.25">
      <c r="A418">
        <f>INDEX(tblCleanData[EmployeeNumber],410)</f>
        <v>547</v>
      </c>
      <c r="B418" t="str">
        <f>IF(INDEX(tblCleanData[Age],410)&lt;30,"Under 30",IF(INDEX(tblCleanData[Age],410)&lt;40,"30-39",IF(INDEX(tblCleanData[Age],410)&lt;50,"40-49","50+")))</f>
        <v>40-49</v>
      </c>
      <c r="C418" t="str">
        <f>IF(INDEX(tblCleanData[MonthlyIncome],410)&lt;=$B$3,"Low Income",IF(INDEX(tblCleanData[MonthlyIncome],410)&lt;=$B$4,"Medium Income","High Income"))</f>
        <v>High Income</v>
      </c>
      <c r="D418">
        <f>IF(INDEX(tblCleanData[Attrition],410)="Yes",1,0)</f>
        <v>0</v>
      </c>
      <c r="E418">
        <f>IF(INDEX(tblCleanData[OverTime],410)="Yes",1,0)</f>
        <v>0</v>
      </c>
      <c r="F418" t="str">
        <f>CHOOSE(INDEX(tblCleanData[Education],410),"Below College","College","Bachelor","Master","Doctor")</f>
        <v>College</v>
      </c>
      <c r="G418" t="str">
        <f>IF(INDEX(tblCleanData[YearsAtCompany],410)&lt;=2,"0-2 Years",IF(INDEX(tblCleanData[YearsAtCompany],410)&lt;=5,"3-5 Years",IF(INDEX(tblCleanData[YearsAtCompany],410)&lt;=10,"6-10 Years","10+ Years")))</f>
        <v>3-5 Years</v>
      </c>
      <c r="H418" t="str">
        <f>IF(INDEX(tblCleanData[WorkLifeBalance],410)&lt;=2,"Elevated","Normal")</f>
        <v>Normal</v>
      </c>
      <c r="I418">
        <f>IF(INDEX(tblCleanData[Age],410)&lt;30,30,IF(INDEX(tblCleanData[Age],410)&lt;40,20,IF(INDEX(tblCleanData[Age],410)&lt;50,10,15)))</f>
        <v>10</v>
      </c>
      <c r="J418">
        <f>IF(INDEX(tblCleanData[MonthlyIncome],410)&lt;=$B$3,25,IF(INDEX(tblCleanData[MonthlyIncome],410)&lt;=$B$4,12,5))</f>
        <v>5</v>
      </c>
      <c r="K418">
        <f>IF(INDEX(tblCleanData[OverTime],410)="Yes",25,0)</f>
        <v>0</v>
      </c>
      <c r="L418">
        <f>(5-INDEX(tblCleanData[JobSatisfaction],410))*6.25</f>
        <v>12.5</v>
      </c>
      <c r="M418">
        <f>IF(INDEX(tblCleanData[YearsAtCompany],410)&lt;=2,25,IF(INDEX(tblCleanData[YearsAtCompany],410)&lt;=5,15,IF(INDEX(tblCleanData[YearsAtCompany],410)&lt;=10,8,3)))</f>
        <v>15</v>
      </c>
      <c r="N418">
        <f t="shared" si="12"/>
        <v>43</v>
      </c>
      <c r="O418" t="str">
        <f t="shared" si="13"/>
        <v>Medium Risk</v>
      </c>
    </row>
    <row r="419" spans="1:15" x14ac:dyDescent="0.25">
      <c r="A419">
        <f>INDEX(tblCleanData[EmployeeNumber],411)</f>
        <v>548</v>
      </c>
      <c r="B419" t="str">
        <f>IF(INDEX(tblCleanData[Age],411)&lt;30,"Under 30",IF(INDEX(tblCleanData[Age],411)&lt;40,"30-39",IF(INDEX(tblCleanData[Age],411)&lt;50,"40-49","50+")))</f>
        <v>30-39</v>
      </c>
      <c r="C419" t="str">
        <f>IF(INDEX(tblCleanData[MonthlyIncome],411)&lt;=$B$3,"Low Income",IF(INDEX(tblCleanData[MonthlyIncome],411)&lt;=$B$4,"Medium Income","High Income"))</f>
        <v>High Income</v>
      </c>
      <c r="D419">
        <f>IF(INDEX(tblCleanData[Attrition],411)="Yes",1,0)</f>
        <v>0</v>
      </c>
      <c r="E419">
        <f>IF(INDEX(tblCleanData[OverTime],411)="Yes",1,0)</f>
        <v>0</v>
      </c>
      <c r="F419" t="str">
        <f>CHOOSE(INDEX(tblCleanData[Education],411),"Below College","College","Bachelor","Master","Doctor")</f>
        <v>Bachelor</v>
      </c>
      <c r="G419" t="str">
        <f>IF(INDEX(tblCleanData[YearsAtCompany],411)&lt;=2,"0-2 Years",IF(INDEX(tblCleanData[YearsAtCompany],411)&lt;=5,"3-5 Years",IF(INDEX(tblCleanData[YearsAtCompany],411)&lt;=10,"6-10 Years","10+ Years")))</f>
        <v>3-5 Years</v>
      </c>
      <c r="H419" t="str">
        <f>IF(INDEX(tblCleanData[WorkLifeBalance],411)&lt;=2,"Elevated","Normal")</f>
        <v>Normal</v>
      </c>
      <c r="I419">
        <f>IF(INDEX(tblCleanData[Age],411)&lt;30,30,IF(INDEX(tblCleanData[Age],411)&lt;40,20,IF(INDEX(tblCleanData[Age],411)&lt;50,10,15)))</f>
        <v>20</v>
      </c>
      <c r="J419">
        <f>IF(INDEX(tblCleanData[MonthlyIncome],411)&lt;=$B$3,25,IF(INDEX(tblCleanData[MonthlyIncome],411)&lt;=$B$4,12,5))</f>
        <v>5</v>
      </c>
      <c r="K419">
        <f>IF(INDEX(tblCleanData[OverTime],411)="Yes",25,0)</f>
        <v>0</v>
      </c>
      <c r="L419">
        <f>(5-INDEX(tblCleanData[JobSatisfaction],411))*6.25</f>
        <v>6.25</v>
      </c>
      <c r="M419">
        <f>IF(INDEX(tblCleanData[YearsAtCompany],411)&lt;=2,25,IF(INDEX(tblCleanData[YearsAtCompany],411)&lt;=5,15,IF(INDEX(tblCleanData[YearsAtCompany],411)&lt;=10,8,3)))</f>
        <v>15</v>
      </c>
      <c r="N419">
        <f t="shared" si="12"/>
        <v>46</v>
      </c>
      <c r="O419" t="str">
        <f t="shared" si="13"/>
        <v>Medium Risk</v>
      </c>
    </row>
    <row r="420" spans="1:15" x14ac:dyDescent="0.25">
      <c r="A420">
        <f>INDEX(tblCleanData[EmployeeNumber],412)</f>
        <v>549</v>
      </c>
      <c r="B420" t="str">
        <f>IF(INDEX(tblCleanData[Age],412)&lt;30,"Under 30",IF(INDEX(tblCleanData[Age],412)&lt;40,"30-39",IF(INDEX(tblCleanData[Age],412)&lt;50,"40-49","50+")))</f>
        <v>50+</v>
      </c>
      <c r="C420" t="str">
        <f>IF(INDEX(tblCleanData[MonthlyIncome],412)&lt;=$B$3,"Low Income",IF(INDEX(tblCleanData[MonthlyIncome],412)&lt;=$B$4,"Medium Income","High Income"))</f>
        <v>High Income</v>
      </c>
      <c r="D420">
        <f>IF(INDEX(tblCleanData[Attrition],412)="Yes",1,0)</f>
        <v>0</v>
      </c>
      <c r="E420">
        <f>IF(INDEX(tblCleanData[OverTime],412)="Yes",1,0)</f>
        <v>0</v>
      </c>
      <c r="F420" t="str">
        <f>CHOOSE(INDEX(tblCleanData[Education],412),"Below College","College","Bachelor","Master","Doctor")</f>
        <v>Bachelor</v>
      </c>
      <c r="G420" t="str">
        <f>IF(INDEX(tblCleanData[YearsAtCompany],412)&lt;=2,"0-2 Years",IF(INDEX(tblCleanData[YearsAtCompany],412)&lt;=5,"3-5 Years",IF(INDEX(tblCleanData[YearsAtCompany],412)&lt;=10,"6-10 Years","10+ Years")))</f>
        <v>10+ Years</v>
      </c>
      <c r="H420" t="str">
        <f>IF(INDEX(tblCleanData[WorkLifeBalance],412)&lt;=2,"Elevated","Normal")</f>
        <v>Elevated</v>
      </c>
      <c r="I420">
        <f>IF(INDEX(tblCleanData[Age],412)&lt;30,30,IF(INDEX(tblCleanData[Age],412)&lt;40,20,IF(INDEX(tblCleanData[Age],412)&lt;50,10,15)))</f>
        <v>15</v>
      </c>
      <c r="J420">
        <f>IF(INDEX(tblCleanData[MonthlyIncome],412)&lt;=$B$3,25,IF(INDEX(tblCleanData[MonthlyIncome],412)&lt;=$B$4,12,5))</f>
        <v>5</v>
      </c>
      <c r="K420">
        <f>IF(INDEX(tblCleanData[OverTime],412)="Yes",25,0)</f>
        <v>0</v>
      </c>
      <c r="L420">
        <f>(5-INDEX(tblCleanData[JobSatisfaction],412))*6.25</f>
        <v>25</v>
      </c>
      <c r="M420">
        <f>IF(INDEX(tblCleanData[YearsAtCompany],412)&lt;=2,25,IF(INDEX(tblCleanData[YearsAtCompany],412)&lt;=5,15,IF(INDEX(tblCleanData[YearsAtCompany],412)&lt;=10,8,3)))</f>
        <v>3</v>
      </c>
      <c r="N420">
        <f t="shared" si="12"/>
        <v>48</v>
      </c>
      <c r="O420" t="str">
        <f t="shared" si="13"/>
        <v>Medium Risk</v>
      </c>
    </row>
    <row r="421" spans="1:15" x14ac:dyDescent="0.25">
      <c r="A421">
        <f>INDEX(tblCleanData[EmployeeNumber],413)</f>
        <v>550</v>
      </c>
      <c r="B421" t="str">
        <f>IF(INDEX(tblCleanData[Age],413)&lt;30,"Under 30",IF(INDEX(tblCleanData[Age],413)&lt;40,"30-39",IF(INDEX(tblCleanData[Age],413)&lt;50,"40-49","50+")))</f>
        <v>40-49</v>
      </c>
      <c r="C421" t="str">
        <f>IF(INDEX(tblCleanData[MonthlyIncome],413)&lt;=$B$3,"Low Income",IF(INDEX(tblCleanData[MonthlyIncome],413)&lt;=$B$4,"Medium Income","High Income"))</f>
        <v>High Income</v>
      </c>
      <c r="D421">
        <f>IF(INDEX(tblCleanData[Attrition],413)="Yes",1,0)</f>
        <v>0</v>
      </c>
      <c r="E421">
        <f>IF(INDEX(tblCleanData[OverTime],413)="Yes",1,0)</f>
        <v>0</v>
      </c>
      <c r="F421" t="str">
        <f>CHOOSE(INDEX(tblCleanData[Education],413),"Below College","College","Bachelor","Master","Doctor")</f>
        <v>Bachelor</v>
      </c>
      <c r="G421" t="str">
        <f>IF(INDEX(tblCleanData[YearsAtCompany],413)&lt;=2,"0-2 Years",IF(INDEX(tblCleanData[YearsAtCompany],413)&lt;=5,"3-5 Years",IF(INDEX(tblCleanData[YearsAtCompany],413)&lt;=10,"6-10 Years","10+ Years")))</f>
        <v>6-10 Years</v>
      </c>
      <c r="H421" t="str">
        <f>IF(INDEX(tblCleanData[WorkLifeBalance],413)&lt;=2,"Elevated","Normal")</f>
        <v>Elevated</v>
      </c>
      <c r="I421">
        <f>IF(INDEX(tblCleanData[Age],413)&lt;30,30,IF(INDEX(tblCleanData[Age],413)&lt;40,20,IF(INDEX(tblCleanData[Age],413)&lt;50,10,15)))</f>
        <v>10</v>
      </c>
      <c r="J421">
        <f>IF(INDEX(tblCleanData[MonthlyIncome],413)&lt;=$B$3,25,IF(INDEX(tblCleanData[MonthlyIncome],413)&lt;=$B$4,12,5))</f>
        <v>5</v>
      </c>
      <c r="K421">
        <f>IF(INDEX(tblCleanData[OverTime],413)="Yes",25,0)</f>
        <v>0</v>
      </c>
      <c r="L421">
        <f>(5-INDEX(tblCleanData[JobSatisfaction],413))*6.25</f>
        <v>12.5</v>
      </c>
      <c r="M421">
        <f>IF(INDEX(tblCleanData[YearsAtCompany],413)&lt;=2,25,IF(INDEX(tblCleanData[YearsAtCompany],413)&lt;=5,15,IF(INDEX(tblCleanData[YearsAtCompany],413)&lt;=10,8,3)))</f>
        <v>8</v>
      </c>
      <c r="N421">
        <f t="shared" si="12"/>
        <v>36</v>
      </c>
      <c r="O421" t="str">
        <f t="shared" si="13"/>
        <v>Medium Risk</v>
      </c>
    </row>
    <row r="422" spans="1:15" x14ac:dyDescent="0.25">
      <c r="A422">
        <f>INDEX(tblCleanData[EmployeeNumber],414)</f>
        <v>551</v>
      </c>
      <c r="B422" t="str">
        <f>IF(INDEX(tblCleanData[Age],414)&lt;30,"Under 30",IF(INDEX(tblCleanData[Age],414)&lt;40,"30-39",IF(INDEX(tblCleanData[Age],414)&lt;50,"40-49","50+")))</f>
        <v>40-49</v>
      </c>
      <c r="C422" t="str">
        <f>IF(INDEX(tblCleanData[MonthlyIncome],414)&lt;=$B$3,"Low Income",IF(INDEX(tblCleanData[MonthlyIncome],414)&lt;=$B$4,"Medium Income","High Income"))</f>
        <v>High Income</v>
      </c>
      <c r="D422">
        <f>IF(INDEX(tblCleanData[Attrition],414)="Yes",1,0)</f>
        <v>0</v>
      </c>
      <c r="E422">
        <f>IF(INDEX(tblCleanData[OverTime],414)="Yes",1,0)</f>
        <v>0</v>
      </c>
      <c r="F422" t="str">
        <f>CHOOSE(INDEX(tblCleanData[Education],414),"Below College","College","Bachelor","Master","Doctor")</f>
        <v>Master</v>
      </c>
      <c r="G422" t="str">
        <f>IF(INDEX(tblCleanData[YearsAtCompany],414)&lt;=2,"0-2 Years",IF(INDEX(tblCleanData[YearsAtCompany],414)&lt;=5,"3-5 Years",IF(INDEX(tblCleanData[YearsAtCompany],414)&lt;=10,"6-10 Years","10+ Years")))</f>
        <v>6-10 Years</v>
      </c>
      <c r="H422" t="str">
        <f>IF(INDEX(tblCleanData[WorkLifeBalance],414)&lt;=2,"Elevated","Normal")</f>
        <v>Normal</v>
      </c>
      <c r="I422">
        <f>IF(INDEX(tblCleanData[Age],414)&lt;30,30,IF(INDEX(tblCleanData[Age],414)&lt;40,20,IF(INDEX(tblCleanData[Age],414)&lt;50,10,15)))</f>
        <v>10</v>
      </c>
      <c r="J422">
        <f>IF(INDEX(tblCleanData[MonthlyIncome],414)&lt;=$B$3,25,IF(INDEX(tblCleanData[MonthlyIncome],414)&lt;=$B$4,12,5))</f>
        <v>5</v>
      </c>
      <c r="K422">
        <f>IF(INDEX(tblCleanData[OverTime],414)="Yes",25,0)</f>
        <v>0</v>
      </c>
      <c r="L422">
        <f>(5-INDEX(tblCleanData[JobSatisfaction],414))*6.25</f>
        <v>6.25</v>
      </c>
      <c r="M422">
        <f>IF(INDEX(tblCleanData[YearsAtCompany],414)&lt;=2,25,IF(INDEX(tblCleanData[YearsAtCompany],414)&lt;=5,15,IF(INDEX(tblCleanData[YearsAtCompany],414)&lt;=10,8,3)))</f>
        <v>8</v>
      </c>
      <c r="N422">
        <f t="shared" si="12"/>
        <v>29</v>
      </c>
      <c r="O422" t="str">
        <f t="shared" si="13"/>
        <v>Low Risk</v>
      </c>
    </row>
    <row r="423" spans="1:15" x14ac:dyDescent="0.25">
      <c r="A423">
        <f>INDEX(tblCleanData[EmployeeNumber],415)</f>
        <v>554</v>
      </c>
      <c r="B423" t="str">
        <f>IF(INDEX(tblCleanData[Age],415)&lt;30,"Under 30",IF(INDEX(tblCleanData[Age],415)&lt;40,"30-39",IF(INDEX(tblCleanData[Age],415)&lt;50,"40-49","50+")))</f>
        <v>Under 30</v>
      </c>
      <c r="C423" t="str">
        <f>IF(INDEX(tblCleanData[MonthlyIncome],415)&lt;=$B$3,"Low Income",IF(INDEX(tblCleanData[MonthlyIncome],415)&lt;=$B$4,"Medium Income","High Income"))</f>
        <v>High Income</v>
      </c>
      <c r="D423">
        <f>IF(INDEX(tblCleanData[Attrition],415)="Yes",1,0)</f>
        <v>1</v>
      </c>
      <c r="E423">
        <f>IF(INDEX(tblCleanData[OverTime],415)="Yes",1,0)</f>
        <v>1</v>
      </c>
      <c r="F423" t="str">
        <f>CHOOSE(INDEX(tblCleanData[Education],415),"Below College","College","Bachelor","Master","Doctor")</f>
        <v>Below College</v>
      </c>
      <c r="G423" t="str">
        <f>IF(INDEX(tblCleanData[YearsAtCompany],415)&lt;=2,"0-2 Years",IF(INDEX(tblCleanData[YearsAtCompany],415)&lt;=5,"3-5 Years",IF(INDEX(tblCleanData[YearsAtCompany],415)&lt;=10,"6-10 Years","10+ Years")))</f>
        <v>3-5 Years</v>
      </c>
      <c r="H423" t="str">
        <f>IF(INDEX(tblCleanData[WorkLifeBalance],415)&lt;=2,"Elevated","Normal")</f>
        <v>Normal</v>
      </c>
      <c r="I423">
        <f>IF(INDEX(tblCleanData[Age],415)&lt;30,30,IF(INDEX(tblCleanData[Age],415)&lt;40,20,IF(INDEX(tblCleanData[Age],415)&lt;50,10,15)))</f>
        <v>30</v>
      </c>
      <c r="J423">
        <f>IF(INDEX(tblCleanData[MonthlyIncome],415)&lt;=$B$3,25,IF(INDEX(tblCleanData[MonthlyIncome],415)&lt;=$B$4,12,5))</f>
        <v>5</v>
      </c>
      <c r="K423">
        <f>IF(INDEX(tblCleanData[OverTime],415)="Yes",25,0)</f>
        <v>25</v>
      </c>
      <c r="L423">
        <f>(5-INDEX(tblCleanData[JobSatisfaction],415))*6.25</f>
        <v>18.75</v>
      </c>
      <c r="M423">
        <f>IF(INDEX(tblCleanData[YearsAtCompany],415)&lt;=2,25,IF(INDEX(tblCleanData[YearsAtCompany],415)&lt;=5,15,IF(INDEX(tblCleanData[YearsAtCompany],415)&lt;=10,8,3)))</f>
        <v>15</v>
      </c>
      <c r="N423">
        <f t="shared" si="12"/>
        <v>94</v>
      </c>
      <c r="O423" t="str">
        <f t="shared" si="13"/>
        <v>High Risk</v>
      </c>
    </row>
    <row r="424" spans="1:15" x14ac:dyDescent="0.25">
      <c r="A424">
        <f>INDEX(tblCleanData[EmployeeNumber],416)</f>
        <v>555</v>
      </c>
      <c r="B424" t="str">
        <f>IF(INDEX(tblCleanData[Age],416)&lt;30,"Under 30",IF(INDEX(tblCleanData[Age],416)&lt;40,"30-39",IF(INDEX(tblCleanData[Age],416)&lt;50,"40-49","50+")))</f>
        <v>30-39</v>
      </c>
      <c r="C424" t="str">
        <f>IF(INDEX(tblCleanData[MonthlyIncome],416)&lt;=$B$3,"Low Income",IF(INDEX(tblCleanData[MonthlyIncome],416)&lt;=$B$4,"Medium Income","High Income"))</f>
        <v>High Income</v>
      </c>
      <c r="D424">
        <f>IF(INDEX(tblCleanData[Attrition],416)="Yes",1,0)</f>
        <v>1</v>
      </c>
      <c r="E424">
        <f>IF(INDEX(tblCleanData[OverTime],416)="Yes",1,0)</f>
        <v>0</v>
      </c>
      <c r="F424" t="str">
        <f>CHOOSE(INDEX(tblCleanData[Education],416),"Below College","College","Bachelor","Master","Doctor")</f>
        <v>College</v>
      </c>
      <c r="G424" t="str">
        <f>IF(INDEX(tblCleanData[YearsAtCompany],416)&lt;=2,"0-2 Years",IF(INDEX(tblCleanData[YearsAtCompany],416)&lt;=5,"3-5 Years",IF(INDEX(tblCleanData[YearsAtCompany],416)&lt;=10,"6-10 Years","10+ Years")))</f>
        <v>0-2 Years</v>
      </c>
      <c r="H424" t="str">
        <f>IF(INDEX(tblCleanData[WorkLifeBalance],416)&lt;=2,"Elevated","Normal")</f>
        <v>Elevated</v>
      </c>
      <c r="I424">
        <f>IF(INDEX(tblCleanData[Age],416)&lt;30,30,IF(INDEX(tblCleanData[Age],416)&lt;40,20,IF(INDEX(tblCleanData[Age],416)&lt;50,10,15)))</f>
        <v>20</v>
      </c>
      <c r="J424">
        <f>IF(INDEX(tblCleanData[MonthlyIncome],416)&lt;=$B$3,25,IF(INDEX(tblCleanData[MonthlyIncome],416)&lt;=$B$4,12,5))</f>
        <v>5</v>
      </c>
      <c r="K424">
        <f>IF(INDEX(tblCleanData[OverTime],416)="Yes",25,0)</f>
        <v>0</v>
      </c>
      <c r="L424">
        <f>(5-INDEX(tblCleanData[JobSatisfaction],416))*6.25</f>
        <v>12.5</v>
      </c>
      <c r="M424">
        <f>IF(INDEX(tblCleanData[YearsAtCompany],416)&lt;=2,25,IF(INDEX(tblCleanData[YearsAtCompany],416)&lt;=5,15,IF(INDEX(tblCleanData[YearsAtCompany],416)&lt;=10,8,3)))</f>
        <v>25</v>
      </c>
      <c r="N424">
        <f t="shared" si="12"/>
        <v>63</v>
      </c>
      <c r="O424" t="str">
        <f t="shared" si="13"/>
        <v>High Risk</v>
      </c>
    </row>
    <row r="425" spans="1:15" x14ac:dyDescent="0.25">
      <c r="A425">
        <f>INDEX(tblCleanData[EmployeeNumber],417)</f>
        <v>556</v>
      </c>
      <c r="B425" t="str">
        <f>IF(INDEX(tblCleanData[Age],417)&lt;30,"Under 30",IF(INDEX(tblCleanData[Age],417)&lt;40,"30-39",IF(INDEX(tblCleanData[Age],417)&lt;50,"40-49","50+")))</f>
        <v>30-39</v>
      </c>
      <c r="C425" t="str">
        <f>IF(INDEX(tblCleanData[MonthlyIncome],417)&lt;=$B$3,"Low Income",IF(INDEX(tblCleanData[MonthlyIncome],417)&lt;=$B$4,"Medium Income","High Income"))</f>
        <v>High Income</v>
      </c>
      <c r="D425">
        <f>IF(INDEX(tblCleanData[Attrition],417)="Yes",1,0)</f>
        <v>0</v>
      </c>
      <c r="E425">
        <f>IF(INDEX(tblCleanData[OverTime],417)="Yes",1,0)</f>
        <v>1</v>
      </c>
      <c r="F425" t="str">
        <f>CHOOSE(INDEX(tblCleanData[Education],417),"Below College","College","Bachelor","Master","Doctor")</f>
        <v>College</v>
      </c>
      <c r="G425" t="str">
        <f>IF(INDEX(tblCleanData[YearsAtCompany],417)&lt;=2,"0-2 Years",IF(INDEX(tblCleanData[YearsAtCompany],417)&lt;=5,"3-5 Years",IF(INDEX(tblCleanData[YearsAtCompany],417)&lt;=10,"6-10 Years","10+ Years")))</f>
        <v>0-2 Years</v>
      </c>
      <c r="H425" t="str">
        <f>IF(INDEX(tblCleanData[WorkLifeBalance],417)&lt;=2,"Elevated","Normal")</f>
        <v>Normal</v>
      </c>
      <c r="I425">
        <f>IF(INDEX(tblCleanData[Age],417)&lt;30,30,IF(INDEX(tblCleanData[Age],417)&lt;40,20,IF(INDEX(tblCleanData[Age],417)&lt;50,10,15)))</f>
        <v>20</v>
      </c>
      <c r="J425">
        <f>IF(INDEX(tblCleanData[MonthlyIncome],417)&lt;=$B$3,25,IF(INDEX(tblCleanData[MonthlyIncome],417)&lt;=$B$4,12,5))</f>
        <v>5</v>
      </c>
      <c r="K425">
        <f>IF(INDEX(tblCleanData[OverTime],417)="Yes",25,0)</f>
        <v>25</v>
      </c>
      <c r="L425">
        <f>(5-INDEX(tblCleanData[JobSatisfaction],417))*6.25</f>
        <v>6.25</v>
      </c>
      <c r="M425">
        <f>IF(INDEX(tblCleanData[YearsAtCompany],417)&lt;=2,25,IF(INDEX(tblCleanData[YearsAtCompany],417)&lt;=5,15,IF(INDEX(tblCleanData[YearsAtCompany],417)&lt;=10,8,3)))</f>
        <v>25</v>
      </c>
      <c r="N425">
        <f t="shared" si="12"/>
        <v>81</v>
      </c>
      <c r="O425" t="str">
        <f t="shared" si="13"/>
        <v>High Risk</v>
      </c>
    </row>
    <row r="426" spans="1:15" x14ac:dyDescent="0.25">
      <c r="A426">
        <f>INDEX(tblCleanData[EmployeeNumber],418)</f>
        <v>558</v>
      </c>
      <c r="B426" t="str">
        <f>IF(INDEX(tblCleanData[Age],418)&lt;30,"Under 30",IF(INDEX(tblCleanData[Age],418)&lt;40,"30-39",IF(INDEX(tblCleanData[Age],418)&lt;50,"40-49","50+")))</f>
        <v>40-49</v>
      </c>
      <c r="C426" t="str">
        <f>IF(INDEX(tblCleanData[MonthlyIncome],418)&lt;=$B$3,"Low Income",IF(INDEX(tblCleanData[MonthlyIncome],418)&lt;=$B$4,"Medium Income","High Income"))</f>
        <v>High Income</v>
      </c>
      <c r="D426">
        <f>IF(INDEX(tblCleanData[Attrition],418)="Yes",1,0)</f>
        <v>0</v>
      </c>
      <c r="E426">
        <f>IF(INDEX(tblCleanData[OverTime],418)="Yes",1,0)</f>
        <v>0</v>
      </c>
      <c r="F426" t="str">
        <f>CHOOSE(INDEX(tblCleanData[Education],418),"Below College","College","Bachelor","Master","Doctor")</f>
        <v>Master</v>
      </c>
      <c r="G426" t="str">
        <f>IF(INDEX(tblCleanData[YearsAtCompany],418)&lt;=2,"0-2 Years",IF(INDEX(tblCleanData[YearsAtCompany],418)&lt;=5,"3-5 Years",IF(INDEX(tblCleanData[YearsAtCompany],418)&lt;=10,"6-10 Years","10+ Years")))</f>
        <v>10+ Years</v>
      </c>
      <c r="H426" t="str">
        <f>IF(INDEX(tblCleanData[WorkLifeBalance],418)&lt;=2,"Elevated","Normal")</f>
        <v>Normal</v>
      </c>
      <c r="I426">
        <f>IF(INDEX(tblCleanData[Age],418)&lt;30,30,IF(INDEX(tblCleanData[Age],418)&lt;40,20,IF(INDEX(tblCleanData[Age],418)&lt;50,10,15)))</f>
        <v>10</v>
      </c>
      <c r="J426">
        <f>IF(INDEX(tblCleanData[MonthlyIncome],418)&lt;=$B$3,25,IF(INDEX(tblCleanData[MonthlyIncome],418)&lt;=$B$4,12,5))</f>
        <v>5</v>
      </c>
      <c r="K426">
        <f>IF(INDEX(tblCleanData[OverTime],418)="Yes",25,0)</f>
        <v>0</v>
      </c>
      <c r="L426">
        <f>(5-INDEX(tblCleanData[JobSatisfaction],418))*6.25</f>
        <v>12.5</v>
      </c>
      <c r="M426">
        <f>IF(INDEX(tblCleanData[YearsAtCompany],418)&lt;=2,25,IF(INDEX(tblCleanData[YearsAtCompany],418)&lt;=5,15,IF(INDEX(tblCleanData[YearsAtCompany],418)&lt;=10,8,3)))</f>
        <v>3</v>
      </c>
      <c r="N426">
        <f t="shared" si="12"/>
        <v>31</v>
      </c>
      <c r="O426" t="str">
        <f t="shared" si="13"/>
        <v>Low Risk</v>
      </c>
    </row>
    <row r="427" spans="1:15" x14ac:dyDescent="0.25">
      <c r="A427">
        <f>INDEX(tblCleanData[EmployeeNumber],419)</f>
        <v>560</v>
      </c>
      <c r="B427" t="str">
        <f>IF(INDEX(tblCleanData[Age],419)&lt;30,"Under 30",IF(INDEX(tblCleanData[Age],419)&lt;40,"30-39",IF(INDEX(tblCleanData[Age],419)&lt;50,"40-49","50+")))</f>
        <v>Under 30</v>
      </c>
      <c r="C427" t="str">
        <f>IF(INDEX(tblCleanData[MonthlyIncome],419)&lt;=$B$3,"Low Income",IF(INDEX(tblCleanData[MonthlyIncome],419)&lt;=$B$4,"Medium Income","High Income"))</f>
        <v>High Income</v>
      </c>
      <c r="D427">
        <f>IF(INDEX(tblCleanData[Attrition],419)="Yes",1,0)</f>
        <v>0</v>
      </c>
      <c r="E427">
        <f>IF(INDEX(tblCleanData[OverTime],419)="Yes",1,0)</f>
        <v>0</v>
      </c>
      <c r="F427" t="str">
        <f>CHOOSE(INDEX(tblCleanData[Education],419),"Below College","College","Bachelor","Master","Doctor")</f>
        <v>Bachelor</v>
      </c>
      <c r="G427" t="str">
        <f>IF(INDEX(tblCleanData[YearsAtCompany],419)&lt;=2,"0-2 Years",IF(INDEX(tblCleanData[YearsAtCompany],419)&lt;=5,"3-5 Years",IF(INDEX(tblCleanData[YearsAtCompany],419)&lt;=10,"6-10 Years","10+ Years")))</f>
        <v>3-5 Years</v>
      </c>
      <c r="H427" t="str">
        <f>IF(INDEX(tblCleanData[WorkLifeBalance],419)&lt;=2,"Elevated","Normal")</f>
        <v>Elevated</v>
      </c>
      <c r="I427">
        <f>IF(INDEX(tblCleanData[Age],419)&lt;30,30,IF(INDEX(tblCleanData[Age],419)&lt;40,20,IF(INDEX(tblCleanData[Age],419)&lt;50,10,15)))</f>
        <v>30</v>
      </c>
      <c r="J427">
        <f>IF(INDEX(tblCleanData[MonthlyIncome],419)&lt;=$B$3,25,IF(INDEX(tblCleanData[MonthlyIncome],419)&lt;=$B$4,12,5))</f>
        <v>5</v>
      </c>
      <c r="K427">
        <f>IF(INDEX(tblCleanData[OverTime],419)="Yes",25,0)</f>
        <v>0</v>
      </c>
      <c r="L427">
        <f>(5-INDEX(tblCleanData[JobSatisfaction],419))*6.25</f>
        <v>6.25</v>
      </c>
      <c r="M427">
        <f>IF(INDEX(tblCleanData[YearsAtCompany],419)&lt;=2,25,IF(INDEX(tblCleanData[YearsAtCompany],419)&lt;=5,15,IF(INDEX(tblCleanData[YearsAtCompany],419)&lt;=10,8,3)))</f>
        <v>15</v>
      </c>
      <c r="N427">
        <f t="shared" si="12"/>
        <v>56</v>
      </c>
      <c r="O427" t="str">
        <f t="shared" si="13"/>
        <v>High Risk</v>
      </c>
    </row>
    <row r="428" spans="1:15" x14ac:dyDescent="0.25">
      <c r="A428">
        <f>INDEX(tblCleanData[EmployeeNumber],420)</f>
        <v>562</v>
      </c>
      <c r="B428" t="str">
        <f>IF(INDEX(tblCleanData[Age],420)&lt;30,"Under 30",IF(INDEX(tblCleanData[Age],420)&lt;40,"30-39",IF(INDEX(tblCleanData[Age],420)&lt;50,"40-49","50+")))</f>
        <v>30-39</v>
      </c>
      <c r="C428" t="str">
        <f>IF(INDEX(tblCleanData[MonthlyIncome],420)&lt;=$B$3,"Low Income",IF(INDEX(tblCleanData[MonthlyIncome],420)&lt;=$B$4,"Medium Income","High Income"))</f>
        <v>High Income</v>
      </c>
      <c r="D428">
        <f>IF(INDEX(tblCleanData[Attrition],420)="Yes",1,0)</f>
        <v>0</v>
      </c>
      <c r="E428">
        <f>IF(INDEX(tblCleanData[OverTime],420)="Yes",1,0)</f>
        <v>0</v>
      </c>
      <c r="F428" t="str">
        <f>CHOOSE(INDEX(tblCleanData[Education],420),"Below College","College","Bachelor","Master","Doctor")</f>
        <v>Bachelor</v>
      </c>
      <c r="G428" t="str">
        <f>IF(INDEX(tblCleanData[YearsAtCompany],420)&lt;=2,"0-2 Years",IF(INDEX(tblCleanData[YearsAtCompany],420)&lt;=5,"3-5 Years",IF(INDEX(tblCleanData[YearsAtCompany],420)&lt;=10,"6-10 Years","10+ Years")))</f>
        <v>3-5 Years</v>
      </c>
      <c r="H428" t="str">
        <f>IF(INDEX(tblCleanData[WorkLifeBalance],420)&lt;=2,"Elevated","Normal")</f>
        <v>Elevated</v>
      </c>
      <c r="I428">
        <f>IF(INDEX(tblCleanData[Age],420)&lt;30,30,IF(INDEX(tblCleanData[Age],420)&lt;40,20,IF(INDEX(tblCleanData[Age],420)&lt;50,10,15)))</f>
        <v>20</v>
      </c>
      <c r="J428">
        <f>IF(INDEX(tblCleanData[MonthlyIncome],420)&lt;=$B$3,25,IF(INDEX(tblCleanData[MonthlyIncome],420)&lt;=$B$4,12,5))</f>
        <v>5</v>
      </c>
      <c r="K428">
        <f>IF(INDEX(tblCleanData[OverTime],420)="Yes",25,0)</f>
        <v>0</v>
      </c>
      <c r="L428">
        <f>(5-INDEX(tblCleanData[JobSatisfaction],420))*6.25</f>
        <v>6.25</v>
      </c>
      <c r="M428">
        <f>IF(INDEX(tblCleanData[YearsAtCompany],420)&lt;=2,25,IF(INDEX(tblCleanData[YearsAtCompany],420)&lt;=5,15,IF(INDEX(tblCleanData[YearsAtCompany],420)&lt;=10,8,3)))</f>
        <v>15</v>
      </c>
      <c r="N428">
        <f t="shared" si="12"/>
        <v>46</v>
      </c>
      <c r="O428" t="str">
        <f t="shared" si="13"/>
        <v>Medium Risk</v>
      </c>
    </row>
    <row r="429" spans="1:15" x14ac:dyDescent="0.25">
      <c r="A429">
        <f>INDEX(tblCleanData[EmployeeNumber],421)</f>
        <v>564</v>
      </c>
      <c r="B429" t="str">
        <f>IF(INDEX(tblCleanData[Age],421)&lt;30,"Under 30",IF(INDEX(tblCleanData[Age],421)&lt;40,"30-39",IF(INDEX(tblCleanData[Age],421)&lt;50,"40-49","50+")))</f>
        <v>Under 30</v>
      </c>
      <c r="C429" t="str">
        <f>IF(INDEX(tblCleanData[MonthlyIncome],421)&lt;=$B$3,"Low Income",IF(INDEX(tblCleanData[MonthlyIncome],421)&lt;=$B$4,"Medium Income","High Income"))</f>
        <v>High Income</v>
      </c>
      <c r="D429">
        <f>IF(INDEX(tblCleanData[Attrition],421)="Yes",1,0)</f>
        <v>0</v>
      </c>
      <c r="E429">
        <f>IF(INDEX(tblCleanData[OverTime],421)="Yes",1,0)</f>
        <v>0</v>
      </c>
      <c r="F429" t="str">
        <f>CHOOSE(INDEX(tblCleanData[Education],421),"Below College","College","Bachelor","Master","Doctor")</f>
        <v>Master</v>
      </c>
      <c r="G429" t="str">
        <f>IF(INDEX(tblCleanData[YearsAtCompany],421)&lt;=2,"0-2 Years",IF(INDEX(tblCleanData[YearsAtCompany],421)&lt;=5,"3-5 Years",IF(INDEX(tblCleanData[YearsAtCompany],421)&lt;=10,"6-10 Years","10+ Years")))</f>
        <v>6-10 Years</v>
      </c>
      <c r="H429" t="str">
        <f>IF(INDEX(tblCleanData[WorkLifeBalance],421)&lt;=2,"Elevated","Normal")</f>
        <v>Normal</v>
      </c>
      <c r="I429">
        <f>IF(INDEX(tblCleanData[Age],421)&lt;30,30,IF(INDEX(tblCleanData[Age],421)&lt;40,20,IF(INDEX(tblCleanData[Age],421)&lt;50,10,15)))</f>
        <v>30</v>
      </c>
      <c r="J429">
        <f>IF(INDEX(tblCleanData[MonthlyIncome],421)&lt;=$B$3,25,IF(INDEX(tblCleanData[MonthlyIncome],421)&lt;=$B$4,12,5))</f>
        <v>5</v>
      </c>
      <c r="K429">
        <f>IF(INDEX(tblCleanData[OverTime],421)="Yes",25,0)</f>
        <v>0</v>
      </c>
      <c r="L429">
        <f>(5-INDEX(tblCleanData[JobSatisfaction],421))*6.25</f>
        <v>12.5</v>
      </c>
      <c r="M429">
        <f>IF(INDEX(tblCleanData[YearsAtCompany],421)&lt;=2,25,IF(INDEX(tblCleanData[YearsAtCompany],421)&lt;=5,15,IF(INDEX(tblCleanData[YearsAtCompany],421)&lt;=10,8,3)))</f>
        <v>8</v>
      </c>
      <c r="N429">
        <f t="shared" si="12"/>
        <v>56</v>
      </c>
      <c r="O429" t="str">
        <f t="shared" si="13"/>
        <v>High Risk</v>
      </c>
    </row>
    <row r="430" spans="1:15" x14ac:dyDescent="0.25">
      <c r="A430">
        <f>INDEX(tblCleanData[EmployeeNumber],422)</f>
        <v>565</v>
      </c>
      <c r="B430" t="str">
        <f>IF(INDEX(tblCleanData[Age],422)&lt;30,"Under 30",IF(INDEX(tblCleanData[Age],422)&lt;40,"30-39",IF(INDEX(tblCleanData[Age],422)&lt;50,"40-49","50+")))</f>
        <v>Under 30</v>
      </c>
      <c r="C430" t="str">
        <f>IF(INDEX(tblCleanData[MonthlyIncome],422)&lt;=$B$3,"Low Income",IF(INDEX(tblCleanData[MonthlyIncome],422)&lt;=$B$4,"Medium Income","High Income"))</f>
        <v>High Income</v>
      </c>
      <c r="D430">
        <f>IF(INDEX(tblCleanData[Attrition],422)="Yes",1,0)</f>
        <v>1</v>
      </c>
      <c r="E430">
        <f>IF(INDEX(tblCleanData[OverTime],422)="Yes",1,0)</f>
        <v>0</v>
      </c>
      <c r="F430" t="str">
        <f>CHOOSE(INDEX(tblCleanData[Education],422),"Below College","College","Bachelor","Master","Doctor")</f>
        <v>Doctor</v>
      </c>
      <c r="G430" t="str">
        <f>IF(INDEX(tblCleanData[YearsAtCompany],422)&lt;=2,"0-2 Years",IF(INDEX(tblCleanData[YearsAtCompany],422)&lt;=5,"3-5 Years",IF(INDEX(tblCleanData[YearsAtCompany],422)&lt;=10,"6-10 Years","10+ Years")))</f>
        <v>0-2 Years</v>
      </c>
      <c r="H430" t="str">
        <f>IF(INDEX(tblCleanData[WorkLifeBalance],422)&lt;=2,"Elevated","Normal")</f>
        <v>Normal</v>
      </c>
      <c r="I430">
        <f>IF(INDEX(tblCleanData[Age],422)&lt;30,30,IF(INDEX(tblCleanData[Age],422)&lt;40,20,IF(INDEX(tblCleanData[Age],422)&lt;50,10,15)))</f>
        <v>30</v>
      </c>
      <c r="J430">
        <f>IF(INDEX(tblCleanData[MonthlyIncome],422)&lt;=$B$3,25,IF(INDEX(tblCleanData[MonthlyIncome],422)&lt;=$B$4,12,5))</f>
        <v>5</v>
      </c>
      <c r="K430">
        <f>IF(INDEX(tblCleanData[OverTime],422)="Yes",25,0)</f>
        <v>0</v>
      </c>
      <c r="L430">
        <f>(5-INDEX(tblCleanData[JobSatisfaction],422))*6.25</f>
        <v>18.75</v>
      </c>
      <c r="M430">
        <f>IF(INDEX(tblCleanData[YearsAtCompany],422)&lt;=2,25,IF(INDEX(tblCleanData[YearsAtCompany],422)&lt;=5,15,IF(INDEX(tblCleanData[YearsAtCompany],422)&lt;=10,8,3)))</f>
        <v>25</v>
      </c>
      <c r="N430">
        <f t="shared" si="12"/>
        <v>79</v>
      </c>
      <c r="O430" t="str">
        <f t="shared" si="13"/>
        <v>High Risk</v>
      </c>
    </row>
    <row r="431" spans="1:15" x14ac:dyDescent="0.25">
      <c r="A431">
        <f>INDEX(tblCleanData[EmployeeNumber],423)</f>
        <v>566</v>
      </c>
      <c r="B431" t="str">
        <f>IF(INDEX(tblCleanData[Age],423)&lt;30,"Under 30",IF(INDEX(tblCleanData[Age],423)&lt;40,"30-39",IF(INDEX(tblCleanData[Age],423)&lt;50,"40-49","50+")))</f>
        <v>Under 30</v>
      </c>
      <c r="C431" t="str">
        <f>IF(INDEX(tblCleanData[MonthlyIncome],423)&lt;=$B$3,"Low Income",IF(INDEX(tblCleanData[MonthlyIncome],423)&lt;=$B$4,"Medium Income","High Income"))</f>
        <v>High Income</v>
      </c>
      <c r="D431">
        <f>IF(INDEX(tblCleanData[Attrition],423)="Yes",1,0)</f>
        <v>1</v>
      </c>
      <c r="E431">
        <f>IF(INDEX(tblCleanData[OverTime],423)="Yes",1,0)</f>
        <v>0</v>
      </c>
      <c r="F431" t="str">
        <f>CHOOSE(INDEX(tblCleanData[Education],423),"Below College","College","Bachelor","Master","Doctor")</f>
        <v>College</v>
      </c>
      <c r="G431" t="str">
        <f>IF(INDEX(tblCleanData[YearsAtCompany],423)&lt;=2,"0-2 Years",IF(INDEX(tblCleanData[YearsAtCompany],423)&lt;=5,"3-5 Years",IF(INDEX(tblCleanData[YearsAtCompany],423)&lt;=10,"6-10 Years","10+ Years")))</f>
        <v>0-2 Years</v>
      </c>
      <c r="H431" t="str">
        <f>IF(INDEX(tblCleanData[WorkLifeBalance],423)&lt;=2,"Elevated","Normal")</f>
        <v>Normal</v>
      </c>
      <c r="I431">
        <f>IF(INDEX(tblCleanData[Age],423)&lt;30,30,IF(INDEX(tblCleanData[Age],423)&lt;40,20,IF(INDEX(tblCleanData[Age],423)&lt;50,10,15)))</f>
        <v>30</v>
      </c>
      <c r="J431">
        <f>IF(INDEX(tblCleanData[MonthlyIncome],423)&lt;=$B$3,25,IF(INDEX(tblCleanData[MonthlyIncome],423)&lt;=$B$4,12,5))</f>
        <v>5</v>
      </c>
      <c r="K431">
        <f>IF(INDEX(tblCleanData[OverTime],423)="Yes",25,0)</f>
        <v>0</v>
      </c>
      <c r="L431">
        <f>(5-INDEX(tblCleanData[JobSatisfaction],423))*6.25</f>
        <v>6.25</v>
      </c>
      <c r="M431">
        <f>IF(INDEX(tblCleanData[YearsAtCompany],423)&lt;=2,25,IF(INDEX(tblCleanData[YearsAtCompany],423)&lt;=5,15,IF(INDEX(tblCleanData[YearsAtCompany],423)&lt;=10,8,3)))</f>
        <v>25</v>
      </c>
      <c r="N431">
        <f t="shared" si="12"/>
        <v>66</v>
      </c>
      <c r="O431" t="str">
        <f t="shared" si="13"/>
        <v>High Risk</v>
      </c>
    </row>
    <row r="432" spans="1:15" x14ac:dyDescent="0.25">
      <c r="A432">
        <f>INDEX(tblCleanData[EmployeeNumber],424)</f>
        <v>567</v>
      </c>
      <c r="B432" t="str">
        <f>IF(INDEX(tblCleanData[Age],424)&lt;30,"Under 30",IF(INDEX(tblCleanData[Age],424)&lt;40,"30-39",IF(INDEX(tblCleanData[Age],424)&lt;50,"40-49","50+")))</f>
        <v>30-39</v>
      </c>
      <c r="C432" t="str">
        <f>IF(INDEX(tblCleanData[MonthlyIncome],424)&lt;=$B$3,"Low Income",IF(INDEX(tblCleanData[MonthlyIncome],424)&lt;=$B$4,"Medium Income","High Income"))</f>
        <v>High Income</v>
      </c>
      <c r="D432">
        <f>IF(INDEX(tblCleanData[Attrition],424)="Yes",1,0)</f>
        <v>0</v>
      </c>
      <c r="E432">
        <f>IF(INDEX(tblCleanData[OverTime],424)="Yes",1,0)</f>
        <v>0</v>
      </c>
      <c r="F432" t="str">
        <f>CHOOSE(INDEX(tblCleanData[Education],424),"Below College","College","Bachelor","Master","Doctor")</f>
        <v>Master</v>
      </c>
      <c r="G432" t="str">
        <f>IF(INDEX(tblCleanData[YearsAtCompany],424)&lt;=2,"0-2 Years",IF(INDEX(tblCleanData[YearsAtCompany],424)&lt;=5,"3-5 Years",IF(INDEX(tblCleanData[YearsAtCompany],424)&lt;=10,"6-10 Years","10+ Years")))</f>
        <v>6-10 Years</v>
      </c>
      <c r="H432" t="str">
        <f>IF(INDEX(tblCleanData[WorkLifeBalance],424)&lt;=2,"Elevated","Normal")</f>
        <v>Normal</v>
      </c>
      <c r="I432">
        <f>IF(INDEX(tblCleanData[Age],424)&lt;30,30,IF(INDEX(tblCleanData[Age],424)&lt;40,20,IF(INDEX(tblCleanData[Age],424)&lt;50,10,15)))</f>
        <v>20</v>
      </c>
      <c r="J432">
        <f>IF(INDEX(tblCleanData[MonthlyIncome],424)&lt;=$B$3,25,IF(INDEX(tblCleanData[MonthlyIncome],424)&lt;=$B$4,12,5))</f>
        <v>5</v>
      </c>
      <c r="K432">
        <f>IF(INDEX(tblCleanData[OverTime],424)="Yes",25,0)</f>
        <v>0</v>
      </c>
      <c r="L432">
        <f>(5-INDEX(tblCleanData[JobSatisfaction],424))*6.25</f>
        <v>25</v>
      </c>
      <c r="M432">
        <f>IF(INDEX(tblCleanData[YearsAtCompany],424)&lt;=2,25,IF(INDEX(tblCleanData[YearsAtCompany],424)&lt;=5,15,IF(INDEX(tblCleanData[YearsAtCompany],424)&lt;=10,8,3)))</f>
        <v>8</v>
      </c>
      <c r="N432">
        <f t="shared" si="12"/>
        <v>58</v>
      </c>
      <c r="O432" t="str">
        <f t="shared" si="13"/>
        <v>High Risk</v>
      </c>
    </row>
    <row r="433" spans="1:15" x14ac:dyDescent="0.25">
      <c r="A433">
        <f>INDEX(tblCleanData[EmployeeNumber],425)</f>
        <v>568</v>
      </c>
      <c r="B433" t="str">
        <f>IF(INDEX(tblCleanData[Age],425)&lt;30,"Under 30",IF(INDEX(tblCleanData[Age],425)&lt;40,"30-39",IF(INDEX(tblCleanData[Age],425)&lt;50,"40-49","50+")))</f>
        <v>50+</v>
      </c>
      <c r="C433" t="str">
        <f>IF(INDEX(tblCleanData[MonthlyIncome],425)&lt;=$B$3,"Low Income",IF(INDEX(tblCleanData[MonthlyIncome],425)&lt;=$B$4,"Medium Income","High Income"))</f>
        <v>High Income</v>
      </c>
      <c r="D433">
        <f>IF(INDEX(tblCleanData[Attrition],425)="Yes",1,0)</f>
        <v>0</v>
      </c>
      <c r="E433">
        <f>IF(INDEX(tblCleanData[OverTime],425)="Yes",1,0)</f>
        <v>0</v>
      </c>
      <c r="F433" t="str">
        <f>CHOOSE(INDEX(tblCleanData[Education],425),"Below College","College","Bachelor","Master","Doctor")</f>
        <v>Bachelor</v>
      </c>
      <c r="G433" t="str">
        <f>IF(INDEX(tblCleanData[YearsAtCompany],425)&lt;=2,"0-2 Years",IF(INDEX(tblCleanData[YearsAtCompany],425)&lt;=5,"3-5 Years",IF(INDEX(tblCleanData[YearsAtCompany],425)&lt;=10,"6-10 Years","10+ Years")))</f>
        <v>0-2 Years</v>
      </c>
      <c r="H433" t="str">
        <f>IF(INDEX(tblCleanData[WorkLifeBalance],425)&lt;=2,"Elevated","Normal")</f>
        <v>Elevated</v>
      </c>
      <c r="I433">
        <f>IF(INDEX(tblCleanData[Age],425)&lt;30,30,IF(INDEX(tblCleanData[Age],425)&lt;40,20,IF(INDEX(tblCleanData[Age],425)&lt;50,10,15)))</f>
        <v>15</v>
      </c>
      <c r="J433">
        <f>IF(INDEX(tblCleanData[MonthlyIncome],425)&lt;=$B$3,25,IF(INDEX(tblCleanData[MonthlyIncome],425)&lt;=$B$4,12,5))</f>
        <v>5</v>
      </c>
      <c r="K433">
        <f>IF(INDEX(tblCleanData[OverTime],425)="Yes",25,0)</f>
        <v>0</v>
      </c>
      <c r="L433">
        <f>(5-INDEX(tblCleanData[JobSatisfaction],425))*6.25</f>
        <v>6.25</v>
      </c>
      <c r="M433">
        <f>IF(INDEX(tblCleanData[YearsAtCompany],425)&lt;=2,25,IF(INDEX(tblCleanData[YearsAtCompany],425)&lt;=5,15,IF(INDEX(tblCleanData[YearsAtCompany],425)&lt;=10,8,3)))</f>
        <v>25</v>
      </c>
      <c r="N433">
        <f t="shared" si="12"/>
        <v>51</v>
      </c>
      <c r="O433" t="str">
        <f t="shared" si="13"/>
        <v>Medium Risk</v>
      </c>
    </row>
    <row r="434" spans="1:15" x14ac:dyDescent="0.25">
      <c r="A434">
        <f>INDEX(tblCleanData[EmployeeNumber],426)</f>
        <v>569</v>
      </c>
      <c r="B434" t="str">
        <f>IF(INDEX(tblCleanData[Age],426)&lt;30,"Under 30",IF(INDEX(tblCleanData[Age],426)&lt;40,"30-39",IF(INDEX(tblCleanData[Age],426)&lt;50,"40-49","50+")))</f>
        <v>50+</v>
      </c>
      <c r="C434" t="str">
        <f>IF(INDEX(tblCleanData[MonthlyIncome],426)&lt;=$B$3,"Low Income",IF(INDEX(tblCleanData[MonthlyIncome],426)&lt;=$B$4,"Medium Income","High Income"))</f>
        <v>High Income</v>
      </c>
      <c r="D434">
        <f>IF(INDEX(tblCleanData[Attrition],426)="Yes",1,0)</f>
        <v>0</v>
      </c>
      <c r="E434">
        <f>IF(INDEX(tblCleanData[OverTime],426)="Yes",1,0)</f>
        <v>0</v>
      </c>
      <c r="F434" t="str">
        <f>CHOOSE(INDEX(tblCleanData[Education],426),"Below College","College","Bachelor","Master","Doctor")</f>
        <v>Master</v>
      </c>
      <c r="G434" t="str">
        <f>IF(INDEX(tblCleanData[YearsAtCompany],426)&lt;=2,"0-2 Years",IF(INDEX(tblCleanData[YearsAtCompany],426)&lt;=5,"3-5 Years",IF(INDEX(tblCleanData[YearsAtCompany],426)&lt;=10,"6-10 Years","10+ Years")))</f>
        <v>10+ Years</v>
      </c>
      <c r="H434" t="str">
        <f>IF(INDEX(tblCleanData[WorkLifeBalance],426)&lt;=2,"Elevated","Normal")</f>
        <v>Normal</v>
      </c>
      <c r="I434">
        <f>IF(INDEX(tblCleanData[Age],426)&lt;30,30,IF(INDEX(tblCleanData[Age],426)&lt;40,20,IF(INDEX(tblCleanData[Age],426)&lt;50,10,15)))</f>
        <v>15</v>
      </c>
      <c r="J434">
        <f>IF(INDEX(tblCleanData[MonthlyIncome],426)&lt;=$B$3,25,IF(INDEX(tblCleanData[MonthlyIncome],426)&lt;=$B$4,12,5))</f>
        <v>5</v>
      </c>
      <c r="K434">
        <f>IF(INDEX(tblCleanData[OverTime],426)="Yes",25,0)</f>
        <v>0</v>
      </c>
      <c r="L434">
        <f>(5-INDEX(tblCleanData[JobSatisfaction],426))*6.25</f>
        <v>12.5</v>
      </c>
      <c r="M434">
        <f>IF(INDEX(tblCleanData[YearsAtCompany],426)&lt;=2,25,IF(INDEX(tblCleanData[YearsAtCompany],426)&lt;=5,15,IF(INDEX(tblCleanData[YearsAtCompany],426)&lt;=10,8,3)))</f>
        <v>3</v>
      </c>
      <c r="N434">
        <f t="shared" si="12"/>
        <v>36</v>
      </c>
      <c r="O434" t="str">
        <f t="shared" si="13"/>
        <v>Medium Risk</v>
      </c>
    </row>
    <row r="435" spans="1:15" x14ac:dyDescent="0.25">
      <c r="A435">
        <f>INDEX(tblCleanData[EmployeeNumber],427)</f>
        <v>571</v>
      </c>
      <c r="B435" t="str">
        <f>IF(INDEX(tblCleanData[Age],427)&lt;30,"Under 30",IF(INDEX(tblCleanData[Age],427)&lt;40,"30-39",IF(INDEX(tblCleanData[Age],427)&lt;50,"40-49","50+")))</f>
        <v>30-39</v>
      </c>
      <c r="C435" t="str">
        <f>IF(INDEX(tblCleanData[MonthlyIncome],427)&lt;=$B$3,"Low Income",IF(INDEX(tblCleanData[MonthlyIncome],427)&lt;=$B$4,"Medium Income","High Income"))</f>
        <v>High Income</v>
      </c>
      <c r="D435">
        <f>IF(INDEX(tblCleanData[Attrition],427)="Yes",1,0)</f>
        <v>0</v>
      </c>
      <c r="E435">
        <f>IF(INDEX(tblCleanData[OverTime],427)="Yes",1,0)</f>
        <v>0</v>
      </c>
      <c r="F435" t="str">
        <f>CHOOSE(INDEX(tblCleanData[Education],427),"Below College","College","Bachelor","Master","Doctor")</f>
        <v>Bachelor</v>
      </c>
      <c r="G435" t="str">
        <f>IF(INDEX(tblCleanData[YearsAtCompany],427)&lt;=2,"0-2 Years",IF(INDEX(tblCleanData[YearsAtCompany],427)&lt;=5,"3-5 Years",IF(INDEX(tblCleanData[YearsAtCompany],427)&lt;=10,"6-10 Years","10+ Years")))</f>
        <v>10+ Years</v>
      </c>
      <c r="H435" t="str">
        <f>IF(INDEX(tblCleanData[WorkLifeBalance],427)&lt;=2,"Elevated","Normal")</f>
        <v>Elevated</v>
      </c>
      <c r="I435">
        <f>IF(INDEX(tblCleanData[Age],427)&lt;30,30,IF(INDEX(tblCleanData[Age],427)&lt;40,20,IF(INDEX(tblCleanData[Age],427)&lt;50,10,15)))</f>
        <v>20</v>
      </c>
      <c r="J435">
        <f>IF(INDEX(tblCleanData[MonthlyIncome],427)&lt;=$B$3,25,IF(INDEX(tblCleanData[MonthlyIncome],427)&lt;=$B$4,12,5))</f>
        <v>5</v>
      </c>
      <c r="K435">
        <f>IF(INDEX(tblCleanData[OverTime],427)="Yes",25,0)</f>
        <v>0</v>
      </c>
      <c r="L435">
        <f>(5-INDEX(tblCleanData[JobSatisfaction],427))*6.25</f>
        <v>6.25</v>
      </c>
      <c r="M435">
        <f>IF(INDEX(tblCleanData[YearsAtCompany],427)&lt;=2,25,IF(INDEX(tblCleanData[YearsAtCompany],427)&lt;=5,15,IF(INDEX(tblCleanData[YearsAtCompany],427)&lt;=10,8,3)))</f>
        <v>3</v>
      </c>
      <c r="N435">
        <f t="shared" si="12"/>
        <v>34</v>
      </c>
      <c r="O435" t="str">
        <f t="shared" si="13"/>
        <v>Low Risk</v>
      </c>
    </row>
    <row r="436" spans="1:15" x14ac:dyDescent="0.25">
      <c r="A436">
        <f>INDEX(tblCleanData[EmployeeNumber],428)</f>
        <v>573</v>
      </c>
      <c r="B436" t="str">
        <f>IF(INDEX(tblCleanData[Age],428)&lt;30,"Under 30",IF(INDEX(tblCleanData[Age],428)&lt;40,"30-39",IF(INDEX(tblCleanData[Age],428)&lt;50,"40-49","50+")))</f>
        <v>50+</v>
      </c>
      <c r="C436" t="str">
        <f>IF(INDEX(tblCleanData[MonthlyIncome],428)&lt;=$B$3,"Low Income",IF(INDEX(tblCleanData[MonthlyIncome],428)&lt;=$B$4,"Medium Income","High Income"))</f>
        <v>High Income</v>
      </c>
      <c r="D436">
        <f>IF(INDEX(tblCleanData[Attrition],428)="Yes",1,0)</f>
        <v>0</v>
      </c>
      <c r="E436">
        <f>IF(INDEX(tblCleanData[OverTime],428)="Yes",1,0)</f>
        <v>0</v>
      </c>
      <c r="F436" t="str">
        <f>CHOOSE(INDEX(tblCleanData[Education],428),"Below College","College","Bachelor","Master","Doctor")</f>
        <v>Bachelor</v>
      </c>
      <c r="G436" t="str">
        <f>IF(INDEX(tblCleanData[YearsAtCompany],428)&lt;=2,"0-2 Years",IF(INDEX(tblCleanData[YearsAtCompany],428)&lt;=5,"3-5 Years",IF(INDEX(tblCleanData[YearsAtCompany],428)&lt;=10,"6-10 Years","10+ Years")))</f>
        <v>10+ Years</v>
      </c>
      <c r="H436" t="str">
        <f>IF(INDEX(tblCleanData[WorkLifeBalance],428)&lt;=2,"Elevated","Normal")</f>
        <v>Normal</v>
      </c>
      <c r="I436">
        <f>IF(INDEX(tblCleanData[Age],428)&lt;30,30,IF(INDEX(tblCleanData[Age],428)&lt;40,20,IF(INDEX(tblCleanData[Age],428)&lt;50,10,15)))</f>
        <v>15</v>
      </c>
      <c r="J436">
        <f>IF(INDEX(tblCleanData[MonthlyIncome],428)&lt;=$B$3,25,IF(INDEX(tblCleanData[MonthlyIncome],428)&lt;=$B$4,12,5))</f>
        <v>5</v>
      </c>
      <c r="K436">
        <f>IF(INDEX(tblCleanData[OverTime],428)="Yes",25,0)</f>
        <v>0</v>
      </c>
      <c r="L436">
        <f>(5-INDEX(tblCleanData[JobSatisfaction],428))*6.25</f>
        <v>25</v>
      </c>
      <c r="M436">
        <f>IF(INDEX(tblCleanData[YearsAtCompany],428)&lt;=2,25,IF(INDEX(tblCleanData[YearsAtCompany],428)&lt;=5,15,IF(INDEX(tblCleanData[YearsAtCompany],428)&lt;=10,8,3)))</f>
        <v>3</v>
      </c>
      <c r="N436">
        <f t="shared" si="12"/>
        <v>48</v>
      </c>
      <c r="O436" t="str">
        <f t="shared" si="13"/>
        <v>Medium Risk</v>
      </c>
    </row>
    <row r="437" spans="1:15" x14ac:dyDescent="0.25">
      <c r="A437">
        <f>INDEX(tblCleanData[EmployeeNumber],429)</f>
        <v>574</v>
      </c>
      <c r="B437" t="str">
        <f>IF(INDEX(tblCleanData[Age],429)&lt;30,"Under 30",IF(INDEX(tblCleanData[Age],429)&lt;40,"30-39",IF(INDEX(tblCleanData[Age],429)&lt;50,"40-49","50+")))</f>
        <v>40-49</v>
      </c>
      <c r="C437" t="str">
        <f>IF(INDEX(tblCleanData[MonthlyIncome],429)&lt;=$B$3,"Low Income",IF(INDEX(tblCleanData[MonthlyIncome],429)&lt;=$B$4,"Medium Income","High Income"))</f>
        <v>High Income</v>
      </c>
      <c r="D437">
        <f>IF(INDEX(tblCleanData[Attrition],429)="Yes",1,0)</f>
        <v>0</v>
      </c>
      <c r="E437">
        <f>IF(INDEX(tblCleanData[OverTime],429)="Yes",1,0)</f>
        <v>0</v>
      </c>
      <c r="F437" t="str">
        <f>CHOOSE(INDEX(tblCleanData[Education],429),"Below College","College","Bachelor","Master","Doctor")</f>
        <v>College</v>
      </c>
      <c r="G437" t="str">
        <f>IF(INDEX(tblCleanData[YearsAtCompany],429)&lt;=2,"0-2 Years",IF(INDEX(tblCleanData[YearsAtCompany],429)&lt;=5,"3-5 Years",IF(INDEX(tblCleanData[YearsAtCompany],429)&lt;=10,"6-10 Years","10+ Years")))</f>
        <v>3-5 Years</v>
      </c>
      <c r="H437" t="str">
        <f>IF(INDEX(tblCleanData[WorkLifeBalance],429)&lt;=2,"Elevated","Normal")</f>
        <v>Normal</v>
      </c>
      <c r="I437">
        <f>IF(INDEX(tblCleanData[Age],429)&lt;30,30,IF(INDEX(tblCleanData[Age],429)&lt;40,20,IF(INDEX(tblCleanData[Age],429)&lt;50,10,15)))</f>
        <v>10</v>
      </c>
      <c r="J437">
        <f>IF(INDEX(tblCleanData[MonthlyIncome],429)&lt;=$B$3,25,IF(INDEX(tblCleanData[MonthlyIncome],429)&lt;=$B$4,12,5))</f>
        <v>5</v>
      </c>
      <c r="K437">
        <f>IF(INDEX(tblCleanData[OverTime],429)="Yes",25,0)</f>
        <v>0</v>
      </c>
      <c r="L437">
        <f>(5-INDEX(tblCleanData[JobSatisfaction],429))*6.25</f>
        <v>6.25</v>
      </c>
      <c r="M437">
        <f>IF(INDEX(tblCleanData[YearsAtCompany],429)&lt;=2,25,IF(INDEX(tblCleanData[YearsAtCompany],429)&lt;=5,15,IF(INDEX(tblCleanData[YearsAtCompany],429)&lt;=10,8,3)))</f>
        <v>15</v>
      </c>
      <c r="N437">
        <f t="shared" si="12"/>
        <v>36</v>
      </c>
      <c r="O437" t="str">
        <f t="shared" si="13"/>
        <v>Medium Risk</v>
      </c>
    </row>
    <row r="438" spans="1:15" x14ac:dyDescent="0.25">
      <c r="A438">
        <f>INDEX(tblCleanData[EmployeeNumber],430)</f>
        <v>575</v>
      </c>
      <c r="B438" t="str">
        <f>IF(INDEX(tblCleanData[Age],430)&lt;30,"Under 30",IF(INDEX(tblCleanData[Age],430)&lt;40,"30-39",IF(INDEX(tblCleanData[Age],430)&lt;50,"40-49","50+")))</f>
        <v>40-49</v>
      </c>
      <c r="C438" t="str">
        <f>IF(INDEX(tblCleanData[MonthlyIncome],430)&lt;=$B$3,"Low Income",IF(INDEX(tblCleanData[MonthlyIncome],430)&lt;=$B$4,"Medium Income","High Income"))</f>
        <v>High Income</v>
      </c>
      <c r="D438">
        <f>IF(INDEX(tblCleanData[Attrition],430)="Yes",1,0)</f>
        <v>0</v>
      </c>
      <c r="E438">
        <f>IF(INDEX(tblCleanData[OverTime],430)="Yes",1,0)</f>
        <v>0</v>
      </c>
      <c r="F438" t="str">
        <f>CHOOSE(INDEX(tblCleanData[Education],430),"Below College","College","Bachelor","Master","Doctor")</f>
        <v>Bachelor</v>
      </c>
      <c r="G438" t="str">
        <f>IF(INDEX(tblCleanData[YearsAtCompany],430)&lt;=2,"0-2 Years",IF(INDEX(tblCleanData[YearsAtCompany],430)&lt;=5,"3-5 Years",IF(INDEX(tblCleanData[YearsAtCompany],430)&lt;=10,"6-10 Years","10+ Years")))</f>
        <v>3-5 Years</v>
      </c>
      <c r="H438" t="str">
        <f>IF(INDEX(tblCleanData[WorkLifeBalance],430)&lt;=2,"Elevated","Normal")</f>
        <v>Elevated</v>
      </c>
      <c r="I438">
        <f>IF(INDEX(tblCleanData[Age],430)&lt;30,30,IF(INDEX(tblCleanData[Age],430)&lt;40,20,IF(INDEX(tblCleanData[Age],430)&lt;50,10,15)))</f>
        <v>10</v>
      </c>
      <c r="J438">
        <f>IF(INDEX(tblCleanData[MonthlyIncome],430)&lt;=$B$3,25,IF(INDEX(tblCleanData[MonthlyIncome],430)&lt;=$B$4,12,5))</f>
        <v>5</v>
      </c>
      <c r="K438">
        <f>IF(INDEX(tblCleanData[OverTime],430)="Yes",25,0)</f>
        <v>0</v>
      </c>
      <c r="L438">
        <f>(5-INDEX(tblCleanData[JobSatisfaction],430))*6.25</f>
        <v>12.5</v>
      </c>
      <c r="M438">
        <f>IF(INDEX(tblCleanData[YearsAtCompany],430)&lt;=2,25,IF(INDEX(tblCleanData[YearsAtCompany],430)&lt;=5,15,IF(INDEX(tblCleanData[YearsAtCompany],430)&lt;=10,8,3)))</f>
        <v>15</v>
      </c>
      <c r="N438">
        <f t="shared" si="12"/>
        <v>43</v>
      </c>
      <c r="O438" t="str">
        <f t="shared" si="13"/>
        <v>Medium Risk</v>
      </c>
    </row>
    <row r="439" spans="1:15" x14ac:dyDescent="0.25">
      <c r="A439">
        <f>INDEX(tblCleanData[EmployeeNumber],431)</f>
        <v>577</v>
      </c>
      <c r="B439" t="str">
        <f>IF(INDEX(tblCleanData[Age],431)&lt;30,"Under 30",IF(INDEX(tblCleanData[Age],431)&lt;40,"30-39",IF(INDEX(tblCleanData[Age],431)&lt;50,"40-49","50+")))</f>
        <v>30-39</v>
      </c>
      <c r="C439" t="str">
        <f>IF(INDEX(tblCleanData[MonthlyIncome],431)&lt;=$B$3,"Low Income",IF(INDEX(tblCleanData[MonthlyIncome],431)&lt;=$B$4,"Medium Income","High Income"))</f>
        <v>High Income</v>
      </c>
      <c r="D439">
        <f>IF(INDEX(tblCleanData[Attrition],431)="Yes",1,0)</f>
        <v>0</v>
      </c>
      <c r="E439">
        <f>IF(INDEX(tblCleanData[OverTime],431)="Yes",1,0)</f>
        <v>0</v>
      </c>
      <c r="F439" t="str">
        <f>CHOOSE(INDEX(tblCleanData[Education],431),"Below College","College","Bachelor","Master","Doctor")</f>
        <v>Bachelor</v>
      </c>
      <c r="G439" t="str">
        <f>IF(INDEX(tblCleanData[YearsAtCompany],431)&lt;=2,"0-2 Years",IF(INDEX(tblCleanData[YearsAtCompany],431)&lt;=5,"3-5 Years",IF(INDEX(tblCleanData[YearsAtCompany],431)&lt;=10,"6-10 Years","10+ Years")))</f>
        <v>3-5 Years</v>
      </c>
      <c r="H439" t="str">
        <f>IF(INDEX(tblCleanData[WorkLifeBalance],431)&lt;=2,"Elevated","Normal")</f>
        <v>Normal</v>
      </c>
      <c r="I439">
        <f>IF(INDEX(tblCleanData[Age],431)&lt;30,30,IF(INDEX(tblCleanData[Age],431)&lt;40,20,IF(INDEX(tblCleanData[Age],431)&lt;50,10,15)))</f>
        <v>20</v>
      </c>
      <c r="J439">
        <f>IF(INDEX(tblCleanData[MonthlyIncome],431)&lt;=$B$3,25,IF(INDEX(tblCleanData[MonthlyIncome],431)&lt;=$B$4,12,5))</f>
        <v>5</v>
      </c>
      <c r="K439">
        <f>IF(INDEX(tblCleanData[OverTime],431)="Yes",25,0)</f>
        <v>0</v>
      </c>
      <c r="L439">
        <f>(5-INDEX(tblCleanData[JobSatisfaction],431))*6.25</f>
        <v>12.5</v>
      </c>
      <c r="M439">
        <f>IF(INDEX(tblCleanData[YearsAtCompany],431)&lt;=2,25,IF(INDEX(tblCleanData[YearsAtCompany],431)&lt;=5,15,IF(INDEX(tblCleanData[YearsAtCompany],431)&lt;=10,8,3)))</f>
        <v>15</v>
      </c>
      <c r="N439">
        <f t="shared" si="12"/>
        <v>53</v>
      </c>
      <c r="O439" t="str">
        <f t="shared" si="13"/>
        <v>Medium Risk</v>
      </c>
    </row>
    <row r="440" spans="1:15" x14ac:dyDescent="0.25">
      <c r="A440">
        <f>INDEX(tblCleanData[EmployeeNumber],432)</f>
        <v>578</v>
      </c>
      <c r="B440" t="str">
        <f>IF(INDEX(tblCleanData[Age],432)&lt;30,"Under 30",IF(INDEX(tblCleanData[Age],432)&lt;40,"30-39",IF(INDEX(tblCleanData[Age],432)&lt;50,"40-49","50+")))</f>
        <v>50+</v>
      </c>
      <c r="C440" t="str">
        <f>IF(INDEX(tblCleanData[MonthlyIncome],432)&lt;=$B$3,"Low Income",IF(INDEX(tblCleanData[MonthlyIncome],432)&lt;=$B$4,"Medium Income","High Income"))</f>
        <v>High Income</v>
      </c>
      <c r="D440">
        <f>IF(INDEX(tblCleanData[Attrition],432)="Yes",1,0)</f>
        <v>0</v>
      </c>
      <c r="E440">
        <f>IF(INDEX(tblCleanData[OverTime],432)="Yes",1,0)</f>
        <v>0</v>
      </c>
      <c r="F440" t="str">
        <f>CHOOSE(INDEX(tblCleanData[Education],432),"Below College","College","Bachelor","Master","Doctor")</f>
        <v>Master</v>
      </c>
      <c r="G440" t="str">
        <f>IF(INDEX(tblCleanData[YearsAtCompany],432)&lt;=2,"0-2 Years",IF(INDEX(tblCleanData[YearsAtCompany],432)&lt;=5,"3-5 Years",IF(INDEX(tblCleanData[YearsAtCompany],432)&lt;=10,"6-10 Years","10+ Years")))</f>
        <v>0-2 Years</v>
      </c>
      <c r="H440" t="str">
        <f>IF(INDEX(tblCleanData[WorkLifeBalance],432)&lt;=2,"Elevated","Normal")</f>
        <v>Normal</v>
      </c>
      <c r="I440">
        <f>IF(INDEX(tblCleanData[Age],432)&lt;30,30,IF(INDEX(tblCleanData[Age],432)&lt;40,20,IF(INDEX(tblCleanData[Age],432)&lt;50,10,15)))</f>
        <v>15</v>
      </c>
      <c r="J440">
        <f>IF(INDEX(tblCleanData[MonthlyIncome],432)&lt;=$B$3,25,IF(INDEX(tblCleanData[MonthlyIncome],432)&lt;=$B$4,12,5))</f>
        <v>5</v>
      </c>
      <c r="K440">
        <f>IF(INDEX(tblCleanData[OverTime],432)="Yes",25,0)</f>
        <v>0</v>
      </c>
      <c r="L440">
        <f>(5-INDEX(tblCleanData[JobSatisfaction],432))*6.25</f>
        <v>12.5</v>
      </c>
      <c r="M440">
        <f>IF(INDEX(tblCleanData[YearsAtCompany],432)&lt;=2,25,IF(INDEX(tblCleanData[YearsAtCompany],432)&lt;=5,15,IF(INDEX(tblCleanData[YearsAtCompany],432)&lt;=10,8,3)))</f>
        <v>25</v>
      </c>
      <c r="N440">
        <f t="shared" si="12"/>
        <v>58</v>
      </c>
      <c r="O440" t="str">
        <f t="shared" si="13"/>
        <v>High Risk</v>
      </c>
    </row>
    <row r="441" spans="1:15" x14ac:dyDescent="0.25">
      <c r="A441">
        <f>INDEX(tblCleanData[EmployeeNumber],433)</f>
        <v>579</v>
      </c>
      <c r="B441" t="str">
        <f>IF(INDEX(tblCleanData[Age],433)&lt;30,"Under 30",IF(INDEX(tblCleanData[Age],433)&lt;40,"30-39",IF(INDEX(tblCleanData[Age],433)&lt;50,"40-49","50+")))</f>
        <v>30-39</v>
      </c>
      <c r="C441" t="str">
        <f>IF(INDEX(tblCleanData[MonthlyIncome],433)&lt;=$B$3,"Low Income",IF(INDEX(tblCleanData[MonthlyIncome],433)&lt;=$B$4,"Medium Income","High Income"))</f>
        <v>High Income</v>
      </c>
      <c r="D441">
        <f>IF(INDEX(tblCleanData[Attrition],433)="Yes",1,0)</f>
        <v>0</v>
      </c>
      <c r="E441">
        <f>IF(INDEX(tblCleanData[OverTime],433)="Yes",1,0)</f>
        <v>0</v>
      </c>
      <c r="F441" t="str">
        <f>CHOOSE(INDEX(tblCleanData[Education],433),"Below College","College","Bachelor","Master","Doctor")</f>
        <v>Master</v>
      </c>
      <c r="G441" t="str">
        <f>IF(INDEX(tblCleanData[YearsAtCompany],433)&lt;=2,"0-2 Years",IF(INDEX(tblCleanData[YearsAtCompany],433)&lt;=5,"3-5 Years",IF(INDEX(tblCleanData[YearsAtCompany],433)&lt;=10,"6-10 Years","10+ Years")))</f>
        <v>6-10 Years</v>
      </c>
      <c r="H441" t="str">
        <f>IF(INDEX(tblCleanData[WorkLifeBalance],433)&lt;=2,"Elevated","Normal")</f>
        <v>Normal</v>
      </c>
      <c r="I441">
        <f>IF(INDEX(tblCleanData[Age],433)&lt;30,30,IF(INDEX(tblCleanData[Age],433)&lt;40,20,IF(INDEX(tblCleanData[Age],433)&lt;50,10,15)))</f>
        <v>20</v>
      </c>
      <c r="J441">
        <f>IF(INDEX(tblCleanData[MonthlyIncome],433)&lt;=$B$3,25,IF(INDEX(tblCleanData[MonthlyIncome],433)&lt;=$B$4,12,5))</f>
        <v>5</v>
      </c>
      <c r="K441">
        <f>IF(INDEX(tblCleanData[OverTime],433)="Yes",25,0)</f>
        <v>0</v>
      </c>
      <c r="L441">
        <f>(5-INDEX(tblCleanData[JobSatisfaction],433))*6.25</f>
        <v>12.5</v>
      </c>
      <c r="M441">
        <f>IF(INDEX(tblCleanData[YearsAtCompany],433)&lt;=2,25,IF(INDEX(tblCleanData[YearsAtCompany],433)&lt;=5,15,IF(INDEX(tblCleanData[YearsAtCompany],433)&lt;=10,8,3)))</f>
        <v>8</v>
      </c>
      <c r="N441">
        <f t="shared" si="12"/>
        <v>46</v>
      </c>
      <c r="O441" t="str">
        <f t="shared" si="13"/>
        <v>Medium Risk</v>
      </c>
    </row>
    <row r="442" spans="1:15" x14ac:dyDescent="0.25">
      <c r="A442">
        <f>INDEX(tblCleanData[EmployeeNumber],434)</f>
        <v>580</v>
      </c>
      <c r="B442" t="str">
        <f>IF(INDEX(tblCleanData[Age],434)&lt;30,"Under 30",IF(INDEX(tblCleanData[Age],434)&lt;40,"30-39",IF(INDEX(tblCleanData[Age],434)&lt;50,"40-49","50+")))</f>
        <v>40-49</v>
      </c>
      <c r="C442" t="str">
        <f>IF(INDEX(tblCleanData[MonthlyIncome],434)&lt;=$B$3,"Low Income",IF(INDEX(tblCleanData[MonthlyIncome],434)&lt;=$B$4,"Medium Income","High Income"))</f>
        <v>High Income</v>
      </c>
      <c r="D442">
        <f>IF(INDEX(tblCleanData[Attrition],434)="Yes",1,0)</f>
        <v>0</v>
      </c>
      <c r="E442">
        <f>IF(INDEX(tblCleanData[OverTime],434)="Yes",1,0)</f>
        <v>1</v>
      </c>
      <c r="F442" t="str">
        <f>CHOOSE(INDEX(tblCleanData[Education],434),"Below College","College","Bachelor","Master","Doctor")</f>
        <v>Bachelor</v>
      </c>
      <c r="G442" t="str">
        <f>IF(INDEX(tblCleanData[YearsAtCompany],434)&lt;=2,"0-2 Years",IF(INDEX(tblCleanData[YearsAtCompany],434)&lt;=5,"3-5 Years",IF(INDEX(tblCleanData[YearsAtCompany],434)&lt;=10,"6-10 Years","10+ Years")))</f>
        <v>3-5 Years</v>
      </c>
      <c r="H442" t="str">
        <f>IF(INDEX(tblCleanData[WorkLifeBalance],434)&lt;=2,"Elevated","Normal")</f>
        <v>Normal</v>
      </c>
      <c r="I442">
        <f>IF(INDEX(tblCleanData[Age],434)&lt;30,30,IF(INDEX(tblCleanData[Age],434)&lt;40,20,IF(INDEX(tblCleanData[Age],434)&lt;50,10,15)))</f>
        <v>10</v>
      </c>
      <c r="J442">
        <f>IF(INDEX(tblCleanData[MonthlyIncome],434)&lt;=$B$3,25,IF(INDEX(tblCleanData[MonthlyIncome],434)&lt;=$B$4,12,5))</f>
        <v>5</v>
      </c>
      <c r="K442">
        <f>IF(INDEX(tblCleanData[OverTime],434)="Yes",25,0)</f>
        <v>25</v>
      </c>
      <c r="L442">
        <f>(5-INDEX(tblCleanData[JobSatisfaction],434))*6.25</f>
        <v>6.25</v>
      </c>
      <c r="M442">
        <f>IF(INDEX(tblCleanData[YearsAtCompany],434)&lt;=2,25,IF(INDEX(tblCleanData[YearsAtCompany],434)&lt;=5,15,IF(INDEX(tblCleanData[YearsAtCompany],434)&lt;=10,8,3)))</f>
        <v>15</v>
      </c>
      <c r="N442">
        <f t="shared" si="12"/>
        <v>61</v>
      </c>
      <c r="O442" t="str">
        <f t="shared" si="13"/>
        <v>High Risk</v>
      </c>
    </row>
    <row r="443" spans="1:15" x14ac:dyDescent="0.25">
      <c r="A443">
        <f>INDEX(tblCleanData[EmployeeNumber],435)</f>
        <v>581</v>
      </c>
      <c r="B443" t="str">
        <f>IF(INDEX(tblCleanData[Age],435)&lt;30,"Under 30",IF(INDEX(tblCleanData[Age],435)&lt;40,"30-39",IF(INDEX(tblCleanData[Age],435)&lt;50,"40-49","50+")))</f>
        <v>30-39</v>
      </c>
      <c r="C443" t="str">
        <f>IF(INDEX(tblCleanData[MonthlyIncome],435)&lt;=$B$3,"Low Income",IF(INDEX(tblCleanData[MonthlyIncome],435)&lt;=$B$4,"Medium Income","High Income"))</f>
        <v>High Income</v>
      </c>
      <c r="D443">
        <f>IF(INDEX(tblCleanData[Attrition],435)="Yes",1,0)</f>
        <v>0</v>
      </c>
      <c r="E443">
        <f>IF(INDEX(tblCleanData[OverTime],435)="Yes",1,0)</f>
        <v>0</v>
      </c>
      <c r="F443" t="str">
        <f>CHOOSE(INDEX(tblCleanData[Education],435),"Below College","College","Bachelor","Master","Doctor")</f>
        <v>Below College</v>
      </c>
      <c r="G443" t="str">
        <f>IF(INDEX(tblCleanData[YearsAtCompany],435)&lt;=2,"0-2 Years",IF(INDEX(tblCleanData[YearsAtCompany],435)&lt;=5,"3-5 Years",IF(INDEX(tblCleanData[YearsAtCompany],435)&lt;=10,"6-10 Years","10+ Years")))</f>
        <v>10+ Years</v>
      </c>
      <c r="H443" t="str">
        <f>IF(INDEX(tblCleanData[WorkLifeBalance],435)&lt;=2,"Elevated","Normal")</f>
        <v>Normal</v>
      </c>
      <c r="I443">
        <f>IF(INDEX(tblCleanData[Age],435)&lt;30,30,IF(INDEX(tblCleanData[Age],435)&lt;40,20,IF(INDEX(tblCleanData[Age],435)&lt;50,10,15)))</f>
        <v>20</v>
      </c>
      <c r="J443">
        <f>IF(INDEX(tblCleanData[MonthlyIncome],435)&lt;=$B$3,25,IF(INDEX(tblCleanData[MonthlyIncome],435)&lt;=$B$4,12,5))</f>
        <v>5</v>
      </c>
      <c r="K443">
        <f>IF(INDEX(tblCleanData[OverTime],435)="Yes",25,0)</f>
        <v>0</v>
      </c>
      <c r="L443">
        <f>(5-INDEX(tblCleanData[JobSatisfaction],435))*6.25</f>
        <v>18.75</v>
      </c>
      <c r="M443">
        <f>IF(INDEX(tblCleanData[YearsAtCompany],435)&lt;=2,25,IF(INDEX(tblCleanData[YearsAtCompany],435)&lt;=5,15,IF(INDEX(tblCleanData[YearsAtCompany],435)&lt;=10,8,3)))</f>
        <v>3</v>
      </c>
      <c r="N443">
        <f t="shared" si="12"/>
        <v>47</v>
      </c>
      <c r="O443" t="str">
        <f t="shared" si="13"/>
        <v>Medium Risk</v>
      </c>
    </row>
    <row r="444" spans="1:15" x14ac:dyDescent="0.25">
      <c r="A444">
        <f>INDEX(tblCleanData[EmployeeNumber],436)</f>
        <v>582</v>
      </c>
      <c r="B444" t="str">
        <f>IF(INDEX(tblCleanData[Age],436)&lt;30,"Under 30",IF(INDEX(tblCleanData[Age],436)&lt;40,"30-39",IF(INDEX(tblCleanData[Age],436)&lt;50,"40-49","50+")))</f>
        <v>30-39</v>
      </c>
      <c r="C444" t="str">
        <f>IF(INDEX(tblCleanData[MonthlyIncome],436)&lt;=$B$3,"Low Income",IF(INDEX(tblCleanData[MonthlyIncome],436)&lt;=$B$4,"Medium Income","High Income"))</f>
        <v>High Income</v>
      </c>
      <c r="D444">
        <f>IF(INDEX(tblCleanData[Attrition],436)="Yes",1,0)</f>
        <v>1</v>
      </c>
      <c r="E444">
        <f>IF(INDEX(tblCleanData[OverTime],436)="Yes",1,0)</f>
        <v>1</v>
      </c>
      <c r="F444" t="str">
        <f>CHOOSE(INDEX(tblCleanData[Education],436),"Below College","College","Bachelor","Master","Doctor")</f>
        <v>Below College</v>
      </c>
      <c r="G444" t="str">
        <f>IF(INDEX(tblCleanData[YearsAtCompany],436)&lt;=2,"0-2 Years",IF(INDEX(tblCleanData[YearsAtCompany],436)&lt;=5,"3-5 Years",IF(INDEX(tblCleanData[YearsAtCompany],436)&lt;=10,"6-10 Years","10+ Years")))</f>
        <v>6-10 Years</v>
      </c>
      <c r="H444" t="str">
        <f>IF(INDEX(tblCleanData[WorkLifeBalance],436)&lt;=2,"Elevated","Normal")</f>
        <v>Normal</v>
      </c>
      <c r="I444">
        <f>IF(INDEX(tblCleanData[Age],436)&lt;30,30,IF(INDEX(tblCleanData[Age],436)&lt;40,20,IF(INDEX(tblCleanData[Age],436)&lt;50,10,15)))</f>
        <v>20</v>
      </c>
      <c r="J444">
        <f>IF(INDEX(tblCleanData[MonthlyIncome],436)&lt;=$B$3,25,IF(INDEX(tblCleanData[MonthlyIncome],436)&lt;=$B$4,12,5))</f>
        <v>5</v>
      </c>
      <c r="K444">
        <f>IF(INDEX(tblCleanData[OverTime],436)="Yes",25,0)</f>
        <v>25</v>
      </c>
      <c r="L444">
        <f>(5-INDEX(tblCleanData[JobSatisfaction],436))*6.25</f>
        <v>12.5</v>
      </c>
      <c r="M444">
        <f>IF(INDEX(tblCleanData[YearsAtCompany],436)&lt;=2,25,IF(INDEX(tblCleanData[YearsAtCompany],436)&lt;=5,15,IF(INDEX(tblCleanData[YearsAtCompany],436)&lt;=10,8,3)))</f>
        <v>8</v>
      </c>
      <c r="N444">
        <f t="shared" si="12"/>
        <v>71</v>
      </c>
      <c r="O444" t="str">
        <f t="shared" si="13"/>
        <v>High Risk</v>
      </c>
    </row>
    <row r="445" spans="1:15" x14ac:dyDescent="0.25">
      <c r="A445">
        <f>INDEX(tblCleanData[EmployeeNumber],437)</f>
        <v>584</v>
      </c>
      <c r="B445" t="str">
        <f>IF(INDEX(tblCleanData[Age],437)&lt;30,"Under 30",IF(INDEX(tblCleanData[Age],437)&lt;40,"30-39",IF(INDEX(tblCleanData[Age],437)&lt;50,"40-49","50+")))</f>
        <v>30-39</v>
      </c>
      <c r="C445" t="str">
        <f>IF(INDEX(tblCleanData[MonthlyIncome],437)&lt;=$B$3,"Low Income",IF(INDEX(tblCleanData[MonthlyIncome],437)&lt;=$B$4,"Medium Income","High Income"))</f>
        <v>High Income</v>
      </c>
      <c r="D445">
        <f>IF(INDEX(tblCleanData[Attrition],437)="Yes",1,0)</f>
        <v>1</v>
      </c>
      <c r="E445">
        <f>IF(INDEX(tblCleanData[OverTime],437)="Yes",1,0)</f>
        <v>0</v>
      </c>
      <c r="F445" t="str">
        <f>CHOOSE(INDEX(tblCleanData[Education],437),"Below College","College","Bachelor","Master","Doctor")</f>
        <v>Below College</v>
      </c>
      <c r="G445" t="str">
        <f>IF(INDEX(tblCleanData[YearsAtCompany],437)&lt;=2,"0-2 Years",IF(INDEX(tblCleanData[YearsAtCompany],437)&lt;=5,"3-5 Years",IF(INDEX(tblCleanData[YearsAtCompany],437)&lt;=10,"6-10 Years","10+ Years")))</f>
        <v>3-5 Years</v>
      </c>
      <c r="H445" t="str">
        <f>IF(INDEX(tblCleanData[WorkLifeBalance],437)&lt;=2,"Elevated","Normal")</f>
        <v>Normal</v>
      </c>
      <c r="I445">
        <f>IF(INDEX(tblCleanData[Age],437)&lt;30,30,IF(INDEX(tblCleanData[Age],437)&lt;40,20,IF(INDEX(tblCleanData[Age],437)&lt;50,10,15)))</f>
        <v>20</v>
      </c>
      <c r="J445">
        <f>IF(INDEX(tblCleanData[MonthlyIncome],437)&lt;=$B$3,25,IF(INDEX(tblCleanData[MonthlyIncome],437)&lt;=$B$4,12,5))</f>
        <v>5</v>
      </c>
      <c r="K445">
        <f>IF(INDEX(tblCleanData[OverTime],437)="Yes",25,0)</f>
        <v>0</v>
      </c>
      <c r="L445">
        <f>(5-INDEX(tblCleanData[JobSatisfaction],437))*6.25</f>
        <v>6.25</v>
      </c>
      <c r="M445">
        <f>IF(INDEX(tblCleanData[YearsAtCompany],437)&lt;=2,25,IF(INDEX(tblCleanData[YearsAtCompany],437)&lt;=5,15,IF(INDEX(tblCleanData[YearsAtCompany],437)&lt;=10,8,3)))</f>
        <v>15</v>
      </c>
      <c r="N445">
        <f t="shared" si="12"/>
        <v>46</v>
      </c>
      <c r="O445" t="str">
        <f t="shared" si="13"/>
        <v>Medium Risk</v>
      </c>
    </row>
    <row r="446" spans="1:15" x14ac:dyDescent="0.25">
      <c r="A446">
        <f>INDEX(tblCleanData[EmployeeNumber],438)</f>
        <v>585</v>
      </c>
      <c r="B446" t="str">
        <f>IF(INDEX(tblCleanData[Age],438)&lt;30,"Under 30",IF(INDEX(tblCleanData[Age],438)&lt;40,"30-39",IF(INDEX(tblCleanData[Age],438)&lt;50,"40-49","50+")))</f>
        <v>30-39</v>
      </c>
      <c r="C446" t="str">
        <f>IF(INDEX(tblCleanData[MonthlyIncome],438)&lt;=$B$3,"Low Income",IF(INDEX(tblCleanData[MonthlyIncome],438)&lt;=$B$4,"Medium Income","High Income"))</f>
        <v>High Income</v>
      </c>
      <c r="D446">
        <f>IF(INDEX(tblCleanData[Attrition],438)="Yes",1,0)</f>
        <v>0</v>
      </c>
      <c r="E446">
        <f>IF(INDEX(tblCleanData[OverTime],438)="Yes",1,0)</f>
        <v>0</v>
      </c>
      <c r="F446" t="str">
        <f>CHOOSE(INDEX(tblCleanData[Education],438),"Below College","College","Bachelor","Master","Doctor")</f>
        <v>Below College</v>
      </c>
      <c r="G446" t="str">
        <f>IF(INDEX(tblCleanData[YearsAtCompany],438)&lt;=2,"0-2 Years",IF(INDEX(tblCleanData[YearsAtCompany],438)&lt;=5,"3-5 Years",IF(INDEX(tblCleanData[YearsAtCompany],438)&lt;=10,"6-10 Years","10+ Years")))</f>
        <v>3-5 Years</v>
      </c>
      <c r="H446" t="str">
        <f>IF(INDEX(tblCleanData[WorkLifeBalance],438)&lt;=2,"Elevated","Normal")</f>
        <v>Normal</v>
      </c>
      <c r="I446">
        <f>IF(INDEX(tblCleanData[Age],438)&lt;30,30,IF(INDEX(tblCleanData[Age],438)&lt;40,20,IF(INDEX(tblCleanData[Age],438)&lt;50,10,15)))</f>
        <v>20</v>
      </c>
      <c r="J446">
        <f>IF(INDEX(tblCleanData[MonthlyIncome],438)&lt;=$B$3,25,IF(INDEX(tblCleanData[MonthlyIncome],438)&lt;=$B$4,12,5))</f>
        <v>5</v>
      </c>
      <c r="K446">
        <f>IF(INDEX(tblCleanData[OverTime],438)="Yes",25,0)</f>
        <v>0</v>
      </c>
      <c r="L446">
        <f>(5-INDEX(tblCleanData[JobSatisfaction],438))*6.25</f>
        <v>18.75</v>
      </c>
      <c r="M446">
        <f>IF(INDEX(tblCleanData[YearsAtCompany],438)&lt;=2,25,IF(INDEX(tblCleanData[YearsAtCompany],438)&lt;=5,15,IF(INDEX(tblCleanData[YearsAtCompany],438)&lt;=10,8,3)))</f>
        <v>15</v>
      </c>
      <c r="N446">
        <f t="shared" si="12"/>
        <v>59</v>
      </c>
      <c r="O446" t="str">
        <f t="shared" si="13"/>
        <v>High Risk</v>
      </c>
    </row>
    <row r="447" spans="1:15" x14ac:dyDescent="0.25">
      <c r="A447">
        <f>INDEX(tblCleanData[EmployeeNumber],439)</f>
        <v>586</v>
      </c>
      <c r="B447" t="str">
        <f>IF(INDEX(tblCleanData[Age],439)&lt;30,"Under 30",IF(INDEX(tblCleanData[Age],439)&lt;40,"30-39",IF(INDEX(tblCleanData[Age],439)&lt;50,"40-49","50+")))</f>
        <v>30-39</v>
      </c>
      <c r="C447" t="str">
        <f>IF(INDEX(tblCleanData[MonthlyIncome],439)&lt;=$B$3,"Low Income",IF(INDEX(tblCleanData[MonthlyIncome],439)&lt;=$B$4,"Medium Income","High Income"))</f>
        <v>High Income</v>
      </c>
      <c r="D447">
        <f>IF(INDEX(tblCleanData[Attrition],439)="Yes",1,0)</f>
        <v>0</v>
      </c>
      <c r="E447">
        <f>IF(INDEX(tblCleanData[OverTime],439)="Yes",1,0)</f>
        <v>1</v>
      </c>
      <c r="F447" t="str">
        <f>CHOOSE(INDEX(tblCleanData[Education],439),"Below College","College","Bachelor","Master","Doctor")</f>
        <v>Bachelor</v>
      </c>
      <c r="G447" t="str">
        <f>IF(INDEX(tblCleanData[YearsAtCompany],439)&lt;=2,"0-2 Years",IF(INDEX(tblCleanData[YearsAtCompany],439)&lt;=5,"3-5 Years",IF(INDEX(tblCleanData[YearsAtCompany],439)&lt;=10,"6-10 Years","10+ Years")))</f>
        <v>6-10 Years</v>
      </c>
      <c r="H447" t="str">
        <f>IF(INDEX(tblCleanData[WorkLifeBalance],439)&lt;=2,"Elevated","Normal")</f>
        <v>Normal</v>
      </c>
      <c r="I447">
        <f>IF(INDEX(tblCleanData[Age],439)&lt;30,30,IF(INDEX(tblCleanData[Age],439)&lt;40,20,IF(INDEX(tblCleanData[Age],439)&lt;50,10,15)))</f>
        <v>20</v>
      </c>
      <c r="J447">
        <f>IF(INDEX(tblCleanData[MonthlyIncome],439)&lt;=$B$3,25,IF(INDEX(tblCleanData[MonthlyIncome],439)&lt;=$B$4,12,5))</f>
        <v>5</v>
      </c>
      <c r="K447">
        <f>IF(INDEX(tblCleanData[OverTime],439)="Yes",25,0)</f>
        <v>25</v>
      </c>
      <c r="L447">
        <f>(5-INDEX(tblCleanData[JobSatisfaction],439))*6.25</f>
        <v>12.5</v>
      </c>
      <c r="M447">
        <f>IF(INDEX(tblCleanData[YearsAtCompany],439)&lt;=2,25,IF(INDEX(tblCleanData[YearsAtCompany],439)&lt;=5,15,IF(INDEX(tblCleanData[YearsAtCompany],439)&lt;=10,8,3)))</f>
        <v>8</v>
      </c>
      <c r="N447">
        <f t="shared" si="12"/>
        <v>71</v>
      </c>
      <c r="O447" t="str">
        <f t="shared" si="13"/>
        <v>High Risk</v>
      </c>
    </row>
    <row r="448" spans="1:15" x14ac:dyDescent="0.25">
      <c r="A448">
        <f>INDEX(tblCleanData[EmployeeNumber],440)</f>
        <v>587</v>
      </c>
      <c r="B448" t="str">
        <f>IF(INDEX(tblCleanData[Age],440)&lt;30,"Under 30",IF(INDEX(tblCleanData[Age],440)&lt;40,"30-39",IF(INDEX(tblCleanData[Age],440)&lt;50,"40-49","50+")))</f>
        <v>30-39</v>
      </c>
      <c r="C448" t="str">
        <f>IF(INDEX(tblCleanData[MonthlyIncome],440)&lt;=$B$3,"Low Income",IF(INDEX(tblCleanData[MonthlyIncome],440)&lt;=$B$4,"Medium Income","High Income"))</f>
        <v>High Income</v>
      </c>
      <c r="D448">
        <f>IF(INDEX(tblCleanData[Attrition],440)="Yes",1,0)</f>
        <v>1</v>
      </c>
      <c r="E448">
        <f>IF(INDEX(tblCleanData[OverTime],440)="Yes",1,0)</f>
        <v>0</v>
      </c>
      <c r="F448" t="str">
        <f>CHOOSE(INDEX(tblCleanData[Education],440),"Below College","College","Bachelor","Master","Doctor")</f>
        <v>Bachelor</v>
      </c>
      <c r="G448" t="str">
        <f>IF(INDEX(tblCleanData[YearsAtCompany],440)&lt;=2,"0-2 Years",IF(INDEX(tblCleanData[YearsAtCompany],440)&lt;=5,"3-5 Years",IF(INDEX(tblCleanData[YearsAtCompany],440)&lt;=10,"6-10 Years","10+ Years")))</f>
        <v>0-2 Years</v>
      </c>
      <c r="H448" t="str">
        <f>IF(INDEX(tblCleanData[WorkLifeBalance],440)&lt;=2,"Elevated","Normal")</f>
        <v>Normal</v>
      </c>
      <c r="I448">
        <f>IF(INDEX(tblCleanData[Age],440)&lt;30,30,IF(INDEX(tblCleanData[Age],440)&lt;40,20,IF(INDEX(tblCleanData[Age],440)&lt;50,10,15)))</f>
        <v>20</v>
      </c>
      <c r="J448">
        <f>IF(INDEX(tblCleanData[MonthlyIncome],440)&lt;=$B$3,25,IF(INDEX(tblCleanData[MonthlyIncome],440)&lt;=$B$4,12,5))</f>
        <v>5</v>
      </c>
      <c r="K448">
        <f>IF(INDEX(tblCleanData[OverTime],440)="Yes",25,0)</f>
        <v>0</v>
      </c>
      <c r="L448">
        <f>(5-INDEX(tblCleanData[JobSatisfaction],440))*6.25</f>
        <v>12.5</v>
      </c>
      <c r="M448">
        <f>IF(INDEX(tblCleanData[YearsAtCompany],440)&lt;=2,25,IF(INDEX(tblCleanData[YearsAtCompany],440)&lt;=5,15,IF(INDEX(tblCleanData[YearsAtCompany],440)&lt;=10,8,3)))</f>
        <v>25</v>
      </c>
      <c r="N448">
        <f t="shared" si="12"/>
        <v>63</v>
      </c>
      <c r="O448" t="str">
        <f t="shared" si="13"/>
        <v>High Risk</v>
      </c>
    </row>
    <row r="449" spans="1:15" x14ac:dyDescent="0.25">
      <c r="A449">
        <f>INDEX(tblCleanData[EmployeeNumber],441)</f>
        <v>590</v>
      </c>
      <c r="B449" t="str">
        <f>IF(INDEX(tblCleanData[Age],441)&lt;30,"Under 30",IF(INDEX(tblCleanData[Age],441)&lt;40,"30-39",IF(INDEX(tblCleanData[Age],441)&lt;50,"40-49","50+")))</f>
        <v>30-39</v>
      </c>
      <c r="C449" t="str">
        <f>IF(INDEX(tblCleanData[MonthlyIncome],441)&lt;=$B$3,"Low Income",IF(INDEX(tblCleanData[MonthlyIncome],441)&lt;=$B$4,"Medium Income","High Income"))</f>
        <v>High Income</v>
      </c>
      <c r="D449">
        <f>IF(INDEX(tblCleanData[Attrition],441)="Yes",1,0)</f>
        <v>1</v>
      </c>
      <c r="E449">
        <f>IF(INDEX(tblCleanData[OverTime],441)="Yes",1,0)</f>
        <v>1</v>
      </c>
      <c r="F449" t="str">
        <f>CHOOSE(INDEX(tblCleanData[Education],441),"Below College","College","Bachelor","Master","Doctor")</f>
        <v>Bachelor</v>
      </c>
      <c r="G449" t="str">
        <f>IF(INDEX(tblCleanData[YearsAtCompany],441)&lt;=2,"0-2 Years",IF(INDEX(tblCleanData[YearsAtCompany],441)&lt;=5,"3-5 Years",IF(INDEX(tblCleanData[YearsAtCompany],441)&lt;=10,"6-10 Years","10+ Years")))</f>
        <v>3-5 Years</v>
      </c>
      <c r="H449" t="str">
        <f>IF(INDEX(tblCleanData[WorkLifeBalance],441)&lt;=2,"Elevated","Normal")</f>
        <v>Normal</v>
      </c>
      <c r="I449">
        <f>IF(INDEX(tblCleanData[Age],441)&lt;30,30,IF(INDEX(tblCleanData[Age],441)&lt;40,20,IF(INDEX(tblCleanData[Age],441)&lt;50,10,15)))</f>
        <v>20</v>
      </c>
      <c r="J449">
        <f>IF(INDEX(tblCleanData[MonthlyIncome],441)&lt;=$B$3,25,IF(INDEX(tblCleanData[MonthlyIncome],441)&lt;=$B$4,12,5))</f>
        <v>5</v>
      </c>
      <c r="K449">
        <f>IF(INDEX(tblCleanData[OverTime],441)="Yes",25,0)</f>
        <v>25</v>
      </c>
      <c r="L449">
        <f>(5-INDEX(tblCleanData[JobSatisfaction],441))*6.25</f>
        <v>25</v>
      </c>
      <c r="M449">
        <f>IF(INDEX(tblCleanData[YearsAtCompany],441)&lt;=2,25,IF(INDEX(tblCleanData[YearsAtCompany],441)&lt;=5,15,IF(INDEX(tblCleanData[YearsAtCompany],441)&lt;=10,8,3)))</f>
        <v>15</v>
      </c>
      <c r="N449">
        <f t="shared" si="12"/>
        <v>90</v>
      </c>
      <c r="O449" t="str">
        <f t="shared" si="13"/>
        <v>High Risk</v>
      </c>
    </row>
    <row r="450" spans="1:15" x14ac:dyDescent="0.25">
      <c r="A450">
        <f>INDEX(tblCleanData[EmployeeNumber],442)</f>
        <v>591</v>
      </c>
      <c r="B450" t="str">
        <f>IF(INDEX(tblCleanData[Age],442)&lt;30,"Under 30",IF(INDEX(tblCleanData[Age],442)&lt;40,"30-39",IF(INDEX(tblCleanData[Age],442)&lt;50,"40-49","50+")))</f>
        <v>40-49</v>
      </c>
      <c r="C450" t="str">
        <f>IF(INDEX(tblCleanData[MonthlyIncome],442)&lt;=$B$3,"Low Income",IF(INDEX(tblCleanData[MonthlyIncome],442)&lt;=$B$4,"Medium Income","High Income"))</f>
        <v>High Income</v>
      </c>
      <c r="D450">
        <f>IF(INDEX(tblCleanData[Attrition],442)="Yes",1,0)</f>
        <v>0</v>
      </c>
      <c r="E450">
        <f>IF(INDEX(tblCleanData[OverTime],442)="Yes",1,0)</f>
        <v>0</v>
      </c>
      <c r="F450" t="str">
        <f>CHOOSE(INDEX(tblCleanData[Education],442),"Below College","College","Bachelor","Master","Doctor")</f>
        <v>College</v>
      </c>
      <c r="G450" t="str">
        <f>IF(INDEX(tblCleanData[YearsAtCompany],442)&lt;=2,"0-2 Years",IF(INDEX(tblCleanData[YearsAtCompany],442)&lt;=5,"3-5 Years",IF(INDEX(tblCleanData[YearsAtCompany],442)&lt;=10,"6-10 Years","10+ Years")))</f>
        <v>0-2 Years</v>
      </c>
      <c r="H450" t="str">
        <f>IF(INDEX(tblCleanData[WorkLifeBalance],442)&lt;=2,"Elevated","Normal")</f>
        <v>Normal</v>
      </c>
      <c r="I450">
        <f>IF(INDEX(tblCleanData[Age],442)&lt;30,30,IF(INDEX(tblCleanData[Age],442)&lt;40,20,IF(INDEX(tblCleanData[Age],442)&lt;50,10,15)))</f>
        <v>10</v>
      </c>
      <c r="J450">
        <f>IF(INDEX(tblCleanData[MonthlyIncome],442)&lt;=$B$3,25,IF(INDEX(tblCleanData[MonthlyIncome],442)&lt;=$B$4,12,5))</f>
        <v>5</v>
      </c>
      <c r="K450">
        <f>IF(INDEX(tblCleanData[OverTime],442)="Yes",25,0)</f>
        <v>0</v>
      </c>
      <c r="L450">
        <f>(5-INDEX(tblCleanData[JobSatisfaction],442))*6.25</f>
        <v>12.5</v>
      </c>
      <c r="M450">
        <f>IF(INDEX(tblCleanData[YearsAtCompany],442)&lt;=2,25,IF(INDEX(tblCleanData[YearsAtCompany],442)&lt;=5,15,IF(INDEX(tblCleanData[YearsAtCompany],442)&lt;=10,8,3)))</f>
        <v>25</v>
      </c>
      <c r="N450">
        <f t="shared" si="12"/>
        <v>53</v>
      </c>
      <c r="O450" t="str">
        <f t="shared" si="13"/>
        <v>Medium Risk</v>
      </c>
    </row>
    <row r="451" spans="1:15" x14ac:dyDescent="0.25">
      <c r="A451">
        <f>INDEX(tblCleanData[EmployeeNumber],443)</f>
        <v>592</v>
      </c>
      <c r="B451" t="str">
        <f>IF(INDEX(tblCleanData[Age],443)&lt;30,"Under 30",IF(INDEX(tblCleanData[Age],443)&lt;40,"30-39",IF(INDEX(tblCleanData[Age],443)&lt;50,"40-49","50+")))</f>
        <v>30-39</v>
      </c>
      <c r="C451" t="str">
        <f>IF(INDEX(tblCleanData[MonthlyIncome],443)&lt;=$B$3,"Low Income",IF(INDEX(tblCleanData[MonthlyIncome],443)&lt;=$B$4,"Medium Income","High Income"))</f>
        <v>High Income</v>
      </c>
      <c r="D451">
        <f>IF(INDEX(tblCleanData[Attrition],443)="Yes",1,0)</f>
        <v>0</v>
      </c>
      <c r="E451">
        <f>IF(INDEX(tblCleanData[OverTime],443)="Yes",1,0)</f>
        <v>0</v>
      </c>
      <c r="F451" t="str">
        <f>CHOOSE(INDEX(tblCleanData[Education],443),"Below College","College","Bachelor","Master","Doctor")</f>
        <v>Master</v>
      </c>
      <c r="G451" t="str">
        <f>IF(INDEX(tblCleanData[YearsAtCompany],443)&lt;=2,"0-2 Years",IF(INDEX(tblCleanData[YearsAtCompany],443)&lt;=5,"3-5 Years",IF(INDEX(tblCleanData[YearsAtCompany],443)&lt;=10,"6-10 Years","10+ Years")))</f>
        <v>6-10 Years</v>
      </c>
      <c r="H451" t="str">
        <f>IF(INDEX(tblCleanData[WorkLifeBalance],443)&lt;=2,"Elevated","Normal")</f>
        <v>Elevated</v>
      </c>
      <c r="I451">
        <f>IF(INDEX(tblCleanData[Age],443)&lt;30,30,IF(INDEX(tblCleanData[Age],443)&lt;40,20,IF(INDEX(tblCleanData[Age],443)&lt;50,10,15)))</f>
        <v>20</v>
      </c>
      <c r="J451">
        <f>IF(INDEX(tblCleanData[MonthlyIncome],443)&lt;=$B$3,25,IF(INDEX(tblCleanData[MonthlyIncome],443)&lt;=$B$4,12,5))</f>
        <v>5</v>
      </c>
      <c r="K451">
        <f>IF(INDEX(tblCleanData[OverTime],443)="Yes",25,0)</f>
        <v>0</v>
      </c>
      <c r="L451">
        <f>(5-INDEX(tblCleanData[JobSatisfaction],443))*6.25</f>
        <v>6.25</v>
      </c>
      <c r="M451">
        <f>IF(INDEX(tblCleanData[YearsAtCompany],443)&lt;=2,25,IF(INDEX(tblCleanData[YearsAtCompany],443)&lt;=5,15,IF(INDEX(tblCleanData[YearsAtCompany],443)&lt;=10,8,3)))</f>
        <v>8</v>
      </c>
      <c r="N451">
        <f t="shared" si="12"/>
        <v>39</v>
      </c>
      <c r="O451" t="str">
        <f t="shared" si="13"/>
        <v>Medium Risk</v>
      </c>
    </row>
    <row r="452" spans="1:15" x14ac:dyDescent="0.25">
      <c r="A452">
        <f>INDEX(tblCleanData[EmployeeNumber],444)</f>
        <v>593</v>
      </c>
      <c r="B452" t="str">
        <f>IF(INDEX(tblCleanData[Age],444)&lt;30,"Under 30",IF(INDEX(tblCleanData[Age],444)&lt;40,"30-39",IF(INDEX(tblCleanData[Age],444)&lt;50,"40-49","50+")))</f>
        <v>Under 30</v>
      </c>
      <c r="C452" t="str">
        <f>IF(INDEX(tblCleanData[MonthlyIncome],444)&lt;=$B$3,"Low Income",IF(INDEX(tblCleanData[MonthlyIncome],444)&lt;=$B$4,"Medium Income","High Income"))</f>
        <v>High Income</v>
      </c>
      <c r="D452">
        <f>IF(INDEX(tblCleanData[Attrition],444)="Yes",1,0)</f>
        <v>1</v>
      </c>
      <c r="E452">
        <f>IF(INDEX(tblCleanData[OverTime],444)="Yes",1,0)</f>
        <v>0</v>
      </c>
      <c r="F452" t="str">
        <f>CHOOSE(INDEX(tblCleanData[Education],444),"Below College","College","Bachelor","Master","Doctor")</f>
        <v>Below College</v>
      </c>
      <c r="G452" t="str">
        <f>IF(INDEX(tblCleanData[YearsAtCompany],444)&lt;=2,"0-2 Years",IF(INDEX(tblCleanData[YearsAtCompany],444)&lt;=5,"3-5 Years",IF(INDEX(tblCleanData[YearsAtCompany],444)&lt;=10,"6-10 Years","10+ Years")))</f>
        <v>0-2 Years</v>
      </c>
      <c r="H452" t="str">
        <f>IF(INDEX(tblCleanData[WorkLifeBalance],444)&lt;=2,"Elevated","Normal")</f>
        <v>Normal</v>
      </c>
      <c r="I452">
        <f>IF(INDEX(tblCleanData[Age],444)&lt;30,30,IF(INDEX(tblCleanData[Age],444)&lt;40,20,IF(INDEX(tblCleanData[Age],444)&lt;50,10,15)))</f>
        <v>30</v>
      </c>
      <c r="J452">
        <f>IF(INDEX(tblCleanData[MonthlyIncome],444)&lt;=$B$3,25,IF(INDEX(tblCleanData[MonthlyIncome],444)&lt;=$B$4,12,5))</f>
        <v>5</v>
      </c>
      <c r="K452">
        <f>IF(INDEX(tblCleanData[OverTime],444)="Yes",25,0)</f>
        <v>0</v>
      </c>
      <c r="L452">
        <f>(5-INDEX(tblCleanData[JobSatisfaction],444))*6.25</f>
        <v>12.5</v>
      </c>
      <c r="M452">
        <f>IF(INDEX(tblCleanData[YearsAtCompany],444)&lt;=2,25,IF(INDEX(tblCleanData[YearsAtCompany],444)&lt;=5,15,IF(INDEX(tblCleanData[YearsAtCompany],444)&lt;=10,8,3)))</f>
        <v>25</v>
      </c>
      <c r="N452">
        <f t="shared" si="12"/>
        <v>73</v>
      </c>
      <c r="O452" t="str">
        <f t="shared" si="13"/>
        <v>High Risk</v>
      </c>
    </row>
    <row r="453" spans="1:15" x14ac:dyDescent="0.25">
      <c r="A453">
        <f>INDEX(tblCleanData[EmployeeNumber],445)</f>
        <v>595</v>
      </c>
      <c r="B453" t="str">
        <f>IF(INDEX(tblCleanData[Age],445)&lt;30,"Under 30",IF(INDEX(tblCleanData[Age],445)&lt;40,"30-39",IF(INDEX(tblCleanData[Age],445)&lt;50,"40-49","50+")))</f>
        <v>40-49</v>
      </c>
      <c r="C453" t="str">
        <f>IF(INDEX(tblCleanData[MonthlyIncome],445)&lt;=$B$3,"Low Income",IF(INDEX(tblCleanData[MonthlyIncome],445)&lt;=$B$4,"Medium Income","High Income"))</f>
        <v>High Income</v>
      </c>
      <c r="D453">
        <f>IF(INDEX(tblCleanData[Attrition],445)="Yes",1,0)</f>
        <v>0</v>
      </c>
      <c r="E453">
        <f>IF(INDEX(tblCleanData[OverTime],445)="Yes",1,0)</f>
        <v>0</v>
      </c>
      <c r="F453" t="str">
        <f>CHOOSE(INDEX(tblCleanData[Education],445),"Below College","College","Bachelor","Master","Doctor")</f>
        <v>Doctor</v>
      </c>
      <c r="G453" t="str">
        <f>IF(INDEX(tblCleanData[YearsAtCompany],445)&lt;=2,"0-2 Years",IF(INDEX(tblCleanData[YearsAtCompany],445)&lt;=5,"3-5 Years",IF(INDEX(tblCleanData[YearsAtCompany],445)&lt;=10,"6-10 Years","10+ Years")))</f>
        <v>6-10 Years</v>
      </c>
      <c r="H453" t="str">
        <f>IF(INDEX(tblCleanData[WorkLifeBalance],445)&lt;=2,"Elevated","Normal")</f>
        <v>Normal</v>
      </c>
      <c r="I453">
        <f>IF(INDEX(tblCleanData[Age],445)&lt;30,30,IF(INDEX(tblCleanData[Age],445)&lt;40,20,IF(INDEX(tblCleanData[Age],445)&lt;50,10,15)))</f>
        <v>10</v>
      </c>
      <c r="J453">
        <f>IF(INDEX(tblCleanData[MonthlyIncome],445)&lt;=$B$3,25,IF(INDEX(tblCleanData[MonthlyIncome],445)&lt;=$B$4,12,5))</f>
        <v>5</v>
      </c>
      <c r="K453">
        <f>IF(INDEX(tblCleanData[OverTime],445)="Yes",25,0)</f>
        <v>0</v>
      </c>
      <c r="L453">
        <f>(5-INDEX(tblCleanData[JobSatisfaction],445))*6.25</f>
        <v>6.25</v>
      </c>
      <c r="M453">
        <f>IF(INDEX(tblCleanData[YearsAtCompany],445)&lt;=2,25,IF(INDEX(tblCleanData[YearsAtCompany],445)&lt;=5,15,IF(INDEX(tblCleanData[YearsAtCompany],445)&lt;=10,8,3)))</f>
        <v>8</v>
      </c>
      <c r="N453">
        <f t="shared" si="12"/>
        <v>29</v>
      </c>
      <c r="O453" t="str">
        <f t="shared" si="13"/>
        <v>Low Risk</v>
      </c>
    </row>
    <row r="454" spans="1:15" x14ac:dyDescent="0.25">
      <c r="A454">
        <f>INDEX(tblCleanData[EmployeeNumber],446)</f>
        <v>597</v>
      </c>
      <c r="B454" t="str">
        <f>IF(INDEX(tblCleanData[Age],446)&lt;30,"Under 30",IF(INDEX(tblCleanData[Age],446)&lt;40,"30-39",IF(INDEX(tblCleanData[Age],446)&lt;50,"40-49","50+")))</f>
        <v>50+</v>
      </c>
      <c r="C454" t="str">
        <f>IF(INDEX(tblCleanData[MonthlyIncome],446)&lt;=$B$3,"Low Income",IF(INDEX(tblCleanData[MonthlyIncome],446)&lt;=$B$4,"Medium Income","High Income"))</f>
        <v>High Income</v>
      </c>
      <c r="D454">
        <f>IF(INDEX(tblCleanData[Attrition],446)="Yes",1,0)</f>
        <v>0</v>
      </c>
      <c r="E454">
        <f>IF(INDEX(tblCleanData[OverTime],446)="Yes",1,0)</f>
        <v>0</v>
      </c>
      <c r="F454" t="str">
        <f>CHOOSE(INDEX(tblCleanData[Education],446),"Below College","College","Bachelor","Master","Doctor")</f>
        <v>Doctor</v>
      </c>
      <c r="G454" t="str">
        <f>IF(INDEX(tblCleanData[YearsAtCompany],446)&lt;=2,"0-2 Years",IF(INDEX(tblCleanData[YearsAtCompany],446)&lt;=5,"3-5 Years",IF(INDEX(tblCleanData[YearsAtCompany],446)&lt;=10,"6-10 Years","10+ Years")))</f>
        <v>6-10 Years</v>
      </c>
      <c r="H454" t="str">
        <f>IF(INDEX(tblCleanData[WorkLifeBalance],446)&lt;=2,"Elevated","Normal")</f>
        <v>Normal</v>
      </c>
      <c r="I454">
        <f>IF(INDEX(tblCleanData[Age],446)&lt;30,30,IF(INDEX(tblCleanData[Age],446)&lt;40,20,IF(INDEX(tblCleanData[Age],446)&lt;50,10,15)))</f>
        <v>15</v>
      </c>
      <c r="J454">
        <f>IF(INDEX(tblCleanData[MonthlyIncome],446)&lt;=$B$3,25,IF(INDEX(tblCleanData[MonthlyIncome],446)&lt;=$B$4,12,5))</f>
        <v>5</v>
      </c>
      <c r="K454">
        <f>IF(INDEX(tblCleanData[OverTime],446)="Yes",25,0)</f>
        <v>0</v>
      </c>
      <c r="L454">
        <f>(5-INDEX(tblCleanData[JobSatisfaction],446))*6.25</f>
        <v>18.75</v>
      </c>
      <c r="M454">
        <f>IF(INDEX(tblCleanData[YearsAtCompany],446)&lt;=2,25,IF(INDEX(tblCleanData[YearsAtCompany],446)&lt;=5,15,IF(INDEX(tblCleanData[YearsAtCompany],446)&lt;=10,8,3)))</f>
        <v>8</v>
      </c>
      <c r="N454">
        <f t="shared" si="12"/>
        <v>47</v>
      </c>
      <c r="O454" t="str">
        <f t="shared" si="13"/>
        <v>Medium Risk</v>
      </c>
    </row>
    <row r="455" spans="1:15" x14ac:dyDescent="0.25">
      <c r="A455">
        <f>INDEX(tblCleanData[EmployeeNumber],447)</f>
        <v>599</v>
      </c>
      <c r="B455" t="str">
        <f>IF(INDEX(tblCleanData[Age],447)&lt;30,"Under 30",IF(INDEX(tblCleanData[Age],447)&lt;40,"30-39",IF(INDEX(tblCleanData[Age],447)&lt;50,"40-49","50+")))</f>
        <v>40-49</v>
      </c>
      <c r="C455" t="str">
        <f>IF(INDEX(tblCleanData[MonthlyIncome],447)&lt;=$B$3,"Low Income",IF(INDEX(tblCleanData[MonthlyIncome],447)&lt;=$B$4,"Medium Income","High Income"))</f>
        <v>High Income</v>
      </c>
      <c r="D455">
        <f>IF(INDEX(tblCleanData[Attrition],447)="Yes",1,0)</f>
        <v>0</v>
      </c>
      <c r="E455">
        <f>IF(INDEX(tblCleanData[OverTime],447)="Yes",1,0)</f>
        <v>0</v>
      </c>
      <c r="F455" t="str">
        <f>CHOOSE(INDEX(tblCleanData[Education],447),"Below College","College","Bachelor","Master","Doctor")</f>
        <v>College</v>
      </c>
      <c r="G455" t="str">
        <f>IF(INDEX(tblCleanData[YearsAtCompany],447)&lt;=2,"0-2 Years",IF(INDEX(tblCleanData[YearsAtCompany],447)&lt;=5,"3-5 Years",IF(INDEX(tblCleanData[YearsAtCompany],447)&lt;=10,"6-10 Years","10+ Years")))</f>
        <v>10+ Years</v>
      </c>
      <c r="H455" t="str">
        <f>IF(INDEX(tblCleanData[WorkLifeBalance],447)&lt;=2,"Elevated","Normal")</f>
        <v>Normal</v>
      </c>
      <c r="I455">
        <f>IF(INDEX(tblCleanData[Age],447)&lt;30,30,IF(INDEX(tblCleanData[Age],447)&lt;40,20,IF(INDEX(tblCleanData[Age],447)&lt;50,10,15)))</f>
        <v>10</v>
      </c>
      <c r="J455">
        <f>IF(INDEX(tblCleanData[MonthlyIncome],447)&lt;=$B$3,25,IF(INDEX(tblCleanData[MonthlyIncome],447)&lt;=$B$4,12,5))</f>
        <v>5</v>
      </c>
      <c r="K455">
        <f>IF(INDEX(tblCleanData[OverTime],447)="Yes",25,0)</f>
        <v>0</v>
      </c>
      <c r="L455">
        <f>(5-INDEX(tblCleanData[JobSatisfaction],447))*6.25</f>
        <v>6.25</v>
      </c>
      <c r="M455">
        <f>IF(INDEX(tblCleanData[YearsAtCompany],447)&lt;=2,25,IF(INDEX(tblCleanData[YearsAtCompany],447)&lt;=5,15,IF(INDEX(tblCleanData[YearsAtCompany],447)&lt;=10,8,3)))</f>
        <v>3</v>
      </c>
      <c r="N455">
        <f t="shared" si="12"/>
        <v>24</v>
      </c>
      <c r="O455" t="str">
        <f t="shared" si="13"/>
        <v>Low Risk</v>
      </c>
    </row>
    <row r="456" spans="1:15" x14ac:dyDescent="0.25">
      <c r="A456">
        <f>INDEX(tblCleanData[EmployeeNumber],448)</f>
        <v>600</v>
      </c>
      <c r="B456" t="str">
        <f>IF(INDEX(tblCleanData[Age],448)&lt;30,"Under 30",IF(INDEX(tblCleanData[Age],448)&lt;40,"30-39",IF(INDEX(tblCleanData[Age],448)&lt;50,"40-49","50+")))</f>
        <v>30-39</v>
      </c>
      <c r="C456" t="str">
        <f>IF(INDEX(tblCleanData[MonthlyIncome],448)&lt;=$B$3,"Low Income",IF(INDEX(tblCleanData[MonthlyIncome],448)&lt;=$B$4,"Medium Income","High Income"))</f>
        <v>High Income</v>
      </c>
      <c r="D456">
        <f>IF(INDEX(tblCleanData[Attrition],448)="Yes",1,0)</f>
        <v>0</v>
      </c>
      <c r="E456">
        <f>IF(INDEX(tblCleanData[OverTime],448)="Yes",1,0)</f>
        <v>0</v>
      </c>
      <c r="F456" t="str">
        <f>CHOOSE(INDEX(tblCleanData[Education],448),"Below College","College","Bachelor","Master","Doctor")</f>
        <v>Bachelor</v>
      </c>
      <c r="G456" t="str">
        <f>IF(INDEX(tblCleanData[YearsAtCompany],448)&lt;=2,"0-2 Years",IF(INDEX(tblCleanData[YearsAtCompany],448)&lt;=5,"3-5 Years",IF(INDEX(tblCleanData[YearsAtCompany],448)&lt;=10,"6-10 Years","10+ Years")))</f>
        <v>10+ Years</v>
      </c>
      <c r="H456" t="str">
        <f>IF(INDEX(tblCleanData[WorkLifeBalance],448)&lt;=2,"Elevated","Normal")</f>
        <v>Normal</v>
      </c>
      <c r="I456">
        <f>IF(INDEX(tblCleanData[Age],448)&lt;30,30,IF(INDEX(tblCleanData[Age],448)&lt;40,20,IF(INDEX(tblCleanData[Age],448)&lt;50,10,15)))</f>
        <v>20</v>
      </c>
      <c r="J456">
        <f>IF(INDEX(tblCleanData[MonthlyIncome],448)&lt;=$B$3,25,IF(INDEX(tblCleanData[MonthlyIncome],448)&lt;=$B$4,12,5))</f>
        <v>5</v>
      </c>
      <c r="K456">
        <f>IF(INDEX(tblCleanData[OverTime],448)="Yes",25,0)</f>
        <v>0</v>
      </c>
      <c r="L456">
        <f>(5-INDEX(tblCleanData[JobSatisfaction],448))*6.25</f>
        <v>12.5</v>
      </c>
      <c r="M456">
        <f>IF(INDEX(tblCleanData[YearsAtCompany],448)&lt;=2,25,IF(INDEX(tblCleanData[YearsAtCompany],448)&lt;=5,15,IF(INDEX(tblCleanData[YearsAtCompany],448)&lt;=10,8,3)))</f>
        <v>3</v>
      </c>
      <c r="N456">
        <f t="shared" si="12"/>
        <v>41</v>
      </c>
      <c r="O456" t="str">
        <f t="shared" si="13"/>
        <v>Medium Risk</v>
      </c>
    </row>
    <row r="457" spans="1:15" x14ac:dyDescent="0.25">
      <c r="A457">
        <f>INDEX(tblCleanData[EmployeeNumber],449)</f>
        <v>601</v>
      </c>
      <c r="B457" t="str">
        <f>IF(INDEX(tblCleanData[Age],449)&lt;30,"Under 30",IF(INDEX(tblCleanData[Age],449)&lt;40,"30-39",IF(INDEX(tblCleanData[Age],449)&lt;50,"40-49","50+")))</f>
        <v>40-49</v>
      </c>
      <c r="C457" t="str">
        <f>IF(INDEX(tblCleanData[MonthlyIncome],449)&lt;=$B$3,"Low Income",IF(INDEX(tblCleanData[MonthlyIncome],449)&lt;=$B$4,"Medium Income","High Income"))</f>
        <v>High Income</v>
      </c>
      <c r="D457">
        <f>IF(INDEX(tblCleanData[Attrition],449)="Yes",1,0)</f>
        <v>0</v>
      </c>
      <c r="E457">
        <f>IF(INDEX(tblCleanData[OverTime],449)="Yes",1,0)</f>
        <v>0</v>
      </c>
      <c r="F457" t="str">
        <f>CHOOSE(INDEX(tblCleanData[Education],449),"Below College","College","Bachelor","Master","Doctor")</f>
        <v>Bachelor</v>
      </c>
      <c r="G457" t="str">
        <f>IF(INDEX(tblCleanData[YearsAtCompany],449)&lt;=2,"0-2 Years",IF(INDEX(tblCleanData[YearsAtCompany],449)&lt;=5,"3-5 Years",IF(INDEX(tblCleanData[YearsAtCompany],449)&lt;=10,"6-10 Years","10+ Years")))</f>
        <v>10+ Years</v>
      </c>
      <c r="H457" t="str">
        <f>IF(INDEX(tblCleanData[WorkLifeBalance],449)&lt;=2,"Elevated","Normal")</f>
        <v>Normal</v>
      </c>
      <c r="I457">
        <f>IF(INDEX(tblCleanData[Age],449)&lt;30,30,IF(INDEX(tblCleanData[Age],449)&lt;40,20,IF(INDEX(tblCleanData[Age],449)&lt;50,10,15)))</f>
        <v>10</v>
      </c>
      <c r="J457">
        <f>IF(INDEX(tblCleanData[MonthlyIncome],449)&lt;=$B$3,25,IF(INDEX(tblCleanData[MonthlyIncome],449)&lt;=$B$4,12,5))</f>
        <v>5</v>
      </c>
      <c r="K457">
        <f>IF(INDEX(tblCleanData[OverTime],449)="Yes",25,0)</f>
        <v>0</v>
      </c>
      <c r="L457">
        <f>(5-INDEX(tblCleanData[JobSatisfaction],449))*6.25</f>
        <v>12.5</v>
      </c>
      <c r="M457">
        <f>IF(INDEX(tblCleanData[YearsAtCompany],449)&lt;=2,25,IF(INDEX(tblCleanData[YearsAtCompany],449)&lt;=5,15,IF(INDEX(tblCleanData[YearsAtCompany],449)&lt;=10,8,3)))</f>
        <v>3</v>
      </c>
      <c r="N457">
        <f t="shared" ref="N457:N520" si="14">ROUND(I457+J457+K457+L457+M457,0)</f>
        <v>31</v>
      </c>
      <c r="O457" t="str">
        <f t="shared" ref="O457:O520" si="15">IF(N457&gt;=55,"High Risk",IF(N457&gt;=35,"Medium Risk","Low Risk"))</f>
        <v>Low Risk</v>
      </c>
    </row>
    <row r="458" spans="1:15" x14ac:dyDescent="0.25">
      <c r="A458">
        <f>INDEX(tblCleanData[EmployeeNumber],450)</f>
        <v>602</v>
      </c>
      <c r="B458" t="str">
        <f>IF(INDEX(tblCleanData[Age],450)&lt;30,"Under 30",IF(INDEX(tblCleanData[Age],450)&lt;40,"30-39",IF(INDEX(tblCleanData[Age],450)&lt;50,"40-49","50+")))</f>
        <v>30-39</v>
      </c>
      <c r="C458" t="str">
        <f>IF(INDEX(tblCleanData[MonthlyIncome],450)&lt;=$B$3,"Low Income",IF(INDEX(tblCleanData[MonthlyIncome],450)&lt;=$B$4,"Medium Income","High Income"))</f>
        <v>High Income</v>
      </c>
      <c r="D458">
        <f>IF(INDEX(tblCleanData[Attrition],450)="Yes",1,0)</f>
        <v>0</v>
      </c>
      <c r="E458">
        <f>IF(INDEX(tblCleanData[OverTime],450)="Yes",1,0)</f>
        <v>0</v>
      </c>
      <c r="F458" t="str">
        <f>CHOOSE(INDEX(tblCleanData[Education],450),"Below College","College","Bachelor","Master","Doctor")</f>
        <v>Below College</v>
      </c>
      <c r="G458" t="str">
        <f>IF(INDEX(tblCleanData[YearsAtCompany],450)&lt;=2,"0-2 Years",IF(INDEX(tblCleanData[YearsAtCompany],450)&lt;=5,"3-5 Years",IF(INDEX(tblCleanData[YearsAtCompany],450)&lt;=10,"6-10 Years","10+ Years")))</f>
        <v>6-10 Years</v>
      </c>
      <c r="H458" t="str">
        <f>IF(INDEX(tblCleanData[WorkLifeBalance],450)&lt;=2,"Elevated","Normal")</f>
        <v>Normal</v>
      </c>
      <c r="I458">
        <f>IF(INDEX(tblCleanData[Age],450)&lt;30,30,IF(INDEX(tblCleanData[Age],450)&lt;40,20,IF(INDEX(tblCleanData[Age],450)&lt;50,10,15)))</f>
        <v>20</v>
      </c>
      <c r="J458">
        <f>IF(INDEX(tblCleanData[MonthlyIncome],450)&lt;=$B$3,25,IF(INDEX(tblCleanData[MonthlyIncome],450)&lt;=$B$4,12,5))</f>
        <v>5</v>
      </c>
      <c r="K458">
        <f>IF(INDEX(tblCleanData[OverTime],450)="Yes",25,0)</f>
        <v>0</v>
      </c>
      <c r="L458">
        <f>(5-INDEX(tblCleanData[JobSatisfaction],450))*6.25</f>
        <v>12.5</v>
      </c>
      <c r="M458">
        <f>IF(INDEX(tblCleanData[YearsAtCompany],450)&lt;=2,25,IF(INDEX(tblCleanData[YearsAtCompany],450)&lt;=5,15,IF(INDEX(tblCleanData[YearsAtCompany],450)&lt;=10,8,3)))</f>
        <v>8</v>
      </c>
      <c r="N458">
        <f t="shared" si="14"/>
        <v>46</v>
      </c>
      <c r="O458" t="str">
        <f t="shared" si="15"/>
        <v>Medium Risk</v>
      </c>
    </row>
    <row r="459" spans="1:15" x14ac:dyDescent="0.25">
      <c r="A459">
        <f>INDEX(tblCleanData[EmployeeNumber],451)</f>
        <v>604</v>
      </c>
      <c r="B459" t="str">
        <f>IF(INDEX(tblCleanData[Age],451)&lt;30,"Under 30",IF(INDEX(tblCleanData[Age],451)&lt;40,"30-39",IF(INDEX(tblCleanData[Age],451)&lt;50,"40-49","50+")))</f>
        <v>30-39</v>
      </c>
      <c r="C459" t="str">
        <f>IF(INDEX(tblCleanData[MonthlyIncome],451)&lt;=$B$3,"Low Income",IF(INDEX(tblCleanData[MonthlyIncome],451)&lt;=$B$4,"Medium Income","High Income"))</f>
        <v>High Income</v>
      </c>
      <c r="D459">
        <f>IF(INDEX(tblCleanData[Attrition],451)="Yes",1,0)</f>
        <v>0</v>
      </c>
      <c r="E459">
        <f>IF(INDEX(tblCleanData[OverTime],451)="Yes",1,0)</f>
        <v>1</v>
      </c>
      <c r="F459" t="str">
        <f>CHOOSE(INDEX(tblCleanData[Education],451),"Below College","College","Bachelor","Master","Doctor")</f>
        <v>Below College</v>
      </c>
      <c r="G459" t="str">
        <f>IF(INDEX(tblCleanData[YearsAtCompany],451)&lt;=2,"0-2 Years",IF(INDEX(tblCleanData[YearsAtCompany],451)&lt;=5,"3-5 Years",IF(INDEX(tblCleanData[YearsAtCompany],451)&lt;=10,"6-10 Years","10+ Years")))</f>
        <v>6-10 Years</v>
      </c>
      <c r="H459" t="str">
        <f>IF(INDEX(tblCleanData[WorkLifeBalance],451)&lt;=2,"Elevated","Normal")</f>
        <v>Normal</v>
      </c>
      <c r="I459">
        <f>IF(INDEX(tblCleanData[Age],451)&lt;30,30,IF(INDEX(tblCleanData[Age],451)&lt;40,20,IF(INDEX(tblCleanData[Age],451)&lt;50,10,15)))</f>
        <v>20</v>
      </c>
      <c r="J459">
        <f>IF(INDEX(tblCleanData[MonthlyIncome],451)&lt;=$B$3,25,IF(INDEX(tblCleanData[MonthlyIncome],451)&lt;=$B$4,12,5))</f>
        <v>5</v>
      </c>
      <c r="K459">
        <f>IF(INDEX(tblCleanData[OverTime],451)="Yes",25,0)</f>
        <v>25</v>
      </c>
      <c r="L459">
        <f>(5-INDEX(tblCleanData[JobSatisfaction],451))*6.25</f>
        <v>6.25</v>
      </c>
      <c r="M459">
        <f>IF(INDEX(tblCleanData[YearsAtCompany],451)&lt;=2,25,IF(INDEX(tblCleanData[YearsAtCompany],451)&lt;=5,15,IF(INDEX(tblCleanData[YearsAtCompany],451)&lt;=10,8,3)))</f>
        <v>8</v>
      </c>
      <c r="N459">
        <f t="shared" si="14"/>
        <v>64</v>
      </c>
      <c r="O459" t="str">
        <f t="shared" si="15"/>
        <v>High Risk</v>
      </c>
    </row>
    <row r="460" spans="1:15" x14ac:dyDescent="0.25">
      <c r="A460">
        <f>INDEX(tblCleanData[EmployeeNumber],452)</f>
        <v>605</v>
      </c>
      <c r="B460" t="str">
        <f>IF(INDEX(tblCleanData[Age],452)&lt;30,"Under 30",IF(INDEX(tblCleanData[Age],452)&lt;40,"30-39",IF(INDEX(tblCleanData[Age],452)&lt;50,"40-49","50+")))</f>
        <v>40-49</v>
      </c>
      <c r="C460" t="str">
        <f>IF(INDEX(tblCleanData[MonthlyIncome],452)&lt;=$B$3,"Low Income",IF(INDEX(tblCleanData[MonthlyIncome],452)&lt;=$B$4,"Medium Income","High Income"))</f>
        <v>High Income</v>
      </c>
      <c r="D460">
        <f>IF(INDEX(tblCleanData[Attrition],452)="Yes",1,0)</f>
        <v>0</v>
      </c>
      <c r="E460">
        <f>IF(INDEX(tblCleanData[OverTime],452)="Yes",1,0)</f>
        <v>1</v>
      </c>
      <c r="F460" t="str">
        <f>CHOOSE(INDEX(tblCleanData[Education],452),"Below College","College","Bachelor","Master","Doctor")</f>
        <v>Bachelor</v>
      </c>
      <c r="G460" t="str">
        <f>IF(INDEX(tblCleanData[YearsAtCompany],452)&lt;=2,"0-2 Years",IF(INDEX(tblCleanData[YearsAtCompany],452)&lt;=5,"3-5 Years",IF(INDEX(tblCleanData[YearsAtCompany],452)&lt;=10,"6-10 Years","10+ Years")))</f>
        <v>6-10 Years</v>
      </c>
      <c r="H460" t="str">
        <f>IF(INDEX(tblCleanData[WorkLifeBalance],452)&lt;=2,"Elevated","Normal")</f>
        <v>Elevated</v>
      </c>
      <c r="I460">
        <f>IF(INDEX(tblCleanData[Age],452)&lt;30,30,IF(INDEX(tblCleanData[Age],452)&lt;40,20,IF(INDEX(tblCleanData[Age],452)&lt;50,10,15)))</f>
        <v>10</v>
      </c>
      <c r="J460">
        <f>IF(INDEX(tblCleanData[MonthlyIncome],452)&lt;=$B$3,25,IF(INDEX(tblCleanData[MonthlyIncome],452)&lt;=$B$4,12,5))</f>
        <v>5</v>
      </c>
      <c r="K460">
        <f>IF(INDEX(tblCleanData[OverTime],452)="Yes",25,0)</f>
        <v>25</v>
      </c>
      <c r="L460">
        <f>(5-INDEX(tblCleanData[JobSatisfaction],452))*6.25</f>
        <v>25</v>
      </c>
      <c r="M460">
        <f>IF(INDEX(tblCleanData[YearsAtCompany],452)&lt;=2,25,IF(INDEX(tblCleanData[YearsAtCompany],452)&lt;=5,15,IF(INDEX(tblCleanData[YearsAtCompany],452)&lt;=10,8,3)))</f>
        <v>8</v>
      </c>
      <c r="N460">
        <f t="shared" si="14"/>
        <v>73</v>
      </c>
      <c r="O460" t="str">
        <f t="shared" si="15"/>
        <v>High Risk</v>
      </c>
    </row>
    <row r="461" spans="1:15" x14ac:dyDescent="0.25">
      <c r="A461">
        <f>INDEX(tblCleanData[EmployeeNumber],453)</f>
        <v>606</v>
      </c>
      <c r="B461" t="str">
        <f>IF(INDEX(tblCleanData[Age],453)&lt;30,"Under 30",IF(INDEX(tblCleanData[Age],453)&lt;40,"30-39",IF(INDEX(tblCleanData[Age],453)&lt;50,"40-49","50+")))</f>
        <v>40-49</v>
      </c>
      <c r="C461" t="str">
        <f>IF(INDEX(tblCleanData[MonthlyIncome],453)&lt;=$B$3,"Low Income",IF(INDEX(tblCleanData[MonthlyIncome],453)&lt;=$B$4,"Medium Income","High Income"))</f>
        <v>High Income</v>
      </c>
      <c r="D461">
        <f>IF(INDEX(tblCleanData[Attrition],453)="Yes",1,0)</f>
        <v>0</v>
      </c>
      <c r="E461">
        <f>IF(INDEX(tblCleanData[OverTime],453)="Yes",1,0)</f>
        <v>0</v>
      </c>
      <c r="F461" t="str">
        <f>CHOOSE(INDEX(tblCleanData[Education],453),"Below College","College","Bachelor","Master","Doctor")</f>
        <v>Bachelor</v>
      </c>
      <c r="G461" t="str">
        <f>IF(INDEX(tblCleanData[YearsAtCompany],453)&lt;=2,"0-2 Years",IF(INDEX(tblCleanData[YearsAtCompany],453)&lt;=5,"3-5 Years",IF(INDEX(tblCleanData[YearsAtCompany],453)&lt;=10,"6-10 Years","10+ Years")))</f>
        <v>6-10 Years</v>
      </c>
      <c r="H461" t="str">
        <f>IF(INDEX(tblCleanData[WorkLifeBalance],453)&lt;=2,"Elevated","Normal")</f>
        <v>Normal</v>
      </c>
      <c r="I461">
        <f>IF(INDEX(tblCleanData[Age],453)&lt;30,30,IF(INDEX(tblCleanData[Age],453)&lt;40,20,IF(INDEX(tblCleanData[Age],453)&lt;50,10,15)))</f>
        <v>10</v>
      </c>
      <c r="J461">
        <f>IF(INDEX(tblCleanData[MonthlyIncome],453)&lt;=$B$3,25,IF(INDEX(tblCleanData[MonthlyIncome],453)&lt;=$B$4,12,5))</f>
        <v>5</v>
      </c>
      <c r="K461">
        <f>IF(INDEX(tblCleanData[OverTime],453)="Yes",25,0)</f>
        <v>0</v>
      </c>
      <c r="L461">
        <f>(5-INDEX(tblCleanData[JobSatisfaction],453))*6.25</f>
        <v>18.75</v>
      </c>
      <c r="M461">
        <f>IF(INDEX(tblCleanData[YearsAtCompany],453)&lt;=2,25,IF(INDEX(tblCleanData[YearsAtCompany],453)&lt;=5,15,IF(INDEX(tblCleanData[YearsAtCompany],453)&lt;=10,8,3)))</f>
        <v>8</v>
      </c>
      <c r="N461">
        <f t="shared" si="14"/>
        <v>42</v>
      </c>
      <c r="O461" t="str">
        <f t="shared" si="15"/>
        <v>Medium Risk</v>
      </c>
    </row>
    <row r="462" spans="1:15" x14ac:dyDescent="0.25">
      <c r="A462">
        <f>INDEX(tblCleanData[EmployeeNumber],454)</f>
        <v>608</v>
      </c>
      <c r="B462" t="str">
        <f>IF(INDEX(tblCleanData[Age],454)&lt;30,"Under 30",IF(INDEX(tblCleanData[Age],454)&lt;40,"30-39",IF(INDEX(tblCleanData[Age],454)&lt;50,"40-49","50+")))</f>
        <v>Under 30</v>
      </c>
      <c r="C462" t="str">
        <f>IF(INDEX(tblCleanData[MonthlyIncome],454)&lt;=$B$3,"Low Income",IF(INDEX(tblCleanData[MonthlyIncome],454)&lt;=$B$4,"Medium Income","High Income"))</f>
        <v>High Income</v>
      </c>
      <c r="D462">
        <f>IF(INDEX(tblCleanData[Attrition],454)="Yes",1,0)</f>
        <v>1</v>
      </c>
      <c r="E462">
        <f>IF(INDEX(tblCleanData[OverTime],454)="Yes",1,0)</f>
        <v>1</v>
      </c>
      <c r="F462" t="str">
        <f>CHOOSE(INDEX(tblCleanData[Education],454),"Below College","College","Bachelor","Master","Doctor")</f>
        <v>Master</v>
      </c>
      <c r="G462" t="str">
        <f>IF(INDEX(tblCleanData[YearsAtCompany],454)&lt;=2,"0-2 Years",IF(INDEX(tblCleanData[YearsAtCompany],454)&lt;=5,"3-5 Years",IF(INDEX(tblCleanData[YearsAtCompany],454)&lt;=10,"6-10 Years","10+ Years")))</f>
        <v>6-10 Years</v>
      </c>
      <c r="H462" t="str">
        <f>IF(INDEX(tblCleanData[WorkLifeBalance],454)&lt;=2,"Elevated","Normal")</f>
        <v>Elevated</v>
      </c>
      <c r="I462">
        <f>IF(INDEX(tblCleanData[Age],454)&lt;30,30,IF(INDEX(tblCleanData[Age],454)&lt;40,20,IF(INDEX(tblCleanData[Age],454)&lt;50,10,15)))</f>
        <v>30</v>
      </c>
      <c r="J462">
        <f>IF(INDEX(tblCleanData[MonthlyIncome],454)&lt;=$B$3,25,IF(INDEX(tblCleanData[MonthlyIncome],454)&lt;=$B$4,12,5))</f>
        <v>5</v>
      </c>
      <c r="K462">
        <f>IF(INDEX(tblCleanData[OverTime],454)="Yes",25,0)</f>
        <v>25</v>
      </c>
      <c r="L462">
        <f>(5-INDEX(tblCleanData[JobSatisfaction],454))*6.25</f>
        <v>12.5</v>
      </c>
      <c r="M462">
        <f>IF(INDEX(tblCleanData[YearsAtCompany],454)&lt;=2,25,IF(INDEX(tblCleanData[YearsAtCompany],454)&lt;=5,15,IF(INDEX(tblCleanData[YearsAtCompany],454)&lt;=10,8,3)))</f>
        <v>8</v>
      </c>
      <c r="N462">
        <f t="shared" si="14"/>
        <v>81</v>
      </c>
      <c r="O462" t="str">
        <f t="shared" si="15"/>
        <v>High Risk</v>
      </c>
    </row>
    <row r="463" spans="1:15" x14ac:dyDescent="0.25">
      <c r="A463">
        <f>INDEX(tblCleanData[EmployeeNumber],455)</f>
        <v>611</v>
      </c>
      <c r="B463" t="str">
        <f>IF(INDEX(tblCleanData[Age],455)&lt;30,"Under 30",IF(INDEX(tblCleanData[Age],455)&lt;40,"30-39",IF(INDEX(tblCleanData[Age],455)&lt;50,"40-49","50+")))</f>
        <v>Under 30</v>
      </c>
      <c r="C463" t="str">
        <f>IF(INDEX(tblCleanData[MonthlyIncome],455)&lt;=$B$3,"Low Income",IF(INDEX(tblCleanData[MonthlyIncome],455)&lt;=$B$4,"Medium Income","High Income"))</f>
        <v>High Income</v>
      </c>
      <c r="D463">
        <f>IF(INDEX(tblCleanData[Attrition],455)="Yes",1,0)</f>
        <v>0</v>
      </c>
      <c r="E463">
        <f>IF(INDEX(tblCleanData[OverTime],455)="Yes",1,0)</f>
        <v>0</v>
      </c>
      <c r="F463" t="str">
        <f>CHOOSE(INDEX(tblCleanData[Education],455),"Below College","College","Bachelor","Master","Doctor")</f>
        <v>Bachelor</v>
      </c>
      <c r="G463" t="str">
        <f>IF(INDEX(tblCleanData[YearsAtCompany],455)&lt;=2,"0-2 Years",IF(INDEX(tblCleanData[YearsAtCompany],455)&lt;=5,"3-5 Years",IF(INDEX(tblCleanData[YearsAtCompany],455)&lt;=10,"6-10 Years","10+ Years")))</f>
        <v>3-5 Years</v>
      </c>
      <c r="H463" t="str">
        <f>IF(INDEX(tblCleanData[WorkLifeBalance],455)&lt;=2,"Elevated","Normal")</f>
        <v>Normal</v>
      </c>
      <c r="I463">
        <f>IF(INDEX(tblCleanData[Age],455)&lt;30,30,IF(INDEX(tblCleanData[Age],455)&lt;40,20,IF(INDEX(tblCleanData[Age],455)&lt;50,10,15)))</f>
        <v>30</v>
      </c>
      <c r="J463">
        <f>IF(INDEX(tblCleanData[MonthlyIncome],455)&lt;=$B$3,25,IF(INDEX(tblCleanData[MonthlyIncome],455)&lt;=$B$4,12,5))</f>
        <v>5</v>
      </c>
      <c r="K463">
        <f>IF(INDEX(tblCleanData[OverTime],455)="Yes",25,0)</f>
        <v>0</v>
      </c>
      <c r="L463">
        <f>(5-INDEX(tblCleanData[JobSatisfaction],455))*6.25</f>
        <v>6.25</v>
      </c>
      <c r="M463">
        <f>IF(INDEX(tblCleanData[YearsAtCompany],455)&lt;=2,25,IF(INDEX(tblCleanData[YearsAtCompany],455)&lt;=5,15,IF(INDEX(tblCleanData[YearsAtCompany],455)&lt;=10,8,3)))</f>
        <v>15</v>
      </c>
      <c r="N463">
        <f t="shared" si="14"/>
        <v>56</v>
      </c>
      <c r="O463" t="str">
        <f t="shared" si="15"/>
        <v>High Risk</v>
      </c>
    </row>
    <row r="464" spans="1:15" x14ac:dyDescent="0.25">
      <c r="A464">
        <f>INDEX(tblCleanData[EmployeeNumber],456)</f>
        <v>612</v>
      </c>
      <c r="B464" t="str">
        <f>IF(INDEX(tblCleanData[Age],456)&lt;30,"Under 30",IF(INDEX(tblCleanData[Age],456)&lt;40,"30-39",IF(INDEX(tblCleanData[Age],456)&lt;50,"40-49","50+")))</f>
        <v>30-39</v>
      </c>
      <c r="C464" t="str">
        <f>IF(INDEX(tblCleanData[MonthlyIncome],456)&lt;=$B$3,"Low Income",IF(INDEX(tblCleanData[MonthlyIncome],456)&lt;=$B$4,"Medium Income","High Income"))</f>
        <v>High Income</v>
      </c>
      <c r="D464">
        <f>IF(INDEX(tblCleanData[Attrition],456)="Yes",1,0)</f>
        <v>0</v>
      </c>
      <c r="E464">
        <f>IF(INDEX(tblCleanData[OverTime],456)="Yes",1,0)</f>
        <v>0</v>
      </c>
      <c r="F464" t="str">
        <f>CHOOSE(INDEX(tblCleanData[Education],456),"Below College","College","Bachelor","Master","Doctor")</f>
        <v>Doctor</v>
      </c>
      <c r="G464" t="str">
        <f>IF(INDEX(tblCleanData[YearsAtCompany],456)&lt;=2,"0-2 Years",IF(INDEX(tblCleanData[YearsAtCompany],456)&lt;=5,"3-5 Years",IF(INDEX(tblCleanData[YearsAtCompany],456)&lt;=10,"6-10 Years","10+ Years")))</f>
        <v>6-10 Years</v>
      </c>
      <c r="H464" t="str">
        <f>IF(INDEX(tblCleanData[WorkLifeBalance],456)&lt;=2,"Elevated","Normal")</f>
        <v>Normal</v>
      </c>
      <c r="I464">
        <f>IF(INDEX(tblCleanData[Age],456)&lt;30,30,IF(INDEX(tblCleanData[Age],456)&lt;40,20,IF(INDEX(tblCleanData[Age],456)&lt;50,10,15)))</f>
        <v>20</v>
      </c>
      <c r="J464">
        <f>IF(INDEX(tblCleanData[MonthlyIncome],456)&lt;=$B$3,25,IF(INDEX(tblCleanData[MonthlyIncome],456)&lt;=$B$4,12,5))</f>
        <v>5</v>
      </c>
      <c r="K464">
        <f>IF(INDEX(tblCleanData[OverTime],456)="Yes",25,0)</f>
        <v>0</v>
      </c>
      <c r="L464">
        <f>(5-INDEX(tblCleanData[JobSatisfaction],456))*6.25</f>
        <v>12.5</v>
      </c>
      <c r="M464">
        <f>IF(INDEX(tblCleanData[YearsAtCompany],456)&lt;=2,25,IF(INDEX(tblCleanData[YearsAtCompany],456)&lt;=5,15,IF(INDEX(tblCleanData[YearsAtCompany],456)&lt;=10,8,3)))</f>
        <v>8</v>
      </c>
      <c r="N464">
        <f t="shared" si="14"/>
        <v>46</v>
      </c>
      <c r="O464" t="str">
        <f t="shared" si="15"/>
        <v>Medium Risk</v>
      </c>
    </row>
    <row r="465" spans="1:15" x14ac:dyDescent="0.25">
      <c r="A465">
        <f>INDEX(tblCleanData[EmployeeNumber],457)</f>
        <v>613</v>
      </c>
      <c r="B465" t="str">
        <f>IF(INDEX(tblCleanData[Age],457)&lt;30,"Under 30",IF(INDEX(tblCleanData[Age],457)&lt;40,"30-39",IF(INDEX(tblCleanData[Age],457)&lt;50,"40-49","50+")))</f>
        <v>30-39</v>
      </c>
      <c r="C465" t="str">
        <f>IF(INDEX(tblCleanData[MonthlyIncome],457)&lt;=$B$3,"Low Income",IF(INDEX(tblCleanData[MonthlyIncome],457)&lt;=$B$4,"Medium Income","High Income"))</f>
        <v>High Income</v>
      </c>
      <c r="D465">
        <f>IF(INDEX(tblCleanData[Attrition],457)="Yes",1,0)</f>
        <v>0</v>
      </c>
      <c r="E465">
        <f>IF(INDEX(tblCleanData[OverTime],457)="Yes",1,0)</f>
        <v>0</v>
      </c>
      <c r="F465" t="str">
        <f>CHOOSE(INDEX(tblCleanData[Education],457),"Below College","College","Bachelor","Master","Doctor")</f>
        <v>Bachelor</v>
      </c>
      <c r="G465" t="str">
        <f>IF(INDEX(tblCleanData[YearsAtCompany],457)&lt;=2,"0-2 Years",IF(INDEX(tblCleanData[YearsAtCompany],457)&lt;=5,"3-5 Years",IF(INDEX(tblCleanData[YearsAtCompany],457)&lt;=10,"6-10 Years","10+ Years")))</f>
        <v>3-5 Years</v>
      </c>
      <c r="H465" t="str">
        <f>IF(INDEX(tblCleanData[WorkLifeBalance],457)&lt;=2,"Elevated","Normal")</f>
        <v>Elevated</v>
      </c>
      <c r="I465">
        <f>IF(INDEX(tblCleanData[Age],457)&lt;30,30,IF(INDEX(tblCleanData[Age],457)&lt;40,20,IF(INDEX(tblCleanData[Age],457)&lt;50,10,15)))</f>
        <v>20</v>
      </c>
      <c r="J465">
        <f>IF(INDEX(tblCleanData[MonthlyIncome],457)&lt;=$B$3,25,IF(INDEX(tblCleanData[MonthlyIncome],457)&lt;=$B$4,12,5))</f>
        <v>5</v>
      </c>
      <c r="K465">
        <f>IF(INDEX(tblCleanData[OverTime],457)="Yes",25,0)</f>
        <v>0</v>
      </c>
      <c r="L465">
        <f>(5-INDEX(tblCleanData[JobSatisfaction],457))*6.25</f>
        <v>6.25</v>
      </c>
      <c r="M465">
        <f>IF(INDEX(tblCleanData[YearsAtCompany],457)&lt;=2,25,IF(INDEX(tblCleanData[YearsAtCompany],457)&lt;=5,15,IF(INDEX(tblCleanData[YearsAtCompany],457)&lt;=10,8,3)))</f>
        <v>15</v>
      </c>
      <c r="N465">
        <f t="shared" si="14"/>
        <v>46</v>
      </c>
      <c r="O465" t="str">
        <f t="shared" si="15"/>
        <v>Medium Risk</v>
      </c>
    </row>
    <row r="466" spans="1:15" x14ac:dyDescent="0.25">
      <c r="A466">
        <f>INDEX(tblCleanData[EmployeeNumber],458)</f>
        <v>614</v>
      </c>
      <c r="B466" t="str">
        <f>IF(INDEX(tblCleanData[Age],458)&lt;30,"Under 30",IF(INDEX(tblCleanData[Age],458)&lt;40,"30-39",IF(INDEX(tblCleanData[Age],458)&lt;50,"40-49","50+")))</f>
        <v>Under 30</v>
      </c>
      <c r="C466" t="str">
        <f>IF(INDEX(tblCleanData[MonthlyIncome],458)&lt;=$B$3,"Low Income",IF(INDEX(tblCleanData[MonthlyIncome],458)&lt;=$B$4,"Medium Income","High Income"))</f>
        <v>High Income</v>
      </c>
      <c r="D466">
        <f>IF(INDEX(tblCleanData[Attrition],458)="Yes",1,0)</f>
        <v>1</v>
      </c>
      <c r="E466">
        <f>IF(INDEX(tblCleanData[OverTime],458)="Yes",1,0)</f>
        <v>1</v>
      </c>
      <c r="F466" t="str">
        <f>CHOOSE(INDEX(tblCleanData[Education],458),"Below College","College","Bachelor","Master","Doctor")</f>
        <v>Bachelor</v>
      </c>
      <c r="G466" t="str">
        <f>IF(INDEX(tblCleanData[YearsAtCompany],458)&lt;=2,"0-2 Years",IF(INDEX(tblCleanData[YearsAtCompany],458)&lt;=5,"3-5 Years",IF(INDEX(tblCleanData[YearsAtCompany],458)&lt;=10,"6-10 Years","10+ Years")))</f>
        <v>0-2 Years</v>
      </c>
      <c r="H466" t="str">
        <f>IF(INDEX(tblCleanData[WorkLifeBalance],458)&lt;=2,"Elevated","Normal")</f>
        <v>Normal</v>
      </c>
      <c r="I466">
        <f>IF(INDEX(tblCleanData[Age],458)&lt;30,30,IF(INDEX(tblCleanData[Age],458)&lt;40,20,IF(INDEX(tblCleanData[Age],458)&lt;50,10,15)))</f>
        <v>30</v>
      </c>
      <c r="J466">
        <f>IF(INDEX(tblCleanData[MonthlyIncome],458)&lt;=$B$3,25,IF(INDEX(tblCleanData[MonthlyIncome],458)&lt;=$B$4,12,5))</f>
        <v>5</v>
      </c>
      <c r="K466">
        <f>IF(INDEX(tblCleanData[OverTime],458)="Yes",25,0)</f>
        <v>25</v>
      </c>
      <c r="L466">
        <f>(5-INDEX(tblCleanData[JobSatisfaction],458))*6.25</f>
        <v>18.75</v>
      </c>
      <c r="M466">
        <f>IF(INDEX(tblCleanData[YearsAtCompany],458)&lt;=2,25,IF(INDEX(tblCleanData[YearsAtCompany],458)&lt;=5,15,IF(INDEX(tblCleanData[YearsAtCompany],458)&lt;=10,8,3)))</f>
        <v>25</v>
      </c>
      <c r="N466">
        <f t="shared" si="14"/>
        <v>104</v>
      </c>
      <c r="O466" t="str">
        <f t="shared" si="15"/>
        <v>High Risk</v>
      </c>
    </row>
    <row r="467" spans="1:15" x14ac:dyDescent="0.25">
      <c r="A467">
        <f>INDEX(tblCleanData[EmployeeNumber],459)</f>
        <v>615</v>
      </c>
      <c r="B467" t="str">
        <f>IF(INDEX(tblCleanData[Age],459)&lt;30,"Under 30",IF(INDEX(tblCleanData[Age],459)&lt;40,"30-39",IF(INDEX(tblCleanData[Age],459)&lt;50,"40-49","50+")))</f>
        <v>40-49</v>
      </c>
      <c r="C467" t="str">
        <f>IF(INDEX(tblCleanData[MonthlyIncome],459)&lt;=$B$3,"Low Income",IF(INDEX(tblCleanData[MonthlyIncome],459)&lt;=$B$4,"Medium Income","High Income"))</f>
        <v>High Income</v>
      </c>
      <c r="D467">
        <f>IF(INDEX(tblCleanData[Attrition],459)="Yes",1,0)</f>
        <v>0</v>
      </c>
      <c r="E467">
        <f>IF(INDEX(tblCleanData[OverTime],459)="Yes",1,0)</f>
        <v>0</v>
      </c>
      <c r="F467" t="str">
        <f>CHOOSE(INDEX(tblCleanData[Education],459),"Below College","College","Bachelor","Master","Doctor")</f>
        <v>Bachelor</v>
      </c>
      <c r="G467" t="str">
        <f>IF(INDEX(tblCleanData[YearsAtCompany],459)&lt;=2,"0-2 Years",IF(INDEX(tblCleanData[YearsAtCompany],459)&lt;=5,"3-5 Years",IF(INDEX(tblCleanData[YearsAtCompany],459)&lt;=10,"6-10 Years","10+ Years")))</f>
        <v>0-2 Years</v>
      </c>
      <c r="H467" t="str">
        <f>IF(INDEX(tblCleanData[WorkLifeBalance],459)&lt;=2,"Elevated","Normal")</f>
        <v>Normal</v>
      </c>
      <c r="I467">
        <f>IF(INDEX(tblCleanData[Age],459)&lt;30,30,IF(INDEX(tblCleanData[Age],459)&lt;40,20,IF(INDEX(tblCleanData[Age],459)&lt;50,10,15)))</f>
        <v>10</v>
      </c>
      <c r="J467">
        <f>IF(INDEX(tblCleanData[MonthlyIncome],459)&lt;=$B$3,25,IF(INDEX(tblCleanData[MonthlyIncome],459)&lt;=$B$4,12,5))</f>
        <v>5</v>
      </c>
      <c r="K467">
        <f>IF(INDEX(tblCleanData[OverTime],459)="Yes",25,0)</f>
        <v>0</v>
      </c>
      <c r="L467">
        <f>(5-INDEX(tblCleanData[JobSatisfaction],459))*6.25</f>
        <v>25</v>
      </c>
      <c r="M467">
        <f>IF(INDEX(tblCleanData[YearsAtCompany],459)&lt;=2,25,IF(INDEX(tblCleanData[YearsAtCompany],459)&lt;=5,15,IF(INDEX(tblCleanData[YearsAtCompany],459)&lt;=10,8,3)))</f>
        <v>25</v>
      </c>
      <c r="N467">
        <f t="shared" si="14"/>
        <v>65</v>
      </c>
      <c r="O467" t="str">
        <f t="shared" si="15"/>
        <v>High Risk</v>
      </c>
    </row>
    <row r="468" spans="1:15" x14ac:dyDescent="0.25">
      <c r="A468">
        <f>INDEX(tblCleanData[EmployeeNumber],460)</f>
        <v>616</v>
      </c>
      <c r="B468" t="str">
        <f>IF(INDEX(tblCleanData[Age],460)&lt;30,"Under 30",IF(INDEX(tblCleanData[Age],460)&lt;40,"30-39",IF(INDEX(tblCleanData[Age],460)&lt;50,"40-49","50+")))</f>
        <v>40-49</v>
      </c>
      <c r="C468" t="str">
        <f>IF(INDEX(tblCleanData[MonthlyIncome],460)&lt;=$B$3,"Low Income",IF(INDEX(tblCleanData[MonthlyIncome],460)&lt;=$B$4,"Medium Income","High Income"))</f>
        <v>High Income</v>
      </c>
      <c r="D468">
        <f>IF(INDEX(tblCleanData[Attrition],460)="Yes",1,0)</f>
        <v>0</v>
      </c>
      <c r="E468">
        <f>IF(INDEX(tblCleanData[OverTime],460)="Yes",1,0)</f>
        <v>1</v>
      </c>
      <c r="F468" t="str">
        <f>CHOOSE(INDEX(tblCleanData[Education],460),"Below College","College","Bachelor","Master","Doctor")</f>
        <v>Master</v>
      </c>
      <c r="G468" t="str">
        <f>IF(INDEX(tblCleanData[YearsAtCompany],460)&lt;=2,"0-2 Years",IF(INDEX(tblCleanData[YearsAtCompany],460)&lt;=5,"3-5 Years",IF(INDEX(tblCleanData[YearsAtCompany],460)&lt;=10,"6-10 Years","10+ Years")))</f>
        <v>6-10 Years</v>
      </c>
      <c r="H468" t="str">
        <f>IF(INDEX(tblCleanData[WorkLifeBalance],460)&lt;=2,"Elevated","Normal")</f>
        <v>Normal</v>
      </c>
      <c r="I468">
        <f>IF(INDEX(tblCleanData[Age],460)&lt;30,30,IF(INDEX(tblCleanData[Age],460)&lt;40,20,IF(INDEX(tblCleanData[Age],460)&lt;50,10,15)))</f>
        <v>10</v>
      </c>
      <c r="J468">
        <f>IF(INDEX(tblCleanData[MonthlyIncome],460)&lt;=$B$3,25,IF(INDEX(tblCleanData[MonthlyIncome],460)&lt;=$B$4,12,5))</f>
        <v>5</v>
      </c>
      <c r="K468">
        <f>IF(INDEX(tblCleanData[OverTime],460)="Yes",25,0)</f>
        <v>25</v>
      </c>
      <c r="L468">
        <f>(5-INDEX(tblCleanData[JobSatisfaction],460))*6.25</f>
        <v>12.5</v>
      </c>
      <c r="M468">
        <f>IF(INDEX(tblCleanData[YearsAtCompany],460)&lt;=2,25,IF(INDEX(tblCleanData[YearsAtCompany],460)&lt;=5,15,IF(INDEX(tblCleanData[YearsAtCompany],460)&lt;=10,8,3)))</f>
        <v>8</v>
      </c>
      <c r="N468">
        <f t="shared" si="14"/>
        <v>61</v>
      </c>
      <c r="O468" t="str">
        <f t="shared" si="15"/>
        <v>High Risk</v>
      </c>
    </row>
    <row r="469" spans="1:15" x14ac:dyDescent="0.25">
      <c r="A469">
        <f>INDEX(tblCleanData[EmployeeNumber],461)</f>
        <v>618</v>
      </c>
      <c r="B469" t="str">
        <f>IF(INDEX(tblCleanData[Age],461)&lt;30,"Under 30",IF(INDEX(tblCleanData[Age],461)&lt;40,"30-39",IF(INDEX(tblCleanData[Age],461)&lt;50,"40-49","50+")))</f>
        <v>Under 30</v>
      </c>
      <c r="C469" t="str">
        <f>IF(INDEX(tblCleanData[MonthlyIncome],461)&lt;=$B$3,"Low Income",IF(INDEX(tblCleanData[MonthlyIncome],461)&lt;=$B$4,"Medium Income","High Income"))</f>
        <v>High Income</v>
      </c>
      <c r="D469">
        <f>IF(INDEX(tblCleanData[Attrition],461)="Yes",1,0)</f>
        <v>0</v>
      </c>
      <c r="E469">
        <f>IF(INDEX(tblCleanData[OverTime],461)="Yes",1,0)</f>
        <v>0</v>
      </c>
      <c r="F469" t="str">
        <f>CHOOSE(INDEX(tblCleanData[Education],461),"Below College","College","Bachelor","Master","Doctor")</f>
        <v>College</v>
      </c>
      <c r="G469" t="str">
        <f>IF(INDEX(tblCleanData[YearsAtCompany],461)&lt;=2,"0-2 Years",IF(INDEX(tblCleanData[YearsAtCompany],461)&lt;=5,"3-5 Years",IF(INDEX(tblCleanData[YearsAtCompany],461)&lt;=10,"6-10 Years","10+ Years")))</f>
        <v>0-2 Years</v>
      </c>
      <c r="H469" t="str">
        <f>IF(INDEX(tblCleanData[WorkLifeBalance],461)&lt;=2,"Elevated","Normal")</f>
        <v>Normal</v>
      </c>
      <c r="I469">
        <f>IF(INDEX(tblCleanData[Age],461)&lt;30,30,IF(INDEX(tblCleanData[Age],461)&lt;40,20,IF(INDEX(tblCleanData[Age],461)&lt;50,10,15)))</f>
        <v>30</v>
      </c>
      <c r="J469">
        <f>IF(INDEX(tblCleanData[MonthlyIncome],461)&lt;=$B$3,25,IF(INDEX(tblCleanData[MonthlyIncome],461)&lt;=$B$4,12,5))</f>
        <v>5</v>
      </c>
      <c r="K469">
        <f>IF(INDEX(tblCleanData[OverTime],461)="Yes",25,0)</f>
        <v>0</v>
      </c>
      <c r="L469">
        <f>(5-INDEX(tblCleanData[JobSatisfaction],461))*6.25</f>
        <v>12.5</v>
      </c>
      <c r="M469">
        <f>IF(INDEX(tblCleanData[YearsAtCompany],461)&lt;=2,25,IF(INDEX(tblCleanData[YearsAtCompany],461)&lt;=5,15,IF(INDEX(tblCleanData[YearsAtCompany],461)&lt;=10,8,3)))</f>
        <v>25</v>
      </c>
      <c r="N469">
        <f t="shared" si="14"/>
        <v>73</v>
      </c>
      <c r="O469" t="str">
        <f t="shared" si="15"/>
        <v>High Risk</v>
      </c>
    </row>
    <row r="470" spans="1:15" x14ac:dyDescent="0.25">
      <c r="A470">
        <f>INDEX(tblCleanData[EmployeeNumber],462)</f>
        <v>620</v>
      </c>
      <c r="B470" t="str">
        <f>IF(INDEX(tblCleanData[Age],462)&lt;30,"Under 30",IF(INDEX(tblCleanData[Age],462)&lt;40,"30-39",IF(INDEX(tblCleanData[Age],462)&lt;50,"40-49","50+")))</f>
        <v>30-39</v>
      </c>
      <c r="C470" t="str">
        <f>IF(INDEX(tblCleanData[MonthlyIncome],462)&lt;=$B$3,"Low Income",IF(INDEX(tblCleanData[MonthlyIncome],462)&lt;=$B$4,"Medium Income","High Income"))</f>
        <v>High Income</v>
      </c>
      <c r="D470">
        <f>IF(INDEX(tblCleanData[Attrition],462)="Yes",1,0)</f>
        <v>0</v>
      </c>
      <c r="E470">
        <f>IF(INDEX(tblCleanData[OverTime],462)="Yes",1,0)</f>
        <v>0</v>
      </c>
      <c r="F470" t="str">
        <f>CHOOSE(INDEX(tblCleanData[Education],462),"Below College","College","Bachelor","Master","Doctor")</f>
        <v>Bachelor</v>
      </c>
      <c r="G470" t="str">
        <f>IF(INDEX(tblCleanData[YearsAtCompany],462)&lt;=2,"0-2 Years",IF(INDEX(tblCleanData[YearsAtCompany],462)&lt;=5,"3-5 Years",IF(INDEX(tblCleanData[YearsAtCompany],462)&lt;=10,"6-10 Years","10+ Years")))</f>
        <v>3-5 Years</v>
      </c>
      <c r="H470" t="str">
        <f>IF(INDEX(tblCleanData[WorkLifeBalance],462)&lt;=2,"Elevated","Normal")</f>
        <v>Normal</v>
      </c>
      <c r="I470">
        <f>IF(INDEX(tblCleanData[Age],462)&lt;30,30,IF(INDEX(tblCleanData[Age],462)&lt;40,20,IF(INDEX(tblCleanData[Age],462)&lt;50,10,15)))</f>
        <v>20</v>
      </c>
      <c r="J470">
        <f>IF(INDEX(tblCleanData[MonthlyIncome],462)&lt;=$B$3,25,IF(INDEX(tblCleanData[MonthlyIncome],462)&lt;=$B$4,12,5))</f>
        <v>5</v>
      </c>
      <c r="K470">
        <f>IF(INDEX(tblCleanData[OverTime],462)="Yes",25,0)</f>
        <v>0</v>
      </c>
      <c r="L470">
        <f>(5-INDEX(tblCleanData[JobSatisfaction],462))*6.25</f>
        <v>12.5</v>
      </c>
      <c r="M470">
        <f>IF(INDEX(tblCleanData[YearsAtCompany],462)&lt;=2,25,IF(INDEX(tblCleanData[YearsAtCompany],462)&lt;=5,15,IF(INDEX(tblCleanData[YearsAtCompany],462)&lt;=10,8,3)))</f>
        <v>15</v>
      </c>
      <c r="N470">
        <f t="shared" si="14"/>
        <v>53</v>
      </c>
      <c r="O470" t="str">
        <f t="shared" si="15"/>
        <v>Medium Risk</v>
      </c>
    </row>
    <row r="471" spans="1:15" x14ac:dyDescent="0.25">
      <c r="A471">
        <f>INDEX(tblCleanData[EmployeeNumber],463)</f>
        <v>621</v>
      </c>
      <c r="B471" t="str">
        <f>IF(INDEX(tblCleanData[Age],463)&lt;30,"Under 30",IF(INDEX(tblCleanData[Age],463)&lt;40,"30-39",IF(INDEX(tblCleanData[Age],463)&lt;50,"40-49","50+")))</f>
        <v>30-39</v>
      </c>
      <c r="C471" t="str">
        <f>IF(INDEX(tblCleanData[MonthlyIncome],463)&lt;=$B$3,"Low Income",IF(INDEX(tblCleanData[MonthlyIncome],463)&lt;=$B$4,"Medium Income","High Income"))</f>
        <v>High Income</v>
      </c>
      <c r="D471">
        <f>IF(INDEX(tblCleanData[Attrition],463)="Yes",1,0)</f>
        <v>0</v>
      </c>
      <c r="E471">
        <f>IF(INDEX(tblCleanData[OverTime],463)="Yes",1,0)</f>
        <v>0</v>
      </c>
      <c r="F471" t="str">
        <f>CHOOSE(INDEX(tblCleanData[Education],463),"Below College","College","Bachelor","Master","Doctor")</f>
        <v>Master</v>
      </c>
      <c r="G471" t="str">
        <f>IF(INDEX(tblCleanData[YearsAtCompany],463)&lt;=2,"0-2 Years",IF(INDEX(tblCleanData[YearsAtCompany],463)&lt;=5,"3-5 Years",IF(INDEX(tblCleanData[YearsAtCompany],463)&lt;=10,"6-10 Years","10+ Years")))</f>
        <v>6-10 Years</v>
      </c>
      <c r="H471" t="str">
        <f>IF(INDEX(tblCleanData[WorkLifeBalance],463)&lt;=2,"Elevated","Normal")</f>
        <v>Normal</v>
      </c>
      <c r="I471">
        <f>IF(INDEX(tblCleanData[Age],463)&lt;30,30,IF(INDEX(tblCleanData[Age],463)&lt;40,20,IF(INDEX(tblCleanData[Age],463)&lt;50,10,15)))</f>
        <v>20</v>
      </c>
      <c r="J471">
        <f>IF(INDEX(tblCleanData[MonthlyIncome],463)&lt;=$B$3,25,IF(INDEX(tblCleanData[MonthlyIncome],463)&lt;=$B$4,12,5))</f>
        <v>5</v>
      </c>
      <c r="K471">
        <f>IF(INDEX(tblCleanData[OverTime],463)="Yes",25,0)</f>
        <v>0</v>
      </c>
      <c r="L471">
        <f>(5-INDEX(tblCleanData[JobSatisfaction],463))*6.25</f>
        <v>6.25</v>
      </c>
      <c r="M471">
        <f>IF(INDEX(tblCleanData[YearsAtCompany],463)&lt;=2,25,IF(INDEX(tblCleanData[YearsAtCompany],463)&lt;=5,15,IF(INDEX(tblCleanData[YearsAtCompany],463)&lt;=10,8,3)))</f>
        <v>8</v>
      </c>
      <c r="N471">
        <f t="shared" si="14"/>
        <v>39</v>
      </c>
      <c r="O471" t="str">
        <f t="shared" si="15"/>
        <v>Medium Risk</v>
      </c>
    </row>
    <row r="472" spans="1:15" x14ac:dyDescent="0.25">
      <c r="A472">
        <f>INDEX(tblCleanData[EmployeeNumber],464)</f>
        <v>622</v>
      </c>
      <c r="B472" t="str">
        <f>IF(INDEX(tblCleanData[Age],464)&lt;30,"Under 30",IF(INDEX(tblCleanData[Age],464)&lt;40,"30-39",IF(INDEX(tblCleanData[Age],464)&lt;50,"40-49","50+")))</f>
        <v>Under 30</v>
      </c>
      <c r="C472" t="str">
        <f>IF(INDEX(tblCleanData[MonthlyIncome],464)&lt;=$B$3,"Low Income",IF(INDEX(tblCleanData[MonthlyIncome],464)&lt;=$B$4,"Medium Income","High Income"))</f>
        <v>High Income</v>
      </c>
      <c r="D472">
        <f>IF(INDEX(tblCleanData[Attrition],464)="Yes",1,0)</f>
        <v>1</v>
      </c>
      <c r="E472">
        <f>IF(INDEX(tblCleanData[OverTime],464)="Yes",1,0)</f>
        <v>1</v>
      </c>
      <c r="F472" t="str">
        <f>CHOOSE(INDEX(tblCleanData[Education],464),"Below College","College","Bachelor","Master","Doctor")</f>
        <v>Bachelor</v>
      </c>
      <c r="G472" t="str">
        <f>IF(INDEX(tblCleanData[YearsAtCompany],464)&lt;=2,"0-2 Years",IF(INDEX(tblCleanData[YearsAtCompany],464)&lt;=5,"3-5 Years",IF(INDEX(tblCleanData[YearsAtCompany],464)&lt;=10,"6-10 Years","10+ Years")))</f>
        <v>0-2 Years</v>
      </c>
      <c r="H472" t="str">
        <f>IF(INDEX(tblCleanData[WorkLifeBalance],464)&lt;=2,"Elevated","Normal")</f>
        <v>Elevated</v>
      </c>
      <c r="I472">
        <f>IF(INDEX(tblCleanData[Age],464)&lt;30,30,IF(INDEX(tblCleanData[Age],464)&lt;40,20,IF(INDEX(tblCleanData[Age],464)&lt;50,10,15)))</f>
        <v>30</v>
      </c>
      <c r="J472">
        <f>IF(INDEX(tblCleanData[MonthlyIncome],464)&lt;=$B$3,25,IF(INDEX(tblCleanData[MonthlyIncome],464)&lt;=$B$4,12,5))</f>
        <v>5</v>
      </c>
      <c r="K472">
        <f>IF(INDEX(tblCleanData[OverTime],464)="Yes",25,0)</f>
        <v>25</v>
      </c>
      <c r="L472">
        <f>(5-INDEX(tblCleanData[JobSatisfaction],464))*6.25</f>
        <v>6.25</v>
      </c>
      <c r="M472">
        <f>IF(INDEX(tblCleanData[YearsAtCompany],464)&lt;=2,25,IF(INDEX(tblCleanData[YearsAtCompany],464)&lt;=5,15,IF(INDEX(tblCleanData[YearsAtCompany],464)&lt;=10,8,3)))</f>
        <v>25</v>
      </c>
      <c r="N472">
        <f t="shared" si="14"/>
        <v>91</v>
      </c>
      <c r="O472" t="str">
        <f t="shared" si="15"/>
        <v>High Risk</v>
      </c>
    </row>
    <row r="473" spans="1:15" x14ac:dyDescent="0.25">
      <c r="A473">
        <f>INDEX(tblCleanData[EmployeeNumber],465)</f>
        <v>623</v>
      </c>
      <c r="B473" t="str">
        <f>IF(INDEX(tblCleanData[Age],465)&lt;30,"Under 30",IF(INDEX(tblCleanData[Age],465)&lt;40,"30-39",IF(INDEX(tblCleanData[Age],465)&lt;50,"40-49","50+")))</f>
        <v>30-39</v>
      </c>
      <c r="C473" t="str">
        <f>IF(INDEX(tblCleanData[MonthlyIncome],465)&lt;=$B$3,"Low Income",IF(INDEX(tblCleanData[MonthlyIncome],465)&lt;=$B$4,"Medium Income","High Income"))</f>
        <v>High Income</v>
      </c>
      <c r="D473">
        <f>IF(INDEX(tblCleanData[Attrition],465)="Yes",1,0)</f>
        <v>0</v>
      </c>
      <c r="E473">
        <f>IF(INDEX(tblCleanData[OverTime],465)="Yes",1,0)</f>
        <v>0</v>
      </c>
      <c r="F473" t="str">
        <f>CHOOSE(INDEX(tblCleanData[Education],465),"Below College","College","Bachelor","Master","Doctor")</f>
        <v>Bachelor</v>
      </c>
      <c r="G473" t="str">
        <f>IF(INDEX(tblCleanData[YearsAtCompany],465)&lt;=2,"0-2 Years",IF(INDEX(tblCleanData[YearsAtCompany],465)&lt;=5,"3-5 Years",IF(INDEX(tblCleanData[YearsAtCompany],465)&lt;=10,"6-10 Years","10+ Years")))</f>
        <v>6-10 Years</v>
      </c>
      <c r="H473" t="str">
        <f>IF(INDEX(tblCleanData[WorkLifeBalance],465)&lt;=2,"Elevated","Normal")</f>
        <v>Normal</v>
      </c>
      <c r="I473">
        <f>IF(INDEX(tblCleanData[Age],465)&lt;30,30,IF(INDEX(tblCleanData[Age],465)&lt;40,20,IF(INDEX(tblCleanData[Age],465)&lt;50,10,15)))</f>
        <v>20</v>
      </c>
      <c r="J473">
        <f>IF(INDEX(tblCleanData[MonthlyIncome],465)&lt;=$B$3,25,IF(INDEX(tblCleanData[MonthlyIncome],465)&lt;=$B$4,12,5))</f>
        <v>5</v>
      </c>
      <c r="K473">
        <f>IF(INDEX(tblCleanData[OverTime],465)="Yes",25,0)</f>
        <v>0</v>
      </c>
      <c r="L473">
        <f>(5-INDEX(tblCleanData[JobSatisfaction],465))*6.25</f>
        <v>6.25</v>
      </c>
      <c r="M473">
        <f>IF(INDEX(tblCleanData[YearsAtCompany],465)&lt;=2,25,IF(INDEX(tblCleanData[YearsAtCompany],465)&lt;=5,15,IF(INDEX(tblCleanData[YearsAtCompany],465)&lt;=10,8,3)))</f>
        <v>8</v>
      </c>
      <c r="N473">
        <f t="shared" si="14"/>
        <v>39</v>
      </c>
      <c r="O473" t="str">
        <f t="shared" si="15"/>
        <v>Medium Risk</v>
      </c>
    </row>
    <row r="474" spans="1:15" x14ac:dyDescent="0.25">
      <c r="A474">
        <f>INDEX(tblCleanData[EmployeeNumber],466)</f>
        <v>624</v>
      </c>
      <c r="B474" t="str">
        <f>IF(INDEX(tblCleanData[Age],466)&lt;30,"Under 30",IF(INDEX(tblCleanData[Age],466)&lt;40,"30-39",IF(INDEX(tblCleanData[Age],466)&lt;50,"40-49","50+")))</f>
        <v>40-49</v>
      </c>
      <c r="C474" t="str">
        <f>IF(INDEX(tblCleanData[MonthlyIncome],466)&lt;=$B$3,"Low Income",IF(INDEX(tblCleanData[MonthlyIncome],466)&lt;=$B$4,"Medium Income","High Income"))</f>
        <v>High Income</v>
      </c>
      <c r="D474">
        <f>IF(INDEX(tblCleanData[Attrition],466)="Yes",1,0)</f>
        <v>0</v>
      </c>
      <c r="E474">
        <f>IF(INDEX(tblCleanData[OverTime],466)="Yes",1,0)</f>
        <v>0</v>
      </c>
      <c r="F474" t="str">
        <f>CHOOSE(INDEX(tblCleanData[Education],466),"Below College","College","Bachelor","Master","Doctor")</f>
        <v>Below College</v>
      </c>
      <c r="G474" t="str">
        <f>IF(INDEX(tblCleanData[YearsAtCompany],466)&lt;=2,"0-2 Years",IF(INDEX(tblCleanData[YearsAtCompany],466)&lt;=5,"3-5 Years",IF(INDEX(tblCleanData[YearsAtCompany],466)&lt;=10,"6-10 Years","10+ Years")))</f>
        <v>0-2 Years</v>
      </c>
      <c r="H474" t="str">
        <f>IF(INDEX(tblCleanData[WorkLifeBalance],466)&lt;=2,"Elevated","Normal")</f>
        <v>Elevated</v>
      </c>
      <c r="I474">
        <f>IF(INDEX(tblCleanData[Age],466)&lt;30,30,IF(INDEX(tblCleanData[Age],466)&lt;40,20,IF(INDEX(tblCleanData[Age],466)&lt;50,10,15)))</f>
        <v>10</v>
      </c>
      <c r="J474">
        <f>IF(INDEX(tblCleanData[MonthlyIncome],466)&lt;=$B$3,25,IF(INDEX(tblCleanData[MonthlyIncome],466)&lt;=$B$4,12,5))</f>
        <v>5</v>
      </c>
      <c r="K474">
        <f>IF(INDEX(tblCleanData[OverTime],466)="Yes",25,0)</f>
        <v>0</v>
      </c>
      <c r="L474">
        <f>(5-INDEX(tblCleanData[JobSatisfaction],466))*6.25</f>
        <v>12.5</v>
      </c>
      <c r="M474">
        <f>IF(INDEX(tblCleanData[YearsAtCompany],466)&lt;=2,25,IF(INDEX(tblCleanData[YearsAtCompany],466)&lt;=5,15,IF(INDEX(tblCleanData[YearsAtCompany],466)&lt;=10,8,3)))</f>
        <v>25</v>
      </c>
      <c r="N474">
        <f t="shared" si="14"/>
        <v>53</v>
      </c>
      <c r="O474" t="str">
        <f t="shared" si="15"/>
        <v>Medium Risk</v>
      </c>
    </row>
    <row r="475" spans="1:15" x14ac:dyDescent="0.25">
      <c r="A475">
        <f>INDEX(tblCleanData[EmployeeNumber],467)</f>
        <v>625</v>
      </c>
      <c r="B475" t="str">
        <f>IF(INDEX(tblCleanData[Age],467)&lt;30,"Under 30",IF(INDEX(tblCleanData[Age],467)&lt;40,"30-39",IF(INDEX(tblCleanData[Age],467)&lt;50,"40-49","50+")))</f>
        <v>40-49</v>
      </c>
      <c r="C475" t="str">
        <f>IF(INDEX(tblCleanData[MonthlyIncome],467)&lt;=$B$3,"Low Income",IF(INDEX(tblCleanData[MonthlyIncome],467)&lt;=$B$4,"Medium Income","High Income"))</f>
        <v>High Income</v>
      </c>
      <c r="D475">
        <f>IF(INDEX(tblCleanData[Attrition],467)="Yes",1,0)</f>
        <v>0</v>
      </c>
      <c r="E475">
        <f>IF(INDEX(tblCleanData[OverTime],467)="Yes",1,0)</f>
        <v>0</v>
      </c>
      <c r="F475" t="str">
        <f>CHOOSE(INDEX(tblCleanData[Education],467),"Below College","College","Bachelor","Master","Doctor")</f>
        <v>Doctor</v>
      </c>
      <c r="G475" t="str">
        <f>IF(INDEX(tblCleanData[YearsAtCompany],467)&lt;=2,"0-2 Years",IF(INDEX(tblCleanData[YearsAtCompany],467)&lt;=5,"3-5 Years",IF(INDEX(tblCleanData[YearsAtCompany],467)&lt;=10,"6-10 Years","10+ Years")))</f>
        <v>10+ Years</v>
      </c>
      <c r="H475" t="str">
        <f>IF(INDEX(tblCleanData[WorkLifeBalance],467)&lt;=2,"Elevated","Normal")</f>
        <v>Normal</v>
      </c>
      <c r="I475">
        <f>IF(INDEX(tblCleanData[Age],467)&lt;30,30,IF(INDEX(tblCleanData[Age],467)&lt;40,20,IF(INDEX(tblCleanData[Age],467)&lt;50,10,15)))</f>
        <v>10</v>
      </c>
      <c r="J475">
        <f>IF(INDEX(tblCleanData[MonthlyIncome],467)&lt;=$B$3,25,IF(INDEX(tblCleanData[MonthlyIncome],467)&lt;=$B$4,12,5))</f>
        <v>5</v>
      </c>
      <c r="K475">
        <f>IF(INDEX(tblCleanData[OverTime],467)="Yes",25,0)</f>
        <v>0</v>
      </c>
      <c r="L475">
        <f>(5-INDEX(tblCleanData[JobSatisfaction],467))*6.25</f>
        <v>25</v>
      </c>
      <c r="M475">
        <f>IF(INDEX(tblCleanData[YearsAtCompany],467)&lt;=2,25,IF(INDEX(tblCleanData[YearsAtCompany],467)&lt;=5,15,IF(INDEX(tblCleanData[YearsAtCompany],467)&lt;=10,8,3)))</f>
        <v>3</v>
      </c>
      <c r="N475">
        <f t="shared" si="14"/>
        <v>43</v>
      </c>
      <c r="O475" t="str">
        <f t="shared" si="15"/>
        <v>Medium Risk</v>
      </c>
    </row>
    <row r="476" spans="1:15" x14ac:dyDescent="0.25">
      <c r="A476">
        <f>INDEX(tblCleanData[EmployeeNumber],468)</f>
        <v>626</v>
      </c>
      <c r="B476" t="str">
        <f>IF(INDEX(tblCleanData[Age],468)&lt;30,"Under 30",IF(INDEX(tblCleanData[Age],468)&lt;40,"30-39",IF(INDEX(tblCleanData[Age],468)&lt;50,"40-49","50+")))</f>
        <v>30-39</v>
      </c>
      <c r="C476" t="str">
        <f>IF(INDEX(tblCleanData[MonthlyIncome],468)&lt;=$B$3,"Low Income",IF(INDEX(tblCleanData[MonthlyIncome],468)&lt;=$B$4,"Medium Income","High Income"))</f>
        <v>High Income</v>
      </c>
      <c r="D476">
        <f>IF(INDEX(tblCleanData[Attrition],468)="Yes",1,0)</f>
        <v>0</v>
      </c>
      <c r="E476">
        <f>IF(INDEX(tblCleanData[OverTime],468)="Yes",1,0)</f>
        <v>0</v>
      </c>
      <c r="F476" t="str">
        <f>CHOOSE(INDEX(tblCleanData[Education],468),"Below College","College","Bachelor","Master","Doctor")</f>
        <v>Master</v>
      </c>
      <c r="G476" t="str">
        <f>IF(INDEX(tblCleanData[YearsAtCompany],468)&lt;=2,"0-2 Years",IF(INDEX(tblCleanData[YearsAtCompany],468)&lt;=5,"3-5 Years",IF(INDEX(tblCleanData[YearsAtCompany],468)&lt;=10,"6-10 Years","10+ Years")))</f>
        <v>6-10 Years</v>
      </c>
      <c r="H476" t="str">
        <f>IF(INDEX(tblCleanData[WorkLifeBalance],468)&lt;=2,"Elevated","Normal")</f>
        <v>Normal</v>
      </c>
      <c r="I476">
        <f>IF(INDEX(tblCleanData[Age],468)&lt;30,30,IF(INDEX(tblCleanData[Age],468)&lt;40,20,IF(INDEX(tblCleanData[Age],468)&lt;50,10,15)))</f>
        <v>20</v>
      </c>
      <c r="J476">
        <f>IF(INDEX(tblCleanData[MonthlyIncome],468)&lt;=$B$3,25,IF(INDEX(tblCleanData[MonthlyIncome],468)&lt;=$B$4,12,5))</f>
        <v>5</v>
      </c>
      <c r="K476">
        <f>IF(INDEX(tblCleanData[OverTime],468)="Yes",25,0)</f>
        <v>0</v>
      </c>
      <c r="L476">
        <f>(5-INDEX(tblCleanData[JobSatisfaction],468))*6.25</f>
        <v>18.75</v>
      </c>
      <c r="M476">
        <f>IF(INDEX(tblCleanData[YearsAtCompany],468)&lt;=2,25,IF(INDEX(tblCleanData[YearsAtCompany],468)&lt;=5,15,IF(INDEX(tblCleanData[YearsAtCompany],468)&lt;=10,8,3)))</f>
        <v>8</v>
      </c>
      <c r="N476">
        <f t="shared" si="14"/>
        <v>52</v>
      </c>
      <c r="O476" t="str">
        <f t="shared" si="15"/>
        <v>Medium Risk</v>
      </c>
    </row>
    <row r="477" spans="1:15" x14ac:dyDescent="0.25">
      <c r="A477">
        <f>INDEX(tblCleanData[EmployeeNumber],469)</f>
        <v>630</v>
      </c>
      <c r="B477" t="str">
        <f>IF(INDEX(tblCleanData[Age],469)&lt;30,"Under 30",IF(INDEX(tblCleanData[Age],469)&lt;40,"30-39",IF(INDEX(tblCleanData[Age],469)&lt;50,"40-49","50+")))</f>
        <v>50+</v>
      </c>
      <c r="C477" t="str">
        <f>IF(INDEX(tblCleanData[MonthlyIncome],469)&lt;=$B$3,"Low Income",IF(INDEX(tblCleanData[MonthlyIncome],469)&lt;=$B$4,"Medium Income","High Income"))</f>
        <v>High Income</v>
      </c>
      <c r="D477">
        <f>IF(INDEX(tblCleanData[Attrition],469)="Yes",1,0)</f>
        <v>0</v>
      </c>
      <c r="E477">
        <f>IF(INDEX(tblCleanData[OverTime],469)="Yes",1,0)</f>
        <v>1</v>
      </c>
      <c r="F477" t="str">
        <f>CHOOSE(INDEX(tblCleanData[Education],469),"Below College","College","Bachelor","Master","Doctor")</f>
        <v>College</v>
      </c>
      <c r="G477" t="str">
        <f>IF(INDEX(tblCleanData[YearsAtCompany],469)&lt;=2,"0-2 Years",IF(INDEX(tblCleanData[YearsAtCompany],469)&lt;=5,"3-5 Years",IF(INDEX(tblCleanData[YearsAtCompany],469)&lt;=10,"6-10 Years","10+ Years")))</f>
        <v>6-10 Years</v>
      </c>
      <c r="H477" t="str">
        <f>IF(INDEX(tblCleanData[WorkLifeBalance],469)&lt;=2,"Elevated","Normal")</f>
        <v>Normal</v>
      </c>
      <c r="I477">
        <f>IF(INDEX(tblCleanData[Age],469)&lt;30,30,IF(INDEX(tblCleanData[Age],469)&lt;40,20,IF(INDEX(tblCleanData[Age],469)&lt;50,10,15)))</f>
        <v>15</v>
      </c>
      <c r="J477">
        <f>IF(INDEX(tblCleanData[MonthlyIncome],469)&lt;=$B$3,25,IF(INDEX(tblCleanData[MonthlyIncome],469)&lt;=$B$4,12,5))</f>
        <v>5</v>
      </c>
      <c r="K477">
        <f>IF(INDEX(tblCleanData[OverTime],469)="Yes",25,0)</f>
        <v>25</v>
      </c>
      <c r="L477">
        <f>(5-INDEX(tblCleanData[JobSatisfaction],469))*6.25</f>
        <v>25</v>
      </c>
      <c r="M477">
        <f>IF(INDEX(tblCleanData[YearsAtCompany],469)&lt;=2,25,IF(INDEX(tblCleanData[YearsAtCompany],469)&lt;=5,15,IF(INDEX(tblCleanData[YearsAtCompany],469)&lt;=10,8,3)))</f>
        <v>8</v>
      </c>
      <c r="N477">
        <f t="shared" si="14"/>
        <v>78</v>
      </c>
      <c r="O477" t="str">
        <f t="shared" si="15"/>
        <v>High Risk</v>
      </c>
    </row>
    <row r="478" spans="1:15" x14ac:dyDescent="0.25">
      <c r="A478">
        <f>INDEX(tblCleanData[EmployeeNumber],470)</f>
        <v>631</v>
      </c>
      <c r="B478" t="str">
        <f>IF(INDEX(tblCleanData[Age],470)&lt;30,"Under 30",IF(INDEX(tblCleanData[Age],470)&lt;40,"30-39",IF(INDEX(tblCleanData[Age],470)&lt;50,"40-49","50+")))</f>
        <v>30-39</v>
      </c>
      <c r="C478" t="str">
        <f>IF(INDEX(tblCleanData[MonthlyIncome],470)&lt;=$B$3,"Low Income",IF(INDEX(tblCleanData[MonthlyIncome],470)&lt;=$B$4,"Medium Income","High Income"))</f>
        <v>High Income</v>
      </c>
      <c r="D478">
        <f>IF(INDEX(tblCleanData[Attrition],470)="Yes",1,0)</f>
        <v>1</v>
      </c>
      <c r="E478">
        <f>IF(INDEX(tblCleanData[OverTime],470)="Yes",1,0)</f>
        <v>0</v>
      </c>
      <c r="F478" t="str">
        <f>CHOOSE(INDEX(tblCleanData[Education],470),"Below College","College","Bachelor","Master","Doctor")</f>
        <v>Master</v>
      </c>
      <c r="G478" t="str">
        <f>IF(INDEX(tblCleanData[YearsAtCompany],470)&lt;=2,"0-2 Years",IF(INDEX(tblCleanData[YearsAtCompany],470)&lt;=5,"3-5 Years",IF(INDEX(tblCleanData[YearsAtCompany],470)&lt;=10,"6-10 Years","10+ Years")))</f>
        <v>3-5 Years</v>
      </c>
      <c r="H478" t="str">
        <f>IF(INDEX(tblCleanData[WorkLifeBalance],470)&lt;=2,"Elevated","Normal")</f>
        <v>Normal</v>
      </c>
      <c r="I478">
        <f>IF(INDEX(tblCleanData[Age],470)&lt;30,30,IF(INDEX(tblCleanData[Age],470)&lt;40,20,IF(INDEX(tblCleanData[Age],470)&lt;50,10,15)))</f>
        <v>20</v>
      </c>
      <c r="J478">
        <f>IF(INDEX(tblCleanData[MonthlyIncome],470)&lt;=$B$3,25,IF(INDEX(tblCleanData[MonthlyIncome],470)&lt;=$B$4,12,5))</f>
        <v>5</v>
      </c>
      <c r="K478">
        <f>IF(INDEX(tblCleanData[OverTime],470)="Yes",25,0)</f>
        <v>0</v>
      </c>
      <c r="L478">
        <f>(5-INDEX(tblCleanData[JobSatisfaction],470))*6.25</f>
        <v>12.5</v>
      </c>
      <c r="M478">
        <f>IF(INDEX(tblCleanData[YearsAtCompany],470)&lt;=2,25,IF(INDEX(tblCleanData[YearsAtCompany],470)&lt;=5,15,IF(INDEX(tblCleanData[YearsAtCompany],470)&lt;=10,8,3)))</f>
        <v>15</v>
      </c>
      <c r="N478">
        <f t="shared" si="14"/>
        <v>53</v>
      </c>
      <c r="O478" t="str">
        <f t="shared" si="15"/>
        <v>Medium Risk</v>
      </c>
    </row>
    <row r="479" spans="1:15" x14ac:dyDescent="0.25">
      <c r="A479">
        <f>INDEX(tblCleanData[EmployeeNumber],471)</f>
        <v>632</v>
      </c>
      <c r="B479" t="str">
        <f>IF(INDEX(tblCleanData[Age],471)&lt;30,"Under 30",IF(INDEX(tblCleanData[Age],471)&lt;40,"30-39",IF(INDEX(tblCleanData[Age],471)&lt;50,"40-49","50+")))</f>
        <v>Under 30</v>
      </c>
      <c r="C479" t="str">
        <f>IF(INDEX(tblCleanData[MonthlyIncome],471)&lt;=$B$3,"Low Income",IF(INDEX(tblCleanData[MonthlyIncome],471)&lt;=$B$4,"Medium Income","High Income"))</f>
        <v>High Income</v>
      </c>
      <c r="D479">
        <f>IF(INDEX(tblCleanData[Attrition],471)="Yes",1,0)</f>
        <v>0</v>
      </c>
      <c r="E479">
        <f>IF(INDEX(tblCleanData[OverTime],471)="Yes",1,0)</f>
        <v>0</v>
      </c>
      <c r="F479" t="str">
        <f>CHOOSE(INDEX(tblCleanData[Education],471),"Below College","College","Bachelor","Master","Doctor")</f>
        <v>Bachelor</v>
      </c>
      <c r="G479" t="str">
        <f>IF(INDEX(tblCleanData[YearsAtCompany],471)&lt;=2,"0-2 Years",IF(INDEX(tblCleanData[YearsAtCompany],471)&lt;=5,"3-5 Years",IF(INDEX(tblCleanData[YearsAtCompany],471)&lt;=10,"6-10 Years","10+ Years")))</f>
        <v>0-2 Years</v>
      </c>
      <c r="H479" t="str">
        <f>IF(INDEX(tblCleanData[WorkLifeBalance],471)&lt;=2,"Elevated","Normal")</f>
        <v>Normal</v>
      </c>
      <c r="I479">
        <f>IF(INDEX(tblCleanData[Age],471)&lt;30,30,IF(INDEX(tblCleanData[Age],471)&lt;40,20,IF(INDEX(tblCleanData[Age],471)&lt;50,10,15)))</f>
        <v>30</v>
      </c>
      <c r="J479">
        <f>IF(INDEX(tblCleanData[MonthlyIncome],471)&lt;=$B$3,25,IF(INDEX(tblCleanData[MonthlyIncome],471)&lt;=$B$4,12,5))</f>
        <v>5</v>
      </c>
      <c r="K479">
        <f>IF(INDEX(tblCleanData[OverTime],471)="Yes",25,0)</f>
        <v>0</v>
      </c>
      <c r="L479">
        <f>(5-INDEX(tblCleanData[JobSatisfaction],471))*6.25</f>
        <v>6.25</v>
      </c>
      <c r="M479">
        <f>IF(INDEX(tblCleanData[YearsAtCompany],471)&lt;=2,25,IF(INDEX(tblCleanData[YearsAtCompany],471)&lt;=5,15,IF(INDEX(tblCleanData[YearsAtCompany],471)&lt;=10,8,3)))</f>
        <v>25</v>
      </c>
      <c r="N479">
        <f t="shared" si="14"/>
        <v>66</v>
      </c>
      <c r="O479" t="str">
        <f t="shared" si="15"/>
        <v>High Risk</v>
      </c>
    </row>
    <row r="480" spans="1:15" x14ac:dyDescent="0.25">
      <c r="A480">
        <f>INDEX(tblCleanData[EmployeeNumber],472)</f>
        <v>634</v>
      </c>
      <c r="B480" t="str">
        <f>IF(INDEX(tblCleanData[Age],472)&lt;30,"Under 30",IF(INDEX(tblCleanData[Age],472)&lt;40,"30-39",IF(INDEX(tblCleanData[Age],472)&lt;50,"40-49","50+")))</f>
        <v>30-39</v>
      </c>
      <c r="C480" t="str">
        <f>IF(INDEX(tblCleanData[MonthlyIncome],472)&lt;=$B$3,"Low Income",IF(INDEX(tblCleanData[MonthlyIncome],472)&lt;=$B$4,"Medium Income","High Income"))</f>
        <v>High Income</v>
      </c>
      <c r="D480">
        <f>IF(INDEX(tblCleanData[Attrition],472)="Yes",1,0)</f>
        <v>0</v>
      </c>
      <c r="E480">
        <f>IF(INDEX(tblCleanData[OverTime],472)="Yes",1,0)</f>
        <v>0</v>
      </c>
      <c r="F480" t="str">
        <f>CHOOSE(INDEX(tblCleanData[Education],472),"Below College","College","Bachelor","Master","Doctor")</f>
        <v>Bachelor</v>
      </c>
      <c r="G480" t="str">
        <f>IF(INDEX(tblCleanData[YearsAtCompany],472)&lt;=2,"0-2 Years",IF(INDEX(tblCleanData[YearsAtCompany],472)&lt;=5,"3-5 Years",IF(INDEX(tblCleanData[YearsAtCompany],472)&lt;=10,"6-10 Years","10+ Years")))</f>
        <v>0-2 Years</v>
      </c>
      <c r="H480" t="str">
        <f>IF(INDEX(tblCleanData[WorkLifeBalance],472)&lt;=2,"Elevated","Normal")</f>
        <v>Normal</v>
      </c>
      <c r="I480">
        <f>IF(INDEX(tblCleanData[Age],472)&lt;30,30,IF(INDEX(tblCleanData[Age],472)&lt;40,20,IF(INDEX(tblCleanData[Age],472)&lt;50,10,15)))</f>
        <v>20</v>
      </c>
      <c r="J480">
        <f>IF(INDEX(tblCleanData[MonthlyIncome],472)&lt;=$B$3,25,IF(INDEX(tblCleanData[MonthlyIncome],472)&lt;=$B$4,12,5))</f>
        <v>5</v>
      </c>
      <c r="K480">
        <f>IF(INDEX(tblCleanData[OverTime],472)="Yes",25,0)</f>
        <v>0</v>
      </c>
      <c r="L480">
        <f>(5-INDEX(tblCleanData[JobSatisfaction],472))*6.25</f>
        <v>12.5</v>
      </c>
      <c r="M480">
        <f>IF(INDEX(tblCleanData[YearsAtCompany],472)&lt;=2,25,IF(INDEX(tblCleanData[YearsAtCompany],472)&lt;=5,15,IF(INDEX(tblCleanData[YearsAtCompany],472)&lt;=10,8,3)))</f>
        <v>25</v>
      </c>
      <c r="N480">
        <f t="shared" si="14"/>
        <v>63</v>
      </c>
      <c r="O480" t="str">
        <f t="shared" si="15"/>
        <v>High Risk</v>
      </c>
    </row>
    <row r="481" spans="1:15" x14ac:dyDescent="0.25">
      <c r="A481">
        <f>INDEX(tblCleanData[EmployeeNumber],473)</f>
        <v>635</v>
      </c>
      <c r="B481" t="str">
        <f>IF(INDEX(tblCleanData[Age],473)&lt;30,"Under 30",IF(INDEX(tblCleanData[Age],473)&lt;40,"30-39",IF(INDEX(tblCleanData[Age],473)&lt;50,"40-49","50+")))</f>
        <v>30-39</v>
      </c>
      <c r="C481" t="str">
        <f>IF(INDEX(tblCleanData[MonthlyIncome],473)&lt;=$B$3,"Low Income",IF(INDEX(tblCleanData[MonthlyIncome],473)&lt;=$B$4,"Medium Income","High Income"))</f>
        <v>High Income</v>
      </c>
      <c r="D481">
        <f>IF(INDEX(tblCleanData[Attrition],473)="Yes",1,0)</f>
        <v>0</v>
      </c>
      <c r="E481">
        <f>IF(INDEX(tblCleanData[OverTime],473)="Yes",1,0)</f>
        <v>0</v>
      </c>
      <c r="F481" t="str">
        <f>CHOOSE(INDEX(tblCleanData[Education],473),"Below College","College","Bachelor","Master","Doctor")</f>
        <v>Master</v>
      </c>
      <c r="G481" t="str">
        <f>IF(INDEX(tblCleanData[YearsAtCompany],473)&lt;=2,"0-2 Years",IF(INDEX(tblCleanData[YearsAtCompany],473)&lt;=5,"3-5 Years",IF(INDEX(tblCleanData[YearsAtCompany],473)&lt;=10,"6-10 Years","10+ Years")))</f>
        <v>6-10 Years</v>
      </c>
      <c r="H481" t="str">
        <f>IF(INDEX(tblCleanData[WorkLifeBalance],473)&lt;=2,"Elevated","Normal")</f>
        <v>Elevated</v>
      </c>
      <c r="I481">
        <f>IF(INDEX(tblCleanData[Age],473)&lt;30,30,IF(INDEX(tblCleanData[Age],473)&lt;40,20,IF(INDEX(tblCleanData[Age],473)&lt;50,10,15)))</f>
        <v>20</v>
      </c>
      <c r="J481">
        <f>IF(INDEX(tblCleanData[MonthlyIncome],473)&lt;=$B$3,25,IF(INDEX(tblCleanData[MonthlyIncome],473)&lt;=$B$4,12,5))</f>
        <v>5</v>
      </c>
      <c r="K481">
        <f>IF(INDEX(tblCleanData[OverTime],473)="Yes",25,0)</f>
        <v>0</v>
      </c>
      <c r="L481">
        <f>(5-INDEX(tblCleanData[JobSatisfaction],473))*6.25</f>
        <v>18.75</v>
      </c>
      <c r="M481">
        <f>IF(INDEX(tblCleanData[YearsAtCompany],473)&lt;=2,25,IF(INDEX(tblCleanData[YearsAtCompany],473)&lt;=5,15,IF(INDEX(tblCleanData[YearsAtCompany],473)&lt;=10,8,3)))</f>
        <v>8</v>
      </c>
      <c r="N481">
        <f t="shared" si="14"/>
        <v>52</v>
      </c>
      <c r="O481" t="str">
        <f t="shared" si="15"/>
        <v>Medium Risk</v>
      </c>
    </row>
    <row r="482" spans="1:15" x14ac:dyDescent="0.25">
      <c r="A482">
        <f>INDEX(tblCleanData[EmployeeNumber],474)</f>
        <v>638</v>
      </c>
      <c r="B482" t="str">
        <f>IF(INDEX(tblCleanData[Age],474)&lt;30,"Under 30",IF(INDEX(tblCleanData[Age],474)&lt;40,"30-39",IF(INDEX(tblCleanData[Age],474)&lt;50,"40-49","50+")))</f>
        <v>40-49</v>
      </c>
      <c r="C482" t="str">
        <f>IF(INDEX(tblCleanData[MonthlyIncome],474)&lt;=$B$3,"Low Income",IF(INDEX(tblCleanData[MonthlyIncome],474)&lt;=$B$4,"Medium Income","High Income"))</f>
        <v>High Income</v>
      </c>
      <c r="D482">
        <f>IF(INDEX(tblCleanData[Attrition],474)="Yes",1,0)</f>
        <v>0</v>
      </c>
      <c r="E482">
        <f>IF(INDEX(tblCleanData[OverTime],474)="Yes",1,0)</f>
        <v>1</v>
      </c>
      <c r="F482" t="str">
        <f>CHOOSE(INDEX(tblCleanData[Education],474),"Below College","College","Bachelor","Master","Doctor")</f>
        <v>Master</v>
      </c>
      <c r="G482" t="str">
        <f>IF(INDEX(tblCleanData[YearsAtCompany],474)&lt;=2,"0-2 Years",IF(INDEX(tblCleanData[YearsAtCompany],474)&lt;=5,"3-5 Years",IF(INDEX(tblCleanData[YearsAtCompany],474)&lt;=10,"6-10 Years","10+ Years")))</f>
        <v>10+ Years</v>
      </c>
      <c r="H482" t="str">
        <f>IF(INDEX(tblCleanData[WorkLifeBalance],474)&lt;=2,"Elevated","Normal")</f>
        <v>Normal</v>
      </c>
      <c r="I482">
        <f>IF(INDEX(tblCleanData[Age],474)&lt;30,30,IF(INDEX(tblCleanData[Age],474)&lt;40,20,IF(INDEX(tblCleanData[Age],474)&lt;50,10,15)))</f>
        <v>10</v>
      </c>
      <c r="J482">
        <f>IF(INDEX(tblCleanData[MonthlyIncome],474)&lt;=$B$3,25,IF(INDEX(tblCleanData[MonthlyIncome],474)&lt;=$B$4,12,5))</f>
        <v>5</v>
      </c>
      <c r="K482">
        <f>IF(INDEX(tblCleanData[OverTime],474)="Yes",25,0)</f>
        <v>25</v>
      </c>
      <c r="L482">
        <f>(5-INDEX(tblCleanData[JobSatisfaction],474))*6.25</f>
        <v>12.5</v>
      </c>
      <c r="M482">
        <f>IF(INDEX(tblCleanData[YearsAtCompany],474)&lt;=2,25,IF(INDEX(tblCleanData[YearsAtCompany],474)&lt;=5,15,IF(INDEX(tblCleanData[YearsAtCompany],474)&lt;=10,8,3)))</f>
        <v>3</v>
      </c>
      <c r="N482">
        <f t="shared" si="14"/>
        <v>56</v>
      </c>
      <c r="O482" t="str">
        <f t="shared" si="15"/>
        <v>High Risk</v>
      </c>
    </row>
    <row r="483" spans="1:15" x14ac:dyDescent="0.25">
      <c r="A483">
        <f>INDEX(tblCleanData[EmployeeNumber],475)</f>
        <v>639</v>
      </c>
      <c r="B483" t="str">
        <f>IF(INDEX(tblCleanData[Age],475)&lt;30,"Under 30",IF(INDEX(tblCleanData[Age],475)&lt;40,"30-39",IF(INDEX(tblCleanData[Age],475)&lt;50,"40-49","50+")))</f>
        <v>Under 30</v>
      </c>
      <c r="C483" t="str">
        <f>IF(INDEX(tblCleanData[MonthlyIncome],475)&lt;=$B$3,"Low Income",IF(INDEX(tblCleanData[MonthlyIncome],475)&lt;=$B$4,"Medium Income","High Income"))</f>
        <v>High Income</v>
      </c>
      <c r="D483">
        <f>IF(INDEX(tblCleanData[Attrition],475)="Yes",1,0)</f>
        <v>0</v>
      </c>
      <c r="E483">
        <f>IF(INDEX(tblCleanData[OverTime],475)="Yes",1,0)</f>
        <v>1</v>
      </c>
      <c r="F483" t="str">
        <f>CHOOSE(INDEX(tblCleanData[Education],475),"Below College","College","Bachelor","Master","Doctor")</f>
        <v>Bachelor</v>
      </c>
      <c r="G483" t="str">
        <f>IF(INDEX(tblCleanData[YearsAtCompany],475)&lt;=2,"0-2 Years",IF(INDEX(tblCleanData[YearsAtCompany],475)&lt;=5,"3-5 Years",IF(INDEX(tblCleanData[YearsAtCompany],475)&lt;=10,"6-10 Years","10+ Years")))</f>
        <v>6-10 Years</v>
      </c>
      <c r="H483" t="str">
        <f>IF(INDEX(tblCleanData[WorkLifeBalance],475)&lt;=2,"Elevated","Normal")</f>
        <v>Normal</v>
      </c>
      <c r="I483">
        <f>IF(INDEX(tblCleanData[Age],475)&lt;30,30,IF(INDEX(tblCleanData[Age],475)&lt;40,20,IF(INDEX(tblCleanData[Age],475)&lt;50,10,15)))</f>
        <v>30</v>
      </c>
      <c r="J483">
        <f>IF(INDEX(tblCleanData[MonthlyIncome],475)&lt;=$B$3,25,IF(INDEX(tblCleanData[MonthlyIncome],475)&lt;=$B$4,12,5))</f>
        <v>5</v>
      </c>
      <c r="K483">
        <f>IF(INDEX(tblCleanData[OverTime],475)="Yes",25,0)</f>
        <v>25</v>
      </c>
      <c r="L483">
        <f>(5-INDEX(tblCleanData[JobSatisfaction],475))*6.25</f>
        <v>6.25</v>
      </c>
      <c r="M483">
        <f>IF(INDEX(tblCleanData[YearsAtCompany],475)&lt;=2,25,IF(INDEX(tblCleanData[YearsAtCompany],475)&lt;=5,15,IF(INDEX(tblCleanData[YearsAtCompany],475)&lt;=10,8,3)))</f>
        <v>8</v>
      </c>
      <c r="N483">
        <f t="shared" si="14"/>
        <v>74</v>
      </c>
      <c r="O483" t="str">
        <f t="shared" si="15"/>
        <v>High Risk</v>
      </c>
    </row>
    <row r="484" spans="1:15" x14ac:dyDescent="0.25">
      <c r="A484">
        <f>INDEX(tblCleanData[EmployeeNumber],476)</f>
        <v>641</v>
      </c>
      <c r="B484" t="str">
        <f>IF(INDEX(tblCleanData[Age],476)&lt;30,"Under 30",IF(INDEX(tblCleanData[Age],476)&lt;40,"30-39",IF(INDEX(tblCleanData[Age],476)&lt;50,"40-49","50+")))</f>
        <v>Under 30</v>
      </c>
      <c r="C484" t="str">
        <f>IF(INDEX(tblCleanData[MonthlyIncome],476)&lt;=$B$3,"Low Income",IF(INDEX(tblCleanData[MonthlyIncome],476)&lt;=$B$4,"Medium Income","High Income"))</f>
        <v>High Income</v>
      </c>
      <c r="D484">
        <f>IF(INDEX(tblCleanData[Attrition],476)="Yes",1,0)</f>
        <v>0</v>
      </c>
      <c r="E484">
        <f>IF(INDEX(tblCleanData[OverTime],476)="Yes",1,0)</f>
        <v>0</v>
      </c>
      <c r="F484" t="str">
        <f>CHOOSE(INDEX(tblCleanData[Education],476),"Below College","College","Bachelor","Master","Doctor")</f>
        <v>College</v>
      </c>
      <c r="G484" t="str">
        <f>IF(INDEX(tblCleanData[YearsAtCompany],476)&lt;=2,"0-2 Years",IF(INDEX(tblCleanData[YearsAtCompany],476)&lt;=5,"3-5 Years",IF(INDEX(tblCleanData[YearsAtCompany],476)&lt;=10,"6-10 Years","10+ Years")))</f>
        <v>3-5 Years</v>
      </c>
      <c r="H484" t="str">
        <f>IF(INDEX(tblCleanData[WorkLifeBalance],476)&lt;=2,"Elevated","Normal")</f>
        <v>Normal</v>
      </c>
      <c r="I484">
        <f>IF(INDEX(tblCleanData[Age],476)&lt;30,30,IF(INDEX(tblCleanData[Age],476)&lt;40,20,IF(INDEX(tblCleanData[Age],476)&lt;50,10,15)))</f>
        <v>30</v>
      </c>
      <c r="J484">
        <f>IF(INDEX(tblCleanData[MonthlyIncome],476)&lt;=$B$3,25,IF(INDEX(tblCleanData[MonthlyIncome],476)&lt;=$B$4,12,5))</f>
        <v>5</v>
      </c>
      <c r="K484">
        <f>IF(INDEX(tblCleanData[OverTime],476)="Yes",25,0)</f>
        <v>0</v>
      </c>
      <c r="L484">
        <f>(5-INDEX(tblCleanData[JobSatisfaction],476))*6.25</f>
        <v>18.75</v>
      </c>
      <c r="M484">
        <f>IF(INDEX(tblCleanData[YearsAtCompany],476)&lt;=2,25,IF(INDEX(tblCleanData[YearsAtCompany],476)&lt;=5,15,IF(INDEX(tblCleanData[YearsAtCompany],476)&lt;=10,8,3)))</f>
        <v>15</v>
      </c>
      <c r="N484">
        <f t="shared" si="14"/>
        <v>69</v>
      </c>
      <c r="O484" t="str">
        <f t="shared" si="15"/>
        <v>High Risk</v>
      </c>
    </row>
    <row r="485" spans="1:15" x14ac:dyDescent="0.25">
      <c r="A485">
        <f>INDEX(tblCleanData[EmployeeNumber],477)</f>
        <v>643</v>
      </c>
      <c r="B485" t="str">
        <f>IF(INDEX(tblCleanData[Age],477)&lt;30,"Under 30",IF(INDEX(tblCleanData[Age],477)&lt;40,"30-39",IF(INDEX(tblCleanData[Age],477)&lt;50,"40-49","50+")))</f>
        <v>Under 30</v>
      </c>
      <c r="C485" t="str">
        <f>IF(INDEX(tblCleanData[MonthlyIncome],477)&lt;=$B$3,"Low Income",IF(INDEX(tblCleanData[MonthlyIncome],477)&lt;=$B$4,"Medium Income","High Income"))</f>
        <v>High Income</v>
      </c>
      <c r="D485">
        <f>IF(INDEX(tblCleanData[Attrition],477)="Yes",1,0)</f>
        <v>0</v>
      </c>
      <c r="E485">
        <f>IF(INDEX(tblCleanData[OverTime],477)="Yes",1,0)</f>
        <v>0</v>
      </c>
      <c r="F485" t="str">
        <f>CHOOSE(INDEX(tblCleanData[Education],477),"Below College","College","Bachelor","Master","Doctor")</f>
        <v>College</v>
      </c>
      <c r="G485" t="str">
        <f>IF(INDEX(tblCleanData[YearsAtCompany],477)&lt;=2,"0-2 Years",IF(INDEX(tblCleanData[YearsAtCompany],477)&lt;=5,"3-5 Years",IF(INDEX(tblCleanData[YearsAtCompany],477)&lt;=10,"6-10 Years","10+ Years")))</f>
        <v>0-2 Years</v>
      </c>
      <c r="H485" t="str">
        <f>IF(INDEX(tblCleanData[WorkLifeBalance],477)&lt;=2,"Elevated","Normal")</f>
        <v>Normal</v>
      </c>
      <c r="I485">
        <f>IF(INDEX(tblCleanData[Age],477)&lt;30,30,IF(INDEX(tblCleanData[Age],477)&lt;40,20,IF(INDEX(tblCleanData[Age],477)&lt;50,10,15)))</f>
        <v>30</v>
      </c>
      <c r="J485">
        <f>IF(INDEX(tblCleanData[MonthlyIncome],477)&lt;=$B$3,25,IF(INDEX(tblCleanData[MonthlyIncome],477)&lt;=$B$4,12,5))</f>
        <v>5</v>
      </c>
      <c r="K485">
        <f>IF(INDEX(tblCleanData[OverTime],477)="Yes",25,0)</f>
        <v>0</v>
      </c>
      <c r="L485">
        <f>(5-INDEX(tblCleanData[JobSatisfaction],477))*6.25</f>
        <v>18.75</v>
      </c>
      <c r="M485">
        <f>IF(INDEX(tblCleanData[YearsAtCompany],477)&lt;=2,25,IF(INDEX(tblCleanData[YearsAtCompany],477)&lt;=5,15,IF(INDEX(tblCleanData[YearsAtCompany],477)&lt;=10,8,3)))</f>
        <v>25</v>
      </c>
      <c r="N485">
        <f t="shared" si="14"/>
        <v>79</v>
      </c>
      <c r="O485" t="str">
        <f t="shared" si="15"/>
        <v>High Risk</v>
      </c>
    </row>
    <row r="486" spans="1:15" x14ac:dyDescent="0.25">
      <c r="A486">
        <f>INDEX(tblCleanData[EmployeeNumber],478)</f>
        <v>644</v>
      </c>
      <c r="B486" t="str">
        <f>IF(INDEX(tblCleanData[Age],478)&lt;30,"Under 30",IF(INDEX(tblCleanData[Age],478)&lt;40,"30-39",IF(INDEX(tblCleanData[Age],478)&lt;50,"40-49","50+")))</f>
        <v>50+</v>
      </c>
      <c r="C486" t="str">
        <f>IF(INDEX(tblCleanData[MonthlyIncome],478)&lt;=$B$3,"Low Income",IF(INDEX(tblCleanData[MonthlyIncome],478)&lt;=$B$4,"Medium Income","High Income"))</f>
        <v>High Income</v>
      </c>
      <c r="D486">
        <f>IF(INDEX(tblCleanData[Attrition],478)="Yes",1,0)</f>
        <v>0</v>
      </c>
      <c r="E486">
        <f>IF(INDEX(tblCleanData[OverTime],478)="Yes",1,0)</f>
        <v>0</v>
      </c>
      <c r="F486" t="str">
        <f>CHOOSE(INDEX(tblCleanData[Education],478),"Below College","College","Bachelor","Master","Doctor")</f>
        <v>Bachelor</v>
      </c>
      <c r="G486" t="str">
        <f>IF(INDEX(tblCleanData[YearsAtCompany],478)&lt;=2,"0-2 Years",IF(INDEX(tblCleanData[YearsAtCompany],478)&lt;=5,"3-5 Years",IF(INDEX(tblCleanData[YearsAtCompany],478)&lt;=10,"6-10 Years","10+ Years")))</f>
        <v>10+ Years</v>
      </c>
      <c r="H486" t="str">
        <f>IF(INDEX(tblCleanData[WorkLifeBalance],478)&lt;=2,"Elevated","Normal")</f>
        <v>Normal</v>
      </c>
      <c r="I486">
        <f>IF(INDEX(tblCleanData[Age],478)&lt;30,30,IF(INDEX(tblCleanData[Age],478)&lt;40,20,IF(INDEX(tblCleanData[Age],478)&lt;50,10,15)))</f>
        <v>15</v>
      </c>
      <c r="J486">
        <f>IF(INDEX(tblCleanData[MonthlyIncome],478)&lt;=$B$3,25,IF(INDEX(tblCleanData[MonthlyIncome],478)&lt;=$B$4,12,5))</f>
        <v>5</v>
      </c>
      <c r="K486">
        <f>IF(INDEX(tblCleanData[OverTime],478)="Yes",25,0)</f>
        <v>0</v>
      </c>
      <c r="L486">
        <f>(5-INDEX(tblCleanData[JobSatisfaction],478))*6.25</f>
        <v>18.75</v>
      </c>
      <c r="M486">
        <f>IF(INDEX(tblCleanData[YearsAtCompany],478)&lt;=2,25,IF(INDEX(tblCleanData[YearsAtCompany],478)&lt;=5,15,IF(INDEX(tblCleanData[YearsAtCompany],478)&lt;=10,8,3)))</f>
        <v>3</v>
      </c>
      <c r="N486">
        <f t="shared" si="14"/>
        <v>42</v>
      </c>
      <c r="O486" t="str">
        <f t="shared" si="15"/>
        <v>Medium Risk</v>
      </c>
    </row>
    <row r="487" spans="1:15" x14ac:dyDescent="0.25">
      <c r="A487">
        <f>INDEX(tblCleanData[EmployeeNumber],479)</f>
        <v>645</v>
      </c>
      <c r="B487" t="str">
        <f>IF(INDEX(tblCleanData[Age],479)&lt;30,"Under 30",IF(INDEX(tblCleanData[Age],479)&lt;40,"30-39",IF(INDEX(tblCleanData[Age],479)&lt;50,"40-49","50+")))</f>
        <v>Under 30</v>
      </c>
      <c r="C487" t="str">
        <f>IF(INDEX(tblCleanData[MonthlyIncome],479)&lt;=$B$3,"Low Income",IF(INDEX(tblCleanData[MonthlyIncome],479)&lt;=$B$4,"Medium Income","High Income"))</f>
        <v>High Income</v>
      </c>
      <c r="D487">
        <f>IF(INDEX(tblCleanData[Attrition],479)="Yes",1,0)</f>
        <v>0</v>
      </c>
      <c r="E487">
        <f>IF(INDEX(tblCleanData[OverTime],479)="Yes",1,0)</f>
        <v>0</v>
      </c>
      <c r="F487" t="str">
        <f>CHOOSE(INDEX(tblCleanData[Education],479),"Below College","College","Bachelor","Master","Doctor")</f>
        <v>Below College</v>
      </c>
      <c r="G487" t="str">
        <f>IF(INDEX(tblCleanData[YearsAtCompany],479)&lt;=2,"0-2 Years",IF(INDEX(tblCleanData[YearsAtCompany],479)&lt;=5,"3-5 Years",IF(INDEX(tblCleanData[YearsAtCompany],479)&lt;=10,"6-10 Years","10+ Years")))</f>
        <v>6-10 Years</v>
      </c>
      <c r="H487" t="str">
        <f>IF(INDEX(tblCleanData[WorkLifeBalance],479)&lt;=2,"Elevated","Normal")</f>
        <v>Normal</v>
      </c>
      <c r="I487">
        <f>IF(INDEX(tblCleanData[Age],479)&lt;30,30,IF(INDEX(tblCleanData[Age],479)&lt;40,20,IF(INDEX(tblCleanData[Age],479)&lt;50,10,15)))</f>
        <v>30</v>
      </c>
      <c r="J487">
        <f>IF(INDEX(tblCleanData[MonthlyIncome],479)&lt;=$B$3,25,IF(INDEX(tblCleanData[MonthlyIncome],479)&lt;=$B$4,12,5))</f>
        <v>5</v>
      </c>
      <c r="K487">
        <f>IF(INDEX(tblCleanData[OverTime],479)="Yes",25,0)</f>
        <v>0</v>
      </c>
      <c r="L487">
        <f>(5-INDEX(tblCleanData[JobSatisfaction],479))*6.25</f>
        <v>12.5</v>
      </c>
      <c r="M487">
        <f>IF(INDEX(tblCleanData[YearsAtCompany],479)&lt;=2,25,IF(INDEX(tblCleanData[YearsAtCompany],479)&lt;=5,15,IF(INDEX(tblCleanData[YearsAtCompany],479)&lt;=10,8,3)))</f>
        <v>8</v>
      </c>
      <c r="N487">
        <f t="shared" si="14"/>
        <v>56</v>
      </c>
      <c r="O487" t="str">
        <f t="shared" si="15"/>
        <v>High Risk</v>
      </c>
    </row>
    <row r="488" spans="1:15" x14ac:dyDescent="0.25">
      <c r="A488">
        <f>INDEX(tblCleanData[EmployeeNumber],480)</f>
        <v>647</v>
      </c>
      <c r="B488" t="str">
        <f>IF(INDEX(tblCleanData[Age],480)&lt;30,"Under 30",IF(INDEX(tblCleanData[Age],480)&lt;40,"30-39",IF(INDEX(tblCleanData[Age],480)&lt;50,"40-49","50+")))</f>
        <v>Under 30</v>
      </c>
      <c r="C488" t="str">
        <f>IF(INDEX(tblCleanData[MonthlyIncome],480)&lt;=$B$3,"Low Income",IF(INDEX(tblCleanData[MonthlyIncome],480)&lt;=$B$4,"Medium Income","High Income"))</f>
        <v>High Income</v>
      </c>
      <c r="D488">
        <f>IF(INDEX(tblCleanData[Attrition],480)="Yes",1,0)</f>
        <v>1</v>
      </c>
      <c r="E488">
        <f>IF(INDEX(tblCleanData[OverTime],480)="Yes",1,0)</f>
        <v>1</v>
      </c>
      <c r="F488" t="str">
        <f>CHOOSE(INDEX(tblCleanData[Education],480),"Below College","College","Bachelor","Master","Doctor")</f>
        <v>Bachelor</v>
      </c>
      <c r="G488" t="str">
        <f>IF(INDEX(tblCleanData[YearsAtCompany],480)&lt;=2,"0-2 Years",IF(INDEX(tblCleanData[YearsAtCompany],480)&lt;=5,"3-5 Years",IF(INDEX(tblCleanData[YearsAtCompany],480)&lt;=10,"6-10 Years","10+ Years")))</f>
        <v>6-10 Years</v>
      </c>
      <c r="H488" t="str">
        <f>IF(INDEX(tblCleanData[WorkLifeBalance],480)&lt;=2,"Elevated","Normal")</f>
        <v>Normal</v>
      </c>
      <c r="I488">
        <f>IF(INDEX(tblCleanData[Age],480)&lt;30,30,IF(INDEX(tblCleanData[Age],480)&lt;40,20,IF(INDEX(tblCleanData[Age],480)&lt;50,10,15)))</f>
        <v>30</v>
      </c>
      <c r="J488">
        <f>IF(INDEX(tblCleanData[MonthlyIncome],480)&lt;=$B$3,25,IF(INDEX(tblCleanData[MonthlyIncome],480)&lt;=$B$4,12,5))</f>
        <v>5</v>
      </c>
      <c r="K488">
        <f>IF(INDEX(tblCleanData[OverTime],480)="Yes",25,0)</f>
        <v>25</v>
      </c>
      <c r="L488">
        <f>(5-INDEX(tblCleanData[JobSatisfaction],480))*6.25</f>
        <v>12.5</v>
      </c>
      <c r="M488">
        <f>IF(INDEX(tblCleanData[YearsAtCompany],480)&lt;=2,25,IF(INDEX(tblCleanData[YearsAtCompany],480)&lt;=5,15,IF(INDEX(tblCleanData[YearsAtCompany],480)&lt;=10,8,3)))</f>
        <v>8</v>
      </c>
      <c r="N488">
        <f t="shared" si="14"/>
        <v>81</v>
      </c>
      <c r="O488" t="str">
        <f t="shared" si="15"/>
        <v>High Risk</v>
      </c>
    </row>
    <row r="489" spans="1:15" x14ac:dyDescent="0.25">
      <c r="A489">
        <f>INDEX(tblCleanData[EmployeeNumber],481)</f>
        <v>648</v>
      </c>
      <c r="B489" t="str">
        <f>IF(INDEX(tblCleanData[Age],481)&lt;30,"Under 30",IF(INDEX(tblCleanData[Age],481)&lt;40,"30-39",IF(INDEX(tblCleanData[Age],481)&lt;50,"40-49","50+")))</f>
        <v>30-39</v>
      </c>
      <c r="C489" t="str">
        <f>IF(INDEX(tblCleanData[MonthlyIncome],481)&lt;=$B$3,"Low Income",IF(INDEX(tblCleanData[MonthlyIncome],481)&lt;=$B$4,"Medium Income","High Income"))</f>
        <v>High Income</v>
      </c>
      <c r="D489">
        <f>IF(INDEX(tblCleanData[Attrition],481)="Yes",1,0)</f>
        <v>1</v>
      </c>
      <c r="E489">
        <f>IF(INDEX(tblCleanData[OverTime],481)="Yes",1,0)</f>
        <v>0</v>
      </c>
      <c r="F489" t="str">
        <f>CHOOSE(INDEX(tblCleanData[Education],481),"Below College","College","Bachelor","Master","Doctor")</f>
        <v>Master</v>
      </c>
      <c r="G489" t="str">
        <f>IF(INDEX(tblCleanData[YearsAtCompany],481)&lt;=2,"0-2 Years",IF(INDEX(tblCleanData[YearsAtCompany],481)&lt;=5,"3-5 Years",IF(INDEX(tblCleanData[YearsAtCompany],481)&lt;=10,"6-10 Years","10+ Years")))</f>
        <v>0-2 Years</v>
      </c>
      <c r="H489" t="str">
        <f>IF(INDEX(tblCleanData[WorkLifeBalance],481)&lt;=2,"Elevated","Normal")</f>
        <v>Normal</v>
      </c>
      <c r="I489">
        <f>IF(INDEX(tblCleanData[Age],481)&lt;30,30,IF(INDEX(tblCleanData[Age],481)&lt;40,20,IF(INDEX(tblCleanData[Age],481)&lt;50,10,15)))</f>
        <v>20</v>
      </c>
      <c r="J489">
        <f>IF(INDEX(tblCleanData[MonthlyIncome],481)&lt;=$B$3,25,IF(INDEX(tblCleanData[MonthlyIncome],481)&lt;=$B$4,12,5))</f>
        <v>5</v>
      </c>
      <c r="K489">
        <f>IF(INDEX(tblCleanData[OverTime],481)="Yes",25,0)</f>
        <v>0</v>
      </c>
      <c r="L489">
        <f>(5-INDEX(tblCleanData[JobSatisfaction],481))*6.25</f>
        <v>25</v>
      </c>
      <c r="M489">
        <f>IF(INDEX(tblCleanData[YearsAtCompany],481)&lt;=2,25,IF(INDEX(tblCleanData[YearsAtCompany],481)&lt;=5,15,IF(INDEX(tblCleanData[YearsAtCompany],481)&lt;=10,8,3)))</f>
        <v>25</v>
      </c>
      <c r="N489">
        <f t="shared" si="14"/>
        <v>75</v>
      </c>
      <c r="O489" t="str">
        <f t="shared" si="15"/>
        <v>High Risk</v>
      </c>
    </row>
    <row r="490" spans="1:15" x14ac:dyDescent="0.25">
      <c r="A490">
        <f>INDEX(tblCleanData[EmployeeNumber],482)</f>
        <v>649</v>
      </c>
      <c r="B490" t="str">
        <f>IF(INDEX(tblCleanData[Age],482)&lt;30,"Under 30",IF(INDEX(tblCleanData[Age],482)&lt;40,"30-39",IF(INDEX(tblCleanData[Age],482)&lt;50,"40-49","50+")))</f>
        <v>30-39</v>
      </c>
      <c r="C490" t="str">
        <f>IF(INDEX(tblCleanData[MonthlyIncome],482)&lt;=$B$3,"Low Income",IF(INDEX(tblCleanData[MonthlyIncome],482)&lt;=$B$4,"Medium Income","High Income"))</f>
        <v>High Income</v>
      </c>
      <c r="D490">
        <f>IF(INDEX(tblCleanData[Attrition],482)="Yes",1,0)</f>
        <v>0</v>
      </c>
      <c r="E490">
        <f>IF(INDEX(tblCleanData[OverTime],482)="Yes",1,0)</f>
        <v>1</v>
      </c>
      <c r="F490" t="str">
        <f>CHOOSE(INDEX(tblCleanData[Education],482),"Below College","College","Bachelor","Master","Doctor")</f>
        <v>College</v>
      </c>
      <c r="G490" t="str">
        <f>IF(INDEX(tblCleanData[YearsAtCompany],482)&lt;=2,"0-2 Years",IF(INDEX(tblCleanData[YearsAtCompany],482)&lt;=5,"3-5 Years",IF(INDEX(tblCleanData[YearsAtCompany],482)&lt;=10,"6-10 Years","10+ Years")))</f>
        <v>6-10 Years</v>
      </c>
      <c r="H490" t="str">
        <f>IF(INDEX(tblCleanData[WorkLifeBalance],482)&lt;=2,"Elevated","Normal")</f>
        <v>Normal</v>
      </c>
      <c r="I490">
        <f>IF(INDEX(tblCleanData[Age],482)&lt;30,30,IF(INDEX(tblCleanData[Age],482)&lt;40,20,IF(INDEX(tblCleanData[Age],482)&lt;50,10,15)))</f>
        <v>20</v>
      </c>
      <c r="J490">
        <f>IF(INDEX(tblCleanData[MonthlyIncome],482)&lt;=$B$3,25,IF(INDEX(tblCleanData[MonthlyIncome],482)&lt;=$B$4,12,5))</f>
        <v>5</v>
      </c>
      <c r="K490">
        <f>IF(INDEX(tblCleanData[OverTime],482)="Yes",25,0)</f>
        <v>25</v>
      </c>
      <c r="L490">
        <f>(5-INDEX(tblCleanData[JobSatisfaction],482))*6.25</f>
        <v>6.25</v>
      </c>
      <c r="M490">
        <f>IF(INDEX(tblCleanData[YearsAtCompany],482)&lt;=2,25,IF(INDEX(tblCleanData[YearsAtCompany],482)&lt;=5,15,IF(INDEX(tblCleanData[YearsAtCompany],482)&lt;=10,8,3)))</f>
        <v>8</v>
      </c>
      <c r="N490">
        <f t="shared" si="14"/>
        <v>64</v>
      </c>
      <c r="O490" t="str">
        <f t="shared" si="15"/>
        <v>High Risk</v>
      </c>
    </row>
    <row r="491" spans="1:15" x14ac:dyDescent="0.25">
      <c r="A491">
        <f>INDEX(tblCleanData[EmployeeNumber],483)</f>
        <v>650</v>
      </c>
      <c r="B491" t="str">
        <f>IF(INDEX(tblCleanData[Age],483)&lt;30,"Under 30",IF(INDEX(tblCleanData[Age],483)&lt;40,"30-39",IF(INDEX(tblCleanData[Age],483)&lt;50,"40-49","50+")))</f>
        <v>30-39</v>
      </c>
      <c r="C491" t="str">
        <f>IF(INDEX(tblCleanData[MonthlyIncome],483)&lt;=$B$3,"Low Income",IF(INDEX(tblCleanData[MonthlyIncome],483)&lt;=$B$4,"Medium Income","High Income"))</f>
        <v>High Income</v>
      </c>
      <c r="D491">
        <f>IF(INDEX(tblCleanData[Attrition],483)="Yes",1,0)</f>
        <v>1</v>
      </c>
      <c r="E491">
        <f>IF(INDEX(tblCleanData[OverTime],483)="Yes",1,0)</f>
        <v>0</v>
      </c>
      <c r="F491" t="str">
        <f>CHOOSE(INDEX(tblCleanData[Education],483),"Below College","College","Bachelor","Master","Doctor")</f>
        <v>Master</v>
      </c>
      <c r="G491" t="str">
        <f>IF(INDEX(tblCleanData[YearsAtCompany],483)&lt;=2,"0-2 Years",IF(INDEX(tblCleanData[YearsAtCompany],483)&lt;=5,"3-5 Years",IF(INDEX(tblCleanData[YearsAtCompany],483)&lt;=10,"6-10 Years","10+ Years")))</f>
        <v>3-5 Years</v>
      </c>
      <c r="H491" t="str">
        <f>IF(INDEX(tblCleanData[WorkLifeBalance],483)&lt;=2,"Elevated","Normal")</f>
        <v>Elevated</v>
      </c>
      <c r="I491">
        <f>IF(INDEX(tblCleanData[Age],483)&lt;30,30,IF(INDEX(tblCleanData[Age],483)&lt;40,20,IF(INDEX(tblCleanData[Age],483)&lt;50,10,15)))</f>
        <v>20</v>
      </c>
      <c r="J491">
        <f>IF(INDEX(tblCleanData[MonthlyIncome],483)&lt;=$B$3,25,IF(INDEX(tblCleanData[MonthlyIncome],483)&lt;=$B$4,12,5))</f>
        <v>5</v>
      </c>
      <c r="K491">
        <f>IF(INDEX(tblCleanData[OverTime],483)="Yes",25,0)</f>
        <v>0</v>
      </c>
      <c r="L491">
        <f>(5-INDEX(tblCleanData[JobSatisfaction],483))*6.25</f>
        <v>25</v>
      </c>
      <c r="M491">
        <f>IF(INDEX(tblCleanData[YearsAtCompany],483)&lt;=2,25,IF(INDEX(tblCleanData[YearsAtCompany],483)&lt;=5,15,IF(INDEX(tblCleanData[YearsAtCompany],483)&lt;=10,8,3)))</f>
        <v>15</v>
      </c>
      <c r="N491">
        <f t="shared" si="14"/>
        <v>65</v>
      </c>
      <c r="O491" t="str">
        <f t="shared" si="15"/>
        <v>High Risk</v>
      </c>
    </row>
    <row r="492" spans="1:15" x14ac:dyDescent="0.25">
      <c r="A492">
        <f>INDEX(tblCleanData[EmployeeNumber],484)</f>
        <v>652</v>
      </c>
      <c r="B492" t="str">
        <f>IF(INDEX(tblCleanData[Age],484)&lt;30,"Under 30",IF(INDEX(tblCleanData[Age],484)&lt;40,"30-39",IF(INDEX(tblCleanData[Age],484)&lt;50,"40-49","50+")))</f>
        <v>30-39</v>
      </c>
      <c r="C492" t="str">
        <f>IF(INDEX(tblCleanData[MonthlyIncome],484)&lt;=$B$3,"Low Income",IF(INDEX(tblCleanData[MonthlyIncome],484)&lt;=$B$4,"Medium Income","High Income"))</f>
        <v>High Income</v>
      </c>
      <c r="D492">
        <f>IF(INDEX(tblCleanData[Attrition],484)="Yes",1,0)</f>
        <v>0</v>
      </c>
      <c r="E492">
        <f>IF(INDEX(tblCleanData[OverTime],484)="Yes",1,0)</f>
        <v>0</v>
      </c>
      <c r="F492" t="str">
        <f>CHOOSE(INDEX(tblCleanData[Education],484),"Below College","College","Bachelor","Master","Doctor")</f>
        <v>College</v>
      </c>
      <c r="G492" t="str">
        <f>IF(INDEX(tblCleanData[YearsAtCompany],484)&lt;=2,"0-2 Years",IF(INDEX(tblCleanData[YearsAtCompany],484)&lt;=5,"3-5 Years",IF(INDEX(tblCleanData[YearsAtCompany],484)&lt;=10,"6-10 Years","10+ Years")))</f>
        <v>3-5 Years</v>
      </c>
      <c r="H492" t="str">
        <f>IF(INDEX(tblCleanData[WorkLifeBalance],484)&lt;=2,"Elevated","Normal")</f>
        <v>Normal</v>
      </c>
      <c r="I492">
        <f>IF(INDEX(tblCleanData[Age],484)&lt;30,30,IF(INDEX(tblCleanData[Age],484)&lt;40,20,IF(INDEX(tblCleanData[Age],484)&lt;50,10,15)))</f>
        <v>20</v>
      </c>
      <c r="J492">
        <f>IF(INDEX(tblCleanData[MonthlyIncome],484)&lt;=$B$3,25,IF(INDEX(tblCleanData[MonthlyIncome],484)&lt;=$B$4,12,5))</f>
        <v>5</v>
      </c>
      <c r="K492">
        <f>IF(INDEX(tblCleanData[OverTime],484)="Yes",25,0)</f>
        <v>0</v>
      </c>
      <c r="L492">
        <f>(5-INDEX(tblCleanData[JobSatisfaction],484))*6.25</f>
        <v>6.25</v>
      </c>
      <c r="M492">
        <f>IF(INDEX(tblCleanData[YearsAtCompany],484)&lt;=2,25,IF(INDEX(tblCleanData[YearsAtCompany],484)&lt;=5,15,IF(INDEX(tblCleanData[YearsAtCompany],484)&lt;=10,8,3)))</f>
        <v>15</v>
      </c>
      <c r="N492">
        <f t="shared" si="14"/>
        <v>46</v>
      </c>
      <c r="O492" t="str">
        <f t="shared" si="15"/>
        <v>Medium Risk</v>
      </c>
    </row>
    <row r="493" spans="1:15" x14ac:dyDescent="0.25">
      <c r="A493">
        <f>INDEX(tblCleanData[EmployeeNumber],485)</f>
        <v>653</v>
      </c>
      <c r="B493" t="str">
        <f>IF(INDEX(tblCleanData[Age],485)&lt;30,"Under 30",IF(INDEX(tblCleanData[Age],485)&lt;40,"30-39",IF(INDEX(tblCleanData[Age],485)&lt;50,"40-49","50+")))</f>
        <v>30-39</v>
      </c>
      <c r="C493" t="str">
        <f>IF(INDEX(tblCleanData[MonthlyIncome],485)&lt;=$B$3,"Low Income",IF(INDEX(tblCleanData[MonthlyIncome],485)&lt;=$B$4,"Medium Income","High Income"))</f>
        <v>High Income</v>
      </c>
      <c r="D493">
        <f>IF(INDEX(tblCleanData[Attrition],485)="Yes",1,0)</f>
        <v>0</v>
      </c>
      <c r="E493">
        <f>IF(INDEX(tblCleanData[OverTime],485)="Yes",1,0)</f>
        <v>0</v>
      </c>
      <c r="F493" t="str">
        <f>CHOOSE(INDEX(tblCleanData[Education],485),"Below College","College","Bachelor","Master","Doctor")</f>
        <v>Master</v>
      </c>
      <c r="G493" t="str">
        <f>IF(INDEX(tblCleanData[YearsAtCompany],485)&lt;=2,"0-2 Years",IF(INDEX(tblCleanData[YearsAtCompany],485)&lt;=5,"3-5 Years",IF(INDEX(tblCleanData[YearsAtCompany],485)&lt;=10,"6-10 Years","10+ Years")))</f>
        <v>6-10 Years</v>
      </c>
      <c r="H493" t="str">
        <f>IF(INDEX(tblCleanData[WorkLifeBalance],485)&lt;=2,"Elevated","Normal")</f>
        <v>Normal</v>
      </c>
      <c r="I493">
        <f>IF(INDEX(tblCleanData[Age],485)&lt;30,30,IF(INDEX(tblCleanData[Age],485)&lt;40,20,IF(INDEX(tblCleanData[Age],485)&lt;50,10,15)))</f>
        <v>20</v>
      </c>
      <c r="J493">
        <f>IF(INDEX(tblCleanData[MonthlyIncome],485)&lt;=$B$3,25,IF(INDEX(tblCleanData[MonthlyIncome],485)&lt;=$B$4,12,5))</f>
        <v>5</v>
      </c>
      <c r="K493">
        <f>IF(INDEX(tblCleanData[OverTime],485)="Yes",25,0)</f>
        <v>0</v>
      </c>
      <c r="L493">
        <f>(5-INDEX(tblCleanData[JobSatisfaction],485))*6.25</f>
        <v>6.25</v>
      </c>
      <c r="M493">
        <f>IF(INDEX(tblCleanData[YearsAtCompany],485)&lt;=2,25,IF(INDEX(tblCleanData[YearsAtCompany],485)&lt;=5,15,IF(INDEX(tblCleanData[YearsAtCompany],485)&lt;=10,8,3)))</f>
        <v>8</v>
      </c>
      <c r="N493">
        <f t="shared" si="14"/>
        <v>39</v>
      </c>
      <c r="O493" t="str">
        <f t="shared" si="15"/>
        <v>Medium Risk</v>
      </c>
    </row>
    <row r="494" spans="1:15" x14ac:dyDescent="0.25">
      <c r="A494">
        <f>INDEX(tblCleanData[EmployeeNumber],486)</f>
        <v>655</v>
      </c>
      <c r="B494" t="str">
        <f>IF(INDEX(tblCleanData[Age],486)&lt;30,"Under 30",IF(INDEX(tblCleanData[Age],486)&lt;40,"30-39",IF(INDEX(tblCleanData[Age],486)&lt;50,"40-49","50+")))</f>
        <v>Under 30</v>
      </c>
      <c r="C494" t="str">
        <f>IF(INDEX(tblCleanData[MonthlyIncome],486)&lt;=$B$3,"Low Income",IF(INDEX(tblCleanData[MonthlyIncome],486)&lt;=$B$4,"Medium Income","High Income"))</f>
        <v>High Income</v>
      </c>
      <c r="D494">
        <f>IF(INDEX(tblCleanData[Attrition],486)="Yes",1,0)</f>
        <v>0</v>
      </c>
      <c r="E494">
        <f>IF(INDEX(tblCleanData[OverTime],486)="Yes",1,0)</f>
        <v>0</v>
      </c>
      <c r="F494" t="str">
        <f>CHOOSE(INDEX(tblCleanData[Education],486),"Below College","College","Bachelor","Master","Doctor")</f>
        <v>Master</v>
      </c>
      <c r="G494" t="str">
        <f>IF(INDEX(tblCleanData[YearsAtCompany],486)&lt;=2,"0-2 Years",IF(INDEX(tblCleanData[YearsAtCompany],486)&lt;=5,"3-5 Years",IF(INDEX(tblCleanData[YearsAtCompany],486)&lt;=10,"6-10 Years","10+ Years")))</f>
        <v>3-5 Years</v>
      </c>
      <c r="H494" t="str">
        <f>IF(INDEX(tblCleanData[WorkLifeBalance],486)&lt;=2,"Elevated","Normal")</f>
        <v>Elevated</v>
      </c>
      <c r="I494">
        <f>IF(INDEX(tblCleanData[Age],486)&lt;30,30,IF(INDEX(tblCleanData[Age],486)&lt;40,20,IF(INDEX(tblCleanData[Age],486)&lt;50,10,15)))</f>
        <v>30</v>
      </c>
      <c r="J494">
        <f>IF(INDEX(tblCleanData[MonthlyIncome],486)&lt;=$B$3,25,IF(INDEX(tblCleanData[MonthlyIncome],486)&lt;=$B$4,12,5))</f>
        <v>5</v>
      </c>
      <c r="K494">
        <f>IF(INDEX(tblCleanData[OverTime],486)="Yes",25,0)</f>
        <v>0</v>
      </c>
      <c r="L494">
        <f>(5-INDEX(tblCleanData[JobSatisfaction],486))*6.25</f>
        <v>12.5</v>
      </c>
      <c r="M494">
        <f>IF(INDEX(tblCleanData[YearsAtCompany],486)&lt;=2,25,IF(INDEX(tblCleanData[YearsAtCompany],486)&lt;=5,15,IF(INDEX(tblCleanData[YearsAtCompany],486)&lt;=10,8,3)))</f>
        <v>15</v>
      </c>
      <c r="N494">
        <f t="shared" si="14"/>
        <v>63</v>
      </c>
      <c r="O494" t="str">
        <f t="shared" si="15"/>
        <v>High Risk</v>
      </c>
    </row>
    <row r="495" spans="1:15" x14ac:dyDescent="0.25">
      <c r="A495">
        <f>INDEX(tblCleanData[EmployeeNumber],487)</f>
        <v>656</v>
      </c>
      <c r="B495" t="str">
        <f>IF(INDEX(tblCleanData[Age],487)&lt;30,"Under 30",IF(INDEX(tblCleanData[Age],487)&lt;40,"30-39",IF(INDEX(tblCleanData[Age],487)&lt;50,"40-49","50+")))</f>
        <v>30-39</v>
      </c>
      <c r="C495" t="str">
        <f>IF(INDEX(tblCleanData[MonthlyIncome],487)&lt;=$B$3,"Low Income",IF(INDEX(tblCleanData[MonthlyIncome],487)&lt;=$B$4,"Medium Income","High Income"))</f>
        <v>High Income</v>
      </c>
      <c r="D495">
        <f>IF(INDEX(tblCleanData[Attrition],487)="Yes",1,0)</f>
        <v>0</v>
      </c>
      <c r="E495">
        <f>IF(INDEX(tblCleanData[OverTime],487)="Yes",1,0)</f>
        <v>1</v>
      </c>
      <c r="F495" t="str">
        <f>CHOOSE(INDEX(tblCleanData[Education],487),"Below College","College","Bachelor","Master","Doctor")</f>
        <v>Bachelor</v>
      </c>
      <c r="G495" t="str">
        <f>IF(INDEX(tblCleanData[YearsAtCompany],487)&lt;=2,"0-2 Years",IF(INDEX(tblCleanData[YearsAtCompany],487)&lt;=5,"3-5 Years",IF(INDEX(tblCleanData[YearsAtCompany],487)&lt;=10,"6-10 Years","10+ Years")))</f>
        <v>3-5 Years</v>
      </c>
      <c r="H495" t="str">
        <f>IF(INDEX(tblCleanData[WorkLifeBalance],487)&lt;=2,"Elevated","Normal")</f>
        <v>Elevated</v>
      </c>
      <c r="I495">
        <f>IF(INDEX(tblCleanData[Age],487)&lt;30,30,IF(INDEX(tblCleanData[Age],487)&lt;40,20,IF(INDEX(tblCleanData[Age],487)&lt;50,10,15)))</f>
        <v>20</v>
      </c>
      <c r="J495">
        <f>IF(INDEX(tblCleanData[MonthlyIncome],487)&lt;=$B$3,25,IF(INDEX(tblCleanData[MonthlyIncome],487)&lt;=$B$4,12,5))</f>
        <v>5</v>
      </c>
      <c r="K495">
        <f>IF(INDEX(tblCleanData[OverTime],487)="Yes",25,0)</f>
        <v>25</v>
      </c>
      <c r="L495">
        <f>(5-INDEX(tblCleanData[JobSatisfaction],487))*6.25</f>
        <v>12.5</v>
      </c>
      <c r="M495">
        <f>IF(INDEX(tblCleanData[YearsAtCompany],487)&lt;=2,25,IF(INDEX(tblCleanData[YearsAtCompany],487)&lt;=5,15,IF(INDEX(tblCleanData[YearsAtCompany],487)&lt;=10,8,3)))</f>
        <v>15</v>
      </c>
      <c r="N495">
        <f t="shared" si="14"/>
        <v>78</v>
      </c>
      <c r="O495" t="str">
        <f t="shared" si="15"/>
        <v>High Risk</v>
      </c>
    </row>
    <row r="496" spans="1:15" x14ac:dyDescent="0.25">
      <c r="A496">
        <f>INDEX(tblCleanData[EmployeeNumber],488)</f>
        <v>657</v>
      </c>
      <c r="B496" t="str">
        <f>IF(INDEX(tblCleanData[Age],488)&lt;30,"Under 30",IF(INDEX(tblCleanData[Age],488)&lt;40,"30-39",IF(INDEX(tblCleanData[Age],488)&lt;50,"40-49","50+")))</f>
        <v>Under 30</v>
      </c>
      <c r="C496" t="str">
        <f>IF(INDEX(tblCleanData[MonthlyIncome],488)&lt;=$B$3,"Low Income",IF(INDEX(tblCleanData[MonthlyIncome],488)&lt;=$B$4,"Medium Income","High Income"))</f>
        <v>High Income</v>
      </c>
      <c r="D496">
        <f>IF(INDEX(tblCleanData[Attrition],488)="Yes",1,0)</f>
        <v>0</v>
      </c>
      <c r="E496">
        <f>IF(INDEX(tblCleanData[OverTime],488)="Yes",1,0)</f>
        <v>0</v>
      </c>
      <c r="F496" t="str">
        <f>CHOOSE(INDEX(tblCleanData[Education],488),"Below College","College","Bachelor","Master","Doctor")</f>
        <v>Bachelor</v>
      </c>
      <c r="G496" t="str">
        <f>IF(INDEX(tblCleanData[YearsAtCompany],488)&lt;=2,"0-2 Years",IF(INDEX(tblCleanData[YearsAtCompany],488)&lt;=5,"3-5 Years",IF(INDEX(tblCleanData[YearsAtCompany],488)&lt;=10,"6-10 Years","10+ Years")))</f>
        <v>0-2 Years</v>
      </c>
      <c r="H496" t="str">
        <f>IF(INDEX(tblCleanData[WorkLifeBalance],488)&lt;=2,"Elevated","Normal")</f>
        <v>Normal</v>
      </c>
      <c r="I496">
        <f>IF(INDEX(tblCleanData[Age],488)&lt;30,30,IF(INDEX(tblCleanData[Age],488)&lt;40,20,IF(INDEX(tblCleanData[Age],488)&lt;50,10,15)))</f>
        <v>30</v>
      </c>
      <c r="J496">
        <f>IF(INDEX(tblCleanData[MonthlyIncome],488)&lt;=$B$3,25,IF(INDEX(tblCleanData[MonthlyIncome],488)&lt;=$B$4,12,5))</f>
        <v>5</v>
      </c>
      <c r="K496">
        <f>IF(INDEX(tblCleanData[OverTime],488)="Yes",25,0)</f>
        <v>0</v>
      </c>
      <c r="L496">
        <f>(5-INDEX(tblCleanData[JobSatisfaction],488))*6.25</f>
        <v>18.75</v>
      </c>
      <c r="M496">
        <f>IF(INDEX(tblCleanData[YearsAtCompany],488)&lt;=2,25,IF(INDEX(tblCleanData[YearsAtCompany],488)&lt;=5,15,IF(INDEX(tblCleanData[YearsAtCompany],488)&lt;=10,8,3)))</f>
        <v>25</v>
      </c>
      <c r="N496">
        <f t="shared" si="14"/>
        <v>79</v>
      </c>
      <c r="O496" t="str">
        <f t="shared" si="15"/>
        <v>High Risk</v>
      </c>
    </row>
    <row r="497" spans="1:15" x14ac:dyDescent="0.25">
      <c r="A497">
        <f>INDEX(tblCleanData[EmployeeNumber],489)</f>
        <v>659</v>
      </c>
      <c r="B497" t="str">
        <f>IF(INDEX(tblCleanData[Age],489)&lt;30,"Under 30",IF(INDEX(tblCleanData[Age],489)&lt;40,"30-39",IF(INDEX(tblCleanData[Age],489)&lt;50,"40-49","50+")))</f>
        <v>40-49</v>
      </c>
      <c r="C497" t="str">
        <f>IF(INDEX(tblCleanData[MonthlyIncome],489)&lt;=$B$3,"Low Income",IF(INDEX(tblCleanData[MonthlyIncome],489)&lt;=$B$4,"Medium Income","High Income"))</f>
        <v>High Income</v>
      </c>
      <c r="D497">
        <f>IF(INDEX(tblCleanData[Attrition],489)="Yes",1,0)</f>
        <v>0</v>
      </c>
      <c r="E497">
        <f>IF(INDEX(tblCleanData[OverTime],489)="Yes",1,0)</f>
        <v>0</v>
      </c>
      <c r="F497" t="str">
        <f>CHOOSE(INDEX(tblCleanData[Education],489),"Below College","College","Bachelor","Master","Doctor")</f>
        <v>Master</v>
      </c>
      <c r="G497" t="str">
        <f>IF(INDEX(tblCleanData[YearsAtCompany],489)&lt;=2,"0-2 Years",IF(INDEX(tblCleanData[YearsAtCompany],489)&lt;=5,"3-5 Years",IF(INDEX(tblCleanData[YearsAtCompany],489)&lt;=10,"6-10 Years","10+ Years")))</f>
        <v>6-10 Years</v>
      </c>
      <c r="H497" t="str">
        <f>IF(INDEX(tblCleanData[WorkLifeBalance],489)&lt;=2,"Elevated","Normal")</f>
        <v>Normal</v>
      </c>
      <c r="I497">
        <f>IF(INDEX(tblCleanData[Age],489)&lt;30,30,IF(INDEX(tblCleanData[Age],489)&lt;40,20,IF(INDEX(tblCleanData[Age],489)&lt;50,10,15)))</f>
        <v>10</v>
      </c>
      <c r="J497">
        <f>IF(INDEX(tblCleanData[MonthlyIncome],489)&lt;=$B$3,25,IF(INDEX(tblCleanData[MonthlyIncome],489)&lt;=$B$4,12,5))</f>
        <v>5</v>
      </c>
      <c r="K497">
        <f>IF(INDEX(tblCleanData[OverTime],489)="Yes",25,0)</f>
        <v>0</v>
      </c>
      <c r="L497">
        <f>(5-INDEX(tblCleanData[JobSatisfaction],489))*6.25</f>
        <v>6.25</v>
      </c>
      <c r="M497">
        <f>IF(INDEX(tblCleanData[YearsAtCompany],489)&lt;=2,25,IF(INDEX(tblCleanData[YearsAtCompany],489)&lt;=5,15,IF(INDEX(tblCleanData[YearsAtCompany],489)&lt;=10,8,3)))</f>
        <v>8</v>
      </c>
      <c r="N497">
        <f t="shared" si="14"/>
        <v>29</v>
      </c>
      <c r="O497" t="str">
        <f t="shared" si="15"/>
        <v>Low Risk</v>
      </c>
    </row>
    <row r="498" spans="1:15" x14ac:dyDescent="0.25">
      <c r="A498">
        <f>INDEX(tblCleanData[EmployeeNumber],490)</f>
        <v>661</v>
      </c>
      <c r="B498" t="str">
        <f>IF(INDEX(tblCleanData[Age],490)&lt;30,"Under 30",IF(INDEX(tblCleanData[Age],490)&lt;40,"30-39",IF(INDEX(tblCleanData[Age],490)&lt;50,"40-49","50+")))</f>
        <v>40-49</v>
      </c>
      <c r="C498" t="str">
        <f>IF(INDEX(tblCleanData[MonthlyIncome],490)&lt;=$B$3,"Low Income",IF(INDEX(tblCleanData[MonthlyIncome],490)&lt;=$B$4,"Medium Income","High Income"))</f>
        <v>High Income</v>
      </c>
      <c r="D498">
        <f>IF(INDEX(tblCleanData[Attrition],490)="Yes",1,0)</f>
        <v>0</v>
      </c>
      <c r="E498">
        <f>IF(INDEX(tblCleanData[OverTime],490)="Yes",1,0)</f>
        <v>1</v>
      </c>
      <c r="F498" t="str">
        <f>CHOOSE(INDEX(tblCleanData[Education],490),"Below College","College","Bachelor","Master","Doctor")</f>
        <v>Master</v>
      </c>
      <c r="G498" t="str">
        <f>IF(INDEX(tblCleanData[YearsAtCompany],490)&lt;=2,"0-2 Years",IF(INDEX(tblCleanData[YearsAtCompany],490)&lt;=5,"3-5 Years",IF(INDEX(tblCleanData[YearsAtCompany],490)&lt;=10,"6-10 Years","10+ Years")))</f>
        <v>0-2 Years</v>
      </c>
      <c r="H498" t="str">
        <f>IF(INDEX(tblCleanData[WorkLifeBalance],490)&lt;=2,"Elevated","Normal")</f>
        <v>Elevated</v>
      </c>
      <c r="I498">
        <f>IF(INDEX(tblCleanData[Age],490)&lt;30,30,IF(INDEX(tblCleanData[Age],490)&lt;40,20,IF(INDEX(tblCleanData[Age],490)&lt;50,10,15)))</f>
        <v>10</v>
      </c>
      <c r="J498">
        <f>IF(INDEX(tblCleanData[MonthlyIncome],490)&lt;=$B$3,25,IF(INDEX(tblCleanData[MonthlyIncome],490)&lt;=$B$4,12,5))</f>
        <v>5</v>
      </c>
      <c r="K498">
        <f>IF(INDEX(tblCleanData[OverTime],490)="Yes",25,0)</f>
        <v>25</v>
      </c>
      <c r="L498">
        <f>(5-INDEX(tblCleanData[JobSatisfaction],490))*6.25</f>
        <v>6.25</v>
      </c>
      <c r="M498">
        <f>IF(INDEX(tblCleanData[YearsAtCompany],490)&lt;=2,25,IF(INDEX(tblCleanData[YearsAtCompany],490)&lt;=5,15,IF(INDEX(tblCleanData[YearsAtCompany],490)&lt;=10,8,3)))</f>
        <v>25</v>
      </c>
      <c r="N498">
        <f t="shared" si="14"/>
        <v>71</v>
      </c>
      <c r="O498" t="str">
        <f t="shared" si="15"/>
        <v>High Risk</v>
      </c>
    </row>
    <row r="499" spans="1:15" x14ac:dyDescent="0.25">
      <c r="A499">
        <f>INDEX(tblCleanData[EmployeeNumber],491)</f>
        <v>662</v>
      </c>
      <c r="B499" t="str">
        <f>IF(INDEX(tblCleanData[Age],491)&lt;30,"Under 30",IF(INDEX(tblCleanData[Age],491)&lt;40,"30-39",IF(INDEX(tblCleanData[Age],491)&lt;50,"40-49","50+")))</f>
        <v>30-39</v>
      </c>
      <c r="C499" t="str">
        <f>IF(INDEX(tblCleanData[MonthlyIncome],491)&lt;=$B$3,"Low Income",IF(INDEX(tblCleanData[MonthlyIncome],491)&lt;=$B$4,"Medium Income","High Income"))</f>
        <v>High Income</v>
      </c>
      <c r="D499">
        <f>IF(INDEX(tblCleanData[Attrition],491)="Yes",1,0)</f>
        <v>0</v>
      </c>
      <c r="E499">
        <f>IF(INDEX(tblCleanData[OverTime],491)="Yes",1,0)</f>
        <v>0</v>
      </c>
      <c r="F499" t="str">
        <f>CHOOSE(INDEX(tblCleanData[Education],491),"Below College","College","Bachelor","Master","Doctor")</f>
        <v>Below College</v>
      </c>
      <c r="G499" t="str">
        <f>IF(INDEX(tblCleanData[YearsAtCompany],491)&lt;=2,"0-2 Years",IF(INDEX(tblCleanData[YearsAtCompany],491)&lt;=5,"3-5 Years",IF(INDEX(tblCleanData[YearsAtCompany],491)&lt;=10,"6-10 Years","10+ Years")))</f>
        <v>0-2 Years</v>
      </c>
      <c r="H499" t="str">
        <f>IF(INDEX(tblCleanData[WorkLifeBalance],491)&lt;=2,"Elevated","Normal")</f>
        <v>Elevated</v>
      </c>
      <c r="I499">
        <f>IF(INDEX(tblCleanData[Age],491)&lt;30,30,IF(INDEX(tblCleanData[Age],491)&lt;40,20,IF(INDEX(tblCleanData[Age],491)&lt;50,10,15)))</f>
        <v>20</v>
      </c>
      <c r="J499">
        <f>IF(INDEX(tblCleanData[MonthlyIncome],491)&lt;=$B$3,25,IF(INDEX(tblCleanData[MonthlyIncome],491)&lt;=$B$4,12,5))</f>
        <v>5</v>
      </c>
      <c r="K499">
        <f>IF(INDEX(tblCleanData[OverTime],491)="Yes",25,0)</f>
        <v>0</v>
      </c>
      <c r="L499">
        <f>(5-INDEX(tblCleanData[JobSatisfaction],491))*6.25</f>
        <v>25</v>
      </c>
      <c r="M499">
        <f>IF(INDEX(tblCleanData[YearsAtCompany],491)&lt;=2,25,IF(INDEX(tblCleanData[YearsAtCompany],491)&lt;=5,15,IF(INDEX(tblCleanData[YearsAtCompany],491)&lt;=10,8,3)))</f>
        <v>25</v>
      </c>
      <c r="N499">
        <f t="shared" si="14"/>
        <v>75</v>
      </c>
      <c r="O499" t="str">
        <f t="shared" si="15"/>
        <v>High Risk</v>
      </c>
    </row>
    <row r="500" spans="1:15" x14ac:dyDescent="0.25">
      <c r="A500">
        <f>INDEX(tblCleanData[EmployeeNumber],492)</f>
        <v>663</v>
      </c>
      <c r="B500" t="str">
        <f>IF(INDEX(tblCleanData[Age],492)&lt;30,"Under 30",IF(INDEX(tblCleanData[Age],492)&lt;40,"30-39",IF(INDEX(tblCleanData[Age],492)&lt;50,"40-49","50+")))</f>
        <v>40-49</v>
      </c>
      <c r="C500" t="str">
        <f>IF(INDEX(tblCleanData[MonthlyIncome],492)&lt;=$B$3,"Low Income",IF(INDEX(tblCleanData[MonthlyIncome],492)&lt;=$B$4,"Medium Income","High Income"))</f>
        <v>High Income</v>
      </c>
      <c r="D500">
        <f>IF(INDEX(tblCleanData[Attrition],492)="Yes",1,0)</f>
        <v>0</v>
      </c>
      <c r="E500">
        <f>IF(INDEX(tblCleanData[OverTime],492)="Yes",1,0)</f>
        <v>1</v>
      </c>
      <c r="F500" t="str">
        <f>CHOOSE(INDEX(tblCleanData[Education],492),"Below College","College","Bachelor","Master","Doctor")</f>
        <v>Doctor</v>
      </c>
      <c r="G500" t="str">
        <f>IF(INDEX(tblCleanData[YearsAtCompany],492)&lt;=2,"0-2 Years",IF(INDEX(tblCleanData[YearsAtCompany],492)&lt;=5,"3-5 Years",IF(INDEX(tblCleanData[YearsAtCompany],492)&lt;=10,"6-10 Years","10+ Years")))</f>
        <v>6-10 Years</v>
      </c>
      <c r="H500" t="str">
        <f>IF(INDEX(tblCleanData[WorkLifeBalance],492)&lt;=2,"Elevated","Normal")</f>
        <v>Normal</v>
      </c>
      <c r="I500">
        <f>IF(INDEX(tblCleanData[Age],492)&lt;30,30,IF(INDEX(tblCleanData[Age],492)&lt;40,20,IF(INDEX(tblCleanData[Age],492)&lt;50,10,15)))</f>
        <v>10</v>
      </c>
      <c r="J500">
        <f>IF(INDEX(tblCleanData[MonthlyIncome],492)&lt;=$B$3,25,IF(INDEX(tblCleanData[MonthlyIncome],492)&lt;=$B$4,12,5))</f>
        <v>5</v>
      </c>
      <c r="K500">
        <f>IF(INDEX(tblCleanData[OverTime],492)="Yes",25,0)</f>
        <v>25</v>
      </c>
      <c r="L500">
        <f>(5-INDEX(tblCleanData[JobSatisfaction],492))*6.25</f>
        <v>12.5</v>
      </c>
      <c r="M500">
        <f>IF(INDEX(tblCleanData[YearsAtCompany],492)&lt;=2,25,IF(INDEX(tblCleanData[YearsAtCompany],492)&lt;=5,15,IF(INDEX(tblCleanData[YearsAtCompany],492)&lt;=10,8,3)))</f>
        <v>8</v>
      </c>
      <c r="N500">
        <f t="shared" si="14"/>
        <v>61</v>
      </c>
      <c r="O500" t="str">
        <f t="shared" si="15"/>
        <v>High Risk</v>
      </c>
    </row>
    <row r="501" spans="1:15" x14ac:dyDescent="0.25">
      <c r="A501">
        <f>INDEX(tblCleanData[EmployeeNumber],493)</f>
        <v>664</v>
      </c>
      <c r="B501" t="str">
        <f>IF(INDEX(tblCleanData[Age],493)&lt;30,"Under 30",IF(INDEX(tblCleanData[Age],493)&lt;40,"30-39",IF(INDEX(tblCleanData[Age],493)&lt;50,"40-49","50+")))</f>
        <v>40-49</v>
      </c>
      <c r="C501" t="str">
        <f>IF(INDEX(tblCleanData[MonthlyIncome],493)&lt;=$B$3,"Low Income",IF(INDEX(tblCleanData[MonthlyIncome],493)&lt;=$B$4,"Medium Income","High Income"))</f>
        <v>High Income</v>
      </c>
      <c r="D501">
        <f>IF(INDEX(tblCleanData[Attrition],493)="Yes",1,0)</f>
        <v>0</v>
      </c>
      <c r="E501">
        <f>IF(INDEX(tblCleanData[OverTime],493)="Yes",1,0)</f>
        <v>0</v>
      </c>
      <c r="F501" t="str">
        <f>CHOOSE(INDEX(tblCleanData[Education],493),"Below College","College","Bachelor","Master","Doctor")</f>
        <v>Master</v>
      </c>
      <c r="G501" t="str">
        <f>IF(INDEX(tblCleanData[YearsAtCompany],493)&lt;=2,"0-2 Years",IF(INDEX(tblCleanData[YearsAtCompany],493)&lt;=5,"3-5 Years",IF(INDEX(tblCleanData[YearsAtCompany],493)&lt;=10,"6-10 Years","10+ Years")))</f>
        <v>3-5 Years</v>
      </c>
      <c r="H501" t="str">
        <f>IF(INDEX(tblCleanData[WorkLifeBalance],493)&lt;=2,"Elevated","Normal")</f>
        <v>Elevated</v>
      </c>
      <c r="I501">
        <f>IF(INDEX(tblCleanData[Age],493)&lt;30,30,IF(INDEX(tblCleanData[Age],493)&lt;40,20,IF(INDEX(tblCleanData[Age],493)&lt;50,10,15)))</f>
        <v>10</v>
      </c>
      <c r="J501">
        <f>IF(INDEX(tblCleanData[MonthlyIncome],493)&lt;=$B$3,25,IF(INDEX(tblCleanData[MonthlyIncome],493)&lt;=$B$4,12,5))</f>
        <v>5</v>
      </c>
      <c r="K501">
        <f>IF(INDEX(tblCleanData[OverTime],493)="Yes",25,0)</f>
        <v>0</v>
      </c>
      <c r="L501">
        <f>(5-INDEX(tblCleanData[JobSatisfaction],493))*6.25</f>
        <v>25</v>
      </c>
      <c r="M501">
        <f>IF(INDEX(tblCleanData[YearsAtCompany],493)&lt;=2,25,IF(INDEX(tblCleanData[YearsAtCompany],493)&lt;=5,15,IF(INDEX(tblCleanData[YearsAtCompany],493)&lt;=10,8,3)))</f>
        <v>15</v>
      </c>
      <c r="N501">
        <f t="shared" si="14"/>
        <v>55</v>
      </c>
      <c r="O501" t="str">
        <f t="shared" si="15"/>
        <v>High Risk</v>
      </c>
    </row>
    <row r="502" spans="1:15" x14ac:dyDescent="0.25">
      <c r="A502">
        <f>INDEX(tblCleanData[EmployeeNumber],494)</f>
        <v>665</v>
      </c>
      <c r="B502" t="str">
        <f>IF(INDEX(tblCleanData[Age],494)&lt;30,"Under 30",IF(INDEX(tblCleanData[Age],494)&lt;40,"30-39",IF(INDEX(tblCleanData[Age],494)&lt;50,"40-49","50+")))</f>
        <v>40-49</v>
      </c>
      <c r="C502" t="str">
        <f>IF(INDEX(tblCleanData[MonthlyIncome],494)&lt;=$B$3,"Low Income",IF(INDEX(tblCleanData[MonthlyIncome],494)&lt;=$B$4,"Medium Income","High Income"))</f>
        <v>High Income</v>
      </c>
      <c r="D502">
        <f>IF(INDEX(tblCleanData[Attrition],494)="Yes",1,0)</f>
        <v>0</v>
      </c>
      <c r="E502">
        <f>IF(INDEX(tblCleanData[OverTime],494)="Yes",1,0)</f>
        <v>0</v>
      </c>
      <c r="F502" t="str">
        <f>CHOOSE(INDEX(tblCleanData[Education],494),"Below College","College","Bachelor","Master","Doctor")</f>
        <v>Master</v>
      </c>
      <c r="G502" t="str">
        <f>IF(INDEX(tblCleanData[YearsAtCompany],494)&lt;=2,"0-2 Years",IF(INDEX(tblCleanData[YearsAtCompany],494)&lt;=5,"3-5 Years",IF(INDEX(tblCleanData[YearsAtCompany],494)&lt;=10,"6-10 Years","10+ Years")))</f>
        <v>0-2 Years</v>
      </c>
      <c r="H502" t="str">
        <f>IF(INDEX(tblCleanData[WorkLifeBalance],494)&lt;=2,"Elevated","Normal")</f>
        <v>Normal</v>
      </c>
      <c r="I502">
        <f>IF(INDEX(tblCleanData[Age],494)&lt;30,30,IF(INDEX(tblCleanData[Age],494)&lt;40,20,IF(INDEX(tblCleanData[Age],494)&lt;50,10,15)))</f>
        <v>10</v>
      </c>
      <c r="J502">
        <f>IF(INDEX(tblCleanData[MonthlyIncome],494)&lt;=$B$3,25,IF(INDEX(tblCleanData[MonthlyIncome],494)&lt;=$B$4,12,5))</f>
        <v>5</v>
      </c>
      <c r="K502">
        <f>IF(INDEX(tblCleanData[OverTime],494)="Yes",25,0)</f>
        <v>0</v>
      </c>
      <c r="L502">
        <f>(5-INDEX(tblCleanData[JobSatisfaction],494))*6.25</f>
        <v>12.5</v>
      </c>
      <c r="M502">
        <f>IF(INDEX(tblCleanData[YearsAtCompany],494)&lt;=2,25,IF(INDEX(tblCleanData[YearsAtCompany],494)&lt;=5,15,IF(INDEX(tblCleanData[YearsAtCompany],494)&lt;=10,8,3)))</f>
        <v>25</v>
      </c>
      <c r="N502">
        <f t="shared" si="14"/>
        <v>53</v>
      </c>
      <c r="O502" t="str">
        <f t="shared" si="15"/>
        <v>Medium Risk</v>
      </c>
    </row>
    <row r="503" spans="1:15" x14ac:dyDescent="0.25">
      <c r="A503">
        <f>INDEX(tblCleanData[EmployeeNumber],495)</f>
        <v>666</v>
      </c>
      <c r="B503" t="str">
        <f>IF(INDEX(tblCleanData[Age],495)&lt;30,"Under 30",IF(INDEX(tblCleanData[Age],495)&lt;40,"30-39",IF(INDEX(tblCleanData[Age],495)&lt;50,"40-49","50+")))</f>
        <v>30-39</v>
      </c>
      <c r="C503" t="str">
        <f>IF(INDEX(tblCleanData[MonthlyIncome],495)&lt;=$B$3,"Low Income",IF(INDEX(tblCleanData[MonthlyIncome],495)&lt;=$B$4,"Medium Income","High Income"))</f>
        <v>High Income</v>
      </c>
      <c r="D503">
        <f>IF(INDEX(tblCleanData[Attrition],495)="Yes",1,0)</f>
        <v>0</v>
      </c>
      <c r="E503">
        <f>IF(INDEX(tblCleanData[OverTime],495)="Yes",1,0)</f>
        <v>1</v>
      </c>
      <c r="F503" t="str">
        <f>CHOOSE(INDEX(tblCleanData[Education],495),"Below College","College","Bachelor","Master","Doctor")</f>
        <v>Bachelor</v>
      </c>
      <c r="G503" t="str">
        <f>IF(INDEX(tblCleanData[YearsAtCompany],495)&lt;=2,"0-2 Years",IF(INDEX(tblCleanData[YearsAtCompany],495)&lt;=5,"3-5 Years",IF(INDEX(tblCleanData[YearsAtCompany],495)&lt;=10,"6-10 Years","10+ Years")))</f>
        <v>6-10 Years</v>
      </c>
      <c r="H503" t="str">
        <f>IF(INDEX(tblCleanData[WorkLifeBalance],495)&lt;=2,"Elevated","Normal")</f>
        <v>Normal</v>
      </c>
      <c r="I503">
        <f>IF(INDEX(tblCleanData[Age],495)&lt;30,30,IF(INDEX(tblCleanData[Age],495)&lt;40,20,IF(INDEX(tblCleanData[Age],495)&lt;50,10,15)))</f>
        <v>20</v>
      </c>
      <c r="J503">
        <f>IF(INDEX(tblCleanData[MonthlyIncome],495)&lt;=$B$3,25,IF(INDEX(tblCleanData[MonthlyIncome],495)&lt;=$B$4,12,5))</f>
        <v>5</v>
      </c>
      <c r="K503">
        <f>IF(INDEX(tblCleanData[OverTime],495)="Yes",25,0)</f>
        <v>25</v>
      </c>
      <c r="L503">
        <f>(5-INDEX(tblCleanData[JobSatisfaction],495))*6.25</f>
        <v>12.5</v>
      </c>
      <c r="M503">
        <f>IF(INDEX(tblCleanData[YearsAtCompany],495)&lt;=2,25,IF(INDEX(tblCleanData[YearsAtCompany],495)&lt;=5,15,IF(INDEX(tblCleanData[YearsAtCompany],495)&lt;=10,8,3)))</f>
        <v>8</v>
      </c>
      <c r="N503">
        <f t="shared" si="14"/>
        <v>71</v>
      </c>
      <c r="O503" t="str">
        <f t="shared" si="15"/>
        <v>High Risk</v>
      </c>
    </row>
    <row r="504" spans="1:15" x14ac:dyDescent="0.25">
      <c r="A504">
        <f>INDEX(tblCleanData[EmployeeNumber],496)</f>
        <v>667</v>
      </c>
      <c r="B504" t="str">
        <f>IF(INDEX(tblCleanData[Age],496)&lt;30,"Under 30",IF(INDEX(tblCleanData[Age],496)&lt;40,"30-39",IF(INDEX(tblCleanData[Age],496)&lt;50,"40-49","50+")))</f>
        <v>Under 30</v>
      </c>
      <c r="C504" t="str">
        <f>IF(INDEX(tblCleanData[MonthlyIncome],496)&lt;=$B$3,"Low Income",IF(INDEX(tblCleanData[MonthlyIncome],496)&lt;=$B$4,"Medium Income","High Income"))</f>
        <v>High Income</v>
      </c>
      <c r="D504">
        <f>IF(INDEX(tblCleanData[Attrition],496)="Yes",1,0)</f>
        <v>1</v>
      </c>
      <c r="E504">
        <f>IF(INDEX(tblCleanData[OverTime],496)="Yes",1,0)</f>
        <v>0</v>
      </c>
      <c r="F504" t="str">
        <f>CHOOSE(INDEX(tblCleanData[Education],496),"Below College","College","Bachelor","Master","Doctor")</f>
        <v>Below College</v>
      </c>
      <c r="G504" t="str">
        <f>IF(INDEX(tblCleanData[YearsAtCompany],496)&lt;=2,"0-2 Years",IF(INDEX(tblCleanData[YearsAtCompany],496)&lt;=5,"3-5 Years",IF(INDEX(tblCleanData[YearsAtCompany],496)&lt;=10,"6-10 Years","10+ Years")))</f>
        <v>3-5 Years</v>
      </c>
      <c r="H504" t="str">
        <f>IF(INDEX(tblCleanData[WorkLifeBalance],496)&lt;=2,"Elevated","Normal")</f>
        <v>Normal</v>
      </c>
      <c r="I504">
        <f>IF(INDEX(tblCleanData[Age],496)&lt;30,30,IF(INDEX(tblCleanData[Age],496)&lt;40,20,IF(INDEX(tblCleanData[Age],496)&lt;50,10,15)))</f>
        <v>30</v>
      </c>
      <c r="J504">
        <f>IF(INDEX(tblCleanData[MonthlyIncome],496)&lt;=$B$3,25,IF(INDEX(tblCleanData[MonthlyIncome],496)&lt;=$B$4,12,5))</f>
        <v>5</v>
      </c>
      <c r="K504">
        <f>IF(INDEX(tblCleanData[OverTime],496)="Yes",25,0)</f>
        <v>0</v>
      </c>
      <c r="L504">
        <f>(5-INDEX(tblCleanData[JobSatisfaction],496))*6.25</f>
        <v>25</v>
      </c>
      <c r="M504">
        <f>IF(INDEX(tblCleanData[YearsAtCompany],496)&lt;=2,25,IF(INDEX(tblCleanData[YearsAtCompany],496)&lt;=5,15,IF(INDEX(tblCleanData[YearsAtCompany],496)&lt;=10,8,3)))</f>
        <v>15</v>
      </c>
      <c r="N504">
        <f t="shared" si="14"/>
        <v>75</v>
      </c>
      <c r="O504" t="str">
        <f t="shared" si="15"/>
        <v>High Risk</v>
      </c>
    </row>
    <row r="505" spans="1:15" x14ac:dyDescent="0.25">
      <c r="A505">
        <f>INDEX(tblCleanData[EmployeeNumber],497)</f>
        <v>669</v>
      </c>
      <c r="B505" t="str">
        <f>IF(INDEX(tblCleanData[Age],497)&lt;30,"Under 30",IF(INDEX(tblCleanData[Age],497)&lt;40,"30-39",IF(INDEX(tblCleanData[Age],497)&lt;50,"40-49","50+")))</f>
        <v>Under 30</v>
      </c>
      <c r="C505" t="str">
        <f>IF(INDEX(tblCleanData[MonthlyIncome],497)&lt;=$B$3,"Low Income",IF(INDEX(tblCleanData[MonthlyIncome],497)&lt;=$B$4,"Medium Income","High Income"))</f>
        <v>High Income</v>
      </c>
      <c r="D505">
        <f>IF(INDEX(tblCleanData[Attrition],497)="Yes",1,0)</f>
        <v>0</v>
      </c>
      <c r="E505">
        <f>IF(INDEX(tblCleanData[OverTime],497)="Yes",1,0)</f>
        <v>0</v>
      </c>
      <c r="F505" t="str">
        <f>CHOOSE(INDEX(tblCleanData[Education],497),"Below College","College","Bachelor","Master","Doctor")</f>
        <v>Below College</v>
      </c>
      <c r="G505" t="str">
        <f>IF(INDEX(tblCleanData[YearsAtCompany],497)&lt;=2,"0-2 Years",IF(INDEX(tblCleanData[YearsAtCompany],497)&lt;=5,"3-5 Years",IF(INDEX(tblCleanData[YearsAtCompany],497)&lt;=10,"6-10 Years","10+ Years")))</f>
        <v>3-5 Years</v>
      </c>
      <c r="H505" t="str">
        <f>IF(INDEX(tblCleanData[WorkLifeBalance],497)&lt;=2,"Elevated","Normal")</f>
        <v>Normal</v>
      </c>
      <c r="I505">
        <f>IF(INDEX(tblCleanData[Age],497)&lt;30,30,IF(INDEX(tblCleanData[Age],497)&lt;40,20,IF(INDEX(tblCleanData[Age],497)&lt;50,10,15)))</f>
        <v>30</v>
      </c>
      <c r="J505">
        <f>IF(INDEX(tblCleanData[MonthlyIncome],497)&lt;=$B$3,25,IF(INDEX(tblCleanData[MonthlyIncome],497)&lt;=$B$4,12,5))</f>
        <v>5</v>
      </c>
      <c r="K505">
        <f>IF(INDEX(tblCleanData[OverTime],497)="Yes",25,0)</f>
        <v>0</v>
      </c>
      <c r="L505">
        <f>(5-INDEX(tblCleanData[JobSatisfaction],497))*6.25</f>
        <v>12.5</v>
      </c>
      <c r="M505">
        <f>IF(INDEX(tblCleanData[YearsAtCompany],497)&lt;=2,25,IF(INDEX(tblCleanData[YearsAtCompany],497)&lt;=5,15,IF(INDEX(tblCleanData[YearsAtCompany],497)&lt;=10,8,3)))</f>
        <v>15</v>
      </c>
      <c r="N505">
        <f t="shared" si="14"/>
        <v>63</v>
      </c>
      <c r="O505" t="str">
        <f t="shared" si="15"/>
        <v>High Risk</v>
      </c>
    </row>
    <row r="506" spans="1:15" x14ac:dyDescent="0.25">
      <c r="A506">
        <f>INDEX(tblCleanData[EmployeeNumber],498)</f>
        <v>671</v>
      </c>
      <c r="B506" t="str">
        <f>IF(INDEX(tblCleanData[Age],498)&lt;30,"Under 30",IF(INDEX(tblCleanData[Age],498)&lt;40,"30-39",IF(INDEX(tblCleanData[Age],498)&lt;50,"40-49","50+")))</f>
        <v>40-49</v>
      </c>
      <c r="C506" t="str">
        <f>IF(INDEX(tblCleanData[MonthlyIncome],498)&lt;=$B$3,"Low Income",IF(INDEX(tblCleanData[MonthlyIncome],498)&lt;=$B$4,"Medium Income","High Income"))</f>
        <v>High Income</v>
      </c>
      <c r="D506">
        <f>IF(INDEX(tblCleanData[Attrition],498)="Yes",1,0)</f>
        <v>0</v>
      </c>
      <c r="E506">
        <f>IF(INDEX(tblCleanData[OverTime],498)="Yes",1,0)</f>
        <v>1</v>
      </c>
      <c r="F506" t="str">
        <f>CHOOSE(INDEX(tblCleanData[Education],498),"Below College","College","Bachelor","Master","Doctor")</f>
        <v>Master</v>
      </c>
      <c r="G506" t="str">
        <f>IF(INDEX(tblCleanData[YearsAtCompany],498)&lt;=2,"0-2 Years",IF(INDEX(tblCleanData[YearsAtCompany],498)&lt;=5,"3-5 Years",IF(INDEX(tblCleanData[YearsAtCompany],498)&lt;=10,"6-10 Years","10+ Years")))</f>
        <v>0-2 Years</v>
      </c>
      <c r="H506" t="str">
        <f>IF(INDEX(tblCleanData[WorkLifeBalance],498)&lt;=2,"Elevated","Normal")</f>
        <v>Normal</v>
      </c>
      <c r="I506">
        <f>IF(INDEX(tblCleanData[Age],498)&lt;30,30,IF(INDEX(tblCleanData[Age],498)&lt;40,20,IF(INDEX(tblCleanData[Age],498)&lt;50,10,15)))</f>
        <v>10</v>
      </c>
      <c r="J506">
        <f>IF(INDEX(tblCleanData[MonthlyIncome],498)&lt;=$B$3,25,IF(INDEX(tblCleanData[MonthlyIncome],498)&lt;=$B$4,12,5))</f>
        <v>5</v>
      </c>
      <c r="K506">
        <f>IF(INDEX(tblCleanData[OverTime],498)="Yes",25,0)</f>
        <v>25</v>
      </c>
      <c r="L506">
        <f>(5-INDEX(tblCleanData[JobSatisfaction],498))*6.25</f>
        <v>6.25</v>
      </c>
      <c r="M506">
        <f>IF(INDEX(tblCleanData[YearsAtCompany],498)&lt;=2,25,IF(INDEX(tblCleanData[YearsAtCompany],498)&lt;=5,15,IF(INDEX(tblCleanData[YearsAtCompany],498)&lt;=10,8,3)))</f>
        <v>25</v>
      </c>
      <c r="N506">
        <f t="shared" si="14"/>
        <v>71</v>
      </c>
      <c r="O506" t="str">
        <f t="shared" si="15"/>
        <v>High Risk</v>
      </c>
    </row>
    <row r="507" spans="1:15" x14ac:dyDescent="0.25">
      <c r="A507">
        <f>INDEX(tblCleanData[EmployeeNumber],499)</f>
        <v>675</v>
      </c>
      <c r="B507" t="str">
        <f>IF(INDEX(tblCleanData[Age],499)&lt;30,"Under 30",IF(INDEX(tblCleanData[Age],499)&lt;40,"30-39",IF(INDEX(tblCleanData[Age],499)&lt;50,"40-49","50+")))</f>
        <v>Under 30</v>
      </c>
      <c r="C507" t="str">
        <f>IF(INDEX(tblCleanData[MonthlyIncome],499)&lt;=$B$3,"Low Income",IF(INDEX(tblCleanData[MonthlyIncome],499)&lt;=$B$4,"Medium Income","High Income"))</f>
        <v>High Income</v>
      </c>
      <c r="D507">
        <f>IF(INDEX(tblCleanData[Attrition],499)="Yes",1,0)</f>
        <v>0</v>
      </c>
      <c r="E507">
        <f>IF(INDEX(tblCleanData[OverTime],499)="Yes",1,0)</f>
        <v>0</v>
      </c>
      <c r="F507" t="str">
        <f>CHOOSE(INDEX(tblCleanData[Education],499),"Below College","College","Bachelor","Master","Doctor")</f>
        <v>Below College</v>
      </c>
      <c r="G507" t="str">
        <f>IF(INDEX(tblCleanData[YearsAtCompany],499)&lt;=2,"0-2 Years",IF(INDEX(tblCleanData[YearsAtCompany],499)&lt;=5,"3-5 Years",IF(INDEX(tblCleanData[YearsAtCompany],499)&lt;=10,"6-10 Years","10+ Years")))</f>
        <v>0-2 Years</v>
      </c>
      <c r="H507" t="str">
        <f>IF(INDEX(tblCleanData[WorkLifeBalance],499)&lt;=2,"Elevated","Normal")</f>
        <v>Normal</v>
      </c>
      <c r="I507">
        <f>IF(INDEX(tblCleanData[Age],499)&lt;30,30,IF(INDEX(tblCleanData[Age],499)&lt;40,20,IF(INDEX(tblCleanData[Age],499)&lt;50,10,15)))</f>
        <v>30</v>
      </c>
      <c r="J507">
        <f>IF(INDEX(tblCleanData[MonthlyIncome],499)&lt;=$B$3,25,IF(INDEX(tblCleanData[MonthlyIncome],499)&lt;=$B$4,12,5))</f>
        <v>5</v>
      </c>
      <c r="K507">
        <f>IF(INDEX(tblCleanData[OverTime],499)="Yes",25,0)</f>
        <v>0</v>
      </c>
      <c r="L507">
        <f>(5-INDEX(tblCleanData[JobSatisfaction],499))*6.25</f>
        <v>12.5</v>
      </c>
      <c r="M507">
        <f>IF(INDEX(tblCleanData[YearsAtCompany],499)&lt;=2,25,IF(INDEX(tblCleanData[YearsAtCompany],499)&lt;=5,15,IF(INDEX(tblCleanData[YearsAtCompany],499)&lt;=10,8,3)))</f>
        <v>25</v>
      </c>
      <c r="N507">
        <f t="shared" si="14"/>
        <v>73</v>
      </c>
      <c r="O507" t="str">
        <f t="shared" si="15"/>
        <v>High Risk</v>
      </c>
    </row>
    <row r="508" spans="1:15" x14ac:dyDescent="0.25">
      <c r="A508">
        <f>INDEX(tblCleanData[EmployeeNumber],500)</f>
        <v>677</v>
      </c>
      <c r="B508" t="str">
        <f>IF(INDEX(tblCleanData[Age],500)&lt;30,"Under 30",IF(INDEX(tblCleanData[Age],500)&lt;40,"30-39",IF(INDEX(tblCleanData[Age],500)&lt;50,"40-49","50+")))</f>
        <v>30-39</v>
      </c>
      <c r="C508" t="str">
        <f>IF(INDEX(tblCleanData[MonthlyIncome],500)&lt;=$B$3,"Low Income",IF(INDEX(tblCleanData[MonthlyIncome],500)&lt;=$B$4,"Medium Income","High Income"))</f>
        <v>High Income</v>
      </c>
      <c r="D508">
        <f>IF(INDEX(tblCleanData[Attrition],500)="Yes",1,0)</f>
        <v>0</v>
      </c>
      <c r="E508">
        <f>IF(INDEX(tblCleanData[OverTime],500)="Yes",1,0)</f>
        <v>0</v>
      </c>
      <c r="F508" t="str">
        <f>CHOOSE(INDEX(tblCleanData[Education],500),"Below College","College","Bachelor","Master","Doctor")</f>
        <v>Master</v>
      </c>
      <c r="G508" t="str">
        <f>IF(INDEX(tblCleanData[YearsAtCompany],500)&lt;=2,"0-2 Years",IF(INDEX(tblCleanData[YearsAtCompany],500)&lt;=5,"3-5 Years",IF(INDEX(tblCleanData[YearsAtCompany],500)&lt;=10,"6-10 Years","10+ Years")))</f>
        <v>3-5 Years</v>
      </c>
      <c r="H508" t="str">
        <f>IF(INDEX(tblCleanData[WorkLifeBalance],500)&lt;=2,"Elevated","Normal")</f>
        <v>Normal</v>
      </c>
      <c r="I508">
        <f>IF(INDEX(tblCleanData[Age],500)&lt;30,30,IF(INDEX(tblCleanData[Age],500)&lt;40,20,IF(INDEX(tblCleanData[Age],500)&lt;50,10,15)))</f>
        <v>20</v>
      </c>
      <c r="J508">
        <f>IF(INDEX(tblCleanData[MonthlyIncome],500)&lt;=$B$3,25,IF(INDEX(tblCleanData[MonthlyIncome],500)&lt;=$B$4,12,5))</f>
        <v>5</v>
      </c>
      <c r="K508">
        <f>IF(INDEX(tblCleanData[OverTime],500)="Yes",25,0)</f>
        <v>0</v>
      </c>
      <c r="L508">
        <f>(5-INDEX(tblCleanData[JobSatisfaction],500))*6.25</f>
        <v>12.5</v>
      </c>
      <c r="M508">
        <f>IF(INDEX(tblCleanData[YearsAtCompany],500)&lt;=2,25,IF(INDEX(tblCleanData[YearsAtCompany],500)&lt;=5,15,IF(INDEX(tblCleanData[YearsAtCompany],500)&lt;=10,8,3)))</f>
        <v>15</v>
      </c>
      <c r="N508">
        <f t="shared" si="14"/>
        <v>53</v>
      </c>
      <c r="O508" t="str">
        <f t="shared" si="15"/>
        <v>Medium Risk</v>
      </c>
    </row>
    <row r="509" spans="1:15" x14ac:dyDescent="0.25">
      <c r="A509">
        <f>INDEX(tblCleanData[EmployeeNumber],501)</f>
        <v>679</v>
      </c>
      <c r="B509" t="str">
        <f>IF(INDEX(tblCleanData[Age],501)&lt;30,"Under 30",IF(INDEX(tblCleanData[Age],501)&lt;40,"30-39",IF(INDEX(tblCleanData[Age],501)&lt;50,"40-49","50+")))</f>
        <v>30-39</v>
      </c>
      <c r="C509" t="str">
        <f>IF(INDEX(tblCleanData[MonthlyIncome],501)&lt;=$B$3,"Low Income",IF(INDEX(tblCleanData[MonthlyIncome],501)&lt;=$B$4,"Medium Income","High Income"))</f>
        <v>High Income</v>
      </c>
      <c r="D509">
        <f>IF(INDEX(tblCleanData[Attrition],501)="Yes",1,0)</f>
        <v>0</v>
      </c>
      <c r="E509">
        <f>IF(INDEX(tblCleanData[OverTime],501)="Yes",1,0)</f>
        <v>1</v>
      </c>
      <c r="F509" t="str">
        <f>CHOOSE(INDEX(tblCleanData[Education],501),"Below College","College","Bachelor","Master","Doctor")</f>
        <v>Master</v>
      </c>
      <c r="G509" t="str">
        <f>IF(INDEX(tblCleanData[YearsAtCompany],501)&lt;=2,"0-2 Years",IF(INDEX(tblCleanData[YearsAtCompany],501)&lt;=5,"3-5 Years",IF(INDEX(tblCleanData[YearsAtCompany],501)&lt;=10,"6-10 Years","10+ Years")))</f>
        <v>6-10 Years</v>
      </c>
      <c r="H509" t="str">
        <f>IF(INDEX(tblCleanData[WorkLifeBalance],501)&lt;=2,"Elevated","Normal")</f>
        <v>Elevated</v>
      </c>
      <c r="I509">
        <f>IF(INDEX(tblCleanData[Age],501)&lt;30,30,IF(INDEX(tblCleanData[Age],501)&lt;40,20,IF(INDEX(tblCleanData[Age],501)&lt;50,10,15)))</f>
        <v>20</v>
      </c>
      <c r="J509">
        <f>IF(INDEX(tblCleanData[MonthlyIncome],501)&lt;=$B$3,25,IF(INDEX(tblCleanData[MonthlyIncome],501)&lt;=$B$4,12,5))</f>
        <v>5</v>
      </c>
      <c r="K509">
        <f>IF(INDEX(tblCleanData[OverTime],501)="Yes",25,0)</f>
        <v>25</v>
      </c>
      <c r="L509">
        <f>(5-INDEX(tblCleanData[JobSatisfaction],501))*6.25</f>
        <v>6.25</v>
      </c>
      <c r="M509">
        <f>IF(INDEX(tblCleanData[YearsAtCompany],501)&lt;=2,25,IF(INDEX(tblCleanData[YearsAtCompany],501)&lt;=5,15,IF(INDEX(tblCleanData[YearsAtCompany],501)&lt;=10,8,3)))</f>
        <v>8</v>
      </c>
      <c r="N509">
        <f t="shared" si="14"/>
        <v>64</v>
      </c>
      <c r="O509" t="str">
        <f t="shared" si="15"/>
        <v>High Risk</v>
      </c>
    </row>
    <row r="510" spans="1:15" x14ac:dyDescent="0.25">
      <c r="A510">
        <f>INDEX(tblCleanData[EmployeeNumber],502)</f>
        <v>680</v>
      </c>
      <c r="B510" t="str">
        <f>IF(INDEX(tblCleanData[Age],502)&lt;30,"Under 30",IF(INDEX(tblCleanData[Age],502)&lt;40,"30-39",IF(INDEX(tblCleanData[Age],502)&lt;50,"40-49","50+")))</f>
        <v>30-39</v>
      </c>
      <c r="C510" t="str">
        <f>IF(INDEX(tblCleanData[MonthlyIncome],502)&lt;=$B$3,"Low Income",IF(INDEX(tblCleanData[MonthlyIncome],502)&lt;=$B$4,"Medium Income","High Income"))</f>
        <v>High Income</v>
      </c>
      <c r="D510">
        <f>IF(INDEX(tblCleanData[Attrition],502)="Yes",1,0)</f>
        <v>0</v>
      </c>
      <c r="E510">
        <f>IF(INDEX(tblCleanData[OverTime],502)="Yes",1,0)</f>
        <v>0</v>
      </c>
      <c r="F510" t="str">
        <f>CHOOSE(INDEX(tblCleanData[Education],502),"Below College","College","Bachelor","Master","Doctor")</f>
        <v>Bachelor</v>
      </c>
      <c r="G510" t="str">
        <f>IF(INDEX(tblCleanData[YearsAtCompany],502)&lt;=2,"0-2 Years",IF(INDEX(tblCleanData[YearsAtCompany],502)&lt;=5,"3-5 Years",IF(INDEX(tblCleanData[YearsAtCompany],502)&lt;=10,"6-10 Years","10+ Years")))</f>
        <v>0-2 Years</v>
      </c>
      <c r="H510" t="str">
        <f>IF(INDEX(tblCleanData[WorkLifeBalance],502)&lt;=2,"Elevated","Normal")</f>
        <v>Normal</v>
      </c>
      <c r="I510">
        <f>IF(INDEX(tblCleanData[Age],502)&lt;30,30,IF(INDEX(tblCleanData[Age],502)&lt;40,20,IF(INDEX(tblCleanData[Age],502)&lt;50,10,15)))</f>
        <v>20</v>
      </c>
      <c r="J510">
        <f>IF(INDEX(tblCleanData[MonthlyIncome],502)&lt;=$B$3,25,IF(INDEX(tblCleanData[MonthlyIncome],502)&lt;=$B$4,12,5))</f>
        <v>5</v>
      </c>
      <c r="K510">
        <f>IF(INDEX(tblCleanData[OverTime],502)="Yes",25,0)</f>
        <v>0</v>
      </c>
      <c r="L510">
        <f>(5-INDEX(tblCleanData[JobSatisfaction],502))*6.25</f>
        <v>12.5</v>
      </c>
      <c r="M510">
        <f>IF(INDEX(tblCleanData[YearsAtCompany],502)&lt;=2,25,IF(INDEX(tblCleanData[YearsAtCompany],502)&lt;=5,15,IF(INDEX(tblCleanData[YearsAtCompany],502)&lt;=10,8,3)))</f>
        <v>25</v>
      </c>
      <c r="N510">
        <f t="shared" si="14"/>
        <v>63</v>
      </c>
      <c r="O510" t="str">
        <f t="shared" si="15"/>
        <v>High Risk</v>
      </c>
    </row>
    <row r="511" spans="1:15" x14ac:dyDescent="0.25">
      <c r="A511">
        <f>INDEX(tblCleanData[EmployeeNumber],503)</f>
        <v>682</v>
      </c>
      <c r="B511" t="str">
        <f>IF(INDEX(tblCleanData[Age],503)&lt;30,"Under 30",IF(INDEX(tblCleanData[Age],503)&lt;40,"30-39",IF(INDEX(tblCleanData[Age],503)&lt;50,"40-49","50+")))</f>
        <v>50+</v>
      </c>
      <c r="C511" t="str">
        <f>IF(INDEX(tblCleanData[MonthlyIncome],503)&lt;=$B$3,"Low Income",IF(INDEX(tblCleanData[MonthlyIncome],503)&lt;=$B$4,"Medium Income","High Income"))</f>
        <v>High Income</v>
      </c>
      <c r="D511">
        <f>IF(INDEX(tblCleanData[Attrition],503)="Yes",1,0)</f>
        <v>0</v>
      </c>
      <c r="E511">
        <f>IF(INDEX(tblCleanData[OverTime],503)="Yes",1,0)</f>
        <v>0</v>
      </c>
      <c r="F511" t="str">
        <f>CHOOSE(INDEX(tblCleanData[Education],503),"Below College","College","Bachelor","Master","Doctor")</f>
        <v>Below College</v>
      </c>
      <c r="G511" t="str">
        <f>IF(INDEX(tblCleanData[YearsAtCompany],503)&lt;=2,"0-2 Years",IF(INDEX(tblCleanData[YearsAtCompany],503)&lt;=5,"3-5 Years",IF(INDEX(tblCleanData[YearsAtCompany],503)&lt;=10,"6-10 Years","10+ Years")))</f>
        <v>10+ Years</v>
      </c>
      <c r="H511" t="str">
        <f>IF(INDEX(tblCleanData[WorkLifeBalance],503)&lt;=2,"Elevated","Normal")</f>
        <v>Normal</v>
      </c>
      <c r="I511">
        <f>IF(INDEX(tblCleanData[Age],503)&lt;30,30,IF(INDEX(tblCleanData[Age],503)&lt;40,20,IF(INDEX(tblCleanData[Age],503)&lt;50,10,15)))</f>
        <v>15</v>
      </c>
      <c r="J511">
        <f>IF(INDEX(tblCleanData[MonthlyIncome],503)&lt;=$B$3,25,IF(INDEX(tblCleanData[MonthlyIncome],503)&lt;=$B$4,12,5))</f>
        <v>5</v>
      </c>
      <c r="K511">
        <f>IF(INDEX(tblCleanData[OverTime],503)="Yes",25,0)</f>
        <v>0</v>
      </c>
      <c r="L511">
        <f>(5-INDEX(tblCleanData[JobSatisfaction],503))*6.25</f>
        <v>25</v>
      </c>
      <c r="M511">
        <f>IF(INDEX(tblCleanData[YearsAtCompany],503)&lt;=2,25,IF(INDEX(tblCleanData[YearsAtCompany],503)&lt;=5,15,IF(INDEX(tblCleanData[YearsAtCompany],503)&lt;=10,8,3)))</f>
        <v>3</v>
      </c>
      <c r="N511">
        <f t="shared" si="14"/>
        <v>48</v>
      </c>
      <c r="O511" t="str">
        <f t="shared" si="15"/>
        <v>Medium Risk</v>
      </c>
    </row>
    <row r="512" spans="1:15" x14ac:dyDescent="0.25">
      <c r="A512">
        <f>INDEX(tblCleanData[EmployeeNumber],504)</f>
        <v>683</v>
      </c>
      <c r="B512" t="str">
        <f>IF(INDEX(tblCleanData[Age],504)&lt;30,"Under 30",IF(INDEX(tblCleanData[Age],504)&lt;40,"30-39",IF(INDEX(tblCleanData[Age],504)&lt;50,"40-49","50+")))</f>
        <v>30-39</v>
      </c>
      <c r="C512" t="str">
        <f>IF(INDEX(tblCleanData[MonthlyIncome],504)&lt;=$B$3,"Low Income",IF(INDEX(tblCleanData[MonthlyIncome],504)&lt;=$B$4,"Medium Income","High Income"))</f>
        <v>High Income</v>
      </c>
      <c r="D512">
        <f>IF(INDEX(tblCleanData[Attrition],504)="Yes",1,0)</f>
        <v>0</v>
      </c>
      <c r="E512">
        <f>IF(INDEX(tblCleanData[OverTime],504)="Yes",1,0)</f>
        <v>0</v>
      </c>
      <c r="F512" t="str">
        <f>CHOOSE(INDEX(tblCleanData[Education],504),"Below College","College","Bachelor","Master","Doctor")</f>
        <v>Doctor</v>
      </c>
      <c r="G512" t="str">
        <f>IF(INDEX(tblCleanData[YearsAtCompany],504)&lt;=2,"0-2 Years",IF(INDEX(tblCleanData[YearsAtCompany],504)&lt;=5,"3-5 Years",IF(INDEX(tblCleanData[YearsAtCompany],504)&lt;=10,"6-10 Years","10+ Years")))</f>
        <v>6-10 Years</v>
      </c>
      <c r="H512" t="str">
        <f>IF(INDEX(tblCleanData[WorkLifeBalance],504)&lt;=2,"Elevated","Normal")</f>
        <v>Elevated</v>
      </c>
      <c r="I512">
        <f>IF(INDEX(tblCleanData[Age],504)&lt;30,30,IF(INDEX(tblCleanData[Age],504)&lt;40,20,IF(INDEX(tblCleanData[Age],504)&lt;50,10,15)))</f>
        <v>20</v>
      </c>
      <c r="J512">
        <f>IF(INDEX(tblCleanData[MonthlyIncome],504)&lt;=$B$3,25,IF(INDEX(tblCleanData[MonthlyIncome],504)&lt;=$B$4,12,5))</f>
        <v>5</v>
      </c>
      <c r="K512">
        <f>IF(INDEX(tblCleanData[OverTime],504)="Yes",25,0)</f>
        <v>0</v>
      </c>
      <c r="L512">
        <f>(5-INDEX(tblCleanData[JobSatisfaction],504))*6.25</f>
        <v>6.25</v>
      </c>
      <c r="M512">
        <f>IF(INDEX(tblCleanData[YearsAtCompany],504)&lt;=2,25,IF(INDEX(tblCleanData[YearsAtCompany],504)&lt;=5,15,IF(INDEX(tblCleanData[YearsAtCompany],504)&lt;=10,8,3)))</f>
        <v>8</v>
      </c>
      <c r="N512">
        <f t="shared" si="14"/>
        <v>39</v>
      </c>
      <c r="O512" t="str">
        <f t="shared" si="15"/>
        <v>Medium Risk</v>
      </c>
    </row>
    <row r="513" spans="1:15" x14ac:dyDescent="0.25">
      <c r="A513">
        <f>INDEX(tblCleanData[EmployeeNumber],505)</f>
        <v>684</v>
      </c>
      <c r="B513" t="str">
        <f>IF(INDEX(tblCleanData[Age],505)&lt;30,"Under 30",IF(INDEX(tblCleanData[Age],505)&lt;40,"30-39",IF(INDEX(tblCleanData[Age],505)&lt;50,"40-49","50+")))</f>
        <v>40-49</v>
      </c>
      <c r="C513" t="str">
        <f>IF(INDEX(tblCleanData[MonthlyIncome],505)&lt;=$B$3,"Low Income",IF(INDEX(tblCleanData[MonthlyIncome],505)&lt;=$B$4,"Medium Income","High Income"))</f>
        <v>High Income</v>
      </c>
      <c r="D513">
        <f>IF(INDEX(tblCleanData[Attrition],505)="Yes",1,0)</f>
        <v>1</v>
      </c>
      <c r="E513">
        <f>IF(INDEX(tblCleanData[OverTime],505)="Yes",1,0)</f>
        <v>0</v>
      </c>
      <c r="F513" t="str">
        <f>CHOOSE(INDEX(tblCleanData[Education],505),"Below College","College","Bachelor","Master","Doctor")</f>
        <v>Master</v>
      </c>
      <c r="G513" t="str">
        <f>IF(INDEX(tblCleanData[YearsAtCompany],505)&lt;=2,"0-2 Years",IF(INDEX(tblCleanData[YearsAtCompany],505)&lt;=5,"3-5 Years",IF(INDEX(tblCleanData[YearsAtCompany],505)&lt;=10,"6-10 Years","10+ Years")))</f>
        <v>0-2 Years</v>
      </c>
      <c r="H513" t="str">
        <f>IF(INDEX(tblCleanData[WorkLifeBalance],505)&lt;=2,"Elevated","Normal")</f>
        <v>Normal</v>
      </c>
      <c r="I513">
        <f>IF(INDEX(tblCleanData[Age],505)&lt;30,30,IF(INDEX(tblCleanData[Age],505)&lt;40,20,IF(INDEX(tblCleanData[Age],505)&lt;50,10,15)))</f>
        <v>10</v>
      </c>
      <c r="J513">
        <f>IF(INDEX(tblCleanData[MonthlyIncome],505)&lt;=$B$3,25,IF(INDEX(tblCleanData[MonthlyIncome],505)&lt;=$B$4,12,5))</f>
        <v>5</v>
      </c>
      <c r="K513">
        <f>IF(INDEX(tblCleanData[OverTime],505)="Yes",25,0)</f>
        <v>0</v>
      </c>
      <c r="L513">
        <f>(5-INDEX(tblCleanData[JobSatisfaction],505))*6.25</f>
        <v>25</v>
      </c>
      <c r="M513">
        <f>IF(INDEX(tblCleanData[YearsAtCompany],505)&lt;=2,25,IF(INDEX(tblCleanData[YearsAtCompany],505)&lt;=5,15,IF(INDEX(tblCleanData[YearsAtCompany],505)&lt;=10,8,3)))</f>
        <v>25</v>
      </c>
      <c r="N513">
        <f t="shared" si="14"/>
        <v>65</v>
      </c>
      <c r="O513" t="str">
        <f t="shared" si="15"/>
        <v>High Risk</v>
      </c>
    </row>
    <row r="514" spans="1:15" x14ac:dyDescent="0.25">
      <c r="A514">
        <f>INDEX(tblCleanData[EmployeeNumber],506)</f>
        <v>686</v>
      </c>
      <c r="B514" t="str">
        <f>IF(INDEX(tblCleanData[Age],506)&lt;30,"Under 30",IF(INDEX(tblCleanData[Age],506)&lt;40,"30-39",IF(INDEX(tblCleanData[Age],506)&lt;50,"40-49","50+")))</f>
        <v>Under 30</v>
      </c>
      <c r="C514" t="str">
        <f>IF(INDEX(tblCleanData[MonthlyIncome],506)&lt;=$B$3,"Low Income",IF(INDEX(tblCleanData[MonthlyIncome],506)&lt;=$B$4,"Medium Income","High Income"))</f>
        <v>High Income</v>
      </c>
      <c r="D514">
        <f>IF(INDEX(tblCleanData[Attrition],506)="Yes",1,0)</f>
        <v>0</v>
      </c>
      <c r="E514">
        <f>IF(INDEX(tblCleanData[OverTime],506)="Yes",1,0)</f>
        <v>1</v>
      </c>
      <c r="F514" t="str">
        <f>CHOOSE(INDEX(tblCleanData[Education],506),"Below College","College","Bachelor","Master","Doctor")</f>
        <v>Bachelor</v>
      </c>
      <c r="G514" t="str">
        <f>IF(INDEX(tblCleanData[YearsAtCompany],506)&lt;=2,"0-2 Years",IF(INDEX(tblCleanData[YearsAtCompany],506)&lt;=5,"3-5 Years",IF(INDEX(tblCleanData[YearsAtCompany],506)&lt;=10,"6-10 Years","10+ Years")))</f>
        <v>3-5 Years</v>
      </c>
      <c r="H514" t="str">
        <f>IF(INDEX(tblCleanData[WorkLifeBalance],506)&lt;=2,"Elevated","Normal")</f>
        <v>Normal</v>
      </c>
      <c r="I514">
        <f>IF(INDEX(tblCleanData[Age],506)&lt;30,30,IF(INDEX(tblCleanData[Age],506)&lt;40,20,IF(INDEX(tblCleanData[Age],506)&lt;50,10,15)))</f>
        <v>30</v>
      </c>
      <c r="J514">
        <f>IF(INDEX(tblCleanData[MonthlyIncome],506)&lt;=$B$3,25,IF(INDEX(tblCleanData[MonthlyIncome],506)&lt;=$B$4,12,5))</f>
        <v>5</v>
      </c>
      <c r="K514">
        <f>IF(INDEX(tblCleanData[OverTime],506)="Yes",25,0)</f>
        <v>25</v>
      </c>
      <c r="L514">
        <f>(5-INDEX(tblCleanData[JobSatisfaction],506))*6.25</f>
        <v>6.25</v>
      </c>
      <c r="M514">
        <f>IF(INDEX(tblCleanData[YearsAtCompany],506)&lt;=2,25,IF(INDEX(tblCleanData[YearsAtCompany],506)&lt;=5,15,IF(INDEX(tblCleanData[YearsAtCompany],506)&lt;=10,8,3)))</f>
        <v>15</v>
      </c>
      <c r="N514">
        <f t="shared" si="14"/>
        <v>81</v>
      </c>
      <c r="O514" t="str">
        <f t="shared" si="15"/>
        <v>High Risk</v>
      </c>
    </row>
    <row r="515" spans="1:15" x14ac:dyDescent="0.25">
      <c r="A515">
        <f>INDEX(tblCleanData[EmployeeNumber],507)</f>
        <v>689</v>
      </c>
      <c r="B515" t="str">
        <f>IF(INDEX(tblCleanData[Age],507)&lt;30,"Under 30",IF(INDEX(tblCleanData[Age],507)&lt;40,"30-39",IF(INDEX(tblCleanData[Age],507)&lt;50,"40-49","50+")))</f>
        <v>30-39</v>
      </c>
      <c r="C515" t="str">
        <f>IF(INDEX(tblCleanData[MonthlyIncome],507)&lt;=$B$3,"Low Income",IF(INDEX(tblCleanData[MonthlyIncome],507)&lt;=$B$4,"Medium Income","High Income"))</f>
        <v>High Income</v>
      </c>
      <c r="D515">
        <f>IF(INDEX(tblCleanData[Attrition],507)="Yes",1,0)</f>
        <v>0</v>
      </c>
      <c r="E515">
        <f>IF(INDEX(tblCleanData[OverTime],507)="Yes",1,0)</f>
        <v>0</v>
      </c>
      <c r="F515" t="str">
        <f>CHOOSE(INDEX(tblCleanData[Education],507),"Below College","College","Bachelor","Master","Doctor")</f>
        <v>Bachelor</v>
      </c>
      <c r="G515" t="str">
        <f>IF(INDEX(tblCleanData[YearsAtCompany],507)&lt;=2,"0-2 Years",IF(INDEX(tblCleanData[YearsAtCompany],507)&lt;=5,"3-5 Years",IF(INDEX(tblCleanData[YearsAtCompany],507)&lt;=10,"6-10 Years","10+ Years")))</f>
        <v>6-10 Years</v>
      </c>
      <c r="H515" t="str">
        <f>IF(INDEX(tblCleanData[WorkLifeBalance],507)&lt;=2,"Elevated","Normal")</f>
        <v>Normal</v>
      </c>
      <c r="I515">
        <f>IF(INDEX(tblCleanData[Age],507)&lt;30,30,IF(INDEX(tblCleanData[Age],507)&lt;40,20,IF(INDEX(tblCleanData[Age],507)&lt;50,10,15)))</f>
        <v>20</v>
      </c>
      <c r="J515">
        <f>IF(INDEX(tblCleanData[MonthlyIncome],507)&lt;=$B$3,25,IF(INDEX(tblCleanData[MonthlyIncome],507)&lt;=$B$4,12,5))</f>
        <v>5</v>
      </c>
      <c r="K515">
        <f>IF(INDEX(tblCleanData[OverTime],507)="Yes",25,0)</f>
        <v>0</v>
      </c>
      <c r="L515">
        <f>(5-INDEX(tblCleanData[JobSatisfaction],507))*6.25</f>
        <v>12.5</v>
      </c>
      <c r="M515">
        <f>IF(INDEX(tblCleanData[YearsAtCompany],507)&lt;=2,25,IF(INDEX(tblCleanData[YearsAtCompany],507)&lt;=5,15,IF(INDEX(tblCleanData[YearsAtCompany],507)&lt;=10,8,3)))</f>
        <v>8</v>
      </c>
      <c r="N515">
        <f t="shared" si="14"/>
        <v>46</v>
      </c>
      <c r="O515" t="str">
        <f t="shared" si="15"/>
        <v>Medium Risk</v>
      </c>
    </row>
    <row r="516" spans="1:15" x14ac:dyDescent="0.25">
      <c r="A516">
        <f>INDEX(tblCleanData[EmployeeNumber],508)</f>
        <v>690</v>
      </c>
      <c r="B516" t="str">
        <f>IF(INDEX(tblCleanData[Age],508)&lt;30,"Under 30",IF(INDEX(tblCleanData[Age],508)&lt;40,"30-39",IF(INDEX(tblCleanData[Age],508)&lt;50,"40-49","50+")))</f>
        <v>Under 30</v>
      </c>
      <c r="C516" t="str">
        <f>IF(INDEX(tblCleanData[MonthlyIncome],508)&lt;=$B$3,"Low Income",IF(INDEX(tblCleanData[MonthlyIncome],508)&lt;=$B$4,"Medium Income","High Income"))</f>
        <v>High Income</v>
      </c>
      <c r="D516">
        <f>IF(INDEX(tblCleanData[Attrition],508)="Yes",1,0)</f>
        <v>0</v>
      </c>
      <c r="E516">
        <f>IF(INDEX(tblCleanData[OverTime],508)="Yes",1,0)</f>
        <v>0</v>
      </c>
      <c r="F516" t="str">
        <f>CHOOSE(INDEX(tblCleanData[Education],508),"Below College","College","Bachelor","Master","Doctor")</f>
        <v>College</v>
      </c>
      <c r="G516" t="str">
        <f>IF(INDEX(tblCleanData[YearsAtCompany],508)&lt;=2,"0-2 Years",IF(INDEX(tblCleanData[YearsAtCompany],508)&lt;=5,"3-5 Years",IF(INDEX(tblCleanData[YearsAtCompany],508)&lt;=10,"6-10 Years","10+ Years")))</f>
        <v>6-10 Years</v>
      </c>
      <c r="H516" t="str">
        <f>IF(INDEX(tblCleanData[WorkLifeBalance],508)&lt;=2,"Elevated","Normal")</f>
        <v>Elevated</v>
      </c>
      <c r="I516">
        <f>IF(INDEX(tblCleanData[Age],508)&lt;30,30,IF(INDEX(tblCleanData[Age],508)&lt;40,20,IF(INDEX(tblCleanData[Age],508)&lt;50,10,15)))</f>
        <v>30</v>
      </c>
      <c r="J516">
        <f>IF(INDEX(tblCleanData[MonthlyIncome],508)&lt;=$B$3,25,IF(INDEX(tblCleanData[MonthlyIncome],508)&lt;=$B$4,12,5))</f>
        <v>5</v>
      </c>
      <c r="K516">
        <f>IF(INDEX(tblCleanData[OverTime],508)="Yes",25,0)</f>
        <v>0</v>
      </c>
      <c r="L516">
        <f>(5-INDEX(tblCleanData[JobSatisfaction],508))*6.25</f>
        <v>12.5</v>
      </c>
      <c r="M516">
        <f>IF(INDEX(tblCleanData[YearsAtCompany],508)&lt;=2,25,IF(INDEX(tblCleanData[YearsAtCompany],508)&lt;=5,15,IF(INDEX(tblCleanData[YearsAtCompany],508)&lt;=10,8,3)))</f>
        <v>8</v>
      </c>
      <c r="N516">
        <f t="shared" si="14"/>
        <v>56</v>
      </c>
      <c r="O516" t="str">
        <f t="shared" si="15"/>
        <v>High Risk</v>
      </c>
    </row>
    <row r="517" spans="1:15" x14ac:dyDescent="0.25">
      <c r="A517">
        <f>INDEX(tblCleanData[EmployeeNumber],509)</f>
        <v>691</v>
      </c>
      <c r="B517" t="str">
        <f>IF(INDEX(tblCleanData[Age],509)&lt;30,"Under 30",IF(INDEX(tblCleanData[Age],509)&lt;40,"30-39",IF(INDEX(tblCleanData[Age],509)&lt;50,"40-49","50+")))</f>
        <v>30-39</v>
      </c>
      <c r="C517" t="str">
        <f>IF(INDEX(tblCleanData[MonthlyIncome],509)&lt;=$B$3,"Low Income",IF(INDEX(tblCleanData[MonthlyIncome],509)&lt;=$B$4,"Medium Income","High Income"))</f>
        <v>High Income</v>
      </c>
      <c r="D517">
        <f>IF(INDEX(tblCleanData[Attrition],509)="Yes",1,0)</f>
        <v>0</v>
      </c>
      <c r="E517">
        <f>IF(INDEX(tblCleanData[OverTime],509)="Yes",1,0)</f>
        <v>0</v>
      </c>
      <c r="F517" t="str">
        <f>CHOOSE(INDEX(tblCleanData[Education],509),"Below College","College","Bachelor","Master","Doctor")</f>
        <v>Master</v>
      </c>
      <c r="G517" t="str">
        <f>IF(INDEX(tblCleanData[YearsAtCompany],509)&lt;=2,"0-2 Years",IF(INDEX(tblCleanData[YearsAtCompany],509)&lt;=5,"3-5 Years",IF(INDEX(tblCleanData[YearsAtCompany],509)&lt;=10,"6-10 Years","10+ Years")))</f>
        <v>10+ Years</v>
      </c>
      <c r="H517" t="str">
        <f>IF(INDEX(tblCleanData[WorkLifeBalance],509)&lt;=2,"Elevated","Normal")</f>
        <v>Normal</v>
      </c>
      <c r="I517">
        <f>IF(INDEX(tblCleanData[Age],509)&lt;30,30,IF(INDEX(tblCleanData[Age],509)&lt;40,20,IF(INDEX(tblCleanData[Age],509)&lt;50,10,15)))</f>
        <v>20</v>
      </c>
      <c r="J517">
        <f>IF(INDEX(tblCleanData[MonthlyIncome],509)&lt;=$B$3,25,IF(INDEX(tblCleanData[MonthlyIncome],509)&lt;=$B$4,12,5))</f>
        <v>5</v>
      </c>
      <c r="K517">
        <f>IF(INDEX(tblCleanData[OverTime],509)="Yes",25,0)</f>
        <v>0</v>
      </c>
      <c r="L517">
        <f>(5-INDEX(tblCleanData[JobSatisfaction],509))*6.25</f>
        <v>6.25</v>
      </c>
      <c r="M517">
        <f>IF(INDEX(tblCleanData[YearsAtCompany],509)&lt;=2,25,IF(INDEX(tblCleanData[YearsAtCompany],509)&lt;=5,15,IF(INDEX(tblCleanData[YearsAtCompany],509)&lt;=10,8,3)))</f>
        <v>3</v>
      </c>
      <c r="N517">
        <f t="shared" si="14"/>
        <v>34</v>
      </c>
      <c r="O517" t="str">
        <f t="shared" si="15"/>
        <v>Low Risk</v>
      </c>
    </row>
    <row r="518" spans="1:15" x14ac:dyDescent="0.25">
      <c r="A518">
        <f>INDEX(tblCleanData[EmployeeNumber],510)</f>
        <v>692</v>
      </c>
      <c r="B518" t="str">
        <f>IF(INDEX(tblCleanData[Age],510)&lt;30,"Under 30",IF(INDEX(tblCleanData[Age],510)&lt;40,"30-39",IF(INDEX(tblCleanData[Age],510)&lt;50,"40-49","50+")))</f>
        <v>30-39</v>
      </c>
      <c r="C518" t="str">
        <f>IF(INDEX(tblCleanData[MonthlyIncome],510)&lt;=$B$3,"Low Income",IF(INDEX(tblCleanData[MonthlyIncome],510)&lt;=$B$4,"Medium Income","High Income"))</f>
        <v>High Income</v>
      </c>
      <c r="D518">
        <f>IF(INDEX(tblCleanData[Attrition],510)="Yes",1,0)</f>
        <v>0</v>
      </c>
      <c r="E518">
        <f>IF(INDEX(tblCleanData[OverTime],510)="Yes",1,0)</f>
        <v>0</v>
      </c>
      <c r="F518" t="str">
        <f>CHOOSE(INDEX(tblCleanData[Education],510),"Below College","College","Bachelor","Master","Doctor")</f>
        <v>Bachelor</v>
      </c>
      <c r="G518" t="str">
        <f>IF(INDEX(tblCleanData[YearsAtCompany],510)&lt;=2,"0-2 Years",IF(INDEX(tblCleanData[YearsAtCompany],510)&lt;=5,"3-5 Years",IF(INDEX(tblCleanData[YearsAtCompany],510)&lt;=10,"6-10 Years","10+ Years")))</f>
        <v>10+ Years</v>
      </c>
      <c r="H518" t="str">
        <f>IF(INDEX(tblCleanData[WorkLifeBalance],510)&lt;=2,"Elevated","Normal")</f>
        <v>Elevated</v>
      </c>
      <c r="I518">
        <f>IF(INDEX(tblCleanData[Age],510)&lt;30,30,IF(INDEX(tblCleanData[Age],510)&lt;40,20,IF(INDEX(tblCleanData[Age],510)&lt;50,10,15)))</f>
        <v>20</v>
      </c>
      <c r="J518">
        <f>IF(INDEX(tblCleanData[MonthlyIncome],510)&lt;=$B$3,25,IF(INDEX(tblCleanData[MonthlyIncome],510)&lt;=$B$4,12,5))</f>
        <v>5</v>
      </c>
      <c r="K518">
        <f>IF(INDEX(tblCleanData[OverTime],510)="Yes",25,0)</f>
        <v>0</v>
      </c>
      <c r="L518">
        <f>(5-INDEX(tblCleanData[JobSatisfaction],510))*6.25</f>
        <v>6.25</v>
      </c>
      <c r="M518">
        <f>IF(INDEX(tblCleanData[YearsAtCompany],510)&lt;=2,25,IF(INDEX(tblCleanData[YearsAtCompany],510)&lt;=5,15,IF(INDEX(tblCleanData[YearsAtCompany],510)&lt;=10,8,3)))</f>
        <v>3</v>
      </c>
      <c r="N518">
        <f t="shared" si="14"/>
        <v>34</v>
      </c>
      <c r="O518" t="str">
        <f t="shared" si="15"/>
        <v>Low Risk</v>
      </c>
    </row>
    <row r="519" spans="1:15" x14ac:dyDescent="0.25">
      <c r="A519">
        <f>INDEX(tblCleanData[EmployeeNumber],511)</f>
        <v>698</v>
      </c>
      <c r="B519" t="str">
        <f>IF(INDEX(tblCleanData[Age],511)&lt;30,"Under 30",IF(INDEX(tblCleanData[Age],511)&lt;40,"30-39",IF(INDEX(tblCleanData[Age],511)&lt;50,"40-49","50+")))</f>
        <v>50+</v>
      </c>
      <c r="C519" t="str">
        <f>IF(INDEX(tblCleanData[MonthlyIncome],511)&lt;=$B$3,"Low Income",IF(INDEX(tblCleanData[MonthlyIncome],511)&lt;=$B$4,"Medium Income","High Income"))</f>
        <v>High Income</v>
      </c>
      <c r="D519">
        <f>IF(INDEX(tblCleanData[Attrition],511)="Yes",1,0)</f>
        <v>0</v>
      </c>
      <c r="E519">
        <f>IF(INDEX(tblCleanData[OverTime],511)="Yes",1,0)</f>
        <v>0</v>
      </c>
      <c r="F519" t="str">
        <f>CHOOSE(INDEX(tblCleanData[Education],511),"Below College","College","Bachelor","Master","Doctor")</f>
        <v>Master</v>
      </c>
      <c r="G519" t="str">
        <f>IF(INDEX(tblCleanData[YearsAtCompany],511)&lt;=2,"0-2 Years",IF(INDEX(tblCleanData[YearsAtCompany],511)&lt;=5,"3-5 Years",IF(INDEX(tblCleanData[YearsAtCompany],511)&lt;=10,"6-10 Years","10+ Years")))</f>
        <v>6-10 Years</v>
      </c>
      <c r="H519" t="str">
        <f>IF(INDEX(tblCleanData[WorkLifeBalance],511)&lt;=2,"Elevated","Normal")</f>
        <v>Normal</v>
      </c>
      <c r="I519">
        <f>IF(INDEX(tblCleanData[Age],511)&lt;30,30,IF(INDEX(tblCleanData[Age],511)&lt;40,20,IF(INDEX(tblCleanData[Age],511)&lt;50,10,15)))</f>
        <v>15</v>
      </c>
      <c r="J519">
        <f>IF(INDEX(tblCleanData[MonthlyIncome],511)&lt;=$B$3,25,IF(INDEX(tblCleanData[MonthlyIncome],511)&lt;=$B$4,12,5))</f>
        <v>5</v>
      </c>
      <c r="K519">
        <f>IF(INDEX(tblCleanData[OverTime],511)="Yes",25,0)</f>
        <v>0</v>
      </c>
      <c r="L519">
        <f>(5-INDEX(tblCleanData[JobSatisfaction],511))*6.25</f>
        <v>18.75</v>
      </c>
      <c r="M519">
        <f>IF(INDEX(tblCleanData[YearsAtCompany],511)&lt;=2,25,IF(INDEX(tblCleanData[YearsAtCompany],511)&lt;=5,15,IF(INDEX(tblCleanData[YearsAtCompany],511)&lt;=10,8,3)))</f>
        <v>8</v>
      </c>
      <c r="N519">
        <f t="shared" si="14"/>
        <v>47</v>
      </c>
      <c r="O519" t="str">
        <f t="shared" si="15"/>
        <v>Medium Risk</v>
      </c>
    </row>
    <row r="520" spans="1:15" x14ac:dyDescent="0.25">
      <c r="A520">
        <f>INDEX(tblCleanData[EmployeeNumber],512)</f>
        <v>699</v>
      </c>
      <c r="B520" t="str">
        <f>IF(INDEX(tblCleanData[Age],512)&lt;30,"Under 30",IF(INDEX(tblCleanData[Age],512)&lt;40,"30-39",IF(INDEX(tblCleanData[Age],512)&lt;50,"40-49","50+")))</f>
        <v>30-39</v>
      </c>
      <c r="C520" t="str">
        <f>IF(INDEX(tblCleanData[MonthlyIncome],512)&lt;=$B$3,"Low Income",IF(INDEX(tblCleanData[MonthlyIncome],512)&lt;=$B$4,"Medium Income","High Income"))</f>
        <v>High Income</v>
      </c>
      <c r="D520">
        <f>IF(INDEX(tblCleanData[Attrition],512)="Yes",1,0)</f>
        <v>0</v>
      </c>
      <c r="E520">
        <f>IF(INDEX(tblCleanData[OverTime],512)="Yes",1,0)</f>
        <v>1</v>
      </c>
      <c r="F520" t="str">
        <f>CHOOSE(INDEX(tblCleanData[Education],512),"Below College","College","Bachelor","Master","Doctor")</f>
        <v>College</v>
      </c>
      <c r="G520" t="str">
        <f>IF(INDEX(tblCleanData[YearsAtCompany],512)&lt;=2,"0-2 Years",IF(INDEX(tblCleanData[YearsAtCompany],512)&lt;=5,"3-5 Years",IF(INDEX(tblCleanData[YearsAtCompany],512)&lt;=10,"6-10 Years","10+ Years")))</f>
        <v>3-5 Years</v>
      </c>
      <c r="H520" t="str">
        <f>IF(INDEX(tblCleanData[WorkLifeBalance],512)&lt;=2,"Elevated","Normal")</f>
        <v>Normal</v>
      </c>
      <c r="I520">
        <f>IF(INDEX(tblCleanData[Age],512)&lt;30,30,IF(INDEX(tblCleanData[Age],512)&lt;40,20,IF(INDEX(tblCleanData[Age],512)&lt;50,10,15)))</f>
        <v>20</v>
      </c>
      <c r="J520">
        <f>IF(INDEX(tblCleanData[MonthlyIncome],512)&lt;=$B$3,25,IF(INDEX(tblCleanData[MonthlyIncome],512)&lt;=$B$4,12,5))</f>
        <v>5</v>
      </c>
      <c r="K520">
        <f>IF(INDEX(tblCleanData[OverTime],512)="Yes",25,0)</f>
        <v>25</v>
      </c>
      <c r="L520">
        <f>(5-INDEX(tblCleanData[JobSatisfaction],512))*6.25</f>
        <v>18.75</v>
      </c>
      <c r="M520">
        <f>IF(INDEX(tblCleanData[YearsAtCompany],512)&lt;=2,25,IF(INDEX(tblCleanData[YearsAtCompany],512)&lt;=5,15,IF(INDEX(tblCleanData[YearsAtCompany],512)&lt;=10,8,3)))</f>
        <v>15</v>
      </c>
      <c r="N520">
        <f t="shared" si="14"/>
        <v>84</v>
      </c>
      <c r="O520" t="str">
        <f t="shared" si="15"/>
        <v>High Risk</v>
      </c>
    </row>
    <row r="521" spans="1:15" x14ac:dyDescent="0.25">
      <c r="A521">
        <f>INDEX(tblCleanData[EmployeeNumber],513)</f>
        <v>700</v>
      </c>
      <c r="B521" t="str">
        <f>IF(INDEX(tblCleanData[Age],513)&lt;30,"Under 30",IF(INDEX(tblCleanData[Age],513)&lt;40,"30-39",IF(INDEX(tblCleanData[Age],513)&lt;50,"40-49","50+")))</f>
        <v>Under 30</v>
      </c>
      <c r="C521" t="str">
        <f>IF(INDEX(tblCleanData[MonthlyIncome],513)&lt;=$B$3,"Low Income",IF(INDEX(tblCleanData[MonthlyIncome],513)&lt;=$B$4,"Medium Income","High Income"))</f>
        <v>High Income</v>
      </c>
      <c r="D521">
        <f>IF(INDEX(tblCleanData[Attrition],513)="Yes",1,0)</f>
        <v>0</v>
      </c>
      <c r="E521">
        <f>IF(INDEX(tblCleanData[OverTime],513)="Yes",1,0)</f>
        <v>0</v>
      </c>
      <c r="F521" t="str">
        <f>CHOOSE(INDEX(tblCleanData[Education],513),"Below College","College","Bachelor","Master","Doctor")</f>
        <v>Master</v>
      </c>
      <c r="G521" t="str">
        <f>IF(INDEX(tblCleanData[YearsAtCompany],513)&lt;=2,"0-2 Years",IF(INDEX(tblCleanData[YearsAtCompany],513)&lt;=5,"3-5 Years",IF(INDEX(tblCleanData[YearsAtCompany],513)&lt;=10,"6-10 Years","10+ Years")))</f>
        <v>3-5 Years</v>
      </c>
      <c r="H521" t="str">
        <f>IF(INDEX(tblCleanData[WorkLifeBalance],513)&lt;=2,"Elevated","Normal")</f>
        <v>Normal</v>
      </c>
      <c r="I521">
        <f>IF(INDEX(tblCleanData[Age],513)&lt;30,30,IF(INDEX(tblCleanData[Age],513)&lt;40,20,IF(INDEX(tblCleanData[Age],513)&lt;50,10,15)))</f>
        <v>30</v>
      </c>
      <c r="J521">
        <f>IF(INDEX(tblCleanData[MonthlyIncome],513)&lt;=$B$3,25,IF(INDEX(tblCleanData[MonthlyIncome],513)&lt;=$B$4,12,5))</f>
        <v>5</v>
      </c>
      <c r="K521">
        <f>IF(INDEX(tblCleanData[OverTime],513)="Yes",25,0)</f>
        <v>0</v>
      </c>
      <c r="L521">
        <f>(5-INDEX(tblCleanData[JobSatisfaction],513))*6.25</f>
        <v>6.25</v>
      </c>
      <c r="M521">
        <f>IF(INDEX(tblCleanData[YearsAtCompany],513)&lt;=2,25,IF(INDEX(tblCleanData[YearsAtCompany],513)&lt;=5,15,IF(INDEX(tblCleanData[YearsAtCompany],513)&lt;=10,8,3)))</f>
        <v>15</v>
      </c>
      <c r="N521">
        <f t="shared" ref="N521:N584" si="16">ROUND(I521+J521+K521+L521+M521,0)</f>
        <v>56</v>
      </c>
      <c r="O521" t="str">
        <f t="shared" ref="O521:O584" si="17">IF(N521&gt;=55,"High Risk",IF(N521&gt;=35,"Medium Risk","Low Risk"))</f>
        <v>High Risk</v>
      </c>
    </row>
    <row r="522" spans="1:15" x14ac:dyDescent="0.25">
      <c r="A522">
        <f>INDEX(tblCleanData[EmployeeNumber],514)</f>
        <v>701</v>
      </c>
      <c r="B522" t="str">
        <f>IF(INDEX(tblCleanData[Age],514)&lt;30,"Under 30",IF(INDEX(tblCleanData[Age],514)&lt;40,"30-39",IF(INDEX(tblCleanData[Age],514)&lt;50,"40-49","50+")))</f>
        <v>Under 30</v>
      </c>
      <c r="C522" t="str">
        <f>IF(INDEX(tblCleanData[MonthlyIncome],514)&lt;=$B$3,"Low Income",IF(INDEX(tblCleanData[MonthlyIncome],514)&lt;=$B$4,"Medium Income","High Income"))</f>
        <v>High Income</v>
      </c>
      <c r="D522">
        <f>IF(INDEX(tblCleanData[Attrition],514)="Yes",1,0)</f>
        <v>1</v>
      </c>
      <c r="E522">
        <f>IF(INDEX(tblCleanData[OverTime],514)="Yes",1,0)</f>
        <v>1</v>
      </c>
      <c r="F522" t="str">
        <f>CHOOSE(INDEX(tblCleanData[Education],514),"Below College","College","Bachelor","Master","Doctor")</f>
        <v>Below College</v>
      </c>
      <c r="G522" t="str">
        <f>IF(INDEX(tblCleanData[YearsAtCompany],514)&lt;=2,"0-2 Years",IF(INDEX(tblCleanData[YearsAtCompany],514)&lt;=5,"3-5 Years",IF(INDEX(tblCleanData[YearsAtCompany],514)&lt;=10,"6-10 Years","10+ Years")))</f>
        <v>0-2 Years</v>
      </c>
      <c r="H522" t="str">
        <f>IF(INDEX(tblCleanData[WorkLifeBalance],514)&lt;=2,"Elevated","Normal")</f>
        <v>Normal</v>
      </c>
      <c r="I522">
        <f>IF(INDEX(tblCleanData[Age],514)&lt;30,30,IF(INDEX(tblCleanData[Age],514)&lt;40,20,IF(INDEX(tblCleanData[Age],514)&lt;50,10,15)))</f>
        <v>30</v>
      </c>
      <c r="J522">
        <f>IF(INDEX(tblCleanData[MonthlyIncome],514)&lt;=$B$3,25,IF(INDEX(tblCleanData[MonthlyIncome],514)&lt;=$B$4,12,5))</f>
        <v>5</v>
      </c>
      <c r="K522">
        <f>IF(INDEX(tblCleanData[OverTime],514)="Yes",25,0)</f>
        <v>25</v>
      </c>
      <c r="L522">
        <f>(5-INDEX(tblCleanData[JobSatisfaction],514))*6.25</f>
        <v>12.5</v>
      </c>
      <c r="M522">
        <f>IF(INDEX(tblCleanData[YearsAtCompany],514)&lt;=2,25,IF(INDEX(tblCleanData[YearsAtCompany],514)&lt;=5,15,IF(INDEX(tblCleanData[YearsAtCompany],514)&lt;=10,8,3)))</f>
        <v>25</v>
      </c>
      <c r="N522">
        <f t="shared" si="16"/>
        <v>98</v>
      </c>
      <c r="O522" t="str">
        <f t="shared" si="17"/>
        <v>High Risk</v>
      </c>
    </row>
    <row r="523" spans="1:15" x14ac:dyDescent="0.25">
      <c r="A523">
        <f>INDEX(tblCleanData[EmployeeNumber],515)</f>
        <v>702</v>
      </c>
      <c r="B523" t="str">
        <f>IF(INDEX(tblCleanData[Age],515)&lt;30,"Under 30",IF(INDEX(tblCleanData[Age],515)&lt;40,"30-39",IF(INDEX(tblCleanData[Age],515)&lt;50,"40-49","50+")))</f>
        <v>30-39</v>
      </c>
      <c r="C523" t="str">
        <f>IF(INDEX(tblCleanData[MonthlyIncome],515)&lt;=$B$3,"Low Income",IF(INDEX(tblCleanData[MonthlyIncome],515)&lt;=$B$4,"Medium Income","High Income"))</f>
        <v>High Income</v>
      </c>
      <c r="D523">
        <f>IF(INDEX(tblCleanData[Attrition],515)="Yes",1,0)</f>
        <v>1</v>
      </c>
      <c r="E523">
        <f>IF(INDEX(tblCleanData[OverTime],515)="Yes",1,0)</f>
        <v>1</v>
      </c>
      <c r="F523" t="str">
        <f>CHOOSE(INDEX(tblCleanData[Education],515),"Below College","College","Bachelor","Master","Doctor")</f>
        <v>Bachelor</v>
      </c>
      <c r="G523" t="str">
        <f>IF(INDEX(tblCleanData[YearsAtCompany],515)&lt;=2,"0-2 Years",IF(INDEX(tblCleanData[YearsAtCompany],515)&lt;=5,"3-5 Years",IF(INDEX(tblCleanData[YearsAtCompany],515)&lt;=10,"6-10 Years","10+ Years")))</f>
        <v>6-10 Years</v>
      </c>
      <c r="H523" t="str">
        <f>IF(INDEX(tblCleanData[WorkLifeBalance],515)&lt;=2,"Elevated","Normal")</f>
        <v>Normal</v>
      </c>
      <c r="I523">
        <f>IF(INDEX(tblCleanData[Age],515)&lt;30,30,IF(INDEX(tblCleanData[Age],515)&lt;40,20,IF(INDEX(tblCleanData[Age],515)&lt;50,10,15)))</f>
        <v>20</v>
      </c>
      <c r="J523">
        <f>IF(INDEX(tblCleanData[MonthlyIncome],515)&lt;=$B$3,25,IF(INDEX(tblCleanData[MonthlyIncome],515)&lt;=$B$4,12,5))</f>
        <v>5</v>
      </c>
      <c r="K523">
        <f>IF(INDEX(tblCleanData[OverTime],515)="Yes",25,0)</f>
        <v>25</v>
      </c>
      <c r="L523">
        <f>(5-INDEX(tblCleanData[JobSatisfaction],515))*6.25</f>
        <v>25</v>
      </c>
      <c r="M523">
        <f>IF(INDEX(tblCleanData[YearsAtCompany],515)&lt;=2,25,IF(INDEX(tblCleanData[YearsAtCompany],515)&lt;=5,15,IF(INDEX(tblCleanData[YearsAtCompany],515)&lt;=10,8,3)))</f>
        <v>8</v>
      </c>
      <c r="N523">
        <f t="shared" si="16"/>
        <v>83</v>
      </c>
      <c r="O523" t="str">
        <f t="shared" si="17"/>
        <v>High Risk</v>
      </c>
    </row>
    <row r="524" spans="1:15" x14ac:dyDescent="0.25">
      <c r="A524">
        <f>INDEX(tblCleanData[EmployeeNumber],516)</f>
        <v>704</v>
      </c>
      <c r="B524" t="str">
        <f>IF(INDEX(tblCleanData[Age],516)&lt;30,"Under 30",IF(INDEX(tblCleanData[Age],516)&lt;40,"30-39",IF(INDEX(tblCleanData[Age],516)&lt;50,"40-49","50+")))</f>
        <v>30-39</v>
      </c>
      <c r="C524" t="str">
        <f>IF(INDEX(tblCleanData[MonthlyIncome],516)&lt;=$B$3,"Low Income",IF(INDEX(tblCleanData[MonthlyIncome],516)&lt;=$B$4,"Medium Income","High Income"))</f>
        <v>High Income</v>
      </c>
      <c r="D524">
        <f>IF(INDEX(tblCleanData[Attrition],516)="Yes",1,0)</f>
        <v>0</v>
      </c>
      <c r="E524">
        <f>IF(INDEX(tblCleanData[OverTime],516)="Yes",1,0)</f>
        <v>0</v>
      </c>
      <c r="F524" t="str">
        <f>CHOOSE(INDEX(tblCleanData[Education],516),"Below College","College","Bachelor","Master","Doctor")</f>
        <v>Bachelor</v>
      </c>
      <c r="G524" t="str">
        <f>IF(INDEX(tblCleanData[YearsAtCompany],516)&lt;=2,"0-2 Years",IF(INDEX(tblCleanData[YearsAtCompany],516)&lt;=5,"3-5 Years",IF(INDEX(tblCleanData[YearsAtCompany],516)&lt;=10,"6-10 Years","10+ Years")))</f>
        <v>0-2 Years</v>
      </c>
      <c r="H524" t="str">
        <f>IF(INDEX(tblCleanData[WorkLifeBalance],516)&lt;=2,"Elevated","Normal")</f>
        <v>Normal</v>
      </c>
      <c r="I524">
        <f>IF(INDEX(tblCleanData[Age],516)&lt;30,30,IF(INDEX(tblCleanData[Age],516)&lt;40,20,IF(INDEX(tblCleanData[Age],516)&lt;50,10,15)))</f>
        <v>20</v>
      </c>
      <c r="J524">
        <f>IF(INDEX(tblCleanData[MonthlyIncome],516)&lt;=$B$3,25,IF(INDEX(tblCleanData[MonthlyIncome],516)&lt;=$B$4,12,5))</f>
        <v>5</v>
      </c>
      <c r="K524">
        <f>IF(INDEX(tblCleanData[OverTime],516)="Yes",25,0)</f>
        <v>0</v>
      </c>
      <c r="L524">
        <f>(5-INDEX(tblCleanData[JobSatisfaction],516))*6.25</f>
        <v>12.5</v>
      </c>
      <c r="M524">
        <f>IF(INDEX(tblCleanData[YearsAtCompany],516)&lt;=2,25,IF(INDEX(tblCleanData[YearsAtCompany],516)&lt;=5,15,IF(INDEX(tblCleanData[YearsAtCompany],516)&lt;=10,8,3)))</f>
        <v>25</v>
      </c>
      <c r="N524">
        <f t="shared" si="16"/>
        <v>63</v>
      </c>
      <c r="O524" t="str">
        <f t="shared" si="17"/>
        <v>High Risk</v>
      </c>
    </row>
    <row r="525" spans="1:15" x14ac:dyDescent="0.25">
      <c r="A525">
        <f>INDEX(tblCleanData[EmployeeNumber],517)</f>
        <v>705</v>
      </c>
      <c r="B525" t="str">
        <f>IF(INDEX(tblCleanData[Age],517)&lt;30,"Under 30",IF(INDEX(tblCleanData[Age],517)&lt;40,"30-39",IF(INDEX(tblCleanData[Age],517)&lt;50,"40-49","50+")))</f>
        <v>Under 30</v>
      </c>
      <c r="C525" t="str">
        <f>IF(INDEX(tblCleanData[MonthlyIncome],517)&lt;=$B$3,"Low Income",IF(INDEX(tblCleanData[MonthlyIncome],517)&lt;=$B$4,"Medium Income","High Income"))</f>
        <v>High Income</v>
      </c>
      <c r="D525">
        <f>IF(INDEX(tblCleanData[Attrition],517)="Yes",1,0)</f>
        <v>0</v>
      </c>
      <c r="E525">
        <f>IF(INDEX(tblCleanData[OverTime],517)="Yes",1,0)</f>
        <v>0</v>
      </c>
      <c r="F525" t="str">
        <f>CHOOSE(INDEX(tblCleanData[Education],517),"Below College","College","Bachelor","Master","Doctor")</f>
        <v>Bachelor</v>
      </c>
      <c r="G525" t="str">
        <f>IF(INDEX(tblCleanData[YearsAtCompany],517)&lt;=2,"0-2 Years",IF(INDEX(tblCleanData[YearsAtCompany],517)&lt;=5,"3-5 Years",IF(INDEX(tblCleanData[YearsAtCompany],517)&lt;=10,"6-10 Years","10+ Years")))</f>
        <v>3-5 Years</v>
      </c>
      <c r="H525" t="str">
        <f>IF(INDEX(tblCleanData[WorkLifeBalance],517)&lt;=2,"Elevated","Normal")</f>
        <v>Normal</v>
      </c>
      <c r="I525">
        <f>IF(INDEX(tblCleanData[Age],517)&lt;30,30,IF(INDEX(tblCleanData[Age],517)&lt;40,20,IF(INDEX(tblCleanData[Age],517)&lt;50,10,15)))</f>
        <v>30</v>
      </c>
      <c r="J525">
        <f>IF(INDEX(tblCleanData[MonthlyIncome],517)&lt;=$B$3,25,IF(INDEX(tblCleanData[MonthlyIncome],517)&lt;=$B$4,12,5))</f>
        <v>5</v>
      </c>
      <c r="K525">
        <f>IF(INDEX(tblCleanData[OverTime],517)="Yes",25,0)</f>
        <v>0</v>
      </c>
      <c r="L525">
        <f>(5-INDEX(tblCleanData[JobSatisfaction],517))*6.25</f>
        <v>25</v>
      </c>
      <c r="M525">
        <f>IF(INDEX(tblCleanData[YearsAtCompany],517)&lt;=2,25,IF(INDEX(tblCleanData[YearsAtCompany],517)&lt;=5,15,IF(INDEX(tblCleanData[YearsAtCompany],517)&lt;=10,8,3)))</f>
        <v>15</v>
      </c>
      <c r="N525">
        <f t="shared" si="16"/>
        <v>75</v>
      </c>
      <c r="O525" t="str">
        <f t="shared" si="17"/>
        <v>High Risk</v>
      </c>
    </row>
    <row r="526" spans="1:15" x14ac:dyDescent="0.25">
      <c r="A526">
        <f>INDEX(tblCleanData[EmployeeNumber],518)</f>
        <v>707</v>
      </c>
      <c r="B526" t="str">
        <f>IF(INDEX(tblCleanData[Age],518)&lt;30,"Under 30",IF(INDEX(tblCleanData[Age],518)&lt;40,"30-39",IF(INDEX(tblCleanData[Age],518)&lt;50,"40-49","50+")))</f>
        <v>Under 30</v>
      </c>
      <c r="C526" t="str">
        <f>IF(INDEX(tblCleanData[MonthlyIncome],518)&lt;=$B$3,"Low Income",IF(INDEX(tblCleanData[MonthlyIncome],518)&lt;=$B$4,"Medium Income","High Income"))</f>
        <v>High Income</v>
      </c>
      <c r="D526">
        <f>IF(INDEX(tblCleanData[Attrition],518)="Yes",1,0)</f>
        <v>0</v>
      </c>
      <c r="E526">
        <f>IF(INDEX(tblCleanData[OverTime],518)="Yes",1,0)</f>
        <v>0</v>
      </c>
      <c r="F526" t="str">
        <f>CHOOSE(INDEX(tblCleanData[Education],518),"Below College","College","Bachelor","Master","Doctor")</f>
        <v>Bachelor</v>
      </c>
      <c r="G526" t="str">
        <f>IF(INDEX(tblCleanData[YearsAtCompany],518)&lt;=2,"0-2 Years",IF(INDEX(tblCleanData[YearsAtCompany],518)&lt;=5,"3-5 Years",IF(INDEX(tblCleanData[YearsAtCompany],518)&lt;=10,"6-10 Years","10+ Years")))</f>
        <v>3-5 Years</v>
      </c>
      <c r="H526" t="str">
        <f>IF(INDEX(tblCleanData[WorkLifeBalance],518)&lt;=2,"Elevated","Normal")</f>
        <v>Normal</v>
      </c>
      <c r="I526">
        <f>IF(INDEX(tblCleanData[Age],518)&lt;30,30,IF(INDEX(tblCleanData[Age],518)&lt;40,20,IF(INDEX(tblCleanData[Age],518)&lt;50,10,15)))</f>
        <v>30</v>
      </c>
      <c r="J526">
        <f>IF(INDEX(tblCleanData[MonthlyIncome],518)&lt;=$B$3,25,IF(INDEX(tblCleanData[MonthlyIncome],518)&lt;=$B$4,12,5))</f>
        <v>5</v>
      </c>
      <c r="K526">
        <f>IF(INDEX(tblCleanData[OverTime],518)="Yes",25,0)</f>
        <v>0</v>
      </c>
      <c r="L526">
        <f>(5-INDEX(tblCleanData[JobSatisfaction],518))*6.25</f>
        <v>18.75</v>
      </c>
      <c r="M526">
        <f>IF(INDEX(tblCleanData[YearsAtCompany],518)&lt;=2,25,IF(INDEX(tblCleanData[YearsAtCompany],518)&lt;=5,15,IF(INDEX(tblCleanData[YearsAtCompany],518)&lt;=10,8,3)))</f>
        <v>15</v>
      </c>
      <c r="N526">
        <f t="shared" si="16"/>
        <v>69</v>
      </c>
      <c r="O526" t="str">
        <f t="shared" si="17"/>
        <v>High Risk</v>
      </c>
    </row>
    <row r="527" spans="1:15" x14ac:dyDescent="0.25">
      <c r="A527">
        <f>INDEX(tblCleanData[EmployeeNumber],519)</f>
        <v>709</v>
      </c>
      <c r="B527" t="str">
        <f>IF(INDEX(tblCleanData[Age],519)&lt;30,"Under 30",IF(INDEX(tblCleanData[Age],519)&lt;40,"30-39",IF(INDEX(tblCleanData[Age],519)&lt;50,"40-49","50+")))</f>
        <v>30-39</v>
      </c>
      <c r="C527" t="str">
        <f>IF(INDEX(tblCleanData[MonthlyIncome],519)&lt;=$B$3,"Low Income",IF(INDEX(tblCleanData[MonthlyIncome],519)&lt;=$B$4,"Medium Income","High Income"))</f>
        <v>High Income</v>
      </c>
      <c r="D527">
        <f>IF(INDEX(tblCleanData[Attrition],519)="Yes",1,0)</f>
        <v>0</v>
      </c>
      <c r="E527">
        <f>IF(INDEX(tblCleanData[OverTime],519)="Yes",1,0)</f>
        <v>0</v>
      </c>
      <c r="F527" t="str">
        <f>CHOOSE(INDEX(tblCleanData[Education],519),"Below College","College","Bachelor","Master","Doctor")</f>
        <v>Master</v>
      </c>
      <c r="G527" t="str">
        <f>IF(INDEX(tblCleanData[YearsAtCompany],519)&lt;=2,"0-2 Years",IF(INDEX(tblCleanData[YearsAtCompany],519)&lt;=5,"3-5 Years",IF(INDEX(tblCleanData[YearsAtCompany],519)&lt;=10,"6-10 Years","10+ Years")))</f>
        <v>6-10 Years</v>
      </c>
      <c r="H527" t="str">
        <f>IF(INDEX(tblCleanData[WorkLifeBalance],519)&lt;=2,"Elevated","Normal")</f>
        <v>Normal</v>
      </c>
      <c r="I527">
        <f>IF(INDEX(tblCleanData[Age],519)&lt;30,30,IF(INDEX(tblCleanData[Age],519)&lt;40,20,IF(INDEX(tblCleanData[Age],519)&lt;50,10,15)))</f>
        <v>20</v>
      </c>
      <c r="J527">
        <f>IF(INDEX(tblCleanData[MonthlyIncome],519)&lt;=$B$3,25,IF(INDEX(tblCleanData[MonthlyIncome],519)&lt;=$B$4,12,5))</f>
        <v>5</v>
      </c>
      <c r="K527">
        <f>IF(INDEX(tblCleanData[OverTime],519)="Yes",25,0)</f>
        <v>0</v>
      </c>
      <c r="L527">
        <f>(5-INDEX(tblCleanData[JobSatisfaction],519))*6.25</f>
        <v>6.25</v>
      </c>
      <c r="M527">
        <f>IF(INDEX(tblCleanData[YearsAtCompany],519)&lt;=2,25,IF(INDEX(tblCleanData[YearsAtCompany],519)&lt;=5,15,IF(INDEX(tblCleanData[YearsAtCompany],519)&lt;=10,8,3)))</f>
        <v>8</v>
      </c>
      <c r="N527">
        <f t="shared" si="16"/>
        <v>39</v>
      </c>
      <c r="O527" t="str">
        <f t="shared" si="17"/>
        <v>Medium Risk</v>
      </c>
    </row>
    <row r="528" spans="1:15" x14ac:dyDescent="0.25">
      <c r="A528">
        <f>INDEX(tblCleanData[EmployeeNumber],520)</f>
        <v>710</v>
      </c>
      <c r="B528" t="str">
        <f>IF(INDEX(tblCleanData[Age],520)&lt;30,"Under 30",IF(INDEX(tblCleanData[Age],520)&lt;40,"30-39",IF(INDEX(tblCleanData[Age],520)&lt;50,"40-49","50+")))</f>
        <v>Under 30</v>
      </c>
      <c r="C528" t="str">
        <f>IF(INDEX(tblCleanData[MonthlyIncome],520)&lt;=$B$3,"Low Income",IF(INDEX(tblCleanData[MonthlyIncome],520)&lt;=$B$4,"Medium Income","High Income"))</f>
        <v>High Income</v>
      </c>
      <c r="D528">
        <f>IF(INDEX(tblCleanData[Attrition],520)="Yes",1,0)</f>
        <v>0</v>
      </c>
      <c r="E528">
        <f>IF(INDEX(tblCleanData[OverTime],520)="Yes",1,0)</f>
        <v>0</v>
      </c>
      <c r="F528" t="str">
        <f>CHOOSE(INDEX(tblCleanData[Education],520),"Below College","College","Bachelor","Master","Doctor")</f>
        <v>Master</v>
      </c>
      <c r="G528" t="str">
        <f>IF(INDEX(tblCleanData[YearsAtCompany],520)&lt;=2,"0-2 Years",IF(INDEX(tblCleanData[YearsAtCompany],520)&lt;=5,"3-5 Years",IF(INDEX(tblCleanData[YearsAtCompany],520)&lt;=10,"6-10 Years","10+ Years")))</f>
        <v>6-10 Years</v>
      </c>
      <c r="H528" t="str">
        <f>IF(INDEX(tblCleanData[WorkLifeBalance],520)&lt;=2,"Elevated","Normal")</f>
        <v>Normal</v>
      </c>
      <c r="I528">
        <f>IF(INDEX(tblCleanData[Age],520)&lt;30,30,IF(INDEX(tblCleanData[Age],520)&lt;40,20,IF(INDEX(tblCleanData[Age],520)&lt;50,10,15)))</f>
        <v>30</v>
      </c>
      <c r="J528">
        <f>IF(INDEX(tblCleanData[MonthlyIncome],520)&lt;=$B$3,25,IF(INDEX(tblCleanData[MonthlyIncome],520)&lt;=$B$4,12,5))</f>
        <v>5</v>
      </c>
      <c r="K528">
        <f>IF(INDEX(tblCleanData[OverTime],520)="Yes",25,0)</f>
        <v>0</v>
      </c>
      <c r="L528">
        <f>(5-INDEX(tblCleanData[JobSatisfaction],520))*6.25</f>
        <v>6.25</v>
      </c>
      <c r="M528">
        <f>IF(INDEX(tblCleanData[YearsAtCompany],520)&lt;=2,25,IF(INDEX(tblCleanData[YearsAtCompany],520)&lt;=5,15,IF(INDEX(tblCleanData[YearsAtCompany],520)&lt;=10,8,3)))</f>
        <v>8</v>
      </c>
      <c r="N528">
        <f t="shared" si="16"/>
        <v>49</v>
      </c>
      <c r="O528" t="str">
        <f t="shared" si="17"/>
        <v>Medium Risk</v>
      </c>
    </row>
    <row r="529" spans="1:15" x14ac:dyDescent="0.25">
      <c r="A529">
        <f>INDEX(tblCleanData[EmployeeNumber],521)</f>
        <v>712</v>
      </c>
      <c r="B529" t="str">
        <f>IF(INDEX(tblCleanData[Age],521)&lt;30,"Under 30",IF(INDEX(tblCleanData[Age],521)&lt;40,"30-39",IF(INDEX(tblCleanData[Age],521)&lt;50,"40-49","50+")))</f>
        <v>40-49</v>
      </c>
      <c r="C529" t="str">
        <f>IF(INDEX(tblCleanData[MonthlyIncome],521)&lt;=$B$3,"Low Income",IF(INDEX(tblCleanData[MonthlyIncome],521)&lt;=$B$4,"Medium Income","High Income"))</f>
        <v>High Income</v>
      </c>
      <c r="D529">
        <f>IF(INDEX(tblCleanData[Attrition],521)="Yes",1,0)</f>
        <v>0</v>
      </c>
      <c r="E529">
        <f>IF(INDEX(tblCleanData[OverTime],521)="Yes",1,0)</f>
        <v>0</v>
      </c>
      <c r="F529" t="str">
        <f>CHOOSE(INDEX(tblCleanData[Education],521),"Below College","College","Bachelor","Master","Doctor")</f>
        <v>Below College</v>
      </c>
      <c r="G529" t="str">
        <f>IF(INDEX(tblCleanData[YearsAtCompany],521)&lt;=2,"0-2 Years",IF(INDEX(tblCleanData[YearsAtCompany],521)&lt;=5,"3-5 Years",IF(INDEX(tblCleanData[YearsAtCompany],521)&lt;=10,"6-10 Years","10+ Years")))</f>
        <v>0-2 Years</v>
      </c>
      <c r="H529" t="str">
        <f>IF(INDEX(tblCleanData[WorkLifeBalance],521)&lt;=2,"Elevated","Normal")</f>
        <v>Normal</v>
      </c>
      <c r="I529">
        <f>IF(INDEX(tblCleanData[Age],521)&lt;30,30,IF(INDEX(tblCleanData[Age],521)&lt;40,20,IF(INDEX(tblCleanData[Age],521)&lt;50,10,15)))</f>
        <v>10</v>
      </c>
      <c r="J529">
        <f>IF(INDEX(tblCleanData[MonthlyIncome],521)&lt;=$B$3,25,IF(INDEX(tblCleanData[MonthlyIncome],521)&lt;=$B$4,12,5))</f>
        <v>5</v>
      </c>
      <c r="K529">
        <f>IF(INDEX(tblCleanData[OverTime],521)="Yes",25,0)</f>
        <v>0</v>
      </c>
      <c r="L529">
        <f>(5-INDEX(tblCleanData[JobSatisfaction],521))*6.25</f>
        <v>18.75</v>
      </c>
      <c r="M529">
        <f>IF(INDEX(tblCleanData[YearsAtCompany],521)&lt;=2,25,IF(INDEX(tblCleanData[YearsAtCompany],521)&lt;=5,15,IF(INDEX(tblCleanData[YearsAtCompany],521)&lt;=10,8,3)))</f>
        <v>25</v>
      </c>
      <c r="N529">
        <f t="shared" si="16"/>
        <v>59</v>
      </c>
      <c r="O529" t="str">
        <f t="shared" si="17"/>
        <v>High Risk</v>
      </c>
    </row>
    <row r="530" spans="1:15" x14ac:dyDescent="0.25">
      <c r="A530">
        <f>INDEX(tblCleanData[EmployeeNumber],522)</f>
        <v>714</v>
      </c>
      <c r="B530" t="str">
        <f>IF(INDEX(tblCleanData[Age],522)&lt;30,"Under 30",IF(INDEX(tblCleanData[Age],522)&lt;40,"30-39",IF(INDEX(tblCleanData[Age],522)&lt;50,"40-49","50+")))</f>
        <v>Under 30</v>
      </c>
      <c r="C530" t="str">
        <f>IF(INDEX(tblCleanData[MonthlyIncome],522)&lt;=$B$3,"Low Income",IF(INDEX(tblCleanData[MonthlyIncome],522)&lt;=$B$4,"Medium Income","High Income"))</f>
        <v>High Income</v>
      </c>
      <c r="D530">
        <f>IF(INDEX(tblCleanData[Attrition],522)="Yes",1,0)</f>
        <v>0</v>
      </c>
      <c r="E530">
        <f>IF(INDEX(tblCleanData[OverTime],522)="Yes",1,0)</f>
        <v>1</v>
      </c>
      <c r="F530" t="str">
        <f>CHOOSE(INDEX(tblCleanData[Education],522),"Below College","College","Bachelor","Master","Doctor")</f>
        <v>Below College</v>
      </c>
      <c r="G530" t="str">
        <f>IF(INDEX(tblCleanData[YearsAtCompany],522)&lt;=2,"0-2 Years",IF(INDEX(tblCleanData[YearsAtCompany],522)&lt;=5,"3-5 Years",IF(INDEX(tblCleanData[YearsAtCompany],522)&lt;=10,"6-10 Years","10+ Years")))</f>
        <v>6-10 Years</v>
      </c>
      <c r="H530" t="str">
        <f>IF(INDEX(tblCleanData[WorkLifeBalance],522)&lt;=2,"Elevated","Normal")</f>
        <v>Normal</v>
      </c>
      <c r="I530">
        <f>IF(INDEX(tblCleanData[Age],522)&lt;30,30,IF(INDEX(tblCleanData[Age],522)&lt;40,20,IF(INDEX(tblCleanData[Age],522)&lt;50,10,15)))</f>
        <v>30</v>
      </c>
      <c r="J530">
        <f>IF(INDEX(tblCleanData[MonthlyIncome],522)&lt;=$B$3,25,IF(INDEX(tblCleanData[MonthlyIncome],522)&lt;=$B$4,12,5))</f>
        <v>5</v>
      </c>
      <c r="K530">
        <f>IF(INDEX(tblCleanData[OverTime],522)="Yes",25,0)</f>
        <v>25</v>
      </c>
      <c r="L530">
        <f>(5-INDEX(tblCleanData[JobSatisfaction],522))*6.25</f>
        <v>6.25</v>
      </c>
      <c r="M530">
        <f>IF(INDEX(tblCleanData[YearsAtCompany],522)&lt;=2,25,IF(INDEX(tblCleanData[YearsAtCompany],522)&lt;=5,15,IF(INDEX(tblCleanData[YearsAtCompany],522)&lt;=10,8,3)))</f>
        <v>8</v>
      </c>
      <c r="N530">
        <f t="shared" si="16"/>
        <v>74</v>
      </c>
      <c r="O530" t="str">
        <f t="shared" si="17"/>
        <v>High Risk</v>
      </c>
    </row>
    <row r="531" spans="1:15" x14ac:dyDescent="0.25">
      <c r="A531">
        <f>INDEX(tblCleanData[EmployeeNumber],523)</f>
        <v>715</v>
      </c>
      <c r="B531" t="str">
        <f>IF(INDEX(tblCleanData[Age],523)&lt;30,"Under 30",IF(INDEX(tblCleanData[Age],523)&lt;40,"30-39",IF(INDEX(tblCleanData[Age],523)&lt;50,"40-49","50+")))</f>
        <v>30-39</v>
      </c>
      <c r="C531" t="str">
        <f>IF(INDEX(tblCleanData[MonthlyIncome],523)&lt;=$B$3,"Low Income",IF(INDEX(tblCleanData[MonthlyIncome],523)&lt;=$B$4,"Medium Income","High Income"))</f>
        <v>High Income</v>
      </c>
      <c r="D531">
        <f>IF(INDEX(tblCleanData[Attrition],523)="Yes",1,0)</f>
        <v>0</v>
      </c>
      <c r="E531">
        <f>IF(INDEX(tblCleanData[OverTime],523)="Yes",1,0)</f>
        <v>0</v>
      </c>
      <c r="F531" t="str">
        <f>CHOOSE(INDEX(tblCleanData[Education],523),"Below College","College","Bachelor","Master","Doctor")</f>
        <v>College</v>
      </c>
      <c r="G531" t="str">
        <f>IF(INDEX(tblCleanData[YearsAtCompany],523)&lt;=2,"0-2 Years",IF(INDEX(tblCleanData[YearsAtCompany],523)&lt;=5,"3-5 Years",IF(INDEX(tblCleanData[YearsAtCompany],523)&lt;=10,"6-10 Years","10+ Years")))</f>
        <v>0-2 Years</v>
      </c>
      <c r="H531" t="str">
        <f>IF(INDEX(tblCleanData[WorkLifeBalance],523)&lt;=2,"Elevated","Normal")</f>
        <v>Normal</v>
      </c>
      <c r="I531">
        <f>IF(INDEX(tblCleanData[Age],523)&lt;30,30,IF(INDEX(tblCleanData[Age],523)&lt;40,20,IF(INDEX(tblCleanData[Age],523)&lt;50,10,15)))</f>
        <v>20</v>
      </c>
      <c r="J531">
        <f>IF(INDEX(tblCleanData[MonthlyIncome],523)&lt;=$B$3,25,IF(INDEX(tblCleanData[MonthlyIncome],523)&lt;=$B$4,12,5))</f>
        <v>5</v>
      </c>
      <c r="K531">
        <f>IF(INDEX(tblCleanData[OverTime],523)="Yes",25,0)</f>
        <v>0</v>
      </c>
      <c r="L531">
        <f>(5-INDEX(tblCleanData[JobSatisfaction],523))*6.25</f>
        <v>6.25</v>
      </c>
      <c r="M531">
        <f>IF(INDEX(tblCleanData[YearsAtCompany],523)&lt;=2,25,IF(INDEX(tblCleanData[YearsAtCompany],523)&lt;=5,15,IF(INDEX(tblCleanData[YearsAtCompany],523)&lt;=10,8,3)))</f>
        <v>25</v>
      </c>
      <c r="N531">
        <f t="shared" si="16"/>
        <v>56</v>
      </c>
      <c r="O531" t="str">
        <f t="shared" si="17"/>
        <v>High Risk</v>
      </c>
    </row>
    <row r="532" spans="1:15" x14ac:dyDescent="0.25">
      <c r="A532">
        <f>INDEX(tblCleanData[EmployeeNumber],524)</f>
        <v>716</v>
      </c>
      <c r="B532" t="str">
        <f>IF(INDEX(tblCleanData[Age],524)&lt;30,"Under 30",IF(INDEX(tblCleanData[Age],524)&lt;40,"30-39",IF(INDEX(tblCleanData[Age],524)&lt;50,"40-49","50+")))</f>
        <v>50+</v>
      </c>
      <c r="C532" t="str">
        <f>IF(INDEX(tblCleanData[MonthlyIncome],524)&lt;=$B$3,"Low Income",IF(INDEX(tblCleanData[MonthlyIncome],524)&lt;=$B$4,"Medium Income","High Income"))</f>
        <v>High Income</v>
      </c>
      <c r="D532">
        <f>IF(INDEX(tblCleanData[Attrition],524)="Yes",1,0)</f>
        <v>0</v>
      </c>
      <c r="E532">
        <f>IF(INDEX(tblCleanData[OverTime],524)="Yes",1,0)</f>
        <v>1</v>
      </c>
      <c r="F532" t="str">
        <f>CHOOSE(INDEX(tblCleanData[Education],524),"Below College","College","Bachelor","Master","Doctor")</f>
        <v>Below College</v>
      </c>
      <c r="G532" t="str">
        <f>IF(INDEX(tblCleanData[YearsAtCompany],524)&lt;=2,"0-2 Years",IF(INDEX(tblCleanData[YearsAtCompany],524)&lt;=5,"3-5 Years",IF(INDEX(tblCleanData[YearsAtCompany],524)&lt;=10,"6-10 Years","10+ Years")))</f>
        <v>10+ Years</v>
      </c>
      <c r="H532" t="str">
        <f>IF(INDEX(tblCleanData[WorkLifeBalance],524)&lt;=2,"Elevated","Normal")</f>
        <v>Normal</v>
      </c>
      <c r="I532">
        <f>IF(INDEX(tblCleanData[Age],524)&lt;30,30,IF(INDEX(tblCleanData[Age],524)&lt;40,20,IF(INDEX(tblCleanData[Age],524)&lt;50,10,15)))</f>
        <v>15</v>
      </c>
      <c r="J532">
        <f>IF(INDEX(tblCleanData[MonthlyIncome],524)&lt;=$B$3,25,IF(INDEX(tblCleanData[MonthlyIncome],524)&lt;=$B$4,12,5))</f>
        <v>5</v>
      </c>
      <c r="K532">
        <f>IF(INDEX(tblCleanData[OverTime],524)="Yes",25,0)</f>
        <v>25</v>
      </c>
      <c r="L532">
        <f>(5-INDEX(tblCleanData[JobSatisfaction],524))*6.25</f>
        <v>12.5</v>
      </c>
      <c r="M532">
        <f>IF(INDEX(tblCleanData[YearsAtCompany],524)&lt;=2,25,IF(INDEX(tblCleanData[YearsAtCompany],524)&lt;=5,15,IF(INDEX(tblCleanData[YearsAtCompany],524)&lt;=10,8,3)))</f>
        <v>3</v>
      </c>
      <c r="N532">
        <f t="shared" si="16"/>
        <v>61</v>
      </c>
      <c r="O532" t="str">
        <f t="shared" si="17"/>
        <v>High Risk</v>
      </c>
    </row>
    <row r="533" spans="1:15" x14ac:dyDescent="0.25">
      <c r="A533">
        <f>INDEX(tblCleanData[EmployeeNumber],525)</f>
        <v>717</v>
      </c>
      <c r="B533" t="str">
        <f>IF(INDEX(tblCleanData[Age],525)&lt;30,"Under 30",IF(INDEX(tblCleanData[Age],525)&lt;40,"30-39",IF(INDEX(tblCleanData[Age],525)&lt;50,"40-49","50+")))</f>
        <v>30-39</v>
      </c>
      <c r="C533" t="str">
        <f>IF(INDEX(tblCleanData[MonthlyIncome],525)&lt;=$B$3,"Low Income",IF(INDEX(tblCleanData[MonthlyIncome],525)&lt;=$B$4,"Medium Income","High Income"))</f>
        <v>High Income</v>
      </c>
      <c r="D533">
        <f>IF(INDEX(tblCleanData[Attrition],525)="Yes",1,0)</f>
        <v>0</v>
      </c>
      <c r="E533">
        <f>IF(INDEX(tblCleanData[OverTime],525)="Yes",1,0)</f>
        <v>0</v>
      </c>
      <c r="F533" t="str">
        <f>CHOOSE(INDEX(tblCleanData[Education],525),"Below College","College","Bachelor","Master","Doctor")</f>
        <v>Bachelor</v>
      </c>
      <c r="G533" t="str">
        <f>IF(INDEX(tblCleanData[YearsAtCompany],525)&lt;=2,"0-2 Years",IF(INDEX(tblCleanData[YearsAtCompany],525)&lt;=5,"3-5 Years",IF(INDEX(tblCleanData[YearsAtCompany],525)&lt;=10,"6-10 Years","10+ Years")))</f>
        <v>6-10 Years</v>
      </c>
      <c r="H533" t="str">
        <f>IF(INDEX(tblCleanData[WorkLifeBalance],525)&lt;=2,"Elevated","Normal")</f>
        <v>Normal</v>
      </c>
      <c r="I533">
        <f>IF(INDEX(tblCleanData[Age],525)&lt;30,30,IF(INDEX(tblCleanData[Age],525)&lt;40,20,IF(INDEX(tblCleanData[Age],525)&lt;50,10,15)))</f>
        <v>20</v>
      </c>
      <c r="J533">
        <f>IF(INDEX(tblCleanData[MonthlyIncome],525)&lt;=$B$3,25,IF(INDEX(tblCleanData[MonthlyIncome],525)&lt;=$B$4,12,5))</f>
        <v>5</v>
      </c>
      <c r="K533">
        <f>IF(INDEX(tblCleanData[OverTime],525)="Yes",25,0)</f>
        <v>0</v>
      </c>
      <c r="L533">
        <f>(5-INDEX(tblCleanData[JobSatisfaction],525))*6.25</f>
        <v>18.75</v>
      </c>
      <c r="M533">
        <f>IF(INDEX(tblCleanData[YearsAtCompany],525)&lt;=2,25,IF(INDEX(tblCleanData[YearsAtCompany],525)&lt;=5,15,IF(INDEX(tblCleanData[YearsAtCompany],525)&lt;=10,8,3)))</f>
        <v>8</v>
      </c>
      <c r="N533">
        <f t="shared" si="16"/>
        <v>52</v>
      </c>
      <c r="O533" t="str">
        <f t="shared" si="17"/>
        <v>Medium Risk</v>
      </c>
    </row>
    <row r="534" spans="1:15" x14ac:dyDescent="0.25">
      <c r="A534">
        <f>INDEX(tblCleanData[EmployeeNumber],526)</f>
        <v>720</v>
      </c>
      <c r="B534" t="str">
        <f>IF(INDEX(tblCleanData[Age],526)&lt;30,"Under 30",IF(INDEX(tblCleanData[Age],526)&lt;40,"30-39",IF(INDEX(tblCleanData[Age],526)&lt;50,"40-49","50+")))</f>
        <v>Under 30</v>
      </c>
      <c r="C534" t="str">
        <f>IF(INDEX(tblCleanData[MonthlyIncome],526)&lt;=$B$3,"Low Income",IF(INDEX(tblCleanData[MonthlyIncome],526)&lt;=$B$4,"Medium Income","High Income"))</f>
        <v>High Income</v>
      </c>
      <c r="D534">
        <f>IF(INDEX(tblCleanData[Attrition],526)="Yes",1,0)</f>
        <v>1</v>
      </c>
      <c r="E534">
        <f>IF(INDEX(tblCleanData[OverTime],526)="Yes",1,0)</f>
        <v>0</v>
      </c>
      <c r="F534" t="str">
        <f>CHOOSE(INDEX(tblCleanData[Education],526),"Below College","College","Bachelor","Master","Doctor")</f>
        <v>College</v>
      </c>
      <c r="G534" t="str">
        <f>IF(INDEX(tblCleanData[YearsAtCompany],526)&lt;=2,"0-2 Years",IF(INDEX(tblCleanData[YearsAtCompany],526)&lt;=5,"3-5 Years",IF(INDEX(tblCleanData[YearsAtCompany],526)&lt;=10,"6-10 Years","10+ Years")))</f>
        <v>0-2 Years</v>
      </c>
      <c r="H534" t="str">
        <f>IF(INDEX(tblCleanData[WorkLifeBalance],526)&lt;=2,"Elevated","Normal")</f>
        <v>Normal</v>
      </c>
      <c r="I534">
        <f>IF(INDEX(tblCleanData[Age],526)&lt;30,30,IF(INDEX(tblCleanData[Age],526)&lt;40,20,IF(INDEX(tblCleanData[Age],526)&lt;50,10,15)))</f>
        <v>30</v>
      </c>
      <c r="J534">
        <f>IF(INDEX(tblCleanData[MonthlyIncome],526)&lt;=$B$3,25,IF(INDEX(tblCleanData[MonthlyIncome],526)&lt;=$B$4,12,5))</f>
        <v>5</v>
      </c>
      <c r="K534">
        <f>IF(INDEX(tblCleanData[OverTime],526)="Yes",25,0)</f>
        <v>0</v>
      </c>
      <c r="L534">
        <f>(5-INDEX(tblCleanData[JobSatisfaction],526))*6.25</f>
        <v>12.5</v>
      </c>
      <c r="M534">
        <f>IF(INDEX(tblCleanData[YearsAtCompany],526)&lt;=2,25,IF(INDEX(tblCleanData[YearsAtCompany],526)&lt;=5,15,IF(INDEX(tblCleanData[YearsAtCompany],526)&lt;=10,8,3)))</f>
        <v>25</v>
      </c>
      <c r="N534">
        <f t="shared" si="16"/>
        <v>73</v>
      </c>
      <c r="O534" t="str">
        <f t="shared" si="17"/>
        <v>High Risk</v>
      </c>
    </row>
    <row r="535" spans="1:15" x14ac:dyDescent="0.25">
      <c r="A535">
        <f>INDEX(tblCleanData[EmployeeNumber],527)</f>
        <v>721</v>
      </c>
      <c r="B535" t="str">
        <f>IF(INDEX(tblCleanData[Age],527)&lt;30,"Under 30",IF(INDEX(tblCleanData[Age],527)&lt;40,"30-39",IF(INDEX(tblCleanData[Age],527)&lt;50,"40-49","50+")))</f>
        <v>30-39</v>
      </c>
      <c r="C535" t="str">
        <f>IF(INDEX(tblCleanData[MonthlyIncome],527)&lt;=$B$3,"Low Income",IF(INDEX(tblCleanData[MonthlyIncome],527)&lt;=$B$4,"Medium Income","High Income"))</f>
        <v>High Income</v>
      </c>
      <c r="D535">
        <f>IF(INDEX(tblCleanData[Attrition],527)="Yes",1,0)</f>
        <v>0</v>
      </c>
      <c r="E535">
        <f>IF(INDEX(tblCleanData[OverTime],527)="Yes",1,0)</f>
        <v>0</v>
      </c>
      <c r="F535" t="str">
        <f>CHOOSE(INDEX(tblCleanData[Education],527),"Below College","College","Bachelor","Master","Doctor")</f>
        <v>Master</v>
      </c>
      <c r="G535" t="str">
        <f>IF(INDEX(tblCleanData[YearsAtCompany],527)&lt;=2,"0-2 Years",IF(INDEX(tblCleanData[YearsAtCompany],527)&lt;=5,"3-5 Years",IF(INDEX(tblCleanData[YearsAtCompany],527)&lt;=10,"6-10 Years","10+ Years")))</f>
        <v>10+ Years</v>
      </c>
      <c r="H535" t="str">
        <f>IF(INDEX(tblCleanData[WorkLifeBalance],527)&lt;=2,"Elevated","Normal")</f>
        <v>Normal</v>
      </c>
      <c r="I535">
        <f>IF(INDEX(tblCleanData[Age],527)&lt;30,30,IF(INDEX(tblCleanData[Age],527)&lt;40,20,IF(INDEX(tblCleanData[Age],527)&lt;50,10,15)))</f>
        <v>20</v>
      </c>
      <c r="J535">
        <f>IF(INDEX(tblCleanData[MonthlyIncome],527)&lt;=$B$3,25,IF(INDEX(tblCleanData[MonthlyIncome],527)&lt;=$B$4,12,5))</f>
        <v>5</v>
      </c>
      <c r="K535">
        <f>IF(INDEX(tblCleanData[OverTime],527)="Yes",25,0)</f>
        <v>0</v>
      </c>
      <c r="L535">
        <f>(5-INDEX(tblCleanData[JobSatisfaction],527))*6.25</f>
        <v>12.5</v>
      </c>
      <c r="M535">
        <f>IF(INDEX(tblCleanData[YearsAtCompany],527)&lt;=2,25,IF(INDEX(tblCleanData[YearsAtCompany],527)&lt;=5,15,IF(INDEX(tblCleanData[YearsAtCompany],527)&lt;=10,8,3)))</f>
        <v>3</v>
      </c>
      <c r="N535">
        <f t="shared" si="16"/>
        <v>41</v>
      </c>
      <c r="O535" t="str">
        <f t="shared" si="17"/>
        <v>Medium Risk</v>
      </c>
    </row>
    <row r="536" spans="1:15" x14ac:dyDescent="0.25">
      <c r="A536">
        <f>INDEX(tblCleanData[EmployeeNumber],528)</f>
        <v>722</v>
      </c>
      <c r="B536" t="str">
        <f>IF(INDEX(tblCleanData[Age],528)&lt;30,"Under 30",IF(INDEX(tblCleanData[Age],528)&lt;40,"30-39",IF(INDEX(tblCleanData[Age],528)&lt;50,"40-49","50+")))</f>
        <v>30-39</v>
      </c>
      <c r="C536" t="str">
        <f>IF(INDEX(tblCleanData[MonthlyIncome],528)&lt;=$B$3,"Low Income",IF(INDEX(tblCleanData[MonthlyIncome],528)&lt;=$B$4,"Medium Income","High Income"))</f>
        <v>High Income</v>
      </c>
      <c r="D536">
        <f>IF(INDEX(tblCleanData[Attrition],528)="Yes",1,0)</f>
        <v>0</v>
      </c>
      <c r="E536">
        <f>IF(INDEX(tblCleanData[OverTime],528)="Yes",1,0)</f>
        <v>0</v>
      </c>
      <c r="F536" t="str">
        <f>CHOOSE(INDEX(tblCleanData[Education],528),"Below College","College","Bachelor","Master","Doctor")</f>
        <v>Bachelor</v>
      </c>
      <c r="G536" t="str">
        <f>IF(INDEX(tblCleanData[YearsAtCompany],528)&lt;=2,"0-2 Years",IF(INDEX(tblCleanData[YearsAtCompany],528)&lt;=5,"3-5 Years",IF(INDEX(tblCleanData[YearsAtCompany],528)&lt;=10,"6-10 Years","10+ Years")))</f>
        <v>6-10 Years</v>
      </c>
      <c r="H536" t="str">
        <f>IF(INDEX(tblCleanData[WorkLifeBalance],528)&lt;=2,"Elevated","Normal")</f>
        <v>Elevated</v>
      </c>
      <c r="I536">
        <f>IF(INDEX(tblCleanData[Age],528)&lt;30,30,IF(INDEX(tblCleanData[Age],528)&lt;40,20,IF(INDEX(tblCleanData[Age],528)&lt;50,10,15)))</f>
        <v>20</v>
      </c>
      <c r="J536">
        <f>IF(INDEX(tblCleanData[MonthlyIncome],528)&lt;=$B$3,25,IF(INDEX(tblCleanData[MonthlyIncome],528)&lt;=$B$4,12,5))</f>
        <v>5</v>
      </c>
      <c r="K536">
        <f>IF(INDEX(tblCleanData[OverTime],528)="Yes",25,0)</f>
        <v>0</v>
      </c>
      <c r="L536">
        <f>(5-INDEX(tblCleanData[JobSatisfaction],528))*6.25</f>
        <v>6.25</v>
      </c>
      <c r="M536">
        <f>IF(INDEX(tblCleanData[YearsAtCompany],528)&lt;=2,25,IF(INDEX(tblCleanData[YearsAtCompany],528)&lt;=5,15,IF(INDEX(tblCleanData[YearsAtCompany],528)&lt;=10,8,3)))</f>
        <v>8</v>
      </c>
      <c r="N536">
        <f t="shared" si="16"/>
        <v>39</v>
      </c>
      <c r="O536" t="str">
        <f t="shared" si="17"/>
        <v>Medium Risk</v>
      </c>
    </row>
    <row r="537" spans="1:15" x14ac:dyDescent="0.25">
      <c r="A537">
        <f>INDEX(tblCleanData[EmployeeNumber],529)</f>
        <v>723</v>
      </c>
      <c r="B537" t="str">
        <f>IF(INDEX(tblCleanData[Age],529)&lt;30,"Under 30",IF(INDEX(tblCleanData[Age],529)&lt;40,"30-39",IF(INDEX(tblCleanData[Age],529)&lt;50,"40-49","50+")))</f>
        <v>50+</v>
      </c>
      <c r="C537" t="str">
        <f>IF(INDEX(tblCleanData[MonthlyIncome],529)&lt;=$B$3,"Low Income",IF(INDEX(tblCleanData[MonthlyIncome],529)&lt;=$B$4,"Medium Income","High Income"))</f>
        <v>High Income</v>
      </c>
      <c r="D537">
        <f>IF(INDEX(tblCleanData[Attrition],529)="Yes",1,0)</f>
        <v>1</v>
      </c>
      <c r="E537">
        <f>IF(INDEX(tblCleanData[OverTime],529)="Yes",1,0)</f>
        <v>1</v>
      </c>
      <c r="F537" t="str">
        <f>CHOOSE(INDEX(tblCleanData[Education],529),"Below College","College","Bachelor","Master","Doctor")</f>
        <v>College</v>
      </c>
      <c r="G537" t="str">
        <f>IF(INDEX(tblCleanData[YearsAtCompany],529)&lt;=2,"0-2 Years",IF(INDEX(tblCleanData[YearsAtCompany],529)&lt;=5,"3-5 Years",IF(INDEX(tblCleanData[YearsAtCompany],529)&lt;=10,"6-10 Years","10+ Years")))</f>
        <v>3-5 Years</v>
      </c>
      <c r="H537" t="str">
        <f>IF(INDEX(tblCleanData[WorkLifeBalance],529)&lt;=2,"Elevated","Normal")</f>
        <v>Normal</v>
      </c>
      <c r="I537">
        <f>IF(INDEX(tblCleanData[Age],529)&lt;30,30,IF(INDEX(tblCleanData[Age],529)&lt;40,20,IF(INDEX(tblCleanData[Age],529)&lt;50,10,15)))</f>
        <v>15</v>
      </c>
      <c r="J537">
        <f>IF(INDEX(tblCleanData[MonthlyIncome],529)&lt;=$B$3,25,IF(INDEX(tblCleanData[MonthlyIncome],529)&lt;=$B$4,12,5))</f>
        <v>5</v>
      </c>
      <c r="K537">
        <f>IF(INDEX(tblCleanData[OverTime],529)="Yes",25,0)</f>
        <v>25</v>
      </c>
      <c r="L537">
        <f>(5-INDEX(tblCleanData[JobSatisfaction],529))*6.25</f>
        <v>12.5</v>
      </c>
      <c r="M537">
        <f>IF(INDEX(tblCleanData[YearsAtCompany],529)&lt;=2,25,IF(INDEX(tblCleanData[YearsAtCompany],529)&lt;=5,15,IF(INDEX(tblCleanData[YearsAtCompany],529)&lt;=10,8,3)))</f>
        <v>15</v>
      </c>
      <c r="N537">
        <f t="shared" si="16"/>
        <v>73</v>
      </c>
      <c r="O537" t="str">
        <f t="shared" si="17"/>
        <v>High Risk</v>
      </c>
    </row>
    <row r="538" spans="1:15" x14ac:dyDescent="0.25">
      <c r="A538">
        <f>INDEX(tblCleanData[EmployeeNumber],530)</f>
        <v>724</v>
      </c>
      <c r="B538" t="str">
        <f>IF(INDEX(tblCleanData[Age],530)&lt;30,"Under 30",IF(INDEX(tblCleanData[Age],530)&lt;40,"30-39",IF(INDEX(tblCleanData[Age],530)&lt;50,"40-49","50+")))</f>
        <v>30-39</v>
      </c>
      <c r="C538" t="str">
        <f>IF(INDEX(tblCleanData[MonthlyIncome],530)&lt;=$B$3,"Low Income",IF(INDEX(tblCleanData[MonthlyIncome],530)&lt;=$B$4,"Medium Income","High Income"))</f>
        <v>High Income</v>
      </c>
      <c r="D538">
        <f>IF(INDEX(tblCleanData[Attrition],530)="Yes",1,0)</f>
        <v>0</v>
      </c>
      <c r="E538">
        <f>IF(INDEX(tblCleanData[OverTime],530)="Yes",1,0)</f>
        <v>0</v>
      </c>
      <c r="F538" t="str">
        <f>CHOOSE(INDEX(tblCleanData[Education],530),"Below College","College","Bachelor","Master","Doctor")</f>
        <v>Master</v>
      </c>
      <c r="G538" t="str">
        <f>IF(INDEX(tblCleanData[YearsAtCompany],530)&lt;=2,"0-2 Years",IF(INDEX(tblCleanData[YearsAtCompany],530)&lt;=5,"3-5 Years",IF(INDEX(tblCleanData[YearsAtCompany],530)&lt;=10,"6-10 Years","10+ Years")))</f>
        <v>6-10 Years</v>
      </c>
      <c r="H538" t="str">
        <f>IF(INDEX(tblCleanData[WorkLifeBalance],530)&lt;=2,"Elevated","Normal")</f>
        <v>Elevated</v>
      </c>
      <c r="I538">
        <f>IF(INDEX(tblCleanData[Age],530)&lt;30,30,IF(INDEX(tblCleanData[Age],530)&lt;40,20,IF(INDEX(tblCleanData[Age],530)&lt;50,10,15)))</f>
        <v>20</v>
      </c>
      <c r="J538">
        <f>IF(INDEX(tblCleanData[MonthlyIncome],530)&lt;=$B$3,25,IF(INDEX(tblCleanData[MonthlyIncome],530)&lt;=$B$4,12,5))</f>
        <v>5</v>
      </c>
      <c r="K538">
        <f>IF(INDEX(tblCleanData[OverTime],530)="Yes",25,0)</f>
        <v>0</v>
      </c>
      <c r="L538">
        <f>(5-INDEX(tblCleanData[JobSatisfaction],530))*6.25</f>
        <v>6.25</v>
      </c>
      <c r="M538">
        <f>IF(INDEX(tblCleanData[YearsAtCompany],530)&lt;=2,25,IF(INDEX(tblCleanData[YearsAtCompany],530)&lt;=5,15,IF(INDEX(tblCleanData[YearsAtCompany],530)&lt;=10,8,3)))</f>
        <v>8</v>
      </c>
      <c r="N538">
        <f t="shared" si="16"/>
        <v>39</v>
      </c>
      <c r="O538" t="str">
        <f t="shared" si="17"/>
        <v>Medium Risk</v>
      </c>
    </row>
    <row r="539" spans="1:15" x14ac:dyDescent="0.25">
      <c r="A539">
        <f>INDEX(tblCleanData[EmployeeNumber],531)</f>
        <v>725</v>
      </c>
      <c r="B539" t="str">
        <f>IF(INDEX(tblCleanData[Age],531)&lt;30,"Under 30",IF(INDEX(tblCleanData[Age],531)&lt;40,"30-39",IF(INDEX(tblCleanData[Age],531)&lt;50,"40-49","50+")))</f>
        <v>Under 30</v>
      </c>
      <c r="C539" t="str">
        <f>IF(INDEX(tblCleanData[MonthlyIncome],531)&lt;=$B$3,"Low Income",IF(INDEX(tblCleanData[MonthlyIncome],531)&lt;=$B$4,"Medium Income","High Income"))</f>
        <v>High Income</v>
      </c>
      <c r="D539">
        <f>IF(INDEX(tblCleanData[Attrition],531)="Yes",1,0)</f>
        <v>0</v>
      </c>
      <c r="E539">
        <f>IF(INDEX(tblCleanData[OverTime],531)="Yes",1,0)</f>
        <v>0</v>
      </c>
      <c r="F539" t="str">
        <f>CHOOSE(INDEX(tblCleanData[Education],531),"Below College","College","Bachelor","Master","Doctor")</f>
        <v>College</v>
      </c>
      <c r="G539" t="str">
        <f>IF(INDEX(tblCleanData[YearsAtCompany],531)&lt;=2,"0-2 Years",IF(INDEX(tblCleanData[YearsAtCompany],531)&lt;=5,"3-5 Years",IF(INDEX(tblCleanData[YearsAtCompany],531)&lt;=10,"6-10 Years","10+ Years")))</f>
        <v>6-10 Years</v>
      </c>
      <c r="H539" t="str">
        <f>IF(INDEX(tblCleanData[WorkLifeBalance],531)&lt;=2,"Elevated","Normal")</f>
        <v>Normal</v>
      </c>
      <c r="I539">
        <f>IF(INDEX(tblCleanData[Age],531)&lt;30,30,IF(INDEX(tblCleanData[Age],531)&lt;40,20,IF(INDEX(tblCleanData[Age],531)&lt;50,10,15)))</f>
        <v>30</v>
      </c>
      <c r="J539">
        <f>IF(INDEX(tblCleanData[MonthlyIncome],531)&lt;=$B$3,25,IF(INDEX(tblCleanData[MonthlyIncome],531)&lt;=$B$4,12,5))</f>
        <v>5</v>
      </c>
      <c r="K539">
        <f>IF(INDEX(tblCleanData[OverTime],531)="Yes",25,0)</f>
        <v>0</v>
      </c>
      <c r="L539">
        <f>(5-INDEX(tblCleanData[JobSatisfaction],531))*6.25</f>
        <v>25</v>
      </c>
      <c r="M539">
        <f>IF(INDEX(tblCleanData[YearsAtCompany],531)&lt;=2,25,IF(INDEX(tblCleanData[YearsAtCompany],531)&lt;=5,15,IF(INDEX(tblCleanData[YearsAtCompany],531)&lt;=10,8,3)))</f>
        <v>8</v>
      </c>
      <c r="N539">
        <f t="shared" si="16"/>
        <v>68</v>
      </c>
      <c r="O539" t="str">
        <f t="shared" si="17"/>
        <v>High Risk</v>
      </c>
    </row>
    <row r="540" spans="1:15" x14ac:dyDescent="0.25">
      <c r="A540">
        <f>INDEX(tblCleanData[EmployeeNumber],532)</f>
        <v>727</v>
      </c>
      <c r="B540" t="str">
        <f>IF(INDEX(tblCleanData[Age],532)&lt;30,"Under 30",IF(INDEX(tblCleanData[Age],532)&lt;40,"30-39",IF(INDEX(tblCleanData[Age],532)&lt;50,"40-49","50+")))</f>
        <v>30-39</v>
      </c>
      <c r="C540" t="str">
        <f>IF(INDEX(tblCleanData[MonthlyIncome],532)&lt;=$B$3,"Low Income",IF(INDEX(tblCleanData[MonthlyIncome],532)&lt;=$B$4,"Medium Income","High Income"))</f>
        <v>High Income</v>
      </c>
      <c r="D540">
        <f>IF(INDEX(tblCleanData[Attrition],532)="Yes",1,0)</f>
        <v>0</v>
      </c>
      <c r="E540">
        <f>IF(INDEX(tblCleanData[OverTime],532)="Yes",1,0)</f>
        <v>0</v>
      </c>
      <c r="F540" t="str">
        <f>CHOOSE(INDEX(tblCleanData[Education],532),"Below College","College","Bachelor","Master","Doctor")</f>
        <v>College</v>
      </c>
      <c r="G540" t="str">
        <f>IF(INDEX(tblCleanData[YearsAtCompany],532)&lt;=2,"0-2 Years",IF(INDEX(tblCleanData[YearsAtCompany],532)&lt;=5,"3-5 Years",IF(INDEX(tblCleanData[YearsAtCompany],532)&lt;=10,"6-10 Years","10+ Years")))</f>
        <v>6-10 Years</v>
      </c>
      <c r="H540" t="str">
        <f>IF(INDEX(tblCleanData[WorkLifeBalance],532)&lt;=2,"Elevated","Normal")</f>
        <v>Normal</v>
      </c>
      <c r="I540">
        <f>IF(INDEX(tblCleanData[Age],532)&lt;30,30,IF(INDEX(tblCleanData[Age],532)&lt;40,20,IF(INDEX(tblCleanData[Age],532)&lt;50,10,15)))</f>
        <v>20</v>
      </c>
      <c r="J540">
        <f>IF(INDEX(tblCleanData[MonthlyIncome],532)&lt;=$B$3,25,IF(INDEX(tblCleanData[MonthlyIncome],532)&lt;=$B$4,12,5))</f>
        <v>5</v>
      </c>
      <c r="K540">
        <f>IF(INDEX(tblCleanData[OverTime],532)="Yes",25,0)</f>
        <v>0</v>
      </c>
      <c r="L540">
        <f>(5-INDEX(tblCleanData[JobSatisfaction],532))*6.25</f>
        <v>6.25</v>
      </c>
      <c r="M540">
        <f>IF(INDEX(tblCleanData[YearsAtCompany],532)&lt;=2,25,IF(INDEX(tblCleanData[YearsAtCompany],532)&lt;=5,15,IF(INDEX(tblCleanData[YearsAtCompany],532)&lt;=10,8,3)))</f>
        <v>8</v>
      </c>
      <c r="N540">
        <f t="shared" si="16"/>
        <v>39</v>
      </c>
      <c r="O540" t="str">
        <f t="shared" si="17"/>
        <v>Medium Risk</v>
      </c>
    </row>
    <row r="541" spans="1:15" x14ac:dyDescent="0.25">
      <c r="A541">
        <f>INDEX(tblCleanData[EmployeeNumber],533)</f>
        <v>728</v>
      </c>
      <c r="B541" t="str">
        <f>IF(INDEX(tblCleanData[Age],533)&lt;30,"Under 30",IF(INDEX(tblCleanData[Age],533)&lt;40,"30-39",IF(INDEX(tblCleanData[Age],533)&lt;50,"40-49","50+")))</f>
        <v>40-49</v>
      </c>
      <c r="C541" t="str">
        <f>IF(INDEX(tblCleanData[MonthlyIncome],533)&lt;=$B$3,"Low Income",IF(INDEX(tblCleanData[MonthlyIncome],533)&lt;=$B$4,"Medium Income","High Income"))</f>
        <v>High Income</v>
      </c>
      <c r="D541">
        <f>IF(INDEX(tblCleanData[Attrition],533)="Yes",1,0)</f>
        <v>0</v>
      </c>
      <c r="E541">
        <f>IF(INDEX(tblCleanData[OverTime],533)="Yes",1,0)</f>
        <v>0</v>
      </c>
      <c r="F541" t="str">
        <f>CHOOSE(INDEX(tblCleanData[Education],533),"Below College","College","Bachelor","Master","Doctor")</f>
        <v>Master</v>
      </c>
      <c r="G541" t="str">
        <f>IF(INDEX(tblCleanData[YearsAtCompany],533)&lt;=2,"0-2 Years",IF(INDEX(tblCleanData[YearsAtCompany],533)&lt;=5,"3-5 Years",IF(INDEX(tblCleanData[YearsAtCompany],533)&lt;=10,"6-10 Years","10+ Years")))</f>
        <v>6-10 Years</v>
      </c>
      <c r="H541" t="str">
        <f>IF(INDEX(tblCleanData[WorkLifeBalance],533)&lt;=2,"Elevated","Normal")</f>
        <v>Normal</v>
      </c>
      <c r="I541">
        <f>IF(INDEX(tblCleanData[Age],533)&lt;30,30,IF(INDEX(tblCleanData[Age],533)&lt;40,20,IF(INDEX(tblCleanData[Age],533)&lt;50,10,15)))</f>
        <v>10</v>
      </c>
      <c r="J541">
        <f>IF(INDEX(tblCleanData[MonthlyIncome],533)&lt;=$B$3,25,IF(INDEX(tblCleanData[MonthlyIncome],533)&lt;=$B$4,12,5))</f>
        <v>5</v>
      </c>
      <c r="K541">
        <f>IF(INDEX(tblCleanData[OverTime],533)="Yes",25,0)</f>
        <v>0</v>
      </c>
      <c r="L541">
        <f>(5-INDEX(tblCleanData[JobSatisfaction],533))*6.25</f>
        <v>25</v>
      </c>
      <c r="M541">
        <f>IF(INDEX(tblCleanData[YearsAtCompany],533)&lt;=2,25,IF(INDEX(tblCleanData[YearsAtCompany],533)&lt;=5,15,IF(INDEX(tblCleanData[YearsAtCompany],533)&lt;=10,8,3)))</f>
        <v>8</v>
      </c>
      <c r="N541">
        <f t="shared" si="16"/>
        <v>48</v>
      </c>
      <c r="O541" t="str">
        <f t="shared" si="17"/>
        <v>Medium Risk</v>
      </c>
    </row>
    <row r="542" spans="1:15" x14ac:dyDescent="0.25">
      <c r="A542">
        <f>INDEX(tblCleanData[EmployeeNumber],534)</f>
        <v>729</v>
      </c>
      <c r="B542" t="str">
        <f>IF(INDEX(tblCleanData[Age],534)&lt;30,"Under 30",IF(INDEX(tblCleanData[Age],534)&lt;40,"30-39",IF(INDEX(tblCleanData[Age],534)&lt;50,"40-49","50+")))</f>
        <v>40-49</v>
      </c>
      <c r="C542" t="str">
        <f>IF(INDEX(tblCleanData[MonthlyIncome],534)&lt;=$B$3,"Low Income",IF(INDEX(tblCleanData[MonthlyIncome],534)&lt;=$B$4,"Medium Income","High Income"))</f>
        <v>High Income</v>
      </c>
      <c r="D542">
        <f>IF(INDEX(tblCleanData[Attrition],534)="Yes",1,0)</f>
        <v>0</v>
      </c>
      <c r="E542">
        <f>IF(INDEX(tblCleanData[OverTime],534)="Yes",1,0)</f>
        <v>1</v>
      </c>
      <c r="F542" t="str">
        <f>CHOOSE(INDEX(tblCleanData[Education],534),"Below College","College","Bachelor","Master","Doctor")</f>
        <v>Master</v>
      </c>
      <c r="G542" t="str">
        <f>IF(INDEX(tblCleanData[YearsAtCompany],534)&lt;=2,"0-2 Years",IF(INDEX(tblCleanData[YearsAtCompany],534)&lt;=5,"3-5 Years",IF(INDEX(tblCleanData[YearsAtCompany],534)&lt;=10,"6-10 Years","10+ Years")))</f>
        <v>10+ Years</v>
      </c>
      <c r="H542" t="str">
        <f>IF(INDEX(tblCleanData[WorkLifeBalance],534)&lt;=2,"Elevated","Normal")</f>
        <v>Normal</v>
      </c>
      <c r="I542">
        <f>IF(INDEX(tblCleanData[Age],534)&lt;30,30,IF(INDEX(tblCleanData[Age],534)&lt;40,20,IF(INDEX(tblCleanData[Age],534)&lt;50,10,15)))</f>
        <v>10</v>
      </c>
      <c r="J542">
        <f>IF(INDEX(tblCleanData[MonthlyIncome],534)&lt;=$B$3,25,IF(INDEX(tblCleanData[MonthlyIncome],534)&lt;=$B$4,12,5))</f>
        <v>5</v>
      </c>
      <c r="K542">
        <f>IF(INDEX(tblCleanData[OverTime],534)="Yes",25,0)</f>
        <v>25</v>
      </c>
      <c r="L542">
        <f>(5-INDEX(tblCleanData[JobSatisfaction],534))*6.25</f>
        <v>25</v>
      </c>
      <c r="M542">
        <f>IF(INDEX(tblCleanData[YearsAtCompany],534)&lt;=2,25,IF(INDEX(tblCleanData[YearsAtCompany],534)&lt;=5,15,IF(INDEX(tblCleanData[YearsAtCompany],534)&lt;=10,8,3)))</f>
        <v>3</v>
      </c>
      <c r="N542">
        <f t="shared" si="16"/>
        <v>68</v>
      </c>
      <c r="O542" t="str">
        <f t="shared" si="17"/>
        <v>High Risk</v>
      </c>
    </row>
    <row r="543" spans="1:15" x14ac:dyDescent="0.25">
      <c r="A543">
        <f>INDEX(tblCleanData[EmployeeNumber],535)</f>
        <v>730</v>
      </c>
      <c r="B543" t="str">
        <f>IF(INDEX(tblCleanData[Age],535)&lt;30,"Under 30",IF(INDEX(tblCleanData[Age],535)&lt;40,"30-39",IF(INDEX(tblCleanData[Age],535)&lt;50,"40-49","50+")))</f>
        <v>50+</v>
      </c>
      <c r="C543" t="str">
        <f>IF(INDEX(tblCleanData[MonthlyIncome],535)&lt;=$B$3,"Low Income",IF(INDEX(tblCleanData[MonthlyIncome],535)&lt;=$B$4,"Medium Income","High Income"))</f>
        <v>High Income</v>
      </c>
      <c r="D543">
        <f>IF(INDEX(tblCleanData[Attrition],535)="Yes",1,0)</f>
        <v>0</v>
      </c>
      <c r="E543">
        <f>IF(INDEX(tblCleanData[OverTime],535)="Yes",1,0)</f>
        <v>0</v>
      </c>
      <c r="F543" t="str">
        <f>CHOOSE(INDEX(tblCleanData[Education],535),"Below College","College","Bachelor","Master","Doctor")</f>
        <v>Bachelor</v>
      </c>
      <c r="G543" t="str">
        <f>IF(INDEX(tblCleanData[YearsAtCompany],535)&lt;=2,"0-2 Years",IF(INDEX(tblCleanData[YearsAtCompany],535)&lt;=5,"3-5 Years",IF(INDEX(tblCleanData[YearsAtCompany],535)&lt;=10,"6-10 Years","10+ Years")))</f>
        <v>3-5 Years</v>
      </c>
      <c r="H543" t="str">
        <f>IF(INDEX(tblCleanData[WorkLifeBalance],535)&lt;=2,"Elevated","Normal")</f>
        <v>Normal</v>
      </c>
      <c r="I543">
        <f>IF(INDEX(tblCleanData[Age],535)&lt;30,30,IF(INDEX(tblCleanData[Age],535)&lt;40,20,IF(INDEX(tblCleanData[Age],535)&lt;50,10,15)))</f>
        <v>15</v>
      </c>
      <c r="J543">
        <f>IF(INDEX(tblCleanData[MonthlyIncome],535)&lt;=$B$3,25,IF(INDEX(tblCleanData[MonthlyIncome],535)&lt;=$B$4,12,5))</f>
        <v>5</v>
      </c>
      <c r="K543">
        <f>IF(INDEX(tblCleanData[OverTime],535)="Yes",25,0)</f>
        <v>0</v>
      </c>
      <c r="L543">
        <f>(5-INDEX(tblCleanData[JobSatisfaction],535))*6.25</f>
        <v>12.5</v>
      </c>
      <c r="M543">
        <f>IF(INDEX(tblCleanData[YearsAtCompany],535)&lt;=2,25,IF(INDEX(tblCleanData[YearsAtCompany],535)&lt;=5,15,IF(INDEX(tblCleanData[YearsAtCompany],535)&lt;=10,8,3)))</f>
        <v>15</v>
      </c>
      <c r="N543">
        <f t="shared" si="16"/>
        <v>48</v>
      </c>
      <c r="O543" t="str">
        <f t="shared" si="17"/>
        <v>Medium Risk</v>
      </c>
    </row>
    <row r="544" spans="1:15" x14ac:dyDescent="0.25">
      <c r="A544">
        <f>INDEX(tblCleanData[EmployeeNumber],536)</f>
        <v>731</v>
      </c>
      <c r="B544" t="str">
        <f>IF(INDEX(tblCleanData[Age],536)&lt;30,"Under 30",IF(INDEX(tblCleanData[Age],536)&lt;40,"30-39",IF(INDEX(tblCleanData[Age],536)&lt;50,"40-49","50+")))</f>
        <v>40-49</v>
      </c>
      <c r="C544" t="str">
        <f>IF(INDEX(tblCleanData[MonthlyIncome],536)&lt;=$B$3,"Low Income",IF(INDEX(tblCleanData[MonthlyIncome],536)&lt;=$B$4,"Medium Income","High Income"))</f>
        <v>High Income</v>
      </c>
      <c r="D544">
        <f>IF(INDEX(tblCleanData[Attrition],536)="Yes",1,0)</f>
        <v>0</v>
      </c>
      <c r="E544">
        <f>IF(INDEX(tblCleanData[OverTime],536)="Yes",1,0)</f>
        <v>0</v>
      </c>
      <c r="F544" t="str">
        <f>CHOOSE(INDEX(tblCleanData[Education],536),"Below College","College","Bachelor","Master","Doctor")</f>
        <v>Master</v>
      </c>
      <c r="G544" t="str">
        <f>IF(INDEX(tblCleanData[YearsAtCompany],536)&lt;=2,"0-2 Years",IF(INDEX(tblCleanData[YearsAtCompany],536)&lt;=5,"3-5 Years",IF(INDEX(tblCleanData[YearsAtCompany],536)&lt;=10,"6-10 Years","10+ Years")))</f>
        <v>10+ Years</v>
      </c>
      <c r="H544" t="str">
        <f>IF(INDEX(tblCleanData[WorkLifeBalance],536)&lt;=2,"Elevated","Normal")</f>
        <v>Elevated</v>
      </c>
      <c r="I544">
        <f>IF(INDEX(tblCleanData[Age],536)&lt;30,30,IF(INDEX(tblCleanData[Age],536)&lt;40,20,IF(INDEX(tblCleanData[Age],536)&lt;50,10,15)))</f>
        <v>10</v>
      </c>
      <c r="J544">
        <f>IF(INDEX(tblCleanData[MonthlyIncome],536)&lt;=$B$3,25,IF(INDEX(tblCleanData[MonthlyIncome],536)&lt;=$B$4,12,5))</f>
        <v>5</v>
      </c>
      <c r="K544">
        <f>IF(INDEX(tblCleanData[OverTime],536)="Yes",25,0)</f>
        <v>0</v>
      </c>
      <c r="L544">
        <f>(5-INDEX(tblCleanData[JobSatisfaction],536))*6.25</f>
        <v>6.25</v>
      </c>
      <c r="M544">
        <f>IF(INDEX(tblCleanData[YearsAtCompany],536)&lt;=2,25,IF(INDEX(tblCleanData[YearsAtCompany],536)&lt;=5,15,IF(INDEX(tblCleanData[YearsAtCompany],536)&lt;=10,8,3)))</f>
        <v>3</v>
      </c>
      <c r="N544">
        <f t="shared" si="16"/>
        <v>24</v>
      </c>
      <c r="O544" t="str">
        <f t="shared" si="17"/>
        <v>Low Risk</v>
      </c>
    </row>
    <row r="545" spans="1:15" x14ac:dyDescent="0.25">
      <c r="A545">
        <f>INDEX(tblCleanData[EmployeeNumber],537)</f>
        <v>732</v>
      </c>
      <c r="B545" t="str">
        <f>IF(INDEX(tblCleanData[Age],537)&lt;30,"Under 30",IF(INDEX(tblCleanData[Age],537)&lt;40,"30-39",IF(INDEX(tblCleanData[Age],537)&lt;50,"40-49","50+")))</f>
        <v>50+</v>
      </c>
      <c r="C545" t="str">
        <f>IF(INDEX(tblCleanData[MonthlyIncome],537)&lt;=$B$3,"Low Income",IF(INDEX(tblCleanData[MonthlyIncome],537)&lt;=$B$4,"Medium Income","High Income"))</f>
        <v>High Income</v>
      </c>
      <c r="D545">
        <f>IF(INDEX(tblCleanData[Attrition],537)="Yes",1,0)</f>
        <v>0</v>
      </c>
      <c r="E545">
        <f>IF(INDEX(tblCleanData[OverTime],537)="Yes",1,0)</f>
        <v>0</v>
      </c>
      <c r="F545" t="str">
        <f>CHOOSE(INDEX(tblCleanData[Education],537),"Below College","College","Bachelor","Master","Doctor")</f>
        <v>Master</v>
      </c>
      <c r="G545" t="str">
        <f>IF(INDEX(tblCleanData[YearsAtCompany],537)&lt;=2,"0-2 Years",IF(INDEX(tblCleanData[YearsAtCompany],537)&lt;=5,"3-5 Years",IF(INDEX(tblCleanData[YearsAtCompany],537)&lt;=10,"6-10 Years","10+ Years")))</f>
        <v>0-2 Years</v>
      </c>
      <c r="H545" t="str">
        <f>IF(INDEX(tblCleanData[WorkLifeBalance],537)&lt;=2,"Elevated","Normal")</f>
        <v>Normal</v>
      </c>
      <c r="I545">
        <f>IF(INDEX(tblCleanData[Age],537)&lt;30,30,IF(INDEX(tblCleanData[Age],537)&lt;40,20,IF(INDEX(tblCleanData[Age],537)&lt;50,10,15)))</f>
        <v>15</v>
      </c>
      <c r="J545">
        <f>IF(INDEX(tblCleanData[MonthlyIncome],537)&lt;=$B$3,25,IF(INDEX(tblCleanData[MonthlyIncome],537)&lt;=$B$4,12,5))</f>
        <v>5</v>
      </c>
      <c r="K545">
        <f>IF(INDEX(tblCleanData[OverTime],537)="Yes",25,0)</f>
        <v>0</v>
      </c>
      <c r="L545">
        <f>(5-INDEX(tblCleanData[JobSatisfaction],537))*6.25</f>
        <v>25</v>
      </c>
      <c r="M545">
        <f>IF(INDEX(tblCleanData[YearsAtCompany],537)&lt;=2,25,IF(INDEX(tblCleanData[YearsAtCompany],537)&lt;=5,15,IF(INDEX(tblCleanData[YearsAtCompany],537)&lt;=10,8,3)))</f>
        <v>25</v>
      </c>
      <c r="N545">
        <f t="shared" si="16"/>
        <v>70</v>
      </c>
      <c r="O545" t="str">
        <f t="shared" si="17"/>
        <v>High Risk</v>
      </c>
    </row>
    <row r="546" spans="1:15" x14ac:dyDescent="0.25">
      <c r="A546">
        <f>INDEX(tblCleanData[EmployeeNumber],538)</f>
        <v>733</v>
      </c>
      <c r="B546" t="str">
        <f>IF(INDEX(tblCleanData[Age],538)&lt;30,"Under 30",IF(INDEX(tblCleanData[Age],538)&lt;40,"30-39",IF(INDEX(tblCleanData[Age],538)&lt;50,"40-49","50+")))</f>
        <v>Under 30</v>
      </c>
      <c r="C546" t="str">
        <f>IF(INDEX(tblCleanData[MonthlyIncome],538)&lt;=$B$3,"Low Income",IF(INDEX(tblCleanData[MonthlyIncome],538)&lt;=$B$4,"Medium Income","High Income"))</f>
        <v>High Income</v>
      </c>
      <c r="D546">
        <f>IF(INDEX(tblCleanData[Attrition],538)="Yes",1,0)</f>
        <v>0</v>
      </c>
      <c r="E546">
        <f>IF(INDEX(tblCleanData[OverTime],538)="Yes",1,0)</f>
        <v>0</v>
      </c>
      <c r="F546" t="str">
        <f>CHOOSE(INDEX(tblCleanData[Education],538),"Below College","College","Bachelor","Master","Doctor")</f>
        <v>College</v>
      </c>
      <c r="G546" t="str">
        <f>IF(INDEX(tblCleanData[YearsAtCompany],538)&lt;=2,"0-2 Years",IF(INDEX(tblCleanData[YearsAtCompany],538)&lt;=5,"3-5 Years",IF(INDEX(tblCleanData[YearsAtCompany],538)&lt;=10,"6-10 Years","10+ Years")))</f>
        <v>6-10 Years</v>
      </c>
      <c r="H546" t="str">
        <f>IF(INDEX(tblCleanData[WorkLifeBalance],538)&lt;=2,"Elevated","Normal")</f>
        <v>Elevated</v>
      </c>
      <c r="I546">
        <f>IF(INDEX(tblCleanData[Age],538)&lt;30,30,IF(INDEX(tblCleanData[Age],538)&lt;40,20,IF(INDEX(tblCleanData[Age],538)&lt;50,10,15)))</f>
        <v>30</v>
      </c>
      <c r="J546">
        <f>IF(INDEX(tblCleanData[MonthlyIncome],538)&lt;=$B$3,25,IF(INDEX(tblCleanData[MonthlyIncome],538)&lt;=$B$4,12,5))</f>
        <v>5</v>
      </c>
      <c r="K546">
        <f>IF(INDEX(tblCleanData[OverTime],538)="Yes",25,0)</f>
        <v>0</v>
      </c>
      <c r="L546">
        <f>(5-INDEX(tblCleanData[JobSatisfaction],538))*6.25</f>
        <v>25</v>
      </c>
      <c r="M546">
        <f>IF(INDEX(tblCleanData[YearsAtCompany],538)&lt;=2,25,IF(INDEX(tblCleanData[YearsAtCompany],538)&lt;=5,15,IF(INDEX(tblCleanData[YearsAtCompany],538)&lt;=10,8,3)))</f>
        <v>8</v>
      </c>
      <c r="N546">
        <f t="shared" si="16"/>
        <v>68</v>
      </c>
      <c r="O546" t="str">
        <f t="shared" si="17"/>
        <v>High Risk</v>
      </c>
    </row>
    <row r="547" spans="1:15" x14ac:dyDescent="0.25">
      <c r="A547">
        <f>INDEX(tblCleanData[EmployeeNumber],539)</f>
        <v>734</v>
      </c>
      <c r="B547" t="str">
        <f>IF(INDEX(tblCleanData[Age],539)&lt;30,"Under 30",IF(INDEX(tblCleanData[Age],539)&lt;40,"30-39",IF(INDEX(tblCleanData[Age],539)&lt;50,"40-49","50+")))</f>
        <v>40-49</v>
      </c>
      <c r="C547" t="str">
        <f>IF(INDEX(tblCleanData[MonthlyIncome],539)&lt;=$B$3,"Low Income",IF(INDEX(tblCleanData[MonthlyIncome],539)&lt;=$B$4,"Medium Income","High Income"))</f>
        <v>High Income</v>
      </c>
      <c r="D547">
        <f>IF(INDEX(tblCleanData[Attrition],539)="Yes",1,0)</f>
        <v>0</v>
      </c>
      <c r="E547">
        <f>IF(INDEX(tblCleanData[OverTime],539)="Yes",1,0)</f>
        <v>0</v>
      </c>
      <c r="F547" t="str">
        <f>CHOOSE(INDEX(tblCleanData[Education],539),"Below College","College","Bachelor","Master","Doctor")</f>
        <v>Bachelor</v>
      </c>
      <c r="G547" t="str">
        <f>IF(INDEX(tblCleanData[YearsAtCompany],539)&lt;=2,"0-2 Years",IF(INDEX(tblCleanData[YearsAtCompany],539)&lt;=5,"3-5 Years",IF(INDEX(tblCleanData[YearsAtCompany],539)&lt;=10,"6-10 Years","10+ Years")))</f>
        <v>10+ Years</v>
      </c>
      <c r="H547" t="str">
        <f>IF(INDEX(tblCleanData[WorkLifeBalance],539)&lt;=2,"Elevated","Normal")</f>
        <v>Normal</v>
      </c>
      <c r="I547">
        <f>IF(INDEX(tblCleanData[Age],539)&lt;30,30,IF(INDEX(tblCleanData[Age],539)&lt;40,20,IF(INDEX(tblCleanData[Age],539)&lt;50,10,15)))</f>
        <v>10</v>
      </c>
      <c r="J547">
        <f>IF(INDEX(tblCleanData[MonthlyIncome],539)&lt;=$B$3,25,IF(INDEX(tblCleanData[MonthlyIncome],539)&lt;=$B$4,12,5))</f>
        <v>5</v>
      </c>
      <c r="K547">
        <f>IF(INDEX(tblCleanData[OverTime],539)="Yes",25,0)</f>
        <v>0</v>
      </c>
      <c r="L547">
        <f>(5-INDEX(tblCleanData[JobSatisfaction],539))*6.25</f>
        <v>12.5</v>
      </c>
      <c r="M547">
        <f>IF(INDEX(tblCleanData[YearsAtCompany],539)&lt;=2,25,IF(INDEX(tblCleanData[YearsAtCompany],539)&lt;=5,15,IF(INDEX(tblCleanData[YearsAtCompany],539)&lt;=10,8,3)))</f>
        <v>3</v>
      </c>
      <c r="N547">
        <f t="shared" si="16"/>
        <v>31</v>
      </c>
      <c r="O547" t="str">
        <f t="shared" si="17"/>
        <v>Low Risk</v>
      </c>
    </row>
    <row r="548" spans="1:15" x14ac:dyDescent="0.25">
      <c r="A548">
        <f>INDEX(tblCleanData[EmployeeNumber],540)</f>
        <v>738</v>
      </c>
      <c r="B548" t="str">
        <f>IF(INDEX(tblCleanData[Age],540)&lt;30,"Under 30",IF(INDEX(tblCleanData[Age],540)&lt;40,"30-39",IF(INDEX(tblCleanData[Age],540)&lt;50,"40-49","50+")))</f>
        <v>50+</v>
      </c>
      <c r="C548" t="str">
        <f>IF(INDEX(tblCleanData[MonthlyIncome],540)&lt;=$B$3,"Low Income",IF(INDEX(tblCleanData[MonthlyIncome],540)&lt;=$B$4,"Medium Income","High Income"))</f>
        <v>High Income</v>
      </c>
      <c r="D548">
        <f>IF(INDEX(tblCleanData[Attrition],540)="Yes",1,0)</f>
        <v>0</v>
      </c>
      <c r="E548">
        <f>IF(INDEX(tblCleanData[OverTime],540)="Yes",1,0)</f>
        <v>0</v>
      </c>
      <c r="F548" t="str">
        <f>CHOOSE(INDEX(tblCleanData[Education],540),"Below College","College","Bachelor","Master","Doctor")</f>
        <v>Master</v>
      </c>
      <c r="G548" t="str">
        <f>IF(INDEX(tblCleanData[YearsAtCompany],540)&lt;=2,"0-2 Years",IF(INDEX(tblCleanData[YearsAtCompany],540)&lt;=5,"3-5 Years",IF(INDEX(tblCleanData[YearsAtCompany],540)&lt;=10,"6-10 Years","10+ Years")))</f>
        <v>0-2 Years</v>
      </c>
      <c r="H548" t="str">
        <f>IF(INDEX(tblCleanData[WorkLifeBalance],540)&lt;=2,"Elevated","Normal")</f>
        <v>Normal</v>
      </c>
      <c r="I548">
        <f>IF(INDEX(tblCleanData[Age],540)&lt;30,30,IF(INDEX(tblCleanData[Age],540)&lt;40,20,IF(INDEX(tblCleanData[Age],540)&lt;50,10,15)))</f>
        <v>15</v>
      </c>
      <c r="J548">
        <f>IF(INDEX(tblCleanData[MonthlyIncome],540)&lt;=$B$3,25,IF(INDEX(tblCleanData[MonthlyIncome],540)&lt;=$B$4,12,5))</f>
        <v>5</v>
      </c>
      <c r="K548">
        <f>IF(INDEX(tblCleanData[OverTime],540)="Yes",25,0)</f>
        <v>0</v>
      </c>
      <c r="L548">
        <f>(5-INDEX(tblCleanData[JobSatisfaction],540))*6.25</f>
        <v>18.75</v>
      </c>
      <c r="M548">
        <f>IF(INDEX(tblCleanData[YearsAtCompany],540)&lt;=2,25,IF(INDEX(tblCleanData[YearsAtCompany],540)&lt;=5,15,IF(INDEX(tblCleanData[YearsAtCompany],540)&lt;=10,8,3)))</f>
        <v>25</v>
      </c>
      <c r="N548">
        <f t="shared" si="16"/>
        <v>64</v>
      </c>
      <c r="O548" t="str">
        <f t="shared" si="17"/>
        <v>High Risk</v>
      </c>
    </row>
    <row r="549" spans="1:15" x14ac:dyDescent="0.25">
      <c r="A549">
        <f>INDEX(tblCleanData[EmployeeNumber],541)</f>
        <v>741</v>
      </c>
      <c r="B549" t="str">
        <f>IF(INDEX(tblCleanData[Age],541)&lt;30,"Under 30",IF(INDEX(tblCleanData[Age],541)&lt;40,"30-39",IF(INDEX(tblCleanData[Age],541)&lt;50,"40-49","50+")))</f>
        <v>Under 30</v>
      </c>
      <c r="C549" t="str">
        <f>IF(INDEX(tblCleanData[MonthlyIncome],541)&lt;=$B$3,"Low Income",IF(INDEX(tblCleanData[MonthlyIncome],541)&lt;=$B$4,"Medium Income","High Income"))</f>
        <v>High Income</v>
      </c>
      <c r="D549">
        <f>IF(INDEX(tblCleanData[Attrition],541)="Yes",1,0)</f>
        <v>1</v>
      </c>
      <c r="E549">
        <f>IF(INDEX(tblCleanData[OverTime],541)="Yes",1,0)</f>
        <v>1</v>
      </c>
      <c r="F549" t="str">
        <f>CHOOSE(INDEX(tblCleanData[Education],541),"Below College","College","Bachelor","Master","Doctor")</f>
        <v>College</v>
      </c>
      <c r="G549" t="str">
        <f>IF(INDEX(tblCleanData[YearsAtCompany],541)&lt;=2,"0-2 Years",IF(INDEX(tblCleanData[YearsAtCompany],541)&lt;=5,"3-5 Years",IF(INDEX(tblCleanData[YearsAtCompany],541)&lt;=10,"6-10 Years","10+ Years")))</f>
        <v>6-10 Years</v>
      </c>
      <c r="H549" t="str">
        <f>IF(INDEX(tblCleanData[WorkLifeBalance],541)&lt;=2,"Elevated","Normal")</f>
        <v>Normal</v>
      </c>
      <c r="I549">
        <f>IF(INDEX(tblCleanData[Age],541)&lt;30,30,IF(INDEX(tblCleanData[Age],541)&lt;40,20,IF(INDEX(tblCleanData[Age],541)&lt;50,10,15)))</f>
        <v>30</v>
      </c>
      <c r="J549">
        <f>IF(INDEX(tblCleanData[MonthlyIncome],541)&lt;=$B$3,25,IF(INDEX(tblCleanData[MonthlyIncome],541)&lt;=$B$4,12,5))</f>
        <v>5</v>
      </c>
      <c r="K549">
        <f>IF(INDEX(tblCleanData[OverTime],541)="Yes",25,0)</f>
        <v>25</v>
      </c>
      <c r="L549">
        <f>(5-INDEX(tblCleanData[JobSatisfaction],541))*6.25</f>
        <v>18.75</v>
      </c>
      <c r="M549">
        <f>IF(INDEX(tblCleanData[YearsAtCompany],541)&lt;=2,25,IF(INDEX(tblCleanData[YearsAtCompany],541)&lt;=5,15,IF(INDEX(tblCleanData[YearsAtCompany],541)&lt;=10,8,3)))</f>
        <v>8</v>
      </c>
      <c r="N549">
        <f t="shared" si="16"/>
        <v>87</v>
      </c>
      <c r="O549" t="str">
        <f t="shared" si="17"/>
        <v>High Risk</v>
      </c>
    </row>
    <row r="550" spans="1:15" x14ac:dyDescent="0.25">
      <c r="A550">
        <f>INDEX(tblCleanData[EmployeeNumber],542)</f>
        <v>742</v>
      </c>
      <c r="B550" t="str">
        <f>IF(INDEX(tblCleanData[Age],542)&lt;30,"Under 30",IF(INDEX(tblCleanData[Age],542)&lt;40,"30-39",IF(INDEX(tblCleanData[Age],542)&lt;50,"40-49","50+")))</f>
        <v>30-39</v>
      </c>
      <c r="C550" t="str">
        <f>IF(INDEX(tblCleanData[MonthlyIncome],542)&lt;=$B$3,"Low Income",IF(INDEX(tblCleanData[MonthlyIncome],542)&lt;=$B$4,"Medium Income","High Income"))</f>
        <v>High Income</v>
      </c>
      <c r="D550">
        <f>IF(INDEX(tblCleanData[Attrition],542)="Yes",1,0)</f>
        <v>0</v>
      </c>
      <c r="E550">
        <f>IF(INDEX(tblCleanData[OverTime],542)="Yes",1,0)</f>
        <v>0</v>
      </c>
      <c r="F550" t="str">
        <f>CHOOSE(INDEX(tblCleanData[Education],542),"Below College","College","Bachelor","Master","Doctor")</f>
        <v>Bachelor</v>
      </c>
      <c r="G550" t="str">
        <f>IF(INDEX(tblCleanData[YearsAtCompany],542)&lt;=2,"0-2 Years",IF(INDEX(tblCleanData[YearsAtCompany],542)&lt;=5,"3-5 Years",IF(INDEX(tblCleanData[YearsAtCompany],542)&lt;=10,"6-10 Years","10+ Years")))</f>
        <v>6-10 Years</v>
      </c>
      <c r="H550" t="str">
        <f>IF(INDEX(tblCleanData[WorkLifeBalance],542)&lt;=2,"Elevated","Normal")</f>
        <v>Normal</v>
      </c>
      <c r="I550">
        <f>IF(INDEX(tblCleanData[Age],542)&lt;30,30,IF(INDEX(tblCleanData[Age],542)&lt;40,20,IF(INDEX(tblCleanData[Age],542)&lt;50,10,15)))</f>
        <v>20</v>
      </c>
      <c r="J550">
        <f>IF(INDEX(tblCleanData[MonthlyIncome],542)&lt;=$B$3,25,IF(INDEX(tblCleanData[MonthlyIncome],542)&lt;=$B$4,12,5))</f>
        <v>5</v>
      </c>
      <c r="K550">
        <f>IF(INDEX(tblCleanData[OverTime],542)="Yes",25,0)</f>
        <v>0</v>
      </c>
      <c r="L550">
        <f>(5-INDEX(tblCleanData[JobSatisfaction],542))*6.25</f>
        <v>25</v>
      </c>
      <c r="M550">
        <f>IF(INDEX(tblCleanData[YearsAtCompany],542)&lt;=2,25,IF(INDEX(tblCleanData[YearsAtCompany],542)&lt;=5,15,IF(INDEX(tblCleanData[YearsAtCompany],542)&lt;=10,8,3)))</f>
        <v>8</v>
      </c>
      <c r="N550">
        <f t="shared" si="16"/>
        <v>58</v>
      </c>
      <c r="O550" t="str">
        <f t="shared" si="17"/>
        <v>High Risk</v>
      </c>
    </row>
    <row r="551" spans="1:15" x14ac:dyDescent="0.25">
      <c r="A551">
        <f>INDEX(tblCleanData[EmployeeNumber],543)</f>
        <v>743</v>
      </c>
      <c r="B551" t="str">
        <f>IF(INDEX(tblCleanData[Age],543)&lt;30,"Under 30",IF(INDEX(tblCleanData[Age],543)&lt;40,"30-39",IF(INDEX(tblCleanData[Age],543)&lt;50,"40-49","50+")))</f>
        <v>30-39</v>
      </c>
      <c r="C551" t="str">
        <f>IF(INDEX(tblCleanData[MonthlyIncome],543)&lt;=$B$3,"Low Income",IF(INDEX(tblCleanData[MonthlyIncome],543)&lt;=$B$4,"Medium Income","High Income"))</f>
        <v>High Income</v>
      </c>
      <c r="D551">
        <f>IF(INDEX(tblCleanData[Attrition],543)="Yes",1,0)</f>
        <v>0</v>
      </c>
      <c r="E551">
        <f>IF(INDEX(tblCleanData[OverTime],543)="Yes",1,0)</f>
        <v>1</v>
      </c>
      <c r="F551" t="str">
        <f>CHOOSE(INDEX(tblCleanData[Education],543),"Below College","College","Bachelor","Master","Doctor")</f>
        <v>Bachelor</v>
      </c>
      <c r="G551" t="str">
        <f>IF(INDEX(tblCleanData[YearsAtCompany],543)&lt;=2,"0-2 Years",IF(INDEX(tblCleanData[YearsAtCompany],543)&lt;=5,"3-5 Years",IF(INDEX(tblCleanData[YearsAtCompany],543)&lt;=10,"6-10 Years","10+ Years")))</f>
        <v>0-2 Years</v>
      </c>
      <c r="H551" t="str">
        <f>IF(INDEX(tblCleanData[WorkLifeBalance],543)&lt;=2,"Elevated","Normal")</f>
        <v>Normal</v>
      </c>
      <c r="I551">
        <f>IF(INDEX(tblCleanData[Age],543)&lt;30,30,IF(INDEX(tblCleanData[Age],543)&lt;40,20,IF(INDEX(tblCleanData[Age],543)&lt;50,10,15)))</f>
        <v>20</v>
      </c>
      <c r="J551">
        <f>IF(INDEX(tblCleanData[MonthlyIncome],543)&lt;=$B$3,25,IF(INDEX(tblCleanData[MonthlyIncome],543)&lt;=$B$4,12,5))</f>
        <v>5</v>
      </c>
      <c r="K551">
        <f>IF(INDEX(tblCleanData[OverTime],543)="Yes",25,0)</f>
        <v>25</v>
      </c>
      <c r="L551">
        <f>(5-INDEX(tblCleanData[JobSatisfaction],543))*6.25</f>
        <v>12.5</v>
      </c>
      <c r="M551">
        <f>IF(INDEX(tblCleanData[YearsAtCompany],543)&lt;=2,25,IF(INDEX(tblCleanData[YearsAtCompany],543)&lt;=5,15,IF(INDEX(tblCleanData[YearsAtCompany],543)&lt;=10,8,3)))</f>
        <v>25</v>
      </c>
      <c r="N551">
        <f t="shared" si="16"/>
        <v>88</v>
      </c>
      <c r="O551" t="str">
        <f t="shared" si="17"/>
        <v>High Risk</v>
      </c>
    </row>
    <row r="552" spans="1:15" x14ac:dyDescent="0.25">
      <c r="A552">
        <f>INDEX(tblCleanData[EmployeeNumber],544)</f>
        <v>744</v>
      </c>
      <c r="B552" t="str">
        <f>IF(INDEX(tblCleanData[Age],544)&lt;30,"Under 30",IF(INDEX(tblCleanData[Age],544)&lt;40,"30-39",IF(INDEX(tblCleanData[Age],544)&lt;50,"40-49","50+")))</f>
        <v>40-49</v>
      </c>
      <c r="C552" t="str">
        <f>IF(INDEX(tblCleanData[MonthlyIncome],544)&lt;=$B$3,"Low Income",IF(INDEX(tblCleanData[MonthlyIncome],544)&lt;=$B$4,"Medium Income","High Income"))</f>
        <v>High Income</v>
      </c>
      <c r="D552">
        <f>IF(INDEX(tblCleanData[Attrition],544)="Yes",1,0)</f>
        <v>0</v>
      </c>
      <c r="E552">
        <f>IF(INDEX(tblCleanData[OverTime],544)="Yes",1,0)</f>
        <v>0</v>
      </c>
      <c r="F552" t="str">
        <f>CHOOSE(INDEX(tblCleanData[Education],544),"Below College","College","Bachelor","Master","Doctor")</f>
        <v>Bachelor</v>
      </c>
      <c r="G552" t="str">
        <f>IF(INDEX(tblCleanData[YearsAtCompany],544)&lt;=2,"0-2 Years",IF(INDEX(tblCleanData[YearsAtCompany],544)&lt;=5,"3-5 Years",IF(INDEX(tblCleanData[YearsAtCompany],544)&lt;=10,"6-10 Years","10+ Years")))</f>
        <v>3-5 Years</v>
      </c>
      <c r="H552" t="str">
        <f>IF(INDEX(tblCleanData[WorkLifeBalance],544)&lt;=2,"Elevated","Normal")</f>
        <v>Normal</v>
      </c>
      <c r="I552">
        <f>IF(INDEX(tblCleanData[Age],544)&lt;30,30,IF(INDEX(tblCleanData[Age],544)&lt;40,20,IF(INDEX(tblCleanData[Age],544)&lt;50,10,15)))</f>
        <v>10</v>
      </c>
      <c r="J552">
        <f>IF(INDEX(tblCleanData[MonthlyIncome],544)&lt;=$B$3,25,IF(INDEX(tblCleanData[MonthlyIncome],544)&lt;=$B$4,12,5))</f>
        <v>5</v>
      </c>
      <c r="K552">
        <f>IF(INDEX(tblCleanData[OverTime],544)="Yes",25,0)</f>
        <v>0</v>
      </c>
      <c r="L552">
        <f>(5-INDEX(tblCleanData[JobSatisfaction],544))*6.25</f>
        <v>12.5</v>
      </c>
      <c r="M552">
        <f>IF(INDEX(tblCleanData[YearsAtCompany],544)&lt;=2,25,IF(INDEX(tblCleanData[YearsAtCompany],544)&lt;=5,15,IF(INDEX(tblCleanData[YearsAtCompany],544)&lt;=10,8,3)))</f>
        <v>15</v>
      </c>
      <c r="N552">
        <f t="shared" si="16"/>
        <v>43</v>
      </c>
      <c r="O552" t="str">
        <f t="shared" si="17"/>
        <v>Medium Risk</v>
      </c>
    </row>
    <row r="553" spans="1:15" x14ac:dyDescent="0.25">
      <c r="A553">
        <f>INDEX(tblCleanData[EmployeeNumber],545)</f>
        <v>746</v>
      </c>
      <c r="B553" t="str">
        <f>IF(INDEX(tblCleanData[Age],545)&lt;30,"Under 30",IF(INDEX(tblCleanData[Age],545)&lt;40,"30-39",IF(INDEX(tblCleanData[Age],545)&lt;50,"40-49","50+")))</f>
        <v>40-49</v>
      </c>
      <c r="C553" t="str">
        <f>IF(INDEX(tblCleanData[MonthlyIncome],545)&lt;=$B$3,"Low Income",IF(INDEX(tblCleanData[MonthlyIncome],545)&lt;=$B$4,"Medium Income","High Income"))</f>
        <v>High Income</v>
      </c>
      <c r="D553">
        <f>IF(INDEX(tblCleanData[Attrition],545)="Yes",1,0)</f>
        <v>0</v>
      </c>
      <c r="E553">
        <f>IF(INDEX(tblCleanData[OverTime],545)="Yes",1,0)</f>
        <v>1</v>
      </c>
      <c r="F553" t="str">
        <f>CHOOSE(INDEX(tblCleanData[Education],545),"Below College","College","Bachelor","Master","Doctor")</f>
        <v>Bachelor</v>
      </c>
      <c r="G553" t="str">
        <f>IF(INDEX(tblCleanData[YearsAtCompany],545)&lt;=2,"0-2 Years",IF(INDEX(tblCleanData[YearsAtCompany],545)&lt;=5,"3-5 Years",IF(INDEX(tblCleanData[YearsAtCompany],545)&lt;=10,"6-10 Years","10+ Years")))</f>
        <v>10+ Years</v>
      </c>
      <c r="H553" t="str">
        <f>IF(INDEX(tblCleanData[WorkLifeBalance],545)&lt;=2,"Elevated","Normal")</f>
        <v>Elevated</v>
      </c>
      <c r="I553">
        <f>IF(INDEX(tblCleanData[Age],545)&lt;30,30,IF(INDEX(tblCleanData[Age],545)&lt;40,20,IF(INDEX(tblCleanData[Age],545)&lt;50,10,15)))</f>
        <v>10</v>
      </c>
      <c r="J553">
        <f>IF(INDEX(tblCleanData[MonthlyIncome],545)&lt;=$B$3,25,IF(INDEX(tblCleanData[MonthlyIncome],545)&lt;=$B$4,12,5))</f>
        <v>5</v>
      </c>
      <c r="K553">
        <f>IF(INDEX(tblCleanData[OverTime],545)="Yes",25,0)</f>
        <v>25</v>
      </c>
      <c r="L553">
        <f>(5-INDEX(tblCleanData[JobSatisfaction],545))*6.25</f>
        <v>12.5</v>
      </c>
      <c r="M553">
        <f>IF(INDEX(tblCleanData[YearsAtCompany],545)&lt;=2,25,IF(INDEX(tblCleanData[YearsAtCompany],545)&lt;=5,15,IF(INDEX(tblCleanData[YearsAtCompany],545)&lt;=10,8,3)))</f>
        <v>3</v>
      </c>
      <c r="N553">
        <f t="shared" si="16"/>
        <v>56</v>
      </c>
      <c r="O553" t="str">
        <f t="shared" si="17"/>
        <v>High Risk</v>
      </c>
    </row>
    <row r="554" spans="1:15" x14ac:dyDescent="0.25">
      <c r="A554">
        <f>INDEX(tblCleanData[EmployeeNumber],546)</f>
        <v>747</v>
      </c>
      <c r="B554" t="str">
        <f>IF(INDEX(tblCleanData[Age],546)&lt;30,"Under 30",IF(INDEX(tblCleanData[Age],546)&lt;40,"30-39",IF(INDEX(tblCleanData[Age],546)&lt;50,"40-49","50+")))</f>
        <v>30-39</v>
      </c>
      <c r="C554" t="str">
        <f>IF(INDEX(tblCleanData[MonthlyIncome],546)&lt;=$B$3,"Low Income",IF(INDEX(tblCleanData[MonthlyIncome],546)&lt;=$B$4,"Medium Income","High Income"))</f>
        <v>High Income</v>
      </c>
      <c r="D554">
        <f>IF(INDEX(tblCleanData[Attrition],546)="Yes",1,0)</f>
        <v>0</v>
      </c>
      <c r="E554">
        <f>IF(INDEX(tblCleanData[OverTime],546)="Yes",1,0)</f>
        <v>0</v>
      </c>
      <c r="F554" t="str">
        <f>CHOOSE(INDEX(tblCleanData[Education],546),"Below College","College","Bachelor","Master","Doctor")</f>
        <v>Doctor</v>
      </c>
      <c r="G554" t="str">
        <f>IF(INDEX(tblCleanData[YearsAtCompany],546)&lt;=2,"0-2 Years",IF(INDEX(tblCleanData[YearsAtCompany],546)&lt;=5,"3-5 Years",IF(INDEX(tblCleanData[YearsAtCompany],546)&lt;=10,"6-10 Years","10+ Years")))</f>
        <v>6-10 Years</v>
      </c>
      <c r="H554" t="str">
        <f>IF(INDEX(tblCleanData[WorkLifeBalance],546)&lt;=2,"Elevated","Normal")</f>
        <v>Elevated</v>
      </c>
      <c r="I554">
        <f>IF(INDEX(tblCleanData[Age],546)&lt;30,30,IF(INDEX(tblCleanData[Age],546)&lt;40,20,IF(INDEX(tblCleanData[Age],546)&lt;50,10,15)))</f>
        <v>20</v>
      </c>
      <c r="J554">
        <f>IF(INDEX(tblCleanData[MonthlyIncome],546)&lt;=$B$3,25,IF(INDEX(tblCleanData[MonthlyIncome],546)&lt;=$B$4,12,5))</f>
        <v>5</v>
      </c>
      <c r="K554">
        <f>IF(INDEX(tblCleanData[OverTime],546)="Yes",25,0)</f>
        <v>0</v>
      </c>
      <c r="L554">
        <f>(5-INDEX(tblCleanData[JobSatisfaction],546))*6.25</f>
        <v>6.25</v>
      </c>
      <c r="M554">
        <f>IF(INDEX(tblCleanData[YearsAtCompany],546)&lt;=2,25,IF(INDEX(tblCleanData[YearsAtCompany],546)&lt;=5,15,IF(INDEX(tblCleanData[YearsAtCompany],546)&lt;=10,8,3)))</f>
        <v>8</v>
      </c>
      <c r="N554">
        <f t="shared" si="16"/>
        <v>39</v>
      </c>
      <c r="O554" t="str">
        <f t="shared" si="17"/>
        <v>Medium Risk</v>
      </c>
    </row>
    <row r="555" spans="1:15" x14ac:dyDescent="0.25">
      <c r="A555">
        <f>INDEX(tblCleanData[EmployeeNumber],547)</f>
        <v>749</v>
      </c>
      <c r="B555" t="str">
        <f>IF(INDEX(tblCleanData[Age],547)&lt;30,"Under 30",IF(INDEX(tblCleanData[Age],547)&lt;40,"30-39",IF(INDEX(tblCleanData[Age],547)&lt;50,"40-49","50+")))</f>
        <v>Under 30</v>
      </c>
      <c r="C555" t="str">
        <f>IF(INDEX(tblCleanData[MonthlyIncome],547)&lt;=$B$3,"Low Income",IF(INDEX(tblCleanData[MonthlyIncome],547)&lt;=$B$4,"Medium Income","High Income"))</f>
        <v>High Income</v>
      </c>
      <c r="D555">
        <f>IF(INDEX(tblCleanData[Attrition],547)="Yes",1,0)</f>
        <v>0</v>
      </c>
      <c r="E555">
        <f>IF(INDEX(tblCleanData[OverTime],547)="Yes",1,0)</f>
        <v>0</v>
      </c>
      <c r="F555" t="str">
        <f>CHOOSE(INDEX(tblCleanData[Education],547),"Below College","College","Bachelor","Master","Doctor")</f>
        <v>Bachelor</v>
      </c>
      <c r="G555" t="str">
        <f>IF(INDEX(tblCleanData[YearsAtCompany],547)&lt;=2,"0-2 Years",IF(INDEX(tblCleanData[YearsAtCompany],547)&lt;=5,"3-5 Years",IF(INDEX(tblCleanData[YearsAtCompany],547)&lt;=10,"6-10 Years","10+ Years")))</f>
        <v>0-2 Years</v>
      </c>
      <c r="H555" t="str">
        <f>IF(INDEX(tblCleanData[WorkLifeBalance],547)&lt;=2,"Elevated","Normal")</f>
        <v>Normal</v>
      </c>
      <c r="I555">
        <f>IF(INDEX(tblCleanData[Age],547)&lt;30,30,IF(INDEX(tblCleanData[Age],547)&lt;40,20,IF(INDEX(tblCleanData[Age],547)&lt;50,10,15)))</f>
        <v>30</v>
      </c>
      <c r="J555">
        <f>IF(INDEX(tblCleanData[MonthlyIncome],547)&lt;=$B$3,25,IF(INDEX(tblCleanData[MonthlyIncome],547)&lt;=$B$4,12,5))</f>
        <v>5</v>
      </c>
      <c r="K555">
        <f>IF(INDEX(tblCleanData[OverTime],547)="Yes",25,0)</f>
        <v>0</v>
      </c>
      <c r="L555">
        <f>(5-INDEX(tblCleanData[JobSatisfaction],547))*6.25</f>
        <v>12.5</v>
      </c>
      <c r="M555">
        <f>IF(INDEX(tblCleanData[YearsAtCompany],547)&lt;=2,25,IF(INDEX(tblCleanData[YearsAtCompany],547)&lt;=5,15,IF(INDEX(tblCleanData[YearsAtCompany],547)&lt;=10,8,3)))</f>
        <v>25</v>
      </c>
      <c r="N555">
        <f t="shared" si="16"/>
        <v>73</v>
      </c>
      <c r="O555" t="str">
        <f t="shared" si="17"/>
        <v>High Risk</v>
      </c>
    </row>
    <row r="556" spans="1:15" x14ac:dyDescent="0.25">
      <c r="A556">
        <f>INDEX(tblCleanData[EmployeeNumber],548)</f>
        <v>752</v>
      </c>
      <c r="B556" t="str">
        <f>IF(INDEX(tblCleanData[Age],548)&lt;30,"Under 30",IF(INDEX(tblCleanData[Age],548)&lt;40,"30-39",IF(INDEX(tblCleanData[Age],548)&lt;50,"40-49","50+")))</f>
        <v>40-49</v>
      </c>
      <c r="C556" t="str">
        <f>IF(INDEX(tblCleanData[MonthlyIncome],548)&lt;=$B$3,"Low Income",IF(INDEX(tblCleanData[MonthlyIncome],548)&lt;=$B$4,"Medium Income","High Income"))</f>
        <v>High Income</v>
      </c>
      <c r="D556">
        <f>IF(INDEX(tblCleanData[Attrition],548)="Yes",1,0)</f>
        <v>1</v>
      </c>
      <c r="E556">
        <f>IF(INDEX(tblCleanData[OverTime],548)="Yes",1,0)</f>
        <v>1</v>
      </c>
      <c r="F556" t="str">
        <f>CHOOSE(INDEX(tblCleanData[Education],548),"Below College","College","Bachelor","Master","Doctor")</f>
        <v>Bachelor</v>
      </c>
      <c r="G556" t="str">
        <f>IF(INDEX(tblCleanData[YearsAtCompany],548)&lt;=2,"0-2 Years",IF(INDEX(tblCleanData[YearsAtCompany],548)&lt;=5,"3-5 Years",IF(INDEX(tblCleanData[YearsAtCompany],548)&lt;=10,"6-10 Years","10+ Years")))</f>
        <v>0-2 Years</v>
      </c>
      <c r="H556" t="str">
        <f>IF(INDEX(tblCleanData[WorkLifeBalance],548)&lt;=2,"Elevated","Normal")</f>
        <v>Normal</v>
      </c>
      <c r="I556">
        <f>IF(INDEX(tblCleanData[Age],548)&lt;30,30,IF(INDEX(tblCleanData[Age],548)&lt;40,20,IF(INDEX(tblCleanData[Age],548)&lt;50,10,15)))</f>
        <v>10</v>
      </c>
      <c r="J556">
        <f>IF(INDEX(tblCleanData[MonthlyIncome],548)&lt;=$B$3,25,IF(INDEX(tblCleanData[MonthlyIncome],548)&lt;=$B$4,12,5))</f>
        <v>5</v>
      </c>
      <c r="K556">
        <f>IF(INDEX(tblCleanData[OverTime],548)="Yes",25,0)</f>
        <v>25</v>
      </c>
      <c r="L556">
        <f>(5-INDEX(tblCleanData[JobSatisfaction],548))*6.25</f>
        <v>12.5</v>
      </c>
      <c r="M556">
        <f>IF(INDEX(tblCleanData[YearsAtCompany],548)&lt;=2,25,IF(INDEX(tblCleanData[YearsAtCompany],548)&lt;=5,15,IF(INDEX(tblCleanData[YearsAtCompany],548)&lt;=10,8,3)))</f>
        <v>25</v>
      </c>
      <c r="N556">
        <f t="shared" si="16"/>
        <v>78</v>
      </c>
      <c r="O556" t="str">
        <f t="shared" si="17"/>
        <v>High Risk</v>
      </c>
    </row>
    <row r="557" spans="1:15" x14ac:dyDescent="0.25">
      <c r="A557">
        <f>INDEX(tblCleanData[EmployeeNumber],549)</f>
        <v>754</v>
      </c>
      <c r="B557" t="str">
        <f>IF(INDEX(tblCleanData[Age],549)&lt;30,"Under 30",IF(INDEX(tblCleanData[Age],549)&lt;40,"30-39",IF(INDEX(tblCleanData[Age],549)&lt;50,"40-49","50+")))</f>
        <v>40-49</v>
      </c>
      <c r="C557" t="str">
        <f>IF(INDEX(tblCleanData[MonthlyIncome],549)&lt;=$B$3,"Low Income",IF(INDEX(tblCleanData[MonthlyIncome],549)&lt;=$B$4,"Medium Income","High Income"))</f>
        <v>High Income</v>
      </c>
      <c r="D557">
        <f>IF(INDEX(tblCleanData[Attrition],549)="Yes",1,0)</f>
        <v>0</v>
      </c>
      <c r="E557">
        <f>IF(INDEX(tblCleanData[OverTime],549)="Yes",1,0)</f>
        <v>0</v>
      </c>
      <c r="F557" t="str">
        <f>CHOOSE(INDEX(tblCleanData[Education],549),"Below College","College","Bachelor","Master","Doctor")</f>
        <v>Bachelor</v>
      </c>
      <c r="G557" t="str">
        <f>IF(INDEX(tblCleanData[YearsAtCompany],549)&lt;=2,"0-2 Years",IF(INDEX(tblCleanData[YearsAtCompany],549)&lt;=5,"3-5 Years",IF(INDEX(tblCleanData[YearsAtCompany],549)&lt;=10,"6-10 Years","10+ Years")))</f>
        <v>0-2 Years</v>
      </c>
      <c r="H557" t="str">
        <f>IF(INDEX(tblCleanData[WorkLifeBalance],549)&lt;=2,"Elevated","Normal")</f>
        <v>Normal</v>
      </c>
      <c r="I557">
        <f>IF(INDEX(tblCleanData[Age],549)&lt;30,30,IF(INDEX(tblCleanData[Age],549)&lt;40,20,IF(INDEX(tblCleanData[Age],549)&lt;50,10,15)))</f>
        <v>10</v>
      </c>
      <c r="J557">
        <f>IF(INDEX(tblCleanData[MonthlyIncome],549)&lt;=$B$3,25,IF(INDEX(tblCleanData[MonthlyIncome],549)&lt;=$B$4,12,5))</f>
        <v>5</v>
      </c>
      <c r="K557">
        <f>IF(INDEX(tblCleanData[OverTime],549)="Yes",25,0)</f>
        <v>0</v>
      </c>
      <c r="L557">
        <f>(5-INDEX(tblCleanData[JobSatisfaction],549))*6.25</f>
        <v>6.25</v>
      </c>
      <c r="M557">
        <f>IF(INDEX(tblCleanData[YearsAtCompany],549)&lt;=2,25,IF(INDEX(tblCleanData[YearsAtCompany],549)&lt;=5,15,IF(INDEX(tblCleanData[YearsAtCompany],549)&lt;=10,8,3)))</f>
        <v>25</v>
      </c>
      <c r="N557">
        <f t="shared" si="16"/>
        <v>46</v>
      </c>
      <c r="O557" t="str">
        <f t="shared" si="17"/>
        <v>Medium Risk</v>
      </c>
    </row>
    <row r="558" spans="1:15" x14ac:dyDescent="0.25">
      <c r="A558">
        <f>INDEX(tblCleanData[EmployeeNumber],550)</f>
        <v>757</v>
      </c>
      <c r="B558" t="str">
        <f>IF(INDEX(tblCleanData[Age],550)&lt;30,"Under 30",IF(INDEX(tblCleanData[Age],550)&lt;40,"30-39",IF(INDEX(tblCleanData[Age],550)&lt;50,"40-49","50+")))</f>
        <v>30-39</v>
      </c>
      <c r="C558" t="str">
        <f>IF(INDEX(tblCleanData[MonthlyIncome],550)&lt;=$B$3,"Low Income",IF(INDEX(tblCleanData[MonthlyIncome],550)&lt;=$B$4,"Medium Income","High Income"))</f>
        <v>High Income</v>
      </c>
      <c r="D558">
        <f>IF(INDEX(tblCleanData[Attrition],550)="Yes",1,0)</f>
        <v>0</v>
      </c>
      <c r="E558">
        <f>IF(INDEX(tblCleanData[OverTime],550)="Yes",1,0)</f>
        <v>0</v>
      </c>
      <c r="F558" t="str">
        <f>CHOOSE(INDEX(tblCleanData[Education],550),"Below College","College","Bachelor","Master","Doctor")</f>
        <v>College</v>
      </c>
      <c r="G558" t="str">
        <f>IF(INDEX(tblCleanData[YearsAtCompany],550)&lt;=2,"0-2 Years",IF(INDEX(tblCleanData[YearsAtCompany],550)&lt;=5,"3-5 Years",IF(INDEX(tblCleanData[YearsAtCompany],550)&lt;=10,"6-10 Years","10+ Years")))</f>
        <v>3-5 Years</v>
      </c>
      <c r="H558" t="str">
        <f>IF(INDEX(tblCleanData[WorkLifeBalance],550)&lt;=2,"Elevated","Normal")</f>
        <v>Normal</v>
      </c>
      <c r="I558">
        <f>IF(INDEX(tblCleanData[Age],550)&lt;30,30,IF(INDEX(tblCleanData[Age],550)&lt;40,20,IF(INDEX(tblCleanData[Age],550)&lt;50,10,15)))</f>
        <v>20</v>
      </c>
      <c r="J558">
        <f>IF(INDEX(tblCleanData[MonthlyIncome],550)&lt;=$B$3,25,IF(INDEX(tblCleanData[MonthlyIncome],550)&lt;=$B$4,12,5))</f>
        <v>5</v>
      </c>
      <c r="K558">
        <f>IF(INDEX(tblCleanData[OverTime],550)="Yes",25,0)</f>
        <v>0</v>
      </c>
      <c r="L558">
        <f>(5-INDEX(tblCleanData[JobSatisfaction],550))*6.25</f>
        <v>12.5</v>
      </c>
      <c r="M558">
        <f>IF(INDEX(tblCleanData[YearsAtCompany],550)&lt;=2,25,IF(INDEX(tblCleanData[YearsAtCompany],550)&lt;=5,15,IF(INDEX(tblCleanData[YearsAtCompany],550)&lt;=10,8,3)))</f>
        <v>15</v>
      </c>
      <c r="N558">
        <f t="shared" si="16"/>
        <v>53</v>
      </c>
      <c r="O558" t="str">
        <f t="shared" si="17"/>
        <v>Medium Risk</v>
      </c>
    </row>
    <row r="559" spans="1:15" x14ac:dyDescent="0.25">
      <c r="A559">
        <f>INDEX(tblCleanData[EmployeeNumber],551)</f>
        <v>758</v>
      </c>
      <c r="B559" t="str">
        <f>IF(INDEX(tblCleanData[Age],551)&lt;30,"Under 30",IF(INDEX(tblCleanData[Age],551)&lt;40,"30-39",IF(INDEX(tblCleanData[Age],551)&lt;50,"40-49","50+")))</f>
        <v>Under 30</v>
      </c>
      <c r="C559" t="str">
        <f>IF(INDEX(tblCleanData[MonthlyIncome],551)&lt;=$B$3,"Low Income",IF(INDEX(tblCleanData[MonthlyIncome],551)&lt;=$B$4,"Medium Income","High Income"))</f>
        <v>High Income</v>
      </c>
      <c r="D559">
        <f>IF(INDEX(tblCleanData[Attrition],551)="Yes",1,0)</f>
        <v>0</v>
      </c>
      <c r="E559">
        <f>IF(INDEX(tblCleanData[OverTime],551)="Yes",1,0)</f>
        <v>0</v>
      </c>
      <c r="F559" t="str">
        <f>CHOOSE(INDEX(tblCleanData[Education],551),"Below College","College","Bachelor","Master","Doctor")</f>
        <v>Below College</v>
      </c>
      <c r="G559" t="str">
        <f>IF(INDEX(tblCleanData[YearsAtCompany],551)&lt;=2,"0-2 Years",IF(INDEX(tblCleanData[YearsAtCompany],551)&lt;=5,"3-5 Years",IF(INDEX(tblCleanData[YearsAtCompany],551)&lt;=10,"6-10 Years","10+ Years")))</f>
        <v>3-5 Years</v>
      </c>
      <c r="H559" t="str">
        <f>IF(INDEX(tblCleanData[WorkLifeBalance],551)&lt;=2,"Elevated","Normal")</f>
        <v>Normal</v>
      </c>
      <c r="I559">
        <f>IF(INDEX(tblCleanData[Age],551)&lt;30,30,IF(INDEX(tblCleanData[Age],551)&lt;40,20,IF(INDEX(tblCleanData[Age],551)&lt;50,10,15)))</f>
        <v>30</v>
      </c>
      <c r="J559">
        <f>IF(INDEX(tblCleanData[MonthlyIncome],551)&lt;=$B$3,25,IF(INDEX(tblCleanData[MonthlyIncome],551)&lt;=$B$4,12,5))</f>
        <v>5</v>
      </c>
      <c r="K559">
        <f>IF(INDEX(tblCleanData[OverTime],551)="Yes",25,0)</f>
        <v>0</v>
      </c>
      <c r="L559">
        <f>(5-INDEX(tblCleanData[JobSatisfaction],551))*6.25</f>
        <v>25</v>
      </c>
      <c r="M559">
        <f>IF(INDEX(tblCleanData[YearsAtCompany],551)&lt;=2,25,IF(INDEX(tblCleanData[YearsAtCompany],551)&lt;=5,15,IF(INDEX(tblCleanData[YearsAtCompany],551)&lt;=10,8,3)))</f>
        <v>15</v>
      </c>
      <c r="N559">
        <f t="shared" si="16"/>
        <v>75</v>
      </c>
      <c r="O559" t="str">
        <f t="shared" si="17"/>
        <v>High Risk</v>
      </c>
    </row>
    <row r="560" spans="1:15" x14ac:dyDescent="0.25">
      <c r="A560">
        <f>INDEX(tblCleanData[EmployeeNumber],552)</f>
        <v>760</v>
      </c>
      <c r="B560" t="str">
        <f>IF(INDEX(tblCleanData[Age],552)&lt;30,"Under 30",IF(INDEX(tblCleanData[Age],552)&lt;40,"30-39",IF(INDEX(tblCleanData[Age],552)&lt;50,"40-49","50+")))</f>
        <v>30-39</v>
      </c>
      <c r="C560" t="str">
        <f>IF(INDEX(tblCleanData[MonthlyIncome],552)&lt;=$B$3,"Low Income",IF(INDEX(tblCleanData[MonthlyIncome],552)&lt;=$B$4,"Medium Income","High Income"))</f>
        <v>High Income</v>
      </c>
      <c r="D560">
        <f>IF(INDEX(tblCleanData[Attrition],552)="Yes",1,0)</f>
        <v>0</v>
      </c>
      <c r="E560">
        <f>IF(INDEX(tblCleanData[OverTime],552)="Yes",1,0)</f>
        <v>0</v>
      </c>
      <c r="F560" t="str">
        <f>CHOOSE(INDEX(tblCleanData[Education],552),"Below College","College","Bachelor","Master","Doctor")</f>
        <v>Bachelor</v>
      </c>
      <c r="G560" t="str">
        <f>IF(INDEX(tblCleanData[YearsAtCompany],552)&lt;=2,"0-2 Years",IF(INDEX(tblCleanData[YearsAtCompany],552)&lt;=5,"3-5 Years",IF(INDEX(tblCleanData[YearsAtCompany],552)&lt;=10,"6-10 Years","10+ Years")))</f>
        <v>6-10 Years</v>
      </c>
      <c r="H560" t="str">
        <f>IF(INDEX(tblCleanData[WorkLifeBalance],552)&lt;=2,"Elevated","Normal")</f>
        <v>Elevated</v>
      </c>
      <c r="I560">
        <f>IF(INDEX(tblCleanData[Age],552)&lt;30,30,IF(INDEX(tblCleanData[Age],552)&lt;40,20,IF(INDEX(tblCleanData[Age],552)&lt;50,10,15)))</f>
        <v>20</v>
      </c>
      <c r="J560">
        <f>IF(INDEX(tblCleanData[MonthlyIncome],552)&lt;=$B$3,25,IF(INDEX(tblCleanData[MonthlyIncome],552)&lt;=$B$4,12,5))</f>
        <v>5</v>
      </c>
      <c r="K560">
        <f>IF(INDEX(tblCleanData[OverTime],552)="Yes",25,0)</f>
        <v>0</v>
      </c>
      <c r="L560">
        <f>(5-INDEX(tblCleanData[JobSatisfaction],552))*6.25</f>
        <v>18.75</v>
      </c>
      <c r="M560">
        <f>IF(INDEX(tblCleanData[YearsAtCompany],552)&lt;=2,25,IF(INDEX(tblCleanData[YearsAtCompany],552)&lt;=5,15,IF(INDEX(tblCleanData[YearsAtCompany],552)&lt;=10,8,3)))</f>
        <v>8</v>
      </c>
      <c r="N560">
        <f t="shared" si="16"/>
        <v>52</v>
      </c>
      <c r="O560" t="str">
        <f t="shared" si="17"/>
        <v>Medium Risk</v>
      </c>
    </row>
    <row r="561" spans="1:15" x14ac:dyDescent="0.25">
      <c r="A561">
        <f>INDEX(tblCleanData[EmployeeNumber],553)</f>
        <v>762</v>
      </c>
      <c r="B561" t="str">
        <f>IF(INDEX(tblCleanData[Age],553)&lt;30,"Under 30",IF(INDEX(tblCleanData[Age],553)&lt;40,"30-39",IF(INDEX(tblCleanData[Age],553)&lt;50,"40-49","50+")))</f>
        <v>50+</v>
      </c>
      <c r="C561" t="str">
        <f>IF(INDEX(tblCleanData[MonthlyIncome],553)&lt;=$B$3,"Low Income",IF(INDEX(tblCleanData[MonthlyIncome],553)&lt;=$B$4,"Medium Income","High Income"))</f>
        <v>High Income</v>
      </c>
      <c r="D561">
        <f>IF(INDEX(tblCleanData[Attrition],553)="Yes",1,0)</f>
        <v>0</v>
      </c>
      <c r="E561">
        <f>IF(INDEX(tblCleanData[OverTime],553)="Yes",1,0)</f>
        <v>0</v>
      </c>
      <c r="F561" t="str">
        <f>CHOOSE(INDEX(tblCleanData[Education],553),"Below College","College","Bachelor","Master","Doctor")</f>
        <v>Bachelor</v>
      </c>
      <c r="G561" t="str">
        <f>IF(INDEX(tblCleanData[YearsAtCompany],553)&lt;=2,"0-2 Years",IF(INDEX(tblCleanData[YearsAtCompany],553)&lt;=5,"3-5 Years",IF(INDEX(tblCleanData[YearsAtCompany],553)&lt;=10,"6-10 Years","10+ Years")))</f>
        <v>6-10 Years</v>
      </c>
      <c r="H561" t="str">
        <f>IF(INDEX(tblCleanData[WorkLifeBalance],553)&lt;=2,"Elevated","Normal")</f>
        <v>Elevated</v>
      </c>
      <c r="I561">
        <f>IF(INDEX(tblCleanData[Age],553)&lt;30,30,IF(INDEX(tblCleanData[Age],553)&lt;40,20,IF(INDEX(tblCleanData[Age],553)&lt;50,10,15)))</f>
        <v>15</v>
      </c>
      <c r="J561">
        <f>IF(INDEX(tblCleanData[MonthlyIncome],553)&lt;=$B$3,25,IF(INDEX(tblCleanData[MonthlyIncome],553)&lt;=$B$4,12,5))</f>
        <v>5</v>
      </c>
      <c r="K561">
        <f>IF(INDEX(tblCleanData[OverTime],553)="Yes",25,0)</f>
        <v>0</v>
      </c>
      <c r="L561">
        <f>(5-INDEX(tblCleanData[JobSatisfaction],553))*6.25</f>
        <v>6.25</v>
      </c>
      <c r="M561">
        <f>IF(INDEX(tblCleanData[YearsAtCompany],553)&lt;=2,25,IF(INDEX(tblCleanData[YearsAtCompany],553)&lt;=5,15,IF(INDEX(tblCleanData[YearsAtCompany],553)&lt;=10,8,3)))</f>
        <v>8</v>
      </c>
      <c r="N561">
        <f t="shared" si="16"/>
        <v>34</v>
      </c>
      <c r="O561" t="str">
        <f t="shared" si="17"/>
        <v>Low Risk</v>
      </c>
    </row>
    <row r="562" spans="1:15" x14ac:dyDescent="0.25">
      <c r="A562">
        <f>INDEX(tblCleanData[EmployeeNumber],554)</f>
        <v>763</v>
      </c>
      <c r="B562" t="str">
        <f>IF(INDEX(tblCleanData[Age],554)&lt;30,"Under 30",IF(INDEX(tblCleanData[Age],554)&lt;40,"30-39",IF(INDEX(tblCleanData[Age],554)&lt;50,"40-49","50+")))</f>
        <v>40-49</v>
      </c>
      <c r="C562" t="str">
        <f>IF(INDEX(tblCleanData[MonthlyIncome],554)&lt;=$B$3,"Low Income",IF(INDEX(tblCleanData[MonthlyIncome],554)&lt;=$B$4,"Medium Income","High Income"))</f>
        <v>High Income</v>
      </c>
      <c r="D562">
        <f>IF(INDEX(tblCleanData[Attrition],554)="Yes",1,0)</f>
        <v>0</v>
      </c>
      <c r="E562">
        <f>IF(INDEX(tblCleanData[OverTime],554)="Yes",1,0)</f>
        <v>1</v>
      </c>
      <c r="F562" t="str">
        <f>CHOOSE(INDEX(tblCleanData[Education],554),"Below College","College","Bachelor","Master","Doctor")</f>
        <v>Below College</v>
      </c>
      <c r="G562" t="str">
        <f>IF(INDEX(tblCleanData[YearsAtCompany],554)&lt;=2,"0-2 Years",IF(INDEX(tblCleanData[YearsAtCompany],554)&lt;=5,"3-5 Years",IF(INDEX(tblCleanData[YearsAtCompany],554)&lt;=10,"6-10 Years","10+ Years")))</f>
        <v>3-5 Years</v>
      </c>
      <c r="H562" t="str">
        <f>IF(INDEX(tblCleanData[WorkLifeBalance],554)&lt;=2,"Elevated","Normal")</f>
        <v>Elevated</v>
      </c>
      <c r="I562">
        <f>IF(INDEX(tblCleanData[Age],554)&lt;30,30,IF(INDEX(tblCleanData[Age],554)&lt;40,20,IF(INDEX(tblCleanData[Age],554)&lt;50,10,15)))</f>
        <v>10</v>
      </c>
      <c r="J562">
        <f>IF(INDEX(tblCleanData[MonthlyIncome],554)&lt;=$B$3,25,IF(INDEX(tblCleanData[MonthlyIncome],554)&lt;=$B$4,12,5))</f>
        <v>5</v>
      </c>
      <c r="K562">
        <f>IF(INDEX(tblCleanData[OverTime],554)="Yes",25,0)</f>
        <v>25</v>
      </c>
      <c r="L562">
        <f>(5-INDEX(tblCleanData[JobSatisfaction],554))*6.25</f>
        <v>6.25</v>
      </c>
      <c r="M562">
        <f>IF(INDEX(tblCleanData[YearsAtCompany],554)&lt;=2,25,IF(INDEX(tblCleanData[YearsAtCompany],554)&lt;=5,15,IF(INDEX(tblCleanData[YearsAtCompany],554)&lt;=10,8,3)))</f>
        <v>15</v>
      </c>
      <c r="N562">
        <f t="shared" si="16"/>
        <v>61</v>
      </c>
      <c r="O562" t="str">
        <f t="shared" si="17"/>
        <v>High Risk</v>
      </c>
    </row>
    <row r="563" spans="1:15" x14ac:dyDescent="0.25">
      <c r="A563">
        <f>INDEX(tblCleanData[EmployeeNumber],555)</f>
        <v>764</v>
      </c>
      <c r="B563" t="str">
        <f>IF(INDEX(tblCleanData[Age],555)&lt;30,"Under 30",IF(INDEX(tblCleanData[Age],555)&lt;40,"30-39",IF(INDEX(tblCleanData[Age],555)&lt;50,"40-49","50+")))</f>
        <v>Under 30</v>
      </c>
      <c r="C563" t="str">
        <f>IF(INDEX(tblCleanData[MonthlyIncome],555)&lt;=$B$3,"Low Income",IF(INDEX(tblCleanData[MonthlyIncome],555)&lt;=$B$4,"Medium Income","High Income"))</f>
        <v>High Income</v>
      </c>
      <c r="D563">
        <f>IF(INDEX(tblCleanData[Attrition],555)="Yes",1,0)</f>
        <v>0</v>
      </c>
      <c r="E563">
        <f>IF(INDEX(tblCleanData[OverTime],555)="Yes",1,0)</f>
        <v>0</v>
      </c>
      <c r="F563" t="str">
        <f>CHOOSE(INDEX(tblCleanData[Education],555),"Below College","College","Bachelor","Master","Doctor")</f>
        <v>Bachelor</v>
      </c>
      <c r="G563" t="str">
        <f>IF(INDEX(tblCleanData[YearsAtCompany],555)&lt;=2,"0-2 Years",IF(INDEX(tblCleanData[YearsAtCompany],555)&lt;=5,"3-5 Years",IF(INDEX(tblCleanData[YearsAtCompany],555)&lt;=10,"6-10 Years","10+ Years")))</f>
        <v>6-10 Years</v>
      </c>
      <c r="H563" t="str">
        <f>IF(INDEX(tblCleanData[WorkLifeBalance],555)&lt;=2,"Elevated","Normal")</f>
        <v>Elevated</v>
      </c>
      <c r="I563">
        <f>IF(INDEX(tblCleanData[Age],555)&lt;30,30,IF(INDEX(tblCleanData[Age],555)&lt;40,20,IF(INDEX(tblCleanData[Age],555)&lt;50,10,15)))</f>
        <v>30</v>
      </c>
      <c r="J563">
        <f>IF(INDEX(tblCleanData[MonthlyIncome],555)&lt;=$B$3,25,IF(INDEX(tblCleanData[MonthlyIncome],555)&lt;=$B$4,12,5))</f>
        <v>5</v>
      </c>
      <c r="K563">
        <f>IF(INDEX(tblCleanData[OverTime],555)="Yes",25,0)</f>
        <v>0</v>
      </c>
      <c r="L563">
        <f>(5-INDEX(tblCleanData[JobSatisfaction],555))*6.25</f>
        <v>25</v>
      </c>
      <c r="M563">
        <f>IF(INDEX(tblCleanData[YearsAtCompany],555)&lt;=2,25,IF(INDEX(tblCleanData[YearsAtCompany],555)&lt;=5,15,IF(INDEX(tblCleanData[YearsAtCompany],555)&lt;=10,8,3)))</f>
        <v>8</v>
      </c>
      <c r="N563">
        <f t="shared" si="16"/>
        <v>68</v>
      </c>
      <c r="O563" t="str">
        <f t="shared" si="17"/>
        <v>High Risk</v>
      </c>
    </row>
    <row r="564" spans="1:15" x14ac:dyDescent="0.25">
      <c r="A564">
        <f>INDEX(tblCleanData[EmployeeNumber],556)</f>
        <v>766</v>
      </c>
      <c r="B564" t="str">
        <f>IF(INDEX(tblCleanData[Age],556)&lt;30,"Under 30",IF(INDEX(tblCleanData[Age],556)&lt;40,"30-39",IF(INDEX(tblCleanData[Age],556)&lt;50,"40-49","50+")))</f>
        <v>Under 30</v>
      </c>
      <c r="C564" t="str">
        <f>IF(INDEX(tblCleanData[MonthlyIncome],556)&lt;=$B$3,"Low Income",IF(INDEX(tblCleanData[MonthlyIncome],556)&lt;=$B$4,"Medium Income","High Income"))</f>
        <v>High Income</v>
      </c>
      <c r="D564">
        <f>IF(INDEX(tblCleanData[Attrition],556)="Yes",1,0)</f>
        <v>0</v>
      </c>
      <c r="E564">
        <f>IF(INDEX(tblCleanData[OverTime],556)="Yes",1,0)</f>
        <v>0</v>
      </c>
      <c r="F564" t="str">
        <f>CHOOSE(INDEX(tblCleanData[Education],556),"Below College","College","Bachelor","Master","Doctor")</f>
        <v>Bachelor</v>
      </c>
      <c r="G564" t="str">
        <f>IF(INDEX(tblCleanData[YearsAtCompany],556)&lt;=2,"0-2 Years",IF(INDEX(tblCleanData[YearsAtCompany],556)&lt;=5,"3-5 Years",IF(INDEX(tblCleanData[YearsAtCompany],556)&lt;=10,"6-10 Years","10+ Years")))</f>
        <v>0-2 Years</v>
      </c>
      <c r="H564" t="str">
        <f>IF(INDEX(tblCleanData[WorkLifeBalance],556)&lt;=2,"Elevated","Normal")</f>
        <v>Normal</v>
      </c>
      <c r="I564">
        <f>IF(INDEX(tblCleanData[Age],556)&lt;30,30,IF(INDEX(tblCleanData[Age],556)&lt;40,20,IF(INDEX(tblCleanData[Age],556)&lt;50,10,15)))</f>
        <v>30</v>
      </c>
      <c r="J564">
        <f>IF(INDEX(tblCleanData[MonthlyIncome],556)&lt;=$B$3,25,IF(INDEX(tblCleanData[MonthlyIncome],556)&lt;=$B$4,12,5))</f>
        <v>5</v>
      </c>
      <c r="K564">
        <f>IF(INDEX(tblCleanData[OverTime],556)="Yes",25,0)</f>
        <v>0</v>
      </c>
      <c r="L564">
        <f>(5-INDEX(tblCleanData[JobSatisfaction],556))*6.25</f>
        <v>18.75</v>
      </c>
      <c r="M564">
        <f>IF(INDEX(tblCleanData[YearsAtCompany],556)&lt;=2,25,IF(INDEX(tblCleanData[YearsAtCompany],556)&lt;=5,15,IF(INDEX(tblCleanData[YearsAtCompany],556)&lt;=10,8,3)))</f>
        <v>25</v>
      </c>
      <c r="N564">
        <f t="shared" si="16"/>
        <v>79</v>
      </c>
      <c r="O564" t="str">
        <f t="shared" si="17"/>
        <v>High Risk</v>
      </c>
    </row>
    <row r="565" spans="1:15" x14ac:dyDescent="0.25">
      <c r="A565">
        <f>INDEX(tblCleanData[EmployeeNumber],557)</f>
        <v>769</v>
      </c>
      <c r="B565" t="str">
        <f>IF(INDEX(tblCleanData[Age],557)&lt;30,"Under 30",IF(INDEX(tblCleanData[Age],557)&lt;40,"30-39",IF(INDEX(tblCleanData[Age],557)&lt;50,"40-49","50+")))</f>
        <v>50+</v>
      </c>
      <c r="C565" t="str">
        <f>IF(INDEX(tblCleanData[MonthlyIncome],557)&lt;=$B$3,"Low Income",IF(INDEX(tblCleanData[MonthlyIncome],557)&lt;=$B$4,"Medium Income","High Income"))</f>
        <v>High Income</v>
      </c>
      <c r="D565">
        <f>IF(INDEX(tblCleanData[Attrition],557)="Yes",1,0)</f>
        <v>0</v>
      </c>
      <c r="E565">
        <f>IF(INDEX(tblCleanData[OverTime],557)="Yes",1,0)</f>
        <v>0</v>
      </c>
      <c r="F565" t="str">
        <f>CHOOSE(INDEX(tblCleanData[Education],557),"Below College","College","Bachelor","Master","Doctor")</f>
        <v>Bachelor</v>
      </c>
      <c r="G565" t="str">
        <f>IF(INDEX(tblCleanData[YearsAtCompany],557)&lt;=2,"0-2 Years",IF(INDEX(tblCleanData[YearsAtCompany],557)&lt;=5,"3-5 Years",IF(INDEX(tblCleanData[YearsAtCompany],557)&lt;=10,"6-10 Years","10+ Years")))</f>
        <v>0-2 Years</v>
      </c>
      <c r="H565" t="str">
        <f>IF(INDEX(tblCleanData[WorkLifeBalance],557)&lt;=2,"Elevated","Normal")</f>
        <v>Normal</v>
      </c>
      <c r="I565">
        <f>IF(INDEX(tblCleanData[Age],557)&lt;30,30,IF(INDEX(tblCleanData[Age],557)&lt;40,20,IF(INDEX(tblCleanData[Age],557)&lt;50,10,15)))</f>
        <v>15</v>
      </c>
      <c r="J565">
        <f>IF(INDEX(tblCleanData[MonthlyIncome],557)&lt;=$B$3,25,IF(INDEX(tblCleanData[MonthlyIncome],557)&lt;=$B$4,12,5))</f>
        <v>5</v>
      </c>
      <c r="K565">
        <f>IF(INDEX(tblCleanData[OverTime],557)="Yes",25,0)</f>
        <v>0</v>
      </c>
      <c r="L565">
        <f>(5-INDEX(tblCleanData[JobSatisfaction],557))*6.25</f>
        <v>6.25</v>
      </c>
      <c r="M565">
        <f>IF(INDEX(tblCleanData[YearsAtCompany],557)&lt;=2,25,IF(INDEX(tblCleanData[YearsAtCompany],557)&lt;=5,15,IF(INDEX(tblCleanData[YearsAtCompany],557)&lt;=10,8,3)))</f>
        <v>25</v>
      </c>
      <c r="N565">
        <f t="shared" si="16"/>
        <v>51</v>
      </c>
      <c r="O565" t="str">
        <f t="shared" si="17"/>
        <v>Medium Risk</v>
      </c>
    </row>
    <row r="566" spans="1:15" x14ac:dyDescent="0.25">
      <c r="A566">
        <f>INDEX(tblCleanData[EmployeeNumber],558)</f>
        <v>771</v>
      </c>
      <c r="B566" t="str">
        <f>IF(INDEX(tblCleanData[Age],558)&lt;30,"Under 30",IF(INDEX(tblCleanData[Age],558)&lt;40,"30-39",IF(INDEX(tblCleanData[Age],558)&lt;50,"40-49","50+")))</f>
        <v>30-39</v>
      </c>
      <c r="C566" t="str">
        <f>IF(INDEX(tblCleanData[MonthlyIncome],558)&lt;=$B$3,"Low Income",IF(INDEX(tblCleanData[MonthlyIncome],558)&lt;=$B$4,"Medium Income","High Income"))</f>
        <v>High Income</v>
      </c>
      <c r="D566">
        <f>IF(INDEX(tblCleanData[Attrition],558)="Yes",1,0)</f>
        <v>0</v>
      </c>
      <c r="E566">
        <f>IF(INDEX(tblCleanData[OverTime],558)="Yes",1,0)</f>
        <v>0</v>
      </c>
      <c r="F566" t="str">
        <f>CHOOSE(INDEX(tblCleanData[Education],558),"Below College","College","Bachelor","Master","Doctor")</f>
        <v>Master</v>
      </c>
      <c r="G566" t="str">
        <f>IF(INDEX(tblCleanData[YearsAtCompany],558)&lt;=2,"0-2 Years",IF(INDEX(tblCleanData[YearsAtCompany],558)&lt;=5,"3-5 Years",IF(INDEX(tblCleanData[YearsAtCompany],558)&lt;=10,"6-10 Years","10+ Years")))</f>
        <v>0-2 Years</v>
      </c>
      <c r="H566" t="str">
        <f>IF(INDEX(tblCleanData[WorkLifeBalance],558)&lt;=2,"Elevated","Normal")</f>
        <v>Normal</v>
      </c>
      <c r="I566">
        <f>IF(INDEX(tblCleanData[Age],558)&lt;30,30,IF(INDEX(tblCleanData[Age],558)&lt;40,20,IF(INDEX(tblCleanData[Age],558)&lt;50,10,15)))</f>
        <v>20</v>
      </c>
      <c r="J566">
        <f>IF(INDEX(tblCleanData[MonthlyIncome],558)&lt;=$B$3,25,IF(INDEX(tblCleanData[MonthlyIncome],558)&lt;=$B$4,12,5))</f>
        <v>5</v>
      </c>
      <c r="K566">
        <f>IF(INDEX(tblCleanData[OverTime],558)="Yes",25,0)</f>
        <v>0</v>
      </c>
      <c r="L566">
        <f>(5-INDEX(tblCleanData[JobSatisfaction],558))*6.25</f>
        <v>25</v>
      </c>
      <c r="M566">
        <f>IF(INDEX(tblCleanData[YearsAtCompany],558)&lt;=2,25,IF(INDEX(tblCleanData[YearsAtCompany],558)&lt;=5,15,IF(INDEX(tblCleanData[YearsAtCompany],558)&lt;=10,8,3)))</f>
        <v>25</v>
      </c>
      <c r="N566">
        <f t="shared" si="16"/>
        <v>75</v>
      </c>
      <c r="O566" t="str">
        <f t="shared" si="17"/>
        <v>High Risk</v>
      </c>
    </row>
    <row r="567" spans="1:15" x14ac:dyDescent="0.25">
      <c r="A567">
        <f>INDEX(tblCleanData[EmployeeNumber],559)</f>
        <v>772</v>
      </c>
      <c r="B567" t="str">
        <f>IF(INDEX(tblCleanData[Age],559)&lt;30,"Under 30",IF(INDEX(tblCleanData[Age],559)&lt;40,"30-39",IF(INDEX(tblCleanData[Age],559)&lt;50,"40-49","50+")))</f>
        <v>30-39</v>
      </c>
      <c r="C567" t="str">
        <f>IF(INDEX(tblCleanData[MonthlyIncome],559)&lt;=$B$3,"Low Income",IF(INDEX(tblCleanData[MonthlyIncome],559)&lt;=$B$4,"Medium Income","High Income"))</f>
        <v>High Income</v>
      </c>
      <c r="D567">
        <f>IF(INDEX(tblCleanData[Attrition],559)="Yes",1,0)</f>
        <v>0</v>
      </c>
      <c r="E567">
        <f>IF(INDEX(tblCleanData[OverTime],559)="Yes",1,0)</f>
        <v>0</v>
      </c>
      <c r="F567" t="str">
        <f>CHOOSE(INDEX(tblCleanData[Education],559),"Below College","College","Bachelor","Master","Doctor")</f>
        <v>Master</v>
      </c>
      <c r="G567" t="str">
        <f>IF(INDEX(tblCleanData[YearsAtCompany],559)&lt;=2,"0-2 Years",IF(INDEX(tblCleanData[YearsAtCompany],559)&lt;=5,"3-5 Years",IF(INDEX(tblCleanData[YearsAtCompany],559)&lt;=10,"6-10 Years","10+ Years")))</f>
        <v>6-10 Years</v>
      </c>
      <c r="H567" t="str">
        <f>IF(INDEX(tblCleanData[WorkLifeBalance],559)&lt;=2,"Elevated","Normal")</f>
        <v>Normal</v>
      </c>
      <c r="I567">
        <f>IF(INDEX(tblCleanData[Age],559)&lt;30,30,IF(INDEX(tblCleanData[Age],559)&lt;40,20,IF(INDEX(tblCleanData[Age],559)&lt;50,10,15)))</f>
        <v>20</v>
      </c>
      <c r="J567">
        <f>IF(INDEX(tblCleanData[MonthlyIncome],559)&lt;=$B$3,25,IF(INDEX(tblCleanData[MonthlyIncome],559)&lt;=$B$4,12,5))</f>
        <v>5</v>
      </c>
      <c r="K567">
        <f>IF(INDEX(tblCleanData[OverTime],559)="Yes",25,0)</f>
        <v>0</v>
      </c>
      <c r="L567">
        <f>(5-INDEX(tblCleanData[JobSatisfaction],559))*6.25</f>
        <v>6.25</v>
      </c>
      <c r="M567">
        <f>IF(INDEX(tblCleanData[YearsAtCompany],559)&lt;=2,25,IF(INDEX(tblCleanData[YearsAtCompany],559)&lt;=5,15,IF(INDEX(tblCleanData[YearsAtCompany],559)&lt;=10,8,3)))</f>
        <v>8</v>
      </c>
      <c r="N567">
        <f t="shared" si="16"/>
        <v>39</v>
      </c>
      <c r="O567" t="str">
        <f t="shared" si="17"/>
        <v>Medium Risk</v>
      </c>
    </row>
    <row r="568" spans="1:15" x14ac:dyDescent="0.25">
      <c r="A568">
        <f>INDEX(tblCleanData[EmployeeNumber],560)</f>
        <v>773</v>
      </c>
      <c r="B568" t="str">
        <f>IF(INDEX(tblCleanData[Age],560)&lt;30,"Under 30",IF(INDEX(tblCleanData[Age],560)&lt;40,"30-39",IF(INDEX(tblCleanData[Age],560)&lt;50,"40-49","50+")))</f>
        <v>30-39</v>
      </c>
      <c r="C568" t="str">
        <f>IF(INDEX(tblCleanData[MonthlyIncome],560)&lt;=$B$3,"Low Income",IF(INDEX(tblCleanData[MonthlyIncome],560)&lt;=$B$4,"Medium Income","High Income"))</f>
        <v>High Income</v>
      </c>
      <c r="D568">
        <f>IF(INDEX(tblCleanData[Attrition],560)="Yes",1,0)</f>
        <v>0</v>
      </c>
      <c r="E568">
        <f>IF(INDEX(tblCleanData[OverTime],560)="Yes",1,0)</f>
        <v>1</v>
      </c>
      <c r="F568" t="str">
        <f>CHOOSE(INDEX(tblCleanData[Education],560),"Below College","College","Bachelor","Master","Doctor")</f>
        <v>Doctor</v>
      </c>
      <c r="G568" t="str">
        <f>IF(INDEX(tblCleanData[YearsAtCompany],560)&lt;=2,"0-2 Years",IF(INDEX(tblCleanData[YearsAtCompany],560)&lt;=5,"3-5 Years",IF(INDEX(tblCleanData[YearsAtCompany],560)&lt;=10,"6-10 Years","10+ Years")))</f>
        <v>0-2 Years</v>
      </c>
      <c r="H568" t="str">
        <f>IF(INDEX(tblCleanData[WorkLifeBalance],560)&lt;=2,"Elevated","Normal")</f>
        <v>Elevated</v>
      </c>
      <c r="I568">
        <f>IF(INDEX(tblCleanData[Age],560)&lt;30,30,IF(INDEX(tblCleanData[Age],560)&lt;40,20,IF(INDEX(tblCleanData[Age],560)&lt;50,10,15)))</f>
        <v>20</v>
      </c>
      <c r="J568">
        <f>IF(INDEX(tblCleanData[MonthlyIncome],560)&lt;=$B$3,25,IF(INDEX(tblCleanData[MonthlyIncome],560)&lt;=$B$4,12,5))</f>
        <v>5</v>
      </c>
      <c r="K568">
        <f>IF(INDEX(tblCleanData[OverTime],560)="Yes",25,0)</f>
        <v>25</v>
      </c>
      <c r="L568">
        <f>(5-INDEX(tblCleanData[JobSatisfaction],560))*6.25</f>
        <v>12.5</v>
      </c>
      <c r="M568">
        <f>IF(INDEX(tblCleanData[YearsAtCompany],560)&lt;=2,25,IF(INDEX(tblCleanData[YearsAtCompany],560)&lt;=5,15,IF(INDEX(tblCleanData[YearsAtCompany],560)&lt;=10,8,3)))</f>
        <v>25</v>
      </c>
      <c r="N568">
        <f t="shared" si="16"/>
        <v>88</v>
      </c>
      <c r="O568" t="str">
        <f t="shared" si="17"/>
        <v>High Risk</v>
      </c>
    </row>
    <row r="569" spans="1:15" x14ac:dyDescent="0.25">
      <c r="A569">
        <f>INDEX(tblCleanData[EmployeeNumber],561)</f>
        <v>775</v>
      </c>
      <c r="B569" t="str">
        <f>IF(INDEX(tblCleanData[Age],561)&lt;30,"Under 30",IF(INDEX(tblCleanData[Age],561)&lt;40,"30-39",IF(INDEX(tblCleanData[Age],561)&lt;50,"40-49","50+")))</f>
        <v>30-39</v>
      </c>
      <c r="C569" t="str">
        <f>IF(INDEX(tblCleanData[MonthlyIncome],561)&lt;=$B$3,"Low Income",IF(INDEX(tblCleanData[MonthlyIncome],561)&lt;=$B$4,"Medium Income","High Income"))</f>
        <v>High Income</v>
      </c>
      <c r="D569">
        <f>IF(INDEX(tblCleanData[Attrition],561)="Yes",1,0)</f>
        <v>0</v>
      </c>
      <c r="E569">
        <f>IF(INDEX(tblCleanData[OverTime],561)="Yes",1,0)</f>
        <v>0</v>
      </c>
      <c r="F569" t="str">
        <f>CHOOSE(INDEX(tblCleanData[Education],561),"Below College","College","Bachelor","Master","Doctor")</f>
        <v>Doctor</v>
      </c>
      <c r="G569" t="str">
        <f>IF(INDEX(tblCleanData[YearsAtCompany],561)&lt;=2,"0-2 Years",IF(INDEX(tblCleanData[YearsAtCompany],561)&lt;=5,"3-5 Years",IF(INDEX(tblCleanData[YearsAtCompany],561)&lt;=10,"6-10 Years","10+ Years")))</f>
        <v>0-2 Years</v>
      </c>
      <c r="H569" t="str">
        <f>IF(INDEX(tblCleanData[WorkLifeBalance],561)&lt;=2,"Elevated","Normal")</f>
        <v>Normal</v>
      </c>
      <c r="I569">
        <f>IF(INDEX(tblCleanData[Age],561)&lt;30,30,IF(INDEX(tblCleanData[Age],561)&lt;40,20,IF(INDEX(tblCleanData[Age],561)&lt;50,10,15)))</f>
        <v>20</v>
      </c>
      <c r="J569">
        <f>IF(INDEX(tblCleanData[MonthlyIncome],561)&lt;=$B$3,25,IF(INDEX(tblCleanData[MonthlyIncome],561)&lt;=$B$4,12,5))</f>
        <v>5</v>
      </c>
      <c r="K569">
        <f>IF(INDEX(tblCleanData[OverTime],561)="Yes",25,0)</f>
        <v>0</v>
      </c>
      <c r="L569">
        <f>(5-INDEX(tblCleanData[JobSatisfaction],561))*6.25</f>
        <v>25</v>
      </c>
      <c r="M569">
        <f>IF(INDEX(tblCleanData[YearsAtCompany],561)&lt;=2,25,IF(INDEX(tblCleanData[YearsAtCompany],561)&lt;=5,15,IF(INDEX(tblCleanData[YearsAtCompany],561)&lt;=10,8,3)))</f>
        <v>25</v>
      </c>
      <c r="N569">
        <f t="shared" si="16"/>
        <v>75</v>
      </c>
      <c r="O569" t="str">
        <f t="shared" si="17"/>
        <v>High Risk</v>
      </c>
    </row>
    <row r="570" spans="1:15" x14ac:dyDescent="0.25">
      <c r="A570">
        <f>INDEX(tblCleanData[EmployeeNumber],562)</f>
        <v>776</v>
      </c>
      <c r="B570" t="str">
        <f>IF(INDEX(tblCleanData[Age],562)&lt;30,"Under 30",IF(INDEX(tblCleanData[Age],562)&lt;40,"30-39",IF(INDEX(tblCleanData[Age],562)&lt;50,"40-49","50+")))</f>
        <v>50+</v>
      </c>
      <c r="C570" t="str">
        <f>IF(INDEX(tblCleanData[MonthlyIncome],562)&lt;=$B$3,"Low Income",IF(INDEX(tblCleanData[MonthlyIncome],562)&lt;=$B$4,"Medium Income","High Income"))</f>
        <v>High Income</v>
      </c>
      <c r="D570">
        <f>IF(INDEX(tblCleanData[Attrition],562)="Yes",1,0)</f>
        <v>0</v>
      </c>
      <c r="E570">
        <f>IF(INDEX(tblCleanData[OverTime],562)="Yes",1,0)</f>
        <v>0</v>
      </c>
      <c r="F570" t="str">
        <f>CHOOSE(INDEX(tblCleanData[Education],562),"Below College","College","Bachelor","Master","Doctor")</f>
        <v>Master</v>
      </c>
      <c r="G570" t="str">
        <f>IF(INDEX(tblCleanData[YearsAtCompany],562)&lt;=2,"0-2 Years",IF(INDEX(tblCleanData[YearsAtCompany],562)&lt;=5,"3-5 Years",IF(INDEX(tblCleanData[YearsAtCompany],562)&lt;=10,"6-10 Years","10+ Years")))</f>
        <v>10+ Years</v>
      </c>
      <c r="H570" t="str">
        <f>IF(INDEX(tblCleanData[WorkLifeBalance],562)&lt;=2,"Elevated","Normal")</f>
        <v>Normal</v>
      </c>
      <c r="I570">
        <f>IF(INDEX(tblCleanData[Age],562)&lt;30,30,IF(INDEX(tblCleanData[Age],562)&lt;40,20,IF(INDEX(tblCleanData[Age],562)&lt;50,10,15)))</f>
        <v>15</v>
      </c>
      <c r="J570">
        <f>IF(INDEX(tblCleanData[MonthlyIncome],562)&lt;=$B$3,25,IF(INDEX(tblCleanData[MonthlyIncome],562)&lt;=$B$4,12,5))</f>
        <v>5</v>
      </c>
      <c r="K570">
        <f>IF(INDEX(tblCleanData[OverTime],562)="Yes",25,0)</f>
        <v>0</v>
      </c>
      <c r="L570">
        <f>(5-INDEX(tblCleanData[JobSatisfaction],562))*6.25</f>
        <v>25</v>
      </c>
      <c r="M570">
        <f>IF(INDEX(tblCleanData[YearsAtCompany],562)&lt;=2,25,IF(INDEX(tblCleanData[YearsAtCompany],562)&lt;=5,15,IF(INDEX(tblCleanData[YearsAtCompany],562)&lt;=10,8,3)))</f>
        <v>3</v>
      </c>
      <c r="N570">
        <f t="shared" si="16"/>
        <v>48</v>
      </c>
      <c r="O570" t="str">
        <f t="shared" si="17"/>
        <v>Medium Risk</v>
      </c>
    </row>
    <row r="571" spans="1:15" x14ac:dyDescent="0.25">
      <c r="A571">
        <f>INDEX(tblCleanData[EmployeeNumber],563)</f>
        <v>780</v>
      </c>
      <c r="B571" t="str">
        <f>IF(INDEX(tblCleanData[Age],563)&lt;30,"Under 30",IF(INDEX(tblCleanData[Age],563)&lt;40,"30-39",IF(INDEX(tblCleanData[Age],563)&lt;50,"40-49","50+")))</f>
        <v>30-39</v>
      </c>
      <c r="C571" t="str">
        <f>IF(INDEX(tblCleanData[MonthlyIncome],563)&lt;=$B$3,"Low Income",IF(INDEX(tblCleanData[MonthlyIncome],563)&lt;=$B$4,"Medium Income","High Income"))</f>
        <v>High Income</v>
      </c>
      <c r="D571">
        <f>IF(INDEX(tblCleanData[Attrition],563)="Yes",1,0)</f>
        <v>1</v>
      </c>
      <c r="E571">
        <f>IF(INDEX(tblCleanData[OverTime],563)="Yes",1,0)</f>
        <v>1</v>
      </c>
      <c r="F571" t="str">
        <f>CHOOSE(INDEX(tblCleanData[Education],563),"Below College","College","Bachelor","Master","Doctor")</f>
        <v>Master</v>
      </c>
      <c r="G571" t="str">
        <f>IF(INDEX(tblCleanData[YearsAtCompany],563)&lt;=2,"0-2 Years",IF(INDEX(tblCleanData[YearsAtCompany],563)&lt;=5,"3-5 Years",IF(INDEX(tblCleanData[YearsAtCompany],563)&lt;=10,"6-10 Years","10+ Years")))</f>
        <v>6-10 Years</v>
      </c>
      <c r="H571" t="str">
        <f>IF(INDEX(tblCleanData[WorkLifeBalance],563)&lt;=2,"Elevated","Normal")</f>
        <v>Elevated</v>
      </c>
      <c r="I571">
        <f>IF(INDEX(tblCleanData[Age],563)&lt;30,30,IF(INDEX(tblCleanData[Age],563)&lt;40,20,IF(INDEX(tblCleanData[Age],563)&lt;50,10,15)))</f>
        <v>20</v>
      </c>
      <c r="J571">
        <f>IF(INDEX(tblCleanData[MonthlyIncome],563)&lt;=$B$3,25,IF(INDEX(tblCleanData[MonthlyIncome],563)&lt;=$B$4,12,5))</f>
        <v>5</v>
      </c>
      <c r="K571">
        <f>IF(INDEX(tblCleanData[OverTime],563)="Yes",25,0)</f>
        <v>25</v>
      </c>
      <c r="L571">
        <f>(5-INDEX(tblCleanData[JobSatisfaction],563))*6.25</f>
        <v>6.25</v>
      </c>
      <c r="M571">
        <f>IF(INDEX(tblCleanData[YearsAtCompany],563)&lt;=2,25,IF(INDEX(tblCleanData[YearsAtCompany],563)&lt;=5,15,IF(INDEX(tblCleanData[YearsAtCompany],563)&lt;=10,8,3)))</f>
        <v>8</v>
      </c>
      <c r="N571">
        <f t="shared" si="16"/>
        <v>64</v>
      </c>
      <c r="O571" t="str">
        <f t="shared" si="17"/>
        <v>High Risk</v>
      </c>
    </row>
    <row r="572" spans="1:15" x14ac:dyDescent="0.25">
      <c r="A572">
        <f>INDEX(tblCleanData[EmployeeNumber],564)</f>
        <v>781</v>
      </c>
      <c r="B572" t="str">
        <f>IF(INDEX(tblCleanData[Age],564)&lt;30,"Under 30",IF(INDEX(tblCleanData[Age],564)&lt;40,"30-39",IF(INDEX(tblCleanData[Age],564)&lt;50,"40-49","50+")))</f>
        <v>Under 30</v>
      </c>
      <c r="C572" t="str">
        <f>IF(INDEX(tblCleanData[MonthlyIncome],564)&lt;=$B$3,"Low Income",IF(INDEX(tblCleanData[MonthlyIncome],564)&lt;=$B$4,"Medium Income","High Income"))</f>
        <v>High Income</v>
      </c>
      <c r="D572">
        <f>IF(INDEX(tblCleanData[Attrition],564)="Yes",1,0)</f>
        <v>0</v>
      </c>
      <c r="E572">
        <f>IF(INDEX(tblCleanData[OverTime],564)="Yes",1,0)</f>
        <v>0</v>
      </c>
      <c r="F572" t="str">
        <f>CHOOSE(INDEX(tblCleanData[Education],564),"Below College","College","Bachelor","Master","Doctor")</f>
        <v>Below College</v>
      </c>
      <c r="G572" t="str">
        <f>IF(INDEX(tblCleanData[YearsAtCompany],564)&lt;=2,"0-2 Years",IF(INDEX(tblCleanData[YearsAtCompany],564)&lt;=5,"3-5 Years",IF(INDEX(tblCleanData[YearsAtCompany],564)&lt;=10,"6-10 Years","10+ Years")))</f>
        <v>6-10 Years</v>
      </c>
      <c r="H572" t="str">
        <f>IF(INDEX(tblCleanData[WorkLifeBalance],564)&lt;=2,"Elevated","Normal")</f>
        <v>Elevated</v>
      </c>
      <c r="I572">
        <f>IF(INDEX(tblCleanData[Age],564)&lt;30,30,IF(INDEX(tblCleanData[Age],564)&lt;40,20,IF(INDEX(tblCleanData[Age],564)&lt;50,10,15)))</f>
        <v>30</v>
      </c>
      <c r="J572">
        <f>IF(INDEX(tblCleanData[MonthlyIncome],564)&lt;=$B$3,25,IF(INDEX(tblCleanData[MonthlyIncome],564)&lt;=$B$4,12,5))</f>
        <v>5</v>
      </c>
      <c r="K572">
        <f>IF(INDEX(tblCleanData[OverTime],564)="Yes",25,0)</f>
        <v>0</v>
      </c>
      <c r="L572">
        <f>(5-INDEX(tblCleanData[JobSatisfaction],564))*6.25</f>
        <v>6.25</v>
      </c>
      <c r="M572">
        <f>IF(INDEX(tblCleanData[YearsAtCompany],564)&lt;=2,25,IF(INDEX(tblCleanData[YearsAtCompany],564)&lt;=5,15,IF(INDEX(tblCleanData[YearsAtCompany],564)&lt;=10,8,3)))</f>
        <v>8</v>
      </c>
      <c r="N572">
        <f t="shared" si="16"/>
        <v>49</v>
      </c>
      <c r="O572" t="str">
        <f t="shared" si="17"/>
        <v>Medium Risk</v>
      </c>
    </row>
    <row r="573" spans="1:15" x14ac:dyDescent="0.25">
      <c r="A573">
        <f>INDEX(tblCleanData[EmployeeNumber],565)</f>
        <v>783</v>
      </c>
      <c r="B573" t="str">
        <f>IF(INDEX(tblCleanData[Age],565)&lt;30,"Under 30",IF(INDEX(tblCleanData[Age],565)&lt;40,"30-39",IF(INDEX(tblCleanData[Age],565)&lt;50,"40-49","50+")))</f>
        <v>40-49</v>
      </c>
      <c r="C573" t="str">
        <f>IF(INDEX(tblCleanData[MonthlyIncome],565)&lt;=$B$3,"Low Income",IF(INDEX(tblCleanData[MonthlyIncome],565)&lt;=$B$4,"Medium Income","High Income"))</f>
        <v>High Income</v>
      </c>
      <c r="D573">
        <f>IF(INDEX(tblCleanData[Attrition],565)="Yes",1,0)</f>
        <v>0</v>
      </c>
      <c r="E573">
        <f>IF(INDEX(tblCleanData[OverTime],565)="Yes",1,0)</f>
        <v>0</v>
      </c>
      <c r="F573" t="str">
        <f>CHOOSE(INDEX(tblCleanData[Education],565),"Below College","College","Bachelor","Master","Doctor")</f>
        <v>College</v>
      </c>
      <c r="G573" t="str">
        <f>IF(INDEX(tblCleanData[YearsAtCompany],565)&lt;=2,"0-2 Years",IF(INDEX(tblCleanData[YearsAtCompany],565)&lt;=5,"3-5 Years",IF(INDEX(tblCleanData[YearsAtCompany],565)&lt;=10,"6-10 Years","10+ Years")))</f>
        <v>6-10 Years</v>
      </c>
      <c r="H573" t="str">
        <f>IF(INDEX(tblCleanData[WorkLifeBalance],565)&lt;=2,"Elevated","Normal")</f>
        <v>Normal</v>
      </c>
      <c r="I573">
        <f>IF(INDEX(tblCleanData[Age],565)&lt;30,30,IF(INDEX(tblCleanData[Age],565)&lt;40,20,IF(INDEX(tblCleanData[Age],565)&lt;50,10,15)))</f>
        <v>10</v>
      </c>
      <c r="J573">
        <f>IF(INDEX(tblCleanData[MonthlyIncome],565)&lt;=$B$3,25,IF(INDEX(tblCleanData[MonthlyIncome],565)&lt;=$B$4,12,5))</f>
        <v>5</v>
      </c>
      <c r="K573">
        <f>IF(INDEX(tblCleanData[OverTime],565)="Yes",25,0)</f>
        <v>0</v>
      </c>
      <c r="L573">
        <f>(5-INDEX(tblCleanData[JobSatisfaction],565))*6.25</f>
        <v>12.5</v>
      </c>
      <c r="M573">
        <f>IF(INDEX(tblCleanData[YearsAtCompany],565)&lt;=2,25,IF(INDEX(tblCleanData[YearsAtCompany],565)&lt;=5,15,IF(INDEX(tblCleanData[YearsAtCompany],565)&lt;=10,8,3)))</f>
        <v>8</v>
      </c>
      <c r="N573">
        <f t="shared" si="16"/>
        <v>36</v>
      </c>
      <c r="O573" t="str">
        <f t="shared" si="17"/>
        <v>Medium Risk</v>
      </c>
    </row>
    <row r="574" spans="1:15" x14ac:dyDescent="0.25">
      <c r="A574">
        <f>INDEX(tblCleanData[EmployeeNumber],566)</f>
        <v>784</v>
      </c>
      <c r="B574" t="str">
        <f>IF(INDEX(tblCleanData[Age],566)&lt;30,"Under 30",IF(INDEX(tblCleanData[Age],566)&lt;40,"30-39",IF(INDEX(tblCleanData[Age],566)&lt;50,"40-49","50+")))</f>
        <v>Under 30</v>
      </c>
      <c r="C574" t="str">
        <f>IF(INDEX(tblCleanData[MonthlyIncome],566)&lt;=$B$3,"Low Income",IF(INDEX(tblCleanData[MonthlyIncome],566)&lt;=$B$4,"Medium Income","High Income"))</f>
        <v>High Income</v>
      </c>
      <c r="D574">
        <f>IF(INDEX(tblCleanData[Attrition],566)="Yes",1,0)</f>
        <v>0</v>
      </c>
      <c r="E574">
        <f>IF(INDEX(tblCleanData[OverTime],566)="Yes",1,0)</f>
        <v>0</v>
      </c>
      <c r="F574" t="str">
        <f>CHOOSE(INDEX(tblCleanData[Education],566),"Below College","College","Bachelor","Master","Doctor")</f>
        <v>Below College</v>
      </c>
      <c r="G574" t="str">
        <f>IF(INDEX(tblCleanData[YearsAtCompany],566)&lt;=2,"0-2 Years",IF(INDEX(tblCleanData[YearsAtCompany],566)&lt;=5,"3-5 Years",IF(INDEX(tblCleanData[YearsAtCompany],566)&lt;=10,"6-10 Years","10+ Years")))</f>
        <v>0-2 Years</v>
      </c>
      <c r="H574" t="str">
        <f>IF(INDEX(tblCleanData[WorkLifeBalance],566)&lt;=2,"Elevated","Normal")</f>
        <v>Normal</v>
      </c>
      <c r="I574">
        <f>IF(INDEX(tblCleanData[Age],566)&lt;30,30,IF(INDEX(tblCleanData[Age],566)&lt;40,20,IF(INDEX(tblCleanData[Age],566)&lt;50,10,15)))</f>
        <v>30</v>
      </c>
      <c r="J574">
        <f>IF(INDEX(tblCleanData[MonthlyIncome],566)&lt;=$B$3,25,IF(INDEX(tblCleanData[MonthlyIncome],566)&lt;=$B$4,12,5))</f>
        <v>5</v>
      </c>
      <c r="K574">
        <f>IF(INDEX(tblCleanData[OverTime],566)="Yes",25,0)</f>
        <v>0</v>
      </c>
      <c r="L574">
        <f>(5-INDEX(tblCleanData[JobSatisfaction],566))*6.25</f>
        <v>12.5</v>
      </c>
      <c r="M574">
        <f>IF(INDEX(tblCleanData[YearsAtCompany],566)&lt;=2,25,IF(INDEX(tblCleanData[YearsAtCompany],566)&lt;=5,15,IF(INDEX(tblCleanData[YearsAtCompany],566)&lt;=10,8,3)))</f>
        <v>25</v>
      </c>
      <c r="N574">
        <f t="shared" si="16"/>
        <v>73</v>
      </c>
      <c r="O574" t="str">
        <f t="shared" si="17"/>
        <v>High Risk</v>
      </c>
    </row>
    <row r="575" spans="1:15" x14ac:dyDescent="0.25">
      <c r="A575">
        <f>INDEX(tblCleanData[EmployeeNumber],567)</f>
        <v>785</v>
      </c>
      <c r="B575" t="str">
        <f>IF(INDEX(tblCleanData[Age],567)&lt;30,"Under 30",IF(INDEX(tblCleanData[Age],567)&lt;40,"30-39",IF(INDEX(tblCleanData[Age],567)&lt;50,"40-49","50+")))</f>
        <v>40-49</v>
      </c>
      <c r="C575" t="str">
        <f>IF(INDEX(tblCleanData[MonthlyIncome],567)&lt;=$B$3,"Low Income",IF(INDEX(tblCleanData[MonthlyIncome],567)&lt;=$B$4,"Medium Income","High Income"))</f>
        <v>High Income</v>
      </c>
      <c r="D575">
        <f>IF(INDEX(tblCleanData[Attrition],567)="Yes",1,0)</f>
        <v>1</v>
      </c>
      <c r="E575">
        <f>IF(INDEX(tblCleanData[OverTime],567)="Yes",1,0)</f>
        <v>1</v>
      </c>
      <c r="F575" t="str">
        <f>CHOOSE(INDEX(tblCleanData[Education],567),"Below College","College","Bachelor","Master","Doctor")</f>
        <v>College</v>
      </c>
      <c r="G575" t="str">
        <f>IF(INDEX(tblCleanData[YearsAtCompany],567)&lt;=2,"0-2 Years",IF(INDEX(tblCleanData[YearsAtCompany],567)&lt;=5,"3-5 Years",IF(INDEX(tblCleanData[YearsAtCompany],567)&lt;=10,"6-10 Years","10+ Years")))</f>
        <v>3-5 Years</v>
      </c>
      <c r="H575" t="str">
        <f>IF(INDEX(tblCleanData[WorkLifeBalance],567)&lt;=2,"Elevated","Normal")</f>
        <v>Normal</v>
      </c>
      <c r="I575">
        <f>IF(INDEX(tblCleanData[Age],567)&lt;30,30,IF(INDEX(tblCleanData[Age],567)&lt;40,20,IF(INDEX(tblCleanData[Age],567)&lt;50,10,15)))</f>
        <v>10</v>
      </c>
      <c r="J575">
        <f>IF(INDEX(tblCleanData[MonthlyIncome],567)&lt;=$B$3,25,IF(INDEX(tblCleanData[MonthlyIncome],567)&lt;=$B$4,12,5))</f>
        <v>5</v>
      </c>
      <c r="K575">
        <f>IF(INDEX(tblCleanData[OverTime],567)="Yes",25,0)</f>
        <v>25</v>
      </c>
      <c r="L575">
        <f>(5-INDEX(tblCleanData[JobSatisfaction],567))*6.25</f>
        <v>12.5</v>
      </c>
      <c r="M575">
        <f>IF(INDEX(tblCleanData[YearsAtCompany],567)&lt;=2,25,IF(INDEX(tblCleanData[YearsAtCompany],567)&lt;=5,15,IF(INDEX(tblCleanData[YearsAtCompany],567)&lt;=10,8,3)))</f>
        <v>15</v>
      </c>
      <c r="N575">
        <f t="shared" si="16"/>
        <v>68</v>
      </c>
      <c r="O575" t="str">
        <f t="shared" si="17"/>
        <v>High Risk</v>
      </c>
    </row>
    <row r="576" spans="1:15" x14ac:dyDescent="0.25">
      <c r="A576">
        <f>INDEX(tblCleanData[EmployeeNumber],568)</f>
        <v>786</v>
      </c>
      <c r="B576" t="str">
        <f>IF(INDEX(tblCleanData[Age],568)&lt;30,"Under 30",IF(INDEX(tblCleanData[Age],568)&lt;40,"30-39",IF(INDEX(tblCleanData[Age],568)&lt;50,"40-49","50+")))</f>
        <v>30-39</v>
      </c>
      <c r="C576" t="str">
        <f>IF(INDEX(tblCleanData[MonthlyIncome],568)&lt;=$B$3,"Low Income",IF(INDEX(tblCleanData[MonthlyIncome],568)&lt;=$B$4,"Medium Income","High Income"))</f>
        <v>High Income</v>
      </c>
      <c r="D576">
        <f>IF(INDEX(tblCleanData[Attrition],568)="Yes",1,0)</f>
        <v>0</v>
      </c>
      <c r="E576">
        <f>IF(INDEX(tblCleanData[OverTime],568)="Yes",1,0)</f>
        <v>0</v>
      </c>
      <c r="F576" t="str">
        <f>CHOOSE(INDEX(tblCleanData[Education],568),"Below College","College","Bachelor","Master","Doctor")</f>
        <v>Bachelor</v>
      </c>
      <c r="G576" t="str">
        <f>IF(INDEX(tblCleanData[YearsAtCompany],568)&lt;=2,"0-2 Years",IF(INDEX(tblCleanData[YearsAtCompany],568)&lt;=5,"3-5 Years",IF(INDEX(tblCleanData[YearsAtCompany],568)&lt;=10,"6-10 Years","10+ Years")))</f>
        <v>6-10 Years</v>
      </c>
      <c r="H576" t="str">
        <f>IF(INDEX(tblCleanData[WorkLifeBalance],568)&lt;=2,"Elevated","Normal")</f>
        <v>Normal</v>
      </c>
      <c r="I576">
        <f>IF(INDEX(tblCleanData[Age],568)&lt;30,30,IF(INDEX(tblCleanData[Age],568)&lt;40,20,IF(INDEX(tblCleanData[Age],568)&lt;50,10,15)))</f>
        <v>20</v>
      </c>
      <c r="J576">
        <f>IF(INDEX(tblCleanData[MonthlyIncome],568)&lt;=$B$3,25,IF(INDEX(tblCleanData[MonthlyIncome],568)&lt;=$B$4,12,5))</f>
        <v>5</v>
      </c>
      <c r="K576">
        <f>IF(INDEX(tblCleanData[OverTime],568)="Yes",25,0)</f>
        <v>0</v>
      </c>
      <c r="L576">
        <f>(5-INDEX(tblCleanData[JobSatisfaction],568))*6.25</f>
        <v>6.25</v>
      </c>
      <c r="M576">
        <f>IF(INDEX(tblCleanData[YearsAtCompany],568)&lt;=2,25,IF(INDEX(tblCleanData[YearsAtCompany],568)&lt;=5,15,IF(INDEX(tblCleanData[YearsAtCompany],568)&lt;=10,8,3)))</f>
        <v>8</v>
      </c>
      <c r="N576">
        <f t="shared" si="16"/>
        <v>39</v>
      </c>
      <c r="O576" t="str">
        <f t="shared" si="17"/>
        <v>Medium Risk</v>
      </c>
    </row>
    <row r="577" spans="1:15" x14ac:dyDescent="0.25">
      <c r="A577">
        <f>INDEX(tblCleanData[EmployeeNumber],569)</f>
        <v>787</v>
      </c>
      <c r="B577" t="str">
        <f>IF(INDEX(tblCleanData[Age],569)&lt;30,"Under 30",IF(INDEX(tblCleanData[Age],569)&lt;40,"30-39",IF(INDEX(tblCleanData[Age],569)&lt;50,"40-49","50+")))</f>
        <v>50+</v>
      </c>
      <c r="C577" t="str">
        <f>IF(INDEX(tblCleanData[MonthlyIncome],569)&lt;=$B$3,"Low Income",IF(INDEX(tblCleanData[MonthlyIncome],569)&lt;=$B$4,"Medium Income","High Income"))</f>
        <v>High Income</v>
      </c>
      <c r="D577">
        <f>IF(INDEX(tblCleanData[Attrition],569)="Yes",1,0)</f>
        <v>1</v>
      </c>
      <c r="E577">
        <f>IF(INDEX(tblCleanData[OverTime],569)="Yes",1,0)</f>
        <v>1</v>
      </c>
      <c r="F577" t="str">
        <f>CHOOSE(INDEX(tblCleanData[Education],569),"Below College","College","Bachelor","Master","Doctor")</f>
        <v>Bachelor</v>
      </c>
      <c r="G577" t="str">
        <f>IF(INDEX(tblCleanData[YearsAtCompany],569)&lt;=2,"0-2 Years",IF(INDEX(tblCleanData[YearsAtCompany],569)&lt;=5,"3-5 Years",IF(INDEX(tblCleanData[YearsAtCompany],569)&lt;=10,"6-10 Years","10+ Years")))</f>
        <v>3-5 Years</v>
      </c>
      <c r="H577" t="str">
        <f>IF(INDEX(tblCleanData[WorkLifeBalance],569)&lt;=2,"Elevated","Normal")</f>
        <v>Normal</v>
      </c>
      <c r="I577">
        <f>IF(INDEX(tblCleanData[Age],569)&lt;30,30,IF(INDEX(tblCleanData[Age],569)&lt;40,20,IF(INDEX(tblCleanData[Age],569)&lt;50,10,15)))</f>
        <v>15</v>
      </c>
      <c r="J577">
        <f>IF(INDEX(tblCleanData[MonthlyIncome],569)&lt;=$B$3,25,IF(INDEX(tblCleanData[MonthlyIncome],569)&lt;=$B$4,12,5))</f>
        <v>5</v>
      </c>
      <c r="K577">
        <f>IF(INDEX(tblCleanData[OverTime],569)="Yes",25,0)</f>
        <v>25</v>
      </c>
      <c r="L577">
        <f>(5-INDEX(tblCleanData[JobSatisfaction],569))*6.25</f>
        <v>25</v>
      </c>
      <c r="M577">
        <f>IF(INDEX(tblCleanData[YearsAtCompany],569)&lt;=2,25,IF(INDEX(tblCleanData[YearsAtCompany],569)&lt;=5,15,IF(INDEX(tblCleanData[YearsAtCompany],569)&lt;=10,8,3)))</f>
        <v>15</v>
      </c>
      <c r="N577">
        <f t="shared" si="16"/>
        <v>85</v>
      </c>
      <c r="O577" t="str">
        <f t="shared" si="17"/>
        <v>High Risk</v>
      </c>
    </row>
    <row r="578" spans="1:15" x14ac:dyDescent="0.25">
      <c r="A578">
        <f>INDEX(tblCleanData[EmployeeNumber],570)</f>
        <v>789</v>
      </c>
      <c r="B578" t="str">
        <f>IF(INDEX(tblCleanData[Age],570)&lt;30,"Under 30",IF(INDEX(tblCleanData[Age],570)&lt;40,"30-39",IF(INDEX(tblCleanData[Age],570)&lt;50,"40-49","50+")))</f>
        <v>30-39</v>
      </c>
      <c r="C578" t="str">
        <f>IF(INDEX(tblCleanData[MonthlyIncome],570)&lt;=$B$3,"Low Income",IF(INDEX(tblCleanData[MonthlyIncome],570)&lt;=$B$4,"Medium Income","High Income"))</f>
        <v>High Income</v>
      </c>
      <c r="D578">
        <f>IF(INDEX(tblCleanData[Attrition],570)="Yes",1,0)</f>
        <v>0</v>
      </c>
      <c r="E578">
        <f>IF(INDEX(tblCleanData[OverTime],570)="Yes",1,0)</f>
        <v>0</v>
      </c>
      <c r="F578" t="str">
        <f>CHOOSE(INDEX(tblCleanData[Education],570),"Below College","College","Bachelor","Master","Doctor")</f>
        <v>Master</v>
      </c>
      <c r="G578" t="str">
        <f>IF(INDEX(tblCleanData[YearsAtCompany],570)&lt;=2,"0-2 Years",IF(INDEX(tblCleanData[YearsAtCompany],570)&lt;=5,"3-5 Years",IF(INDEX(tblCleanData[YearsAtCompany],570)&lt;=10,"6-10 Years","10+ Years")))</f>
        <v>6-10 Years</v>
      </c>
      <c r="H578" t="str">
        <f>IF(INDEX(tblCleanData[WorkLifeBalance],570)&lt;=2,"Elevated","Normal")</f>
        <v>Normal</v>
      </c>
      <c r="I578">
        <f>IF(INDEX(tblCleanData[Age],570)&lt;30,30,IF(INDEX(tblCleanData[Age],570)&lt;40,20,IF(INDEX(tblCleanData[Age],570)&lt;50,10,15)))</f>
        <v>20</v>
      </c>
      <c r="J578">
        <f>IF(INDEX(tblCleanData[MonthlyIncome],570)&lt;=$B$3,25,IF(INDEX(tblCleanData[MonthlyIncome],570)&lt;=$B$4,12,5))</f>
        <v>5</v>
      </c>
      <c r="K578">
        <f>IF(INDEX(tblCleanData[OverTime],570)="Yes",25,0)</f>
        <v>0</v>
      </c>
      <c r="L578">
        <f>(5-INDEX(tblCleanData[JobSatisfaction],570))*6.25</f>
        <v>25</v>
      </c>
      <c r="M578">
        <f>IF(INDEX(tblCleanData[YearsAtCompany],570)&lt;=2,25,IF(INDEX(tblCleanData[YearsAtCompany],570)&lt;=5,15,IF(INDEX(tblCleanData[YearsAtCompany],570)&lt;=10,8,3)))</f>
        <v>8</v>
      </c>
      <c r="N578">
        <f t="shared" si="16"/>
        <v>58</v>
      </c>
      <c r="O578" t="str">
        <f t="shared" si="17"/>
        <v>High Risk</v>
      </c>
    </row>
    <row r="579" spans="1:15" x14ac:dyDescent="0.25">
      <c r="A579">
        <f>INDEX(tblCleanData[EmployeeNumber],571)</f>
        <v>791</v>
      </c>
      <c r="B579" t="str">
        <f>IF(INDEX(tblCleanData[Age],571)&lt;30,"Under 30",IF(INDEX(tblCleanData[Age],571)&lt;40,"30-39",IF(INDEX(tblCleanData[Age],571)&lt;50,"40-49","50+")))</f>
        <v>50+</v>
      </c>
      <c r="C579" t="str">
        <f>IF(INDEX(tblCleanData[MonthlyIncome],571)&lt;=$B$3,"Low Income",IF(INDEX(tblCleanData[MonthlyIncome],571)&lt;=$B$4,"Medium Income","High Income"))</f>
        <v>High Income</v>
      </c>
      <c r="D579">
        <f>IF(INDEX(tblCleanData[Attrition],571)="Yes",1,0)</f>
        <v>0</v>
      </c>
      <c r="E579">
        <f>IF(INDEX(tblCleanData[OverTime],571)="Yes",1,0)</f>
        <v>0</v>
      </c>
      <c r="F579" t="str">
        <f>CHOOSE(INDEX(tblCleanData[Education],571),"Below College","College","Bachelor","Master","Doctor")</f>
        <v>Master</v>
      </c>
      <c r="G579" t="str">
        <f>IF(INDEX(tblCleanData[YearsAtCompany],571)&lt;=2,"0-2 Years",IF(INDEX(tblCleanData[YearsAtCompany],571)&lt;=5,"3-5 Years",IF(INDEX(tblCleanData[YearsAtCompany],571)&lt;=10,"6-10 Years","10+ Years")))</f>
        <v>3-5 Years</v>
      </c>
      <c r="H579" t="str">
        <f>IF(INDEX(tblCleanData[WorkLifeBalance],571)&lt;=2,"Elevated","Normal")</f>
        <v>Normal</v>
      </c>
      <c r="I579">
        <f>IF(INDEX(tblCleanData[Age],571)&lt;30,30,IF(INDEX(tblCleanData[Age],571)&lt;40,20,IF(INDEX(tblCleanData[Age],571)&lt;50,10,15)))</f>
        <v>15</v>
      </c>
      <c r="J579">
        <f>IF(INDEX(tblCleanData[MonthlyIncome],571)&lt;=$B$3,25,IF(INDEX(tblCleanData[MonthlyIncome],571)&lt;=$B$4,12,5))</f>
        <v>5</v>
      </c>
      <c r="K579">
        <f>IF(INDEX(tblCleanData[OverTime],571)="Yes",25,0)</f>
        <v>0</v>
      </c>
      <c r="L579">
        <f>(5-INDEX(tblCleanData[JobSatisfaction],571))*6.25</f>
        <v>6.25</v>
      </c>
      <c r="M579">
        <f>IF(INDEX(tblCleanData[YearsAtCompany],571)&lt;=2,25,IF(INDEX(tblCleanData[YearsAtCompany],571)&lt;=5,15,IF(INDEX(tblCleanData[YearsAtCompany],571)&lt;=10,8,3)))</f>
        <v>15</v>
      </c>
      <c r="N579">
        <f t="shared" si="16"/>
        <v>41</v>
      </c>
      <c r="O579" t="str">
        <f t="shared" si="17"/>
        <v>Medium Risk</v>
      </c>
    </row>
    <row r="580" spans="1:15" x14ac:dyDescent="0.25">
      <c r="A580">
        <f>INDEX(tblCleanData[EmployeeNumber],572)</f>
        <v>792</v>
      </c>
      <c r="B580" t="str">
        <f>IF(INDEX(tblCleanData[Age],572)&lt;30,"Under 30",IF(INDEX(tblCleanData[Age],572)&lt;40,"30-39",IF(INDEX(tblCleanData[Age],572)&lt;50,"40-49","50+")))</f>
        <v>Under 30</v>
      </c>
      <c r="C580" t="str">
        <f>IF(INDEX(tblCleanData[MonthlyIncome],572)&lt;=$B$3,"Low Income",IF(INDEX(tblCleanData[MonthlyIncome],572)&lt;=$B$4,"Medium Income","High Income"))</f>
        <v>High Income</v>
      </c>
      <c r="D580">
        <f>IF(INDEX(tblCleanData[Attrition],572)="Yes",1,0)</f>
        <v>0</v>
      </c>
      <c r="E580">
        <f>IF(INDEX(tblCleanData[OverTime],572)="Yes",1,0)</f>
        <v>0</v>
      </c>
      <c r="F580" t="str">
        <f>CHOOSE(INDEX(tblCleanData[Education],572),"Below College","College","Bachelor","Master","Doctor")</f>
        <v>College</v>
      </c>
      <c r="G580" t="str">
        <f>IF(INDEX(tblCleanData[YearsAtCompany],572)&lt;=2,"0-2 Years",IF(INDEX(tblCleanData[YearsAtCompany],572)&lt;=5,"3-5 Years",IF(INDEX(tblCleanData[YearsAtCompany],572)&lt;=10,"6-10 Years","10+ Years")))</f>
        <v>0-2 Years</v>
      </c>
      <c r="H580" t="str">
        <f>IF(INDEX(tblCleanData[WorkLifeBalance],572)&lt;=2,"Elevated","Normal")</f>
        <v>Normal</v>
      </c>
      <c r="I580">
        <f>IF(INDEX(tblCleanData[Age],572)&lt;30,30,IF(INDEX(tblCleanData[Age],572)&lt;40,20,IF(INDEX(tblCleanData[Age],572)&lt;50,10,15)))</f>
        <v>30</v>
      </c>
      <c r="J580">
        <f>IF(INDEX(tblCleanData[MonthlyIncome],572)&lt;=$B$3,25,IF(INDEX(tblCleanData[MonthlyIncome],572)&lt;=$B$4,12,5))</f>
        <v>5</v>
      </c>
      <c r="K580">
        <f>IF(INDEX(tblCleanData[OverTime],572)="Yes",25,0)</f>
        <v>0</v>
      </c>
      <c r="L580">
        <f>(5-INDEX(tblCleanData[JobSatisfaction],572))*6.25</f>
        <v>6.25</v>
      </c>
      <c r="M580">
        <f>IF(INDEX(tblCleanData[YearsAtCompany],572)&lt;=2,25,IF(INDEX(tblCleanData[YearsAtCompany],572)&lt;=5,15,IF(INDEX(tblCleanData[YearsAtCompany],572)&lt;=10,8,3)))</f>
        <v>25</v>
      </c>
      <c r="N580">
        <f t="shared" si="16"/>
        <v>66</v>
      </c>
      <c r="O580" t="str">
        <f t="shared" si="17"/>
        <v>High Risk</v>
      </c>
    </row>
    <row r="581" spans="1:15" x14ac:dyDescent="0.25">
      <c r="A581">
        <f>INDEX(tblCleanData[EmployeeNumber],573)</f>
        <v>793</v>
      </c>
      <c r="B581" t="str">
        <f>IF(INDEX(tblCleanData[Age],573)&lt;30,"Under 30",IF(INDEX(tblCleanData[Age],573)&lt;40,"30-39",IF(INDEX(tblCleanData[Age],573)&lt;50,"40-49","50+")))</f>
        <v>Under 30</v>
      </c>
      <c r="C581" t="str">
        <f>IF(INDEX(tblCleanData[MonthlyIncome],573)&lt;=$B$3,"Low Income",IF(INDEX(tblCleanData[MonthlyIncome],573)&lt;=$B$4,"Medium Income","High Income"))</f>
        <v>High Income</v>
      </c>
      <c r="D581">
        <f>IF(INDEX(tblCleanData[Attrition],573)="Yes",1,0)</f>
        <v>0</v>
      </c>
      <c r="E581">
        <f>IF(INDEX(tblCleanData[OverTime],573)="Yes",1,0)</f>
        <v>0</v>
      </c>
      <c r="F581" t="str">
        <f>CHOOSE(INDEX(tblCleanData[Education],573),"Below College","College","Bachelor","Master","Doctor")</f>
        <v>Bachelor</v>
      </c>
      <c r="G581" t="str">
        <f>IF(INDEX(tblCleanData[YearsAtCompany],573)&lt;=2,"0-2 Years",IF(INDEX(tblCleanData[YearsAtCompany],573)&lt;=5,"3-5 Years",IF(INDEX(tblCleanData[YearsAtCompany],573)&lt;=10,"6-10 Years","10+ Years")))</f>
        <v>6-10 Years</v>
      </c>
      <c r="H581" t="str">
        <f>IF(INDEX(tblCleanData[WorkLifeBalance],573)&lt;=2,"Elevated","Normal")</f>
        <v>Elevated</v>
      </c>
      <c r="I581">
        <f>IF(INDEX(tblCleanData[Age],573)&lt;30,30,IF(INDEX(tblCleanData[Age],573)&lt;40,20,IF(INDEX(tblCleanData[Age],573)&lt;50,10,15)))</f>
        <v>30</v>
      </c>
      <c r="J581">
        <f>IF(INDEX(tblCleanData[MonthlyIncome],573)&lt;=$B$3,25,IF(INDEX(tblCleanData[MonthlyIncome],573)&lt;=$B$4,12,5))</f>
        <v>5</v>
      </c>
      <c r="K581">
        <f>IF(INDEX(tblCleanData[OverTime],573)="Yes",25,0)</f>
        <v>0</v>
      </c>
      <c r="L581">
        <f>(5-INDEX(tblCleanData[JobSatisfaction],573))*6.25</f>
        <v>12.5</v>
      </c>
      <c r="M581">
        <f>IF(INDEX(tblCleanData[YearsAtCompany],573)&lt;=2,25,IF(INDEX(tblCleanData[YearsAtCompany],573)&lt;=5,15,IF(INDEX(tblCleanData[YearsAtCompany],573)&lt;=10,8,3)))</f>
        <v>8</v>
      </c>
      <c r="N581">
        <f t="shared" si="16"/>
        <v>56</v>
      </c>
      <c r="O581" t="str">
        <f t="shared" si="17"/>
        <v>High Risk</v>
      </c>
    </row>
    <row r="582" spans="1:15" x14ac:dyDescent="0.25">
      <c r="A582">
        <f>INDEX(tblCleanData[EmployeeNumber],574)</f>
        <v>796</v>
      </c>
      <c r="B582" t="str">
        <f>IF(INDEX(tblCleanData[Age],574)&lt;30,"Under 30",IF(INDEX(tblCleanData[Age],574)&lt;40,"30-39",IF(INDEX(tblCleanData[Age],574)&lt;50,"40-49","50+")))</f>
        <v>Under 30</v>
      </c>
      <c r="C582" t="str">
        <f>IF(INDEX(tblCleanData[MonthlyIncome],574)&lt;=$B$3,"Low Income",IF(INDEX(tblCleanData[MonthlyIncome],574)&lt;=$B$4,"Medium Income","High Income"))</f>
        <v>High Income</v>
      </c>
      <c r="D582">
        <f>IF(INDEX(tblCleanData[Attrition],574)="Yes",1,0)</f>
        <v>1</v>
      </c>
      <c r="E582">
        <f>IF(INDEX(tblCleanData[OverTime],574)="Yes",1,0)</f>
        <v>0</v>
      </c>
      <c r="F582" t="str">
        <f>CHOOSE(INDEX(tblCleanData[Education],574),"Below College","College","Bachelor","Master","Doctor")</f>
        <v>Bachelor</v>
      </c>
      <c r="G582" t="str">
        <f>IF(INDEX(tblCleanData[YearsAtCompany],574)&lt;=2,"0-2 Years",IF(INDEX(tblCleanData[YearsAtCompany],574)&lt;=5,"3-5 Years",IF(INDEX(tblCleanData[YearsAtCompany],574)&lt;=10,"6-10 Years","10+ Years")))</f>
        <v>3-5 Years</v>
      </c>
      <c r="H582" t="str">
        <f>IF(INDEX(tblCleanData[WorkLifeBalance],574)&lt;=2,"Elevated","Normal")</f>
        <v>Elevated</v>
      </c>
      <c r="I582">
        <f>IF(INDEX(tblCleanData[Age],574)&lt;30,30,IF(INDEX(tblCleanData[Age],574)&lt;40,20,IF(INDEX(tblCleanData[Age],574)&lt;50,10,15)))</f>
        <v>30</v>
      </c>
      <c r="J582">
        <f>IF(INDEX(tblCleanData[MonthlyIncome],574)&lt;=$B$3,25,IF(INDEX(tblCleanData[MonthlyIncome],574)&lt;=$B$4,12,5))</f>
        <v>5</v>
      </c>
      <c r="K582">
        <f>IF(INDEX(tblCleanData[OverTime],574)="Yes",25,0)</f>
        <v>0</v>
      </c>
      <c r="L582">
        <f>(5-INDEX(tblCleanData[JobSatisfaction],574))*6.25</f>
        <v>25</v>
      </c>
      <c r="M582">
        <f>IF(INDEX(tblCleanData[YearsAtCompany],574)&lt;=2,25,IF(INDEX(tblCleanData[YearsAtCompany],574)&lt;=5,15,IF(INDEX(tblCleanData[YearsAtCompany],574)&lt;=10,8,3)))</f>
        <v>15</v>
      </c>
      <c r="N582">
        <f t="shared" si="16"/>
        <v>75</v>
      </c>
      <c r="O582" t="str">
        <f t="shared" si="17"/>
        <v>High Risk</v>
      </c>
    </row>
    <row r="583" spans="1:15" x14ac:dyDescent="0.25">
      <c r="A583">
        <f>INDEX(tblCleanData[EmployeeNumber],575)</f>
        <v>797</v>
      </c>
      <c r="B583" t="str">
        <f>IF(INDEX(tblCleanData[Age],575)&lt;30,"Under 30",IF(INDEX(tblCleanData[Age],575)&lt;40,"30-39",IF(INDEX(tblCleanData[Age],575)&lt;50,"40-49","50+")))</f>
        <v>30-39</v>
      </c>
      <c r="C583" t="str">
        <f>IF(INDEX(tblCleanData[MonthlyIncome],575)&lt;=$B$3,"Low Income",IF(INDEX(tblCleanData[MonthlyIncome],575)&lt;=$B$4,"Medium Income","High Income"))</f>
        <v>High Income</v>
      </c>
      <c r="D583">
        <f>IF(INDEX(tblCleanData[Attrition],575)="Yes",1,0)</f>
        <v>0</v>
      </c>
      <c r="E583">
        <f>IF(INDEX(tblCleanData[OverTime],575)="Yes",1,0)</f>
        <v>0</v>
      </c>
      <c r="F583" t="str">
        <f>CHOOSE(INDEX(tblCleanData[Education],575),"Below College","College","Bachelor","Master","Doctor")</f>
        <v>Master</v>
      </c>
      <c r="G583" t="str">
        <f>IF(INDEX(tblCleanData[YearsAtCompany],575)&lt;=2,"0-2 Years",IF(INDEX(tblCleanData[YearsAtCompany],575)&lt;=5,"3-5 Years",IF(INDEX(tblCleanData[YearsAtCompany],575)&lt;=10,"6-10 Years","10+ Years")))</f>
        <v>3-5 Years</v>
      </c>
      <c r="H583" t="str">
        <f>IF(INDEX(tblCleanData[WorkLifeBalance],575)&lt;=2,"Elevated","Normal")</f>
        <v>Normal</v>
      </c>
      <c r="I583">
        <f>IF(INDEX(tblCleanData[Age],575)&lt;30,30,IF(INDEX(tblCleanData[Age],575)&lt;40,20,IF(INDEX(tblCleanData[Age],575)&lt;50,10,15)))</f>
        <v>20</v>
      </c>
      <c r="J583">
        <f>IF(INDEX(tblCleanData[MonthlyIncome],575)&lt;=$B$3,25,IF(INDEX(tblCleanData[MonthlyIncome],575)&lt;=$B$4,12,5))</f>
        <v>5</v>
      </c>
      <c r="K583">
        <f>IF(INDEX(tblCleanData[OverTime],575)="Yes",25,0)</f>
        <v>0</v>
      </c>
      <c r="L583">
        <f>(5-INDEX(tblCleanData[JobSatisfaction],575))*6.25</f>
        <v>6.25</v>
      </c>
      <c r="M583">
        <f>IF(INDEX(tblCleanData[YearsAtCompany],575)&lt;=2,25,IF(INDEX(tblCleanData[YearsAtCompany],575)&lt;=5,15,IF(INDEX(tblCleanData[YearsAtCompany],575)&lt;=10,8,3)))</f>
        <v>15</v>
      </c>
      <c r="N583">
        <f t="shared" si="16"/>
        <v>46</v>
      </c>
      <c r="O583" t="str">
        <f t="shared" si="17"/>
        <v>Medium Risk</v>
      </c>
    </row>
    <row r="584" spans="1:15" x14ac:dyDescent="0.25">
      <c r="A584">
        <f>INDEX(tblCleanData[EmployeeNumber],576)</f>
        <v>799</v>
      </c>
      <c r="B584" t="str">
        <f>IF(INDEX(tblCleanData[Age],576)&lt;30,"Under 30",IF(INDEX(tblCleanData[Age],576)&lt;40,"30-39",IF(INDEX(tblCleanData[Age],576)&lt;50,"40-49","50+")))</f>
        <v>50+</v>
      </c>
      <c r="C584" t="str">
        <f>IF(INDEX(tblCleanData[MonthlyIncome],576)&lt;=$B$3,"Low Income",IF(INDEX(tblCleanData[MonthlyIncome],576)&lt;=$B$4,"Medium Income","High Income"))</f>
        <v>High Income</v>
      </c>
      <c r="D584">
        <f>IF(INDEX(tblCleanData[Attrition],576)="Yes",1,0)</f>
        <v>0</v>
      </c>
      <c r="E584">
        <f>IF(INDEX(tblCleanData[OverTime],576)="Yes",1,0)</f>
        <v>1</v>
      </c>
      <c r="F584" t="str">
        <f>CHOOSE(INDEX(tblCleanData[Education],576),"Below College","College","Bachelor","Master","Doctor")</f>
        <v>Master</v>
      </c>
      <c r="G584" t="str">
        <f>IF(INDEX(tblCleanData[YearsAtCompany],576)&lt;=2,"0-2 Years",IF(INDEX(tblCleanData[YearsAtCompany],576)&lt;=5,"3-5 Years",IF(INDEX(tblCleanData[YearsAtCompany],576)&lt;=10,"6-10 Years","10+ Years")))</f>
        <v>3-5 Years</v>
      </c>
      <c r="H584" t="str">
        <f>IF(INDEX(tblCleanData[WorkLifeBalance],576)&lt;=2,"Elevated","Normal")</f>
        <v>Normal</v>
      </c>
      <c r="I584">
        <f>IF(INDEX(tblCleanData[Age],576)&lt;30,30,IF(INDEX(tblCleanData[Age],576)&lt;40,20,IF(INDEX(tblCleanData[Age],576)&lt;50,10,15)))</f>
        <v>15</v>
      </c>
      <c r="J584">
        <f>IF(INDEX(tblCleanData[MonthlyIncome],576)&lt;=$B$3,25,IF(INDEX(tblCleanData[MonthlyIncome],576)&lt;=$B$4,12,5))</f>
        <v>5</v>
      </c>
      <c r="K584">
        <f>IF(INDEX(tblCleanData[OverTime],576)="Yes",25,0)</f>
        <v>25</v>
      </c>
      <c r="L584">
        <f>(5-INDEX(tblCleanData[JobSatisfaction],576))*6.25</f>
        <v>25</v>
      </c>
      <c r="M584">
        <f>IF(INDEX(tblCleanData[YearsAtCompany],576)&lt;=2,25,IF(INDEX(tblCleanData[YearsAtCompany],576)&lt;=5,15,IF(INDEX(tblCleanData[YearsAtCompany],576)&lt;=10,8,3)))</f>
        <v>15</v>
      </c>
      <c r="N584">
        <f t="shared" si="16"/>
        <v>85</v>
      </c>
      <c r="O584" t="str">
        <f t="shared" si="17"/>
        <v>High Risk</v>
      </c>
    </row>
    <row r="585" spans="1:15" x14ac:dyDescent="0.25">
      <c r="A585">
        <f>INDEX(tblCleanData[EmployeeNumber],577)</f>
        <v>800</v>
      </c>
      <c r="B585" t="str">
        <f>IF(INDEX(tblCleanData[Age],577)&lt;30,"Under 30",IF(INDEX(tblCleanData[Age],577)&lt;40,"30-39",IF(INDEX(tblCleanData[Age],577)&lt;50,"40-49","50+")))</f>
        <v>Under 30</v>
      </c>
      <c r="C585" t="str">
        <f>IF(INDEX(tblCleanData[MonthlyIncome],577)&lt;=$B$3,"Low Income",IF(INDEX(tblCleanData[MonthlyIncome],577)&lt;=$B$4,"Medium Income","High Income"))</f>
        <v>High Income</v>
      </c>
      <c r="D585">
        <f>IF(INDEX(tblCleanData[Attrition],577)="Yes",1,0)</f>
        <v>0</v>
      </c>
      <c r="E585">
        <f>IF(INDEX(tblCleanData[OverTime],577)="Yes",1,0)</f>
        <v>0</v>
      </c>
      <c r="F585" t="str">
        <f>CHOOSE(INDEX(tblCleanData[Education],577),"Below College","College","Bachelor","Master","Doctor")</f>
        <v>Below College</v>
      </c>
      <c r="G585" t="str">
        <f>IF(INDEX(tblCleanData[YearsAtCompany],577)&lt;=2,"0-2 Years",IF(INDEX(tblCleanData[YearsAtCompany],577)&lt;=5,"3-5 Years",IF(INDEX(tblCleanData[YearsAtCompany],577)&lt;=10,"6-10 Years","10+ Years")))</f>
        <v>3-5 Years</v>
      </c>
      <c r="H585" t="str">
        <f>IF(INDEX(tblCleanData[WorkLifeBalance],577)&lt;=2,"Elevated","Normal")</f>
        <v>Normal</v>
      </c>
      <c r="I585">
        <f>IF(INDEX(tblCleanData[Age],577)&lt;30,30,IF(INDEX(tblCleanData[Age],577)&lt;40,20,IF(INDEX(tblCleanData[Age],577)&lt;50,10,15)))</f>
        <v>30</v>
      </c>
      <c r="J585">
        <f>IF(INDEX(tblCleanData[MonthlyIncome],577)&lt;=$B$3,25,IF(INDEX(tblCleanData[MonthlyIncome],577)&lt;=$B$4,12,5))</f>
        <v>5</v>
      </c>
      <c r="K585">
        <f>IF(INDEX(tblCleanData[OverTime],577)="Yes",25,0)</f>
        <v>0</v>
      </c>
      <c r="L585">
        <f>(5-INDEX(tblCleanData[JobSatisfaction],577))*6.25</f>
        <v>6.25</v>
      </c>
      <c r="M585">
        <f>IF(INDEX(tblCleanData[YearsAtCompany],577)&lt;=2,25,IF(INDEX(tblCleanData[YearsAtCompany],577)&lt;=5,15,IF(INDEX(tblCleanData[YearsAtCompany],577)&lt;=10,8,3)))</f>
        <v>15</v>
      </c>
      <c r="N585">
        <f t="shared" ref="N585:N648" si="18">ROUND(I585+J585+K585+L585+M585,0)</f>
        <v>56</v>
      </c>
      <c r="O585" t="str">
        <f t="shared" ref="O585:O648" si="19">IF(N585&gt;=55,"High Risk",IF(N585&gt;=35,"Medium Risk","Low Risk"))</f>
        <v>High Risk</v>
      </c>
    </row>
    <row r="586" spans="1:15" x14ac:dyDescent="0.25">
      <c r="A586">
        <f>INDEX(tblCleanData[EmployeeNumber],578)</f>
        <v>802</v>
      </c>
      <c r="B586" t="str">
        <f>IF(INDEX(tblCleanData[Age],578)&lt;30,"Under 30",IF(INDEX(tblCleanData[Age],578)&lt;40,"30-39",IF(INDEX(tblCleanData[Age],578)&lt;50,"40-49","50+")))</f>
        <v>30-39</v>
      </c>
      <c r="C586" t="str">
        <f>IF(INDEX(tblCleanData[MonthlyIncome],578)&lt;=$B$3,"Low Income",IF(INDEX(tblCleanData[MonthlyIncome],578)&lt;=$B$4,"Medium Income","High Income"))</f>
        <v>High Income</v>
      </c>
      <c r="D586">
        <f>IF(INDEX(tblCleanData[Attrition],578)="Yes",1,0)</f>
        <v>0</v>
      </c>
      <c r="E586">
        <f>IF(INDEX(tblCleanData[OverTime],578)="Yes",1,0)</f>
        <v>1</v>
      </c>
      <c r="F586" t="str">
        <f>CHOOSE(INDEX(tblCleanData[Education],578),"Below College","College","Bachelor","Master","Doctor")</f>
        <v>Below College</v>
      </c>
      <c r="G586" t="str">
        <f>IF(INDEX(tblCleanData[YearsAtCompany],578)&lt;=2,"0-2 Years",IF(INDEX(tblCleanData[YearsAtCompany],578)&lt;=5,"3-5 Years",IF(INDEX(tblCleanData[YearsAtCompany],578)&lt;=10,"6-10 Years","10+ Years")))</f>
        <v>3-5 Years</v>
      </c>
      <c r="H586" t="str">
        <f>IF(INDEX(tblCleanData[WorkLifeBalance],578)&lt;=2,"Elevated","Normal")</f>
        <v>Elevated</v>
      </c>
      <c r="I586">
        <f>IF(INDEX(tblCleanData[Age],578)&lt;30,30,IF(INDEX(tblCleanData[Age],578)&lt;40,20,IF(INDEX(tblCleanData[Age],578)&lt;50,10,15)))</f>
        <v>20</v>
      </c>
      <c r="J586">
        <f>IF(INDEX(tblCleanData[MonthlyIncome],578)&lt;=$B$3,25,IF(INDEX(tblCleanData[MonthlyIncome],578)&lt;=$B$4,12,5))</f>
        <v>5</v>
      </c>
      <c r="K586">
        <f>IF(INDEX(tblCleanData[OverTime],578)="Yes",25,0)</f>
        <v>25</v>
      </c>
      <c r="L586">
        <f>(5-INDEX(tblCleanData[JobSatisfaction],578))*6.25</f>
        <v>25</v>
      </c>
      <c r="M586">
        <f>IF(INDEX(tblCleanData[YearsAtCompany],578)&lt;=2,25,IF(INDEX(tblCleanData[YearsAtCompany],578)&lt;=5,15,IF(INDEX(tblCleanData[YearsAtCompany],578)&lt;=10,8,3)))</f>
        <v>15</v>
      </c>
      <c r="N586">
        <f t="shared" si="18"/>
        <v>90</v>
      </c>
      <c r="O586" t="str">
        <f t="shared" si="19"/>
        <v>High Risk</v>
      </c>
    </row>
    <row r="587" spans="1:15" x14ac:dyDescent="0.25">
      <c r="A587">
        <f>INDEX(tblCleanData[EmployeeNumber],579)</f>
        <v>803</v>
      </c>
      <c r="B587" t="str">
        <f>IF(INDEX(tblCleanData[Age],579)&lt;30,"Under 30",IF(INDEX(tblCleanData[Age],579)&lt;40,"30-39",IF(INDEX(tblCleanData[Age],579)&lt;50,"40-49","50+")))</f>
        <v>30-39</v>
      </c>
      <c r="C587" t="str">
        <f>IF(INDEX(tblCleanData[MonthlyIncome],579)&lt;=$B$3,"Low Income",IF(INDEX(tblCleanData[MonthlyIncome],579)&lt;=$B$4,"Medium Income","High Income"))</f>
        <v>High Income</v>
      </c>
      <c r="D587">
        <f>IF(INDEX(tblCleanData[Attrition],579)="Yes",1,0)</f>
        <v>0</v>
      </c>
      <c r="E587">
        <f>IF(INDEX(tblCleanData[OverTime],579)="Yes",1,0)</f>
        <v>1</v>
      </c>
      <c r="F587" t="str">
        <f>CHOOSE(INDEX(tblCleanData[Education],579),"Below College","College","Bachelor","Master","Doctor")</f>
        <v>Master</v>
      </c>
      <c r="G587" t="str">
        <f>IF(INDEX(tblCleanData[YearsAtCompany],579)&lt;=2,"0-2 Years",IF(INDEX(tblCleanData[YearsAtCompany],579)&lt;=5,"3-5 Years",IF(INDEX(tblCleanData[YearsAtCompany],579)&lt;=10,"6-10 Years","10+ Years")))</f>
        <v>10+ Years</v>
      </c>
      <c r="H587" t="str">
        <f>IF(INDEX(tblCleanData[WorkLifeBalance],579)&lt;=2,"Elevated","Normal")</f>
        <v>Normal</v>
      </c>
      <c r="I587">
        <f>IF(INDEX(tblCleanData[Age],579)&lt;30,30,IF(INDEX(tblCleanData[Age],579)&lt;40,20,IF(INDEX(tblCleanData[Age],579)&lt;50,10,15)))</f>
        <v>20</v>
      </c>
      <c r="J587">
        <f>IF(INDEX(tblCleanData[MonthlyIncome],579)&lt;=$B$3,25,IF(INDEX(tblCleanData[MonthlyIncome],579)&lt;=$B$4,12,5))</f>
        <v>5</v>
      </c>
      <c r="K587">
        <f>IF(INDEX(tblCleanData[OverTime],579)="Yes",25,0)</f>
        <v>25</v>
      </c>
      <c r="L587">
        <f>(5-INDEX(tblCleanData[JobSatisfaction],579))*6.25</f>
        <v>25</v>
      </c>
      <c r="M587">
        <f>IF(INDEX(tblCleanData[YearsAtCompany],579)&lt;=2,25,IF(INDEX(tblCleanData[YearsAtCompany],579)&lt;=5,15,IF(INDEX(tblCleanData[YearsAtCompany],579)&lt;=10,8,3)))</f>
        <v>3</v>
      </c>
      <c r="N587">
        <f t="shared" si="18"/>
        <v>78</v>
      </c>
      <c r="O587" t="str">
        <f t="shared" si="19"/>
        <v>High Risk</v>
      </c>
    </row>
    <row r="588" spans="1:15" x14ac:dyDescent="0.25">
      <c r="A588">
        <f>INDEX(tblCleanData[EmployeeNumber],580)</f>
        <v>804</v>
      </c>
      <c r="B588" t="str">
        <f>IF(INDEX(tblCleanData[Age],580)&lt;30,"Under 30",IF(INDEX(tblCleanData[Age],580)&lt;40,"30-39",IF(INDEX(tblCleanData[Age],580)&lt;50,"40-49","50+")))</f>
        <v>30-39</v>
      </c>
      <c r="C588" t="str">
        <f>IF(INDEX(tblCleanData[MonthlyIncome],580)&lt;=$B$3,"Low Income",IF(INDEX(tblCleanData[MonthlyIncome],580)&lt;=$B$4,"Medium Income","High Income"))</f>
        <v>High Income</v>
      </c>
      <c r="D588">
        <f>IF(INDEX(tblCleanData[Attrition],580)="Yes",1,0)</f>
        <v>0</v>
      </c>
      <c r="E588">
        <f>IF(INDEX(tblCleanData[OverTime],580)="Yes",1,0)</f>
        <v>0</v>
      </c>
      <c r="F588" t="str">
        <f>CHOOSE(INDEX(tblCleanData[Education],580),"Below College","College","Bachelor","Master","Doctor")</f>
        <v>Master</v>
      </c>
      <c r="G588" t="str">
        <f>IF(INDEX(tblCleanData[YearsAtCompany],580)&lt;=2,"0-2 Years",IF(INDEX(tblCleanData[YearsAtCompany],580)&lt;=5,"3-5 Years",IF(INDEX(tblCleanData[YearsAtCompany],580)&lt;=10,"6-10 Years","10+ Years")))</f>
        <v>6-10 Years</v>
      </c>
      <c r="H588" t="str">
        <f>IF(INDEX(tblCleanData[WorkLifeBalance],580)&lt;=2,"Elevated","Normal")</f>
        <v>Normal</v>
      </c>
      <c r="I588">
        <f>IF(INDEX(tblCleanData[Age],580)&lt;30,30,IF(INDEX(tblCleanData[Age],580)&lt;40,20,IF(INDEX(tblCleanData[Age],580)&lt;50,10,15)))</f>
        <v>20</v>
      </c>
      <c r="J588">
        <f>IF(INDEX(tblCleanData[MonthlyIncome],580)&lt;=$B$3,25,IF(INDEX(tblCleanData[MonthlyIncome],580)&lt;=$B$4,12,5))</f>
        <v>5</v>
      </c>
      <c r="K588">
        <f>IF(INDEX(tblCleanData[OverTime],580)="Yes",25,0)</f>
        <v>0</v>
      </c>
      <c r="L588">
        <f>(5-INDEX(tblCleanData[JobSatisfaction],580))*6.25</f>
        <v>25</v>
      </c>
      <c r="M588">
        <f>IF(INDEX(tblCleanData[YearsAtCompany],580)&lt;=2,25,IF(INDEX(tblCleanData[YearsAtCompany],580)&lt;=5,15,IF(INDEX(tblCleanData[YearsAtCompany],580)&lt;=10,8,3)))</f>
        <v>8</v>
      </c>
      <c r="N588">
        <f t="shared" si="18"/>
        <v>58</v>
      </c>
      <c r="O588" t="str">
        <f t="shared" si="19"/>
        <v>High Risk</v>
      </c>
    </row>
    <row r="589" spans="1:15" x14ac:dyDescent="0.25">
      <c r="A589">
        <f>INDEX(tblCleanData[EmployeeNumber],581)</f>
        <v>805</v>
      </c>
      <c r="B589" t="str">
        <f>IF(INDEX(tblCleanData[Age],581)&lt;30,"Under 30",IF(INDEX(tblCleanData[Age],581)&lt;40,"30-39",IF(INDEX(tblCleanData[Age],581)&lt;50,"40-49","50+")))</f>
        <v>30-39</v>
      </c>
      <c r="C589" t="str">
        <f>IF(INDEX(tblCleanData[MonthlyIncome],581)&lt;=$B$3,"Low Income",IF(INDEX(tblCleanData[MonthlyIncome],581)&lt;=$B$4,"Medium Income","High Income"))</f>
        <v>High Income</v>
      </c>
      <c r="D589">
        <f>IF(INDEX(tblCleanData[Attrition],581)="Yes",1,0)</f>
        <v>0</v>
      </c>
      <c r="E589">
        <f>IF(INDEX(tblCleanData[OverTime],581)="Yes",1,0)</f>
        <v>0</v>
      </c>
      <c r="F589" t="str">
        <f>CHOOSE(INDEX(tblCleanData[Education],581),"Below College","College","Bachelor","Master","Doctor")</f>
        <v>Master</v>
      </c>
      <c r="G589" t="str">
        <f>IF(INDEX(tblCleanData[YearsAtCompany],581)&lt;=2,"0-2 Years",IF(INDEX(tblCleanData[YearsAtCompany],581)&lt;=5,"3-5 Years",IF(INDEX(tblCleanData[YearsAtCompany],581)&lt;=10,"6-10 Years","10+ Years")))</f>
        <v>3-5 Years</v>
      </c>
      <c r="H589" t="str">
        <f>IF(INDEX(tblCleanData[WorkLifeBalance],581)&lt;=2,"Elevated","Normal")</f>
        <v>Elevated</v>
      </c>
      <c r="I589">
        <f>IF(INDEX(tblCleanData[Age],581)&lt;30,30,IF(INDEX(tblCleanData[Age],581)&lt;40,20,IF(INDEX(tblCleanData[Age],581)&lt;50,10,15)))</f>
        <v>20</v>
      </c>
      <c r="J589">
        <f>IF(INDEX(tblCleanData[MonthlyIncome],581)&lt;=$B$3,25,IF(INDEX(tblCleanData[MonthlyIncome],581)&lt;=$B$4,12,5))</f>
        <v>5</v>
      </c>
      <c r="K589">
        <f>IF(INDEX(tblCleanData[OverTime],581)="Yes",25,0)</f>
        <v>0</v>
      </c>
      <c r="L589">
        <f>(5-INDEX(tblCleanData[JobSatisfaction],581))*6.25</f>
        <v>6.25</v>
      </c>
      <c r="M589">
        <f>IF(INDEX(tblCleanData[YearsAtCompany],581)&lt;=2,25,IF(INDEX(tblCleanData[YearsAtCompany],581)&lt;=5,15,IF(INDEX(tblCleanData[YearsAtCompany],581)&lt;=10,8,3)))</f>
        <v>15</v>
      </c>
      <c r="N589">
        <f t="shared" si="18"/>
        <v>46</v>
      </c>
      <c r="O589" t="str">
        <f t="shared" si="19"/>
        <v>Medium Risk</v>
      </c>
    </row>
    <row r="590" spans="1:15" x14ac:dyDescent="0.25">
      <c r="A590">
        <f>INDEX(tblCleanData[EmployeeNumber],582)</f>
        <v>806</v>
      </c>
      <c r="B590" t="str">
        <f>IF(INDEX(tblCleanData[Age],582)&lt;30,"Under 30",IF(INDEX(tblCleanData[Age],582)&lt;40,"30-39",IF(INDEX(tblCleanData[Age],582)&lt;50,"40-49","50+")))</f>
        <v>30-39</v>
      </c>
      <c r="C590" t="str">
        <f>IF(INDEX(tblCleanData[MonthlyIncome],582)&lt;=$B$3,"Low Income",IF(INDEX(tblCleanData[MonthlyIncome],582)&lt;=$B$4,"Medium Income","High Income"))</f>
        <v>High Income</v>
      </c>
      <c r="D590">
        <f>IF(INDEX(tblCleanData[Attrition],582)="Yes",1,0)</f>
        <v>0</v>
      </c>
      <c r="E590">
        <f>IF(INDEX(tblCleanData[OverTime],582)="Yes",1,0)</f>
        <v>0</v>
      </c>
      <c r="F590" t="str">
        <f>CHOOSE(INDEX(tblCleanData[Education],582),"Below College","College","Bachelor","Master","Doctor")</f>
        <v>Bachelor</v>
      </c>
      <c r="G590" t="str">
        <f>IF(INDEX(tblCleanData[YearsAtCompany],582)&lt;=2,"0-2 Years",IF(INDEX(tblCleanData[YearsAtCompany],582)&lt;=5,"3-5 Years",IF(INDEX(tblCleanData[YearsAtCompany],582)&lt;=10,"6-10 Years","10+ Years")))</f>
        <v>0-2 Years</v>
      </c>
      <c r="H590" t="str">
        <f>IF(INDEX(tblCleanData[WorkLifeBalance],582)&lt;=2,"Elevated","Normal")</f>
        <v>Normal</v>
      </c>
      <c r="I590">
        <f>IF(INDEX(tblCleanData[Age],582)&lt;30,30,IF(INDEX(tblCleanData[Age],582)&lt;40,20,IF(INDEX(tblCleanData[Age],582)&lt;50,10,15)))</f>
        <v>20</v>
      </c>
      <c r="J590">
        <f>IF(INDEX(tblCleanData[MonthlyIncome],582)&lt;=$B$3,25,IF(INDEX(tblCleanData[MonthlyIncome],582)&lt;=$B$4,12,5))</f>
        <v>5</v>
      </c>
      <c r="K590">
        <f>IF(INDEX(tblCleanData[OverTime],582)="Yes",25,0)</f>
        <v>0</v>
      </c>
      <c r="L590">
        <f>(5-INDEX(tblCleanData[JobSatisfaction],582))*6.25</f>
        <v>12.5</v>
      </c>
      <c r="M590">
        <f>IF(INDEX(tblCleanData[YearsAtCompany],582)&lt;=2,25,IF(INDEX(tblCleanData[YearsAtCompany],582)&lt;=5,15,IF(INDEX(tblCleanData[YearsAtCompany],582)&lt;=10,8,3)))</f>
        <v>25</v>
      </c>
      <c r="N590">
        <f t="shared" si="18"/>
        <v>63</v>
      </c>
      <c r="O590" t="str">
        <f t="shared" si="19"/>
        <v>High Risk</v>
      </c>
    </row>
    <row r="591" spans="1:15" x14ac:dyDescent="0.25">
      <c r="A591">
        <f>INDEX(tblCleanData[EmployeeNumber],583)</f>
        <v>807</v>
      </c>
      <c r="B591" t="str">
        <f>IF(INDEX(tblCleanData[Age],583)&lt;30,"Under 30",IF(INDEX(tblCleanData[Age],583)&lt;40,"30-39",IF(INDEX(tblCleanData[Age],583)&lt;50,"40-49","50+")))</f>
        <v>40-49</v>
      </c>
      <c r="C591" t="str">
        <f>IF(INDEX(tblCleanData[MonthlyIncome],583)&lt;=$B$3,"Low Income",IF(INDEX(tblCleanData[MonthlyIncome],583)&lt;=$B$4,"Medium Income","High Income"))</f>
        <v>High Income</v>
      </c>
      <c r="D591">
        <f>IF(INDEX(tblCleanData[Attrition],583)="Yes",1,0)</f>
        <v>0</v>
      </c>
      <c r="E591">
        <f>IF(INDEX(tblCleanData[OverTime],583)="Yes",1,0)</f>
        <v>0</v>
      </c>
      <c r="F591" t="str">
        <f>CHOOSE(INDEX(tblCleanData[Education],583),"Below College","College","Bachelor","Master","Doctor")</f>
        <v>College</v>
      </c>
      <c r="G591" t="str">
        <f>IF(INDEX(tblCleanData[YearsAtCompany],583)&lt;=2,"0-2 Years",IF(INDEX(tblCleanData[YearsAtCompany],583)&lt;=5,"3-5 Years",IF(INDEX(tblCleanData[YearsAtCompany],583)&lt;=10,"6-10 Years","10+ Years")))</f>
        <v>6-10 Years</v>
      </c>
      <c r="H591" t="str">
        <f>IF(INDEX(tblCleanData[WorkLifeBalance],583)&lt;=2,"Elevated","Normal")</f>
        <v>Normal</v>
      </c>
      <c r="I591">
        <f>IF(INDEX(tblCleanData[Age],583)&lt;30,30,IF(INDEX(tblCleanData[Age],583)&lt;40,20,IF(INDEX(tblCleanData[Age],583)&lt;50,10,15)))</f>
        <v>10</v>
      </c>
      <c r="J591">
        <f>IF(INDEX(tblCleanData[MonthlyIncome],583)&lt;=$B$3,25,IF(INDEX(tblCleanData[MonthlyIncome],583)&lt;=$B$4,12,5))</f>
        <v>5</v>
      </c>
      <c r="K591">
        <f>IF(INDEX(tblCleanData[OverTime],583)="Yes",25,0)</f>
        <v>0</v>
      </c>
      <c r="L591">
        <f>(5-INDEX(tblCleanData[JobSatisfaction],583))*6.25</f>
        <v>18.75</v>
      </c>
      <c r="M591">
        <f>IF(INDEX(tblCleanData[YearsAtCompany],583)&lt;=2,25,IF(INDEX(tblCleanData[YearsAtCompany],583)&lt;=5,15,IF(INDEX(tblCleanData[YearsAtCompany],583)&lt;=10,8,3)))</f>
        <v>8</v>
      </c>
      <c r="N591">
        <f t="shared" si="18"/>
        <v>42</v>
      </c>
      <c r="O591" t="str">
        <f t="shared" si="19"/>
        <v>Medium Risk</v>
      </c>
    </row>
    <row r="592" spans="1:15" x14ac:dyDescent="0.25">
      <c r="A592">
        <f>INDEX(tblCleanData[EmployeeNumber],584)</f>
        <v>808</v>
      </c>
      <c r="B592" t="str">
        <f>IF(INDEX(tblCleanData[Age],584)&lt;30,"Under 30",IF(INDEX(tblCleanData[Age],584)&lt;40,"30-39",IF(INDEX(tblCleanData[Age],584)&lt;50,"40-49","50+")))</f>
        <v>30-39</v>
      </c>
      <c r="C592" t="str">
        <f>IF(INDEX(tblCleanData[MonthlyIncome],584)&lt;=$B$3,"Low Income",IF(INDEX(tblCleanData[MonthlyIncome],584)&lt;=$B$4,"Medium Income","High Income"))</f>
        <v>High Income</v>
      </c>
      <c r="D592">
        <f>IF(INDEX(tblCleanData[Attrition],584)="Yes",1,0)</f>
        <v>0</v>
      </c>
      <c r="E592">
        <f>IF(INDEX(tblCleanData[OverTime],584)="Yes",1,0)</f>
        <v>0</v>
      </c>
      <c r="F592" t="str">
        <f>CHOOSE(INDEX(tblCleanData[Education],584),"Below College","College","Bachelor","Master","Doctor")</f>
        <v>College</v>
      </c>
      <c r="G592" t="str">
        <f>IF(INDEX(tblCleanData[YearsAtCompany],584)&lt;=2,"0-2 Years",IF(INDEX(tblCleanData[YearsAtCompany],584)&lt;=5,"3-5 Years",IF(INDEX(tblCleanData[YearsAtCompany],584)&lt;=10,"6-10 Years","10+ Years")))</f>
        <v>3-5 Years</v>
      </c>
      <c r="H592" t="str">
        <f>IF(INDEX(tblCleanData[WorkLifeBalance],584)&lt;=2,"Elevated","Normal")</f>
        <v>Normal</v>
      </c>
      <c r="I592">
        <f>IF(INDEX(tblCleanData[Age],584)&lt;30,30,IF(INDEX(tblCleanData[Age],584)&lt;40,20,IF(INDEX(tblCleanData[Age],584)&lt;50,10,15)))</f>
        <v>20</v>
      </c>
      <c r="J592">
        <f>IF(INDEX(tblCleanData[MonthlyIncome],584)&lt;=$B$3,25,IF(INDEX(tblCleanData[MonthlyIncome],584)&lt;=$B$4,12,5))</f>
        <v>5</v>
      </c>
      <c r="K592">
        <f>IF(INDEX(tblCleanData[OverTime],584)="Yes",25,0)</f>
        <v>0</v>
      </c>
      <c r="L592">
        <f>(5-INDEX(tblCleanData[JobSatisfaction],584))*6.25</f>
        <v>25</v>
      </c>
      <c r="M592">
        <f>IF(INDEX(tblCleanData[YearsAtCompany],584)&lt;=2,25,IF(INDEX(tblCleanData[YearsAtCompany],584)&lt;=5,15,IF(INDEX(tblCleanData[YearsAtCompany],584)&lt;=10,8,3)))</f>
        <v>15</v>
      </c>
      <c r="N592">
        <f t="shared" si="18"/>
        <v>65</v>
      </c>
      <c r="O592" t="str">
        <f t="shared" si="19"/>
        <v>High Risk</v>
      </c>
    </row>
    <row r="593" spans="1:15" x14ac:dyDescent="0.25">
      <c r="A593">
        <f>INDEX(tblCleanData[EmployeeNumber],585)</f>
        <v>809</v>
      </c>
      <c r="B593" t="str">
        <f>IF(INDEX(tblCleanData[Age],585)&lt;30,"Under 30",IF(INDEX(tblCleanData[Age],585)&lt;40,"30-39",IF(INDEX(tblCleanData[Age],585)&lt;50,"40-49","50+")))</f>
        <v>40-49</v>
      </c>
      <c r="C593" t="str">
        <f>IF(INDEX(tblCleanData[MonthlyIncome],585)&lt;=$B$3,"Low Income",IF(INDEX(tblCleanData[MonthlyIncome],585)&lt;=$B$4,"Medium Income","High Income"))</f>
        <v>High Income</v>
      </c>
      <c r="D593">
        <f>IF(INDEX(tblCleanData[Attrition],585)="Yes",1,0)</f>
        <v>0</v>
      </c>
      <c r="E593">
        <f>IF(INDEX(tblCleanData[OverTime],585)="Yes",1,0)</f>
        <v>0</v>
      </c>
      <c r="F593" t="str">
        <f>CHOOSE(INDEX(tblCleanData[Education],585),"Below College","College","Bachelor","Master","Doctor")</f>
        <v>Bachelor</v>
      </c>
      <c r="G593" t="str">
        <f>IF(INDEX(tblCleanData[YearsAtCompany],585)&lt;=2,"0-2 Years",IF(INDEX(tblCleanData[YearsAtCompany],585)&lt;=5,"3-5 Years",IF(INDEX(tblCleanData[YearsAtCompany],585)&lt;=10,"6-10 Years","10+ Years")))</f>
        <v>10+ Years</v>
      </c>
      <c r="H593" t="str">
        <f>IF(INDEX(tblCleanData[WorkLifeBalance],585)&lt;=2,"Elevated","Normal")</f>
        <v>Elevated</v>
      </c>
      <c r="I593">
        <f>IF(INDEX(tblCleanData[Age],585)&lt;30,30,IF(INDEX(tblCleanData[Age],585)&lt;40,20,IF(INDEX(tblCleanData[Age],585)&lt;50,10,15)))</f>
        <v>10</v>
      </c>
      <c r="J593">
        <f>IF(INDEX(tblCleanData[MonthlyIncome],585)&lt;=$B$3,25,IF(INDEX(tblCleanData[MonthlyIncome],585)&lt;=$B$4,12,5))</f>
        <v>5</v>
      </c>
      <c r="K593">
        <f>IF(INDEX(tblCleanData[OverTime],585)="Yes",25,0)</f>
        <v>0</v>
      </c>
      <c r="L593">
        <f>(5-INDEX(tblCleanData[JobSatisfaction],585))*6.25</f>
        <v>6.25</v>
      </c>
      <c r="M593">
        <f>IF(INDEX(tblCleanData[YearsAtCompany],585)&lt;=2,25,IF(INDEX(tblCleanData[YearsAtCompany],585)&lt;=5,15,IF(INDEX(tblCleanData[YearsAtCompany],585)&lt;=10,8,3)))</f>
        <v>3</v>
      </c>
      <c r="N593">
        <f t="shared" si="18"/>
        <v>24</v>
      </c>
      <c r="O593" t="str">
        <f t="shared" si="19"/>
        <v>Low Risk</v>
      </c>
    </row>
    <row r="594" spans="1:15" x14ac:dyDescent="0.25">
      <c r="A594">
        <f>INDEX(tblCleanData[EmployeeNumber],586)</f>
        <v>811</v>
      </c>
      <c r="B594" t="str">
        <f>IF(INDEX(tblCleanData[Age],586)&lt;30,"Under 30",IF(INDEX(tblCleanData[Age],586)&lt;40,"30-39",IF(INDEX(tblCleanData[Age],586)&lt;50,"40-49","50+")))</f>
        <v>Under 30</v>
      </c>
      <c r="C594" t="str">
        <f>IF(INDEX(tblCleanData[MonthlyIncome],586)&lt;=$B$3,"Low Income",IF(INDEX(tblCleanData[MonthlyIncome],586)&lt;=$B$4,"Medium Income","High Income"))</f>
        <v>High Income</v>
      </c>
      <c r="D594">
        <f>IF(INDEX(tblCleanData[Attrition],586)="Yes",1,0)</f>
        <v>1</v>
      </c>
      <c r="E594">
        <f>IF(INDEX(tblCleanData[OverTime],586)="Yes",1,0)</f>
        <v>1</v>
      </c>
      <c r="F594" t="str">
        <f>CHOOSE(INDEX(tblCleanData[Education],586),"Below College","College","Bachelor","Master","Doctor")</f>
        <v>Bachelor</v>
      </c>
      <c r="G594" t="str">
        <f>IF(INDEX(tblCleanData[YearsAtCompany],586)&lt;=2,"0-2 Years",IF(INDEX(tblCleanData[YearsAtCompany],586)&lt;=5,"3-5 Years",IF(INDEX(tblCleanData[YearsAtCompany],586)&lt;=10,"6-10 Years","10+ Years")))</f>
        <v>0-2 Years</v>
      </c>
      <c r="H594" t="str">
        <f>IF(INDEX(tblCleanData[WorkLifeBalance],586)&lt;=2,"Elevated","Normal")</f>
        <v>Normal</v>
      </c>
      <c r="I594">
        <f>IF(INDEX(tblCleanData[Age],586)&lt;30,30,IF(INDEX(tblCleanData[Age],586)&lt;40,20,IF(INDEX(tblCleanData[Age],586)&lt;50,10,15)))</f>
        <v>30</v>
      </c>
      <c r="J594">
        <f>IF(INDEX(tblCleanData[MonthlyIncome],586)&lt;=$B$3,25,IF(INDEX(tblCleanData[MonthlyIncome],586)&lt;=$B$4,12,5))</f>
        <v>5</v>
      </c>
      <c r="K594">
        <f>IF(INDEX(tblCleanData[OverTime],586)="Yes",25,0)</f>
        <v>25</v>
      </c>
      <c r="L594">
        <f>(5-INDEX(tblCleanData[JobSatisfaction],586))*6.25</f>
        <v>25</v>
      </c>
      <c r="M594">
        <f>IF(INDEX(tblCleanData[YearsAtCompany],586)&lt;=2,25,IF(INDEX(tblCleanData[YearsAtCompany],586)&lt;=5,15,IF(INDEX(tblCleanData[YearsAtCompany],586)&lt;=10,8,3)))</f>
        <v>25</v>
      </c>
      <c r="N594">
        <f t="shared" si="18"/>
        <v>110</v>
      </c>
      <c r="O594" t="str">
        <f t="shared" si="19"/>
        <v>High Risk</v>
      </c>
    </row>
    <row r="595" spans="1:15" x14ac:dyDescent="0.25">
      <c r="A595">
        <f>INDEX(tblCleanData[EmployeeNumber],587)</f>
        <v>812</v>
      </c>
      <c r="B595" t="str">
        <f>IF(INDEX(tblCleanData[Age],587)&lt;30,"Under 30",IF(INDEX(tblCleanData[Age],587)&lt;40,"30-39",IF(INDEX(tblCleanData[Age],587)&lt;50,"40-49","50+")))</f>
        <v>Under 30</v>
      </c>
      <c r="C595" t="str">
        <f>IF(INDEX(tblCleanData[MonthlyIncome],587)&lt;=$B$3,"Low Income",IF(INDEX(tblCleanData[MonthlyIncome],587)&lt;=$B$4,"Medium Income","High Income"))</f>
        <v>High Income</v>
      </c>
      <c r="D595">
        <f>IF(INDEX(tblCleanData[Attrition],587)="Yes",1,0)</f>
        <v>0</v>
      </c>
      <c r="E595">
        <f>IF(INDEX(tblCleanData[OverTime],587)="Yes",1,0)</f>
        <v>0</v>
      </c>
      <c r="F595" t="str">
        <f>CHOOSE(INDEX(tblCleanData[Education],587),"Below College","College","Bachelor","Master","Doctor")</f>
        <v>Bachelor</v>
      </c>
      <c r="G595" t="str">
        <f>IF(INDEX(tblCleanData[YearsAtCompany],587)&lt;=2,"0-2 Years",IF(INDEX(tblCleanData[YearsAtCompany],587)&lt;=5,"3-5 Years",IF(INDEX(tblCleanData[YearsAtCompany],587)&lt;=10,"6-10 Years","10+ Years")))</f>
        <v>0-2 Years</v>
      </c>
      <c r="H595" t="str">
        <f>IF(INDEX(tblCleanData[WorkLifeBalance],587)&lt;=2,"Elevated","Normal")</f>
        <v>Normal</v>
      </c>
      <c r="I595">
        <f>IF(INDEX(tblCleanData[Age],587)&lt;30,30,IF(INDEX(tblCleanData[Age],587)&lt;40,20,IF(INDEX(tblCleanData[Age],587)&lt;50,10,15)))</f>
        <v>30</v>
      </c>
      <c r="J595">
        <f>IF(INDEX(tblCleanData[MonthlyIncome],587)&lt;=$B$3,25,IF(INDEX(tblCleanData[MonthlyIncome],587)&lt;=$B$4,12,5))</f>
        <v>5</v>
      </c>
      <c r="K595">
        <f>IF(INDEX(tblCleanData[OverTime],587)="Yes",25,0)</f>
        <v>0</v>
      </c>
      <c r="L595">
        <f>(5-INDEX(tblCleanData[JobSatisfaction],587))*6.25</f>
        <v>18.75</v>
      </c>
      <c r="M595">
        <f>IF(INDEX(tblCleanData[YearsAtCompany],587)&lt;=2,25,IF(INDEX(tblCleanData[YearsAtCompany],587)&lt;=5,15,IF(INDEX(tblCleanData[YearsAtCompany],587)&lt;=10,8,3)))</f>
        <v>25</v>
      </c>
      <c r="N595">
        <f t="shared" si="18"/>
        <v>79</v>
      </c>
      <c r="O595" t="str">
        <f t="shared" si="19"/>
        <v>High Risk</v>
      </c>
    </row>
    <row r="596" spans="1:15" x14ac:dyDescent="0.25">
      <c r="A596">
        <f>INDEX(tblCleanData[EmployeeNumber],588)</f>
        <v>813</v>
      </c>
      <c r="B596" t="str">
        <f>IF(INDEX(tblCleanData[Age],588)&lt;30,"Under 30",IF(INDEX(tblCleanData[Age],588)&lt;40,"30-39",IF(INDEX(tblCleanData[Age],588)&lt;50,"40-49","50+")))</f>
        <v>50+</v>
      </c>
      <c r="C596" t="str">
        <f>IF(INDEX(tblCleanData[MonthlyIncome],588)&lt;=$B$3,"Low Income",IF(INDEX(tblCleanData[MonthlyIncome],588)&lt;=$B$4,"Medium Income","High Income"))</f>
        <v>High Income</v>
      </c>
      <c r="D596">
        <f>IF(INDEX(tblCleanData[Attrition],588)="Yes",1,0)</f>
        <v>0</v>
      </c>
      <c r="E596">
        <f>IF(INDEX(tblCleanData[OverTime],588)="Yes",1,0)</f>
        <v>0</v>
      </c>
      <c r="F596" t="str">
        <f>CHOOSE(INDEX(tblCleanData[Education],588),"Below College","College","Bachelor","Master","Doctor")</f>
        <v>Master</v>
      </c>
      <c r="G596" t="str">
        <f>IF(INDEX(tblCleanData[YearsAtCompany],588)&lt;=2,"0-2 Years",IF(INDEX(tblCleanData[YearsAtCompany],588)&lt;=5,"3-5 Years",IF(INDEX(tblCleanData[YearsAtCompany],588)&lt;=10,"6-10 Years","10+ Years")))</f>
        <v>3-5 Years</v>
      </c>
      <c r="H596" t="str">
        <f>IF(INDEX(tblCleanData[WorkLifeBalance],588)&lt;=2,"Elevated","Normal")</f>
        <v>Normal</v>
      </c>
      <c r="I596">
        <f>IF(INDEX(tblCleanData[Age],588)&lt;30,30,IF(INDEX(tblCleanData[Age],588)&lt;40,20,IF(INDEX(tblCleanData[Age],588)&lt;50,10,15)))</f>
        <v>15</v>
      </c>
      <c r="J596">
        <f>IF(INDEX(tblCleanData[MonthlyIncome],588)&lt;=$B$3,25,IF(INDEX(tblCleanData[MonthlyIncome],588)&lt;=$B$4,12,5))</f>
        <v>5</v>
      </c>
      <c r="K596">
        <f>IF(INDEX(tblCleanData[OverTime],588)="Yes",25,0)</f>
        <v>0</v>
      </c>
      <c r="L596">
        <f>(5-INDEX(tblCleanData[JobSatisfaction],588))*6.25</f>
        <v>12.5</v>
      </c>
      <c r="M596">
        <f>IF(INDEX(tblCleanData[YearsAtCompany],588)&lt;=2,25,IF(INDEX(tblCleanData[YearsAtCompany],588)&lt;=5,15,IF(INDEX(tblCleanData[YearsAtCompany],588)&lt;=10,8,3)))</f>
        <v>15</v>
      </c>
      <c r="N596">
        <f t="shared" si="18"/>
        <v>48</v>
      </c>
      <c r="O596" t="str">
        <f t="shared" si="19"/>
        <v>Medium Risk</v>
      </c>
    </row>
    <row r="597" spans="1:15" x14ac:dyDescent="0.25">
      <c r="A597">
        <f>INDEX(tblCleanData[EmployeeNumber],589)</f>
        <v>815</v>
      </c>
      <c r="B597" t="str">
        <f>IF(INDEX(tblCleanData[Age],589)&lt;30,"Under 30",IF(INDEX(tblCleanData[Age],589)&lt;40,"30-39",IF(INDEX(tblCleanData[Age],589)&lt;50,"40-49","50+")))</f>
        <v>50+</v>
      </c>
      <c r="C597" t="str">
        <f>IF(INDEX(tblCleanData[MonthlyIncome],589)&lt;=$B$3,"Low Income",IF(INDEX(tblCleanData[MonthlyIncome],589)&lt;=$B$4,"Medium Income","High Income"))</f>
        <v>High Income</v>
      </c>
      <c r="D597">
        <f>IF(INDEX(tblCleanData[Attrition],589)="Yes",1,0)</f>
        <v>0</v>
      </c>
      <c r="E597">
        <f>IF(INDEX(tblCleanData[OverTime],589)="Yes",1,0)</f>
        <v>0</v>
      </c>
      <c r="F597" t="str">
        <f>CHOOSE(INDEX(tblCleanData[Education],589),"Below College","College","Bachelor","Master","Doctor")</f>
        <v>Bachelor</v>
      </c>
      <c r="G597" t="str">
        <f>IF(INDEX(tblCleanData[YearsAtCompany],589)&lt;=2,"0-2 Years",IF(INDEX(tblCleanData[YearsAtCompany],589)&lt;=5,"3-5 Years",IF(INDEX(tblCleanData[YearsAtCompany],589)&lt;=10,"6-10 Years","10+ Years")))</f>
        <v>3-5 Years</v>
      </c>
      <c r="H597" t="str">
        <f>IF(INDEX(tblCleanData[WorkLifeBalance],589)&lt;=2,"Elevated","Normal")</f>
        <v>Normal</v>
      </c>
      <c r="I597">
        <f>IF(INDEX(tblCleanData[Age],589)&lt;30,30,IF(INDEX(tblCleanData[Age],589)&lt;40,20,IF(INDEX(tblCleanData[Age],589)&lt;50,10,15)))</f>
        <v>15</v>
      </c>
      <c r="J597">
        <f>IF(INDEX(tblCleanData[MonthlyIncome],589)&lt;=$B$3,25,IF(INDEX(tblCleanData[MonthlyIncome],589)&lt;=$B$4,12,5))</f>
        <v>5</v>
      </c>
      <c r="K597">
        <f>IF(INDEX(tblCleanData[OverTime],589)="Yes",25,0)</f>
        <v>0</v>
      </c>
      <c r="L597">
        <f>(5-INDEX(tblCleanData[JobSatisfaction],589))*6.25</f>
        <v>12.5</v>
      </c>
      <c r="M597">
        <f>IF(INDEX(tblCleanData[YearsAtCompany],589)&lt;=2,25,IF(INDEX(tblCleanData[YearsAtCompany],589)&lt;=5,15,IF(INDEX(tblCleanData[YearsAtCompany],589)&lt;=10,8,3)))</f>
        <v>15</v>
      </c>
      <c r="N597">
        <f t="shared" si="18"/>
        <v>48</v>
      </c>
      <c r="O597" t="str">
        <f t="shared" si="19"/>
        <v>Medium Risk</v>
      </c>
    </row>
    <row r="598" spans="1:15" x14ac:dyDescent="0.25">
      <c r="A598">
        <f>INDEX(tblCleanData[EmployeeNumber],590)</f>
        <v>816</v>
      </c>
      <c r="B598" t="str">
        <f>IF(INDEX(tblCleanData[Age],590)&lt;30,"Under 30",IF(INDEX(tblCleanData[Age],590)&lt;40,"30-39",IF(INDEX(tblCleanData[Age],590)&lt;50,"40-49","50+")))</f>
        <v>Under 30</v>
      </c>
      <c r="C598" t="str">
        <f>IF(INDEX(tblCleanData[MonthlyIncome],590)&lt;=$B$3,"Low Income",IF(INDEX(tblCleanData[MonthlyIncome],590)&lt;=$B$4,"Medium Income","High Income"))</f>
        <v>High Income</v>
      </c>
      <c r="D598">
        <f>IF(INDEX(tblCleanData[Attrition],590)="Yes",1,0)</f>
        <v>1</v>
      </c>
      <c r="E598">
        <f>IF(INDEX(tblCleanData[OverTime],590)="Yes",1,0)</f>
        <v>1</v>
      </c>
      <c r="F598" t="str">
        <f>CHOOSE(INDEX(tblCleanData[Education],590),"Below College","College","Bachelor","Master","Doctor")</f>
        <v>College</v>
      </c>
      <c r="G598" t="str">
        <f>IF(INDEX(tblCleanData[YearsAtCompany],590)&lt;=2,"0-2 Years",IF(INDEX(tblCleanData[YearsAtCompany],590)&lt;=5,"3-5 Years",IF(INDEX(tblCleanData[YearsAtCompany],590)&lt;=10,"6-10 Years","10+ Years")))</f>
        <v>0-2 Years</v>
      </c>
      <c r="H598" t="str">
        <f>IF(INDEX(tblCleanData[WorkLifeBalance],590)&lt;=2,"Elevated","Normal")</f>
        <v>Normal</v>
      </c>
      <c r="I598">
        <f>IF(INDEX(tblCleanData[Age],590)&lt;30,30,IF(INDEX(tblCleanData[Age],590)&lt;40,20,IF(INDEX(tblCleanData[Age],590)&lt;50,10,15)))</f>
        <v>30</v>
      </c>
      <c r="J598">
        <f>IF(INDEX(tblCleanData[MonthlyIncome],590)&lt;=$B$3,25,IF(INDEX(tblCleanData[MonthlyIncome],590)&lt;=$B$4,12,5))</f>
        <v>5</v>
      </c>
      <c r="K598">
        <f>IF(INDEX(tblCleanData[OverTime],590)="Yes",25,0)</f>
        <v>25</v>
      </c>
      <c r="L598">
        <f>(5-INDEX(tblCleanData[JobSatisfaction],590))*6.25</f>
        <v>25</v>
      </c>
      <c r="M598">
        <f>IF(INDEX(tblCleanData[YearsAtCompany],590)&lt;=2,25,IF(INDEX(tblCleanData[YearsAtCompany],590)&lt;=5,15,IF(INDEX(tblCleanData[YearsAtCompany],590)&lt;=10,8,3)))</f>
        <v>25</v>
      </c>
      <c r="N598">
        <f t="shared" si="18"/>
        <v>110</v>
      </c>
      <c r="O598" t="str">
        <f t="shared" si="19"/>
        <v>High Risk</v>
      </c>
    </row>
    <row r="599" spans="1:15" x14ac:dyDescent="0.25">
      <c r="A599">
        <f>INDEX(tblCleanData[EmployeeNumber],591)</f>
        <v>817</v>
      </c>
      <c r="B599" t="str">
        <f>IF(INDEX(tblCleanData[Age],591)&lt;30,"Under 30",IF(INDEX(tblCleanData[Age],591)&lt;40,"30-39",IF(INDEX(tblCleanData[Age],591)&lt;50,"40-49","50+")))</f>
        <v>30-39</v>
      </c>
      <c r="C599" t="str">
        <f>IF(INDEX(tblCleanData[MonthlyIncome],591)&lt;=$B$3,"Low Income",IF(INDEX(tblCleanData[MonthlyIncome],591)&lt;=$B$4,"Medium Income","High Income"))</f>
        <v>High Income</v>
      </c>
      <c r="D599">
        <f>IF(INDEX(tblCleanData[Attrition],591)="Yes",1,0)</f>
        <v>0</v>
      </c>
      <c r="E599">
        <f>IF(INDEX(tblCleanData[OverTime],591)="Yes",1,0)</f>
        <v>0</v>
      </c>
      <c r="F599" t="str">
        <f>CHOOSE(INDEX(tblCleanData[Education],591),"Below College","College","Bachelor","Master","Doctor")</f>
        <v>Bachelor</v>
      </c>
      <c r="G599" t="str">
        <f>IF(INDEX(tblCleanData[YearsAtCompany],591)&lt;=2,"0-2 Years",IF(INDEX(tblCleanData[YearsAtCompany],591)&lt;=5,"3-5 Years",IF(INDEX(tblCleanData[YearsAtCompany],591)&lt;=10,"6-10 Years","10+ Years")))</f>
        <v>10+ Years</v>
      </c>
      <c r="H599" t="str">
        <f>IF(INDEX(tblCleanData[WorkLifeBalance],591)&lt;=2,"Elevated","Normal")</f>
        <v>Normal</v>
      </c>
      <c r="I599">
        <f>IF(INDEX(tblCleanData[Age],591)&lt;30,30,IF(INDEX(tblCleanData[Age],591)&lt;40,20,IF(INDEX(tblCleanData[Age],591)&lt;50,10,15)))</f>
        <v>20</v>
      </c>
      <c r="J599">
        <f>IF(INDEX(tblCleanData[MonthlyIncome],591)&lt;=$B$3,25,IF(INDEX(tblCleanData[MonthlyIncome],591)&lt;=$B$4,12,5))</f>
        <v>5</v>
      </c>
      <c r="K599">
        <f>IF(INDEX(tblCleanData[OverTime],591)="Yes",25,0)</f>
        <v>0</v>
      </c>
      <c r="L599">
        <f>(5-INDEX(tblCleanData[JobSatisfaction],591))*6.25</f>
        <v>12.5</v>
      </c>
      <c r="M599">
        <f>IF(INDEX(tblCleanData[YearsAtCompany],591)&lt;=2,25,IF(INDEX(tblCleanData[YearsAtCompany],591)&lt;=5,15,IF(INDEX(tblCleanData[YearsAtCompany],591)&lt;=10,8,3)))</f>
        <v>3</v>
      </c>
      <c r="N599">
        <f t="shared" si="18"/>
        <v>41</v>
      </c>
      <c r="O599" t="str">
        <f t="shared" si="19"/>
        <v>Medium Risk</v>
      </c>
    </row>
    <row r="600" spans="1:15" x14ac:dyDescent="0.25">
      <c r="A600">
        <f>INDEX(tblCleanData[EmployeeNumber],592)</f>
        <v>819</v>
      </c>
      <c r="B600" t="str">
        <f>IF(INDEX(tblCleanData[Age],592)&lt;30,"Under 30",IF(INDEX(tblCleanData[Age],592)&lt;40,"30-39",IF(INDEX(tblCleanData[Age],592)&lt;50,"40-49","50+")))</f>
        <v>30-39</v>
      </c>
      <c r="C600" t="str">
        <f>IF(INDEX(tblCleanData[MonthlyIncome],592)&lt;=$B$3,"Low Income",IF(INDEX(tblCleanData[MonthlyIncome],592)&lt;=$B$4,"Medium Income","High Income"))</f>
        <v>High Income</v>
      </c>
      <c r="D600">
        <f>IF(INDEX(tblCleanData[Attrition],592)="Yes",1,0)</f>
        <v>1</v>
      </c>
      <c r="E600">
        <f>IF(INDEX(tblCleanData[OverTime],592)="Yes",1,0)</f>
        <v>0</v>
      </c>
      <c r="F600" t="str">
        <f>CHOOSE(INDEX(tblCleanData[Education],592),"Below College","College","Bachelor","Master","Doctor")</f>
        <v>Bachelor</v>
      </c>
      <c r="G600" t="str">
        <f>IF(INDEX(tblCleanData[YearsAtCompany],592)&lt;=2,"0-2 Years",IF(INDEX(tblCleanData[YearsAtCompany],592)&lt;=5,"3-5 Years",IF(INDEX(tblCleanData[YearsAtCompany],592)&lt;=10,"6-10 Years","10+ Years")))</f>
        <v>3-5 Years</v>
      </c>
      <c r="H600" t="str">
        <f>IF(INDEX(tblCleanData[WorkLifeBalance],592)&lt;=2,"Elevated","Normal")</f>
        <v>Normal</v>
      </c>
      <c r="I600">
        <f>IF(INDEX(tblCleanData[Age],592)&lt;30,30,IF(INDEX(tblCleanData[Age],592)&lt;40,20,IF(INDEX(tblCleanData[Age],592)&lt;50,10,15)))</f>
        <v>20</v>
      </c>
      <c r="J600">
        <f>IF(INDEX(tblCleanData[MonthlyIncome],592)&lt;=$B$3,25,IF(INDEX(tblCleanData[MonthlyIncome],592)&lt;=$B$4,12,5))</f>
        <v>5</v>
      </c>
      <c r="K600">
        <f>IF(INDEX(tblCleanData[OverTime],592)="Yes",25,0)</f>
        <v>0</v>
      </c>
      <c r="L600">
        <f>(5-INDEX(tblCleanData[JobSatisfaction],592))*6.25</f>
        <v>25</v>
      </c>
      <c r="M600">
        <f>IF(INDEX(tblCleanData[YearsAtCompany],592)&lt;=2,25,IF(INDEX(tblCleanData[YearsAtCompany],592)&lt;=5,15,IF(INDEX(tblCleanData[YearsAtCompany],592)&lt;=10,8,3)))</f>
        <v>15</v>
      </c>
      <c r="N600">
        <f t="shared" si="18"/>
        <v>65</v>
      </c>
      <c r="O600" t="str">
        <f t="shared" si="19"/>
        <v>High Risk</v>
      </c>
    </row>
    <row r="601" spans="1:15" x14ac:dyDescent="0.25">
      <c r="A601">
        <f>INDEX(tblCleanData[EmployeeNumber],593)</f>
        <v>820</v>
      </c>
      <c r="B601" t="str">
        <f>IF(INDEX(tblCleanData[Age],593)&lt;30,"Under 30",IF(INDEX(tblCleanData[Age],593)&lt;40,"30-39",IF(INDEX(tblCleanData[Age],593)&lt;50,"40-49","50+")))</f>
        <v>40-49</v>
      </c>
      <c r="C601" t="str">
        <f>IF(INDEX(tblCleanData[MonthlyIncome],593)&lt;=$B$3,"Low Income",IF(INDEX(tblCleanData[MonthlyIncome],593)&lt;=$B$4,"Medium Income","High Income"))</f>
        <v>High Income</v>
      </c>
      <c r="D601">
        <f>IF(INDEX(tblCleanData[Attrition],593)="Yes",1,0)</f>
        <v>0</v>
      </c>
      <c r="E601">
        <f>IF(INDEX(tblCleanData[OverTime],593)="Yes",1,0)</f>
        <v>1</v>
      </c>
      <c r="F601" t="str">
        <f>CHOOSE(INDEX(tblCleanData[Education],593),"Below College","College","Bachelor","Master","Doctor")</f>
        <v>College</v>
      </c>
      <c r="G601" t="str">
        <f>IF(INDEX(tblCleanData[YearsAtCompany],593)&lt;=2,"0-2 Years",IF(INDEX(tblCleanData[YearsAtCompany],593)&lt;=5,"3-5 Years",IF(INDEX(tblCleanData[YearsAtCompany],593)&lt;=10,"6-10 Years","10+ Years")))</f>
        <v>10+ Years</v>
      </c>
      <c r="H601" t="str">
        <f>IF(INDEX(tblCleanData[WorkLifeBalance],593)&lt;=2,"Elevated","Normal")</f>
        <v>Elevated</v>
      </c>
      <c r="I601">
        <f>IF(INDEX(tblCleanData[Age],593)&lt;30,30,IF(INDEX(tblCleanData[Age],593)&lt;40,20,IF(INDEX(tblCleanData[Age],593)&lt;50,10,15)))</f>
        <v>10</v>
      </c>
      <c r="J601">
        <f>IF(INDEX(tblCleanData[MonthlyIncome],593)&lt;=$B$3,25,IF(INDEX(tblCleanData[MonthlyIncome],593)&lt;=$B$4,12,5))</f>
        <v>5</v>
      </c>
      <c r="K601">
        <f>IF(INDEX(tblCleanData[OverTime],593)="Yes",25,0)</f>
        <v>25</v>
      </c>
      <c r="L601">
        <f>(5-INDEX(tblCleanData[JobSatisfaction],593))*6.25</f>
        <v>6.25</v>
      </c>
      <c r="M601">
        <f>IF(INDEX(tblCleanData[YearsAtCompany],593)&lt;=2,25,IF(INDEX(tblCleanData[YearsAtCompany],593)&lt;=5,15,IF(INDEX(tblCleanData[YearsAtCompany],593)&lt;=10,8,3)))</f>
        <v>3</v>
      </c>
      <c r="N601">
        <f t="shared" si="18"/>
        <v>49</v>
      </c>
      <c r="O601" t="str">
        <f t="shared" si="19"/>
        <v>Medium Risk</v>
      </c>
    </row>
    <row r="602" spans="1:15" x14ac:dyDescent="0.25">
      <c r="A602">
        <f>INDEX(tblCleanData[EmployeeNumber],594)</f>
        <v>823</v>
      </c>
      <c r="B602" t="str">
        <f>IF(INDEX(tblCleanData[Age],594)&lt;30,"Under 30",IF(INDEX(tblCleanData[Age],594)&lt;40,"30-39",IF(INDEX(tblCleanData[Age],594)&lt;50,"40-49","50+")))</f>
        <v>30-39</v>
      </c>
      <c r="C602" t="str">
        <f>IF(INDEX(tblCleanData[MonthlyIncome],594)&lt;=$B$3,"Low Income",IF(INDEX(tblCleanData[MonthlyIncome],594)&lt;=$B$4,"Medium Income","High Income"))</f>
        <v>High Income</v>
      </c>
      <c r="D602">
        <f>IF(INDEX(tblCleanData[Attrition],594)="Yes",1,0)</f>
        <v>0</v>
      </c>
      <c r="E602">
        <f>IF(INDEX(tblCleanData[OverTime],594)="Yes",1,0)</f>
        <v>0</v>
      </c>
      <c r="F602" t="str">
        <f>CHOOSE(INDEX(tblCleanData[Education],594),"Below College","College","Bachelor","Master","Doctor")</f>
        <v>Bachelor</v>
      </c>
      <c r="G602" t="str">
        <f>IF(INDEX(tblCleanData[YearsAtCompany],594)&lt;=2,"0-2 Years",IF(INDEX(tblCleanData[YearsAtCompany],594)&lt;=5,"3-5 Years",IF(INDEX(tblCleanData[YearsAtCompany],594)&lt;=10,"6-10 Years","10+ Years")))</f>
        <v>6-10 Years</v>
      </c>
      <c r="H602" t="str">
        <f>IF(INDEX(tblCleanData[WorkLifeBalance],594)&lt;=2,"Elevated","Normal")</f>
        <v>Normal</v>
      </c>
      <c r="I602">
        <f>IF(INDEX(tblCleanData[Age],594)&lt;30,30,IF(INDEX(tblCleanData[Age],594)&lt;40,20,IF(INDEX(tblCleanData[Age],594)&lt;50,10,15)))</f>
        <v>20</v>
      </c>
      <c r="J602">
        <f>IF(INDEX(tblCleanData[MonthlyIncome],594)&lt;=$B$3,25,IF(INDEX(tblCleanData[MonthlyIncome],594)&lt;=$B$4,12,5))</f>
        <v>5</v>
      </c>
      <c r="K602">
        <f>IF(INDEX(tblCleanData[OverTime],594)="Yes",25,0)</f>
        <v>0</v>
      </c>
      <c r="L602">
        <f>(5-INDEX(tblCleanData[JobSatisfaction],594))*6.25</f>
        <v>18.75</v>
      </c>
      <c r="M602">
        <f>IF(INDEX(tblCleanData[YearsAtCompany],594)&lt;=2,25,IF(INDEX(tblCleanData[YearsAtCompany],594)&lt;=5,15,IF(INDEX(tblCleanData[YearsAtCompany],594)&lt;=10,8,3)))</f>
        <v>8</v>
      </c>
      <c r="N602">
        <f t="shared" si="18"/>
        <v>52</v>
      </c>
      <c r="O602" t="str">
        <f t="shared" si="19"/>
        <v>Medium Risk</v>
      </c>
    </row>
    <row r="603" spans="1:15" x14ac:dyDescent="0.25">
      <c r="A603">
        <f>INDEX(tblCleanData[EmployeeNumber],595)</f>
        <v>824</v>
      </c>
      <c r="B603" t="str">
        <f>IF(INDEX(tblCleanData[Age],595)&lt;30,"Under 30",IF(INDEX(tblCleanData[Age],595)&lt;40,"30-39",IF(INDEX(tblCleanData[Age],595)&lt;50,"40-49","50+")))</f>
        <v>Under 30</v>
      </c>
      <c r="C603" t="str">
        <f>IF(INDEX(tblCleanData[MonthlyIncome],595)&lt;=$B$3,"Low Income",IF(INDEX(tblCleanData[MonthlyIncome],595)&lt;=$B$4,"Medium Income","High Income"))</f>
        <v>High Income</v>
      </c>
      <c r="D603">
        <f>IF(INDEX(tblCleanData[Attrition],595)="Yes",1,0)</f>
        <v>0</v>
      </c>
      <c r="E603">
        <f>IF(INDEX(tblCleanData[OverTime],595)="Yes",1,0)</f>
        <v>0</v>
      </c>
      <c r="F603" t="str">
        <f>CHOOSE(INDEX(tblCleanData[Education],595),"Below College","College","Bachelor","Master","Doctor")</f>
        <v>College</v>
      </c>
      <c r="G603" t="str">
        <f>IF(INDEX(tblCleanData[YearsAtCompany],595)&lt;=2,"0-2 Years",IF(INDEX(tblCleanData[YearsAtCompany],595)&lt;=5,"3-5 Years",IF(INDEX(tblCleanData[YearsAtCompany],595)&lt;=10,"6-10 Years","10+ Years")))</f>
        <v>6-10 Years</v>
      </c>
      <c r="H603" t="str">
        <f>IF(INDEX(tblCleanData[WorkLifeBalance],595)&lt;=2,"Elevated","Normal")</f>
        <v>Normal</v>
      </c>
      <c r="I603">
        <f>IF(INDEX(tblCleanData[Age],595)&lt;30,30,IF(INDEX(tblCleanData[Age],595)&lt;40,20,IF(INDEX(tblCleanData[Age],595)&lt;50,10,15)))</f>
        <v>30</v>
      </c>
      <c r="J603">
        <f>IF(INDEX(tblCleanData[MonthlyIncome],595)&lt;=$B$3,25,IF(INDEX(tblCleanData[MonthlyIncome],595)&lt;=$B$4,12,5))</f>
        <v>5</v>
      </c>
      <c r="K603">
        <f>IF(INDEX(tblCleanData[OverTime],595)="Yes",25,0)</f>
        <v>0</v>
      </c>
      <c r="L603">
        <f>(5-INDEX(tblCleanData[JobSatisfaction],595))*6.25</f>
        <v>12.5</v>
      </c>
      <c r="M603">
        <f>IF(INDEX(tblCleanData[YearsAtCompany],595)&lt;=2,25,IF(INDEX(tblCleanData[YearsAtCompany],595)&lt;=5,15,IF(INDEX(tblCleanData[YearsAtCompany],595)&lt;=10,8,3)))</f>
        <v>8</v>
      </c>
      <c r="N603">
        <f t="shared" si="18"/>
        <v>56</v>
      </c>
      <c r="O603" t="str">
        <f t="shared" si="19"/>
        <v>High Risk</v>
      </c>
    </row>
    <row r="604" spans="1:15" x14ac:dyDescent="0.25">
      <c r="A604">
        <f>INDEX(tblCleanData[EmployeeNumber],596)</f>
        <v>825</v>
      </c>
      <c r="B604" t="str">
        <f>IF(INDEX(tblCleanData[Age],596)&lt;30,"Under 30",IF(INDEX(tblCleanData[Age],596)&lt;40,"30-39",IF(INDEX(tblCleanData[Age],596)&lt;50,"40-49","50+")))</f>
        <v>50+</v>
      </c>
      <c r="C604" t="str">
        <f>IF(INDEX(tblCleanData[MonthlyIncome],596)&lt;=$B$3,"Low Income",IF(INDEX(tblCleanData[MonthlyIncome],596)&lt;=$B$4,"Medium Income","High Income"))</f>
        <v>High Income</v>
      </c>
      <c r="D604">
        <f>IF(INDEX(tblCleanData[Attrition],596)="Yes",1,0)</f>
        <v>1</v>
      </c>
      <c r="E604">
        <f>IF(INDEX(tblCleanData[OverTime],596)="Yes",1,0)</f>
        <v>1</v>
      </c>
      <c r="F604" t="str">
        <f>CHOOSE(INDEX(tblCleanData[Education],596),"Below College","College","Bachelor","Master","Doctor")</f>
        <v>Master</v>
      </c>
      <c r="G604" t="str">
        <f>IF(INDEX(tblCleanData[YearsAtCompany],596)&lt;=2,"0-2 Years",IF(INDEX(tblCleanData[YearsAtCompany],596)&lt;=5,"3-5 Years",IF(INDEX(tblCleanData[YearsAtCompany],596)&lt;=10,"6-10 Years","10+ Years")))</f>
        <v>10+ Years</v>
      </c>
      <c r="H604" t="str">
        <f>IF(INDEX(tblCleanData[WorkLifeBalance],596)&lt;=2,"Elevated","Normal")</f>
        <v>Normal</v>
      </c>
      <c r="I604">
        <f>IF(INDEX(tblCleanData[Age],596)&lt;30,30,IF(INDEX(tblCleanData[Age],596)&lt;40,20,IF(INDEX(tblCleanData[Age],596)&lt;50,10,15)))</f>
        <v>15</v>
      </c>
      <c r="J604">
        <f>IF(INDEX(tblCleanData[MonthlyIncome],596)&lt;=$B$3,25,IF(INDEX(tblCleanData[MonthlyIncome],596)&lt;=$B$4,12,5))</f>
        <v>5</v>
      </c>
      <c r="K604">
        <f>IF(INDEX(tblCleanData[OverTime],596)="Yes",25,0)</f>
        <v>25</v>
      </c>
      <c r="L604">
        <f>(5-INDEX(tblCleanData[JobSatisfaction],596))*6.25</f>
        <v>18.75</v>
      </c>
      <c r="M604">
        <f>IF(INDEX(tblCleanData[YearsAtCompany],596)&lt;=2,25,IF(INDEX(tblCleanData[YearsAtCompany],596)&lt;=5,15,IF(INDEX(tblCleanData[YearsAtCompany],596)&lt;=10,8,3)))</f>
        <v>3</v>
      </c>
      <c r="N604">
        <f t="shared" si="18"/>
        <v>67</v>
      </c>
      <c r="O604" t="str">
        <f t="shared" si="19"/>
        <v>High Risk</v>
      </c>
    </row>
    <row r="605" spans="1:15" x14ac:dyDescent="0.25">
      <c r="A605">
        <f>INDEX(tblCleanData[EmployeeNumber],597)</f>
        <v>826</v>
      </c>
      <c r="B605" t="str">
        <f>IF(INDEX(tblCleanData[Age],597)&lt;30,"Under 30",IF(INDEX(tblCleanData[Age],597)&lt;40,"30-39",IF(INDEX(tblCleanData[Age],597)&lt;50,"40-49","50+")))</f>
        <v>30-39</v>
      </c>
      <c r="C605" t="str">
        <f>IF(INDEX(tblCleanData[MonthlyIncome],597)&lt;=$B$3,"Low Income",IF(INDEX(tblCleanData[MonthlyIncome],597)&lt;=$B$4,"Medium Income","High Income"))</f>
        <v>High Income</v>
      </c>
      <c r="D605">
        <f>IF(INDEX(tblCleanData[Attrition],597)="Yes",1,0)</f>
        <v>0</v>
      </c>
      <c r="E605">
        <f>IF(INDEX(tblCleanData[OverTime],597)="Yes",1,0)</f>
        <v>0</v>
      </c>
      <c r="F605" t="str">
        <f>CHOOSE(INDEX(tblCleanData[Education],597),"Below College","College","Bachelor","Master","Doctor")</f>
        <v>Master</v>
      </c>
      <c r="G605" t="str">
        <f>IF(INDEX(tblCleanData[YearsAtCompany],597)&lt;=2,"0-2 Years",IF(INDEX(tblCleanData[YearsAtCompany],597)&lt;=5,"3-5 Years",IF(INDEX(tblCleanData[YearsAtCompany],597)&lt;=10,"6-10 Years","10+ Years")))</f>
        <v>0-2 Years</v>
      </c>
      <c r="H605" t="str">
        <f>IF(INDEX(tblCleanData[WorkLifeBalance],597)&lt;=2,"Elevated","Normal")</f>
        <v>Normal</v>
      </c>
      <c r="I605">
        <f>IF(INDEX(tblCleanData[Age],597)&lt;30,30,IF(INDEX(tblCleanData[Age],597)&lt;40,20,IF(INDEX(tblCleanData[Age],597)&lt;50,10,15)))</f>
        <v>20</v>
      </c>
      <c r="J605">
        <f>IF(INDEX(tblCleanData[MonthlyIncome],597)&lt;=$B$3,25,IF(INDEX(tblCleanData[MonthlyIncome],597)&lt;=$B$4,12,5))</f>
        <v>5</v>
      </c>
      <c r="K605">
        <f>IF(INDEX(tblCleanData[OverTime],597)="Yes",25,0)</f>
        <v>0</v>
      </c>
      <c r="L605">
        <f>(5-INDEX(tblCleanData[JobSatisfaction],597))*6.25</f>
        <v>12.5</v>
      </c>
      <c r="M605">
        <f>IF(INDEX(tblCleanData[YearsAtCompany],597)&lt;=2,25,IF(INDEX(tblCleanData[YearsAtCompany],597)&lt;=5,15,IF(INDEX(tblCleanData[YearsAtCompany],597)&lt;=10,8,3)))</f>
        <v>25</v>
      </c>
      <c r="N605">
        <f t="shared" si="18"/>
        <v>63</v>
      </c>
      <c r="O605" t="str">
        <f t="shared" si="19"/>
        <v>High Risk</v>
      </c>
    </row>
    <row r="606" spans="1:15" x14ac:dyDescent="0.25">
      <c r="A606">
        <f>INDEX(tblCleanData[EmployeeNumber],598)</f>
        <v>827</v>
      </c>
      <c r="B606" t="str">
        <f>IF(INDEX(tblCleanData[Age],598)&lt;30,"Under 30",IF(INDEX(tblCleanData[Age],598)&lt;40,"30-39",IF(INDEX(tblCleanData[Age],598)&lt;50,"40-49","50+")))</f>
        <v>40-49</v>
      </c>
      <c r="C606" t="str">
        <f>IF(INDEX(tblCleanData[MonthlyIncome],598)&lt;=$B$3,"Low Income",IF(INDEX(tblCleanData[MonthlyIncome],598)&lt;=$B$4,"Medium Income","High Income"))</f>
        <v>High Income</v>
      </c>
      <c r="D606">
        <f>IF(INDEX(tblCleanData[Attrition],598)="Yes",1,0)</f>
        <v>0</v>
      </c>
      <c r="E606">
        <f>IF(INDEX(tblCleanData[OverTime],598)="Yes",1,0)</f>
        <v>1</v>
      </c>
      <c r="F606" t="str">
        <f>CHOOSE(INDEX(tblCleanData[Education],598),"Below College","College","Bachelor","Master","Doctor")</f>
        <v>College</v>
      </c>
      <c r="G606" t="str">
        <f>IF(INDEX(tblCleanData[YearsAtCompany],598)&lt;=2,"0-2 Years",IF(INDEX(tblCleanData[YearsAtCompany],598)&lt;=5,"3-5 Years",IF(INDEX(tblCleanData[YearsAtCompany],598)&lt;=10,"6-10 Years","10+ Years")))</f>
        <v>3-5 Years</v>
      </c>
      <c r="H606" t="str">
        <f>IF(INDEX(tblCleanData[WorkLifeBalance],598)&lt;=2,"Elevated","Normal")</f>
        <v>Normal</v>
      </c>
      <c r="I606">
        <f>IF(INDEX(tblCleanData[Age],598)&lt;30,30,IF(INDEX(tblCleanData[Age],598)&lt;40,20,IF(INDEX(tblCleanData[Age],598)&lt;50,10,15)))</f>
        <v>10</v>
      </c>
      <c r="J606">
        <f>IF(INDEX(tblCleanData[MonthlyIncome],598)&lt;=$B$3,25,IF(INDEX(tblCleanData[MonthlyIncome],598)&lt;=$B$4,12,5))</f>
        <v>5</v>
      </c>
      <c r="K606">
        <f>IF(INDEX(tblCleanData[OverTime],598)="Yes",25,0)</f>
        <v>25</v>
      </c>
      <c r="L606">
        <f>(5-INDEX(tblCleanData[JobSatisfaction],598))*6.25</f>
        <v>6.25</v>
      </c>
      <c r="M606">
        <f>IF(INDEX(tblCleanData[YearsAtCompany],598)&lt;=2,25,IF(INDEX(tblCleanData[YearsAtCompany],598)&lt;=5,15,IF(INDEX(tblCleanData[YearsAtCompany],598)&lt;=10,8,3)))</f>
        <v>15</v>
      </c>
      <c r="N606">
        <f t="shared" si="18"/>
        <v>61</v>
      </c>
      <c r="O606" t="str">
        <f t="shared" si="19"/>
        <v>High Risk</v>
      </c>
    </row>
    <row r="607" spans="1:15" x14ac:dyDescent="0.25">
      <c r="A607">
        <f>INDEX(tblCleanData[EmployeeNumber],599)</f>
        <v>828</v>
      </c>
      <c r="B607" t="str">
        <f>IF(INDEX(tblCleanData[Age],599)&lt;30,"Under 30",IF(INDEX(tblCleanData[Age],599)&lt;40,"30-39",IF(INDEX(tblCleanData[Age],599)&lt;50,"40-49","50+")))</f>
        <v>Under 30</v>
      </c>
      <c r="C607" t="str">
        <f>IF(INDEX(tblCleanData[MonthlyIncome],599)&lt;=$B$3,"Low Income",IF(INDEX(tblCleanData[MonthlyIncome],599)&lt;=$B$4,"Medium Income","High Income"))</f>
        <v>High Income</v>
      </c>
      <c r="D607">
        <f>IF(INDEX(tblCleanData[Attrition],599)="Yes",1,0)</f>
        <v>1</v>
      </c>
      <c r="E607">
        <f>IF(INDEX(tblCleanData[OverTime],599)="Yes",1,0)</f>
        <v>0</v>
      </c>
      <c r="F607" t="str">
        <f>CHOOSE(INDEX(tblCleanData[Education],599),"Below College","College","Bachelor","Master","Doctor")</f>
        <v>Master</v>
      </c>
      <c r="G607" t="str">
        <f>IF(INDEX(tblCleanData[YearsAtCompany],599)&lt;=2,"0-2 Years",IF(INDEX(tblCleanData[YearsAtCompany],599)&lt;=5,"3-5 Years",IF(INDEX(tblCleanData[YearsAtCompany],599)&lt;=10,"6-10 Years","10+ Years")))</f>
        <v>0-2 Years</v>
      </c>
      <c r="H607" t="str">
        <f>IF(INDEX(tblCleanData[WorkLifeBalance],599)&lt;=2,"Elevated","Normal")</f>
        <v>Elevated</v>
      </c>
      <c r="I607">
        <f>IF(INDEX(tblCleanData[Age],599)&lt;30,30,IF(INDEX(tblCleanData[Age],599)&lt;40,20,IF(INDEX(tblCleanData[Age],599)&lt;50,10,15)))</f>
        <v>30</v>
      </c>
      <c r="J607">
        <f>IF(INDEX(tblCleanData[MonthlyIncome],599)&lt;=$B$3,25,IF(INDEX(tblCleanData[MonthlyIncome],599)&lt;=$B$4,12,5))</f>
        <v>5</v>
      </c>
      <c r="K607">
        <f>IF(INDEX(tblCleanData[OverTime],599)="Yes",25,0)</f>
        <v>0</v>
      </c>
      <c r="L607">
        <f>(5-INDEX(tblCleanData[JobSatisfaction],599))*6.25</f>
        <v>12.5</v>
      </c>
      <c r="M607">
        <f>IF(INDEX(tblCleanData[YearsAtCompany],599)&lt;=2,25,IF(INDEX(tblCleanData[YearsAtCompany],599)&lt;=5,15,IF(INDEX(tblCleanData[YearsAtCompany],599)&lt;=10,8,3)))</f>
        <v>25</v>
      </c>
      <c r="N607">
        <f t="shared" si="18"/>
        <v>73</v>
      </c>
      <c r="O607" t="str">
        <f t="shared" si="19"/>
        <v>High Risk</v>
      </c>
    </row>
    <row r="608" spans="1:15" x14ac:dyDescent="0.25">
      <c r="A608">
        <f>INDEX(tblCleanData[EmployeeNumber],600)</f>
        <v>829</v>
      </c>
      <c r="B608" t="str">
        <f>IF(INDEX(tblCleanData[Age],600)&lt;30,"Under 30",IF(INDEX(tblCleanData[Age],600)&lt;40,"30-39",IF(INDEX(tblCleanData[Age],600)&lt;50,"40-49","50+")))</f>
        <v>30-39</v>
      </c>
      <c r="C608" t="str">
        <f>IF(INDEX(tblCleanData[MonthlyIncome],600)&lt;=$B$3,"Low Income",IF(INDEX(tblCleanData[MonthlyIncome],600)&lt;=$B$4,"Medium Income","High Income"))</f>
        <v>High Income</v>
      </c>
      <c r="D608">
        <f>IF(INDEX(tblCleanData[Attrition],600)="Yes",1,0)</f>
        <v>0</v>
      </c>
      <c r="E608">
        <f>IF(INDEX(tblCleanData[OverTime],600)="Yes",1,0)</f>
        <v>0</v>
      </c>
      <c r="F608" t="str">
        <f>CHOOSE(INDEX(tblCleanData[Education],600),"Below College","College","Bachelor","Master","Doctor")</f>
        <v>Bachelor</v>
      </c>
      <c r="G608" t="str">
        <f>IF(INDEX(tblCleanData[YearsAtCompany],600)&lt;=2,"0-2 Years",IF(INDEX(tblCleanData[YearsAtCompany],600)&lt;=5,"3-5 Years",IF(INDEX(tblCleanData[YearsAtCompany],600)&lt;=10,"6-10 Years","10+ Years")))</f>
        <v>3-5 Years</v>
      </c>
      <c r="H608" t="str">
        <f>IF(INDEX(tblCleanData[WorkLifeBalance],600)&lt;=2,"Elevated","Normal")</f>
        <v>Normal</v>
      </c>
      <c r="I608">
        <f>IF(INDEX(tblCleanData[Age],600)&lt;30,30,IF(INDEX(tblCleanData[Age],600)&lt;40,20,IF(INDEX(tblCleanData[Age],600)&lt;50,10,15)))</f>
        <v>20</v>
      </c>
      <c r="J608">
        <f>IF(INDEX(tblCleanData[MonthlyIncome],600)&lt;=$B$3,25,IF(INDEX(tblCleanData[MonthlyIncome],600)&lt;=$B$4,12,5))</f>
        <v>5</v>
      </c>
      <c r="K608">
        <f>IF(INDEX(tblCleanData[OverTime],600)="Yes",25,0)</f>
        <v>0</v>
      </c>
      <c r="L608">
        <f>(5-INDEX(tblCleanData[JobSatisfaction],600))*6.25</f>
        <v>18.75</v>
      </c>
      <c r="M608">
        <f>IF(INDEX(tblCleanData[YearsAtCompany],600)&lt;=2,25,IF(INDEX(tblCleanData[YearsAtCompany],600)&lt;=5,15,IF(INDEX(tblCleanData[YearsAtCompany],600)&lt;=10,8,3)))</f>
        <v>15</v>
      </c>
      <c r="N608">
        <f t="shared" si="18"/>
        <v>59</v>
      </c>
      <c r="O608" t="str">
        <f t="shared" si="19"/>
        <v>High Risk</v>
      </c>
    </row>
    <row r="609" spans="1:15" x14ac:dyDescent="0.25">
      <c r="A609">
        <f>INDEX(tblCleanData[EmployeeNumber],601)</f>
        <v>830</v>
      </c>
      <c r="B609" t="str">
        <f>IF(INDEX(tblCleanData[Age],601)&lt;30,"Under 30",IF(INDEX(tblCleanData[Age],601)&lt;40,"30-39",IF(INDEX(tblCleanData[Age],601)&lt;50,"40-49","50+")))</f>
        <v>30-39</v>
      </c>
      <c r="C609" t="str">
        <f>IF(INDEX(tblCleanData[MonthlyIncome],601)&lt;=$B$3,"Low Income",IF(INDEX(tblCleanData[MonthlyIncome],601)&lt;=$B$4,"Medium Income","High Income"))</f>
        <v>High Income</v>
      </c>
      <c r="D609">
        <f>IF(INDEX(tblCleanData[Attrition],601)="Yes",1,0)</f>
        <v>0</v>
      </c>
      <c r="E609">
        <f>IF(INDEX(tblCleanData[OverTime],601)="Yes",1,0)</f>
        <v>0</v>
      </c>
      <c r="F609" t="str">
        <f>CHOOSE(INDEX(tblCleanData[Education],601),"Below College","College","Bachelor","Master","Doctor")</f>
        <v>Bachelor</v>
      </c>
      <c r="G609" t="str">
        <f>IF(INDEX(tblCleanData[YearsAtCompany],601)&lt;=2,"0-2 Years",IF(INDEX(tblCleanData[YearsAtCompany],601)&lt;=5,"3-5 Years",IF(INDEX(tblCleanData[YearsAtCompany],601)&lt;=10,"6-10 Years","10+ Years")))</f>
        <v>10+ Years</v>
      </c>
      <c r="H609" t="str">
        <f>IF(INDEX(tblCleanData[WorkLifeBalance],601)&lt;=2,"Elevated","Normal")</f>
        <v>Normal</v>
      </c>
      <c r="I609">
        <f>IF(INDEX(tblCleanData[Age],601)&lt;30,30,IF(INDEX(tblCleanData[Age],601)&lt;40,20,IF(INDEX(tblCleanData[Age],601)&lt;50,10,15)))</f>
        <v>20</v>
      </c>
      <c r="J609">
        <f>IF(INDEX(tblCleanData[MonthlyIncome],601)&lt;=$B$3,25,IF(INDEX(tblCleanData[MonthlyIncome],601)&lt;=$B$4,12,5))</f>
        <v>5</v>
      </c>
      <c r="K609">
        <f>IF(INDEX(tblCleanData[OverTime],601)="Yes",25,0)</f>
        <v>0</v>
      </c>
      <c r="L609">
        <f>(5-INDEX(tblCleanData[JobSatisfaction],601))*6.25</f>
        <v>12.5</v>
      </c>
      <c r="M609">
        <f>IF(INDEX(tblCleanData[YearsAtCompany],601)&lt;=2,25,IF(INDEX(tblCleanData[YearsAtCompany],601)&lt;=5,15,IF(INDEX(tblCleanData[YearsAtCompany],601)&lt;=10,8,3)))</f>
        <v>3</v>
      </c>
      <c r="N609">
        <f t="shared" si="18"/>
        <v>41</v>
      </c>
      <c r="O609" t="str">
        <f t="shared" si="19"/>
        <v>Medium Risk</v>
      </c>
    </row>
    <row r="610" spans="1:15" x14ac:dyDescent="0.25">
      <c r="A610">
        <f>INDEX(tblCleanData[EmployeeNumber],602)</f>
        <v>832</v>
      </c>
      <c r="B610" t="str">
        <f>IF(INDEX(tblCleanData[Age],602)&lt;30,"Under 30",IF(INDEX(tblCleanData[Age],602)&lt;40,"30-39",IF(INDEX(tblCleanData[Age],602)&lt;50,"40-49","50+")))</f>
        <v>40-49</v>
      </c>
      <c r="C610" t="str">
        <f>IF(INDEX(tblCleanData[MonthlyIncome],602)&lt;=$B$3,"Low Income",IF(INDEX(tblCleanData[MonthlyIncome],602)&lt;=$B$4,"Medium Income","High Income"))</f>
        <v>High Income</v>
      </c>
      <c r="D610">
        <f>IF(INDEX(tblCleanData[Attrition],602)="Yes",1,0)</f>
        <v>0</v>
      </c>
      <c r="E610">
        <f>IF(INDEX(tblCleanData[OverTime],602)="Yes",1,0)</f>
        <v>0</v>
      </c>
      <c r="F610" t="str">
        <f>CHOOSE(INDEX(tblCleanData[Education],602),"Below College","College","Bachelor","Master","Doctor")</f>
        <v>Master</v>
      </c>
      <c r="G610" t="str">
        <f>IF(INDEX(tblCleanData[YearsAtCompany],602)&lt;=2,"0-2 Years",IF(INDEX(tblCleanData[YearsAtCompany],602)&lt;=5,"3-5 Years",IF(INDEX(tblCleanData[YearsAtCompany],602)&lt;=10,"6-10 Years","10+ Years")))</f>
        <v>0-2 Years</v>
      </c>
      <c r="H610" t="str">
        <f>IF(INDEX(tblCleanData[WorkLifeBalance],602)&lt;=2,"Elevated","Normal")</f>
        <v>Normal</v>
      </c>
      <c r="I610">
        <f>IF(INDEX(tblCleanData[Age],602)&lt;30,30,IF(INDEX(tblCleanData[Age],602)&lt;40,20,IF(INDEX(tblCleanData[Age],602)&lt;50,10,15)))</f>
        <v>10</v>
      </c>
      <c r="J610">
        <f>IF(INDEX(tblCleanData[MonthlyIncome],602)&lt;=$B$3,25,IF(INDEX(tblCleanData[MonthlyIncome],602)&lt;=$B$4,12,5))</f>
        <v>5</v>
      </c>
      <c r="K610">
        <f>IF(INDEX(tblCleanData[OverTime],602)="Yes",25,0)</f>
        <v>0</v>
      </c>
      <c r="L610">
        <f>(5-INDEX(tblCleanData[JobSatisfaction],602))*6.25</f>
        <v>12.5</v>
      </c>
      <c r="M610">
        <f>IF(INDEX(tblCleanData[YearsAtCompany],602)&lt;=2,25,IF(INDEX(tblCleanData[YearsAtCompany],602)&lt;=5,15,IF(INDEX(tblCleanData[YearsAtCompany],602)&lt;=10,8,3)))</f>
        <v>25</v>
      </c>
      <c r="N610">
        <f t="shared" si="18"/>
        <v>53</v>
      </c>
      <c r="O610" t="str">
        <f t="shared" si="19"/>
        <v>Medium Risk</v>
      </c>
    </row>
    <row r="611" spans="1:15" x14ac:dyDescent="0.25">
      <c r="A611">
        <f>INDEX(tblCleanData[EmployeeNumber],603)</f>
        <v>833</v>
      </c>
      <c r="B611" t="str">
        <f>IF(INDEX(tblCleanData[Age],603)&lt;30,"Under 30",IF(INDEX(tblCleanData[Age],603)&lt;40,"30-39",IF(INDEX(tblCleanData[Age],603)&lt;50,"40-49","50+")))</f>
        <v>30-39</v>
      </c>
      <c r="C611" t="str">
        <f>IF(INDEX(tblCleanData[MonthlyIncome],603)&lt;=$B$3,"Low Income",IF(INDEX(tblCleanData[MonthlyIncome],603)&lt;=$B$4,"Medium Income","High Income"))</f>
        <v>High Income</v>
      </c>
      <c r="D611">
        <f>IF(INDEX(tblCleanData[Attrition],603)="Yes",1,0)</f>
        <v>0</v>
      </c>
      <c r="E611">
        <f>IF(INDEX(tblCleanData[OverTime],603)="Yes",1,0)</f>
        <v>1</v>
      </c>
      <c r="F611" t="str">
        <f>CHOOSE(INDEX(tblCleanData[Education],603),"Below College","College","Bachelor","Master","Doctor")</f>
        <v>Bachelor</v>
      </c>
      <c r="G611" t="str">
        <f>IF(INDEX(tblCleanData[YearsAtCompany],603)&lt;=2,"0-2 Years",IF(INDEX(tblCleanData[YearsAtCompany],603)&lt;=5,"3-5 Years",IF(INDEX(tblCleanData[YearsAtCompany],603)&lt;=10,"6-10 Years","10+ Years")))</f>
        <v>0-2 Years</v>
      </c>
      <c r="H611" t="str">
        <f>IF(INDEX(tblCleanData[WorkLifeBalance],603)&lt;=2,"Elevated","Normal")</f>
        <v>Elevated</v>
      </c>
      <c r="I611">
        <f>IF(INDEX(tblCleanData[Age],603)&lt;30,30,IF(INDEX(tblCleanData[Age],603)&lt;40,20,IF(INDEX(tblCleanData[Age],603)&lt;50,10,15)))</f>
        <v>20</v>
      </c>
      <c r="J611">
        <f>IF(INDEX(tblCleanData[MonthlyIncome],603)&lt;=$B$3,25,IF(INDEX(tblCleanData[MonthlyIncome],603)&lt;=$B$4,12,5))</f>
        <v>5</v>
      </c>
      <c r="K611">
        <f>IF(INDEX(tblCleanData[OverTime],603)="Yes",25,0)</f>
        <v>25</v>
      </c>
      <c r="L611">
        <f>(5-INDEX(tblCleanData[JobSatisfaction],603))*6.25</f>
        <v>6.25</v>
      </c>
      <c r="M611">
        <f>IF(INDEX(tblCleanData[YearsAtCompany],603)&lt;=2,25,IF(INDEX(tblCleanData[YearsAtCompany],603)&lt;=5,15,IF(INDEX(tblCleanData[YearsAtCompany],603)&lt;=10,8,3)))</f>
        <v>25</v>
      </c>
      <c r="N611">
        <f t="shared" si="18"/>
        <v>81</v>
      </c>
      <c r="O611" t="str">
        <f t="shared" si="19"/>
        <v>High Risk</v>
      </c>
    </row>
    <row r="612" spans="1:15" x14ac:dyDescent="0.25">
      <c r="A612">
        <f>INDEX(tblCleanData[EmployeeNumber],604)</f>
        <v>834</v>
      </c>
      <c r="B612" t="str">
        <f>IF(INDEX(tblCleanData[Age],604)&lt;30,"Under 30",IF(INDEX(tblCleanData[Age],604)&lt;40,"30-39",IF(INDEX(tblCleanData[Age],604)&lt;50,"40-49","50+")))</f>
        <v>40-49</v>
      </c>
      <c r="C612" t="str">
        <f>IF(INDEX(tblCleanData[MonthlyIncome],604)&lt;=$B$3,"Low Income",IF(INDEX(tblCleanData[MonthlyIncome],604)&lt;=$B$4,"Medium Income","High Income"))</f>
        <v>High Income</v>
      </c>
      <c r="D612">
        <f>IF(INDEX(tblCleanData[Attrition],604)="Yes",1,0)</f>
        <v>0</v>
      </c>
      <c r="E612">
        <f>IF(INDEX(tblCleanData[OverTime],604)="Yes",1,0)</f>
        <v>0</v>
      </c>
      <c r="F612" t="str">
        <f>CHOOSE(INDEX(tblCleanData[Education],604),"Below College","College","Bachelor","Master","Doctor")</f>
        <v>Bachelor</v>
      </c>
      <c r="G612" t="str">
        <f>IF(INDEX(tblCleanData[YearsAtCompany],604)&lt;=2,"0-2 Years",IF(INDEX(tblCleanData[YearsAtCompany],604)&lt;=5,"3-5 Years",IF(INDEX(tblCleanData[YearsAtCompany],604)&lt;=10,"6-10 Years","10+ Years")))</f>
        <v>0-2 Years</v>
      </c>
      <c r="H612" t="str">
        <f>IF(INDEX(tblCleanData[WorkLifeBalance],604)&lt;=2,"Elevated","Normal")</f>
        <v>Normal</v>
      </c>
      <c r="I612">
        <f>IF(INDEX(tblCleanData[Age],604)&lt;30,30,IF(INDEX(tblCleanData[Age],604)&lt;40,20,IF(INDEX(tblCleanData[Age],604)&lt;50,10,15)))</f>
        <v>10</v>
      </c>
      <c r="J612">
        <f>IF(INDEX(tblCleanData[MonthlyIncome],604)&lt;=$B$3,25,IF(INDEX(tblCleanData[MonthlyIncome],604)&lt;=$B$4,12,5))</f>
        <v>5</v>
      </c>
      <c r="K612">
        <f>IF(INDEX(tblCleanData[OverTime],604)="Yes",25,0)</f>
        <v>0</v>
      </c>
      <c r="L612">
        <f>(5-INDEX(tblCleanData[JobSatisfaction],604))*6.25</f>
        <v>12.5</v>
      </c>
      <c r="M612">
        <f>IF(INDEX(tblCleanData[YearsAtCompany],604)&lt;=2,25,IF(INDEX(tblCleanData[YearsAtCompany],604)&lt;=5,15,IF(INDEX(tblCleanData[YearsAtCompany],604)&lt;=10,8,3)))</f>
        <v>25</v>
      </c>
      <c r="N612">
        <f t="shared" si="18"/>
        <v>53</v>
      </c>
      <c r="O612" t="str">
        <f t="shared" si="19"/>
        <v>Medium Risk</v>
      </c>
    </row>
    <row r="613" spans="1:15" x14ac:dyDescent="0.25">
      <c r="A613">
        <f>INDEX(tblCleanData[EmployeeNumber],605)</f>
        <v>836</v>
      </c>
      <c r="B613" t="str">
        <f>IF(INDEX(tblCleanData[Age],605)&lt;30,"Under 30",IF(INDEX(tblCleanData[Age],605)&lt;40,"30-39",IF(INDEX(tblCleanData[Age],605)&lt;50,"40-49","50+")))</f>
        <v>40-49</v>
      </c>
      <c r="C613" t="str">
        <f>IF(INDEX(tblCleanData[MonthlyIncome],605)&lt;=$B$3,"Low Income",IF(INDEX(tblCleanData[MonthlyIncome],605)&lt;=$B$4,"Medium Income","High Income"))</f>
        <v>High Income</v>
      </c>
      <c r="D613">
        <f>IF(INDEX(tblCleanData[Attrition],605)="Yes",1,0)</f>
        <v>0</v>
      </c>
      <c r="E613">
        <f>IF(INDEX(tblCleanData[OverTime],605)="Yes",1,0)</f>
        <v>0</v>
      </c>
      <c r="F613" t="str">
        <f>CHOOSE(INDEX(tblCleanData[Education],605),"Below College","College","Bachelor","Master","Doctor")</f>
        <v>Bachelor</v>
      </c>
      <c r="G613" t="str">
        <f>IF(INDEX(tblCleanData[YearsAtCompany],605)&lt;=2,"0-2 Years",IF(INDEX(tblCleanData[YearsAtCompany],605)&lt;=5,"3-5 Years",IF(INDEX(tblCleanData[YearsAtCompany],605)&lt;=10,"6-10 Years","10+ Years")))</f>
        <v>6-10 Years</v>
      </c>
      <c r="H613" t="str">
        <f>IF(INDEX(tblCleanData[WorkLifeBalance],605)&lt;=2,"Elevated","Normal")</f>
        <v>Elevated</v>
      </c>
      <c r="I613">
        <f>IF(INDEX(tblCleanData[Age],605)&lt;30,30,IF(INDEX(tblCleanData[Age],605)&lt;40,20,IF(INDEX(tblCleanData[Age],605)&lt;50,10,15)))</f>
        <v>10</v>
      </c>
      <c r="J613">
        <f>IF(INDEX(tblCleanData[MonthlyIncome],605)&lt;=$B$3,25,IF(INDEX(tblCleanData[MonthlyIncome],605)&lt;=$B$4,12,5))</f>
        <v>5</v>
      </c>
      <c r="K613">
        <f>IF(INDEX(tblCleanData[OverTime],605)="Yes",25,0)</f>
        <v>0</v>
      </c>
      <c r="L613">
        <f>(5-INDEX(tblCleanData[JobSatisfaction],605))*6.25</f>
        <v>18.75</v>
      </c>
      <c r="M613">
        <f>IF(INDEX(tblCleanData[YearsAtCompany],605)&lt;=2,25,IF(INDEX(tblCleanData[YearsAtCompany],605)&lt;=5,15,IF(INDEX(tblCleanData[YearsAtCompany],605)&lt;=10,8,3)))</f>
        <v>8</v>
      </c>
      <c r="N613">
        <f t="shared" si="18"/>
        <v>42</v>
      </c>
      <c r="O613" t="str">
        <f t="shared" si="19"/>
        <v>Medium Risk</v>
      </c>
    </row>
    <row r="614" spans="1:15" x14ac:dyDescent="0.25">
      <c r="A614">
        <f>INDEX(tblCleanData[EmployeeNumber],606)</f>
        <v>837</v>
      </c>
      <c r="B614" t="str">
        <f>IF(INDEX(tblCleanData[Age],606)&lt;30,"Under 30",IF(INDEX(tblCleanData[Age],606)&lt;40,"30-39",IF(INDEX(tblCleanData[Age],606)&lt;50,"40-49","50+")))</f>
        <v>30-39</v>
      </c>
      <c r="C614" t="str">
        <f>IF(INDEX(tblCleanData[MonthlyIncome],606)&lt;=$B$3,"Low Income",IF(INDEX(tblCleanData[MonthlyIncome],606)&lt;=$B$4,"Medium Income","High Income"))</f>
        <v>High Income</v>
      </c>
      <c r="D614">
        <f>IF(INDEX(tblCleanData[Attrition],606)="Yes",1,0)</f>
        <v>0</v>
      </c>
      <c r="E614">
        <f>IF(INDEX(tblCleanData[OverTime],606)="Yes",1,0)</f>
        <v>0</v>
      </c>
      <c r="F614" t="str">
        <f>CHOOSE(INDEX(tblCleanData[Education],606),"Below College","College","Bachelor","Master","Doctor")</f>
        <v>Bachelor</v>
      </c>
      <c r="G614" t="str">
        <f>IF(INDEX(tblCleanData[YearsAtCompany],606)&lt;=2,"0-2 Years",IF(INDEX(tblCleanData[YearsAtCompany],606)&lt;=5,"3-5 Years",IF(INDEX(tblCleanData[YearsAtCompany],606)&lt;=10,"6-10 Years","10+ Years")))</f>
        <v>3-5 Years</v>
      </c>
      <c r="H614" t="str">
        <f>IF(INDEX(tblCleanData[WorkLifeBalance],606)&lt;=2,"Elevated","Normal")</f>
        <v>Elevated</v>
      </c>
      <c r="I614">
        <f>IF(INDEX(tblCleanData[Age],606)&lt;30,30,IF(INDEX(tblCleanData[Age],606)&lt;40,20,IF(INDEX(tblCleanData[Age],606)&lt;50,10,15)))</f>
        <v>20</v>
      </c>
      <c r="J614">
        <f>IF(INDEX(tblCleanData[MonthlyIncome],606)&lt;=$B$3,25,IF(INDEX(tblCleanData[MonthlyIncome],606)&lt;=$B$4,12,5))</f>
        <v>5</v>
      </c>
      <c r="K614">
        <f>IF(INDEX(tblCleanData[OverTime],606)="Yes",25,0)</f>
        <v>0</v>
      </c>
      <c r="L614">
        <f>(5-INDEX(tblCleanData[JobSatisfaction],606))*6.25</f>
        <v>25</v>
      </c>
      <c r="M614">
        <f>IF(INDEX(tblCleanData[YearsAtCompany],606)&lt;=2,25,IF(INDEX(tblCleanData[YearsAtCompany],606)&lt;=5,15,IF(INDEX(tblCleanData[YearsAtCompany],606)&lt;=10,8,3)))</f>
        <v>15</v>
      </c>
      <c r="N614">
        <f t="shared" si="18"/>
        <v>65</v>
      </c>
      <c r="O614" t="str">
        <f t="shared" si="19"/>
        <v>High Risk</v>
      </c>
    </row>
    <row r="615" spans="1:15" x14ac:dyDescent="0.25">
      <c r="A615">
        <f>INDEX(tblCleanData[EmployeeNumber],607)</f>
        <v>838</v>
      </c>
      <c r="B615" t="str">
        <f>IF(INDEX(tblCleanData[Age],607)&lt;30,"Under 30",IF(INDEX(tblCleanData[Age],607)&lt;40,"30-39",IF(INDEX(tblCleanData[Age],607)&lt;50,"40-49","50+")))</f>
        <v>30-39</v>
      </c>
      <c r="C615" t="str">
        <f>IF(INDEX(tblCleanData[MonthlyIncome],607)&lt;=$B$3,"Low Income",IF(INDEX(tblCleanData[MonthlyIncome],607)&lt;=$B$4,"Medium Income","High Income"))</f>
        <v>High Income</v>
      </c>
      <c r="D615">
        <f>IF(INDEX(tblCleanData[Attrition],607)="Yes",1,0)</f>
        <v>0</v>
      </c>
      <c r="E615">
        <f>IF(INDEX(tblCleanData[OverTime],607)="Yes",1,0)</f>
        <v>0</v>
      </c>
      <c r="F615" t="str">
        <f>CHOOSE(INDEX(tblCleanData[Education],607),"Below College","College","Bachelor","Master","Doctor")</f>
        <v>Master</v>
      </c>
      <c r="G615" t="str">
        <f>IF(INDEX(tblCleanData[YearsAtCompany],607)&lt;=2,"0-2 Years",IF(INDEX(tblCleanData[YearsAtCompany],607)&lt;=5,"3-5 Years",IF(INDEX(tblCleanData[YearsAtCompany],607)&lt;=10,"6-10 Years","10+ Years")))</f>
        <v>3-5 Years</v>
      </c>
      <c r="H615" t="str">
        <f>IF(INDEX(tblCleanData[WorkLifeBalance],607)&lt;=2,"Elevated","Normal")</f>
        <v>Normal</v>
      </c>
      <c r="I615">
        <f>IF(INDEX(tblCleanData[Age],607)&lt;30,30,IF(INDEX(tblCleanData[Age],607)&lt;40,20,IF(INDEX(tblCleanData[Age],607)&lt;50,10,15)))</f>
        <v>20</v>
      </c>
      <c r="J615">
        <f>IF(INDEX(tblCleanData[MonthlyIncome],607)&lt;=$B$3,25,IF(INDEX(tblCleanData[MonthlyIncome],607)&lt;=$B$4,12,5))</f>
        <v>5</v>
      </c>
      <c r="K615">
        <f>IF(INDEX(tblCleanData[OverTime],607)="Yes",25,0)</f>
        <v>0</v>
      </c>
      <c r="L615">
        <f>(5-INDEX(tblCleanData[JobSatisfaction],607))*6.25</f>
        <v>6.25</v>
      </c>
      <c r="M615">
        <f>IF(INDEX(tblCleanData[YearsAtCompany],607)&lt;=2,25,IF(INDEX(tblCleanData[YearsAtCompany],607)&lt;=5,15,IF(INDEX(tblCleanData[YearsAtCompany],607)&lt;=10,8,3)))</f>
        <v>15</v>
      </c>
      <c r="N615">
        <f t="shared" si="18"/>
        <v>46</v>
      </c>
      <c r="O615" t="str">
        <f t="shared" si="19"/>
        <v>Medium Risk</v>
      </c>
    </row>
    <row r="616" spans="1:15" x14ac:dyDescent="0.25">
      <c r="A616">
        <f>INDEX(tblCleanData[EmployeeNumber],608)</f>
        <v>840</v>
      </c>
      <c r="B616" t="str">
        <f>IF(INDEX(tblCleanData[Age],608)&lt;30,"Under 30",IF(INDEX(tblCleanData[Age],608)&lt;40,"30-39",IF(INDEX(tblCleanData[Age],608)&lt;50,"40-49","50+")))</f>
        <v>40-49</v>
      </c>
      <c r="C616" t="str">
        <f>IF(INDEX(tblCleanData[MonthlyIncome],608)&lt;=$B$3,"Low Income",IF(INDEX(tblCleanData[MonthlyIncome],608)&lt;=$B$4,"Medium Income","High Income"))</f>
        <v>High Income</v>
      </c>
      <c r="D616">
        <f>IF(INDEX(tblCleanData[Attrition],608)="Yes",1,0)</f>
        <v>1</v>
      </c>
      <c r="E616">
        <f>IF(INDEX(tblCleanData[OverTime],608)="Yes",1,0)</f>
        <v>0</v>
      </c>
      <c r="F616" t="str">
        <f>CHOOSE(INDEX(tblCleanData[Education],608),"Below College","College","Bachelor","Master","Doctor")</f>
        <v>Bachelor</v>
      </c>
      <c r="G616" t="str">
        <f>IF(INDEX(tblCleanData[YearsAtCompany],608)&lt;=2,"0-2 Years",IF(INDEX(tblCleanData[YearsAtCompany],608)&lt;=5,"3-5 Years",IF(INDEX(tblCleanData[YearsAtCompany],608)&lt;=10,"6-10 Years","10+ Years")))</f>
        <v>6-10 Years</v>
      </c>
      <c r="H616" t="str">
        <f>IF(INDEX(tblCleanData[WorkLifeBalance],608)&lt;=2,"Elevated","Normal")</f>
        <v>Normal</v>
      </c>
      <c r="I616">
        <f>IF(INDEX(tblCleanData[Age],608)&lt;30,30,IF(INDEX(tblCleanData[Age],608)&lt;40,20,IF(INDEX(tblCleanData[Age],608)&lt;50,10,15)))</f>
        <v>10</v>
      </c>
      <c r="J616">
        <f>IF(INDEX(tblCleanData[MonthlyIncome],608)&lt;=$B$3,25,IF(INDEX(tblCleanData[MonthlyIncome],608)&lt;=$B$4,12,5))</f>
        <v>5</v>
      </c>
      <c r="K616">
        <f>IF(INDEX(tblCleanData[OverTime],608)="Yes",25,0)</f>
        <v>0</v>
      </c>
      <c r="L616">
        <f>(5-INDEX(tblCleanData[JobSatisfaction],608))*6.25</f>
        <v>6.25</v>
      </c>
      <c r="M616">
        <f>IF(INDEX(tblCleanData[YearsAtCompany],608)&lt;=2,25,IF(INDEX(tblCleanData[YearsAtCompany],608)&lt;=5,15,IF(INDEX(tblCleanData[YearsAtCompany],608)&lt;=10,8,3)))</f>
        <v>8</v>
      </c>
      <c r="N616">
        <f t="shared" si="18"/>
        <v>29</v>
      </c>
      <c r="O616" t="str">
        <f t="shared" si="19"/>
        <v>Low Risk</v>
      </c>
    </row>
    <row r="617" spans="1:15" x14ac:dyDescent="0.25">
      <c r="A617">
        <f>INDEX(tblCleanData[EmployeeNumber],609)</f>
        <v>842</v>
      </c>
      <c r="B617" t="str">
        <f>IF(INDEX(tblCleanData[Age],609)&lt;30,"Under 30",IF(INDEX(tblCleanData[Age],609)&lt;40,"30-39",IF(INDEX(tblCleanData[Age],609)&lt;50,"40-49","50+")))</f>
        <v>50+</v>
      </c>
      <c r="C617" t="str">
        <f>IF(INDEX(tblCleanData[MonthlyIncome],609)&lt;=$B$3,"Low Income",IF(INDEX(tblCleanData[MonthlyIncome],609)&lt;=$B$4,"Medium Income","High Income"))</f>
        <v>High Income</v>
      </c>
      <c r="D617">
        <f>IF(INDEX(tblCleanData[Attrition],609)="Yes",1,0)</f>
        <v>1</v>
      </c>
      <c r="E617">
        <f>IF(INDEX(tblCleanData[OverTime],609)="Yes",1,0)</f>
        <v>0</v>
      </c>
      <c r="F617" t="str">
        <f>CHOOSE(INDEX(tblCleanData[Education],609),"Below College","College","Bachelor","Master","Doctor")</f>
        <v>Below College</v>
      </c>
      <c r="G617" t="str">
        <f>IF(INDEX(tblCleanData[YearsAtCompany],609)&lt;=2,"0-2 Years",IF(INDEX(tblCleanData[YearsAtCompany],609)&lt;=5,"3-5 Years",IF(INDEX(tblCleanData[YearsAtCompany],609)&lt;=10,"6-10 Years","10+ Years")))</f>
        <v>6-10 Years</v>
      </c>
      <c r="H617" t="str">
        <f>IF(INDEX(tblCleanData[WorkLifeBalance],609)&lt;=2,"Elevated","Normal")</f>
        <v>Elevated</v>
      </c>
      <c r="I617">
        <f>IF(INDEX(tblCleanData[Age],609)&lt;30,30,IF(INDEX(tblCleanData[Age],609)&lt;40,20,IF(INDEX(tblCleanData[Age],609)&lt;50,10,15)))</f>
        <v>15</v>
      </c>
      <c r="J617">
        <f>IF(INDEX(tblCleanData[MonthlyIncome],609)&lt;=$B$3,25,IF(INDEX(tblCleanData[MonthlyIncome],609)&lt;=$B$4,12,5))</f>
        <v>5</v>
      </c>
      <c r="K617">
        <f>IF(INDEX(tblCleanData[OverTime],609)="Yes",25,0)</f>
        <v>0</v>
      </c>
      <c r="L617">
        <f>(5-INDEX(tblCleanData[JobSatisfaction],609))*6.25</f>
        <v>6.25</v>
      </c>
      <c r="M617">
        <f>IF(INDEX(tblCleanData[YearsAtCompany],609)&lt;=2,25,IF(INDEX(tblCleanData[YearsAtCompany],609)&lt;=5,15,IF(INDEX(tblCleanData[YearsAtCompany],609)&lt;=10,8,3)))</f>
        <v>8</v>
      </c>
      <c r="N617">
        <f t="shared" si="18"/>
        <v>34</v>
      </c>
      <c r="O617" t="str">
        <f t="shared" si="19"/>
        <v>Low Risk</v>
      </c>
    </row>
    <row r="618" spans="1:15" x14ac:dyDescent="0.25">
      <c r="A618">
        <f>INDEX(tblCleanData[EmployeeNumber],610)</f>
        <v>843</v>
      </c>
      <c r="B618" t="str">
        <f>IF(INDEX(tblCleanData[Age],610)&lt;30,"Under 30",IF(INDEX(tblCleanData[Age],610)&lt;40,"30-39",IF(INDEX(tblCleanData[Age],610)&lt;50,"40-49","50+")))</f>
        <v>40-49</v>
      </c>
      <c r="C618" t="str">
        <f>IF(INDEX(tblCleanData[MonthlyIncome],610)&lt;=$B$3,"Low Income",IF(INDEX(tblCleanData[MonthlyIncome],610)&lt;=$B$4,"Medium Income","High Income"))</f>
        <v>High Income</v>
      </c>
      <c r="D618">
        <f>IF(INDEX(tblCleanData[Attrition],610)="Yes",1,0)</f>
        <v>0</v>
      </c>
      <c r="E618">
        <f>IF(INDEX(tblCleanData[OverTime],610)="Yes",1,0)</f>
        <v>0</v>
      </c>
      <c r="F618" t="str">
        <f>CHOOSE(INDEX(tblCleanData[Education],610),"Below College","College","Bachelor","Master","Doctor")</f>
        <v>College</v>
      </c>
      <c r="G618" t="str">
        <f>IF(INDEX(tblCleanData[YearsAtCompany],610)&lt;=2,"0-2 Years",IF(INDEX(tblCleanData[YearsAtCompany],610)&lt;=5,"3-5 Years",IF(INDEX(tblCleanData[YearsAtCompany],610)&lt;=10,"6-10 Years","10+ Years")))</f>
        <v>3-5 Years</v>
      </c>
      <c r="H618" t="str">
        <f>IF(INDEX(tblCleanData[WorkLifeBalance],610)&lt;=2,"Elevated","Normal")</f>
        <v>Normal</v>
      </c>
      <c r="I618">
        <f>IF(INDEX(tblCleanData[Age],610)&lt;30,30,IF(INDEX(tblCleanData[Age],610)&lt;40,20,IF(INDEX(tblCleanData[Age],610)&lt;50,10,15)))</f>
        <v>10</v>
      </c>
      <c r="J618">
        <f>IF(INDEX(tblCleanData[MonthlyIncome],610)&lt;=$B$3,25,IF(INDEX(tblCleanData[MonthlyIncome],610)&lt;=$B$4,12,5))</f>
        <v>5</v>
      </c>
      <c r="K618">
        <f>IF(INDEX(tblCleanData[OverTime],610)="Yes",25,0)</f>
        <v>0</v>
      </c>
      <c r="L618">
        <f>(5-INDEX(tblCleanData[JobSatisfaction],610))*6.25</f>
        <v>25</v>
      </c>
      <c r="M618">
        <f>IF(INDEX(tblCleanData[YearsAtCompany],610)&lt;=2,25,IF(INDEX(tblCleanData[YearsAtCompany],610)&lt;=5,15,IF(INDEX(tblCleanData[YearsAtCompany],610)&lt;=10,8,3)))</f>
        <v>15</v>
      </c>
      <c r="N618">
        <f t="shared" si="18"/>
        <v>55</v>
      </c>
      <c r="O618" t="str">
        <f t="shared" si="19"/>
        <v>High Risk</v>
      </c>
    </row>
    <row r="619" spans="1:15" x14ac:dyDescent="0.25">
      <c r="A619">
        <f>INDEX(tblCleanData[EmployeeNumber],611)</f>
        <v>844</v>
      </c>
      <c r="B619" t="str">
        <f>IF(INDEX(tblCleanData[Age],611)&lt;30,"Under 30",IF(INDEX(tblCleanData[Age],611)&lt;40,"30-39",IF(INDEX(tblCleanData[Age],611)&lt;50,"40-49","50+")))</f>
        <v>Under 30</v>
      </c>
      <c r="C619" t="str">
        <f>IF(INDEX(tblCleanData[MonthlyIncome],611)&lt;=$B$3,"Low Income",IF(INDEX(tblCleanData[MonthlyIncome],611)&lt;=$B$4,"Medium Income","High Income"))</f>
        <v>High Income</v>
      </c>
      <c r="D619">
        <f>IF(INDEX(tblCleanData[Attrition],611)="Yes",1,0)</f>
        <v>0</v>
      </c>
      <c r="E619">
        <f>IF(INDEX(tblCleanData[OverTime],611)="Yes",1,0)</f>
        <v>1</v>
      </c>
      <c r="F619" t="str">
        <f>CHOOSE(INDEX(tblCleanData[Education],611),"Below College","College","Bachelor","Master","Doctor")</f>
        <v>Below College</v>
      </c>
      <c r="G619" t="str">
        <f>IF(INDEX(tblCleanData[YearsAtCompany],611)&lt;=2,"0-2 Years",IF(INDEX(tblCleanData[YearsAtCompany],611)&lt;=5,"3-5 Years",IF(INDEX(tblCleanData[YearsAtCompany],611)&lt;=10,"6-10 Years","10+ Years")))</f>
        <v>6-10 Years</v>
      </c>
      <c r="H619" t="str">
        <f>IF(INDEX(tblCleanData[WorkLifeBalance],611)&lt;=2,"Elevated","Normal")</f>
        <v>Normal</v>
      </c>
      <c r="I619">
        <f>IF(INDEX(tblCleanData[Age],611)&lt;30,30,IF(INDEX(tblCleanData[Age],611)&lt;40,20,IF(INDEX(tblCleanData[Age],611)&lt;50,10,15)))</f>
        <v>30</v>
      </c>
      <c r="J619">
        <f>IF(INDEX(tblCleanData[MonthlyIncome],611)&lt;=$B$3,25,IF(INDEX(tblCleanData[MonthlyIncome],611)&lt;=$B$4,12,5))</f>
        <v>5</v>
      </c>
      <c r="K619">
        <f>IF(INDEX(tblCleanData[OverTime],611)="Yes",25,0)</f>
        <v>25</v>
      </c>
      <c r="L619">
        <f>(5-INDEX(tblCleanData[JobSatisfaction],611))*6.25</f>
        <v>6.25</v>
      </c>
      <c r="M619">
        <f>IF(INDEX(tblCleanData[YearsAtCompany],611)&lt;=2,25,IF(INDEX(tblCleanData[YearsAtCompany],611)&lt;=5,15,IF(INDEX(tblCleanData[YearsAtCompany],611)&lt;=10,8,3)))</f>
        <v>8</v>
      </c>
      <c r="N619">
        <f t="shared" si="18"/>
        <v>74</v>
      </c>
      <c r="O619" t="str">
        <f t="shared" si="19"/>
        <v>High Risk</v>
      </c>
    </row>
    <row r="620" spans="1:15" x14ac:dyDescent="0.25">
      <c r="A620">
        <f>INDEX(tblCleanData[EmployeeNumber],612)</f>
        <v>845</v>
      </c>
      <c r="B620" t="str">
        <f>IF(INDEX(tblCleanData[Age],612)&lt;30,"Under 30",IF(INDEX(tblCleanData[Age],612)&lt;40,"30-39",IF(INDEX(tblCleanData[Age],612)&lt;50,"40-49","50+")))</f>
        <v>30-39</v>
      </c>
      <c r="C620" t="str">
        <f>IF(INDEX(tblCleanData[MonthlyIncome],612)&lt;=$B$3,"Low Income",IF(INDEX(tblCleanData[MonthlyIncome],612)&lt;=$B$4,"Medium Income","High Income"))</f>
        <v>High Income</v>
      </c>
      <c r="D620">
        <f>IF(INDEX(tblCleanData[Attrition],612)="Yes",1,0)</f>
        <v>0</v>
      </c>
      <c r="E620">
        <f>IF(INDEX(tblCleanData[OverTime],612)="Yes",1,0)</f>
        <v>0</v>
      </c>
      <c r="F620" t="str">
        <f>CHOOSE(INDEX(tblCleanData[Education],612),"Below College","College","Bachelor","Master","Doctor")</f>
        <v>Bachelor</v>
      </c>
      <c r="G620" t="str">
        <f>IF(INDEX(tblCleanData[YearsAtCompany],612)&lt;=2,"0-2 Years",IF(INDEX(tblCleanData[YearsAtCompany],612)&lt;=5,"3-5 Years",IF(INDEX(tblCleanData[YearsAtCompany],612)&lt;=10,"6-10 Years","10+ Years")))</f>
        <v>6-10 Years</v>
      </c>
      <c r="H620" t="str">
        <f>IF(INDEX(tblCleanData[WorkLifeBalance],612)&lt;=2,"Elevated","Normal")</f>
        <v>Normal</v>
      </c>
      <c r="I620">
        <f>IF(INDEX(tblCleanData[Age],612)&lt;30,30,IF(INDEX(tblCleanData[Age],612)&lt;40,20,IF(INDEX(tblCleanData[Age],612)&lt;50,10,15)))</f>
        <v>20</v>
      </c>
      <c r="J620">
        <f>IF(INDEX(tblCleanData[MonthlyIncome],612)&lt;=$B$3,25,IF(INDEX(tblCleanData[MonthlyIncome],612)&lt;=$B$4,12,5))</f>
        <v>5</v>
      </c>
      <c r="K620">
        <f>IF(INDEX(tblCleanData[OverTime],612)="Yes",25,0)</f>
        <v>0</v>
      </c>
      <c r="L620">
        <f>(5-INDEX(tblCleanData[JobSatisfaction],612))*6.25</f>
        <v>12.5</v>
      </c>
      <c r="M620">
        <f>IF(INDEX(tblCleanData[YearsAtCompany],612)&lt;=2,25,IF(INDEX(tblCleanData[YearsAtCompany],612)&lt;=5,15,IF(INDEX(tblCleanData[YearsAtCompany],612)&lt;=10,8,3)))</f>
        <v>8</v>
      </c>
      <c r="N620">
        <f t="shared" si="18"/>
        <v>46</v>
      </c>
      <c r="O620" t="str">
        <f t="shared" si="19"/>
        <v>Medium Risk</v>
      </c>
    </row>
    <row r="621" spans="1:15" x14ac:dyDescent="0.25">
      <c r="A621">
        <f>INDEX(tblCleanData[EmployeeNumber],613)</f>
        <v>846</v>
      </c>
      <c r="B621" t="str">
        <f>IF(INDEX(tblCleanData[Age],613)&lt;30,"Under 30",IF(INDEX(tblCleanData[Age],613)&lt;40,"30-39",IF(INDEX(tblCleanData[Age],613)&lt;50,"40-49","50+")))</f>
        <v>Under 30</v>
      </c>
      <c r="C621" t="str">
        <f>IF(INDEX(tblCleanData[MonthlyIncome],613)&lt;=$B$3,"Low Income",IF(INDEX(tblCleanData[MonthlyIncome],613)&lt;=$B$4,"Medium Income","High Income"))</f>
        <v>High Income</v>
      </c>
      <c r="D621">
        <f>IF(INDEX(tblCleanData[Attrition],613)="Yes",1,0)</f>
        <v>0</v>
      </c>
      <c r="E621">
        <f>IF(INDEX(tblCleanData[OverTime],613)="Yes",1,0)</f>
        <v>1</v>
      </c>
      <c r="F621" t="str">
        <f>CHOOSE(INDEX(tblCleanData[Education],613),"Below College","College","Bachelor","Master","Doctor")</f>
        <v>Master</v>
      </c>
      <c r="G621" t="str">
        <f>IF(INDEX(tblCleanData[YearsAtCompany],613)&lt;=2,"0-2 Years",IF(INDEX(tblCleanData[YearsAtCompany],613)&lt;=5,"3-5 Years",IF(INDEX(tblCleanData[YearsAtCompany],613)&lt;=10,"6-10 Years","10+ Years")))</f>
        <v>6-10 Years</v>
      </c>
      <c r="H621" t="str">
        <f>IF(INDEX(tblCleanData[WorkLifeBalance],613)&lt;=2,"Elevated","Normal")</f>
        <v>Normal</v>
      </c>
      <c r="I621">
        <f>IF(INDEX(tblCleanData[Age],613)&lt;30,30,IF(INDEX(tblCleanData[Age],613)&lt;40,20,IF(INDEX(tblCleanData[Age],613)&lt;50,10,15)))</f>
        <v>30</v>
      </c>
      <c r="J621">
        <f>IF(INDEX(tblCleanData[MonthlyIncome],613)&lt;=$B$3,25,IF(INDEX(tblCleanData[MonthlyIncome],613)&lt;=$B$4,12,5))</f>
        <v>5</v>
      </c>
      <c r="K621">
        <f>IF(INDEX(tblCleanData[OverTime],613)="Yes",25,0)</f>
        <v>25</v>
      </c>
      <c r="L621">
        <f>(5-INDEX(tblCleanData[JobSatisfaction],613))*6.25</f>
        <v>18.75</v>
      </c>
      <c r="M621">
        <f>IF(INDEX(tblCleanData[YearsAtCompany],613)&lt;=2,25,IF(INDEX(tblCleanData[YearsAtCompany],613)&lt;=5,15,IF(INDEX(tblCleanData[YearsAtCompany],613)&lt;=10,8,3)))</f>
        <v>8</v>
      </c>
      <c r="N621">
        <f t="shared" si="18"/>
        <v>87</v>
      </c>
      <c r="O621" t="str">
        <f t="shared" si="19"/>
        <v>High Risk</v>
      </c>
    </row>
    <row r="622" spans="1:15" x14ac:dyDescent="0.25">
      <c r="A622">
        <f>INDEX(tblCleanData[EmployeeNumber],614)</f>
        <v>847</v>
      </c>
      <c r="B622" t="str">
        <f>IF(INDEX(tblCleanData[Age],614)&lt;30,"Under 30",IF(INDEX(tblCleanData[Age],614)&lt;40,"30-39",IF(INDEX(tblCleanData[Age],614)&lt;50,"40-49","50+")))</f>
        <v>30-39</v>
      </c>
      <c r="C622" t="str">
        <f>IF(INDEX(tblCleanData[MonthlyIncome],614)&lt;=$B$3,"Low Income",IF(INDEX(tblCleanData[MonthlyIncome],614)&lt;=$B$4,"Medium Income","High Income"))</f>
        <v>High Income</v>
      </c>
      <c r="D622">
        <f>IF(INDEX(tblCleanData[Attrition],614)="Yes",1,0)</f>
        <v>0</v>
      </c>
      <c r="E622">
        <f>IF(INDEX(tblCleanData[OverTime],614)="Yes",1,0)</f>
        <v>0</v>
      </c>
      <c r="F622" t="str">
        <f>CHOOSE(INDEX(tblCleanData[Education],614),"Below College","College","Bachelor","Master","Doctor")</f>
        <v>College</v>
      </c>
      <c r="G622" t="str">
        <f>IF(INDEX(tblCleanData[YearsAtCompany],614)&lt;=2,"0-2 Years",IF(INDEX(tblCleanData[YearsAtCompany],614)&lt;=5,"3-5 Years",IF(INDEX(tblCleanData[YearsAtCompany],614)&lt;=10,"6-10 Years","10+ Years")))</f>
        <v>3-5 Years</v>
      </c>
      <c r="H622" t="str">
        <f>IF(INDEX(tblCleanData[WorkLifeBalance],614)&lt;=2,"Elevated","Normal")</f>
        <v>Elevated</v>
      </c>
      <c r="I622">
        <f>IF(INDEX(tblCleanData[Age],614)&lt;30,30,IF(INDEX(tblCleanData[Age],614)&lt;40,20,IF(INDEX(tblCleanData[Age],614)&lt;50,10,15)))</f>
        <v>20</v>
      </c>
      <c r="J622">
        <f>IF(INDEX(tblCleanData[MonthlyIncome],614)&lt;=$B$3,25,IF(INDEX(tblCleanData[MonthlyIncome],614)&lt;=$B$4,12,5))</f>
        <v>5</v>
      </c>
      <c r="K622">
        <f>IF(INDEX(tblCleanData[OverTime],614)="Yes",25,0)</f>
        <v>0</v>
      </c>
      <c r="L622">
        <f>(5-INDEX(tblCleanData[JobSatisfaction],614))*6.25</f>
        <v>6.25</v>
      </c>
      <c r="M622">
        <f>IF(INDEX(tblCleanData[YearsAtCompany],614)&lt;=2,25,IF(INDEX(tblCleanData[YearsAtCompany],614)&lt;=5,15,IF(INDEX(tblCleanData[YearsAtCompany],614)&lt;=10,8,3)))</f>
        <v>15</v>
      </c>
      <c r="N622">
        <f t="shared" si="18"/>
        <v>46</v>
      </c>
      <c r="O622" t="str">
        <f t="shared" si="19"/>
        <v>Medium Risk</v>
      </c>
    </row>
    <row r="623" spans="1:15" x14ac:dyDescent="0.25">
      <c r="A623">
        <f>INDEX(tblCleanData[EmployeeNumber],615)</f>
        <v>848</v>
      </c>
      <c r="B623" t="str">
        <f>IF(INDEX(tblCleanData[Age],615)&lt;30,"Under 30",IF(INDEX(tblCleanData[Age],615)&lt;40,"30-39",IF(INDEX(tblCleanData[Age],615)&lt;50,"40-49","50+")))</f>
        <v>Under 30</v>
      </c>
      <c r="C623" t="str">
        <f>IF(INDEX(tblCleanData[MonthlyIncome],615)&lt;=$B$3,"Low Income",IF(INDEX(tblCleanData[MonthlyIncome],615)&lt;=$B$4,"Medium Income","High Income"))</f>
        <v>High Income</v>
      </c>
      <c r="D623">
        <f>IF(INDEX(tblCleanData[Attrition],615)="Yes",1,0)</f>
        <v>1</v>
      </c>
      <c r="E623">
        <f>IF(INDEX(tblCleanData[OverTime],615)="Yes",1,0)</f>
        <v>1</v>
      </c>
      <c r="F623" t="str">
        <f>CHOOSE(INDEX(tblCleanData[Education],615),"Below College","College","Bachelor","Master","Doctor")</f>
        <v>College</v>
      </c>
      <c r="G623" t="str">
        <f>IF(INDEX(tblCleanData[YearsAtCompany],615)&lt;=2,"0-2 Years",IF(INDEX(tblCleanData[YearsAtCompany],615)&lt;=5,"3-5 Years",IF(INDEX(tblCleanData[YearsAtCompany],615)&lt;=10,"6-10 Years","10+ Years")))</f>
        <v>6-10 Years</v>
      </c>
      <c r="H623" t="str">
        <f>IF(INDEX(tblCleanData[WorkLifeBalance],615)&lt;=2,"Elevated","Normal")</f>
        <v>Normal</v>
      </c>
      <c r="I623">
        <f>IF(INDEX(tblCleanData[Age],615)&lt;30,30,IF(INDEX(tblCleanData[Age],615)&lt;40,20,IF(INDEX(tblCleanData[Age],615)&lt;50,10,15)))</f>
        <v>30</v>
      </c>
      <c r="J623">
        <f>IF(INDEX(tblCleanData[MonthlyIncome],615)&lt;=$B$3,25,IF(INDEX(tblCleanData[MonthlyIncome],615)&lt;=$B$4,12,5))</f>
        <v>5</v>
      </c>
      <c r="K623">
        <f>IF(INDEX(tblCleanData[OverTime],615)="Yes",25,0)</f>
        <v>25</v>
      </c>
      <c r="L623">
        <f>(5-INDEX(tblCleanData[JobSatisfaction],615))*6.25</f>
        <v>12.5</v>
      </c>
      <c r="M623">
        <f>IF(INDEX(tblCleanData[YearsAtCompany],615)&lt;=2,25,IF(INDEX(tblCleanData[YearsAtCompany],615)&lt;=5,15,IF(INDEX(tblCleanData[YearsAtCompany],615)&lt;=10,8,3)))</f>
        <v>8</v>
      </c>
      <c r="N623">
        <f t="shared" si="18"/>
        <v>81</v>
      </c>
      <c r="O623" t="str">
        <f t="shared" si="19"/>
        <v>High Risk</v>
      </c>
    </row>
    <row r="624" spans="1:15" x14ac:dyDescent="0.25">
      <c r="A624">
        <f>INDEX(tblCleanData[EmployeeNumber],616)</f>
        <v>850</v>
      </c>
      <c r="B624" t="str">
        <f>IF(INDEX(tblCleanData[Age],616)&lt;30,"Under 30",IF(INDEX(tblCleanData[Age],616)&lt;40,"30-39",IF(INDEX(tblCleanData[Age],616)&lt;50,"40-49","50+")))</f>
        <v>Under 30</v>
      </c>
      <c r="C624" t="str">
        <f>IF(INDEX(tblCleanData[MonthlyIncome],616)&lt;=$B$3,"Low Income",IF(INDEX(tblCleanData[MonthlyIncome],616)&lt;=$B$4,"Medium Income","High Income"))</f>
        <v>High Income</v>
      </c>
      <c r="D624">
        <f>IF(INDEX(tblCleanData[Attrition],616)="Yes",1,0)</f>
        <v>0</v>
      </c>
      <c r="E624">
        <f>IF(INDEX(tblCleanData[OverTime],616)="Yes",1,0)</f>
        <v>0</v>
      </c>
      <c r="F624" t="str">
        <f>CHOOSE(INDEX(tblCleanData[Education],616),"Below College","College","Bachelor","Master","Doctor")</f>
        <v>Bachelor</v>
      </c>
      <c r="G624" t="str">
        <f>IF(INDEX(tblCleanData[YearsAtCompany],616)&lt;=2,"0-2 Years",IF(INDEX(tblCleanData[YearsAtCompany],616)&lt;=5,"3-5 Years",IF(INDEX(tblCleanData[YearsAtCompany],616)&lt;=10,"6-10 Years","10+ Years")))</f>
        <v>0-2 Years</v>
      </c>
      <c r="H624" t="str">
        <f>IF(INDEX(tblCleanData[WorkLifeBalance],616)&lt;=2,"Elevated","Normal")</f>
        <v>Elevated</v>
      </c>
      <c r="I624">
        <f>IF(INDEX(tblCleanData[Age],616)&lt;30,30,IF(INDEX(tblCleanData[Age],616)&lt;40,20,IF(INDEX(tblCleanData[Age],616)&lt;50,10,15)))</f>
        <v>30</v>
      </c>
      <c r="J624">
        <f>IF(INDEX(tblCleanData[MonthlyIncome],616)&lt;=$B$3,25,IF(INDEX(tblCleanData[MonthlyIncome],616)&lt;=$B$4,12,5))</f>
        <v>5</v>
      </c>
      <c r="K624">
        <f>IF(INDEX(tblCleanData[OverTime],616)="Yes",25,0)</f>
        <v>0</v>
      </c>
      <c r="L624">
        <f>(5-INDEX(tblCleanData[JobSatisfaction],616))*6.25</f>
        <v>6.25</v>
      </c>
      <c r="M624">
        <f>IF(INDEX(tblCleanData[YearsAtCompany],616)&lt;=2,25,IF(INDEX(tblCleanData[YearsAtCompany],616)&lt;=5,15,IF(INDEX(tblCleanData[YearsAtCompany],616)&lt;=10,8,3)))</f>
        <v>25</v>
      </c>
      <c r="N624">
        <f t="shared" si="18"/>
        <v>66</v>
      </c>
      <c r="O624" t="str">
        <f t="shared" si="19"/>
        <v>High Risk</v>
      </c>
    </row>
    <row r="625" spans="1:15" x14ac:dyDescent="0.25">
      <c r="A625">
        <f>INDEX(tblCleanData[EmployeeNumber],617)</f>
        <v>851</v>
      </c>
      <c r="B625" t="str">
        <f>IF(INDEX(tblCleanData[Age],617)&lt;30,"Under 30",IF(INDEX(tblCleanData[Age],617)&lt;40,"30-39",IF(INDEX(tblCleanData[Age],617)&lt;50,"40-49","50+")))</f>
        <v>50+</v>
      </c>
      <c r="C625" t="str">
        <f>IF(INDEX(tblCleanData[MonthlyIncome],617)&lt;=$B$3,"Low Income",IF(INDEX(tblCleanData[MonthlyIncome],617)&lt;=$B$4,"Medium Income","High Income"))</f>
        <v>High Income</v>
      </c>
      <c r="D625">
        <f>IF(INDEX(tblCleanData[Attrition],617)="Yes",1,0)</f>
        <v>0</v>
      </c>
      <c r="E625">
        <f>IF(INDEX(tblCleanData[OverTime],617)="Yes",1,0)</f>
        <v>0</v>
      </c>
      <c r="F625" t="str">
        <f>CHOOSE(INDEX(tblCleanData[Education],617),"Below College","College","Bachelor","Master","Doctor")</f>
        <v>Master</v>
      </c>
      <c r="G625" t="str">
        <f>IF(INDEX(tblCleanData[YearsAtCompany],617)&lt;=2,"0-2 Years",IF(INDEX(tblCleanData[YearsAtCompany],617)&lt;=5,"3-5 Years",IF(INDEX(tblCleanData[YearsAtCompany],617)&lt;=10,"6-10 Years","10+ Years")))</f>
        <v>10+ Years</v>
      </c>
      <c r="H625" t="str">
        <f>IF(INDEX(tblCleanData[WorkLifeBalance],617)&lt;=2,"Elevated","Normal")</f>
        <v>Elevated</v>
      </c>
      <c r="I625">
        <f>IF(INDEX(tblCleanData[Age],617)&lt;30,30,IF(INDEX(tblCleanData[Age],617)&lt;40,20,IF(INDEX(tblCleanData[Age],617)&lt;50,10,15)))</f>
        <v>15</v>
      </c>
      <c r="J625">
        <f>IF(INDEX(tblCleanData[MonthlyIncome],617)&lt;=$B$3,25,IF(INDEX(tblCleanData[MonthlyIncome],617)&lt;=$B$4,12,5))</f>
        <v>5</v>
      </c>
      <c r="K625">
        <f>IF(INDEX(tblCleanData[OverTime],617)="Yes",25,0)</f>
        <v>0</v>
      </c>
      <c r="L625">
        <f>(5-INDEX(tblCleanData[JobSatisfaction],617))*6.25</f>
        <v>12.5</v>
      </c>
      <c r="M625">
        <f>IF(INDEX(tblCleanData[YearsAtCompany],617)&lt;=2,25,IF(INDEX(tblCleanData[YearsAtCompany],617)&lt;=5,15,IF(INDEX(tblCleanData[YearsAtCompany],617)&lt;=10,8,3)))</f>
        <v>3</v>
      </c>
      <c r="N625">
        <f t="shared" si="18"/>
        <v>36</v>
      </c>
      <c r="O625" t="str">
        <f t="shared" si="19"/>
        <v>Medium Risk</v>
      </c>
    </row>
    <row r="626" spans="1:15" x14ac:dyDescent="0.25">
      <c r="A626">
        <f>INDEX(tblCleanData[EmployeeNumber],618)</f>
        <v>852</v>
      </c>
      <c r="B626" t="str">
        <f>IF(INDEX(tblCleanData[Age],618)&lt;30,"Under 30",IF(INDEX(tblCleanData[Age],618)&lt;40,"30-39",IF(INDEX(tblCleanData[Age],618)&lt;50,"40-49","50+")))</f>
        <v>40-49</v>
      </c>
      <c r="C626" t="str">
        <f>IF(INDEX(tblCleanData[MonthlyIncome],618)&lt;=$B$3,"Low Income",IF(INDEX(tblCleanData[MonthlyIncome],618)&lt;=$B$4,"Medium Income","High Income"))</f>
        <v>High Income</v>
      </c>
      <c r="D626">
        <f>IF(INDEX(tblCleanData[Attrition],618)="Yes",1,0)</f>
        <v>0</v>
      </c>
      <c r="E626">
        <f>IF(INDEX(tblCleanData[OverTime],618)="Yes",1,0)</f>
        <v>0</v>
      </c>
      <c r="F626" t="str">
        <f>CHOOSE(INDEX(tblCleanData[Education],618),"Below College","College","Bachelor","Master","Doctor")</f>
        <v>Bachelor</v>
      </c>
      <c r="G626" t="str">
        <f>IF(INDEX(tblCleanData[YearsAtCompany],618)&lt;=2,"0-2 Years",IF(INDEX(tblCleanData[YearsAtCompany],618)&lt;=5,"3-5 Years",IF(INDEX(tblCleanData[YearsAtCompany],618)&lt;=10,"6-10 Years","10+ Years")))</f>
        <v>3-5 Years</v>
      </c>
      <c r="H626" t="str">
        <f>IF(INDEX(tblCleanData[WorkLifeBalance],618)&lt;=2,"Elevated","Normal")</f>
        <v>Elevated</v>
      </c>
      <c r="I626">
        <f>IF(INDEX(tblCleanData[Age],618)&lt;30,30,IF(INDEX(tblCleanData[Age],618)&lt;40,20,IF(INDEX(tblCleanData[Age],618)&lt;50,10,15)))</f>
        <v>10</v>
      </c>
      <c r="J626">
        <f>IF(INDEX(tblCleanData[MonthlyIncome],618)&lt;=$B$3,25,IF(INDEX(tblCleanData[MonthlyIncome],618)&lt;=$B$4,12,5))</f>
        <v>5</v>
      </c>
      <c r="K626">
        <f>IF(INDEX(tblCleanData[OverTime],618)="Yes",25,0)</f>
        <v>0</v>
      </c>
      <c r="L626">
        <f>(5-INDEX(tblCleanData[JobSatisfaction],618))*6.25</f>
        <v>18.75</v>
      </c>
      <c r="M626">
        <f>IF(INDEX(tblCleanData[YearsAtCompany],618)&lt;=2,25,IF(INDEX(tblCleanData[YearsAtCompany],618)&lt;=5,15,IF(INDEX(tblCleanData[YearsAtCompany],618)&lt;=10,8,3)))</f>
        <v>15</v>
      </c>
      <c r="N626">
        <f t="shared" si="18"/>
        <v>49</v>
      </c>
      <c r="O626" t="str">
        <f t="shared" si="19"/>
        <v>Medium Risk</v>
      </c>
    </row>
    <row r="627" spans="1:15" x14ac:dyDescent="0.25">
      <c r="A627">
        <f>INDEX(tblCleanData[EmployeeNumber],619)</f>
        <v>854</v>
      </c>
      <c r="B627" t="str">
        <f>IF(INDEX(tblCleanData[Age],619)&lt;30,"Under 30",IF(INDEX(tblCleanData[Age],619)&lt;40,"30-39",IF(INDEX(tblCleanData[Age],619)&lt;50,"40-49","50+")))</f>
        <v>Under 30</v>
      </c>
      <c r="C627" t="str">
        <f>IF(INDEX(tblCleanData[MonthlyIncome],619)&lt;=$B$3,"Low Income",IF(INDEX(tblCleanData[MonthlyIncome],619)&lt;=$B$4,"Medium Income","High Income"))</f>
        <v>High Income</v>
      </c>
      <c r="D627">
        <f>IF(INDEX(tblCleanData[Attrition],619)="Yes",1,0)</f>
        <v>0</v>
      </c>
      <c r="E627">
        <f>IF(INDEX(tblCleanData[OverTime],619)="Yes",1,0)</f>
        <v>0</v>
      </c>
      <c r="F627" t="str">
        <f>CHOOSE(INDEX(tblCleanData[Education],619),"Below College","College","Bachelor","Master","Doctor")</f>
        <v>Below College</v>
      </c>
      <c r="G627" t="str">
        <f>IF(INDEX(tblCleanData[YearsAtCompany],619)&lt;=2,"0-2 Years",IF(INDEX(tblCleanData[YearsAtCompany],619)&lt;=5,"3-5 Years",IF(INDEX(tblCleanData[YearsAtCompany],619)&lt;=10,"6-10 Years","10+ Years")))</f>
        <v>3-5 Years</v>
      </c>
      <c r="H627" t="str">
        <f>IF(INDEX(tblCleanData[WorkLifeBalance],619)&lt;=2,"Elevated","Normal")</f>
        <v>Elevated</v>
      </c>
      <c r="I627">
        <f>IF(INDEX(tblCleanData[Age],619)&lt;30,30,IF(INDEX(tblCleanData[Age],619)&lt;40,20,IF(INDEX(tblCleanData[Age],619)&lt;50,10,15)))</f>
        <v>30</v>
      </c>
      <c r="J627">
        <f>IF(INDEX(tblCleanData[MonthlyIncome],619)&lt;=$B$3,25,IF(INDEX(tblCleanData[MonthlyIncome],619)&lt;=$B$4,12,5))</f>
        <v>5</v>
      </c>
      <c r="K627">
        <f>IF(INDEX(tblCleanData[OverTime],619)="Yes",25,0)</f>
        <v>0</v>
      </c>
      <c r="L627">
        <f>(5-INDEX(tblCleanData[JobSatisfaction],619))*6.25</f>
        <v>25</v>
      </c>
      <c r="M627">
        <f>IF(INDEX(tblCleanData[YearsAtCompany],619)&lt;=2,25,IF(INDEX(tblCleanData[YearsAtCompany],619)&lt;=5,15,IF(INDEX(tblCleanData[YearsAtCompany],619)&lt;=10,8,3)))</f>
        <v>15</v>
      </c>
      <c r="N627">
        <f t="shared" si="18"/>
        <v>75</v>
      </c>
      <c r="O627" t="str">
        <f t="shared" si="19"/>
        <v>High Risk</v>
      </c>
    </row>
    <row r="628" spans="1:15" x14ac:dyDescent="0.25">
      <c r="A628">
        <f>INDEX(tblCleanData[EmployeeNumber],620)</f>
        <v>855</v>
      </c>
      <c r="B628" t="str">
        <f>IF(INDEX(tblCleanData[Age],620)&lt;30,"Under 30",IF(INDEX(tblCleanData[Age],620)&lt;40,"30-39",IF(INDEX(tblCleanData[Age],620)&lt;50,"40-49","50+")))</f>
        <v>30-39</v>
      </c>
      <c r="C628" t="str">
        <f>IF(INDEX(tblCleanData[MonthlyIncome],620)&lt;=$B$3,"Low Income",IF(INDEX(tblCleanData[MonthlyIncome],620)&lt;=$B$4,"Medium Income","High Income"))</f>
        <v>High Income</v>
      </c>
      <c r="D628">
        <f>IF(INDEX(tblCleanData[Attrition],620)="Yes",1,0)</f>
        <v>0</v>
      </c>
      <c r="E628">
        <f>IF(INDEX(tblCleanData[OverTime],620)="Yes",1,0)</f>
        <v>0</v>
      </c>
      <c r="F628" t="str">
        <f>CHOOSE(INDEX(tblCleanData[Education],620),"Below College","College","Bachelor","Master","Doctor")</f>
        <v>Bachelor</v>
      </c>
      <c r="G628" t="str">
        <f>IF(INDEX(tblCleanData[YearsAtCompany],620)&lt;=2,"0-2 Years",IF(INDEX(tblCleanData[YearsAtCompany],620)&lt;=5,"3-5 Years",IF(INDEX(tblCleanData[YearsAtCompany],620)&lt;=10,"6-10 Years","10+ Years")))</f>
        <v>6-10 Years</v>
      </c>
      <c r="H628" t="str">
        <f>IF(INDEX(tblCleanData[WorkLifeBalance],620)&lt;=2,"Elevated","Normal")</f>
        <v>Normal</v>
      </c>
      <c r="I628">
        <f>IF(INDEX(tblCleanData[Age],620)&lt;30,30,IF(INDEX(tblCleanData[Age],620)&lt;40,20,IF(INDEX(tblCleanData[Age],620)&lt;50,10,15)))</f>
        <v>20</v>
      </c>
      <c r="J628">
        <f>IF(INDEX(tblCleanData[MonthlyIncome],620)&lt;=$B$3,25,IF(INDEX(tblCleanData[MonthlyIncome],620)&lt;=$B$4,12,5))</f>
        <v>5</v>
      </c>
      <c r="K628">
        <f>IF(INDEX(tblCleanData[OverTime],620)="Yes",25,0)</f>
        <v>0</v>
      </c>
      <c r="L628">
        <f>(5-INDEX(tblCleanData[JobSatisfaction],620))*6.25</f>
        <v>25</v>
      </c>
      <c r="M628">
        <f>IF(INDEX(tblCleanData[YearsAtCompany],620)&lt;=2,25,IF(INDEX(tblCleanData[YearsAtCompany],620)&lt;=5,15,IF(INDEX(tblCleanData[YearsAtCompany],620)&lt;=10,8,3)))</f>
        <v>8</v>
      </c>
      <c r="N628">
        <f t="shared" si="18"/>
        <v>58</v>
      </c>
      <c r="O628" t="str">
        <f t="shared" si="19"/>
        <v>High Risk</v>
      </c>
    </row>
    <row r="629" spans="1:15" x14ac:dyDescent="0.25">
      <c r="A629">
        <f>INDEX(tblCleanData[EmployeeNumber],621)</f>
        <v>856</v>
      </c>
      <c r="B629" t="str">
        <f>IF(INDEX(tblCleanData[Age],621)&lt;30,"Under 30",IF(INDEX(tblCleanData[Age],621)&lt;40,"30-39",IF(INDEX(tblCleanData[Age],621)&lt;50,"40-49","50+")))</f>
        <v>30-39</v>
      </c>
      <c r="C629" t="str">
        <f>IF(INDEX(tblCleanData[MonthlyIncome],621)&lt;=$B$3,"Low Income",IF(INDEX(tblCleanData[MonthlyIncome],621)&lt;=$B$4,"Medium Income","High Income"))</f>
        <v>High Income</v>
      </c>
      <c r="D629">
        <f>IF(INDEX(tblCleanData[Attrition],621)="Yes",1,0)</f>
        <v>0</v>
      </c>
      <c r="E629">
        <f>IF(INDEX(tblCleanData[OverTime],621)="Yes",1,0)</f>
        <v>0</v>
      </c>
      <c r="F629" t="str">
        <f>CHOOSE(INDEX(tblCleanData[Education],621),"Below College","College","Bachelor","Master","Doctor")</f>
        <v>Below College</v>
      </c>
      <c r="G629" t="str">
        <f>IF(INDEX(tblCleanData[YearsAtCompany],621)&lt;=2,"0-2 Years",IF(INDEX(tblCleanData[YearsAtCompany],621)&lt;=5,"3-5 Years",IF(INDEX(tblCleanData[YearsAtCompany],621)&lt;=10,"6-10 Years","10+ Years")))</f>
        <v>6-10 Years</v>
      </c>
      <c r="H629" t="str">
        <f>IF(INDEX(tblCleanData[WorkLifeBalance],621)&lt;=2,"Elevated","Normal")</f>
        <v>Elevated</v>
      </c>
      <c r="I629">
        <f>IF(INDEX(tblCleanData[Age],621)&lt;30,30,IF(INDEX(tblCleanData[Age],621)&lt;40,20,IF(INDEX(tblCleanData[Age],621)&lt;50,10,15)))</f>
        <v>20</v>
      </c>
      <c r="J629">
        <f>IF(INDEX(tblCleanData[MonthlyIncome],621)&lt;=$B$3,25,IF(INDEX(tblCleanData[MonthlyIncome],621)&lt;=$B$4,12,5))</f>
        <v>5</v>
      </c>
      <c r="K629">
        <f>IF(INDEX(tblCleanData[OverTime],621)="Yes",25,0)</f>
        <v>0</v>
      </c>
      <c r="L629">
        <f>(5-INDEX(tblCleanData[JobSatisfaction],621))*6.25</f>
        <v>25</v>
      </c>
      <c r="M629">
        <f>IF(INDEX(tblCleanData[YearsAtCompany],621)&lt;=2,25,IF(INDEX(tblCleanData[YearsAtCompany],621)&lt;=5,15,IF(INDEX(tblCleanData[YearsAtCompany],621)&lt;=10,8,3)))</f>
        <v>8</v>
      </c>
      <c r="N629">
        <f t="shared" si="18"/>
        <v>58</v>
      </c>
      <c r="O629" t="str">
        <f t="shared" si="19"/>
        <v>High Risk</v>
      </c>
    </row>
    <row r="630" spans="1:15" x14ac:dyDescent="0.25">
      <c r="A630">
        <f>INDEX(tblCleanData[EmployeeNumber],622)</f>
        <v>857</v>
      </c>
      <c r="B630" t="str">
        <f>IF(INDEX(tblCleanData[Age],622)&lt;30,"Under 30",IF(INDEX(tblCleanData[Age],622)&lt;40,"30-39",IF(INDEX(tblCleanData[Age],622)&lt;50,"40-49","50+")))</f>
        <v>30-39</v>
      </c>
      <c r="C630" t="str">
        <f>IF(INDEX(tblCleanData[MonthlyIncome],622)&lt;=$B$3,"Low Income",IF(INDEX(tblCleanData[MonthlyIncome],622)&lt;=$B$4,"Medium Income","High Income"))</f>
        <v>High Income</v>
      </c>
      <c r="D630">
        <f>IF(INDEX(tblCleanData[Attrition],622)="Yes",1,0)</f>
        <v>0</v>
      </c>
      <c r="E630">
        <f>IF(INDEX(tblCleanData[OverTime],622)="Yes",1,0)</f>
        <v>1</v>
      </c>
      <c r="F630" t="str">
        <f>CHOOSE(INDEX(tblCleanData[Education],622),"Below College","College","Bachelor","Master","Doctor")</f>
        <v>College</v>
      </c>
      <c r="G630" t="str">
        <f>IF(INDEX(tblCleanData[YearsAtCompany],622)&lt;=2,"0-2 Years",IF(INDEX(tblCleanData[YearsAtCompany],622)&lt;=5,"3-5 Years",IF(INDEX(tblCleanData[YearsAtCompany],622)&lt;=10,"6-10 Years","10+ Years")))</f>
        <v>10+ Years</v>
      </c>
      <c r="H630" t="str">
        <f>IF(INDEX(tblCleanData[WorkLifeBalance],622)&lt;=2,"Elevated","Normal")</f>
        <v>Elevated</v>
      </c>
      <c r="I630">
        <f>IF(INDEX(tblCleanData[Age],622)&lt;30,30,IF(INDEX(tblCleanData[Age],622)&lt;40,20,IF(INDEX(tblCleanData[Age],622)&lt;50,10,15)))</f>
        <v>20</v>
      </c>
      <c r="J630">
        <f>IF(INDEX(tblCleanData[MonthlyIncome],622)&lt;=$B$3,25,IF(INDEX(tblCleanData[MonthlyIncome],622)&lt;=$B$4,12,5))</f>
        <v>5</v>
      </c>
      <c r="K630">
        <f>IF(INDEX(tblCleanData[OverTime],622)="Yes",25,0)</f>
        <v>25</v>
      </c>
      <c r="L630">
        <f>(5-INDEX(tblCleanData[JobSatisfaction],622))*6.25</f>
        <v>6.25</v>
      </c>
      <c r="M630">
        <f>IF(INDEX(tblCleanData[YearsAtCompany],622)&lt;=2,25,IF(INDEX(tblCleanData[YearsAtCompany],622)&lt;=5,15,IF(INDEX(tblCleanData[YearsAtCompany],622)&lt;=10,8,3)))</f>
        <v>3</v>
      </c>
      <c r="N630">
        <f t="shared" si="18"/>
        <v>59</v>
      </c>
      <c r="O630" t="str">
        <f t="shared" si="19"/>
        <v>High Risk</v>
      </c>
    </row>
    <row r="631" spans="1:15" x14ac:dyDescent="0.25">
      <c r="A631">
        <f>INDEX(tblCleanData[EmployeeNumber],623)</f>
        <v>859</v>
      </c>
      <c r="B631" t="str">
        <f>IF(INDEX(tblCleanData[Age],623)&lt;30,"Under 30",IF(INDEX(tblCleanData[Age],623)&lt;40,"30-39",IF(INDEX(tblCleanData[Age],623)&lt;50,"40-49","50+")))</f>
        <v>30-39</v>
      </c>
      <c r="C631" t="str">
        <f>IF(INDEX(tblCleanData[MonthlyIncome],623)&lt;=$B$3,"Low Income",IF(INDEX(tblCleanData[MonthlyIncome],623)&lt;=$B$4,"Medium Income","High Income"))</f>
        <v>High Income</v>
      </c>
      <c r="D631">
        <f>IF(INDEX(tblCleanData[Attrition],623)="Yes",1,0)</f>
        <v>0</v>
      </c>
      <c r="E631">
        <f>IF(INDEX(tblCleanData[OverTime],623)="Yes",1,0)</f>
        <v>0</v>
      </c>
      <c r="F631" t="str">
        <f>CHOOSE(INDEX(tblCleanData[Education],623),"Below College","College","Bachelor","Master","Doctor")</f>
        <v>Master</v>
      </c>
      <c r="G631" t="str">
        <f>IF(INDEX(tblCleanData[YearsAtCompany],623)&lt;=2,"0-2 Years",IF(INDEX(tblCleanData[YearsAtCompany],623)&lt;=5,"3-5 Years",IF(INDEX(tblCleanData[YearsAtCompany],623)&lt;=10,"6-10 Years","10+ Years")))</f>
        <v>3-5 Years</v>
      </c>
      <c r="H631" t="str">
        <f>IF(INDEX(tblCleanData[WorkLifeBalance],623)&lt;=2,"Elevated","Normal")</f>
        <v>Elevated</v>
      </c>
      <c r="I631">
        <f>IF(INDEX(tblCleanData[Age],623)&lt;30,30,IF(INDEX(tblCleanData[Age],623)&lt;40,20,IF(INDEX(tblCleanData[Age],623)&lt;50,10,15)))</f>
        <v>20</v>
      </c>
      <c r="J631">
        <f>IF(INDEX(tblCleanData[MonthlyIncome],623)&lt;=$B$3,25,IF(INDEX(tblCleanData[MonthlyIncome],623)&lt;=$B$4,12,5))</f>
        <v>5</v>
      </c>
      <c r="K631">
        <f>IF(INDEX(tblCleanData[OverTime],623)="Yes",25,0)</f>
        <v>0</v>
      </c>
      <c r="L631">
        <f>(5-INDEX(tblCleanData[JobSatisfaction],623))*6.25</f>
        <v>6.25</v>
      </c>
      <c r="M631">
        <f>IF(INDEX(tblCleanData[YearsAtCompany],623)&lt;=2,25,IF(INDEX(tblCleanData[YearsAtCompany],623)&lt;=5,15,IF(INDEX(tblCleanData[YearsAtCompany],623)&lt;=10,8,3)))</f>
        <v>15</v>
      </c>
      <c r="N631">
        <f t="shared" si="18"/>
        <v>46</v>
      </c>
      <c r="O631" t="str">
        <f t="shared" si="19"/>
        <v>Medium Risk</v>
      </c>
    </row>
    <row r="632" spans="1:15" x14ac:dyDescent="0.25">
      <c r="A632">
        <f>INDEX(tblCleanData[EmployeeNumber],624)</f>
        <v>861</v>
      </c>
      <c r="B632" t="str">
        <f>IF(INDEX(tblCleanData[Age],624)&lt;30,"Under 30",IF(INDEX(tblCleanData[Age],624)&lt;40,"30-39",IF(INDEX(tblCleanData[Age],624)&lt;50,"40-49","50+")))</f>
        <v>30-39</v>
      </c>
      <c r="C632" t="str">
        <f>IF(INDEX(tblCleanData[MonthlyIncome],624)&lt;=$B$3,"Low Income",IF(INDEX(tblCleanData[MonthlyIncome],624)&lt;=$B$4,"Medium Income","High Income"))</f>
        <v>High Income</v>
      </c>
      <c r="D632">
        <f>IF(INDEX(tblCleanData[Attrition],624)="Yes",1,0)</f>
        <v>0</v>
      </c>
      <c r="E632">
        <f>IF(INDEX(tblCleanData[OverTime],624)="Yes",1,0)</f>
        <v>0</v>
      </c>
      <c r="F632" t="str">
        <f>CHOOSE(INDEX(tblCleanData[Education],624),"Below College","College","Bachelor","Master","Doctor")</f>
        <v>Master</v>
      </c>
      <c r="G632" t="str">
        <f>IF(INDEX(tblCleanData[YearsAtCompany],624)&lt;=2,"0-2 Years",IF(INDEX(tblCleanData[YearsAtCompany],624)&lt;=5,"3-5 Years",IF(INDEX(tblCleanData[YearsAtCompany],624)&lt;=10,"6-10 Years","10+ Years")))</f>
        <v>3-5 Years</v>
      </c>
      <c r="H632" t="str">
        <f>IF(INDEX(tblCleanData[WorkLifeBalance],624)&lt;=2,"Elevated","Normal")</f>
        <v>Elevated</v>
      </c>
      <c r="I632">
        <f>IF(INDEX(tblCleanData[Age],624)&lt;30,30,IF(INDEX(tblCleanData[Age],624)&lt;40,20,IF(INDEX(tblCleanData[Age],624)&lt;50,10,15)))</f>
        <v>20</v>
      </c>
      <c r="J632">
        <f>IF(INDEX(tblCleanData[MonthlyIncome],624)&lt;=$B$3,25,IF(INDEX(tblCleanData[MonthlyIncome],624)&lt;=$B$4,12,5))</f>
        <v>5</v>
      </c>
      <c r="K632">
        <f>IF(INDEX(tblCleanData[OverTime],624)="Yes",25,0)</f>
        <v>0</v>
      </c>
      <c r="L632">
        <f>(5-INDEX(tblCleanData[JobSatisfaction],624))*6.25</f>
        <v>6.25</v>
      </c>
      <c r="M632">
        <f>IF(INDEX(tblCleanData[YearsAtCompany],624)&lt;=2,25,IF(INDEX(tblCleanData[YearsAtCompany],624)&lt;=5,15,IF(INDEX(tblCleanData[YearsAtCompany],624)&lt;=10,8,3)))</f>
        <v>15</v>
      </c>
      <c r="N632">
        <f t="shared" si="18"/>
        <v>46</v>
      </c>
      <c r="O632" t="str">
        <f t="shared" si="19"/>
        <v>Medium Risk</v>
      </c>
    </row>
    <row r="633" spans="1:15" x14ac:dyDescent="0.25">
      <c r="A633">
        <f>INDEX(tblCleanData[EmployeeNumber],625)</f>
        <v>862</v>
      </c>
      <c r="B633" t="str">
        <f>IF(INDEX(tblCleanData[Age],625)&lt;30,"Under 30",IF(INDEX(tblCleanData[Age],625)&lt;40,"30-39",IF(INDEX(tblCleanData[Age],625)&lt;50,"40-49","50+")))</f>
        <v>50+</v>
      </c>
      <c r="C633" t="str">
        <f>IF(INDEX(tblCleanData[MonthlyIncome],625)&lt;=$B$3,"Low Income",IF(INDEX(tblCleanData[MonthlyIncome],625)&lt;=$B$4,"Medium Income","High Income"))</f>
        <v>High Income</v>
      </c>
      <c r="D633">
        <f>IF(INDEX(tblCleanData[Attrition],625)="Yes",1,0)</f>
        <v>0</v>
      </c>
      <c r="E633">
        <f>IF(INDEX(tblCleanData[OverTime],625)="Yes",1,0)</f>
        <v>1</v>
      </c>
      <c r="F633" t="str">
        <f>CHOOSE(INDEX(tblCleanData[Education],625),"Below College","College","Bachelor","Master","Doctor")</f>
        <v>College</v>
      </c>
      <c r="G633" t="str">
        <f>IF(INDEX(tblCleanData[YearsAtCompany],625)&lt;=2,"0-2 Years",IF(INDEX(tblCleanData[YearsAtCompany],625)&lt;=5,"3-5 Years",IF(INDEX(tblCleanData[YearsAtCompany],625)&lt;=10,"6-10 Years","10+ Years")))</f>
        <v>3-5 Years</v>
      </c>
      <c r="H633" t="str">
        <f>IF(INDEX(tblCleanData[WorkLifeBalance],625)&lt;=2,"Elevated","Normal")</f>
        <v>Normal</v>
      </c>
      <c r="I633">
        <f>IF(INDEX(tblCleanData[Age],625)&lt;30,30,IF(INDEX(tblCleanData[Age],625)&lt;40,20,IF(INDEX(tblCleanData[Age],625)&lt;50,10,15)))</f>
        <v>15</v>
      </c>
      <c r="J633">
        <f>IF(INDEX(tblCleanData[MonthlyIncome],625)&lt;=$B$3,25,IF(INDEX(tblCleanData[MonthlyIncome],625)&lt;=$B$4,12,5))</f>
        <v>5</v>
      </c>
      <c r="K633">
        <f>IF(INDEX(tblCleanData[OverTime],625)="Yes",25,0)</f>
        <v>25</v>
      </c>
      <c r="L633">
        <f>(5-INDEX(tblCleanData[JobSatisfaction],625))*6.25</f>
        <v>6.25</v>
      </c>
      <c r="M633">
        <f>IF(INDEX(tblCleanData[YearsAtCompany],625)&lt;=2,25,IF(INDEX(tblCleanData[YearsAtCompany],625)&lt;=5,15,IF(INDEX(tblCleanData[YearsAtCompany],625)&lt;=10,8,3)))</f>
        <v>15</v>
      </c>
      <c r="N633">
        <f t="shared" si="18"/>
        <v>66</v>
      </c>
      <c r="O633" t="str">
        <f t="shared" si="19"/>
        <v>High Risk</v>
      </c>
    </row>
    <row r="634" spans="1:15" x14ac:dyDescent="0.25">
      <c r="A634">
        <f>INDEX(tblCleanData[EmployeeNumber],626)</f>
        <v>864</v>
      </c>
      <c r="B634" t="str">
        <f>IF(INDEX(tblCleanData[Age],626)&lt;30,"Under 30",IF(INDEX(tblCleanData[Age],626)&lt;40,"30-39",IF(INDEX(tblCleanData[Age],626)&lt;50,"40-49","50+")))</f>
        <v>40-49</v>
      </c>
      <c r="C634" t="str">
        <f>IF(INDEX(tblCleanData[MonthlyIncome],626)&lt;=$B$3,"Low Income",IF(INDEX(tblCleanData[MonthlyIncome],626)&lt;=$B$4,"Medium Income","High Income"))</f>
        <v>High Income</v>
      </c>
      <c r="D634">
        <f>IF(INDEX(tblCleanData[Attrition],626)="Yes",1,0)</f>
        <v>0</v>
      </c>
      <c r="E634">
        <f>IF(INDEX(tblCleanData[OverTime],626)="Yes",1,0)</f>
        <v>1</v>
      </c>
      <c r="F634" t="str">
        <f>CHOOSE(INDEX(tblCleanData[Education],626),"Below College","College","Bachelor","Master","Doctor")</f>
        <v>Bachelor</v>
      </c>
      <c r="G634" t="str">
        <f>IF(INDEX(tblCleanData[YearsAtCompany],626)&lt;=2,"0-2 Years",IF(INDEX(tblCleanData[YearsAtCompany],626)&lt;=5,"3-5 Years",IF(INDEX(tblCleanData[YearsAtCompany],626)&lt;=10,"6-10 Years","10+ Years")))</f>
        <v>3-5 Years</v>
      </c>
      <c r="H634" t="str">
        <f>IF(INDEX(tblCleanData[WorkLifeBalance],626)&lt;=2,"Elevated","Normal")</f>
        <v>Normal</v>
      </c>
      <c r="I634">
        <f>IF(INDEX(tblCleanData[Age],626)&lt;30,30,IF(INDEX(tblCleanData[Age],626)&lt;40,20,IF(INDEX(tblCleanData[Age],626)&lt;50,10,15)))</f>
        <v>10</v>
      </c>
      <c r="J634">
        <f>IF(INDEX(tblCleanData[MonthlyIncome],626)&lt;=$B$3,25,IF(INDEX(tblCleanData[MonthlyIncome],626)&lt;=$B$4,12,5))</f>
        <v>5</v>
      </c>
      <c r="K634">
        <f>IF(INDEX(tblCleanData[OverTime],626)="Yes",25,0)</f>
        <v>25</v>
      </c>
      <c r="L634">
        <f>(5-INDEX(tblCleanData[JobSatisfaction],626))*6.25</f>
        <v>25</v>
      </c>
      <c r="M634">
        <f>IF(INDEX(tblCleanData[YearsAtCompany],626)&lt;=2,25,IF(INDEX(tblCleanData[YearsAtCompany],626)&lt;=5,15,IF(INDEX(tblCleanData[YearsAtCompany],626)&lt;=10,8,3)))</f>
        <v>15</v>
      </c>
      <c r="N634">
        <f t="shared" si="18"/>
        <v>80</v>
      </c>
      <c r="O634" t="str">
        <f t="shared" si="19"/>
        <v>High Risk</v>
      </c>
    </row>
    <row r="635" spans="1:15" x14ac:dyDescent="0.25">
      <c r="A635">
        <f>INDEX(tblCleanData[EmployeeNumber],627)</f>
        <v>865</v>
      </c>
      <c r="B635" t="str">
        <f>IF(INDEX(tblCleanData[Age],627)&lt;30,"Under 30",IF(INDEX(tblCleanData[Age],627)&lt;40,"30-39",IF(INDEX(tblCleanData[Age],627)&lt;50,"40-49","50+")))</f>
        <v>30-39</v>
      </c>
      <c r="C635" t="str">
        <f>IF(INDEX(tblCleanData[MonthlyIncome],627)&lt;=$B$3,"Low Income",IF(INDEX(tblCleanData[MonthlyIncome],627)&lt;=$B$4,"Medium Income","High Income"))</f>
        <v>High Income</v>
      </c>
      <c r="D635">
        <f>IF(INDEX(tblCleanData[Attrition],627)="Yes",1,0)</f>
        <v>0</v>
      </c>
      <c r="E635">
        <f>IF(INDEX(tblCleanData[OverTime],627)="Yes",1,0)</f>
        <v>0</v>
      </c>
      <c r="F635" t="str">
        <f>CHOOSE(INDEX(tblCleanData[Education],627),"Below College","College","Bachelor","Master","Doctor")</f>
        <v>College</v>
      </c>
      <c r="G635" t="str">
        <f>IF(INDEX(tblCleanData[YearsAtCompany],627)&lt;=2,"0-2 Years",IF(INDEX(tblCleanData[YearsAtCompany],627)&lt;=5,"3-5 Years",IF(INDEX(tblCleanData[YearsAtCompany],627)&lt;=10,"6-10 Years","10+ Years")))</f>
        <v>3-5 Years</v>
      </c>
      <c r="H635" t="str">
        <f>IF(INDEX(tblCleanData[WorkLifeBalance],627)&lt;=2,"Elevated","Normal")</f>
        <v>Elevated</v>
      </c>
      <c r="I635">
        <f>IF(INDEX(tblCleanData[Age],627)&lt;30,30,IF(INDEX(tblCleanData[Age],627)&lt;40,20,IF(INDEX(tblCleanData[Age],627)&lt;50,10,15)))</f>
        <v>20</v>
      </c>
      <c r="J635">
        <f>IF(INDEX(tblCleanData[MonthlyIncome],627)&lt;=$B$3,25,IF(INDEX(tblCleanData[MonthlyIncome],627)&lt;=$B$4,12,5))</f>
        <v>5</v>
      </c>
      <c r="K635">
        <f>IF(INDEX(tblCleanData[OverTime],627)="Yes",25,0)</f>
        <v>0</v>
      </c>
      <c r="L635">
        <f>(5-INDEX(tblCleanData[JobSatisfaction],627))*6.25</f>
        <v>12.5</v>
      </c>
      <c r="M635">
        <f>IF(INDEX(tblCleanData[YearsAtCompany],627)&lt;=2,25,IF(INDEX(tblCleanData[YearsAtCompany],627)&lt;=5,15,IF(INDEX(tblCleanData[YearsAtCompany],627)&lt;=10,8,3)))</f>
        <v>15</v>
      </c>
      <c r="N635">
        <f t="shared" si="18"/>
        <v>53</v>
      </c>
      <c r="O635" t="str">
        <f t="shared" si="19"/>
        <v>Medium Risk</v>
      </c>
    </row>
    <row r="636" spans="1:15" x14ac:dyDescent="0.25">
      <c r="A636">
        <f>INDEX(tblCleanData[EmployeeNumber],628)</f>
        <v>867</v>
      </c>
      <c r="B636" t="str">
        <f>IF(INDEX(tblCleanData[Age],628)&lt;30,"Under 30",IF(INDEX(tblCleanData[Age],628)&lt;40,"30-39",IF(INDEX(tblCleanData[Age],628)&lt;50,"40-49","50+")))</f>
        <v>50+</v>
      </c>
      <c r="C636" t="str">
        <f>IF(INDEX(tblCleanData[MonthlyIncome],628)&lt;=$B$3,"Low Income",IF(INDEX(tblCleanData[MonthlyIncome],628)&lt;=$B$4,"Medium Income","High Income"))</f>
        <v>High Income</v>
      </c>
      <c r="D636">
        <f>IF(INDEX(tblCleanData[Attrition],628)="Yes",1,0)</f>
        <v>0</v>
      </c>
      <c r="E636">
        <f>IF(INDEX(tblCleanData[OverTime],628)="Yes",1,0)</f>
        <v>0</v>
      </c>
      <c r="F636" t="str">
        <f>CHOOSE(INDEX(tblCleanData[Education],628),"Below College","College","Bachelor","Master","Doctor")</f>
        <v>Master</v>
      </c>
      <c r="G636" t="str">
        <f>IF(INDEX(tblCleanData[YearsAtCompany],628)&lt;=2,"0-2 Years",IF(INDEX(tblCleanData[YearsAtCompany],628)&lt;=5,"3-5 Years",IF(INDEX(tblCleanData[YearsAtCompany],628)&lt;=10,"6-10 Years","10+ Years")))</f>
        <v>6-10 Years</v>
      </c>
      <c r="H636" t="str">
        <f>IF(INDEX(tblCleanData[WorkLifeBalance],628)&lt;=2,"Elevated","Normal")</f>
        <v>Normal</v>
      </c>
      <c r="I636">
        <f>IF(INDEX(tblCleanData[Age],628)&lt;30,30,IF(INDEX(tblCleanData[Age],628)&lt;40,20,IF(INDEX(tblCleanData[Age],628)&lt;50,10,15)))</f>
        <v>15</v>
      </c>
      <c r="J636">
        <f>IF(INDEX(tblCleanData[MonthlyIncome],628)&lt;=$B$3,25,IF(INDEX(tblCleanData[MonthlyIncome],628)&lt;=$B$4,12,5))</f>
        <v>5</v>
      </c>
      <c r="K636">
        <f>IF(INDEX(tblCleanData[OverTime],628)="Yes",25,0)</f>
        <v>0</v>
      </c>
      <c r="L636">
        <f>(5-INDEX(tblCleanData[JobSatisfaction],628))*6.25</f>
        <v>6.25</v>
      </c>
      <c r="M636">
        <f>IF(INDEX(tblCleanData[YearsAtCompany],628)&lt;=2,25,IF(INDEX(tblCleanData[YearsAtCompany],628)&lt;=5,15,IF(INDEX(tblCleanData[YearsAtCompany],628)&lt;=10,8,3)))</f>
        <v>8</v>
      </c>
      <c r="N636">
        <f t="shared" si="18"/>
        <v>34</v>
      </c>
      <c r="O636" t="str">
        <f t="shared" si="19"/>
        <v>Low Risk</v>
      </c>
    </row>
    <row r="637" spans="1:15" x14ac:dyDescent="0.25">
      <c r="A637">
        <f>INDEX(tblCleanData[EmployeeNumber],629)</f>
        <v>868</v>
      </c>
      <c r="B637" t="str">
        <f>IF(INDEX(tblCleanData[Age],629)&lt;30,"Under 30",IF(INDEX(tblCleanData[Age],629)&lt;40,"30-39",IF(INDEX(tblCleanData[Age],629)&lt;50,"40-49","50+")))</f>
        <v>30-39</v>
      </c>
      <c r="C637" t="str">
        <f>IF(INDEX(tblCleanData[MonthlyIncome],629)&lt;=$B$3,"Low Income",IF(INDEX(tblCleanData[MonthlyIncome],629)&lt;=$B$4,"Medium Income","High Income"))</f>
        <v>High Income</v>
      </c>
      <c r="D637">
        <f>IF(INDEX(tblCleanData[Attrition],629)="Yes",1,0)</f>
        <v>0</v>
      </c>
      <c r="E637">
        <f>IF(INDEX(tblCleanData[OverTime],629)="Yes",1,0)</f>
        <v>0</v>
      </c>
      <c r="F637" t="str">
        <f>CHOOSE(INDEX(tblCleanData[Education],629),"Below College","College","Bachelor","Master","Doctor")</f>
        <v>Master</v>
      </c>
      <c r="G637" t="str">
        <f>IF(INDEX(tblCleanData[YearsAtCompany],629)&lt;=2,"0-2 Years",IF(INDEX(tblCleanData[YearsAtCompany],629)&lt;=5,"3-5 Years",IF(INDEX(tblCleanData[YearsAtCompany],629)&lt;=10,"6-10 Years","10+ Years")))</f>
        <v>0-2 Years</v>
      </c>
      <c r="H637" t="str">
        <f>IF(INDEX(tblCleanData[WorkLifeBalance],629)&lt;=2,"Elevated","Normal")</f>
        <v>Normal</v>
      </c>
      <c r="I637">
        <f>IF(INDEX(tblCleanData[Age],629)&lt;30,30,IF(INDEX(tblCleanData[Age],629)&lt;40,20,IF(INDEX(tblCleanData[Age],629)&lt;50,10,15)))</f>
        <v>20</v>
      </c>
      <c r="J637">
        <f>IF(INDEX(tblCleanData[MonthlyIncome],629)&lt;=$B$3,25,IF(INDEX(tblCleanData[MonthlyIncome],629)&lt;=$B$4,12,5))</f>
        <v>5</v>
      </c>
      <c r="K637">
        <f>IF(INDEX(tblCleanData[OverTime],629)="Yes",25,0)</f>
        <v>0</v>
      </c>
      <c r="L637">
        <f>(5-INDEX(tblCleanData[JobSatisfaction],629))*6.25</f>
        <v>12.5</v>
      </c>
      <c r="M637">
        <f>IF(INDEX(tblCleanData[YearsAtCompany],629)&lt;=2,25,IF(INDEX(tblCleanData[YearsAtCompany],629)&lt;=5,15,IF(INDEX(tblCleanData[YearsAtCompany],629)&lt;=10,8,3)))</f>
        <v>25</v>
      </c>
      <c r="N637">
        <f t="shared" si="18"/>
        <v>63</v>
      </c>
      <c r="O637" t="str">
        <f t="shared" si="19"/>
        <v>High Risk</v>
      </c>
    </row>
    <row r="638" spans="1:15" x14ac:dyDescent="0.25">
      <c r="A638">
        <f>INDEX(tblCleanData[EmployeeNumber],630)</f>
        <v>869</v>
      </c>
      <c r="B638" t="str">
        <f>IF(INDEX(tblCleanData[Age],630)&lt;30,"Under 30",IF(INDEX(tblCleanData[Age],630)&lt;40,"30-39",IF(INDEX(tblCleanData[Age],630)&lt;50,"40-49","50+")))</f>
        <v>Under 30</v>
      </c>
      <c r="C638" t="str">
        <f>IF(INDEX(tblCleanData[MonthlyIncome],630)&lt;=$B$3,"Low Income",IF(INDEX(tblCleanData[MonthlyIncome],630)&lt;=$B$4,"Medium Income","High Income"))</f>
        <v>High Income</v>
      </c>
      <c r="D638">
        <f>IF(INDEX(tblCleanData[Attrition],630)="Yes",1,0)</f>
        <v>0</v>
      </c>
      <c r="E638">
        <f>IF(INDEX(tblCleanData[OverTime],630)="Yes",1,0)</f>
        <v>0</v>
      </c>
      <c r="F638" t="str">
        <f>CHOOSE(INDEX(tblCleanData[Education],630),"Below College","College","Bachelor","Master","Doctor")</f>
        <v>College</v>
      </c>
      <c r="G638" t="str">
        <f>IF(INDEX(tblCleanData[YearsAtCompany],630)&lt;=2,"0-2 Years",IF(INDEX(tblCleanData[YearsAtCompany],630)&lt;=5,"3-5 Years",IF(INDEX(tblCleanData[YearsAtCompany],630)&lt;=10,"6-10 Years","10+ Years")))</f>
        <v>3-5 Years</v>
      </c>
      <c r="H638" t="str">
        <f>IF(INDEX(tblCleanData[WorkLifeBalance],630)&lt;=2,"Elevated","Normal")</f>
        <v>Normal</v>
      </c>
      <c r="I638">
        <f>IF(INDEX(tblCleanData[Age],630)&lt;30,30,IF(INDEX(tblCleanData[Age],630)&lt;40,20,IF(INDEX(tblCleanData[Age],630)&lt;50,10,15)))</f>
        <v>30</v>
      </c>
      <c r="J638">
        <f>IF(INDEX(tblCleanData[MonthlyIncome],630)&lt;=$B$3,25,IF(INDEX(tblCleanData[MonthlyIncome],630)&lt;=$B$4,12,5))</f>
        <v>5</v>
      </c>
      <c r="K638">
        <f>IF(INDEX(tblCleanData[OverTime],630)="Yes",25,0)</f>
        <v>0</v>
      </c>
      <c r="L638">
        <f>(5-INDEX(tblCleanData[JobSatisfaction],630))*6.25</f>
        <v>6.25</v>
      </c>
      <c r="M638">
        <f>IF(INDEX(tblCleanData[YearsAtCompany],630)&lt;=2,25,IF(INDEX(tblCleanData[YearsAtCompany],630)&lt;=5,15,IF(INDEX(tblCleanData[YearsAtCompany],630)&lt;=10,8,3)))</f>
        <v>15</v>
      </c>
      <c r="N638">
        <f t="shared" si="18"/>
        <v>56</v>
      </c>
      <c r="O638" t="str">
        <f t="shared" si="19"/>
        <v>High Risk</v>
      </c>
    </row>
    <row r="639" spans="1:15" x14ac:dyDescent="0.25">
      <c r="A639">
        <f>INDEX(tblCleanData[EmployeeNumber],631)</f>
        <v>872</v>
      </c>
      <c r="B639" t="str">
        <f>IF(INDEX(tblCleanData[Age],631)&lt;30,"Under 30",IF(INDEX(tblCleanData[Age],631)&lt;40,"30-39",IF(INDEX(tblCleanData[Age],631)&lt;50,"40-49","50+")))</f>
        <v>Under 30</v>
      </c>
      <c r="C639" t="str">
        <f>IF(INDEX(tblCleanData[MonthlyIncome],631)&lt;=$B$3,"Low Income",IF(INDEX(tblCleanData[MonthlyIncome],631)&lt;=$B$4,"Medium Income","High Income"))</f>
        <v>High Income</v>
      </c>
      <c r="D639">
        <f>IF(INDEX(tblCleanData[Attrition],631)="Yes",1,0)</f>
        <v>0</v>
      </c>
      <c r="E639">
        <f>IF(INDEX(tblCleanData[OverTime],631)="Yes",1,0)</f>
        <v>0</v>
      </c>
      <c r="F639" t="str">
        <f>CHOOSE(INDEX(tblCleanData[Education],631),"Below College","College","Bachelor","Master","Doctor")</f>
        <v>College</v>
      </c>
      <c r="G639" t="str">
        <f>IF(INDEX(tblCleanData[YearsAtCompany],631)&lt;=2,"0-2 Years",IF(INDEX(tblCleanData[YearsAtCompany],631)&lt;=5,"3-5 Years",IF(INDEX(tblCleanData[YearsAtCompany],631)&lt;=10,"6-10 Years","10+ Years")))</f>
        <v>0-2 Years</v>
      </c>
      <c r="H639" t="str">
        <f>IF(INDEX(tblCleanData[WorkLifeBalance],631)&lt;=2,"Elevated","Normal")</f>
        <v>Elevated</v>
      </c>
      <c r="I639">
        <f>IF(INDEX(tblCleanData[Age],631)&lt;30,30,IF(INDEX(tblCleanData[Age],631)&lt;40,20,IF(INDEX(tblCleanData[Age],631)&lt;50,10,15)))</f>
        <v>30</v>
      </c>
      <c r="J639">
        <f>IF(INDEX(tblCleanData[MonthlyIncome],631)&lt;=$B$3,25,IF(INDEX(tblCleanData[MonthlyIncome],631)&lt;=$B$4,12,5))</f>
        <v>5</v>
      </c>
      <c r="K639">
        <f>IF(INDEX(tblCleanData[OverTime],631)="Yes",25,0)</f>
        <v>0</v>
      </c>
      <c r="L639">
        <f>(5-INDEX(tblCleanData[JobSatisfaction],631))*6.25</f>
        <v>6.25</v>
      </c>
      <c r="M639">
        <f>IF(INDEX(tblCleanData[YearsAtCompany],631)&lt;=2,25,IF(INDEX(tblCleanData[YearsAtCompany],631)&lt;=5,15,IF(INDEX(tblCleanData[YearsAtCompany],631)&lt;=10,8,3)))</f>
        <v>25</v>
      </c>
      <c r="N639">
        <f t="shared" si="18"/>
        <v>66</v>
      </c>
      <c r="O639" t="str">
        <f t="shared" si="19"/>
        <v>High Risk</v>
      </c>
    </row>
    <row r="640" spans="1:15" x14ac:dyDescent="0.25">
      <c r="A640">
        <f>INDEX(tblCleanData[EmployeeNumber],632)</f>
        <v>874</v>
      </c>
      <c r="B640" t="str">
        <f>IF(INDEX(tblCleanData[Age],632)&lt;30,"Under 30",IF(INDEX(tblCleanData[Age],632)&lt;40,"30-39",IF(INDEX(tblCleanData[Age],632)&lt;50,"40-49","50+")))</f>
        <v>40-49</v>
      </c>
      <c r="C640" t="str">
        <f>IF(INDEX(tblCleanData[MonthlyIncome],632)&lt;=$B$3,"Low Income",IF(INDEX(tblCleanData[MonthlyIncome],632)&lt;=$B$4,"Medium Income","High Income"))</f>
        <v>High Income</v>
      </c>
      <c r="D640">
        <f>IF(INDEX(tblCleanData[Attrition],632)="Yes",1,0)</f>
        <v>0</v>
      </c>
      <c r="E640">
        <f>IF(INDEX(tblCleanData[OverTime],632)="Yes",1,0)</f>
        <v>1</v>
      </c>
      <c r="F640" t="str">
        <f>CHOOSE(INDEX(tblCleanData[Education],632),"Below College","College","Bachelor","Master","Doctor")</f>
        <v>Master</v>
      </c>
      <c r="G640" t="str">
        <f>IF(INDEX(tblCleanData[YearsAtCompany],632)&lt;=2,"0-2 Years",IF(INDEX(tblCleanData[YearsAtCompany],632)&lt;=5,"3-5 Years",IF(INDEX(tblCleanData[YearsAtCompany],632)&lt;=10,"6-10 Years","10+ Years")))</f>
        <v>3-5 Years</v>
      </c>
      <c r="H640" t="str">
        <f>IF(INDEX(tblCleanData[WorkLifeBalance],632)&lt;=2,"Elevated","Normal")</f>
        <v>Elevated</v>
      </c>
      <c r="I640">
        <f>IF(INDEX(tblCleanData[Age],632)&lt;30,30,IF(INDEX(tblCleanData[Age],632)&lt;40,20,IF(INDEX(tblCleanData[Age],632)&lt;50,10,15)))</f>
        <v>10</v>
      </c>
      <c r="J640">
        <f>IF(INDEX(tblCleanData[MonthlyIncome],632)&lt;=$B$3,25,IF(INDEX(tblCleanData[MonthlyIncome],632)&lt;=$B$4,12,5))</f>
        <v>5</v>
      </c>
      <c r="K640">
        <f>IF(INDEX(tblCleanData[OverTime],632)="Yes",25,0)</f>
        <v>25</v>
      </c>
      <c r="L640">
        <f>(5-INDEX(tblCleanData[JobSatisfaction],632))*6.25</f>
        <v>6.25</v>
      </c>
      <c r="M640">
        <f>IF(INDEX(tblCleanData[YearsAtCompany],632)&lt;=2,25,IF(INDEX(tblCleanData[YearsAtCompany],632)&lt;=5,15,IF(INDEX(tblCleanData[YearsAtCompany],632)&lt;=10,8,3)))</f>
        <v>15</v>
      </c>
      <c r="N640">
        <f t="shared" si="18"/>
        <v>61</v>
      </c>
      <c r="O640" t="str">
        <f t="shared" si="19"/>
        <v>High Risk</v>
      </c>
    </row>
    <row r="641" spans="1:15" x14ac:dyDescent="0.25">
      <c r="A641">
        <f>INDEX(tblCleanData[EmployeeNumber],633)</f>
        <v>875</v>
      </c>
      <c r="B641" t="str">
        <f>IF(INDEX(tblCleanData[Age],633)&lt;30,"Under 30",IF(INDEX(tblCleanData[Age],633)&lt;40,"30-39",IF(INDEX(tblCleanData[Age],633)&lt;50,"40-49","50+")))</f>
        <v>40-49</v>
      </c>
      <c r="C641" t="str">
        <f>IF(INDEX(tblCleanData[MonthlyIncome],633)&lt;=$B$3,"Low Income",IF(INDEX(tblCleanData[MonthlyIncome],633)&lt;=$B$4,"Medium Income","High Income"))</f>
        <v>High Income</v>
      </c>
      <c r="D641">
        <f>IF(INDEX(tblCleanData[Attrition],633)="Yes",1,0)</f>
        <v>0</v>
      </c>
      <c r="E641">
        <f>IF(INDEX(tblCleanData[OverTime],633)="Yes",1,0)</f>
        <v>1</v>
      </c>
      <c r="F641" t="str">
        <f>CHOOSE(INDEX(tblCleanData[Education],633),"Below College","College","Bachelor","Master","Doctor")</f>
        <v>Below College</v>
      </c>
      <c r="G641" t="str">
        <f>IF(INDEX(tblCleanData[YearsAtCompany],633)&lt;=2,"0-2 Years",IF(INDEX(tblCleanData[YearsAtCompany],633)&lt;=5,"3-5 Years",IF(INDEX(tblCleanData[YearsAtCompany],633)&lt;=10,"6-10 Years","10+ Years")))</f>
        <v>0-2 Years</v>
      </c>
      <c r="H641" t="str">
        <f>IF(INDEX(tblCleanData[WorkLifeBalance],633)&lt;=2,"Elevated","Normal")</f>
        <v>Normal</v>
      </c>
      <c r="I641">
        <f>IF(INDEX(tblCleanData[Age],633)&lt;30,30,IF(INDEX(tblCleanData[Age],633)&lt;40,20,IF(INDEX(tblCleanData[Age],633)&lt;50,10,15)))</f>
        <v>10</v>
      </c>
      <c r="J641">
        <f>IF(INDEX(tblCleanData[MonthlyIncome],633)&lt;=$B$3,25,IF(INDEX(tblCleanData[MonthlyIncome],633)&lt;=$B$4,12,5))</f>
        <v>5</v>
      </c>
      <c r="K641">
        <f>IF(INDEX(tblCleanData[OverTime],633)="Yes",25,0)</f>
        <v>25</v>
      </c>
      <c r="L641">
        <f>(5-INDEX(tblCleanData[JobSatisfaction],633))*6.25</f>
        <v>6.25</v>
      </c>
      <c r="M641">
        <f>IF(INDEX(tblCleanData[YearsAtCompany],633)&lt;=2,25,IF(INDEX(tblCleanData[YearsAtCompany],633)&lt;=5,15,IF(INDEX(tblCleanData[YearsAtCompany],633)&lt;=10,8,3)))</f>
        <v>25</v>
      </c>
      <c r="N641">
        <f t="shared" si="18"/>
        <v>71</v>
      </c>
      <c r="O641" t="str">
        <f t="shared" si="19"/>
        <v>High Risk</v>
      </c>
    </row>
    <row r="642" spans="1:15" x14ac:dyDescent="0.25">
      <c r="A642">
        <f>INDEX(tblCleanData[EmployeeNumber],634)</f>
        <v>878</v>
      </c>
      <c r="B642" t="str">
        <f>IF(INDEX(tblCleanData[Age],634)&lt;30,"Under 30",IF(INDEX(tblCleanData[Age],634)&lt;40,"30-39",IF(INDEX(tblCleanData[Age],634)&lt;50,"40-49","50+")))</f>
        <v>30-39</v>
      </c>
      <c r="C642" t="str">
        <f>IF(INDEX(tblCleanData[MonthlyIncome],634)&lt;=$B$3,"Low Income",IF(INDEX(tblCleanData[MonthlyIncome],634)&lt;=$B$4,"Medium Income","High Income"))</f>
        <v>High Income</v>
      </c>
      <c r="D642">
        <f>IF(INDEX(tblCleanData[Attrition],634)="Yes",1,0)</f>
        <v>0</v>
      </c>
      <c r="E642">
        <f>IF(INDEX(tblCleanData[OverTime],634)="Yes",1,0)</f>
        <v>0</v>
      </c>
      <c r="F642" t="str">
        <f>CHOOSE(INDEX(tblCleanData[Education],634),"Below College","College","Bachelor","Master","Doctor")</f>
        <v>Bachelor</v>
      </c>
      <c r="G642" t="str">
        <f>IF(INDEX(tblCleanData[YearsAtCompany],634)&lt;=2,"0-2 Years",IF(INDEX(tblCleanData[YearsAtCompany],634)&lt;=5,"3-5 Years",IF(INDEX(tblCleanData[YearsAtCompany],634)&lt;=10,"6-10 Years","10+ Years")))</f>
        <v>3-5 Years</v>
      </c>
      <c r="H642" t="str">
        <f>IF(INDEX(tblCleanData[WorkLifeBalance],634)&lt;=2,"Elevated","Normal")</f>
        <v>Normal</v>
      </c>
      <c r="I642">
        <f>IF(INDEX(tblCleanData[Age],634)&lt;30,30,IF(INDEX(tblCleanData[Age],634)&lt;40,20,IF(INDEX(tblCleanData[Age],634)&lt;50,10,15)))</f>
        <v>20</v>
      </c>
      <c r="J642">
        <f>IF(INDEX(tblCleanData[MonthlyIncome],634)&lt;=$B$3,25,IF(INDEX(tblCleanData[MonthlyIncome],634)&lt;=$B$4,12,5))</f>
        <v>5</v>
      </c>
      <c r="K642">
        <f>IF(INDEX(tblCleanData[OverTime],634)="Yes",25,0)</f>
        <v>0</v>
      </c>
      <c r="L642">
        <f>(5-INDEX(tblCleanData[JobSatisfaction],634))*6.25</f>
        <v>25</v>
      </c>
      <c r="M642">
        <f>IF(INDEX(tblCleanData[YearsAtCompany],634)&lt;=2,25,IF(INDEX(tblCleanData[YearsAtCompany],634)&lt;=5,15,IF(INDEX(tblCleanData[YearsAtCompany],634)&lt;=10,8,3)))</f>
        <v>15</v>
      </c>
      <c r="N642">
        <f t="shared" si="18"/>
        <v>65</v>
      </c>
      <c r="O642" t="str">
        <f t="shared" si="19"/>
        <v>High Risk</v>
      </c>
    </row>
    <row r="643" spans="1:15" x14ac:dyDescent="0.25">
      <c r="A643">
        <f>INDEX(tblCleanData[EmployeeNumber],635)</f>
        <v>879</v>
      </c>
      <c r="B643" t="str">
        <f>IF(INDEX(tblCleanData[Age],635)&lt;30,"Under 30",IF(INDEX(tblCleanData[Age],635)&lt;40,"30-39",IF(INDEX(tblCleanData[Age],635)&lt;50,"40-49","50+")))</f>
        <v>Under 30</v>
      </c>
      <c r="C643" t="str">
        <f>IF(INDEX(tblCleanData[MonthlyIncome],635)&lt;=$B$3,"Low Income",IF(INDEX(tblCleanData[MonthlyIncome],635)&lt;=$B$4,"Medium Income","High Income"))</f>
        <v>High Income</v>
      </c>
      <c r="D643">
        <f>IF(INDEX(tblCleanData[Attrition],635)="Yes",1,0)</f>
        <v>0</v>
      </c>
      <c r="E643">
        <f>IF(INDEX(tblCleanData[OverTime],635)="Yes",1,0)</f>
        <v>1</v>
      </c>
      <c r="F643" t="str">
        <f>CHOOSE(INDEX(tblCleanData[Education],635),"Below College","College","Bachelor","Master","Doctor")</f>
        <v>Below College</v>
      </c>
      <c r="G643" t="str">
        <f>IF(INDEX(tblCleanData[YearsAtCompany],635)&lt;=2,"0-2 Years",IF(INDEX(tblCleanData[YearsAtCompany],635)&lt;=5,"3-5 Years",IF(INDEX(tblCleanData[YearsAtCompany],635)&lt;=10,"6-10 Years","10+ Years")))</f>
        <v>3-5 Years</v>
      </c>
      <c r="H643" t="str">
        <f>IF(INDEX(tblCleanData[WorkLifeBalance],635)&lt;=2,"Elevated","Normal")</f>
        <v>Normal</v>
      </c>
      <c r="I643">
        <f>IF(INDEX(tblCleanData[Age],635)&lt;30,30,IF(INDEX(tblCleanData[Age],635)&lt;40,20,IF(INDEX(tblCleanData[Age],635)&lt;50,10,15)))</f>
        <v>30</v>
      </c>
      <c r="J643">
        <f>IF(INDEX(tblCleanData[MonthlyIncome],635)&lt;=$B$3,25,IF(INDEX(tblCleanData[MonthlyIncome],635)&lt;=$B$4,12,5))</f>
        <v>5</v>
      </c>
      <c r="K643">
        <f>IF(INDEX(tblCleanData[OverTime],635)="Yes",25,0)</f>
        <v>25</v>
      </c>
      <c r="L643">
        <f>(5-INDEX(tblCleanData[JobSatisfaction],635))*6.25</f>
        <v>25</v>
      </c>
      <c r="M643">
        <f>IF(INDEX(tblCleanData[YearsAtCompany],635)&lt;=2,25,IF(INDEX(tblCleanData[YearsAtCompany],635)&lt;=5,15,IF(INDEX(tblCleanData[YearsAtCompany],635)&lt;=10,8,3)))</f>
        <v>15</v>
      </c>
      <c r="N643">
        <f t="shared" si="18"/>
        <v>100</v>
      </c>
      <c r="O643" t="str">
        <f t="shared" si="19"/>
        <v>High Risk</v>
      </c>
    </row>
    <row r="644" spans="1:15" x14ac:dyDescent="0.25">
      <c r="A644">
        <f>INDEX(tblCleanData[EmployeeNumber],636)</f>
        <v>880</v>
      </c>
      <c r="B644" t="str">
        <f>IF(INDEX(tblCleanData[Age],636)&lt;30,"Under 30",IF(INDEX(tblCleanData[Age],636)&lt;40,"30-39",IF(INDEX(tblCleanData[Age],636)&lt;50,"40-49","50+")))</f>
        <v>30-39</v>
      </c>
      <c r="C644" t="str">
        <f>IF(INDEX(tblCleanData[MonthlyIncome],636)&lt;=$B$3,"Low Income",IF(INDEX(tblCleanData[MonthlyIncome],636)&lt;=$B$4,"Medium Income","High Income"))</f>
        <v>High Income</v>
      </c>
      <c r="D644">
        <f>IF(INDEX(tblCleanData[Attrition],636)="Yes",1,0)</f>
        <v>0</v>
      </c>
      <c r="E644">
        <f>IF(INDEX(tblCleanData[OverTime],636)="Yes",1,0)</f>
        <v>1</v>
      </c>
      <c r="F644" t="str">
        <f>CHOOSE(INDEX(tblCleanData[Education],636),"Below College","College","Bachelor","Master","Doctor")</f>
        <v>Bachelor</v>
      </c>
      <c r="G644" t="str">
        <f>IF(INDEX(tblCleanData[YearsAtCompany],636)&lt;=2,"0-2 Years",IF(INDEX(tblCleanData[YearsAtCompany],636)&lt;=5,"3-5 Years",IF(INDEX(tblCleanData[YearsAtCompany],636)&lt;=10,"6-10 Years","10+ Years")))</f>
        <v>10+ Years</v>
      </c>
      <c r="H644" t="str">
        <f>IF(INDEX(tblCleanData[WorkLifeBalance],636)&lt;=2,"Elevated","Normal")</f>
        <v>Normal</v>
      </c>
      <c r="I644">
        <f>IF(INDEX(tblCleanData[Age],636)&lt;30,30,IF(INDEX(tblCleanData[Age],636)&lt;40,20,IF(INDEX(tblCleanData[Age],636)&lt;50,10,15)))</f>
        <v>20</v>
      </c>
      <c r="J644">
        <f>IF(INDEX(tblCleanData[MonthlyIncome],636)&lt;=$B$3,25,IF(INDEX(tblCleanData[MonthlyIncome],636)&lt;=$B$4,12,5))</f>
        <v>5</v>
      </c>
      <c r="K644">
        <f>IF(INDEX(tblCleanData[OverTime],636)="Yes",25,0)</f>
        <v>25</v>
      </c>
      <c r="L644">
        <f>(5-INDEX(tblCleanData[JobSatisfaction],636))*6.25</f>
        <v>12.5</v>
      </c>
      <c r="M644">
        <f>IF(INDEX(tblCleanData[YearsAtCompany],636)&lt;=2,25,IF(INDEX(tblCleanData[YearsAtCompany],636)&lt;=5,15,IF(INDEX(tblCleanData[YearsAtCompany],636)&lt;=10,8,3)))</f>
        <v>3</v>
      </c>
      <c r="N644">
        <f t="shared" si="18"/>
        <v>66</v>
      </c>
      <c r="O644" t="str">
        <f t="shared" si="19"/>
        <v>High Risk</v>
      </c>
    </row>
    <row r="645" spans="1:15" x14ac:dyDescent="0.25">
      <c r="A645">
        <f>INDEX(tblCleanData[EmployeeNumber],637)</f>
        <v>881</v>
      </c>
      <c r="B645" t="str">
        <f>IF(INDEX(tblCleanData[Age],637)&lt;30,"Under 30",IF(INDEX(tblCleanData[Age],637)&lt;40,"30-39",IF(INDEX(tblCleanData[Age],637)&lt;50,"40-49","50+")))</f>
        <v>30-39</v>
      </c>
      <c r="C645" t="str">
        <f>IF(INDEX(tblCleanData[MonthlyIncome],637)&lt;=$B$3,"Low Income",IF(INDEX(tblCleanData[MonthlyIncome],637)&lt;=$B$4,"Medium Income","High Income"))</f>
        <v>High Income</v>
      </c>
      <c r="D645">
        <f>IF(INDEX(tblCleanData[Attrition],637)="Yes",1,0)</f>
        <v>1</v>
      </c>
      <c r="E645">
        <f>IF(INDEX(tblCleanData[OverTime],637)="Yes",1,0)</f>
        <v>1</v>
      </c>
      <c r="F645" t="str">
        <f>CHOOSE(INDEX(tblCleanData[Education],637),"Below College","College","Bachelor","Master","Doctor")</f>
        <v>Master</v>
      </c>
      <c r="G645" t="str">
        <f>IF(INDEX(tblCleanData[YearsAtCompany],637)&lt;=2,"0-2 Years",IF(INDEX(tblCleanData[YearsAtCompany],637)&lt;=5,"3-5 Years",IF(INDEX(tblCleanData[YearsAtCompany],637)&lt;=10,"6-10 Years","10+ Years")))</f>
        <v>6-10 Years</v>
      </c>
      <c r="H645" t="str">
        <f>IF(INDEX(tblCleanData[WorkLifeBalance],637)&lt;=2,"Elevated","Normal")</f>
        <v>Elevated</v>
      </c>
      <c r="I645">
        <f>IF(INDEX(tblCleanData[Age],637)&lt;30,30,IF(INDEX(tblCleanData[Age],637)&lt;40,20,IF(INDEX(tblCleanData[Age],637)&lt;50,10,15)))</f>
        <v>20</v>
      </c>
      <c r="J645">
        <f>IF(INDEX(tblCleanData[MonthlyIncome],637)&lt;=$B$3,25,IF(INDEX(tblCleanData[MonthlyIncome],637)&lt;=$B$4,12,5))</f>
        <v>5</v>
      </c>
      <c r="K645">
        <f>IF(INDEX(tblCleanData[OverTime],637)="Yes",25,0)</f>
        <v>25</v>
      </c>
      <c r="L645">
        <f>(5-INDEX(tblCleanData[JobSatisfaction],637))*6.25</f>
        <v>18.75</v>
      </c>
      <c r="M645">
        <f>IF(INDEX(tblCleanData[YearsAtCompany],637)&lt;=2,25,IF(INDEX(tblCleanData[YearsAtCompany],637)&lt;=5,15,IF(INDEX(tblCleanData[YearsAtCompany],637)&lt;=10,8,3)))</f>
        <v>8</v>
      </c>
      <c r="N645">
        <f t="shared" si="18"/>
        <v>77</v>
      </c>
      <c r="O645" t="str">
        <f t="shared" si="19"/>
        <v>High Risk</v>
      </c>
    </row>
    <row r="646" spans="1:15" x14ac:dyDescent="0.25">
      <c r="A646">
        <f>INDEX(tblCleanData[EmployeeNumber],638)</f>
        <v>882</v>
      </c>
      <c r="B646" t="str">
        <f>IF(INDEX(tblCleanData[Age],638)&lt;30,"Under 30",IF(INDEX(tblCleanData[Age],638)&lt;40,"30-39",IF(INDEX(tblCleanData[Age],638)&lt;50,"40-49","50+")))</f>
        <v>30-39</v>
      </c>
      <c r="C646" t="str">
        <f>IF(INDEX(tblCleanData[MonthlyIncome],638)&lt;=$B$3,"Low Income",IF(INDEX(tblCleanData[MonthlyIncome],638)&lt;=$B$4,"Medium Income","High Income"))</f>
        <v>High Income</v>
      </c>
      <c r="D646">
        <f>IF(INDEX(tblCleanData[Attrition],638)="Yes",1,0)</f>
        <v>0</v>
      </c>
      <c r="E646">
        <f>IF(INDEX(tblCleanData[OverTime],638)="Yes",1,0)</f>
        <v>0</v>
      </c>
      <c r="F646" t="str">
        <f>CHOOSE(INDEX(tblCleanData[Education],638),"Below College","College","Bachelor","Master","Doctor")</f>
        <v>Bachelor</v>
      </c>
      <c r="G646" t="str">
        <f>IF(INDEX(tblCleanData[YearsAtCompany],638)&lt;=2,"0-2 Years",IF(INDEX(tblCleanData[YearsAtCompany],638)&lt;=5,"3-5 Years",IF(INDEX(tblCleanData[YearsAtCompany],638)&lt;=10,"6-10 Years","10+ Years")))</f>
        <v>3-5 Years</v>
      </c>
      <c r="H646" t="str">
        <f>IF(INDEX(tblCleanData[WorkLifeBalance],638)&lt;=2,"Elevated","Normal")</f>
        <v>Normal</v>
      </c>
      <c r="I646">
        <f>IF(INDEX(tblCleanData[Age],638)&lt;30,30,IF(INDEX(tblCleanData[Age],638)&lt;40,20,IF(INDEX(tblCleanData[Age],638)&lt;50,10,15)))</f>
        <v>20</v>
      </c>
      <c r="J646">
        <f>IF(INDEX(tblCleanData[MonthlyIncome],638)&lt;=$B$3,25,IF(INDEX(tblCleanData[MonthlyIncome],638)&lt;=$B$4,12,5))</f>
        <v>5</v>
      </c>
      <c r="K646">
        <f>IF(INDEX(tblCleanData[OverTime],638)="Yes",25,0)</f>
        <v>0</v>
      </c>
      <c r="L646">
        <f>(5-INDEX(tblCleanData[JobSatisfaction],638))*6.25</f>
        <v>6.25</v>
      </c>
      <c r="M646">
        <f>IF(INDEX(tblCleanData[YearsAtCompany],638)&lt;=2,25,IF(INDEX(tblCleanData[YearsAtCompany],638)&lt;=5,15,IF(INDEX(tblCleanData[YearsAtCompany],638)&lt;=10,8,3)))</f>
        <v>15</v>
      </c>
      <c r="N646">
        <f t="shared" si="18"/>
        <v>46</v>
      </c>
      <c r="O646" t="str">
        <f t="shared" si="19"/>
        <v>Medium Risk</v>
      </c>
    </row>
    <row r="647" spans="1:15" x14ac:dyDescent="0.25">
      <c r="A647">
        <f>INDEX(tblCleanData[EmployeeNumber],639)</f>
        <v>885</v>
      </c>
      <c r="B647" t="str">
        <f>IF(INDEX(tblCleanData[Age],639)&lt;30,"Under 30",IF(INDEX(tblCleanData[Age],639)&lt;40,"30-39",IF(INDEX(tblCleanData[Age],639)&lt;50,"40-49","50+")))</f>
        <v>Under 30</v>
      </c>
      <c r="C647" t="str">
        <f>IF(INDEX(tblCleanData[MonthlyIncome],639)&lt;=$B$3,"Low Income",IF(INDEX(tblCleanData[MonthlyIncome],639)&lt;=$B$4,"Medium Income","High Income"))</f>
        <v>High Income</v>
      </c>
      <c r="D647">
        <f>IF(INDEX(tblCleanData[Attrition],639)="Yes",1,0)</f>
        <v>0</v>
      </c>
      <c r="E647">
        <f>IF(INDEX(tblCleanData[OverTime],639)="Yes",1,0)</f>
        <v>0</v>
      </c>
      <c r="F647" t="str">
        <f>CHOOSE(INDEX(tblCleanData[Education],639),"Below College","College","Bachelor","Master","Doctor")</f>
        <v>Below College</v>
      </c>
      <c r="G647" t="str">
        <f>IF(INDEX(tblCleanData[YearsAtCompany],639)&lt;=2,"0-2 Years",IF(INDEX(tblCleanData[YearsAtCompany],639)&lt;=5,"3-5 Years",IF(INDEX(tblCleanData[YearsAtCompany],639)&lt;=10,"6-10 Years","10+ Years")))</f>
        <v>3-5 Years</v>
      </c>
      <c r="H647" t="str">
        <f>IF(INDEX(tblCleanData[WorkLifeBalance],639)&lt;=2,"Elevated","Normal")</f>
        <v>Normal</v>
      </c>
      <c r="I647">
        <f>IF(INDEX(tblCleanData[Age],639)&lt;30,30,IF(INDEX(tblCleanData[Age],639)&lt;40,20,IF(INDEX(tblCleanData[Age],639)&lt;50,10,15)))</f>
        <v>30</v>
      </c>
      <c r="J647">
        <f>IF(INDEX(tblCleanData[MonthlyIncome],639)&lt;=$B$3,25,IF(INDEX(tblCleanData[MonthlyIncome],639)&lt;=$B$4,12,5))</f>
        <v>5</v>
      </c>
      <c r="K647">
        <f>IF(INDEX(tblCleanData[OverTime],639)="Yes",25,0)</f>
        <v>0</v>
      </c>
      <c r="L647">
        <f>(5-INDEX(tblCleanData[JobSatisfaction],639))*6.25</f>
        <v>25</v>
      </c>
      <c r="M647">
        <f>IF(INDEX(tblCleanData[YearsAtCompany],639)&lt;=2,25,IF(INDEX(tblCleanData[YearsAtCompany],639)&lt;=5,15,IF(INDEX(tblCleanData[YearsAtCompany],639)&lt;=10,8,3)))</f>
        <v>15</v>
      </c>
      <c r="N647">
        <f t="shared" si="18"/>
        <v>75</v>
      </c>
      <c r="O647" t="str">
        <f t="shared" si="19"/>
        <v>High Risk</v>
      </c>
    </row>
    <row r="648" spans="1:15" x14ac:dyDescent="0.25">
      <c r="A648">
        <f>INDEX(tblCleanData[EmployeeNumber],640)</f>
        <v>887</v>
      </c>
      <c r="B648" t="str">
        <f>IF(INDEX(tblCleanData[Age],640)&lt;30,"Under 30",IF(INDEX(tblCleanData[Age],640)&lt;40,"30-39",IF(INDEX(tblCleanData[Age],640)&lt;50,"40-49","50+")))</f>
        <v>40-49</v>
      </c>
      <c r="C648" t="str">
        <f>IF(INDEX(tblCleanData[MonthlyIncome],640)&lt;=$B$3,"Low Income",IF(INDEX(tblCleanData[MonthlyIncome],640)&lt;=$B$4,"Medium Income","High Income"))</f>
        <v>High Income</v>
      </c>
      <c r="D648">
        <f>IF(INDEX(tblCleanData[Attrition],640)="Yes",1,0)</f>
        <v>0</v>
      </c>
      <c r="E648">
        <f>IF(INDEX(tblCleanData[OverTime],640)="Yes",1,0)</f>
        <v>0</v>
      </c>
      <c r="F648" t="str">
        <f>CHOOSE(INDEX(tblCleanData[Education],640),"Below College","College","Bachelor","Master","Doctor")</f>
        <v>Bachelor</v>
      </c>
      <c r="G648" t="str">
        <f>IF(INDEX(tblCleanData[YearsAtCompany],640)&lt;=2,"0-2 Years",IF(INDEX(tblCleanData[YearsAtCompany],640)&lt;=5,"3-5 Years",IF(INDEX(tblCleanData[YearsAtCompany],640)&lt;=10,"6-10 Years","10+ Years")))</f>
        <v>3-5 Years</v>
      </c>
      <c r="H648" t="str">
        <f>IF(INDEX(tblCleanData[WorkLifeBalance],640)&lt;=2,"Elevated","Normal")</f>
        <v>Normal</v>
      </c>
      <c r="I648">
        <f>IF(INDEX(tblCleanData[Age],640)&lt;30,30,IF(INDEX(tblCleanData[Age],640)&lt;40,20,IF(INDEX(tblCleanData[Age],640)&lt;50,10,15)))</f>
        <v>10</v>
      </c>
      <c r="J648">
        <f>IF(INDEX(tblCleanData[MonthlyIncome],640)&lt;=$B$3,25,IF(INDEX(tblCleanData[MonthlyIncome],640)&lt;=$B$4,12,5))</f>
        <v>5</v>
      </c>
      <c r="K648">
        <f>IF(INDEX(tblCleanData[OverTime],640)="Yes",25,0)</f>
        <v>0</v>
      </c>
      <c r="L648">
        <f>(5-INDEX(tblCleanData[JobSatisfaction],640))*6.25</f>
        <v>25</v>
      </c>
      <c r="M648">
        <f>IF(INDEX(tblCleanData[YearsAtCompany],640)&lt;=2,25,IF(INDEX(tblCleanData[YearsAtCompany],640)&lt;=5,15,IF(INDEX(tblCleanData[YearsAtCompany],640)&lt;=10,8,3)))</f>
        <v>15</v>
      </c>
      <c r="N648">
        <f t="shared" si="18"/>
        <v>55</v>
      </c>
      <c r="O648" t="str">
        <f t="shared" si="19"/>
        <v>High Risk</v>
      </c>
    </row>
    <row r="649" spans="1:15" x14ac:dyDescent="0.25">
      <c r="A649">
        <f>INDEX(tblCleanData[EmployeeNumber],641)</f>
        <v>888</v>
      </c>
      <c r="B649" t="str">
        <f>IF(INDEX(tblCleanData[Age],641)&lt;30,"Under 30",IF(INDEX(tblCleanData[Age],641)&lt;40,"30-39",IF(INDEX(tblCleanData[Age],641)&lt;50,"40-49","50+")))</f>
        <v>Under 30</v>
      </c>
      <c r="C649" t="str">
        <f>IF(INDEX(tblCleanData[MonthlyIncome],641)&lt;=$B$3,"Low Income",IF(INDEX(tblCleanData[MonthlyIncome],641)&lt;=$B$4,"Medium Income","High Income"))</f>
        <v>High Income</v>
      </c>
      <c r="D649">
        <f>IF(INDEX(tblCleanData[Attrition],641)="Yes",1,0)</f>
        <v>0</v>
      </c>
      <c r="E649">
        <f>IF(INDEX(tblCleanData[OverTime],641)="Yes",1,0)</f>
        <v>0</v>
      </c>
      <c r="F649" t="str">
        <f>CHOOSE(INDEX(tblCleanData[Education],641),"Below College","College","Bachelor","Master","Doctor")</f>
        <v>Below College</v>
      </c>
      <c r="G649" t="str">
        <f>IF(INDEX(tblCleanData[YearsAtCompany],641)&lt;=2,"0-2 Years",IF(INDEX(tblCleanData[YearsAtCompany],641)&lt;=5,"3-5 Years",IF(INDEX(tblCleanData[YearsAtCompany],641)&lt;=10,"6-10 Years","10+ Years")))</f>
        <v>3-5 Years</v>
      </c>
      <c r="H649" t="str">
        <f>IF(INDEX(tblCleanData[WorkLifeBalance],641)&lt;=2,"Elevated","Normal")</f>
        <v>Elevated</v>
      </c>
      <c r="I649">
        <f>IF(INDEX(tblCleanData[Age],641)&lt;30,30,IF(INDEX(tblCleanData[Age],641)&lt;40,20,IF(INDEX(tblCleanData[Age],641)&lt;50,10,15)))</f>
        <v>30</v>
      </c>
      <c r="J649">
        <f>IF(INDEX(tblCleanData[MonthlyIncome],641)&lt;=$B$3,25,IF(INDEX(tblCleanData[MonthlyIncome],641)&lt;=$B$4,12,5))</f>
        <v>5</v>
      </c>
      <c r="K649">
        <f>IF(INDEX(tblCleanData[OverTime],641)="Yes",25,0)</f>
        <v>0</v>
      </c>
      <c r="L649">
        <f>(5-INDEX(tblCleanData[JobSatisfaction],641))*6.25</f>
        <v>6.25</v>
      </c>
      <c r="M649">
        <f>IF(INDEX(tblCleanData[YearsAtCompany],641)&lt;=2,25,IF(INDEX(tblCleanData[YearsAtCompany],641)&lt;=5,15,IF(INDEX(tblCleanData[YearsAtCompany],641)&lt;=10,8,3)))</f>
        <v>15</v>
      </c>
      <c r="N649">
        <f t="shared" ref="N649:N712" si="20">ROUND(I649+J649+K649+L649+M649,0)</f>
        <v>56</v>
      </c>
      <c r="O649" t="str">
        <f t="shared" ref="O649:O712" si="21">IF(N649&gt;=55,"High Risk",IF(N649&gt;=35,"Medium Risk","Low Risk"))</f>
        <v>High Risk</v>
      </c>
    </row>
    <row r="650" spans="1:15" x14ac:dyDescent="0.25">
      <c r="A650">
        <f>INDEX(tblCleanData[EmployeeNumber],642)</f>
        <v>889</v>
      </c>
      <c r="B650" t="str">
        <f>IF(INDEX(tblCleanData[Age],642)&lt;30,"Under 30",IF(INDEX(tblCleanData[Age],642)&lt;40,"30-39",IF(INDEX(tblCleanData[Age],642)&lt;50,"40-49","50+")))</f>
        <v>30-39</v>
      </c>
      <c r="C650" t="str">
        <f>IF(INDEX(tblCleanData[MonthlyIncome],642)&lt;=$B$3,"Low Income",IF(INDEX(tblCleanData[MonthlyIncome],642)&lt;=$B$4,"Medium Income","High Income"))</f>
        <v>High Income</v>
      </c>
      <c r="D650">
        <f>IF(INDEX(tblCleanData[Attrition],642)="Yes",1,0)</f>
        <v>0</v>
      </c>
      <c r="E650">
        <f>IF(INDEX(tblCleanData[OverTime],642)="Yes",1,0)</f>
        <v>0</v>
      </c>
      <c r="F650" t="str">
        <f>CHOOSE(INDEX(tblCleanData[Education],642),"Below College","College","Bachelor","Master","Doctor")</f>
        <v>College</v>
      </c>
      <c r="G650" t="str">
        <f>IF(INDEX(tblCleanData[YearsAtCompany],642)&lt;=2,"0-2 Years",IF(INDEX(tblCleanData[YearsAtCompany],642)&lt;=5,"3-5 Years",IF(INDEX(tblCleanData[YearsAtCompany],642)&lt;=10,"6-10 Years","10+ Years")))</f>
        <v>6-10 Years</v>
      </c>
      <c r="H650" t="str">
        <f>IF(INDEX(tblCleanData[WorkLifeBalance],642)&lt;=2,"Elevated","Normal")</f>
        <v>Normal</v>
      </c>
      <c r="I650">
        <f>IF(INDEX(tblCleanData[Age],642)&lt;30,30,IF(INDEX(tblCleanData[Age],642)&lt;40,20,IF(INDEX(tblCleanData[Age],642)&lt;50,10,15)))</f>
        <v>20</v>
      </c>
      <c r="J650">
        <f>IF(INDEX(tblCleanData[MonthlyIncome],642)&lt;=$B$3,25,IF(INDEX(tblCleanData[MonthlyIncome],642)&lt;=$B$4,12,5))</f>
        <v>5</v>
      </c>
      <c r="K650">
        <f>IF(INDEX(tblCleanData[OverTime],642)="Yes",25,0)</f>
        <v>0</v>
      </c>
      <c r="L650">
        <f>(5-INDEX(tblCleanData[JobSatisfaction],642))*6.25</f>
        <v>18.75</v>
      </c>
      <c r="M650">
        <f>IF(INDEX(tblCleanData[YearsAtCompany],642)&lt;=2,25,IF(INDEX(tblCleanData[YearsAtCompany],642)&lt;=5,15,IF(INDEX(tblCleanData[YearsAtCompany],642)&lt;=10,8,3)))</f>
        <v>8</v>
      </c>
      <c r="N650">
        <f t="shared" si="20"/>
        <v>52</v>
      </c>
      <c r="O650" t="str">
        <f t="shared" si="21"/>
        <v>Medium Risk</v>
      </c>
    </row>
    <row r="651" spans="1:15" x14ac:dyDescent="0.25">
      <c r="A651">
        <f>INDEX(tblCleanData[EmployeeNumber],643)</f>
        <v>893</v>
      </c>
      <c r="B651" t="str">
        <f>IF(INDEX(tblCleanData[Age],643)&lt;30,"Under 30",IF(INDEX(tblCleanData[Age],643)&lt;40,"30-39",IF(INDEX(tblCleanData[Age],643)&lt;50,"40-49","50+")))</f>
        <v>30-39</v>
      </c>
      <c r="C651" t="str">
        <f>IF(INDEX(tblCleanData[MonthlyIncome],643)&lt;=$B$3,"Low Income",IF(INDEX(tblCleanData[MonthlyIncome],643)&lt;=$B$4,"Medium Income","High Income"))</f>
        <v>High Income</v>
      </c>
      <c r="D651">
        <f>IF(INDEX(tblCleanData[Attrition],643)="Yes",1,0)</f>
        <v>0</v>
      </c>
      <c r="E651">
        <f>IF(INDEX(tblCleanData[OverTime],643)="Yes",1,0)</f>
        <v>0</v>
      </c>
      <c r="F651" t="str">
        <f>CHOOSE(INDEX(tblCleanData[Education],643),"Below College","College","Bachelor","Master","Doctor")</f>
        <v>Bachelor</v>
      </c>
      <c r="G651" t="str">
        <f>IF(INDEX(tblCleanData[YearsAtCompany],643)&lt;=2,"0-2 Years",IF(INDEX(tblCleanData[YearsAtCompany],643)&lt;=5,"3-5 Years",IF(INDEX(tblCleanData[YearsAtCompany],643)&lt;=10,"6-10 Years","10+ Years")))</f>
        <v>0-2 Years</v>
      </c>
      <c r="H651" t="str">
        <f>IF(INDEX(tblCleanData[WorkLifeBalance],643)&lt;=2,"Elevated","Normal")</f>
        <v>Normal</v>
      </c>
      <c r="I651">
        <f>IF(INDEX(tblCleanData[Age],643)&lt;30,30,IF(INDEX(tblCleanData[Age],643)&lt;40,20,IF(INDEX(tblCleanData[Age],643)&lt;50,10,15)))</f>
        <v>20</v>
      </c>
      <c r="J651">
        <f>IF(INDEX(tblCleanData[MonthlyIncome],643)&lt;=$B$3,25,IF(INDEX(tblCleanData[MonthlyIncome],643)&lt;=$B$4,12,5))</f>
        <v>5</v>
      </c>
      <c r="K651">
        <f>IF(INDEX(tblCleanData[OverTime],643)="Yes",25,0)</f>
        <v>0</v>
      </c>
      <c r="L651">
        <f>(5-INDEX(tblCleanData[JobSatisfaction],643))*6.25</f>
        <v>18.75</v>
      </c>
      <c r="M651">
        <f>IF(INDEX(tblCleanData[YearsAtCompany],643)&lt;=2,25,IF(INDEX(tblCleanData[YearsAtCompany],643)&lt;=5,15,IF(INDEX(tblCleanData[YearsAtCompany],643)&lt;=10,8,3)))</f>
        <v>25</v>
      </c>
      <c r="N651">
        <f t="shared" si="20"/>
        <v>69</v>
      </c>
      <c r="O651" t="str">
        <f t="shared" si="21"/>
        <v>High Risk</v>
      </c>
    </row>
    <row r="652" spans="1:15" x14ac:dyDescent="0.25">
      <c r="A652">
        <f>INDEX(tblCleanData[EmployeeNumber],644)</f>
        <v>894</v>
      </c>
      <c r="B652" t="str">
        <f>IF(INDEX(tblCleanData[Age],644)&lt;30,"Under 30",IF(INDEX(tblCleanData[Age],644)&lt;40,"30-39",IF(INDEX(tblCleanData[Age],644)&lt;50,"40-49","50+")))</f>
        <v>40-49</v>
      </c>
      <c r="C652" t="str">
        <f>IF(INDEX(tblCleanData[MonthlyIncome],644)&lt;=$B$3,"Low Income",IF(INDEX(tblCleanData[MonthlyIncome],644)&lt;=$B$4,"Medium Income","High Income"))</f>
        <v>High Income</v>
      </c>
      <c r="D652">
        <f>IF(INDEX(tblCleanData[Attrition],644)="Yes",1,0)</f>
        <v>0</v>
      </c>
      <c r="E652">
        <f>IF(INDEX(tblCleanData[OverTime],644)="Yes",1,0)</f>
        <v>1</v>
      </c>
      <c r="F652" t="str">
        <f>CHOOSE(INDEX(tblCleanData[Education],644),"Below College","College","Bachelor","Master","Doctor")</f>
        <v>Bachelor</v>
      </c>
      <c r="G652" t="str">
        <f>IF(INDEX(tblCleanData[YearsAtCompany],644)&lt;=2,"0-2 Years",IF(INDEX(tblCleanData[YearsAtCompany],644)&lt;=5,"3-5 Years",IF(INDEX(tblCleanData[YearsAtCompany],644)&lt;=10,"6-10 Years","10+ Years")))</f>
        <v>3-5 Years</v>
      </c>
      <c r="H652" t="str">
        <f>IF(INDEX(tblCleanData[WorkLifeBalance],644)&lt;=2,"Elevated","Normal")</f>
        <v>Elevated</v>
      </c>
      <c r="I652">
        <f>IF(INDEX(tblCleanData[Age],644)&lt;30,30,IF(INDEX(tblCleanData[Age],644)&lt;40,20,IF(INDEX(tblCleanData[Age],644)&lt;50,10,15)))</f>
        <v>10</v>
      </c>
      <c r="J652">
        <f>IF(INDEX(tblCleanData[MonthlyIncome],644)&lt;=$B$3,25,IF(INDEX(tblCleanData[MonthlyIncome],644)&lt;=$B$4,12,5))</f>
        <v>5</v>
      </c>
      <c r="K652">
        <f>IF(INDEX(tblCleanData[OverTime],644)="Yes",25,0)</f>
        <v>25</v>
      </c>
      <c r="L652">
        <f>(5-INDEX(tblCleanData[JobSatisfaction],644))*6.25</f>
        <v>6.25</v>
      </c>
      <c r="M652">
        <f>IF(INDEX(tblCleanData[YearsAtCompany],644)&lt;=2,25,IF(INDEX(tblCleanData[YearsAtCompany],644)&lt;=5,15,IF(INDEX(tblCleanData[YearsAtCompany],644)&lt;=10,8,3)))</f>
        <v>15</v>
      </c>
      <c r="N652">
        <f t="shared" si="20"/>
        <v>61</v>
      </c>
      <c r="O652" t="str">
        <f t="shared" si="21"/>
        <v>High Risk</v>
      </c>
    </row>
    <row r="653" spans="1:15" x14ac:dyDescent="0.25">
      <c r="A653">
        <f>INDEX(tblCleanData[EmployeeNumber],645)</f>
        <v>895</v>
      </c>
      <c r="B653" t="str">
        <f>IF(INDEX(tblCleanData[Age],645)&lt;30,"Under 30",IF(INDEX(tblCleanData[Age],645)&lt;40,"30-39",IF(INDEX(tblCleanData[Age],645)&lt;50,"40-49","50+")))</f>
        <v>30-39</v>
      </c>
      <c r="C653" t="str">
        <f>IF(INDEX(tblCleanData[MonthlyIncome],645)&lt;=$B$3,"Low Income",IF(INDEX(tblCleanData[MonthlyIncome],645)&lt;=$B$4,"Medium Income","High Income"))</f>
        <v>High Income</v>
      </c>
      <c r="D653">
        <f>IF(INDEX(tblCleanData[Attrition],645)="Yes",1,0)</f>
        <v>0</v>
      </c>
      <c r="E653">
        <f>IF(INDEX(tblCleanData[OverTime],645)="Yes",1,0)</f>
        <v>1</v>
      </c>
      <c r="F653" t="str">
        <f>CHOOSE(INDEX(tblCleanData[Education],645),"Below College","College","Bachelor","Master","Doctor")</f>
        <v>Master</v>
      </c>
      <c r="G653" t="str">
        <f>IF(INDEX(tblCleanData[YearsAtCompany],645)&lt;=2,"0-2 Years",IF(INDEX(tblCleanData[YearsAtCompany],645)&lt;=5,"3-5 Years",IF(INDEX(tblCleanData[YearsAtCompany],645)&lt;=10,"6-10 Years","10+ Years")))</f>
        <v>6-10 Years</v>
      </c>
      <c r="H653" t="str">
        <f>IF(INDEX(tblCleanData[WorkLifeBalance],645)&lt;=2,"Elevated","Normal")</f>
        <v>Normal</v>
      </c>
      <c r="I653">
        <f>IF(INDEX(tblCleanData[Age],645)&lt;30,30,IF(INDEX(tblCleanData[Age],645)&lt;40,20,IF(INDEX(tblCleanData[Age],645)&lt;50,10,15)))</f>
        <v>20</v>
      </c>
      <c r="J653">
        <f>IF(INDEX(tblCleanData[MonthlyIncome],645)&lt;=$B$3,25,IF(INDEX(tblCleanData[MonthlyIncome],645)&lt;=$B$4,12,5))</f>
        <v>5</v>
      </c>
      <c r="K653">
        <f>IF(INDEX(tblCleanData[OverTime],645)="Yes",25,0)</f>
        <v>25</v>
      </c>
      <c r="L653">
        <f>(5-INDEX(tblCleanData[JobSatisfaction],645))*6.25</f>
        <v>6.25</v>
      </c>
      <c r="M653">
        <f>IF(INDEX(tblCleanData[YearsAtCompany],645)&lt;=2,25,IF(INDEX(tblCleanData[YearsAtCompany],645)&lt;=5,15,IF(INDEX(tblCleanData[YearsAtCompany],645)&lt;=10,8,3)))</f>
        <v>8</v>
      </c>
      <c r="N653">
        <f t="shared" si="20"/>
        <v>64</v>
      </c>
      <c r="O653" t="str">
        <f t="shared" si="21"/>
        <v>High Risk</v>
      </c>
    </row>
    <row r="654" spans="1:15" x14ac:dyDescent="0.25">
      <c r="A654">
        <f>INDEX(tblCleanData[EmployeeNumber],646)</f>
        <v>896</v>
      </c>
      <c r="B654" t="str">
        <f>IF(INDEX(tblCleanData[Age],646)&lt;30,"Under 30",IF(INDEX(tblCleanData[Age],646)&lt;40,"30-39",IF(INDEX(tblCleanData[Age],646)&lt;50,"40-49","50+")))</f>
        <v>Under 30</v>
      </c>
      <c r="C654" t="str">
        <f>IF(INDEX(tblCleanData[MonthlyIncome],646)&lt;=$B$3,"Low Income",IF(INDEX(tblCleanData[MonthlyIncome],646)&lt;=$B$4,"Medium Income","High Income"))</f>
        <v>High Income</v>
      </c>
      <c r="D654">
        <f>IF(INDEX(tblCleanData[Attrition],646)="Yes",1,0)</f>
        <v>1</v>
      </c>
      <c r="E654">
        <f>IF(INDEX(tblCleanData[OverTime],646)="Yes",1,0)</f>
        <v>1</v>
      </c>
      <c r="F654" t="str">
        <f>CHOOSE(INDEX(tblCleanData[Education],646),"Below College","College","Bachelor","Master","Doctor")</f>
        <v>Bachelor</v>
      </c>
      <c r="G654" t="str">
        <f>IF(INDEX(tblCleanData[YearsAtCompany],646)&lt;=2,"0-2 Years",IF(INDEX(tblCleanData[YearsAtCompany],646)&lt;=5,"3-5 Years",IF(INDEX(tblCleanData[YearsAtCompany],646)&lt;=10,"6-10 Years","10+ Years")))</f>
        <v>3-5 Years</v>
      </c>
      <c r="H654" t="str">
        <f>IF(INDEX(tblCleanData[WorkLifeBalance],646)&lt;=2,"Elevated","Normal")</f>
        <v>Normal</v>
      </c>
      <c r="I654">
        <f>IF(INDEX(tblCleanData[Age],646)&lt;30,30,IF(INDEX(tblCleanData[Age],646)&lt;40,20,IF(INDEX(tblCleanData[Age],646)&lt;50,10,15)))</f>
        <v>30</v>
      </c>
      <c r="J654">
        <f>IF(INDEX(tblCleanData[MonthlyIncome],646)&lt;=$B$3,25,IF(INDEX(tblCleanData[MonthlyIncome],646)&lt;=$B$4,12,5))</f>
        <v>5</v>
      </c>
      <c r="K654">
        <f>IF(INDEX(tblCleanData[OverTime],646)="Yes",25,0)</f>
        <v>25</v>
      </c>
      <c r="L654">
        <f>(5-INDEX(tblCleanData[JobSatisfaction],646))*6.25</f>
        <v>12.5</v>
      </c>
      <c r="M654">
        <f>IF(INDEX(tblCleanData[YearsAtCompany],646)&lt;=2,25,IF(INDEX(tblCleanData[YearsAtCompany],646)&lt;=5,15,IF(INDEX(tblCleanData[YearsAtCompany],646)&lt;=10,8,3)))</f>
        <v>15</v>
      </c>
      <c r="N654">
        <f t="shared" si="20"/>
        <v>88</v>
      </c>
      <c r="O654" t="str">
        <f t="shared" si="21"/>
        <v>High Risk</v>
      </c>
    </row>
    <row r="655" spans="1:15" x14ac:dyDescent="0.25">
      <c r="A655">
        <f>INDEX(tblCleanData[EmployeeNumber],647)</f>
        <v>897</v>
      </c>
      <c r="B655" t="str">
        <f>IF(INDEX(tblCleanData[Age],647)&lt;30,"Under 30",IF(INDEX(tblCleanData[Age],647)&lt;40,"30-39",IF(INDEX(tblCleanData[Age],647)&lt;50,"40-49","50+")))</f>
        <v>50+</v>
      </c>
      <c r="C655" t="str">
        <f>IF(INDEX(tblCleanData[MonthlyIncome],647)&lt;=$B$3,"Low Income",IF(INDEX(tblCleanData[MonthlyIncome],647)&lt;=$B$4,"Medium Income","High Income"))</f>
        <v>High Income</v>
      </c>
      <c r="D655">
        <f>IF(INDEX(tblCleanData[Attrition],647)="Yes",1,0)</f>
        <v>0</v>
      </c>
      <c r="E655">
        <f>IF(INDEX(tblCleanData[OverTime],647)="Yes",1,0)</f>
        <v>0</v>
      </c>
      <c r="F655" t="str">
        <f>CHOOSE(INDEX(tblCleanData[Education],647),"Below College","College","Bachelor","Master","Doctor")</f>
        <v>Bachelor</v>
      </c>
      <c r="G655" t="str">
        <f>IF(INDEX(tblCleanData[YearsAtCompany],647)&lt;=2,"0-2 Years",IF(INDEX(tblCleanData[YearsAtCompany],647)&lt;=5,"3-5 Years",IF(INDEX(tblCleanData[YearsAtCompany],647)&lt;=10,"6-10 Years","10+ Years")))</f>
        <v>0-2 Years</v>
      </c>
      <c r="H655" t="str">
        <f>IF(INDEX(tblCleanData[WorkLifeBalance],647)&lt;=2,"Elevated","Normal")</f>
        <v>Normal</v>
      </c>
      <c r="I655">
        <f>IF(INDEX(tblCleanData[Age],647)&lt;30,30,IF(INDEX(tblCleanData[Age],647)&lt;40,20,IF(INDEX(tblCleanData[Age],647)&lt;50,10,15)))</f>
        <v>15</v>
      </c>
      <c r="J655">
        <f>IF(INDEX(tblCleanData[MonthlyIncome],647)&lt;=$B$3,25,IF(INDEX(tblCleanData[MonthlyIncome],647)&lt;=$B$4,12,5))</f>
        <v>5</v>
      </c>
      <c r="K655">
        <f>IF(INDEX(tblCleanData[OverTime],647)="Yes",25,0)</f>
        <v>0</v>
      </c>
      <c r="L655">
        <f>(5-INDEX(tblCleanData[JobSatisfaction],647))*6.25</f>
        <v>6.25</v>
      </c>
      <c r="M655">
        <f>IF(INDEX(tblCleanData[YearsAtCompany],647)&lt;=2,25,IF(INDEX(tblCleanData[YearsAtCompany],647)&lt;=5,15,IF(INDEX(tblCleanData[YearsAtCompany],647)&lt;=10,8,3)))</f>
        <v>25</v>
      </c>
      <c r="N655">
        <f t="shared" si="20"/>
        <v>51</v>
      </c>
      <c r="O655" t="str">
        <f t="shared" si="21"/>
        <v>Medium Risk</v>
      </c>
    </row>
    <row r="656" spans="1:15" x14ac:dyDescent="0.25">
      <c r="A656">
        <f>INDEX(tblCleanData[EmployeeNumber],648)</f>
        <v>899</v>
      </c>
      <c r="B656" t="str">
        <f>IF(INDEX(tblCleanData[Age],648)&lt;30,"Under 30",IF(INDEX(tblCleanData[Age],648)&lt;40,"30-39",IF(INDEX(tblCleanData[Age],648)&lt;50,"40-49","50+")))</f>
        <v>30-39</v>
      </c>
      <c r="C656" t="str">
        <f>IF(INDEX(tblCleanData[MonthlyIncome],648)&lt;=$B$3,"Low Income",IF(INDEX(tblCleanData[MonthlyIncome],648)&lt;=$B$4,"Medium Income","High Income"))</f>
        <v>High Income</v>
      </c>
      <c r="D656">
        <f>IF(INDEX(tblCleanData[Attrition],648)="Yes",1,0)</f>
        <v>0</v>
      </c>
      <c r="E656">
        <f>IF(INDEX(tblCleanData[OverTime],648)="Yes",1,0)</f>
        <v>0</v>
      </c>
      <c r="F656" t="str">
        <f>CHOOSE(INDEX(tblCleanData[Education],648),"Below College","College","Bachelor","Master","Doctor")</f>
        <v>Bachelor</v>
      </c>
      <c r="G656" t="str">
        <f>IF(INDEX(tblCleanData[YearsAtCompany],648)&lt;=2,"0-2 Years",IF(INDEX(tblCleanData[YearsAtCompany],648)&lt;=5,"3-5 Years",IF(INDEX(tblCleanData[YearsAtCompany],648)&lt;=10,"6-10 Years","10+ Years")))</f>
        <v>10+ Years</v>
      </c>
      <c r="H656" t="str">
        <f>IF(INDEX(tblCleanData[WorkLifeBalance],648)&lt;=2,"Elevated","Normal")</f>
        <v>Normal</v>
      </c>
      <c r="I656">
        <f>IF(INDEX(tblCleanData[Age],648)&lt;30,30,IF(INDEX(tblCleanData[Age],648)&lt;40,20,IF(INDEX(tblCleanData[Age],648)&lt;50,10,15)))</f>
        <v>20</v>
      </c>
      <c r="J656">
        <f>IF(INDEX(tblCleanData[MonthlyIncome],648)&lt;=$B$3,25,IF(INDEX(tblCleanData[MonthlyIncome],648)&lt;=$B$4,12,5))</f>
        <v>5</v>
      </c>
      <c r="K656">
        <f>IF(INDEX(tblCleanData[OverTime],648)="Yes",25,0)</f>
        <v>0</v>
      </c>
      <c r="L656">
        <f>(5-INDEX(tblCleanData[JobSatisfaction],648))*6.25</f>
        <v>18.75</v>
      </c>
      <c r="M656">
        <f>IF(INDEX(tblCleanData[YearsAtCompany],648)&lt;=2,25,IF(INDEX(tblCleanData[YearsAtCompany],648)&lt;=5,15,IF(INDEX(tblCleanData[YearsAtCompany],648)&lt;=10,8,3)))</f>
        <v>3</v>
      </c>
      <c r="N656">
        <f t="shared" si="20"/>
        <v>47</v>
      </c>
      <c r="O656" t="str">
        <f t="shared" si="21"/>
        <v>Medium Risk</v>
      </c>
    </row>
    <row r="657" spans="1:15" x14ac:dyDescent="0.25">
      <c r="A657">
        <f>INDEX(tblCleanData[EmployeeNumber],649)</f>
        <v>900</v>
      </c>
      <c r="B657" t="str">
        <f>IF(INDEX(tblCleanData[Age],649)&lt;30,"Under 30",IF(INDEX(tblCleanData[Age],649)&lt;40,"30-39",IF(INDEX(tblCleanData[Age],649)&lt;50,"40-49","50+")))</f>
        <v>30-39</v>
      </c>
      <c r="C657" t="str">
        <f>IF(INDEX(tblCleanData[MonthlyIncome],649)&lt;=$B$3,"Low Income",IF(INDEX(tblCleanData[MonthlyIncome],649)&lt;=$B$4,"Medium Income","High Income"))</f>
        <v>High Income</v>
      </c>
      <c r="D657">
        <f>IF(INDEX(tblCleanData[Attrition],649)="Yes",1,0)</f>
        <v>0</v>
      </c>
      <c r="E657">
        <f>IF(INDEX(tblCleanData[OverTime],649)="Yes",1,0)</f>
        <v>0</v>
      </c>
      <c r="F657" t="str">
        <f>CHOOSE(INDEX(tblCleanData[Education],649),"Below College","College","Bachelor","Master","Doctor")</f>
        <v>College</v>
      </c>
      <c r="G657" t="str">
        <f>IF(INDEX(tblCleanData[YearsAtCompany],649)&lt;=2,"0-2 Years",IF(INDEX(tblCleanData[YearsAtCompany],649)&lt;=5,"3-5 Years",IF(INDEX(tblCleanData[YearsAtCompany],649)&lt;=10,"6-10 Years","10+ Years")))</f>
        <v>3-5 Years</v>
      </c>
      <c r="H657" t="str">
        <f>IF(INDEX(tblCleanData[WorkLifeBalance],649)&lt;=2,"Elevated","Normal")</f>
        <v>Normal</v>
      </c>
      <c r="I657">
        <f>IF(INDEX(tblCleanData[Age],649)&lt;30,30,IF(INDEX(tblCleanData[Age],649)&lt;40,20,IF(INDEX(tblCleanData[Age],649)&lt;50,10,15)))</f>
        <v>20</v>
      </c>
      <c r="J657">
        <f>IF(INDEX(tblCleanData[MonthlyIncome],649)&lt;=$B$3,25,IF(INDEX(tblCleanData[MonthlyIncome],649)&lt;=$B$4,12,5))</f>
        <v>5</v>
      </c>
      <c r="K657">
        <f>IF(INDEX(tblCleanData[OverTime],649)="Yes",25,0)</f>
        <v>0</v>
      </c>
      <c r="L657">
        <f>(5-INDEX(tblCleanData[JobSatisfaction],649))*6.25</f>
        <v>6.25</v>
      </c>
      <c r="M657">
        <f>IF(INDEX(tblCleanData[YearsAtCompany],649)&lt;=2,25,IF(INDEX(tblCleanData[YearsAtCompany],649)&lt;=5,15,IF(INDEX(tblCleanData[YearsAtCompany],649)&lt;=10,8,3)))</f>
        <v>15</v>
      </c>
      <c r="N657">
        <f t="shared" si="20"/>
        <v>46</v>
      </c>
      <c r="O657" t="str">
        <f t="shared" si="21"/>
        <v>Medium Risk</v>
      </c>
    </row>
    <row r="658" spans="1:15" x14ac:dyDescent="0.25">
      <c r="A658">
        <f>INDEX(tblCleanData[EmployeeNumber],650)</f>
        <v>901</v>
      </c>
      <c r="B658" t="str">
        <f>IF(INDEX(tblCleanData[Age],650)&lt;30,"Under 30",IF(INDEX(tblCleanData[Age],650)&lt;40,"30-39",IF(INDEX(tblCleanData[Age],650)&lt;50,"40-49","50+")))</f>
        <v>50+</v>
      </c>
      <c r="C658" t="str">
        <f>IF(INDEX(tblCleanData[MonthlyIncome],650)&lt;=$B$3,"Low Income",IF(INDEX(tblCleanData[MonthlyIncome],650)&lt;=$B$4,"Medium Income","High Income"))</f>
        <v>High Income</v>
      </c>
      <c r="D658">
        <f>IF(INDEX(tblCleanData[Attrition],650)="Yes",1,0)</f>
        <v>0</v>
      </c>
      <c r="E658">
        <f>IF(INDEX(tblCleanData[OverTime],650)="Yes",1,0)</f>
        <v>0</v>
      </c>
      <c r="F658" t="str">
        <f>CHOOSE(INDEX(tblCleanData[Education],650),"Below College","College","Bachelor","Master","Doctor")</f>
        <v>Master</v>
      </c>
      <c r="G658" t="str">
        <f>IF(INDEX(tblCleanData[YearsAtCompany],650)&lt;=2,"0-2 Years",IF(INDEX(tblCleanData[YearsAtCompany],650)&lt;=5,"3-5 Years",IF(INDEX(tblCleanData[YearsAtCompany],650)&lt;=10,"6-10 Years","10+ Years")))</f>
        <v>10+ Years</v>
      </c>
      <c r="H658" t="str">
        <f>IF(INDEX(tblCleanData[WorkLifeBalance],650)&lt;=2,"Elevated","Normal")</f>
        <v>Normal</v>
      </c>
      <c r="I658">
        <f>IF(INDEX(tblCleanData[Age],650)&lt;30,30,IF(INDEX(tblCleanData[Age],650)&lt;40,20,IF(INDEX(tblCleanData[Age],650)&lt;50,10,15)))</f>
        <v>15</v>
      </c>
      <c r="J658">
        <f>IF(INDEX(tblCleanData[MonthlyIncome],650)&lt;=$B$3,25,IF(INDEX(tblCleanData[MonthlyIncome],650)&lt;=$B$4,12,5))</f>
        <v>5</v>
      </c>
      <c r="K658">
        <f>IF(INDEX(tblCleanData[OverTime],650)="Yes",25,0)</f>
        <v>0</v>
      </c>
      <c r="L658">
        <f>(5-INDEX(tblCleanData[JobSatisfaction],650))*6.25</f>
        <v>6.25</v>
      </c>
      <c r="M658">
        <f>IF(INDEX(tblCleanData[YearsAtCompany],650)&lt;=2,25,IF(INDEX(tblCleanData[YearsAtCompany],650)&lt;=5,15,IF(INDEX(tblCleanData[YearsAtCompany],650)&lt;=10,8,3)))</f>
        <v>3</v>
      </c>
      <c r="N658">
        <f t="shared" si="20"/>
        <v>29</v>
      </c>
      <c r="O658" t="str">
        <f t="shared" si="21"/>
        <v>Low Risk</v>
      </c>
    </row>
    <row r="659" spans="1:15" x14ac:dyDescent="0.25">
      <c r="A659">
        <f>INDEX(tblCleanData[EmployeeNumber],651)</f>
        <v>902</v>
      </c>
      <c r="B659" t="str">
        <f>IF(INDEX(tblCleanData[Age],651)&lt;30,"Under 30",IF(INDEX(tblCleanData[Age],651)&lt;40,"30-39",IF(INDEX(tblCleanData[Age],651)&lt;50,"40-49","50+")))</f>
        <v>40-49</v>
      </c>
      <c r="C659" t="str">
        <f>IF(INDEX(tblCleanData[MonthlyIncome],651)&lt;=$B$3,"Low Income",IF(INDEX(tblCleanData[MonthlyIncome],651)&lt;=$B$4,"Medium Income","High Income"))</f>
        <v>High Income</v>
      </c>
      <c r="D659">
        <f>IF(INDEX(tblCleanData[Attrition],651)="Yes",1,0)</f>
        <v>0</v>
      </c>
      <c r="E659">
        <f>IF(INDEX(tblCleanData[OverTime],651)="Yes",1,0)</f>
        <v>0</v>
      </c>
      <c r="F659" t="str">
        <f>CHOOSE(INDEX(tblCleanData[Education],651),"Below College","College","Bachelor","Master","Doctor")</f>
        <v>Bachelor</v>
      </c>
      <c r="G659" t="str">
        <f>IF(INDEX(tblCleanData[YearsAtCompany],651)&lt;=2,"0-2 Years",IF(INDEX(tblCleanData[YearsAtCompany],651)&lt;=5,"3-5 Years",IF(INDEX(tblCleanData[YearsAtCompany],651)&lt;=10,"6-10 Years","10+ Years")))</f>
        <v>3-5 Years</v>
      </c>
      <c r="H659" t="str">
        <f>IF(INDEX(tblCleanData[WorkLifeBalance],651)&lt;=2,"Elevated","Normal")</f>
        <v>Elevated</v>
      </c>
      <c r="I659">
        <f>IF(INDEX(tblCleanData[Age],651)&lt;30,30,IF(INDEX(tblCleanData[Age],651)&lt;40,20,IF(INDEX(tblCleanData[Age],651)&lt;50,10,15)))</f>
        <v>10</v>
      </c>
      <c r="J659">
        <f>IF(INDEX(tblCleanData[MonthlyIncome],651)&lt;=$B$3,25,IF(INDEX(tblCleanData[MonthlyIncome],651)&lt;=$B$4,12,5))</f>
        <v>5</v>
      </c>
      <c r="K659">
        <f>IF(INDEX(tblCleanData[OverTime],651)="Yes",25,0)</f>
        <v>0</v>
      </c>
      <c r="L659">
        <f>(5-INDEX(tblCleanData[JobSatisfaction],651))*6.25</f>
        <v>6.25</v>
      </c>
      <c r="M659">
        <f>IF(INDEX(tblCleanData[YearsAtCompany],651)&lt;=2,25,IF(INDEX(tblCleanData[YearsAtCompany],651)&lt;=5,15,IF(INDEX(tblCleanData[YearsAtCompany],651)&lt;=10,8,3)))</f>
        <v>15</v>
      </c>
      <c r="N659">
        <f t="shared" si="20"/>
        <v>36</v>
      </c>
      <c r="O659" t="str">
        <f t="shared" si="21"/>
        <v>Medium Risk</v>
      </c>
    </row>
    <row r="660" spans="1:15" x14ac:dyDescent="0.25">
      <c r="A660">
        <f>INDEX(tblCleanData[EmployeeNumber],652)</f>
        <v>903</v>
      </c>
      <c r="B660" t="str">
        <f>IF(INDEX(tblCleanData[Age],652)&lt;30,"Under 30",IF(INDEX(tblCleanData[Age],652)&lt;40,"30-39",IF(INDEX(tblCleanData[Age],652)&lt;50,"40-49","50+")))</f>
        <v>40-49</v>
      </c>
      <c r="C660" t="str">
        <f>IF(INDEX(tblCleanData[MonthlyIncome],652)&lt;=$B$3,"Low Income",IF(INDEX(tblCleanData[MonthlyIncome],652)&lt;=$B$4,"Medium Income","High Income"))</f>
        <v>High Income</v>
      </c>
      <c r="D660">
        <f>IF(INDEX(tblCleanData[Attrition],652)="Yes",1,0)</f>
        <v>0</v>
      </c>
      <c r="E660">
        <f>IF(INDEX(tblCleanData[OverTime],652)="Yes",1,0)</f>
        <v>1</v>
      </c>
      <c r="F660" t="str">
        <f>CHOOSE(INDEX(tblCleanData[Education],652),"Below College","College","Bachelor","Master","Doctor")</f>
        <v>College</v>
      </c>
      <c r="G660" t="str">
        <f>IF(INDEX(tblCleanData[YearsAtCompany],652)&lt;=2,"0-2 Years",IF(INDEX(tblCleanData[YearsAtCompany],652)&lt;=5,"3-5 Years",IF(INDEX(tblCleanData[YearsAtCompany],652)&lt;=10,"6-10 Years","10+ Years")))</f>
        <v>6-10 Years</v>
      </c>
      <c r="H660" t="str">
        <f>IF(INDEX(tblCleanData[WorkLifeBalance],652)&lt;=2,"Elevated","Normal")</f>
        <v>Normal</v>
      </c>
      <c r="I660">
        <f>IF(INDEX(tblCleanData[Age],652)&lt;30,30,IF(INDEX(tblCleanData[Age],652)&lt;40,20,IF(INDEX(tblCleanData[Age],652)&lt;50,10,15)))</f>
        <v>10</v>
      </c>
      <c r="J660">
        <f>IF(INDEX(tblCleanData[MonthlyIncome],652)&lt;=$B$3,25,IF(INDEX(tblCleanData[MonthlyIncome],652)&lt;=$B$4,12,5))</f>
        <v>5</v>
      </c>
      <c r="K660">
        <f>IF(INDEX(tblCleanData[OverTime],652)="Yes",25,0)</f>
        <v>25</v>
      </c>
      <c r="L660">
        <f>(5-INDEX(tblCleanData[JobSatisfaction],652))*6.25</f>
        <v>6.25</v>
      </c>
      <c r="M660">
        <f>IF(INDEX(tblCleanData[YearsAtCompany],652)&lt;=2,25,IF(INDEX(tblCleanData[YearsAtCompany],652)&lt;=5,15,IF(INDEX(tblCleanData[YearsAtCompany],652)&lt;=10,8,3)))</f>
        <v>8</v>
      </c>
      <c r="N660">
        <f t="shared" si="20"/>
        <v>54</v>
      </c>
      <c r="O660" t="str">
        <f t="shared" si="21"/>
        <v>Medium Risk</v>
      </c>
    </row>
    <row r="661" spans="1:15" x14ac:dyDescent="0.25">
      <c r="A661">
        <f>INDEX(tblCleanData[EmployeeNumber],653)</f>
        <v>904</v>
      </c>
      <c r="B661" t="str">
        <f>IF(INDEX(tblCleanData[Age],653)&lt;30,"Under 30",IF(INDEX(tblCleanData[Age],653)&lt;40,"30-39",IF(INDEX(tblCleanData[Age],653)&lt;50,"40-49","50+")))</f>
        <v>30-39</v>
      </c>
      <c r="C661" t="str">
        <f>IF(INDEX(tblCleanData[MonthlyIncome],653)&lt;=$B$3,"Low Income",IF(INDEX(tblCleanData[MonthlyIncome],653)&lt;=$B$4,"Medium Income","High Income"))</f>
        <v>High Income</v>
      </c>
      <c r="D661">
        <f>IF(INDEX(tblCleanData[Attrition],653)="Yes",1,0)</f>
        <v>0</v>
      </c>
      <c r="E661">
        <f>IF(INDEX(tblCleanData[OverTime],653)="Yes",1,0)</f>
        <v>1</v>
      </c>
      <c r="F661" t="str">
        <f>CHOOSE(INDEX(tblCleanData[Education],653),"Below College","College","Bachelor","Master","Doctor")</f>
        <v>College</v>
      </c>
      <c r="G661" t="str">
        <f>IF(INDEX(tblCleanData[YearsAtCompany],653)&lt;=2,"0-2 Years",IF(INDEX(tblCleanData[YearsAtCompany],653)&lt;=5,"3-5 Years",IF(INDEX(tblCleanData[YearsAtCompany],653)&lt;=10,"6-10 Years","10+ Years")))</f>
        <v>6-10 Years</v>
      </c>
      <c r="H661" t="str">
        <f>IF(INDEX(tblCleanData[WorkLifeBalance],653)&lt;=2,"Elevated","Normal")</f>
        <v>Normal</v>
      </c>
      <c r="I661">
        <f>IF(INDEX(tblCleanData[Age],653)&lt;30,30,IF(INDEX(tblCleanData[Age],653)&lt;40,20,IF(INDEX(tblCleanData[Age],653)&lt;50,10,15)))</f>
        <v>20</v>
      </c>
      <c r="J661">
        <f>IF(INDEX(tblCleanData[MonthlyIncome],653)&lt;=$B$3,25,IF(INDEX(tblCleanData[MonthlyIncome],653)&lt;=$B$4,12,5))</f>
        <v>5</v>
      </c>
      <c r="K661">
        <f>IF(INDEX(tblCleanData[OverTime],653)="Yes",25,0)</f>
        <v>25</v>
      </c>
      <c r="L661">
        <f>(5-INDEX(tblCleanData[JobSatisfaction],653))*6.25</f>
        <v>18.75</v>
      </c>
      <c r="M661">
        <f>IF(INDEX(tblCleanData[YearsAtCompany],653)&lt;=2,25,IF(INDEX(tblCleanData[YearsAtCompany],653)&lt;=5,15,IF(INDEX(tblCleanData[YearsAtCompany],653)&lt;=10,8,3)))</f>
        <v>8</v>
      </c>
      <c r="N661">
        <f t="shared" si="20"/>
        <v>77</v>
      </c>
      <c r="O661" t="str">
        <f t="shared" si="21"/>
        <v>High Risk</v>
      </c>
    </row>
    <row r="662" spans="1:15" x14ac:dyDescent="0.25">
      <c r="A662">
        <f>INDEX(tblCleanData[EmployeeNumber],654)</f>
        <v>905</v>
      </c>
      <c r="B662" t="str">
        <f>IF(INDEX(tblCleanData[Age],654)&lt;30,"Under 30",IF(INDEX(tblCleanData[Age],654)&lt;40,"30-39",IF(INDEX(tblCleanData[Age],654)&lt;50,"40-49","50+")))</f>
        <v>50+</v>
      </c>
      <c r="C662" t="str">
        <f>IF(INDEX(tblCleanData[MonthlyIncome],654)&lt;=$B$3,"Low Income",IF(INDEX(tblCleanData[MonthlyIncome],654)&lt;=$B$4,"Medium Income","High Income"))</f>
        <v>High Income</v>
      </c>
      <c r="D662">
        <f>IF(INDEX(tblCleanData[Attrition],654)="Yes",1,0)</f>
        <v>0</v>
      </c>
      <c r="E662">
        <f>IF(INDEX(tblCleanData[OverTime],654)="Yes",1,0)</f>
        <v>0</v>
      </c>
      <c r="F662" t="str">
        <f>CHOOSE(INDEX(tblCleanData[Education],654),"Below College","College","Bachelor","Master","Doctor")</f>
        <v>Master</v>
      </c>
      <c r="G662" t="str">
        <f>IF(INDEX(tblCleanData[YearsAtCompany],654)&lt;=2,"0-2 Years",IF(INDEX(tblCleanData[YearsAtCompany],654)&lt;=5,"3-5 Years",IF(INDEX(tblCleanData[YearsAtCompany],654)&lt;=10,"6-10 Years","10+ Years")))</f>
        <v>10+ Years</v>
      </c>
      <c r="H662" t="str">
        <f>IF(INDEX(tblCleanData[WorkLifeBalance],654)&lt;=2,"Elevated","Normal")</f>
        <v>Normal</v>
      </c>
      <c r="I662">
        <f>IF(INDEX(tblCleanData[Age],654)&lt;30,30,IF(INDEX(tblCleanData[Age],654)&lt;40,20,IF(INDEX(tblCleanData[Age],654)&lt;50,10,15)))</f>
        <v>15</v>
      </c>
      <c r="J662">
        <f>IF(INDEX(tblCleanData[MonthlyIncome],654)&lt;=$B$3,25,IF(INDEX(tblCleanData[MonthlyIncome],654)&lt;=$B$4,12,5))</f>
        <v>5</v>
      </c>
      <c r="K662">
        <f>IF(INDEX(tblCleanData[OverTime],654)="Yes",25,0)</f>
        <v>0</v>
      </c>
      <c r="L662">
        <f>(5-INDEX(tblCleanData[JobSatisfaction],654))*6.25</f>
        <v>25</v>
      </c>
      <c r="M662">
        <f>IF(INDEX(tblCleanData[YearsAtCompany],654)&lt;=2,25,IF(INDEX(tblCleanData[YearsAtCompany],654)&lt;=5,15,IF(INDEX(tblCleanData[YearsAtCompany],654)&lt;=10,8,3)))</f>
        <v>3</v>
      </c>
      <c r="N662">
        <f t="shared" si="20"/>
        <v>48</v>
      </c>
      <c r="O662" t="str">
        <f t="shared" si="21"/>
        <v>Medium Risk</v>
      </c>
    </row>
    <row r="663" spans="1:15" x14ac:dyDescent="0.25">
      <c r="A663">
        <f>INDEX(tblCleanData[EmployeeNumber],655)</f>
        <v>909</v>
      </c>
      <c r="B663" t="str">
        <f>IF(INDEX(tblCleanData[Age],655)&lt;30,"Under 30",IF(INDEX(tblCleanData[Age],655)&lt;40,"30-39",IF(INDEX(tblCleanData[Age],655)&lt;50,"40-49","50+")))</f>
        <v>30-39</v>
      </c>
      <c r="C663" t="str">
        <f>IF(INDEX(tblCleanData[MonthlyIncome],655)&lt;=$B$3,"Low Income",IF(INDEX(tblCleanData[MonthlyIncome],655)&lt;=$B$4,"Medium Income","High Income"))</f>
        <v>High Income</v>
      </c>
      <c r="D663">
        <f>IF(INDEX(tblCleanData[Attrition],655)="Yes",1,0)</f>
        <v>0</v>
      </c>
      <c r="E663">
        <f>IF(INDEX(tblCleanData[OverTime],655)="Yes",1,0)</f>
        <v>0</v>
      </c>
      <c r="F663" t="str">
        <f>CHOOSE(INDEX(tblCleanData[Education],655),"Below College","College","Bachelor","Master","Doctor")</f>
        <v>Bachelor</v>
      </c>
      <c r="G663" t="str">
        <f>IF(INDEX(tblCleanData[YearsAtCompany],655)&lt;=2,"0-2 Years",IF(INDEX(tblCleanData[YearsAtCompany],655)&lt;=5,"3-5 Years",IF(INDEX(tblCleanData[YearsAtCompany],655)&lt;=10,"6-10 Years","10+ Years")))</f>
        <v>3-5 Years</v>
      </c>
      <c r="H663" t="str">
        <f>IF(INDEX(tblCleanData[WorkLifeBalance],655)&lt;=2,"Elevated","Normal")</f>
        <v>Normal</v>
      </c>
      <c r="I663">
        <f>IF(INDEX(tblCleanData[Age],655)&lt;30,30,IF(INDEX(tblCleanData[Age],655)&lt;40,20,IF(INDEX(tblCleanData[Age],655)&lt;50,10,15)))</f>
        <v>20</v>
      </c>
      <c r="J663">
        <f>IF(INDEX(tblCleanData[MonthlyIncome],655)&lt;=$B$3,25,IF(INDEX(tblCleanData[MonthlyIncome],655)&lt;=$B$4,12,5))</f>
        <v>5</v>
      </c>
      <c r="K663">
        <f>IF(INDEX(tblCleanData[OverTime],655)="Yes",25,0)</f>
        <v>0</v>
      </c>
      <c r="L663">
        <f>(5-INDEX(tblCleanData[JobSatisfaction],655))*6.25</f>
        <v>6.25</v>
      </c>
      <c r="M663">
        <f>IF(INDEX(tblCleanData[YearsAtCompany],655)&lt;=2,25,IF(INDEX(tblCleanData[YearsAtCompany],655)&lt;=5,15,IF(INDEX(tblCleanData[YearsAtCompany],655)&lt;=10,8,3)))</f>
        <v>15</v>
      </c>
      <c r="N663">
        <f t="shared" si="20"/>
        <v>46</v>
      </c>
      <c r="O663" t="str">
        <f t="shared" si="21"/>
        <v>Medium Risk</v>
      </c>
    </row>
    <row r="664" spans="1:15" x14ac:dyDescent="0.25">
      <c r="A664">
        <f>INDEX(tblCleanData[EmployeeNumber],656)</f>
        <v>910</v>
      </c>
      <c r="B664" t="str">
        <f>IF(INDEX(tblCleanData[Age],656)&lt;30,"Under 30",IF(INDEX(tblCleanData[Age],656)&lt;40,"30-39",IF(INDEX(tblCleanData[Age],656)&lt;50,"40-49","50+")))</f>
        <v>30-39</v>
      </c>
      <c r="C664" t="str">
        <f>IF(INDEX(tblCleanData[MonthlyIncome],656)&lt;=$B$3,"Low Income",IF(INDEX(tblCleanData[MonthlyIncome],656)&lt;=$B$4,"Medium Income","High Income"))</f>
        <v>High Income</v>
      </c>
      <c r="D664">
        <f>IF(INDEX(tblCleanData[Attrition],656)="Yes",1,0)</f>
        <v>0</v>
      </c>
      <c r="E664">
        <f>IF(INDEX(tblCleanData[OverTime],656)="Yes",1,0)</f>
        <v>1</v>
      </c>
      <c r="F664" t="str">
        <f>CHOOSE(INDEX(tblCleanData[Education],656),"Below College","College","Bachelor","Master","Doctor")</f>
        <v>College</v>
      </c>
      <c r="G664" t="str">
        <f>IF(INDEX(tblCleanData[YearsAtCompany],656)&lt;=2,"0-2 Years",IF(INDEX(tblCleanData[YearsAtCompany],656)&lt;=5,"3-5 Years",IF(INDEX(tblCleanData[YearsAtCompany],656)&lt;=10,"6-10 Years","10+ Years")))</f>
        <v>3-5 Years</v>
      </c>
      <c r="H664" t="str">
        <f>IF(INDEX(tblCleanData[WorkLifeBalance],656)&lt;=2,"Elevated","Normal")</f>
        <v>Normal</v>
      </c>
      <c r="I664">
        <f>IF(INDEX(tblCleanData[Age],656)&lt;30,30,IF(INDEX(tblCleanData[Age],656)&lt;40,20,IF(INDEX(tblCleanData[Age],656)&lt;50,10,15)))</f>
        <v>20</v>
      </c>
      <c r="J664">
        <f>IF(INDEX(tblCleanData[MonthlyIncome],656)&lt;=$B$3,25,IF(INDEX(tblCleanData[MonthlyIncome],656)&lt;=$B$4,12,5))</f>
        <v>5</v>
      </c>
      <c r="K664">
        <f>IF(INDEX(tblCleanData[OverTime],656)="Yes",25,0)</f>
        <v>25</v>
      </c>
      <c r="L664">
        <f>(5-INDEX(tblCleanData[JobSatisfaction],656))*6.25</f>
        <v>18.75</v>
      </c>
      <c r="M664">
        <f>IF(INDEX(tblCleanData[YearsAtCompany],656)&lt;=2,25,IF(INDEX(tblCleanData[YearsAtCompany],656)&lt;=5,15,IF(INDEX(tblCleanData[YearsAtCompany],656)&lt;=10,8,3)))</f>
        <v>15</v>
      </c>
      <c r="N664">
        <f t="shared" si="20"/>
        <v>84</v>
      </c>
      <c r="O664" t="str">
        <f t="shared" si="21"/>
        <v>High Risk</v>
      </c>
    </row>
    <row r="665" spans="1:15" x14ac:dyDescent="0.25">
      <c r="A665">
        <f>INDEX(tblCleanData[EmployeeNumber],657)</f>
        <v>911</v>
      </c>
      <c r="B665" t="str">
        <f>IF(INDEX(tblCleanData[Age],657)&lt;30,"Under 30",IF(INDEX(tblCleanData[Age],657)&lt;40,"30-39",IF(INDEX(tblCleanData[Age],657)&lt;50,"40-49","50+")))</f>
        <v>30-39</v>
      </c>
      <c r="C665" t="str">
        <f>IF(INDEX(tblCleanData[MonthlyIncome],657)&lt;=$B$3,"Low Income",IF(INDEX(tblCleanData[MonthlyIncome],657)&lt;=$B$4,"Medium Income","High Income"))</f>
        <v>High Income</v>
      </c>
      <c r="D665">
        <f>IF(INDEX(tblCleanData[Attrition],657)="Yes",1,0)</f>
        <v>1</v>
      </c>
      <c r="E665">
        <f>IF(INDEX(tblCleanData[OverTime],657)="Yes",1,0)</f>
        <v>1</v>
      </c>
      <c r="F665" t="str">
        <f>CHOOSE(INDEX(tblCleanData[Education],657),"Below College","College","Bachelor","Master","Doctor")</f>
        <v>Master</v>
      </c>
      <c r="G665" t="str">
        <f>IF(INDEX(tblCleanData[YearsAtCompany],657)&lt;=2,"0-2 Years",IF(INDEX(tblCleanData[YearsAtCompany],657)&lt;=5,"3-5 Years",IF(INDEX(tblCleanData[YearsAtCompany],657)&lt;=10,"6-10 Years","10+ Years")))</f>
        <v>0-2 Years</v>
      </c>
      <c r="H665" t="str">
        <f>IF(INDEX(tblCleanData[WorkLifeBalance],657)&lt;=2,"Elevated","Normal")</f>
        <v>Elevated</v>
      </c>
      <c r="I665">
        <f>IF(INDEX(tblCleanData[Age],657)&lt;30,30,IF(INDEX(tblCleanData[Age],657)&lt;40,20,IF(INDEX(tblCleanData[Age],657)&lt;50,10,15)))</f>
        <v>20</v>
      </c>
      <c r="J665">
        <f>IF(INDEX(tblCleanData[MonthlyIncome],657)&lt;=$B$3,25,IF(INDEX(tblCleanData[MonthlyIncome],657)&lt;=$B$4,12,5))</f>
        <v>5</v>
      </c>
      <c r="K665">
        <f>IF(INDEX(tblCleanData[OverTime],657)="Yes",25,0)</f>
        <v>25</v>
      </c>
      <c r="L665">
        <f>(5-INDEX(tblCleanData[JobSatisfaction],657))*6.25</f>
        <v>6.25</v>
      </c>
      <c r="M665">
        <f>IF(INDEX(tblCleanData[YearsAtCompany],657)&lt;=2,25,IF(INDEX(tblCleanData[YearsAtCompany],657)&lt;=5,15,IF(INDEX(tblCleanData[YearsAtCompany],657)&lt;=10,8,3)))</f>
        <v>25</v>
      </c>
      <c r="N665">
        <f t="shared" si="20"/>
        <v>81</v>
      </c>
      <c r="O665" t="str">
        <f t="shared" si="21"/>
        <v>High Risk</v>
      </c>
    </row>
    <row r="666" spans="1:15" x14ac:dyDescent="0.25">
      <c r="A666">
        <f>INDEX(tblCleanData[EmployeeNumber],658)</f>
        <v>912</v>
      </c>
      <c r="B666" t="str">
        <f>IF(INDEX(tblCleanData[Age],658)&lt;30,"Under 30",IF(INDEX(tblCleanData[Age],658)&lt;40,"30-39",IF(INDEX(tblCleanData[Age],658)&lt;50,"40-49","50+")))</f>
        <v>Under 30</v>
      </c>
      <c r="C666" t="str">
        <f>IF(INDEX(tblCleanData[MonthlyIncome],658)&lt;=$B$3,"Low Income",IF(INDEX(tblCleanData[MonthlyIncome],658)&lt;=$B$4,"Medium Income","High Income"))</f>
        <v>High Income</v>
      </c>
      <c r="D666">
        <f>IF(INDEX(tblCleanData[Attrition],658)="Yes",1,0)</f>
        <v>0</v>
      </c>
      <c r="E666">
        <f>IF(INDEX(tblCleanData[OverTime],658)="Yes",1,0)</f>
        <v>0</v>
      </c>
      <c r="F666" t="str">
        <f>CHOOSE(INDEX(tblCleanData[Education],658),"Below College","College","Bachelor","Master","Doctor")</f>
        <v>Below College</v>
      </c>
      <c r="G666" t="str">
        <f>IF(INDEX(tblCleanData[YearsAtCompany],658)&lt;=2,"0-2 Years",IF(INDEX(tblCleanData[YearsAtCompany],658)&lt;=5,"3-5 Years",IF(INDEX(tblCleanData[YearsAtCompany],658)&lt;=10,"6-10 Years","10+ Years")))</f>
        <v>3-5 Years</v>
      </c>
      <c r="H666" t="str">
        <f>IF(INDEX(tblCleanData[WorkLifeBalance],658)&lt;=2,"Elevated","Normal")</f>
        <v>Normal</v>
      </c>
      <c r="I666">
        <f>IF(INDEX(tblCleanData[Age],658)&lt;30,30,IF(INDEX(tblCleanData[Age],658)&lt;40,20,IF(INDEX(tblCleanData[Age],658)&lt;50,10,15)))</f>
        <v>30</v>
      </c>
      <c r="J666">
        <f>IF(INDEX(tblCleanData[MonthlyIncome],658)&lt;=$B$3,25,IF(INDEX(tblCleanData[MonthlyIncome],658)&lt;=$B$4,12,5))</f>
        <v>5</v>
      </c>
      <c r="K666">
        <f>IF(INDEX(tblCleanData[OverTime],658)="Yes",25,0)</f>
        <v>0</v>
      </c>
      <c r="L666">
        <f>(5-INDEX(tblCleanData[JobSatisfaction],658))*6.25</f>
        <v>6.25</v>
      </c>
      <c r="M666">
        <f>IF(INDEX(tblCleanData[YearsAtCompany],658)&lt;=2,25,IF(INDEX(tblCleanData[YearsAtCompany],658)&lt;=5,15,IF(INDEX(tblCleanData[YearsAtCompany],658)&lt;=10,8,3)))</f>
        <v>15</v>
      </c>
      <c r="N666">
        <f t="shared" si="20"/>
        <v>56</v>
      </c>
      <c r="O666" t="str">
        <f t="shared" si="21"/>
        <v>High Risk</v>
      </c>
    </row>
    <row r="667" spans="1:15" x14ac:dyDescent="0.25">
      <c r="A667">
        <f>INDEX(tblCleanData[EmployeeNumber],659)</f>
        <v>913</v>
      </c>
      <c r="B667" t="str">
        <f>IF(INDEX(tblCleanData[Age],659)&lt;30,"Under 30",IF(INDEX(tblCleanData[Age],659)&lt;40,"30-39",IF(INDEX(tblCleanData[Age],659)&lt;50,"40-49","50+")))</f>
        <v>40-49</v>
      </c>
      <c r="C667" t="str">
        <f>IF(INDEX(tblCleanData[MonthlyIncome],659)&lt;=$B$3,"Low Income",IF(INDEX(tblCleanData[MonthlyIncome],659)&lt;=$B$4,"Medium Income","High Income"))</f>
        <v>High Income</v>
      </c>
      <c r="D667">
        <f>IF(INDEX(tblCleanData[Attrition],659)="Yes",1,0)</f>
        <v>0</v>
      </c>
      <c r="E667">
        <f>IF(INDEX(tblCleanData[OverTime],659)="Yes",1,0)</f>
        <v>1</v>
      </c>
      <c r="F667" t="str">
        <f>CHOOSE(INDEX(tblCleanData[Education],659),"Below College","College","Bachelor","Master","Doctor")</f>
        <v>College</v>
      </c>
      <c r="G667" t="str">
        <f>IF(INDEX(tblCleanData[YearsAtCompany],659)&lt;=2,"0-2 Years",IF(INDEX(tblCleanData[YearsAtCompany],659)&lt;=5,"3-5 Years",IF(INDEX(tblCleanData[YearsAtCompany],659)&lt;=10,"6-10 Years","10+ Years")))</f>
        <v>6-10 Years</v>
      </c>
      <c r="H667" t="str">
        <f>IF(INDEX(tblCleanData[WorkLifeBalance],659)&lt;=2,"Elevated","Normal")</f>
        <v>Normal</v>
      </c>
      <c r="I667">
        <f>IF(INDEX(tblCleanData[Age],659)&lt;30,30,IF(INDEX(tblCleanData[Age],659)&lt;40,20,IF(INDEX(tblCleanData[Age],659)&lt;50,10,15)))</f>
        <v>10</v>
      </c>
      <c r="J667">
        <f>IF(INDEX(tblCleanData[MonthlyIncome],659)&lt;=$B$3,25,IF(INDEX(tblCleanData[MonthlyIncome],659)&lt;=$B$4,12,5))</f>
        <v>5</v>
      </c>
      <c r="K667">
        <f>IF(INDEX(tblCleanData[OverTime],659)="Yes",25,0)</f>
        <v>25</v>
      </c>
      <c r="L667">
        <f>(5-INDEX(tblCleanData[JobSatisfaction],659))*6.25</f>
        <v>25</v>
      </c>
      <c r="M667">
        <f>IF(INDEX(tblCleanData[YearsAtCompany],659)&lt;=2,25,IF(INDEX(tblCleanData[YearsAtCompany],659)&lt;=5,15,IF(INDEX(tblCleanData[YearsAtCompany],659)&lt;=10,8,3)))</f>
        <v>8</v>
      </c>
      <c r="N667">
        <f t="shared" si="20"/>
        <v>73</v>
      </c>
      <c r="O667" t="str">
        <f t="shared" si="21"/>
        <v>High Risk</v>
      </c>
    </row>
    <row r="668" spans="1:15" x14ac:dyDescent="0.25">
      <c r="A668">
        <f>INDEX(tblCleanData[EmployeeNumber],660)</f>
        <v>916</v>
      </c>
      <c r="B668" t="str">
        <f>IF(INDEX(tblCleanData[Age],660)&lt;30,"Under 30",IF(INDEX(tblCleanData[Age],660)&lt;40,"30-39",IF(INDEX(tblCleanData[Age],660)&lt;50,"40-49","50+")))</f>
        <v>Under 30</v>
      </c>
      <c r="C668" t="str">
        <f>IF(INDEX(tblCleanData[MonthlyIncome],660)&lt;=$B$3,"Low Income",IF(INDEX(tblCleanData[MonthlyIncome],660)&lt;=$B$4,"Medium Income","High Income"))</f>
        <v>High Income</v>
      </c>
      <c r="D668">
        <f>IF(INDEX(tblCleanData[Attrition],660)="Yes",1,0)</f>
        <v>0</v>
      </c>
      <c r="E668">
        <f>IF(INDEX(tblCleanData[OverTime],660)="Yes",1,0)</f>
        <v>0</v>
      </c>
      <c r="F668" t="str">
        <f>CHOOSE(INDEX(tblCleanData[Education],660),"Below College","College","Bachelor","Master","Doctor")</f>
        <v>Master</v>
      </c>
      <c r="G668" t="str">
        <f>IF(INDEX(tblCleanData[YearsAtCompany],660)&lt;=2,"0-2 Years",IF(INDEX(tblCleanData[YearsAtCompany],660)&lt;=5,"3-5 Years",IF(INDEX(tblCleanData[YearsAtCompany],660)&lt;=10,"6-10 Years","10+ Years")))</f>
        <v>3-5 Years</v>
      </c>
      <c r="H668" t="str">
        <f>IF(INDEX(tblCleanData[WorkLifeBalance],660)&lt;=2,"Elevated","Normal")</f>
        <v>Normal</v>
      </c>
      <c r="I668">
        <f>IF(INDEX(tblCleanData[Age],660)&lt;30,30,IF(INDEX(tblCleanData[Age],660)&lt;40,20,IF(INDEX(tblCleanData[Age],660)&lt;50,10,15)))</f>
        <v>30</v>
      </c>
      <c r="J668">
        <f>IF(INDEX(tblCleanData[MonthlyIncome],660)&lt;=$B$3,25,IF(INDEX(tblCleanData[MonthlyIncome],660)&lt;=$B$4,12,5))</f>
        <v>5</v>
      </c>
      <c r="K668">
        <f>IF(INDEX(tblCleanData[OverTime],660)="Yes",25,0)</f>
        <v>0</v>
      </c>
      <c r="L668">
        <f>(5-INDEX(tblCleanData[JobSatisfaction],660))*6.25</f>
        <v>6.25</v>
      </c>
      <c r="M668">
        <f>IF(INDEX(tblCleanData[YearsAtCompany],660)&lt;=2,25,IF(INDEX(tblCleanData[YearsAtCompany],660)&lt;=5,15,IF(INDEX(tblCleanData[YearsAtCompany],660)&lt;=10,8,3)))</f>
        <v>15</v>
      </c>
      <c r="N668">
        <f t="shared" si="20"/>
        <v>56</v>
      </c>
      <c r="O668" t="str">
        <f t="shared" si="21"/>
        <v>High Risk</v>
      </c>
    </row>
    <row r="669" spans="1:15" x14ac:dyDescent="0.25">
      <c r="A669">
        <f>INDEX(tblCleanData[EmployeeNumber],661)</f>
        <v>918</v>
      </c>
      <c r="B669" t="str">
        <f>IF(INDEX(tblCleanData[Age],661)&lt;30,"Under 30",IF(INDEX(tblCleanData[Age],661)&lt;40,"30-39",IF(INDEX(tblCleanData[Age],661)&lt;50,"40-49","50+")))</f>
        <v>50+</v>
      </c>
      <c r="C669" t="str">
        <f>IF(INDEX(tblCleanData[MonthlyIncome],661)&lt;=$B$3,"Low Income",IF(INDEX(tblCleanData[MonthlyIncome],661)&lt;=$B$4,"Medium Income","High Income"))</f>
        <v>High Income</v>
      </c>
      <c r="D669">
        <f>IF(INDEX(tblCleanData[Attrition],661)="Yes",1,0)</f>
        <v>1</v>
      </c>
      <c r="E669">
        <f>IF(INDEX(tblCleanData[OverTime],661)="Yes",1,0)</f>
        <v>1</v>
      </c>
      <c r="F669" t="str">
        <f>CHOOSE(INDEX(tblCleanData[Education],661),"Below College","College","Bachelor","Master","Doctor")</f>
        <v>Below College</v>
      </c>
      <c r="G669" t="str">
        <f>IF(INDEX(tblCleanData[YearsAtCompany],661)&lt;=2,"0-2 Years",IF(INDEX(tblCleanData[YearsAtCompany],661)&lt;=5,"3-5 Years",IF(INDEX(tblCleanData[YearsAtCompany],661)&lt;=10,"6-10 Years","10+ Years")))</f>
        <v>0-2 Years</v>
      </c>
      <c r="H669" t="str">
        <f>IF(INDEX(tblCleanData[WorkLifeBalance],661)&lt;=2,"Elevated","Normal")</f>
        <v>Elevated</v>
      </c>
      <c r="I669">
        <f>IF(INDEX(tblCleanData[Age],661)&lt;30,30,IF(INDEX(tblCleanData[Age],661)&lt;40,20,IF(INDEX(tblCleanData[Age],661)&lt;50,10,15)))</f>
        <v>15</v>
      </c>
      <c r="J669">
        <f>IF(INDEX(tblCleanData[MonthlyIncome],661)&lt;=$B$3,25,IF(INDEX(tblCleanData[MonthlyIncome],661)&lt;=$B$4,12,5))</f>
        <v>5</v>
      </c>
      <c r="K669">
        <f>IF(INDEX(tblCleanData[OverTime],661)="Yes",25,0)</f>
        <v>25</v>
      </c>
      <c r="L669">
        <f>(5-INDEX(tblCleanData[JobSatisfaction],661))*6.25</f>
        <v>6.25</v>
      </c>
      <c r="M669">
        <f>IF(INDEX(tblCleanData[YearsAtCompany],661)&lt;=2,25,IF(INDEX(tblCleanData[YearsAtCompany],661)&lt;=5,15,IF(INDEX(tblCleanData[YearsAtCompany],661)&lt;=10,8,3)))</f>
        <v>25</v>
      </c>
      <c r="N669">
        <f t="shared" si="20"/>
        <v>76</v>
      </c>
      <c r="O669" t="str">
        <f t="shared" si="21"/>
        <v>High Risk</v>
      </c>
    </row>
    <row r="670" spans="1:15" x14ac:dyDescent="0.25">
      <c r="A670">
        <f>INDEX(tblCleanData[EmployeeNumber],662)</f>
        <v>920</v>
      </c>
      <c r="B670" t="str">
        <f>IF(INDEX(tblCleanData[Age],662)&lt;30,"Under 30",IF(INDEX(tblCleanData[Age],662)&lt;40,"30-39",IF(INDEX(tblCleanData[Age],662)&lt;50,"40-49","50+")))</f>
        <v>40-49</v>
      </c>
      <c r="C670" t="str">
        <f>IF(INDEX(tblCleanData[MonthlyIncome],662)&lt;=$B$3,"Low Income",IF(INDEX(tblCleanData[MonthlyIncome],662)&lt;=$B$4,"Medium Income","High Income"))</f>
        <v>High Income</v>
      </c>
      <c r="D670">
        <f>IF(INDEX(tblCleanData[Attrition],662)="Yes",1,0)</f>
        <v>0</v>
      </c>
      <c r="E670">
        <f>IF(INDEX(tblCleanData[OverTime],662)="Yes",1,0)</f>
        <v>0</v>
      </c>
      <c r="F670" t="str">
        <f>CHOOSE(INDEX(tblCleanData[Education],662),"Below College","College","Bachelor","Master","Doctor")</f>
        <v>Bachelor</v>
      </c>
      <c r="G670" t="str">
        <f>IF(INDEX(tblCleanData[YearsAtCompany],662)&lt;=2,"0-2 Years",IF(INDEX(tblCleanData[YearsAtCompany],662)&lt;=5,"3-5 Years",IF(INDEX(tblCleanData[YearsAtCompany],662)&lt;=10,"6-10 Years","10+ Years")))</f>
        <v>0-2 Years</v>
      </c>
      <c r="H670" t="str">
        <f>IF(INDEX(tblCleanData[WorkLifeBalance],662)&lt;=2,"Elevated","Normal")</f>
        <v>Normal</v>
      </c>
      <c r="I670">
        <f>IF(INDEX(tblCleanData[Age],662)&lt;30,30,IF(INDEX(tblCleanData[Age],662)&lt;40,20,IF(INDEX(tblCleanData[Age],662)&lt;50,10,15)))</f>
        <v>10</v>
      </c>
      <c r="J670">
        <f>IF(INDEX(tblCleanData[MonthlyIncome],662)&lt;=$B$3,25,IF(INDEX(tblCleanData[MonthlyIncome],662)&lt;=$B$4,12,5))</f>
        <v>5</v>
      </c>
      <c r="K670">
        <f>IF(INDEX(tblCleanData[OverTime],662)="Yes",25,0)</f>
        <v>0</v>
      </c>
      <c r="L670">
        <f>(5-INDEX(tblCleanData[JobSatisfaction],662))*6.25</f>
        <v>18.75</v>
      </c>
      <c r="M670">
        <f>IF(INDEX(tblCleanData[YearsAtCompany],662)&lt;=2,25,IF(INDEX(tblCleanData[YearsAtCompany],662)&lt;=5,15,IF(INDEX(tblCleanData[YearsAtCompany],662)&lt;=10,8,3)))</f>
        <v>25</v>
      </c>
      <c r="N670">
        <f t="shared" si="20"/>
        <v>59</v>
      </c>
      <c r="O670" t="str">
        <f t="shared" si="21"/>
        <v>High Risk</v>
      </c>
    </row>
    <row r="671" spans="1:15" x14ac:dyDescent="0.25">
      <c r="A671">
        <f>INDEX(tblCleanData[EmployeeNumber],663)</f>
        <v>922</v>
      </c>
      <c r="B671" t="str">
        <f>IF(INDEX(tblCleanData[Age],663)&lt;30,"Under 30",IF(INDEX(tblCleanData[Age],663)&lt;40,"30-39",IF(INDEX(tblCleanData[Age],663)&lt;50,"40-49","50+")))</f>
        <v>Under 30</v>
      </c>
      <c r="C671" t="str">
        <f>IF(INDEX(tblCleanData[MonthlyIncome],663)&lt;=$B$3,"Low Income",IF(INDEX(tblCleanData[MonthlyIncome],663)&lt;=$B$4,"Medium Income","High Income"))</f>
        <v>High Income</v>
      </c>
      <c r="D671">
        <f>IF(INDEX(tblCleanData[Attrition],663)="Yes",1,0)</f>
        <v>1</v>
      </c>
      <c r="E671">
        <f>IF(INDEX(tblCleanData[OverTime],663)="Yes",1,0)</f>
        <v>0</v>
      </c>
      <c r="F671" t="str">
        <f>CHOOSE(INDEX(tblCleanData[Education],663),"Below College","College","Bachelor","Master","Doctor")</f>
        <v>Bachelor</v>
      </c>
      <c r="G671" t="str">
        <f>IF(INDEX(tblCleanData[YearsAtCompany],663)&lt;=2,"0-2 Years",IF(INDEX(tblCleanData[YearsAtCompany],663)&lt;=5,"3-5 Years",IF(INDEX(tblCleanData[YearsAtCompany],663)&lt;=10,"6-10 Years","10+ Years")))</f>
        <v>0-2 Years</v>
      </c>
      <c r="H671" t="str">
        <f>IF(INDEX(tblCleanData[WorkLifeBalance],663)&lt;=2,"Elevated","Normal")</f>
        <v>Elevated</v>
      </c>
      <c r="I671">
        <f>IF(INDEX(tblCleanData[Age],663)&lt;30,30,IF(INDEX(tblCleanData[Age],663)&lt;40,20,IF(INDEX(tblCleanData[Age],663)&lt;50,10,15)))</f>
        <v>30</v>
      </c>
      <c r="J671">
        <f>IF(INDEX(tblCleanData[MonthlyIncome],663)&lt;=$B$3,25,IF(INDEX(tblCleanData[MonthlyIncome],663)&lt;=$B$4,12,5))</f>
        <v>5</v>
      </c>
      <c r="K671">
        <f>IF(INDEX(tblCleanData[OverTime],663)="Yes",25,0)</f>
        <v>0</v>
      </c>
      <c r="L671">
        <f>(5-INDEX(tblCleanData[JobSatisfaction],663))*6.25</f>
        <v>12.5</v>
      </c>
      <c r="M671">
        <f>IF(INDEX(tblCleanData[YearsAtCompany],663)&lt;=2,25,IF(INDEX(tblCleanData[YearsAtCompany],663)&lt;=5,15,IF(INDEX(tblCleanData[YearsAtCompany],663)&lt;=10,8,3)))</f>
        <v>25</v>
      </c>
      <c r="N671">
        <f t="shared" si="20"/>
        <v>73</v>
      </c>
      <c r="O671" t="str">
        <f t="shared" si="21"/>
        <v>High Risk</v>
      </c>
    </row>
    <row r="672" spans="1:15" x14ac:dyDescent="0.25">
      <c r="A672">
        <f>INDEX(tblCleanData[EmployeeNumber],664)</f>
        <v>923</v>
      </c>
      <c r="B672" t="str">
        <f>IF(INDEX(tblCleanData[Age],664)&lt;30,"Under 30",IF(INDEX(tblCleanData[Age],664)&lt;40,"30-39",IF(INDEX(tblCleanData[Age],664)&lt;50,"40-49","50+")))</f>
        <v>Under 30</v>
      </c>
      <c r="C672" t="str">
        <f>IF(INDEX(tblCleanData[MonthlyIncome],664)&lt;=$B$3,"Low Income",IF(INDEX(tblCleanData[MonthlyIncome],664)&lt;=$B$4,"Medium Income","High Income"))</f>
        <v>High Income</v>
      </c>
      <c r="D672">
        <f>IF(INDEX(tblCleanData[Attrition],664)="Yes",1,0)</f>
        <v>1</v>
      </c>
      <c r="E672">
        <f>IF(INDEX(tblCleanData[OverTime],664)="Yes",1,0)</f>
        <v>0</v>
      </c>
      <c r="F672" t="str">
        <f>CHOOSE(INDEX(tblCleanData[Education],664),"Below College","College","Bachelor","Master","Doctor")</f>
        <v>Below College</v>
      </c>
      <c r="G672" t="str">
        <f>IF(INDEX(tblCleanData[YearsAtCompany],664)&lt;=2,"0-2 Years",IF(INDEX(tblCleanData[YearsAtCompany],664)&lt;=5,"3-5 Years",IF(INDEX(tblCleanData[YearsAtCompany],664)&lt;=10,"6-10 Years","10+ Years")))</f>
        <v>0-2 Years</v>
      </c>
      <c r="H672" t="str">
        <f>IF(INDEX(tblCleanData[WorkLifeBalance],664)&lt;=2,"Elevated","Normal")</f>
        <v>Elevated</v>
      </c>
      <c r="I672">
        <f>IF(INDEX(tblCleanData[Age],664)&lt;30,30,IF(INDEX(tblCleanData[Age],664)&lt;40,20,IF(INDEX(tblCleanData[Age],664)&lt;50,10,15)))</f>
        <v>30</v>
      </c>
      <c r="J672">
        <f>IF(INDEX(tblCleanData[MonthlyIncome],664)&lt;=$B$3,25,IF(INDEX(tblCleanData[MonthlyIncome],664)&lt;=$B$4,12,5))</f>
        <v>5</v>
      </c>
      <c r="K672">
        <f>IF(INDEX(tblCleanData[OverTime],664)="Yes",25,0)</f>
        <v>0</v>
      </c>
      <c r="L672">
        <f>(5-INDEX(tblCleanData[JobSatisfaction],664))*6.25</f>
        <v>6.25</v>
      </c>
      <c r="M672">
        <f>IF(INDEX(tblCleanData[YearsAtCompany],664)&lt;=2,25,IF(INDEX(tblCleanData[YearsAtCompany],664)&lt;=5,15,IF(INDEX(tblCleanData[YearsAtCompany],664)&lt;=10,8,3)))</f>
        <v>25</v>
      </c>
      <c r="N672">
        <f t="shared" si="20"/>
        <v>66</v>
      </c>
      <c r="O672" t="str">
        <f t="shared" si="21"/>
        <v>High Risk</v>
      </c>
    </row>
    <row r="673" spans="1:15" x14ac:dyDescent="0.25">
      <c r="A673">
        <f>INDEX(tblCleanData[EmployeeNumber],665)</f>
        <v>924</v>
      </c>
      <c r="B673" t="str">
        <f>IF(INDEX(tblCleanData[Age],665)&lt;30,"Under 30",IF(INDEX(tblCleanData[Age],665)&lt;40,"30-39",IF(INDEX(tblCleanData[Age],665)&lt;50,"40-49","50+")))</f>
        <v>30-39</v>
      </c>
      <c r="C673" t="str">
        <f>IF(INDEX(tblCleanData[MonthlyIncome],665)&lt;=$B$3,"Low Income",IF(INDEX(tblCleanData[MonthlyIncome],665)&lt;=$B$4,"Medium Income","High Income"))</f>
        <v>High Income</v>
      </c>
      <c r="D673">
        <f>IF(INDEX(tblCleanData[Attrition],665)="Yes",1,0)</f>
        <v>0</v>
      </c>
      <c r="E673">
        <f>IF(INDEX(tblCleanData[OverTime],665)="Yes",1,0)</f>
        <v>1</v>
      </c>
      <c r="F673" t="str">
        <f>CHOOSE(INDEX(tblCleanData[Education],665),"Below College","College","Bachelor","Master","Doctor")</f>
        <v>Below College</v>
      </c>
      <c r="G673" t="str">
        <f>IF(INDEX(tblCleanData[YearsAtCompany],665)&lt;=2,"0-2 Years",IF(INDEX(tblCleanData[YearsAtCompany],665)&lt;=5,"3-5 Years",IF(INDEX(tblCleanData[YearsAtCompany],665)&lt;=10,"6-10 Years","10+ Years")))</f>
        <v>10+ Years</v>
      </c>
      <c r="H673" t="str">
        <f>IF(INDEX(tblCleanData[WorkLifeBalance],665)&lt;=2,"Elevated","Normal")</f>
        <v>Elevated</v>
      </c>
      <c r="I673">
        <f>IF(INDEX(tblCleanData[Age],665)&lt;30,30,IF(INDEX(tblCleanData[Age],665)&lt;40,20,IF(INDEX(tblCleanData[Age],665)&lt;50,10,15)))</f>
        <v>20</v>
      </c>
      <c r="J673">
        <f>IF(INDEX(tblCleanData[MonthlyIncome],665)&lt;=$B$3,25,IF(INDEX(tblCleanData[MonthlyIncome],665)&lt;=$B$4,12,5))</f>
        <v>5</v>
      </c>
      <c r="K673">
        <f>IF(INDEX(tblCleanData[OverTime],665)="Yes",25,0)</f>
        <v>25</v>
      </c>
      <c r="L673">
        <f>(5-INDEX(tblCleanData[JobSatisfaction],665))*6.25</f>
        <v>6.25</v>
      </c>
      <c r="M673">
        <f>IF(INDEX(tblCleanData[YearsAtCompany],665)&lt;=2,25,IF(INDEX(tblCleanData[YearsAtCompany],665)&lt;=5,15,IF(INDEX(tblCleanData[YearsAtCompany],665)&lt;=10,8,3)))</f>
        <v>3</v>
      </c>
      <c r="N673">
        <f t="shared" si="20"/>
        <v>59</v>
      </c>
      <c r="O673" t="str">
        <f t="shared" si="21"/>
        <v>High Risk</v>
      </c>
    </row>
    <row r="674" spans="1:15" x14ac:dyDescent="0.25">
      <c r="A674">
        <f>INDEX(tblCleanData[EmployeeNumber],666)</f>
        <v>925</v>
      </c>
      <c r="B674" t="str">
        <f>IF(INDEX(tblCleanData[Age],666)&lt;30,"Under 30",IF(INDEX(tblCleanData[Age],666)&lt;40,"30-39",IF(INDEX(tblCleanData[Age],666)&lt;50,"40-49","50+")))</f>
        <v>40-49</v>
      </c>
      <c r="C674" t="str">
        <f>IF(INDEX(tblCleanData[MonthlyIncome],666)&lt;=$B$3,"Low Income",IF(INDEX(tblCleanData[MonthlyIncome],666)&lt;=$B$4,"Medium Income","High Income"))</f>
        <v>High Income</v>
      </c>
      <c r="D674">
        <f>IF(INDEX(tblCleanData[Attrition],666)="Yes",1,0)</f>
        <v>0</v>
      </c>
      <c r="E674">
        <f>IF(INDEX(tblCleanData[OverTime],666)="Yes",1,0)</f>
        <v>1</v>
      </c>
      <c r="F674" t="str">
        <f>CHOOSE(INDEX(tblCleanData[Education],666),"Below College","College","Bachelor","Master","Doctor")</f>
        <v>Master</v>
      </c>
      <c r="G674" t="str">
        <f>IF(INDEX(tblCleanData[YearsAtCompany],666)&lt;=2,"0-2 Years",IF(INDEX(tblCleanData[YearsAtCompany],666)&lt;=5,"3-5 Years",IF(INDEX(tblCleanData[YearsAtCompany],666)&lt;=10,"6-10 Years","10+ Years")))</f>
        <v>3-5 Years</v>
      </c>
      <c r="H674" t="str">
        <f>IF(INDEX(tblCleanData[WorkLifeBalance],666)&lt;=2,"Elevated","Normal")</f>
        <v>Elevated</v>
      </c>
      <c r="I674">
        <f>IF(INDEX(tblCleanData[Age],666)&lt;30,30,IF(INDEX(tblCleanData[Age],666)&lt;40,20,IF(INDEX(tblCleanData[Age],666)&lt;50,10,15)))</f>
        <v>10</v>
      </c>
      <c r="J674">
        <f>IF(INDEX(tblCleanData[MonthlyIncome],666)&lt;=$B$3,25,IF(INDEX(tblCleanData[MonthlyIncome],666)&lt;=$B$4,12,5))</f>
        <v>5</v>
      </c>
      <c r="K674">
        <f>IF(INDEX(tblCleanData[OverTime],666)="Yes",25,0)</f>
        <v>25</v>
      </c>
      <c r="L674">
        <f>(5-INDEX(tblCleanData[JobSatisfaction],666))*6.25</f>
        <v>6.25</v>
      </c>
      <c r="M674">
        <f>IF(INDEX(tblCleanData[YearsAtCompany],666)&lt;=2,25,IF(INDEX(tblCleanData[YearsAtCompany],666)&lt;=5,15,IF(INDEX(tblCleanData[YearsAtCompany],666)&lt;=10,8,3)))</f>
        <v>15</v>
      </c>
      <c r="N674">
        <f t="shared" si="20"/>
        <v>61</v>
      </c>
      <c r="O674" t="str">
        <f t="shared" si="21"/>
        <v>High Risk</v>
      </c>
    </row>
    <row r="675" spans="1:15" x14ac:dyDescent="0.25">
      <c r="A675">
        <f>INDEX(tblCleanData[EmployeeNumber],667)</f>
        <v>926</v>
      </c>
      <c r="B675" t="str">
        <f>IF(INDEX(tblCleanData[Age],667)&lt;30,"Under 30",IF(INDEX(tblCleanData[Age],667)&lt;40,"30-39",IF(INDEX(tblCleanData[Age],667)&lt;50,"40-49","50+")))</f>
        <v>Under 30</v>
      </c>
      <c r="C675" t="str">
        <f>IF(INDEX(tblCleanData[MonthlyIncome],667)&lt;=$B$3,"Low Income",IF(INDEX(tblCleanData[MonthlyIncome],667)&lt;=$B$4,"Medium Income","High Income"))</f>
        <v>High Income</v>
      </c>
      <c r="D675">
        <f>IF(INDEX(tblCleanData[Attrition],667)="Yes",1,0)</f>
        <v>1</v>
      </c>
      <c r="E675">
        <f>IF(INDEX(tblCleanData[OverTime],667)="Yes",1,0)</f>
        <v>1</v>
      </c>
      <c r="F675" t="str">
        <f>CHOOSE(INDEX(tblCleanData[Education],667),"Below College","College","Bachelor","Master","Doctor")</f>
        <v>Below College</v>
      </c>
      <c r="G675" t="str">
        <f>IF(INDEX(tblCleanData[YearsAtCompany],667)&lt;=2,"0-2 Years",IF(INDEX(tblCleanData[YearsAtCompany],667)&lt;=5,"3-5 Years",IF(INDEX(tblCleanData[YearsAtCompany],667)&lt;=10,"6-10 Years","10+ Years")))</f>
        <v>3-5 Years</v>
      </c>
      <c r="H675" t="str">
        <f>IF(INDEX(tblCleanData[WorkLifeBalance],667)&lt;=2,"Elevated","Normal")</f>
        <v>Normal</v>
      </c>
      <c r="I675">
        <f>IF(INDEX(tblCleanData[Age],667)&lt;30,30,IF(INDEX(tblCleanData[Age],667)&lt;40,20,IF(INDEX(tblCleanData[Age],667)&lt;50,10,15)))</f>
        <v>30</v>
      </c>
      <c r="J675">
        <f>IF(INDEX(tblCleanData[MonthlyIncome],667)&lt;=$B$3,25,IF(INDEX(tblCleanData[MonthlyIncome],667)&lt;=$B$4,12,5))</f>
        <v>5</v>
      </c>
      <c r="K675">
        <f>IF(INDEX(tblCleanData[OverTime],667)="Yes",25,0)</f>
        <v>25</v>
      </c>
      <c r="L675">
        <f>(5-INDEX(tblCleanData[JobSatisfaction],667))*6.25</f>
        <v>12.5</v>
      </c>
      <c r="M675">
        <f>IF(INDEX(tblCleanData[YearsAtCompany],667)&lt;=2,25,IF(INDEX(tblCleanData[YearsAtCompany],667)&lt;=5,15,IF(INDEX(tblCleanData[YearsAtCompany],667)&lt;=10,8,3)))</f>
        <v>15</v>
      </c>
      <c r="N675">
        <f t="shared" si="20"/>
        <v>88</v>
      </c>
      <c r="O675" t="str">
        <f t="shared" si="21"/>
        <v>High Risk</v>
      </c>
    </row>
    <row r="676" spans="1:15" x14ac:dyDescent="0.25">
      <c r="A676">
        <f>INDEX(tblCleanData[EmployeeNumber],668)</f>
        <v>927</v>
      </c>
      <c r="B676" t="str">
        <f>IF(INDEX(tblCleanData[Age],668)&lt;30,"Under 30",IF(INDEX(tblCleanData[Age],668)&lt;40,"30-39",IF(INDEX(tblCleanData[Age],668)&lt;50,"40-49","50+")))</f>
        <v>40-49</v>
      </c>
      <c r="C676" t="str">
        <f>IF(INDEX(tblCleanData[MonthlyIncome],668)&lt;=$B$3,"Low Income",IF(INDEX(tblCleanData[MonthlyIncome],668)&lt;=$B$4,"Medium Income","High Income"))</f>
        <v>High Income</v>
      </c>
      <c r="D676">
        <f>IF(INDEX(tblCleanData[Attrition],668)="Yes",1,0)</f>
        <v>1</v>
      </c>
      <c r="E676">
        <f>IF(INDEX(tblCleanData[OverTime],668)="Yes",1,0)</f>
        <v>1</v>
      </c>
      <c r="F676" t="str">
        <f>CHOOSE(INDEX(tblCleanData[Education],668),"Below College","College","Bachelor","Master","Doctor")</f>
        <v>Master</v>
      </c>
      <c r="G676" t="str">
        <f>IF(INDEX(tblCleanData[YearsAtCompany],668)&lt;=2,"0-2 Years",IF(INDEX(tblCleanData[YearsAtCompany],668)&lt;=5,"3-5 Years",IF(INDEX(tblCleanData[YearsAtCompany],668)&lt;=10,"6-10 Years","10+ Years")))</f>
        <v>6-10 Years</v>
      </c>
      <c r="H676" t="str">
        <f>IF(INDEX(tblCleanData[WorkLifeBalance],668)&lt;=2,"Elevated","Normal")</f>
        <v>Elevated</v>
      </c>
      <c r="I676">
        <f>IF(INDEX(tblCleanData[Age],668)&lt;30,30,IF(INDEX(tblCleanData[Age],668)&lt;40,20,IF(INDEX(tblCleanData[Age],668)&lt;50,10,15)))</f>
        <v>10</v>
      </c>
      <c r="J676">
        <f>IF(INDEX(tblCleanData[MonthlyIncome],668)&lt;=$B$3,25,IF(INDEX(tblCleanData[MonthlyIncome],668)&lt;=$B$4,12,5))</f>
        <v>5</v>
      </c>
      <c r="K676">
        <f>IF(INDEX(tblCleanData[OverTime],668)="Yes",25,0)</f>
        <v>25</v>
      </c>
      <c r="L676">
        <f>(5-INDEX(tblCleanData[JobSatisfaction],668))*6.25</f>
        <v>6.25</v>
      </c>
      <c r="M676">
        <f>IF(INDEX(tblCleanData[YearsAtCompany],668)&lt;=2,25,IF(INDEX(tblCleanData[YearsAtCompany],668)&lt;=5,15,IF(INDEX(tblCleanData[YearsAtCompany],668)&lt;=10,8,3)))</f>
        <v>8</v>
      </c>
      <c r="N676">
        <f t="shared" si="20"/>
        <v>54</v>
      </c>
      <c r="O676" t="str">
        <f t="shared" si="21"/>
        <v>Medium Risk</v>
      </c>
    </row>
    <row r="677" spans="1:15" x14ac:dyDescent="0.25">
      <c r="A677">
        <f>INDEX(tblCleanData[EmployeeNumber],669)</f>
        <v>930</v>
      </c>
      <c r="B677" t="str">
        <f>IF(INDEX(tblCleanData[Age],669)&lt;30,"Under 30",IF(INDEX(tblCleanData[Age],669)&lt;40,"30-39",IF(INDEX(tblCleanData[Age],669)&lt;50,"40-49","50+")))</f>
        <v>Under 30</v>
      </c>
      <c r="C677" t="str">
        <f>IF(INDEX(tblCleanData[MonthlyIncome],669)&lt;=$B$3,"Low Income",IF(INDEX(tblCleanData[MonthlyIncome],669)&lt;=$B$4,"Medium Income","High Income"))</f>
        <v>High Income</v>
      </c>
      <c r="D677">
        <f>IF(INDEX(tblCleanData[Attrition],669)="Yes",1,0)</f>
        <v>0</v>
      </c>
      <c r="E677">
        <f>IF(INDEX(tblCleanData[OverTime],669)="Yes",1,0)</f>
        <v>0</v>
      </c>
      <c r="F677" t="str">
        <f>CHOOSE(INDEX(tblCleanData[Education],669),"Below College","College","Bachelor","Master","Doctor")</f>
        <v>Bachelor</v>
      </c>
      <c r="G677" t="str">
        <f>IF(INDEX(tblCleanData[YearsAtCompany],669)&lt;=2,"0-2 Years",IF(INDEX(tblCleanData[YearsAtCompany],669)&lt;=5,"3-5 Years",IF(INDEX(tblCleanData[YearsAtCompany],669)&lt;=10,"6-10 Years","10+ Years")))</f>
        <v>0-2 Years</v>
      </c>
      <c r="H677" t="str">
        <f>IF(INDEX(tblCleanData[WorkLifeBalance],669)&lt;=2,"Elevated","Normal")</f>
        <v>Normal</v>
      </c>
      <c r="I677">
        <f>IF(INDEX(tblCleanData[Age],669)&lt;30,30,IF(INDEX(tblCleanData[Age],669)&lt;40,20,IF(INDEX(tblCleanData[Age],669)&lt;50,10,15)))</f>
        <v>30</v>
      </c>
      <c r="J677">
        <f>IF(INDEX(tblCleanData[MonthlyIncome],669)&lt;=$B$3,25,IF(INDEX(tblCleanData[MonthlyIncome],669)&lt;=$B$4,12,5))</f>
        <v>5</v>
      </c>
      <c r="K677">
        <f>IF(INDEX(tblCleanData[OverTime],669)="Yes",25,0)</f>
        <v>0</v>
      </c>
      <c r="L677">
        <f>(5-INDEX(tblCleanData[JobSatisfaction],669))*6.25</f>
        <v>12.5</v>
      </c>
      <c r="M677">
        <f>IF(INDEX(tblCleanData[YearsAtCompany],669)&lt;=2,25,IF(INDEX(tblCleanData[YearsAtCompany],669)&lt;=5,15,IF(INDEX(tblCleanData[YearsAtCompany],669)&lt;=10,8,3)))</f>
        <v>25</v>
      </c>
      <c r="N677">
        <f t="shared" si="20"/>
        <v>73</v>
      </c>
      <c r="O677" t="str">
        <f t="shared" si="21"/>
        <v>High Risk</v>
      </c>
    </row>
    <row r="678" spans="1:15" x14ac:dyDescent="0.25">
      <c r="A678">
        <f>INDEX(tblCleanData[EmployeeNumber],670)</f>
        <v>932</v>
      </c>
      <c r="B678" t="str">
        <f>IF(INDEX(tblCleanData[Age],670)&lt;30,"Under 30",IF(INDEX(tblCleanData[Age],670)&lt;40,"30-39",IF(INDEX(tblCleanData[Age],670)&lt;50,"40-49","50+")))</f>
        <v>30-39</v>
      </c>
      <c r="C678" t="str">
        <f>IF(INDEX(tblCleanData[MonthlyIncome],670)&lt;=$B$3,"Low Income",IF(INDEX(tblCleanData[MonthlyIncome],670)&lt;=$B$4,"Medium Income","High Income"))</f>
        <v>High Income</v>
      </c>
      <c r="D678">
        <f>IF(INDEX(tblCleanData[Attrition],670)="Yes",1,0)</f>
        <v>1</v>
      </c>
      <c r="E678">
        <f>IF(INDEX(tblCleanData[OverTime],670)="Yes",1,0)</f>
        <v>1</v>
      </c>
      <c r="F678" t="str">
        <f>CHOOSE(INDEX(tblCleanData[Education],670),"Below College","College","Bachelor","Master","Doctor")</f>
        <v>Bachelor</v>
      </c>
      <c r="G678" t="str">
        <f>IF(INDEX(tblCleanData[YearsAtCompany],670)&lt;=2,"0-2 Years",IF(INDEX(tblCleanData[YearsAtCompany],670)&lt;=5,"3-5 Years",IF(INDEX(tblCleanData[YearsAtCompany],670)&lt;=10,"6-10 Years","10+ Years")))</f>
        <v>0-2 Years</v>
      </c>
      <c r="H678" t="str">
        <f>IF(INDEX(tblCleanData[WorkLifeBalance],670)&lt;=2,"Elevated","Normal")</f>
        <v>Elevated</v>
      </c>
      <c r="I678">
        <f>IF(INDEX(tblCleanData[Age],670)&lt;30,30,IF(INDEX(tblCleanData[Age],670)&lt;40,20,IF(INDEX(tblCleanData[Age],670)&lt;50,10,15)))</f>
        <v>20</v>
      </c>
      <c r="J678">
        <f>IF(INDEX(tblCleanData[MonthlyIncome],670)&lt;=$B$3,25,IF(INDEX(tblCleanData[MonthlyIncome],670)&lt;=$B$4,12,5))</f>
        <v>5</v>
      </c>
      <c r="K678">
        <f>IF(INDEX(tblCleanData[OverTime],670)="Yes",25,0)</f>
        <v>25</v>
      </c>
      <c r="L678">
        <f>(5-INDEX(tblCleanData[JobSatisfaction],670))*6.25</f>
        <v>25</v>
      </c>
      <c r="M678">
        <f>IF(INDEX(tblCleanData[YearsAtCompany],670)&lt;=2,25,IF(INDEX(tblCleanData[YearsAtCompany],670)&lt;=5,15,IF(INDEX(tblCleanData[YearsAtCompany],670)&lt;=10,8,3)))</f>
        <v>25</v>
      </c>
      <c r="N678">
        <f t="shared" si="20"/>
        <v>100</v>
      </c>
      <c r="O678" t="str">
        <f t="shared" si="21"/>
        <v>High Risk</v>
      </c>
    </row>
    <row r="679" spans="1:15" x14ac:dyDescent="0.25">
      <c r="A679">
        <f>INDEX(tblCleanData[EmployeeNumber],671)</f>
        <v>933</v>
      </c>
      <c r="B679" t="str">
        <f>IF(INDEX(tblCleanData[Age],671)&lt;30,"Under 30",IF(INDEX(tblCleanData[Age],671)&lt;40,"30-39",IF(INDEX(tblCleanData[Age],671)&lt;50,"40-49","50+")))</f>
        <v>Under 30</v>
      </c>
      <c r="C679" t="str">
        <f>IF(INDEX(tblCleanData[MonthlyIncome],671)&lt;=$B$3,"Low Income",IF(INDEX(tblCleanData[MonthlyIncome],671)&lt;=$B$4,"Medium Income","High Income"))</f>
        <v>High Income</v>
      </c>
      <c r="D679">
        <f>IF(INDEX(tblCleanData[Attrition],671)="Yes",1,0)</f>
        <v>0</v>
      </c>
      <c r="E679">
        <f>IF(INDEX(tblCleanData[OverTime],671)="Yes",1,0)</f>
        <v>0</v>
      </c>
      <c r="F679" t="str">
        <f>CHOOSE(INDEX(tblCleanData[Education],671),"Below College","College","Bachelor","Master","Doctor")</f>
        <v>Bachelor</v>
      </c>
      <c r="G679" t="str">
        <f>IF(INDEX(tblCleanData[YearsAtCompany],671)&lt;=2,"0-2 Years",IF(INDEX(tblCleanData[YearsAtCompany],671)&lt;=5,"3-5 Years",IF(INDEX(tblCleanData[YearsAtCompany],671)&lt;=10,"6-10 Years","10+ Years")))</f>
        <v>0-2 Years</v>
      </c>
      <c r="H679" t="str">
        <f>IF(INDEX(tblCleanData[WorkLifeBalance],671)&lt;=2,"Elevated","Normal")</f>
        <v>Normal</v>
      </c>
      <c r="I679">
        <f>IF(INDEX(tblCleanData[Age],671)&lt;30,30,IF(INDEX(tblCleanData[Age],671)&lt;40,20,IF(INDEX(tblCleanData[Age],671)&lt;50,10,15)))</f>
        <v>30</v>
      </c>
      <c r="J679">
        <f>IF(INDEX(tblCleanData[MonthlyIncome],671)&lt;=$B$3,25,IF(INDEX(tblCleanData[MonthlyIncome],671)&lt;=$B$4,12,5))</f>
        <v>5</v>
      </c>
      <c r="K679">
        <f>IF(INDEX(tblCleanData[OverTime],671)="Yes",25,0)</f>
        <v>0</v>
      </c>
      <c r="L679">
        <f>(5-INDEX(tblCleanData[JobSatisfaction],671))*6.25</f>
        <v>12.5</v>
      </c>
      <c r="M679">
        <f>IF(INDEX(tblCleanData[YearsAtCompany],671)&lt;=2,25,IF(INDEX(tblCleanData[YearsAtCompany],671)&lt;=5,15,IF(INDEX(tblCleanData[YearsAtCompany],671)&lt;=10,8,3)))</f>
        <v>25</v>
      </c>
      <c r="N679">
        <f t="shared" si="20"/>
        <v>73</v>
      </c>
      <c r="O679" t="str">
        <f t="shared" si="21"/>
        <v>High Risk</v>
      </c>
    </row>
    <row r="680" spans="1:15" x14ac:dyDescent="0.25">
      <c r="A680">
        <f>INDEX(tblCleanData[EmployeeNumber],672)</f>
        <v>934</v>
      </c>
      <c r="B680" t="str">
        <f>IF(INDEX(tblCleanData[Age],672)&lt;30,"Under 30",IF(INDEX(tblCleanData[Age],672)&lt;40,"30-39",IF(INDEX(tblCleanData[Age],672)&lt;50,"40-49","50+")))</f>
        <v>30-39</v>
      </c>
      <c r="C680" t="str">
        <f>IF(INDEX(tblCleanData[MonthlyIncome],672)&lt;=$B$3,"Low Income",IF(INDEX(tblCleanData[MonthlyIncome],672)&lt;=$B$4,"Medium Income","High Income"))</f>
        <v>High Income</v>
      </c>
      <c r="D680">
        <f>IF(INDEX(tblCleanData[Attrition],672)="Yes",1,0)</f>
        <v>0</v>
      </c>
      <c r="E680">
        <f>IF(INDEX(tblCleanData[OverTime],672)="Yes",1,0)</f>
        <v>0</v>
      </c>
      <c r="F680" t="str">
        <f>CHOOSE(INDEX(tblCleanData[Education],672),"Below College","College","Bachelor","Master","Doctor")</f>
        <v>Bachelor</v>
      </c>
      <c r="G680" t="str">
        <f>IF(INDEX(tblCleanData[YearsAtCompany],672)&lt;=2,"0-2 Years",IF(INDEX(tblCleanData[YearsAtCompany],672)&lt;=5,"3-5 Years",IF(INDEX(tblCleanData[YearsAtCompany],672)&lt;=10,"6-10 Years","10+ Years")))</f>
        <v>0-2 Years</v>
      </c>
      <c r="H680" t="str">
        <f>IF(INDEX(tblCleanData[WorkLifeBalance],672)&lt;=2,"Elevated","Normal")</f>
        <v>Normal</v>
      </c>
      <c r="I680">
        <f>IF(INDEX(tblCleanData[Age],672)&lt;30,30,IF(INDEX(tblCleanData[Age],672)&lt;40,20,IF(INDEX(tblCleanData[Age],672)&lt;50,10,15)))</f>
        <v>20</v>
      </c>
      <c r="J680">
        <f>IF(INDEX(tblCleanData[MonthlyIncome],672)&lt;=$B$3,25,IF(INDEX(tblCleanData[MonthlyIncome],672)&lt;=$B$4,12,5))</f>
        <v>5</v>
      </c>
      <c r="K680">
        <f>IF(INDEX(tblCleanData[OverTime],672)="Yes",25,0)</f>
        <v>0</v>
      </c>
      <c r="L680">
        <f>(5-INDEX(tblCleanData[JobSatisfaction],672))*6.25</f>
        <v>18.75</v>
      </c>
      <c r="M680">
        <f>IF(INDEX(tblCleanData[YearsAtCompany],672)&lt;=2,25,IF(INDEX(tblCleanData[YearsAtCompany],672)&lt;=5,15,IF(INDEX(tblCleanData[YearsAtCompany],672)&lt;=10,8,3)))</f>
        <v>25</v>
      </c>
      <c r="N680">
        <f t="shared" si="20"/>
        <v>69</v>
      </c>
      <c r="O680" t="str">
        <f t="shared" si="21"/>
        <v>High Risk</v>
      </c>
    </row>
    <row r="681" spans="1:15" x14ac:dyDescent="0.25">
      <c r="A681">
        <f>INDEX(tblCleanData[EmployeeNumber],673)</f>
        <v>936</v>
      </c>
      <c r="B681" t="str">
        <f>IF(INDEX(tblCleanData[Age],673)&lt;30,"Under 30",IF(INDEX(tblCleanData[Age],673)&lt;40,"30-39",IF(INDEX(tblCleanData[Age],673)&lt;50,"40-49","50+")))</f>
        <v>40-49</v>
      </c>
      <c r="C681" t="str">
        <f>IF(INDEX(tblCleanData[MonthlyIncome],673)&lt;=$B$3,"Low Income",IF(INDEX(tblCleanData[MonthlyIncome],673)&lt;=$B$4,"Medium Income","High Income"))</f>
        <v>High Income</v>
      </c>
      <c r="D681">
        <f>IF(INDEX(tblCleanData[Attrition],673)="Yes",1,0)</f>
        <v>0</v>
      </c>
      <c r="E681">
        <f>IF(INDEX(tblCleanData[OverTime],673)="Yes",1,0)</f>
        <v>0</v>
      </c>
      <c r="F681" t="str">
        <f>CHOOSE(INDEX(tblCleanData[Education],673),"Below College","College","Bachelor","Master","Doctor")</f>
        <v>College</v>
      </c>
      <c r="G681" t="str">
        <f>IF(INDEX(tblCleanData[YearsAtCompany],673)&lt;=2,"0-2 Years",IF(INDEX(tblCleanData[YearsAtCompany],673)&lt;=5,"3-5 Years",IF(INDEX(tblCleanData[YearsAtCompany],673)&lt;=10,"6-10 Years","10+ Years")))</f>
        <v>3-5 Years</v>
      </c>
      <c r="H681" t="str">
        <f>IF(INDEX(tblCleanData[WorkLifeBalance],673)&lt;=2,"Elevated","Normal")</f>
        <v>Normal</v>
      </c>
      <c r="I681">
        <f>IF(INDEX(tblCleanData[Age],673)&lt;30,30,IF(INDEX(tblCleanData[Age],673)&lt;40,20,IF(INDEX(tblCleanData[Age],673)&lt;50,10,15)))</f>
        <v>10</v>
      </c>
      <c r="J681">
        <f>IF(INDEX(tblCleanData[MonthlyIncome],673)&lt;=$B$3,25,IF(INDEX(tblCleanData[MonthlyIncome],673)&lt;=$B$4,12,5))</f>
        <v>5</v>
      </c>
      <c r="K681">
        <f>IF(INDEX(tblCleanData[OverTime],673)="Yes",25,0)</f>
        <v>0</v>
      </c>
      <c r="L681">
        <f>(5-INDEX(tblCleanData[JobSatisfaction],673))*6.25</f>
        <v>12.5</v>
      </c>
      <c r="M681">
        <f>IF(INDEX(tblCleanData[YearsAtCompany],673)&lt;=2,25,IF(INDEX(tblCleanData[YearsAtCompany],673)&lt;=5,15,IF(INDEX(tblCleanData[YearsAtCompany],673)&lt;=10,8,3)))</f>
        <v>15</v>
      </c>
      <c r="N681">
        <f t="shared" si="20"/>
        <v>43</v>
      </c>
      <c r="O681" t="str">
        <f t="shared" si="21"/>
        <v>Medium Risk</v>
      </c>
    </row>
    <row r="682" spans="1:15" x14ac:dyDescent="0.25">
      <c r="A682">
        <f>INDEX(tblCleanData[EmployeeNumber],674)</f>
        <v>939</v>
      </c>
      <c r="B682" t="str">
        <f>IF(INDEX(tblCleanData[Age],674)&lt;30,"Under 30",IF(INDEX(tblCleanData[Age],674)&lt;40,"30-39",IF(INDEX(tblCleanData[Age],674)&lt;50,"40-49","50+")))</f>
        <v>30-39</v>
      </c>
      <c r="C682" t="str">
        <f>IF(INDEX(tblCleanData[MonthlyIncome],674)&lt;=$B$3,"Low Income",IF(INDEX(tblCleanData[MonthlyIncome],674)&lt;=$B$4,"Medium Income","High Income"))</f>
        <v>High Income</v>
      </c>
      <c r="D682">
        <f>IF(INDEX(tblCleanData[Attrition],674)="Yes",1,0)</f>
        <v>0</v>
      </c>
      <c r="E682">
        <f>IF(INDEX(tblCleanData[OverTime],674)="Yes",1,0)</f>
        <v>1</v>
      </c>
      <c r="F682" t="str">
        <f>CHOOSE(INDEX(tblCleanData[Education],674),"Below College","College","Bachelor","Master","Doctor")</f>
        <v>Master</v>
      </c>
      <c r="G682" t="str">
        <f>IF(INDEX(tblCleanData[YearsAtCompany],674)&lt;=2,"0-2 Years",IF(INDEX(tblCleanData[YearsAtCompany],674)&lt;=5,"3-5 Years",IF(INDEX(tblCleanData[YearsAtCompany],674)&lt;=10,"6-10 Years","10+ Years")))</f>
        <v>3-5 Years</v>
      </c>
      <c r="H682" t="str">
        <f>IF(INDEX(tblCleanData[WorkLifeBalance],674)&lt;=2,"Elevated","Normal")</f>
        <v>Normal</v>
      </c>
      <c r="I682">
        <f>IF(INDEX(tblCleanData[Age],674)&lt;30,30,IF(INDEX(tblCleanData[Age],674)&lt;40,20,IF(INDEX(tblCleanData[Age],674)&lt;50,10,15)))</f>
        <v>20</v>
      </c>
      <c r="J682">
        <f>IF(INDEX(tblCleanData[MonthlyIncome],674)&lt;=$B$3,25,IF(INDEX(tblCleanData[MonthlyIncome],674)&lt;=$B$4,12,5))</f>
        <v>5</v>
      </c>
      <c r="K682">
        <f>IF(INDEX(tblCleanData[OverTime],674)="Yes",25,0)</f>
        <v>25</v>
      </c>
      <c r="L682">
        <f>(5-INDEX(tblCleanData[JobSatisfaction],674))*6.25</f>
        <v>25</v>
      </c>
      <c r="M682">
        <f>IF(INDEX(tblCleanData[YearsAtCompany],674)&lt;=2,25,IF(INDEX(tblCleanData[YearsAtCompany],674)&lt;=5,15,IF(INDEX(tblCleanData[YearsAtCompany],674)&lt;=10,8,3)))</f>
        <v>15</v>
      </c>
      <c r="N682">
        <f t="shared" si="20"/>
        <v>90</v>
      </c>
      <c r="O682" t="str">
        <f t="shared" si="21"/>
        <v>High Risk</v>
      </c>
    </row>
    <row r="683" spans="1:15" x14ac:dyDescent="0.25">
      <c r="A683">
        <f>INDEX(tblCleanData[EmployeeNumber],675)</f>
        <v>940</v>
      </c>
      <c r="B683" t="str">
        <f>IF(INDEX(tblCleanData[Age],675)&lt;30,"Under 30",IF(INDEX(tblCleanData[Age],675)&lt;40,"30-39",IF(INDEX(tblCleanData[Age],675)&lt;50,"40-49","50+")))</f>
        <v>50+</v>
      </c>
      <c r="C683" t="str">
        <f>IF(INDEX(tblCleanData[MonthlyIncome],675)&lt;=$B$3,"Low Income",IF(INDEX(tblCleanData[MonthlyIncome],675)&lt;=$B$4,"Medium Income","High Income"))</f>
        <v>High Income</v>
      </c>
      <c r="D683">
        <f>IF(INDEX(tblCleanData[Attrition],675)="Yes",1,0)</f>
        <v>0</v>
      </c>
      <c r="E683">
        <f>IF(INDEX(tblCleanData[OverTime],675)="Yes",1,0)</f>
        <v>1</v>
      </c>
      <c r="F683" t="str">
        <f>CHOOSE(INDEX(tblCleanData[Education],675),"Below College","College","Bachelor","Master","Doctor")</f>
        <v>Bachelor</v>
      </c>
      <c r="G683" t="str">
        <f>IF(INDEX(tblCleanData[YearsAtCompany],675)&lt;=2,"0-2 Years",IF(INDEX(tblCleanData[YearsAtCompany],675)&lt;=5,"3-5 Years",IF(INDEX(tblCleanData[YearsAtCompany],675)&lt;=10,"6-10 Years","10+ Years")))</f>
        <v>6-10 Years</v>
      </c>
      <c r="H683" t="str">
        <f>IF(INDEX(tblCleanData[WorkLifeBalance],675)&lt;=2,"Elevated","Normal")</f>
        <v>Normal</v>
      </c>
      <c r="I683">
        <f>IF(INDEX(tblCleanData[Age],675)&lt;30,30,IF(INDEX(tblCleanData[Age],675)&lt;40,20,IF(INDEX(tblCleanData[Age],675)&lt;50,10,15)))</f>
        <v>15</v>
      </c>
      <c r="J683">
        <f>IF(INDEX(tblCleanData[MonthlyIncome],675)&lt;=$B$3,25,IF(INDEX(tblCleanData[MonthlyIncome],675)&lt;=$B$4,12,5))</f>
        <v>5</v>
      </c>
      <c r="K683">
        <f>IF(INDEX(tblCleanData[OverTime],675)="Yes",25,0)</f>
        <v>25</v>
      </c>
      <c r="L683">
        <f>(5-INDEX(tblCleanData[JobSatisfaction],675))*6.25</f>
        <v>18.75</v>
      </c>
      <c r="M683">
        <f>IF(INDEX(tblCleanData[YearsAtCompany],675)&lt;=2,25,IF(INDEX(tblCleanData[YearsAtCompany],675)&lt;=5,15,IF(INDEX(tblCleanData[YearsAtCompany],675)&lt;=10,8,3)))</f>
        <v>8</v>
      </c>
      <c r="N683">
        <f t="shared" si="20"/>
        <v>72</v>
      </c>
      <c r="O683" t="str">
        <f t="shared" si="21"/>
        <v>High Risk</v>
      </c>
    </row>
    <row r="684" spans="1:15" x14ac:dyDescent="0.25">
      <c r="A684">
        <f>INDEX(tblCleanData[EmployeeNumber],676)</f>
        <v>941</v>
      </c>
      <c r="B684" t="str">
        <f>IF(INDEX(tblCleanData[Age],676)&lt;30,"Under 30",IF(INDEX(tblCleanData[Age],676)&lt;40,"30-39",IF(INDEX(tblCleanData[Age],676)&lt;50,"40-49","50+")))</f>
        <v>30-39</v>
      </c>
      <c r="C684" t="str">
        <f>IF(INDEX(tblCleanData[MonthlyIncome],676)&lt;=$B$3,"Low Income",IF(INDEX(tblCleanData[MonthlyIncome],676)&lt;=$B$4,"Medium Income","High Income"))</f>
        <v>High Income</v>
      </c>
      <c r="D684">
        <f>IF(INDEX(tblCleanData[Attrition],676)="Yes",1,0)</f>
        <v>0</v>
      </c>
      <c r="E684">
        <f>IF(INDEX(tblCleanData[OverTime],676)="Yes",1,0)</f>
        <v>0</v>
      </c>
      <c r="F684" t="str">
        <f>CHOOSE(INDEX(tblCleanData[Education],676),"Below College","College","Bachelor","Master","Doctor")</f>
        <v>Master</v>
      </c>
      <c r="G684" t="str">
        <f>IF(INDEX(tblCleanData[YearsAtCompany],676)&lt;=2,"0-2 Years",IF(INDEX(tblCleanData[YearsAtCompany],676)&lt;=5,"3-5 Years",IF(INDEX(tblCleanData[YearsAtCompany],676)&lt;=10,"6-10 Years","10+ Years")))</f>
        <v>6-10 Years</v>
      </c>
      <c r="H684" t="str">
        <f>IF(INDEX(tblCleanData[WorkLifeBalance],676)&lt;=2,"Elevated","Normal")</f>
        <v>Normal</v>
      </c>
      <c r="I684">
        <f>IF(INDEX(tblCleanData[Age],676)&lt;30,30,IF(INDEX(tblCleanData[Age],676)&lt;40,20,IF(INDEX(tblCleanData[Age],676)&lt;50,10,15)))</f>
        <v>20</v>
      </c>
      <c r="J684">
        <f>IF(INDEX(tblCleanData[MonthlyIncome],676)&lt;=$B$3,25,IF(INDEX(tblCleanData[MonthlyIncome],676)&lt;=$B$4,12,5))</f>
        <v>5</v>
      </c>
      <c r="K684">
        <f>IF(INDEX(tblCleanData[OverTime],676)="Yes",25,0)</f>
        <v>0</v>
      </c>
      <c r="L684">
        <f>(5-INDEX(tblCleanData[JobSatisfaction],676))*6.25</f>
        <v>12.5</v>
      </c>
      <c r="M684">
        <f>IF(INDEX(tblCleanData[YearsAtCompany],676)&lt;=2,25,IF(INDEX(tblCleanData[YearsAtCompany],676)&lt;=5,15,IF(INDEX(tblCleanData[YearsAtCompany],676)&lt;=10,8,3)))</f>
        <v>8</v>
      </c>
      <c r="N684">
        <f t="shared" si="20"/>
        <v>46</v>
      </c>
      <c r="O684" t="str">
        <f t="shared" si="21"/>
        <v>Medium Risk</v>
      </c>
    </row>
    <row r="685" spans="1:15" x14ac:dyDescent="0.25">
      <c r="A685">
        <f>INDEX(tblCleanData[EmployeeNumber],677)</f>
        <v>942</v>
      </c>
      <c r="B685" t="str">
        <f>IF(INDEX(tblCleanData[Age],677)&lt;30,"Under 30",IF(INDEX(tblCleanData[Age],677)&lt;40,"30-39",IF(INDEX(tblCleanData[Age],677)&lt;50,"40-49","50+")))</f>
        <v>30-39</v>
      </c>
      <c r="C685" t="str">
        <f>IF(INDEX(tblCleanData[MonthlyIncome],677)&lt;=$B$3,"Low Income",IF(INDEX(tblCleanData[MonthlyIncome],677)&lt;=$B$4,"Medium Income","High Income"))</f>
        <v>High Income</v>
      </c>
      <c r="D685">
        <f>IF(INDEX(tblCleanData[Attrition],677)="Yes",1,0)</f>
        <v>0</v>
      </c>
      <c r="E685">
        <f>IF(INDEX(tblCleanData[OverTime],677)="Yes",1,0)</f>
        <v>1</v>
      </c>
      <c r="F685" t="str">
        <f>CHOOSE(INDEX(tblCleanData[Education],677),"Below College","College","Bachelor","Master","Doctor")</f>
        <v>Below College</v>
      </c>
      <c r="G685" t="str">
        <f>IF(INDEX(tblCleanData[YearsAtCompany],677)&lt;=2,"0-2 Years",IF(INDEX(tblCleanData[YearsAtCompany],677)&lt;=5,"3-5 Years",IF(INDEX(tblCleanData[YearsAtCompany],677)&lt;=10,"6-10 Years","10+ Years")))</f>
        <v>6-10 Years</v>
      </c>
      <c r="H685" t="str">
        <f>IF(INDEX(tblCleanData[WorkLifeBalance],677)&lt;=2,"Elevated","Normal")</f>
        <v>Elevated</v>
      </c>
      <c r="I685">
        <f>IF(INDEX(tblCleanData[Age],677)&lt;30,30,IF(INDEX(tblCleanData[Age],677)&lt;40,20,IF(INDEX(tblCleanData[Age],677)&lt;50,10,15)))</f>
        <v>20</v>
      </c>
      <c r="J685">
        <f>IF(INDEX(tblCleanData[MonthlyIncome],677)&lt;=$B$3,25,IF(INDEX(tblCleanData[MonthlyIncome],677)&lt;=$B$4,12,5))</f>
        <v>5</v>
      </c>
      <c r="K685">
        <f>IF(INDEX(tblCleanData[OverTime],677)="Yes",25,0)</f>
        <v>25</v>
      </c>
      <c r="L685">
        <f>(5-INDEX(tblCleanData[JobSatisfaction],677))*6.25</f>
        <v>6.25</v>
      </c>
      <c r="M685">
        <f>IF(INDEX(tblCleanData[YearsAtCompany],677)&lt;=2,25,IF(INDEX(tblCleanData[YearsAtCompany],677)&lt;=5,15,IF(INDEX(tblCleanData[YearsAtCompany],677)&lt;=10,8,3)))</f>
        <v>8</v>
      </c>
      <c r="N685">
        <f t="shared" si="20"/>
        <v>64</v>
      </c>
      <c r="O685" t="str">
        <f t="shared" si="21"/>
        <v>High Risk</v>
      </c>
    </row>
    <row r="686" spans="1:15" x14ac:dyDescent="0.25">
      <c r="A686">
        <f>INDEX(tblCleanData[EmployeeNumber],678)</f>
        <v>944</v>
      </c>
      <c r="B686" t="str">
        <f>IF(INDEX(tblCleanData[Age],678)&lt;30,"Under 30",IF(INDEX(tblCleanData[Age],678)&lt;40,"30-39",IF(INDEX(tblCleanData[Age],678)&lt;50,"40-49","50+")))</f>
        <v>40-49</v>
      </c>
      <c r="C686" t="str">
        <f>IF(INDEX(tblCleanData[MonthlyIncome],678)&lt;=$B$3,"Low Income",IF(INDEX(tblCleanData[MonthlyIncome],678)&lt;=$B$4,"Medium Income","High Income"))</f>
        <v>High Income</v>
      </c>
      <c r="D686">
        <f>IF(INDEX(tblCleanData[Attrition],678)="Yes",1,0)</f>
        <v>0</v>
      </c>
      <c r="E686">
        <f>IF(INDEX(tblCleanData[OverTime],678)="Yes",1,0)</f>
        <v>0</v>
      </c>
      <c r="F686" t="str">
        <f>CHOOSE(INDEX(tblCleanData[Education],678),"Below College","College","Bachelor","Master","Doctor")</f>
        <v>College</v>
      </c>
      <c r="G686" t="str">
        <f>IF(INDEX(tblCleanData[YearsAtCompany],678)&lt;=2,"0-2 Years",IF(INDEX(tblCleanData[YearsAtCompany],678)&lt;=5,"3-5 Years",IF(INDEX(tblCleanData[YearsAtCompany],678)&lt;=10,"6-10 Years","10+ Years")))</f>
        <v>10+ Years</v>
      </c>
      <c r="H686" t="str">
        <f>IF(INDEX(tblCleanData[WorkLifeBalance],678)&lt;=2,"Elevated","Normal")</f>
        <v>Elevated</v>
      </c>
      <c r="I686">
        <f>IF(INDEX(tblCleanData[Age],678)&lt;30,30,IF(INDEX(tblCleanData[Age],678)&lt;40,20,IF(INDEX(tblCleanData[Age],678)&lt;50,10,15)))</f>
        <v>10</v>
      </c>
      <c r="J686">
        <f>IF(INDEX(tblCleanData[MonthlyIncome],678)&lt;=$B$3,25,IF(INDEX(tblCleanData[MonthlyIncome],678)&lt;=$B$4,12,5))</f>
        <v>5</v>
      </c>
      <c r="K686">
        <f>IF(INDEX(tblCleanData[OverTime],678)="Yes",25,0)</f>
        <v>0</v>
      </c>
      <c r="L686">
        <f>(5-INDEX(tblCleanData[JobSatisfaction],678))*6.25</f>
        <v>18.75</v>
      </c>
      <c r="M686">
        <f>IF(INDEX(tblCleanData[YearsAtCompany],678)&lt;=2,25,IF(INDEX(tblCleanData[YearsAtCompany],678)&lt;=5,15,IF(INDEX(tblCleanData[YearsAtCompany],678)&lt;=10,8,3)))</f>
        <v>3</v>
      </c>
      <c r="N686">
        <f t="shared" si="20"/>
        <v>37</v>
      </c>
      <c r="O686" t="str">
        <f t="shared" si="21"/>
        <v>Medium Risk</v>
      </c>
    </row>
    <row r="687" spans="1:15" x14ac:dyDescent="0.25">
      <c r="A687">
        <f>INDEX(tblCleanData[EmployeeNumber],679)</f>
        <v>945</v>
      </c>
      <c r="B687" t="str">
        <f>IF(INDEX(tblCleanData[Age],679)&lt;30,"Under 30",IF(INDEX(tblCleanData[Age],679)&lt;40,"30-39",IF(INDEX(tblCleanData[Age],679)&lt;50,"40-49","50+")))</f>
        <v>40-49</v>
      </c>
      <c r="C687" t="str">
        <f>IF(INDEX(tblCleanData[MonthlyIncome],679)&lt;=$B$3,"Low Income",IF(INDEX(tblCleanData[MonthlyIncome],679)&lt;=$B$4,"Medium Income","High Income"))</f>
        <v>High Income</v>
      </c>
      <c r="D687">
        <f>IF(INDEX(tblCleanData[Attrition],679)="Yes",1,0)</f>
        <v>0</v>
      </c>
      <c r="E687">
        <f>IF(INDEX(tblCleanData[OverTime],679)="Yes",1,0)</f>
        <v>0</v>
      </c>
      <c r="F687" t="str">
        <f>CHOOSE(INDEX(tblCleanData[Education],679),"Below College","College","Bachelor","Master","Doctor")</f>
        <v>Master</v>
      </c>
      <c r="G687" t="str">
        <f>IF(INDEX(tblCleanData[YearsAtCompany],679)&lt;=2,"0-2 Years",IF(INDEX(tblCleanData[YearsAtCompany],679)&lt;=5,"3-5 Years",IF(INDEX(tblCleanData[YearsAtCompany],679)&lt;=10,"6-10 Years","10+ Years")))</f>
        <v>0-2 Years</v>
      </c>
      <c r="H687" t="str">
        <f>IF(INDEX(tblCleanData[WorkLifeBalance],679)&lt;=2,"Elevated","Normal")</f>
        <v>Elevated</v>
      </c>
      <c r="I687">
        <f>IF(INDEX(tblCleanData[Age],679)&lt;30,30,IF(INDEX(tblCleanData[Age],679)&lt;40,20,IF(INDEX(tblCleanData[Age],679)&lt;50,10,15)))</f>
        <v>10</v>
      </c>
      <c r="J687">
        <f>IF(INDEX(tblCleanData[MonthlyIncome],679)&lt;=$B$3,25,IF(INDEX(tblCleanData[MonthlyIncome],679)&lt;=$B$4,12,5))</f>
        <v>5</v>
      </c>
      <c r="K687">
        <f>IF(INDEX(tblCleanData[OverTime],679)="Yes",25,0)</f>
        <v>0</v>
      </c>
      <c r="L687">
        <f>(5-INDEX(tblCleanData[JobSatisfaction],679))*6.25</f>
        <v>12.5</v>
      </c>
      <c r="M687">
        <f>IF(INDEX(tblCleanData[YearsAtCompany],679)&lt;=2,25,IF(INDEX(tblCleanData[YearsAtCompany],679)&lt;=5,15,IF(INDEX(tblCleanData[YearsAtCompany],679)&lt;=10,8,3)))</f>
        <v>25</v>
      </c>
      <c r="N687">
        <f t="shared" si="20"/>
        <v>53</v>
      </c>
      <c r="O687" t="str">
        <f t="shared" si="21"/>
        <v>Medium Risk</v>
      </c>
    </row>
    <row r="688" spans="1:15" x14ac:dyDescent="0.25">
      <c r="A688">
        <f>INDEX(tblCleanData[EmployeeNumber],680)</f>
        <v>947</v>
      </c>
      <c r="B688" t="str">
        <f>IF(INDEX(tblCleanData[Age],680)&lt;30,"Under 30",IF(INDEX(tblCleanData[Age],680)&lt;40,"30-39",IF(INDEX(tblCleanData[Age],680)&lt;50,"40-49","50+")))</f>
        <v>30-39</v>
      </c>
      <c r="C688" t="str">
        <f>IF(INDEX(tblCleanData[MonthlyIncome],680)&lt;=$B$3,"Low Income",IF(INDEX(tblCleanData[MonthlyIncome],680)&lt;=$B$4,"Medium Income","High Income"))</f>
        <v>High Income</v>
      </c>
      <c r="D688">
        <f>IF(INDEX(tblCleanData[Attrition],680)="Yes",1,0)</f>
        <v>0</v>
      </c>
      <c r="E688">
        <f>IF(INDEX(tblCleanData[OverTime],680)="Yes",1,0)</f>
        <v>0</v>
      </c>
      <c r="F688" t="str">
        <f>CHOOSE(INDEX(tblCleanData[Education],680),"Below College","College","Bachelor","Master","Doctor")</f>
        <v>College</v>
      </c>
      <c r="G688" t="str">
        <f>IF(INDEX(tblCleanData[YearsAtCompany],680)&lt;=2,"0-2 Years",IF(INDEX(tblCleanData[YearsAtCompany],680)&lt;=5,"3-5 Years",IF(INDEX(tblCleanData[YearsAtCompany],680)&lt;=10,"6-10 Years","10+ Years")))</f>
        <v>6-10 Years</v>
      </c>
      <c r="H688" t="str">
        <f>IF(INDEX(tblCleanData[WorkLifeBalance],680)&lt;=2,"Elevated","Normal")</f>
        <v>Elevated</v>
      </c>
      <c r="I688">
        <f>IF(INDEX(tblCleanData[Age],680)&lt;30,30,IF(INDEX(tblCleanData[Age],680)&lt;40,20,IF(INDEX(tblCleanData[Age],680)&lt;50,10,15)))</f>
        <v>20</v>
      </c>
      <c r="J688">
        <f>IF(INDEX(tblCleanData[MonthlyIncome],680)&lt;=$B$3,25,IF(INDEX(tblCleanData[MonthlyIncome],680)&lt;=$B$4,12,5))</f>
        <v>5</v>
      </c>
      <c r="K688">
        <f>IF(INDEX(tblCleanData[OverTime],680)="Yes",25,0)</f>
        <v>0</v>
      </c>
      <c r="L688">
        <f>(5-INDEX(tblCleanData[JobSatisfaction],680))*6.25</f>
        <v>12.5</v>
      </c>
      <c r="M688">
        <f>IF(INDEX(tblCleanData[YearsAtCompany],680)&lt;=2,25,IF(INDEX(tblCleanData[YearsAtCompany],680)&lt;=5,15,IF(INDEX(tblCleanData[YearsAtCompany],680)&lt;=10,8,3)))</f>
        <v>8</v>
      </c>
      <c r="N688">
        <f t="shared" si="20"/>
        <v>46</v>
      </c>
      <c r="O688" t="str">
        <f t="shared" si="21"/>
        <v>Medium Risk</v>
      </c>
    </row>
    <row r="689" spans="1:15" x14ac:dyDescent="0.25">
      <c r="A689">
        <f>INDEX(tblCleanData[EmployeeNumber],681)</f>
        <v>949</v>
      </c>
      <c r="B689" t="str">
        <f>IF(INDEX(tblCleanData[Age],681)&lt;30,"Under 30",IF(INDEX(tblCleanData[Age],681)&lt;40,"30-39",IF(INDEX(tblCleanData[Age],681)&lt;50,"40-49","50+")))</f>
        <v>30-39</v>
      </c>
      <c r="C689" t="str">
        <f>IF(INDEX(tblCleanData[MonthlyIncome],681)&lt;=$B$3,"Low Income",IF(INDEX(tblCleanData[MonthlyIncome],681)&lt;=$B$4,"Medium Income","High Income"))</f>
        <v>High Income</v>
      </c>
      <c r="D689">
        <f>IF(INDEX(tblCleanData[Attrition],681)="Yes",1,0)</f>
        <v>0</v>
      </c>
      <c r="E689">
        <f>IF(INDEX(tblCleanData[OverTime],681)="Yes",1,0)</f>
        <v>0</v>
      </c>
      <c r="F689" t="str">
        <f>CHOOSE(INDEX(tblCleanData[Education],681),"Below College","College","Bachelor","Master","Doctor")</f>
        <v>Master</v>
      </c>
      <c r="G689" t="str">
        <f>IF(INDEX(tblCleanData[YearsAtCompany],681)&lt;=2,"0-2 Years",IF(INDEX(tblCleanData[YearsAtCompany],681)&lt;=5,"3-5 Years",IF(INDEX(tblCleanData[YearsAtCompany],681)&lt;=10,"6-10 Years","10+ Years")))</f>
        <v>6-10 Years</v>
      </c>
      <c r="H689" t="str">
        <f>IF(INDEX(tblCleanData[WorkLifeBalance],681)&lt;=2,"Elevated","Normal")</f>
        <v>Normal</v>
      </c>
      <c r="I689">
        <f>IF(INDEX(tblCleanData[Age],681)&lt;30,30,IF(INDEX(tblCleanData[Age],681)&lt;40,20,IF(INDEX(tblCleanData[Age],681)&lt;50,10,15)))</f>
        <v>20</v>
      </c>
      <c r="J689">
        <f>IF(INDEX(tblCleanData[MonthlyIncome],681)&lt;=$B$3,25,IF(INDEX(tblCleanData[MonthlyIncome],681)&lt;=$B$4,12,5))</f>
        <v>5</v>
      </c>
      <c r="K689">
        <f>IF(INDEX(tblCleanData[OverTime],681)="Yes",25,0)</f>
        <v>0</v>
      </c>
      <c r="L689">
        <f>(5-INDEX(tblCleanData[JobSatisfaction],681))*6.25</f>
        <v>6.25</v>
      </c>
      <c r="M689">
        <f>IF(INDEX(tblCleanData[YearsAtCompany],681)&lt;=2,25,IF(INDEX(tblCleanData[YearsAtCompany],681)&lt;=5,15,IF(INDEX(tblCleanData[YearsAtCompany],681)&lt;=10,8,3)))</f>
        <v>8</v>
      </c>
      <c r="N689">
        <f t="shared" si="20"/>
        <v>39</v>
      </c>
      <c r="O689" t="str">
        <f t="shared" si="21"/>
        <v>Medium Risk</v>
      </c>
    </row>
    <row r="690" spans="1:15" x14ac:dyDescent="0.25">
      <c r="A690">
        <f>INDEX(tblCleanData[EmployeeNumber],682)</f>
        <v>950</v>
      </c>
      <c r="B690" t="str">
        <f>IF(INDEX(tblCleanData[Age],682)&lt;30,"Under 30",IF(INDEX(tblCleanData[Age],682)&lt;40,"30-39",IF(INDEX(tblCleanData[Age],682)&lt;50,"40-49","50+")))</f>
        <v>30-39</v>
      </c>
      <c r="C690" t="str">
        <f>IF(INDEX(tblCleanData[MonthlyIncome],682)&lt;=$B$3,"Low Income",IF(INDEX(tblCleanData[MonthlyIncome],682)&lt;=$B$4,"Medium Income","High Income"))</f>
        <v>High Income</v>
      </c>
      <c r="D690">
        <f>IF(INDEX(tblCleanData[Attrition],682)="Yes",1,0)</f>
        <v>0</v>
      </c>
      <c r="E690">
        <f>IF(INDEX(tblCleanData[OverTime],682)="Yes",1,0)</f>
        <v>0</v>
      </c>
      <c r="F690" t="str">
        <f>CHOOSE(INDEX(tblCleanData[Education],682),"Below College","College","Bachelor","Master","Doctor")</f>
        <v>Bachelor</v>
      </c>
      <c r="G690" t="str">
        <f>IF(INDEX(tblCleanData[YearsAtCompany],682)&lt;=2,"0-2 Years",IF(INDEX(tblCleanData[YearsAtCompany],682)&lt;=5,"3-5 Years",IF(INDEX(tblCleanData[YearsAtCompany],682)&lt;=10,"6-10 Years","10+ Years")))</f>
        <v>10+ Years</v>
      </c>
      <c r="H690" t="str">
        <f>IF(INDEX(tblCleanData[WorkLifeBalance],682)&lt;=2,"Elevated","Normal")</f>
        <v>Normal</v>
      </c>
      <c r="I690">
        <f>IF(INDEX(tblCleanData[Age],682)&lt;30,30,IF(INDEX(tblCleanData[Age],682)&lt;40,20,IF(INDEX(tblCleanData[Age],682)&lt;50,10,15)))</f>
        <v>20</v>
      </c>
      <c r="J690">
        <f>IF(INDEX(tblCleanData[MonthlyIncome],682)&lt;=$B$3,25,IF(INDEX(tblCleanData[MonthlyIncome],682)&lt;=$B$4,12,5))</f>
        <v>5</v>
      </c>
      <c r="K690">
        <f>IF(INDEX(tblCleanData[OverTime],682)="Yes",25,0)</f>
        <v>0</v>
      </c>
      <c r="L690">
        <f>(5-INDEX(tblCleanData[JobSatisfaction],682))*6.25</f>
        <v>25</v>
      </c>
      <c r="M690">
        <f>IF(INDEX(tblCleanData[YearsAtCompany],682)&lt;=2,25,IF(INDEX(tblCleanData[YearsAtCompany],682)&lt;=5,15,IF(INDEX(tblCleanData[YearsAtCompany],682)&lt;=10,8,3)))</f>
        <v>3</v>
      </c>
      <c r="N690">
        <f t="shared" si="20"/>
        <v>53</v>
      </c>
      <c r="O690" t="str">
        <f t="shared" si="21"/>
        <v>Medium Risk</v>
      </c>
    </row>
    <row r="691" spans="1:15" x14ac:dyDescent="0.25">
      <c r="A691">
        <f>INDEX(tblCleanData[EmployeeNumber],683)</f>
        <v>951</v>
      </c>
      <c r="B691" t="str">
        <f>IF(INDEX(tblCleanData[Age],683)&lt;30,"Under 30",IF(INDEX(tblCleanData[Age],683)&lt;40,"30-39",IF(INDEX(tblCleanData[Age],683)&lt;50,"40-49","50+")))</f>
        <v>30-39</v>
      </c>
      <c r="C691" t="str">
        <f>IF(INDEX(tblCleanData[MonthlyIncome],683)&lt;=$B$3,"Low Income",IF(INDEX(tblCleanData[MonthlyIncome],683)&lt;=$B$4,"Medium Income","High Income"))</f>
        <v>High Income</v>
      </c>
      <c r="D691">
        <f>IF(INDEX(tblCleanData[Attrition],683)="Yes",1,0)</f>
        <v>0</v>
      </c>
      <c r="E691">
        <f>IF(INDEX(tblCleanData[OverTime],683)="Yes",1,0)</f>
        <v>0</v>
      </c>
      <c r="F691" t="str">
        <f>CHOOSE(INDEX(tblCleanData[Education],683),"Below College","College","Bachelor","Master","Doctor")</f>
        <v>Bachelor</v>
      </c>
      <c r="G691" t="str">
        <f>IF(INDEX(tblCleanData[YearsAtCompany],683)&lt;=2,"0-2 Years",IF(INDEX(tblCleanData[YearsAtCompany],683)&lt;=5,"3-5 Years",IF(INDEX(tblCleanData[YearsAtCompany],683)&lt;=10,"6-10 Years","10+ Years")))</f>
        <v>3-5 Years</v>
      </c>
      <c r="H691" t="str">
        <f>IF(INDEX(tblCleanData[WorkLifeBalance],683)&lt;=2,"Elevated","Normal")</f>
        <v>Normal</v>
      </c>
      <c r="I691">
        <f>IF(INDEX(tblCleanData[Age],683)&lt;30,30,IF(INDEX(tblCleanData[Age],683)&lt;40,20,IF(INDEX(tblCleanData[Age],683)&lt;50,10,15)))</f>
        <v>20</v>
      </c>
      <c r="J691">
        <f>IF(INDEX(tblCleanData[MonthlyIncome],683)&lt;=$B$3,25,IF(INDEX(tblCleanData[MonthlyIncome],683)&lt;=$B$4,12,5))</f>
        <v>5</v>
      </c>
      <c r="K691">
        <f>IF(INDEX(tblCleanData[OverTime],683)="Yes",25,0)</f>
        <v>0</v>
      </c>
      <c r="L691">
        <f>(5-INDEX(tblCleanData[JobSatisfaction],683))*6.25</f>
        <v>18.75</v>
      </c>
      <c r="M691">
        <f>IF(INDEX(tblCleanData[YearsAtCompany],683)&lt;=2,25,IF(INDEX(tblCleanData[YearsAtCompany],683)&lt;=5,15,IF(INDEX(tblCleanData[YearsAtCompany],683)&lt;=10,8,3)))</f>
        <v>15</v>
      </c>
      <c r="N691">
        <f t="shared" si="20"/>
        <v>59</v>
      </c>
      <c r="O691" t="str">
        <f t="shared" si="21"/>
        <v>High Risk</v>
      </c>
    </row>
    <row r="692" spans="1:15" x14ac:dyDescent="0.25">
      <c r="A692">
        <f>INDEX(tblCleanData[EmployeeNumber],684)</f>
        <v>952</v>
      </c>
      <c r="B692" t="str">
        <f>IF(INDEX(tblCleanData[Age],684)&lt;30,"Under 30",IF(INDEX(tblCleanData[Age],684)&lt;40,"30-39",IF(INDEX(tblCleanData[Age],684)&lt;50,"40-49","50+")))</f>
        <v>Under 30</v>
      </c>
      <c r="C692" t="str">
        <f>IF(INDEX(tblCleanData[MonthlyIncome],684)&lt;=$B$3,"Low Income",IF(INDEX(tblCleanData[MonthlyIncome],684)&lt;=$B$4,"Medium Income","High Income"))</f>
        <v>High Income</v>
      </c>
      <c r="D692">
        <f>IF(INDEX(tblCleanData[Attrition],684)="Yes",1,0)</f>
        <v>1</v>
      </c>
      <c r="E692">
        <f>IF(INDEX(tblCleanData[OverTime],684)="Yes",1,0)</f>
        <v>1</v>
      </c>
      <c r="F692" t="str">
        <f>CHOOSE(INDEX(tblCleanData[Education],684),"Below College","College","Bachelor","Master","Doctor")</f>
        <v>College</v>
      </c>
      <c r="G692" t="str">
        <f>IF(INDEX(tblCleanData[YearsAtCompany],684)&lt;=2,"0-2 Years",IF(INDEX(tblCleanData[YearsAtCompany],684)&lt;=5,"3-5 Years",IF(INDEX(tblCleanData[YearsAtCompany],684)&lt;=10,"6-10 Years","10+ Years")))</f>
        <v>0-2 Years</v>
      </c>
      <c r="H692" t="str">
        <f>IF(INDEX(tblCleanData[WorkLifeBalance],684)&lt;=2,"Elevated","Normal")</f>
        <v>Normal</v>
      </c>
      <c r="I692">
        <f>IF(INDEX(tblCleanData[Age],684)&lt;30,30,IF(INDEX(tblCleanData[Age],684)&lt;40,20,IF(INDEX(tblCleanData[Age],684)&lt;50,10,15)))</f>
        <v>30</v>
      </c>
      <c r="J692">
        <f>IF(INDEX(tblCleanData[MonthlyIncome],684)&lt;=$B$3,25,IF(INDEX(tblCleanData[MonthlyIncome],684)&lt;=$B$4,12,5))</f>
        <v>5</v>
      </c>
      <c r="K692">
        <f>IF(INDEX(tblCleanData[OverTime],684)="Yes",25,0)</f>
        <v>25</v>
      </c>
      <c r="L692">
        <f>(5-INDEX(tblCleanData[JobSatisfaction],684))*6.25</f>
        <v>18.75</v>
      </c>
      <c r="M692">
        <f>IF(INDEX(tblCleanData[YearsAtCompany],684)&lt;=2,25,IF(INDEX(tblCleanData[YearsAtCompany],684)&lt;=5,15,IF(INDEX(tblCleanData[YearsAtCompany],684)&lt;=10,8,3)))</f>
        <v>25</v>
      </c>
      <c r="N692">
        <f t="shared" si="20"/>
        <v>104</v>
      </c>
      <c r="O692" t="str">
        <f t="shared" si="21"/>
        <v>High Risk</v>
      </c>
    </row>
    <row r="693" spans="1:15" x14ac:dyDescent="0.25">
      <c r="A693">
        <f>INDEX(tblCleanData[EmployeeNumber],685)</f>
        <v>954</v>
      </c>
      <c r="B693" t="str">
        <f>IF(INDEX(tblCleanData[Age],685)&lt;30,"Under 30",IF(INDEX(tblCleanData[Age],685)&lt;40,"30-39",IF(INDEX(tblCleanData[Age],685)&lt;50,"40-49","50+")))</f>
        <v>40-49</v>
      </c>
      <c r="C693" t="str">
        <f>IF(INDEX(tblCleanData[MonthlyIncome],685)&lt;=$B$3,"Low Income",IF(INDEX(tblCleanData[MonthlyIncome],685)&lt;=$B$4,"Medium Income","High Income"))</f>
        <v>High Income</v>
      </c>
      <c r="D693">
        <f>IF(INDEX(tblCleanData[Attrition],685)="Yes",1,0)</f>
        <v>0</v>
      </c>
      <c r="E693">
        <f>IF(INDEX(tblCleanData[OverTime],685)="Yes",1,0)</f>
        <v>0</v>
      </c>
      <c r="F693" t="str">
        <f>CHOOSE(INDEX(tblCleanData[Education],685),"Below College","College","Bachelor","Master","Doctor")</f>
        <v>Master</v>
      </c>
      <c r="G693" t="str">
        <f>IF(INDEX(tblCleanData[YearsAtCompany],685)&lt;=2,"0-2 Years",IF(INDEX(tblCleanData[YearsAtCompany],685)&lt;=5,"3-5 Years",IF(INDEX(tblCleanData[YearsAtCompany],685)&lt;=10,"6-10 Years","10+ Years")))</f>
        <v>0-2 Years</v>
      </c>
      <c r="H693" t="str">
        <f>IF(INDEX(tblCleanData[WorkLifeBalance],685)&lt;=2,"Elevated","Normal")</f>
        <v>Elevated</v>
      </c>
      <c r="I693">
        <f>IF(INDEX(tblCleanData[Age],685)&lt;30,30,IF(INDEX(tblCleanData[Age],685)&lt;40,20,IF(INDEX(tblCleanData[Age],685)&lt;50,10,15)))</f>
        <v>10</v>
      </c>
      <c r="J693">
        <f>IF(INDEX(tblCleanData[MonthlyIncome],685)&lt;=$B$3,25,IF(INDEX(tblCleanData[MonthlyIncome],685)&lt;=$B$4,12,5))</f>
        <v>5</v>
      </c>
      <c r="K693">
        <f>IF(INDEX(tblCleanData[OverTime],685)="Yes",25,0)</f>
        <v>0</v>
      </c>
      <c r="L693">
        <f>(5-INDEX(tblCleanData[JobSatisfaction],685))*6.25</f>
        <v>18.75</v>
      </c>
      <c r="M693">
        <f>IF(INDEX(tblCleanData[YearsAtCompany],685)&lt;=2,25,IF(INDEX(tblCleanData[YearsAtCompany],685)&lt;=5,15,IF(INDEX(tblCleanData[YearsAtCompany],685)&lt;=10,8,3)))</f>
        <v>25</v>
      </c>
      <c r="N693">
        <f t="shared" si="20"/>
        <v>59</v>
      </c>
      <c r="O693" t="str">
        <f t="shared" si="21"/>
        <v>High Risk</v>
      </c>
    </row>
    <row r="694" spans="1:15" x14ac:dyDescent="0.25">
      <c r="A694">
        <f>INDEX(tblCleanData[EmployeeNumber],686)</f>
        <v>956</v>
      </c>
      <c r="B694" t="str">
        <f>IF(INDEX(tblCleanData[Age],686)&lt;30,"Under 30",IF(INDEX(tblCleanData[Age],686)&lt;40,"30-39",IF(INDEX(tblCleanData[Age],686)&lt;50,"40-49","50+")))</f>
        <v>Under 30</v>
      </c>
      <c r="C694" t="str">
        <f>IF(INDEX(tblCleanData[MonthlyIncome],686)&lt;=$B$3,"Low Income",IF(INDEX(tblCleanData[MonthlyIncome],686)&lt;=$B$4,"Medium Income","High Income"))</f>
        <v>High Income</v>
      </c>
      <c r="D694">
        <f>IF(INDEX(tblCleanData[Attrition],686)="Yes",1,0)</f>
        <v>0</v>
      </c>
      <c r="E694">
        <f>IF(INDEX(tblCleanData[OverTime],686)="Yes",1,0)</f>
        <v>0</v>
      </c>
      <c r="F694" t="str">
        <f>CHOOSE(INDEX(tblCleanData[Education],686),"Below College","College","Bachelor","Master","Doctor")</f>
        <v>Bachelor</v>
      </c>
      <c r="G694" t="str">
        <f>IF(INDEX(tblCleanData[YearsAtCompany],686)&lt;=2,"0-2 Years",IF(INDEX(tblCleanData[YearsAtCompany],686)&lt;=5,"3-5 Years",IF(INDEX(tblCleanData[YearsAtCompany],686)&lt;=10,"6-10 Years","10+ Years")))</f>
        <v>6-10 Years</v>
      </c>
      <c r="H694" t="str">
        <f>IF(INDEX(tblCleanData[WorkLifeBalance],686)&lt;=2,"Elevated","Normal")</f>
        <v>Normal</v>
      </c>
      <c r="I694">
        <f>IF(INDEX(tblCleanData[Age],686)&lt;30,30,IF(INDEX(tblCleanData[Age],686)&lt;40,20,IF(INDEX(tblCleanData[Age],686)&lt;50,10,15)))</f>
        <v>30</v>
      </c>
      <c r="J694">
        <f>IF(INDEX(tblCleanData[MonthlyIncome],686)&lt;=$B$3,25,IF(INDEX(tblCleanData[MonthlyIncome],686)&lt;=$B$4,12,5))</f>
        <v>5</v>
      </c>
      <c r="K694">
        <f>IF(INDEX(tblCleanData[OverTime],686)="Yes",25,0)</f>
        <v>0</v>
      </c>
      <c r="L694">
        <f>(5-INDEX(tblCleanData[JobSatisfaction],686))*6.25</f>
        <v>25</v>
      </c>
      <c r="M694">
        <f>IF(INDEX(tblCleanData[YearsAtCompany],686)&lt;=2,25,IF(INDEX(tblCleanData[YearsAtCompany],686)&lt;=5,15,IF(INDEX(tblCleanData[YearsAtCompany],686)&lt;=10,8,3)))</f>
        <v>8</v>
      </c>
      <c r="N694">
        <f t="shared" si="20"/>
        <v>68</v>
      </c>
      <c r="O694" t="str">
        <f t="shared" si="21"/>
        <v>High Risk</v>
      </c>
    </row>
    <row r="695" spans="1:15" x14ac:dyDescent="0.25">
      <c r="A695">
        <f>INDEX(tblCleanData[EmployeeNumber],687)</f>
        <v>957</v>
      </c>
      <c r="B695" t="str">
        <f>IF(INDEX(tblCleanData[Age],687)&lt;30,"Under 30",IF(INDEX(tblCleanData[Age],687)&lt;40,"30-39",IF(INDEX(tblCleanData[Age],687)&lt;50,"40-49","50+")))</f>
        <v>40-49</v>
      </c>
      <c r="C695" t="str">
        <f>IF(INDEX(tblCleanData[MonthlyIncome],687)&lt;=$B$3,"Low Income",IF(INDEX(tblCleanData[MonthlyIncome],687)&lt;=$B$4,"Medium Income","High Income"))</f>
        <v>High Income</v>
      </c>
      <c r="D695">
        <f>IF(INDEX(tblCleanData[Attrition],687)="Yes",1,0)</f>
        <v>0</v>
      </c>
      <c r="E695">
        <f>IF(INDEX(tblCleanData[OverTime],687)="Yes",1,0)</f>
        <v>1</v>
      </c>
      <c r="F695" t="str">
        <f>CHOOSE(INDEX(tblCleanData[Education],687),"Below College","College","Bachelor","Master","Doctor")</f>
        <v>Bachelor</v>
      </c>
      <c r="G695" t="str">
        <f>IF(INDEX(tblCleanData[YearsAtCompany],687)&lt;=2,"0-2 Years",IF(INDEX(tblCleanData[YearsAtCompany],687)&lt;=5,"3-5 Years",IF(INDEX(tblCleanData[YearsAtCompany],687)&lt;=10,"6-10 Years","10+ Years")))</f>
        <v>10+ Years</v>
      </c>
      <c r="H695" t="str">
        <f>IF(INDEX(tblCleanData[WorkLifeBalance],687)&lt;=2,"Elevated","Normal")</f>
        <v>Normal</v>
      </c>
      <c r="I695">
        <f>IF(INDEX(tblCleanData[Age],687)&lt;30,30,IF(INDEX(tblCleanData[Age],687)&lt;40,20,IF(INDEX(tblCleanData[Age],687)&lt;50,10,15)))</f>
        <v>10</v>
      </c>
      <c r="J695">
        <f>IF(INDEX(tblCleanData[MonthlyIncome],687)&lt;=$B$3,25,IF(INDEX(tblCleanData[MonthlyIncome],687)&lt;=$B$4,12,5))</f>
        <v>5</v>
      </c>
      <c r="K695">
        <f>IF(INDEX(tblCleanData[OverTime],687)="Yes",25,0)</f>
        <v>25</v>
      </c>
      <c r="L695">
        <f>(5-INDEX(tblCleanData[JobSatisfaction],687))*6.25</f>
        <v>25</v>
      </c>
      <c r="M695">
        <f>IF(INDEX(tblCleanData[YearsAtCompany],687)&lt;=2,25,IF(INDEX(tblCleanData[YearsAtCompany],687)&lt;=5,15,IF(INDEX(tblCleanData[YearsAtCompany],687)&lt;=10,8,3)))</f>
        <v>3</v>
      </c>
      <c r="N695">
        <f t="shared" si="20"/>
        <v>68</v>
      </c>
      <c r="O695" t="str">
        <f t="shared" si="21"/>
        <v>High Risk</v>
      </c>
    </row>
    <row r="696" spans="1:15" x14ac:dyDescent="0.25">
      <c r="A696">
        <f>INDEX(tblCleanData[EmployeeNumber],688)</f>
        <v>958</v>
      </c>
      <c r="B696" t="str">
        <f>IF(INDEX(tblCleanData[Age],688)&lt;30,"Under 30",IF(INDEX(tblCleanData[Age],688)&lt;40,"30-39",IF(INDEX(tblCleanData[Age],688)&lt;50,"40-49","50+")))</f>
        <v>30-39</v>
      </c>
      <c r="C696" t="str">
        <f>IF(INDEX(tblCleanData[MonthlyIncome],688)&lt;=$B$3,"Low Income",IF(INDEX(tblCleanData[MonthlyIncome],688)&lt;=$B$4,"Medium Income","High Income"))</f>
        <v>High Income</v>
      </c>
      <c r="D696">
        <f>IF(INDEX(tblCleanData[Attrition],688)="Yes",1,0)</f>
        <v>0</v>
      </c>
      <c r="E696">
        <f>IF(INDEX(tblCleanData[OverTime],688)="Yes",1,0)</f>
        <v>0</v>
      </c>
      <c r="F696" t="str">
        <f>CHOOSE(INDEX(tblCleanData[Education],688),"Below College","College","Bachelor","Master","Doctor")</f>
        <v>Master</v>
      </c>
      <c r="G696" t="str">
        <f>IF(INDEX(tblCleanData[YearsAtCompany],688)&lt;=2,"0-2 Years",IF(INDEX(tblCleanData[YearsAtCompany],688)&lt;=5,"3-5 Years",IF(INDEX(tblCleanData[YearsAtCompany],688)&lt;=10,"6-10 Years","10+ Years")))</f>
        <v>10+ Years</v>
      </c>
      <c r="H696" t="str">
        <f>IF(INDEX(tblCleanData[WorkLifeBalance],688)&lt;=2,"Elevated","Normal")</f>
        <v>Normal</v>
      </c>
      <c r="I696">
        <f>IF(INDEX(tblCleanData[Age],688)&lt;30,30,IF(INDEX(tblCleanData[Age],688)&lt;40,20,IF(INDEX(tblCleanData[Age],688)&lt;50,10,15)))</f>
        <v>20</v>
      </c>
      <c r="J696">
        <f>IF(INDEX(tblCleanData[MonthlyIncome],688)&lt;=$B$3,25,IF(INDEX(tblCleanData[MonthlyIncome],688)&lt;=$B$4,12,5))</f>
        <v>5</v>
      </c>
      <c r="K696">
        <f>IF(INDEX(tblCleanData[OverTime],688)="Yes",25,0)</f>
        <v>0</v>
      </c>
      <c r="L696">
        <f>(5-INDEX(tblCleanData[JobSatisfaction],688))*6.25</f>
        <v>12.5</v>
      </c>
      <c r="M696">
        <f>IF(INDEX(tblCleanData[YearsAtCompany],688)&lt;=2,25,IF(INDEX(tblCleanData[YearsAtCompany],688)&lt;=5,15,IF(INDEX(tblCleanData[YearsAtCompany],688)&lt;=10,8,3)))</f>
        <v>3</v>
      </c>
      <c r="N696">
        <f t="shared" si="20"/>
        <v>41</v>
      </c>
      <c r="O696" t="str">
        <f t="shared" si="21"/>
        <v>Medium Risk</v>
      </c>
    </row>
    <row r="697" spans="1:15" x14ac:dyDescent="0.25">
      <c r="A697">
        <f>INDEX(tblCleanData[EmployeeNumber],689)</f>
        <v>959</v>
      </c>
      <c r="B697" t="str">
        <f>IF(INDEX(tblCleanData[Age],689)&lt;30,"Under 30",IF(INDEX(tblCleanData[Age],689)&lt;40,"30-39",IF(INDEX(tblCleanData[Age],689)&lt;50,"40-49","50+")))</f>
        <v>Under 30</v>
      </c>
      <c r="C697" t="str">
        <f>IF(INDEX(tblCleanData[MonthlyIncome],689)&lt;=$B$3,"Low Income",IF(INDEX(tblCleanData[MonthlyIncome],689)&lt;=$B$4,"Medium Income","High Income"))</f>
        <v>High Income</v>
      </c>
      <c r="D697">
        <f>IF(INDEX(tblCleanData[Attrition],689)="Yes",1,0)</f>
        <v>1</v>
      </c>
      <c r="E697">
        <f>IF(INDEX(tblCleanData[OverTime],689)="Yes",1,0)</f>
        <v>1</v>
      </c>
      <c r="F697" t="str">
        <f>CHOOSE(INDEX(tblCleanData[Education],689),"Below College","College","Bachelor","Master","Doctor")</f>
        <v>Bachelor</v>
      </c>
      <c r="G697" t="str">
        <f>IF(INDEX(tblCleanData[YearsAtCompany],689)&lt;=2,"0-2 Years",IF(INDEX(tblCleanData[YearsAtCompany],689)&lt;=5,"3-5 Years",IF(INDEX(tblCleanData[YearsAtCompany],689)&lt;=10,"6-10 Years","10+ Years")))</f>
        <v>0-2 Years</v>
      </c>
      <c r="H697" t="str">
        <f>IF(INDEX(tblCleanData[WorkLifeBalance],689)&lt;=2,"Elevated","Normal")</f>
        <v>Normal</v>
      </c>
      <c r="I697">
        <f>IF(INDEX(tblCleanData[Age],689)&lt;30,30,IF(INDEX(tblCleanData[Age],689)&lt;40,20,IF(INDEX(tblCleanData[Age],689)&lt;50,10,15)))</f>
        <v>30</v>
      </c>
      <c r="J697">
        <f>IF(INDEX(tblCleanData[MonthlyIncome],689)&lt;=$B$3,25,IF(INDEX(tblCleanData[MonthlyIncome],689)&lt;=$B$4,12,5))</f>
        <v>5</v>
      </c>
      <c r="K697">
        <f>IF(INDEX(tblCleanData[OverTime],689)="Yes",25,0)</f>
        <v>25</v>
      </c>
      <c r="L697">
        <f>(5-INDEX(tblCleanData[JobSatisfaction],689))*6.25</f>
        <v>18.75</v>
      </c>
      <c r="M697">
        <f>IF(INDEX(tblCleanData[YearsAtCompany],689)&lt;=2,25,IF(INDEX(tblCleanData[YearsAtCompany],689)&lt;=5,15,IF(INDEX(tblCleanData[YearsAtCompany],689)&lt;=10,8,3)))</f>
        <v>25</v>
      </c>
      <c r="N697">
        <f t="shared" si="20"/>
        <v>104</v>
      </c>
      <c r="O697" t="str">
        <f t="shared" si="21"/>
        <v>High Risk</v>
      </c>
    </row>
    <row r="698" spans="1:15" x14ac:dyDescent="0.25">
      <c r="A698">
        <f>INDEX(tblCleanData[EmployeeNumber],690)</f>
        <v>960</v>
      </c>
      <c r="B698" t="str">
        <f>IF(INDEX(tblCleanData[Age],690)&lt;30,"Under 30",IF(INDEX(tblCleanData[Age],690)&lt;40,"30-39",IF(INDEX(tblCleanData[Age],690)&lt;50,"40-49","50+")))</f>
        <v>Under 30</v>
      </c>
      <c r="C698" t="str">
        <f>IF(INDEX(tblCleanData[MonthlyIncome],690)&lt;=$B$3,"Low Income",IF(INDEX(tblCleanData[MonthlyIncome],690)&lt;=$B$4,"Medium Income","High Income"))</f>
        <v>High Income</v>
      </c>
      <c r="D698">
        <f>IF(INDEX(tblCleanData[Attrition],690)="Yes",1,0)</f>
        <v>1</v>
      </c>
      <c r="E698">
        <f>IF(INDEX(tblCleanData[OverTime],690)="Yes",1,0)</f>
        <v>0</v>
      </c>
      <c r="F698" t="str">
        <f>CHOOSE(INDEX(tblCleanData[Education],690),"Below College","College","Bachelor","Master","Doctor")</f>
        <v>Bachelor</v>
      </c>
      <c r="G698" t="str">
        <f>IF(INDEX(tblCleanData[YearsAtCompany],690)&lt;=2,"0-2 Years",IF(INDEX(tblCleanData[YearsAtCompany],690)&lt;=5,"3-5 Years",IF(INDEX(tblCleanData[YearsAtCompany],690)&lt;=10,"6-10 Years","10+ Years")))</f>
        <v>0-2 Years</v>
      </c>
      <c r="H698" t="str">
        <f>IF(INDEX(tblCleanData[WorkLifeBalance],690)&lt;=2,"Elevated","Normal")</f>
        <v>Normal</v>
      </c>
      <c r="I698">
        <f>IF(INDEX(tblCleanData[Age],690)&lt;30,30,IF(INDEX(tblCleanData[Age],690)&lt;40,20,IF(INDEX(tblCleanData[Age],690)&lt;50,10,15)))</f>
        <v>30</v>
      </c>
      <c r="J698">
        <f>IF(INDEX(tblCleanData[MonthlyIncome],690)&lt;=$B$3,25,IF(INDEX(tblCleanData[MonthlyIncome],690)&lt;=$B$4,12,5))</f>
        <v>5</v>
      </c>
      <c r="K698">
        <f>IF(INDEX(tblCleanData[OverTime],690)="Yes",25,0)</f>
        <v>0</v>
      </c>
      <c r="L698">
        <f>(5-INDEX(tblCleanData[JobSatisfaction],690))*6.25</f>
        <v>25</v>
      </c>
      <c r="M698">
        <f>IF(INDEX(tblCleanData[YearsAtCompany],690)&lt;=2,25,IF(INDEX(tblCleanData[YearsAtCompany],690)&lt;=5,15,IF(INDEX(tblCleanData[YearsAtCompany],690)&lt;=10,8,3)))</f>
        <v>25</v>
      </c>
      <c r="N698">
        <f t="shared" si="20"/>
        <v>85</v>
      </c>
      <c r="O698" t="str">
        <f t="shared" si="21"/>
        <v>High Risk</v>
      </c>
    </row>
    <row r="699" spans="1:15" x14ac:dyDescent="0.25">
      <c r="A699">
        <f>INDEX(tblCleanData[EmployeeNumber],691)</f>
        <v>961</v>
      </c>
      <c r="B699" t="str">
        <f>IF(INDEX(tblCleanData[Age],691)&lt;30,"Under 30",IF(INDEX(tblCleanData[Age],691)&lt;40,"30-39",IF(INDEX(tblCleanData[Age],691)&lt;50,"40-49","50+")))</f>
        <v>30-39</v>
      </c>
      <c r="C699" t="str">
        <f>IF(INDEX(tblCleanData[MonthlyIncome],691)&lt;=$B$3,"Low Income",IF(INDEX(tblCleanData[MonthlyIncome],691)&lt;=$B$4,"Medium Income","High Income"))</f>
        <v>High Income</v>
      </c>
      <c r="D699">
        <f>IF(INDEX(tblCleanData[Attrition],691)="Yes",1,0)</f>
        <v>0</v>
      </c>
      <c r="E699">
        <f>IF(INDEX(tblCleanData[OverTime],691)="Yes",1,0)</f>
        <v>1</v>
      </c>
      <c r="F699" t="str">
        <f>CHOOSE(INDEX(tblCleanData[Education],691),"Below College","College","Bachelor","Master","Doctor")</f>
        <v>Bachelor</v>
      </c>
      <c r="G699" t="str">
        <f>IF(INDEX(tblCleanData[YearsAtCompany],691)&lt;=2,"0-2 Years",IF(INDEX(tblCleanData[YearsAtCompany],691)&lt;=5,"3-5 Years",IF(INDEX(tblCleanData[YearsAtCompany],691)&lt;=10,"6-10 Years","10+ Years")))</f>
        <v>6-10 Years</v>
      </c>
      <c r="H699" t="str">
        <f>IF(INDEX(tblCleanData[WorkLifeBalance],691)&lt;=2,"Elevated","Normal")</f>
        <v>Elevated</v>
      </c>
      <c r="I699">
        <f>IF(INDEX(tblCleanData[Age],691)&lt;30,30,IF(INDEX(tblCleanData[Age],691)&lt;40,20,IF(INDEX(tblCleanData[Age],691)&lt;50,10,15)))</f>
        <v>20</v>
      </c>
      <c r="J699">
        <f>IF(INDEX(tblCleanData[MonthlyIncome],691)&lt;=$B$3,25,IF(INDEX(tblCleanData[MonthlyIncome],691)&lt;=$B$4,12,5))</f>
        <v>5</v>
      </c>
      <c r="K699">
        <f>IF(INDEX(tblCleanData[OverTime],691)="Yes",25,0)</f>
        <v>25</v>
      </c>
      <c r="L699">
        <f>(5-INDEX(tblCleanData[JobSatisfaction],691))*6.25</f>
        <v>6.25</v>
      </c>
      <c r="M699">
        <f>IF(INDEX(tblCleanData[YearsAtCompany],691)&lt;=2,25,IF(INDEX(tblCleanData[YearsAtCompany],691)&lt;=5,15,IF(INDEX(tblCleanData[YearsAtCompany],691)&lt;=10,8,3)))</f>
        <v>8</v>
      </c>
      <c r="N699">
        <f t="shared" si="20"/>
        <v>64</v>
      </c>
      <c r="O699" t="str">
        <f t="shared" si="21"/>
        <v>High Risk</v>
      </c>
    </row>
    <row r="700" spans="1:15" x14ac:dyDescent="0.25">
      <c r="A700">
        <f>INDEX(tblCleanData[EmployeeNumber],692)</f>
        <v>964</v>
      </c>
      <c r="B700" t="str">
        <f>IF(INDEX(tblCleanData[Age],692)&lt;30,"Under 30",IF(INDEX(tblCleanData[Age],692)&lt;40,"30-39",IF(INDEX(tblCleanData[Age],692)&lt;50,"40-49","50+")))</f>
        <v>40-49</v>
      </c>
      <c r="C700" t="str">
        <f>IF(INDEX(tblCleanData[MonthlyIncome],692)&lt;=$B$3,"Low Income",IF(INDEX(tblCleanData[MonthlyIncome],692)&lt;=$B$4,"Medium Income","High Income"))</f>
        <v>High Income</v>
      </c>
      <c r="D700">
        <f>IF(INDEX(tblCleanData[Attrition],692)="Yes",1,0)</f>
        <v>0</v>
      </c>
      <c r="E700">
        <f>IF(INDEX(tblCleanData[OverTime],692)="Yes",1,0)</f>
        <v>1</v>
      </c>
      <c r="F700" t="str">
        <f>CHOOSE(INDEX(tblCleanData[Education],692),"Below College","College","Bachelor","Master","Doctor")</f>
        <v>Master</v>
      </c>
      <c r="G700" t="str">
        <f>IF(INDEX(tblCleanData[YearsAtCompany],692)&lt;=2,"0-2 Years",IF(INDEX(tblCleanData[YearsAtCompany],692)&lt;=5,"3-5 Years",IF(INDEX(tblCleanData[YearsAtCompany],692)&lt;=10,"6-10 Years","10+ Years")))</f>
        <v>0-2 Years</v>
      </c>
      <c r="H700" t="str">
        <f>IF(INDEX(tblCleanData[WorkLifeBalance],692)&lt;=2,"Elevated","Normal")</f>
        <v>Normal</v>
      </c>
      <c r="I700">
        <f>IF(INDEX(tblCleanData[Age],692)&lt;30,30,IF(INDEX(tblCleanData[Age],692)&lt;40,20,IF(INDEX(tblCleanData[Age],692)&lt;50,10,15)))</f>
        <v>10</v>
      </c>
      <c r="J700">
        <f>IF(INDEX(tblCleanData[MonthlyIncome],692)&lt;=$B$3,25,IF(INDEX(tblCleanData[MonthlyIncome],692)&lt;=$B$4,12,5))</f>
        <v>5</v>
      </c>
      <c r="K700">
        <f>IF(INDEX(tblCleanData[OverTime],692)="Yes",25,0)</f>
        <v>25</v>
      </c>
      <c r="L700">
        <f>(5-INDEX(tblCleanData[JobSatisfaction],692))*6.25</f>
        <v>18.75</v>
      </c>
      <c r="M700">
        <f>IF(INDEX(tblCleanData[YearsAtCompany],692)&lt;=2,25,IF(INDEX(tblCleanData[YearsAtCompany],692)&lt;=5,15,IF(INDEX(tblCleanData[YearsAtCompany],692)&lt;=10,8,3)))</f>
        <v>25</v>
      </c>
      <c r="N700">
        <f t="shared" si="20"/>
        <v>84</v>
      </c>
      <c r="O700" t="str">
        <f t="shared" si="21"/>
        <v>High Risk</v>
      </c>
    </row>
    <row r="701" spans="1:15" x14ac:dyDescent="0.25">
      <c r="A701">
        <f>INDEX(tblCleanData[EmployeeNumber],693)</f>
        <v>966</v>
      </c>
      <c r="B701" t="str">
        <f>IF(INDEX(tblCleanData[Age],693)&lt;30,"Under 30",IF(INDEX(tblCleanData[Age],693)&lt;40,"30-39",IF(INDEX(tblCleanData[Age],693)&lt;50,"40-49","50+")))</f>
        <v>30-39</v>
      </c>
      <c r="C701" t="str">
        <f>IF(INDEX(tblCleanData[MonthlyIncome],693)&lt;=$B$3,"Low Income",IF(INDEX(tblCleanData[MonthlyIncome],693)&lt;=$B$4,"Medium Income","High Income"))</f>
        <v>High Income</v>
      </c>
      <c r="D701">
        <f>IF(INDEX(tblCleanData[Attrition],693)="Yes",1,0)</f>
        <v>0</v>
      </c>
      <c r="E701">
        <f>IF(INDEX(tblCleanData[OverTime],693)="Yes",1,0)</f>
        <v>0</v>
      </c>
      <c r="F701" t="str">
        <f>CHOOSE(INDEX(tblCleanData[Education],693),"Below College","College","Bachelor","Master","Doctor")</f>
        <v>Master</v>
      </c>
      <c r="G701" t="str">
        <f>IF(INDEX(tblCleanData[YearsAtCompany],693)&lt;=2,"0-2 Years",IF(INDEX(tblCleanData[YearsAtCompany],693)&lt;=5,"3-5 Years",IF(INDEX(tblCleanData[YearsAtCompany],693)&lt;=10,"6-10 Years","10+ Years")))</f>
        <v>6-10 Years</v>
      </c>
      <c r="H701" t="str">
        <f>IF(INDEX(tblCleanData[WorkLifeBalance],693)&lt;=2,"Elevated","Normal")</f>
        <v>Normal</v>
      </c>
      <c r="I701">
        <f>IF(INDEX(tblCleanData[Age],693)&lt;30,30,IF(INDEX(tblCleanData[Age],693)&lt;40,20,IF(INDEX(tblCleanData[Age],693)&lt;50,10,15)))</f>
        <v>20</v>
      </c>
      <c r="J701">
        <f>IF(INDEX(tblCleanData[MonthlyIncome],693)&lt;=$B$3,25,IF(INDEX(tblCleanData[MonthlyIncome],693)&lt;=$B$4,12,5))</f>
        <v>5</v>
      </c>
      <c r="K701">
        <f>IF(INDEX(tblCleanData[OverTime],693)="Yes",25,0)</f>
        <v>0</v>
      </c>
      <c r="L701">
        <f>(5-INDEX(tblCleanData[JobSatisfaction],693))*6.25</f>
        <v>25</v>
      </c>
      <c r="M701">
        <f>IF(INDEX(tblCleanData[YearsAtCompany],693)&lt;=2,25,IF(INDEX(tblCleanData[YearsAtCompany],693)&lt;=5,15,IF(INDEX(tblCleanData[YearsAtCompany],693)&lt;=10,8,3)))</f>
        <v>8</v>
      </c>
      <c r="N701">
        <f t="shared" si="20"/>
        <v>58</v>
      </c>
      <c r="O701" t="str">
        <f t="shared" si="21"/>
        <v>High Risk</v>
      </c>
    </row>
    <row r="702" spans="1:15" x14ac:dyDescent="0.25">
      <c r="A702">
        <f>INDEX(tblCleanData[EmployeeNumber],694)</f>
        <v>967</v>
      </c>
      <c r="B702" t="str">
        <f>IF(INDEX(tblCleanData[Age],694)&lt;30,"Under 30",IF(INDEX(tblCleanData[Age],694)&lt;40,"30-39",IF(INDEX(tblCleanData[Age],694)&lt;50,"40-49","50+")))</f>
        <v>30-39</v>
      </c>
      <c r="C702" t="str">
        <f>IF(INDEX(tblCleanData[MonthlyIncome],694)&lt;=$B$3,"Low Income",IF(INDEX(tblCleanData[MonthlyIncome],694)&lt;=$B$4,"Medium Income","High Income"))</f>
        <v>High Income</v>
      </c>
      <c r="D702">
        <f>IF(INDEX(tblCleanData[Attrition],694)="Yes",1,0)</f>
        <v>1</v>
      </c>
      <c r="E702">
        <f>IF(INDEX(tblCleanData[OverTime],694)="Yes",1,0)</f>
        <v>1</v>
      </c>
      <c r="F702" t="str">
        <f>CHOOSE(INDEX(tblCleanData[Education],694),"Below College","College","Bachelor","Master","Doctor")</f>
        <v>Below College</v>
      </c>
      <c r="G702" t="str">
        <f>IF(INDEX(tblCleanData[YearsAtCompany],694)&lt;=2,"0-2 Years",IF(INDEX(tblCleanData[YearsAtCompany],694)&lt;=5,"3-5 Years",IF(INDEX(tblCleanData[YearsAtCompany],694)&lt;=10,"6-10 Years","10+ Years")))</f>
        <v>10+ Years</v>
      </c>
      <c r="H702" t="str">
        <f>IF(INDEX(tblCleanData[WorkLifeBalance],694)&lt;=2,"Elevated","Normal")</f>
        <v>Normal</v>
      </c>
      <c r="I702">
        <f>IF(INDEX(tblCleanData[Age],694)&lt;30,30,IF(INDEX(tblCleanData[Age],694)&lt;40,20,IF(INDEX(tblCleanData[Age],694)&lt;50,10,15)))</f>
        <v>20</v>
      </c>
      <c r="J702">
        <f>IF(INDEX(tblCleanData[MonthlyIncome],694)&lt;=$B$3,25,IF(INDEX(tblCleanData[MonthlyIncome],694)&lt;=$B$4,12,5))</f>
        <v>5</v>
      </c>
      <c r="K702">
        <f>IF(INDEX(tblCleanData[OverTime],694)="Yes",25,0)</f>
        <v>25</v>
      </c>
      <c r="L702">
        <f>(5-INDEX(tblCleanData[JobSatisfaction],694))*6.25</f>
        <v>6.25</v>
      </c>
      <c r="M702">
        <f>IF(INDEX(tblCleanData[YearsAtCompany],694)&lt;=2,25,IF(INDEX(tblCleanData[YearsAtCompany],694)&lt;=5,15,IF(INDEX(tblCleanData[YearsAtCompany],694)&lt;=10,8,3)))</f>
        <v>3</v>
      </c>
      <c r="N702">
        <f t="shared" si="20"/>
        <v>59</v>
      </c>
      <c r="O702" t="str">
        <f t="shared" si="21"/>
        <v>High Risk</v>
      </c>
    </row>
    <row r="703" spans="1:15" x14ac:dyDescent="0.25">
      <c r="A703">
        <f>INDEX(tblCleanData[EmployeeNumber],695)</f>
        <v>969</v>
      </c>
      <c r="B703" t="str">
        <f>IF(INDEX(tblCleanData[Age],695)&lt;30,"Under 30",IF(INDEX(tblCleanData[Age],695)&lt;40,"30-39",IF(INDEX(tblCleanData[Age],695)&lt;50,"40-49","50+")))</f>
        <v>30-39</v>
      </c>
      <c r="C703" t="str">
        <f>IF(INDEX(tblCleanData[MonthlyIncome],695)&lt;=$B$3,"Low Income",IF(INDEX(tblCleanData[MonthlyIncome],695)&lt;=$B$4,"Medium Income","High Income"))</f>
        <v>High Income</v>
      </c>
      <c r="D703">
        <f>IF(INDEX(tblCleanData[Attrition],695)="Yes",1,0)</f>
        <v>0</v>
      </c>
      <c r="E703">
        <f>IF(INDEX(tblCleanData[OverTime],695)="Yes",1,0)</f>
        <v>0</v>
      </c>
      <c r="F703" t="str">
        <f>CHOOSE(INDEX(tblCleanData[Education],695),"Below College","College","Bachelor","Master","Doctor")</f>
        <v>Bachelor</v>
      </c>
      <c r="G703" t="str">
        <f>IF(INDEX(tblCleanData[YearsAtCompany],695)&lt;=2,"0-2 Years",IF(INDEX(tblCleanData[YearsAtCompany],695)&lt;=5,"3-5 Years",IF(INDEX(tblCleanData[YearsAtCompany],695)&lt;=10,"6-10 Years","10+ Years")))</f>
        <v>3-5 Years</v>
      </c>
      <c r="H703" t="str">
        <f>IF(INDEX(tblCleanData[WorkLifeBalance],695)&lt;=2,"Elevated","Normal")</f>
        <v>Normal</v>
      </c>
      <c r="I703">
        <f>IF(INDEX(tblCleanData[Age],695)&lt;30,30,IF(INDEX(tblCleanData[Age],695)&lt;40,20,IF(INDEX(tblCleanData[Age],695)&lt;50,10,15)))</f>
        <v>20</v>
      </c>
      <c r="J703">
        <f>IF(INDEX(tblCleanData[MonthlyIncome],695)&lt;=$B$3,25,IF(INDEX(tblCleanData[MonthlyIncome],695)&lt;=$B$4,12,5))</f>
        <v>5</v>
      </c>
      <c r="K703">
        <f>IF(INDEX(tblCleanData[OverTime],695)="Yes",25,0)</f>
        <v>0</v>
      </c>
      <c r="L703">
        <f>(5-INDEX(tblCleanData[JobSatisfaction],695))*6.25</f>
        <v>6.25</v>
      </c>
      <c r="M703">
        <f>IF(INDEX(tblCleanData[YearsAtCompany],695)&lt;=2,25,IF(INDEX(tblCleanData[YearsAtCompany],695)&lt;=5,15,IF(INDEX(tblCleanData[YearsAtCompany],695)&lt;=10,8,3)))</f>
        <v>15</v>
      </c>
      <c r="N703">
        <f t="shared" si="20"/>
        <v>46</v>
      </c>
      <c r="O703" t="str">
        <f t="shared" si="21"/>
        <v>Medium Risk</v>
      </c>
    </row>
    <row r="704" spans="1:15" x14ac:dyDescent="0.25">
      <c r="A704">
        <f>INDEX(tblCleanData[EmployeeNumber],696)</f>
        <v>970</v>
      </c>
      <c r="B704" t="str">
        <f>IF(INDEX(tblCleanData[Age],696)&lt;30,"Under 30",IF(INDEX(tblCleanData[Age],696)&lt;40,"30-39",IF(INDEX(tblCleanData[Age],696)&lt;50,"40-49","50+")))</f>
        <v>30-39</v>
      </c>
      <c r="C704" t="str">
        <f>IF(INDEX(tblCleanData[MonthlyIncome],696)&lt;=$B$3,"Low Income",IF(INDEX(tblCleanData[MonthlyIncome],696)&lt;=$B$4,"Medium Income","High Income"))</f>
        <v>High Income</v>
      </c>
      <c r="D704">
        <f>IF(INDEX(tblCleanData[Attrition],696)="Yes",1,0)</f>
        <v>1</v>
      </c>
      <c r="E704">
        <f>IF(INDEX(tblCleanData[OverTime],696)="Yes",1,0)</f>
        <v>0</v>
      </c>
      <c r="F704" t="str">
        <f>CHOOSE(INDEX(tblCleanData[Education],696),"Below College","College","Bachelor","Master","Doctor")</f>
        <v>Master</v>
      </c>
      <c r="G704" t="str">
        <f>IF(INDEX(tblCleanData[YearsAtCompany],696)&lt;=2,"0-2 Years",IF(INDEX(tblCleanData[YearsAtCompany],696)&lt;=5,"3-5 Years",IF(INDEX(tblCleanData[YearsAtCompany],696)&lt;=10,"6-10 Years","10+ Years")))</f>
        <v>10+ Years</v>
      </c>
      <c r="H704" t="str">
        <f>IF(INDEX(tblCleanData[WorkLifeBalance],696)&lt;=2,"Elevated","Normal")</f>
        <v>Elevated</v>
      </c>
      <c r="I704">
        <f>IF(INDEX(tblCleanData[Age],696)&lt;30,30,IF(INDEX(tblCleanData[Age],696)&lt;40,20,IF(INDEX(tblCleanData[Age],696)&lt;50,10,15)))</f>
        <v>20</v>
      </c>
      <c r="J704">
        <f>IF(INDEX(tblCleanData[MonthlyIncome],696)&lt;=$B$3,25,IF(INDEX(tblCleanData[MonthlyIncome],696)&lt;=$B$4,12,5))</f>
        <v>5</v>
      </c>
      <c r="K704">
        <f>IF(INDEX(tblCleanData[OverTime],696)="Yes",25,0)</f>
        <v>0</v>
      </c>
      <c r="L704">
        <f>(5-INDEX(tblCleanData[JobSatisfaction],696))*6.25</f>
        <v>12.5</v>
      </c>
      <c r="M704">
        <f>IF(INDEX(tblCleanData[YearsAtCompany],696)&lt;=2,25,IF(INDEX(tblCleanData[YearsAtCompany],696)&lt;=5,15,IF(INDEX(tblCleanData[YearsAtCompany],696)&lt;=10,8,3)))</f>
        <v>3</v>
      </c>
      <c r="N704">
        <f t="shared" si="20"/>
        <v>41</v>
      </c>
      <c r="O704" t="str">
        <f t="shared" si="21"/>
        <v>Medium Risk</v>
      </c>
    </row>
    <row r="705" spans="1:15" x14ac:dyDescent="0.25">
      <c r="A705">
        <f>INDEX(tblCleanData[EmployeeNumber],697)</f>
        <v>972</v>
      </c>
      <c r="B705" t="str">
        <f>IF(INDEX(tblCleanData[Age],697)&lt;30,"Under 30",IF(INDEX(tblCleanData[Age],697)&lt;40,"30-39",IF(INDEX(tblCleanData[Age],697)&lt;50,"40-49","50+")))</f>
        <v>40-49</v>
      </c>
      <c r="C705" t="str">
        <f>IF(INDEX(tblCleanData[MonthlyIncome],697)&lt;=$B$3,"Low Income",IF(INDEX(tblCleanData[MonthlyIncome],697)&lt;=$B$4,"Medium Income","High Income"))</f>
        <v>High Income</v>
      </c>
      <c r="D705">
        <f>IF(INDEX(tblCleanData[Attrition],697)="Yes",1,0)</f>
        <v>0</v>
      </c>
      <c r="E705">
        <f>IF(INDEX(tblCleanData[OverTime],697)="Yes",1,0)</f>
        <v>0</v>
      </c>
      <c r="F705" t="str">
        <f>CHOOSE(INDEX(tblCleanData[Education],697),"Below College","College","Bachelor","Master","Doctor")</f>
        <v>College</v>
      </c>
      <c r="G705" t="str">
        <f>IF(INDEX(tblCleanData[YearsAtCompany],697)&lt;=2,"0-2 Years",IF(INDEX(tblCleanData[YearsAtCompany],697)&lt;=5,"3-5 Years",IF(INDEX(tblCleanData[YearsAtCompany],697)&lt;=10,"6-10 Years","10+ Years")))</f>
        <v>6-10 Years</v>
      </c>
      <c r="H705" t="str">
        <f>IF(INDEX(tblCleanData[WorkLifeBalance],697)&lt;=2,"Elevated","Normal")</f>
        <v>Elevated</v>
      </c>
      <c r="I705">
        <f>IF(INDEX(tblCleanData[Age],697)&lt;30,30,IF(INDEX(tblCleanData[Age],697)&lt;40,20,IF(INDEX(tblCleanData[Age],697)&lt;50,10,15)))</f>
        <v>10</v>
      </c>
      <c r="J705">
        <f>IF(INDEX(tblCleanData[MonthlyIncome],697)&lt;=$B$3,25,IF(INDEX(tblCleanData[MonthlyIncome],697)&lt;=$B$4,12,5))</f>
        <v>5</v>
      </c>
      <c r="K705">
        <f>IF(INDEX(tblCleanData[OverTime],697)="Yes",25,0)</f>
        <v>0</v>
      </c>
      <c r="L705">
        <f>(5-INDEX(tblCleanData[JobSatisfaction],697))*6.25</f>
        <v>18.75</v>
      </c>
      <c r="M705">
        <f>IF(INDEX(tblCleanData[YearsAtCompany],697)&lt;=2,25,IF(INDEX(tblCleanData[YearsAtCompany],697)&lt;=5,15,IF(INDEX(tblCleanData[YearsAtCompany],697)&lt;=10,8,3)))</f>
        <v>8</v>
      </c>
      <c r="N705">
        <f t="shared" si="20"/>
        <v>42</v>
      </c>
      <c r="O705" t="str">
        <f t="shared" si="21"/>
        <v>Medium Risk</v>
      </c>
    </row>
    <row r="706" spans="1:15" x14ac:dyDescent="0.25">
      <c r="A706">
        <f>INDEX(tblCleanData[EmployeeNumber],698)</f>
        <v>974</v>
      </c>
      <c r="B706" t="str">
        <f>IF(INDEX(tblCleanData[Age],698)&lt;30,"Under 30",IF(INDEX(tblCleanData[Age],698)&lt;40,"30-39",IF(INDEX(tblCleanData[Age],698)&lt;50,"40-49","50+")))</f>
        <v>Under 30</v>
      </c>
      <c r="C706" t="str">
        <f>IF(INDEX(tblCleanData[MonthlyIncome],698)&lt;=$B$3,"Low Income",IF(INDEX(tblCleanData[MonthlyIncome],698)&lt;=$B$4,"Medium Income","High Income"))</f>
        <v>High Income</v>
      </c>
      <c r="D706">
        <f>IF(INDEX(tblCleanData[Attrition],698)="Yes",1,0)</f>
        <v>0</v>
      </c>
      <c r="E706">
        <f>IF(INDEX(tblCleanData[OverTime],698)="Yes",1,0)</f>
        <v>0</v>
      </c>
      <c r="F706" t="str">
        <f>CHOOSE(INDEX(tblCleanData[Education],698),"Below College","College","Bachelor","Master","Doctor")</f>
        <v>Bachelor</v>
      </c>
      <c r="G706" t="str">
        <f>IF(INDEX(tblCleanData[YearsAtCompany],698)&lt;=2,"0-2 Years",IF(INDEX(tblCleanData[YearsAtCompany],698)&lt;=5,"3-5 Years",IF(INDEX(tblCleanData[YearsAtCompany],698)&lt;=10,"6-10 Years","10+ Years")))</f>
        <v>3-5 Years</v>
      </c>
      <c r="H706" t="str">
        <f>IF(INDEX(tblCleanData[WorkLifeBalance],698)&lt;=2,"Elevated","Normal")</f>
        <v>Normal</v>
      </c>
      <c r="I706">
        <f>IF(INDEX(tblCleanData[Age],698)&lt;30,30,IF(INDEX(tblCleanData[Age],698)&lt;40,20,IF(INDEX(tblCleanData[Age],698)&lt;50,10,15)))</f>
        <v>30</v>
      </c>
      <c r="J706">
        <f>IF(INDEX(tblCleanData[MonthlyIncome],698)&lt;=$B$3,25,IF(INDEX(tblCleanData[MonthlyIncome],698)&lt;=$B$4,12,5))</f>
        <v>5</v>
      </c>
      <c r="K706">
        <f>IF(INDEX(tblCleanData[OverTime],698)="Yes",25,0)</f>
        <v>0</v>
      </c>
      <c r="L706">
        <f>(5-INDEX(tblCleanData[JobSatisfaction],698))*6.25</f>
        <v>6.25</v>
      </c>
      <c r="M706">
        <f>IF(INDEX(tblCleanData[YearsAtCompany],698)&lt;=2,25,IF(INDEX(tblCleanData[YearsAtCompany],698)&lt;=5,15,IF(INDEX(tblCleanData[YearsAtCompany],698)&lt;=10,8,3)))</f>
        <v>15</v>
      </c>
      <c r="N706">
        <f t="shared" si="20"/>
        <v>56</v>
      </c>
      <c r="O706" t="str">
        <f t="shared" si="21"/>
        <v>High Risk</v>
      </c>
    </row>
    <row r="707" spans="1:15" x14ac:dyDescent="0.25">
      <c r="A707">
        <f>INDEX(tblCleanData[EmployeeNumber],699)</f>
        <v>975</v>
      </c>
      <c r="B707" t="str">
        <f>IF(INDEX(tblCleanData[Age],699)&lt;30,"Under 30",IF(INDEX(tblCleanData[Age],699)&lt;40,"30-39",IF(INDEX(tblCleanData[Age],699)&lt;50,"40-49","50+")))</f>
        <v>30-39</v>
      </c>
      <c r="C707" t="str">
        <f>IF(INDEX(tblCleanData[MonthlyIncome],699)&lt;=$B$3,"Low Income",IF(INDEX(tblCleanData[MonthlyIncome],699)&lt;=$B$4,"Medium Income","High Income"))</f>
        <v>High Income</v>
      </c>
      <c r="D707">
        <f>IF(INDEX(tblCleanData[Attrition],699)="Yes",1,0)</f>
        <v>0</v>
      </c>
      <c r="E707">
        <f>IF(INDEX(tblCleanData[OverTime],699)="Yes",1,0)</f>
        <v>0</v>
      </c>
      <c r="F707" t="str">
        <f>CHOOSE(INDEX(tblCleanData[Education],699),"Below College","College","Bachelor","Master","Doctor")</f>
        <v>Bachelor</v>
      </c>
      <c r="G707" t="str">
        <f>IF(INDEX(tblCleanData[YearsAtCompany],699)&lt;=2,"0-2 Years",IF(INDEX(tblCleanData[YearsAtCompany],699)&lt;=5,"3-5 Years",IF(INDEX(tblCleanData[YearsAtCompany],699)&lt;=10,"6-10 Years","10+ Years")))</f>
        <v>3-5 Years</v>
      </c>
      <c r="H707" t="str">
        <f>IF(INDEX(tblCleanData[WorkLifeBalance],699)&lt;=2,"Elevated","Normal")</f>
        <v>Normal</v>
      </c>
      <c r="I707">
        <f>IF(INDEX(tblCleanData[Age],699)&lt;30,30,IF(INDEX(tblCleanData[Age],699)&lt;40,20,IF(INDEX(tblCleanData[Age],699)&lt;50,10,15)))</f>
        <v>20</v>
      </c>
      <c r="J707">
        <f>IF(INDEX(tblCleanData[MonthlyIncome],699)&lt;=$B$3,25,IF(INDEX(tblCleanData[MonthlyIncome],699)&lt;=$B$4,12,5))</f>
        <v>5</v>
      </c>
      <c r="K707">
        <f>IF(INDEX(tblCleanData[OverTime],699)="Yes",25,0)</f>
        <v>0</v>
      </c>
      <c r="L707">
        <f>(5-INDEX(tblCleanData[JobSatisfaction],699))*6.25</f>
        <v>12.5</v>
      </c>
      <c r="M707">
        <f>IF(INDEX(tblCleanData[YearsAtCompany],699)&lt;=2,25,IF(INDEX(tblCleanData[YearsAtCompany],699)&lt;=5,15,IF(INDEX(tblCleanData[YearsAtCompany],699)&lt;=10,8,3)))</f>
        <v>15</v>
      </c>
      <c r="N707">
        <f t="shared" si="20"/>
        <v>53</v>
      </c>
      <c r="O707" t="str">
        <f t="shared" si="21"/>
        <v>Medium Risk</v>
      </c>
    </row>
    <row r="708" spans="1:15" x14ac:dyDescent="0.25">
      <c r="A708">
        <f>INDEX(tblCleanData[EmployeeNumber],700)</f>
        <v>976</v>
      </c>
      <c r="B708" t="str">
        <f>IF(INDEX(tblCleanData[Age],700)&lt;30,"Under 30",IF(INDEX(tblCleanData[Age],700)&lt;40,"30-39",IF(INDEX(tblCleanData[Age],700)&lt;50,"40-49","50+")))</f>
        <v>50+</v>
      </c>
      <c r="C708" t="str">
        <f>IF(INDEX(tblCleanData[MonthlyIncome],700)&lt;=$B$3,"Low Income",IF(INDEX(tblCleanData[MonthlyIncome],700)&lt;=$B$4,"Medium Income","High Income"))</f>
        <v>High Income</v>
      </c>
      <c r="D708">
        <f>IF(INDEX(tblCleanData[Attrition],700)="Yes",1,0)</f>
        <v>0</v>
      </c>
      <c r="E708">
        <f>IF(INDEX(tblCleanData[OverTime],700)="Yes",1,0)</f>
        <v>0</v>
      </c>
      <c r="F708" t="str">
        <f>CHOOSE(INDEX(tblCleanData[Education],700),"Below College","College","Bachelor","Master","Doctor")</f>
        <v>College</v>
      </c>
      <c r="G708" t="str">
        <f>IF(INDEX(tblCleanData[YearsAtCompany],700)&lt;=2,"0-2 Years",IF(INDEX(tblCleanData[YearsAtCompany],700)&lt;=5,"3-5 Years",IF(INDEX(tblCleanData[YearsAtCompany],700)&lt;=10,"6-10 Years","10+ Years")))</f>
        <v>6-10 Years</v>
      </c>
      <c r="H708" t="str">
        <f>IF(INDEX(tblCleanData[WorkLifeBalance],700)&lt;=2,"Elevated","Normal")</f>
        <v>Elevated</v>
      </c>
      <c r="I708">
        <f>IF(INDEX(tblCleanData[Age],700)&lt;30,30,IF(INDEX(tblCleanData[Age],700)&lt;40,20,IF(INDEX(tblCleanData[Age],700)&lt;50,10,15)))</f>
        <v>15</v>
      </c>
      <c r="J708">
        <f>IF(INDEX(tblCleanData[MonthlyIncome],700)&lt;=$B$3,25,IF(INDEX(tblCleanData[MonthlyIncome],700)&lt;=$B$4,12,5))</f>
        <v>5</v>
      </c>
      <c r="K708">
        <f>IF(INDEX(tblCleanData[OverTime],700)="Yes",25,0)</f>
        <v>0</v>
      </c>
      <c r="L708">
        <f>(5-INDEX(tblCleanData[JobSatisfaction],700))*6.25</f>
        <v>6.25</v>
      </c>
      <c r="M708">
        <f>IF(INDEX(tblCleanData[YearsAtCompany],700)&lt;=2,25,IF(INDEX(tblCleanData[YearsAtCompany],700)&lt;=5,15,IF(INDEX(tblCleanData[YearsAtCompany],700)&lt;=10,8,3)))</f>
        <v>8</v>
      </c>
      <c r="N708">
        <f t="shared" si="20"/>
        <v>34</v>
      </c>
      <c r="O708" t="str">
        <f t="shared" si="21"/>
        <v>Low Risk</v>
      </c>
    </row>
    <row r="709" spans="1:15" x14ac:dyDescent="0.25">
      <c r="A709">
        <f>INDEX(tblCleanData[EmployeeNumber],701)</f>
        <v>977</v>
      </c>
      <c r="B709" t="str">
        <f>IF(INDEX(tblCleanData[Age],701)&lt;30,"Under 30",IF(INDEX(tblCleanData[Age],701)&lt;40,"30-39",IF(INDEX(tblCleanData[Age],701)&lt;50,"40-49","50+")))</f>
        <v>50+</v>
      </c>
      <c r="C709" t="str">
        <f>IF(INDEX(tblCleanData[MonthlyIncome],701)&lt;=$B$3,"Low Income",IF(INDEX(tblCleanData[MonthlyIncome],701)&lt;=$B$4,"Medium Income","High Income"))</f>
        <v>High Income</v>
      </c>
      <c r="D709">
        <f>IF(INDEX(tblCleanData[Attrition],701)="Yes",1,0)</f>
        <v>1</v>
      </c>
      <c r="E709">
        <f>IF(INDEX(tblCleanData[OverTime],701)="Yes",1,0)</f>
        <v>0</v>
      </c>
      <c r="F709" t="str">
        <f>CHOOSE(INDEX(tblCleanData[Education],701),"Below College","College","Bachelor","Master","Doctor")</f>
        <v>Bachelor</v>
      </c>
      <c r="G709" t="str">
        <f>IF(INDEX(tblCleanData[YearsAtCompany],701)&lt;=2,"0-2 Years",IF(INDEX(tblCleanData[YearsAtCompany],701)&lt;=5,"3-5 Years",IF(INDEX(tblCleanData[YearsAtCompany],701)&lt;=10,"6-10 Years","10+ Years")))</f>
        <v>0-2 Years</v>
      </c>
      <c r="H709" t="str">
        <f>IF(INDEX(tblCleanData[WorkLifeBalance],701)&lt;=2,"Elevated","Normal")</f>
        <v>Normal</v>
      </c>
      <c r="I709">
        <f>IF(INDEX(tblCleanData[Age],701)&lt;30,30,IF(INDEX(tblCleanData[Age],701)&lt;40,20,IF(INDEX(tblCleanData[Age],701)&lt;50,10,15)))</f>
        <v>15</v>
      </c>
      <c r="J709">
        <f>IF(INDEX(tblCleanData[MonthlyIncome],701)&lt;=$B$3,25,IF(INDEX(tblCleanData[MonthlyIncome],701)&lt;=$B$4,12,5))</f>
        <v>5</v>
      </c>
      <c r="K709">
        <f>IF(INDEX(tblCleanData[OverTime],701)="Yes",25,0)</f>
        <v>0</v>
      </c>
      <c r="L709">
        <f>(5-INDEX(tblCleanData[JobSatisfaction],701))*6.25</f>
        <v>12.5</v>
      </c>
      <c r="M709">
        <f>IF(INDEX(tblCleanData[YearsAtCompany],701)&lt;=2,25,IF(INDEX(tblCleanData[YearsAtCompany],701)&lt;=5,15,IF(INDEX(tblCleanData[YearsAtCompany],701)&lt;=10,8,3)))</f>
        <v>25</v>
      </c>
      <c r="N709">
        <f t="shared" si="20"/>
        <v>58</v>
      </c>
      <c r="O709" t="str">
        <f t="shared" si="21"/>
        <v>High Risk</v>
      </c>
    </row>
    <row r="710" spans="1:15" x14ac:dyDescent="0.25">
      <c r="A710">
        <f>INDEX(tblCleanData[EmployeeNumber],702)</f>
        <v>981</v>
      </c>
      <c r="B710" t="str">
        <f>IF(INDEX(tblCleanData[Age],702)&lt;30,"Under 30",IF(INDEX(tblCleanData[Age],702)&lt;40,"30-39",IF(INDEX(tblCleanData[Age],702)&lt;50,"40-49","50+")))</f>
        <v>50+</v>
      </c>
      <c r="C710" t="str">
        <f>IF(INDEX(tblCleanData[MonthlyIncome],702)&lt;=$B$3,"Low Income",IF(INDEX(tblCleanData[MonthlyIncome],702)&lt;=$B$4,"Medium Income","High Income"))</f>
        <v>High Income</v>
      </c>
      <c r="D710">
        <f>IF(INDEX(tblCleanData[Attrition],702)="Yes",1,0)</f>
        <v>0</v>
      </c>
      <c r="E710">
        <f>IF(INDEX(tblCleanData[OverTime],702)="Yes",1,0)</f>
        <v>0</v>
      </c>
      <c r="F710" t="str">
        <f>CHOOSE(INDEX(tblCleanData[Education],702),"Below College","College","Bachelor","Master","Doctor")</f>
        <v>College</v>
      </c>
      <c r="G710" t="str">
        <f>IF(INDEX(tblCleanData[YearsAtCompany],702)&lt;=2,"0-2 Years",IF(INDEX(tblCleanData[YearsAtCompany],702)&lt;=5,"3-5 Years",IF(INDEX(tblCleanData[YearsAtCompany],702)&lt;=10,"6-10 Years","10+ Years")))</f>
        <v>10+ Years</v>
      </c>
      <c r="H710" t="str">
        <f>IF(INDEX(tblCleanData[WorkLifeBalance],702)&lt;=2,"Elevated","Normal")</f>
        <v>Normal</v>
      </c>
      <c r="I710">
        <f>IF(INDEX(tblCleanData[Age],702)&lt;30,30,IF(INDEX(tblCleanData[Age],702)&lt;40,20,IF(INDEX(tblCleanData[Age],702)&lt;50,10,15)))</f>
        <v>15</v>
      </c>
      <c r="J710">
        <f>IF(INDEX(tblCleanData[MonthlyIncome],702)&lt;=$B$3,25,IF(INDEX(tblCleanData[MonthlyIncome],702)&lt;=$B$4,12,5))</f>
        <v>5</v>
      </c>
      <c r="K710">
        <f>IF(INDEX(tblCleanData[OverTime],702)="Yes",25,0)</f>
        <v>0</v>
      </c>
      <c r="L710">
        <f>(5-INDEX(tblCleanData[JobSatisfaction],702))*6.25</f>
        <v>12.5</v>
      </c>
      <c r="M710">
        <f>IF(INDEX(tblCleanData[YearsAtCompany],702)&lt;=2,25,IF(INDEX(tblCleanData[YearsAtCompany],702)&lt;=5,15,IF(INDEX(tblCleanData[YearsAtCompany],702)&lt;=10,8,3)))</f>
        <v>3</v>
      </c>
      <c r="N710">
        <f t="shared" si="20"/>
        <v>36</v>
      </c>
      <c r="O710" t="str">
        <f t="shared" si="21"/>
        <v>Medium Risk</v>
      </c>
    </row>
    <row r="711" spans="1:15" x14ac:dyDescent="0.25">
      <c r="A711">
        <f>INDEX(tblCleanData[EmployeeNumber],703)</f>
        <v>982</v>
      </c>
      <c r="B711" t="str">
        <f>IF(INDEX(tblCleanData[Age],703)&lt;30,"Under 30",IF(INDEX(tblCleanData[Age],703)&lt;40,"30-39",IF(INDEX(tblCleanData[Age],703)&lt;50,"40-49","50+")))</f>
        <v>30-39</v>
      </c>
      <c r="C711" t="str">
        <f>IF(INDEX(tblCleanData[MonthlyIncome],703)&lt;=$B$3,"Low Income",IF(INDEX(tblCleanData[MonthlyIncome],703)&lt;=$B$4,"Medium Income","High Income"))</f>
        <v>High Income</v>
      </c>
      <c r="D711">
        <f>IF(INDEX(tblCleanData[Attrition],703)="Yes",1,0)</f>
        <v>0</v>
      </c>
      <c r="E711">
        <f>IF(INDEX(tblCleanData[OverTime],703)="Yes",1,0)</f>
        <v>0</v>
      </c>
      <c r="F711" t="str">
        <f>CHOOSE(INDEX(tblCleanData[Education],703),"Below College","College","Bachelor","Master","Doctor")</f>
        <v>College</v>
      </c>
      <c r="G711" t="str">
        <f>IF(INDEX(tblCleanData[YearsAtCompany],703)&lt;=2,"0-2 Years",IF(INDEX(tblCleanData[YearsAtCompany],703)&lt;=5,"3-5 Years",IF(INDEX(tblCleanData[YearsAtCompany],703)&lt;=10,"6-10 Years","10+ Years")))</f>
        <v>6-10 Years</v>
      </c>
      <c r="H711" t="str">
        <f>IF(INDEX(tblCleanData[WorkLifeBalance],703)&lt;=2,"Elevated","Normal")</f>
        <v>Normal</v>
      </c>
      <c r="I711">
        <f>IF(INDEX(tblCleanData[Age],703)&lt;30,30,IF(INDEX(tblCleanData[Age],703)&lt;40,20,IF(INDEX(tblCleanData[Age],703)&lt;50,10,15)))</f>
        <v>20</v>
      </c>
      <c r="J711">
        <f>IF(INDEX(tblCleanData[MonthlyIncome],703)&lt;=$B$3,25,IF(INDEX(tblCleanData[MonthlyIncome],703)&lt;=$B$4,12,5))</f>
        <v>5</v>
      </c>
      <c r="K711">
        <f>IF(INDEX(tblCleanData[OverTime],703)="Yes",25,0)</f>
        <v>0</v>
      </c>
      <c r="L711">
        <f>(5-INDEX(tblCleanData[JobSatisfaction],703))*6.25</f>
        <v>12.5</v>
      </c>
      <c r="M711">
        <f>IF(INDEX(tblCleanData[YearsAtCompany],703)&lt;=2,25,IF(INDEX(tblCleanData[YearsAtCompany],703)&lt;=5,15,IF(INDEX(tblCleanData[YearsAtCompany],703)&lt;=10,8,3)))</f>
        <v>8</v>
      </c>
      <c r="N711">
        <f t="shared" si="20"/>
        <v>46</v>
      </c>
      <c r="O711" t="str">
        <f t="shared" si="21"/>
        <v>Medium Risk</v>
      </c>
    </row>
    <row r="712" spans="1:15" x14ac:dyDescent="0.25">
      <c r="A712">
        <f>INDEX(tblCleanData[EmployeeNumber],704)</f>
        <v>983</v>
      </c>
      <c r="B712" t="str">
        <f>IF(INDEX(tblCleanData[Age],704)&lt;30,"Under 30",IF(INDEX(tblCleanData[Age],704)&lt;40,"30-39",IF(INDEX(tblCleanData[Age],704)&lt;50,"40-49","50+")))</f>
        <v>30-39</v>
      </c>
      <c r="C712" t="str">
        <f>IF(INDEX(tblCleanData[MonthlyIncome],704)&lt;=$B$3,"Low Income",IF(INDEX(tblCleanData[MonthlyIncome],704)&lt;=$B$4,"Medium Income","High Income"))</f>
        <v>High Income</v>
      </c>
      <c r="D712">
        <f>IF(INDEX(tblCleanData[Attrition],704)="Yes",1,0)</f>
        <v>0</v>
      </c>
      <c r="E712">
        <f>IF(INDEX(tblCleanData[OverTime],704)="Yes",1,0)</f>
        <v>1</v>
      </c>
      <c r="F712" t="str">
        <f>CHOOSE(INDEX(tblCleanData[Education],704),"Below College","College","Bachelor","Master","Doctor")</f>
        <v>Bachelor</v>
      </c>
      <c r="G712" t="str">
        <f>IF(INDEX(tblCleanData[YearsAtCompany],704)&lt;=2,"0-2 Years",IF(INDEX(tblCleanData[YearsAtCompany],704)&lt;=5,"3-5 Years",IF(INDEX(tblCleanData[YearsAtCompany],704)&lt;=10,"6-10 Years","10+ Years")))</f>
        <v>3-5 Years</v>
      </c>
      <c r="H712" t="str">
        <f>IF(INDEX(tblCleanData[WorkLifeBalance],704)&lt;=2,"Elevated","Normal")</f>
        <v>Normal</v>
      </c>
      <c r="I712">
        <f>IF(INDEX(tblCleanData[Age],704)&lt;30,30,IF(INDEX(tblCleanData[Age],704)&lt;40,20,IF(INDEX(tblCleanData[Age],704)&lt;50,10,15)))</f>
        <v>20</v>
      </c>
      <c r="J712">
        <f>IF(INDEX(tblCleanData[MonthlyIncome],704)&lt;=$B$3,25,IF(INDEX(tblCleanData[MonthlyIncome],704)&lt;=$B$4,12,5))</f>
        <v>5</v>
      </c>
      <c r="K712">
        <f>IF(INDEX(tblCleanData[OverTime],704)="Yes",25,0)</f>
        <v>25</v>
      </c>
      <c r="L712">
        <f>(5-INDEX(tblCleanData[JobSatisfaction],704))*6.25</f>
        <v>6.25</v>
      </c>
      <c r="M712">
        <f>IF(INDEX(tblCleanData[YearsAtCompany],704)&lt;=2,25,IF(INDEX(tblCleanData[YearsAtCompany],704)&lt;=5,15,IF(INDEX(tblCleanData[YearsAtCompany],704)&lt;=10,8,3)))</f>
        <v>15</v>
      </c>
      <c r="N712">
        <f t="shared" si="20"/>
        <v>71</v>
      </c>
      <c r="O712" t="str">
        <f t="shared" si="21"/>
        <v>High Risk</v>
      </c>
    </row>
    <row r="713" spans="1:15" x14ac:dyDescent="0.25">
      <c r="A713">
        <f>INDEX(tblCleanData[EmployeeNumber],705)</f>
        <v>984</v>
      </c>
      <c r="B713" t="str">
        <f>IF(INDEX(tblCleanData[Age],705)&lt;30,"Under 30",IF(INDEX(tblCleanData[Age],705)&lt;40,"30-39",IF(INDEX(tblCleanData[Age],705)&lt;50,"40-49","50+")))</f>
        <v>30-39</v>
      </c>
      <c r="C713" t="str">
        <f>IF(INDEX(tblCleanData[MonthlyIncome],705)&lt;=$B$3,"Low Income",IF(INDEX(tblCleanData[MonthlyIncome],705)&lt;=$B$4,"Medium Income","High Income"))</f>
        <v>High Income</v>
      </c>
      <c r="D713">
        <f>IF(INDEX(tblCleanData[Attrition],705)="Yes",1,0)</f>
        <v>0</v>
      </c>
      <c r="E713">
        <f>IF(INDEX(tblCleanData[OverTime],705)="Yes",1,0)</f>
        <v>0</v>
      </c>
      <c r="F713" t="str">
        <f>CHOOSE(INDEX(tblCleanData[Education],705),"Below College","College","Bachelor","Master","Doctor")</f>
        <v>Master</v>
      </c>
      <c r="G713" t="str">
        <f>IF(INDEX(tblCleanData[YearsAtCompany],705)&lt;=2,"0-2 Years",IF(INDEX(tblCleanData[YearsAtCompany],705)&lt;=5,"3-5 Years",IF(INDEX(tblCleanData[YearsAtCompany],705)&lt;=10,"6-10 Years","10+ Years")))</f>
        <v>6-10 Years</v>
      </c>
      <c r="H713" t="str">
        <f>IF(INDEX(tblCleanData[WorkLifeBalance],705)&lt;=2,"Elevated","Normal")</f>
        <v>Normal</v>
      </c>
      <c r="I713">
        <f>IF(INDEX(tblCleanData[Age],705)&lt;30,30,IF(INDEX(tblCleanData[Age],705)&lt;40,20,IF(INDEX(tblCleanData[Age],705)&lt;50,10,15)))</f>
        <v>20</v>
      </c>
      <c r="J713">
        <f>IF(INDEX(tblCleanData[MonthlyIncome],705)&lt;=$B$3,25,IF(INDEX(tblCleanData[MonthlyIncome],705)&lt;=$B$4,12,5))</f>
        <v>5</v>
      </c>
      <c r="K713">
        <f>IF(INDEX(tblCleanData[OverTime],705)="Yes",25,0)</f>
        <v>0</v>
      </c>
      <c r="L713">
        <f>(5-INDEX(tblCleanData[JobSatisfaction],705))*6.25</f>
        <v>6.25</v>
      </c>
      <c r="M713">
        <f>IF(INDEX(tblCleanData[YearsAtCompany],705)&lt;=2,25,IF(INDEX(tblCleanData[YearsAtCompany],705)&lt;=5,15,IF(INDEX(tblCleanData[YearsAtCompany],705)&lt;=10,8,3)))</f>
        <v>8</v>
      </c>
      <c r="N713">
        <f t="shared" ref="N713:N776" si="22">ROUND(I713+J713+K713+L713+M713,0)</f>
        <v>39</v>
      </c>
      <c r="O713" t="str">
        <f t="shared" ref="O713:O776" si="23">IF(N713&gt;=55,"High Risk",IF(N713&gt;=35,"Medium Risk","Low Risk"))</f>
        <v>Medium Risk</v>
      </c>
    </row>
    <row r="714" spans="1:15" x14ac:dyDescent="0.25">
      <c r="A714">
        <f>INDEX(tblCleanData[EmployeeNumber],706)</f>
        <v>985</v>
      </c>
      <c r="B714" t="str">
        <f>IF(INDEX(tblCleanData[Age],706)&lt;30,"Under 30",IF(INDEX(tblCleanData[Age],706)&lt;40,"30-39",IF(INDEX(tblCleanData[Age],706)&lt;50,"40-49","50+")))</f>
        <v>30-39</v>
      </c>
      <c r="C714" t="str">
        <f>IF(INDEX(tblCleanData[MonthlyIncome],706)&lt;=$B$3,"Low Income",IF(INDEX(tblCleanData[MonthlyIncome],706)&lt;=$B$4,"Medium Income","High Income"))</f>
        <v>High Income</v>
      </c>
      <c r="D714">
        <f>IF(INDEX(tblCleanData[Attrition],706)="Yes",1,0)</f>
        <v>0</v>
      </c>
      <c r="E714">
        <f>IF(INDEX(tblCleanData[OverTime],706)="Yes",1,0)</f>
        <v>0</v>
      </c>
      <c r="F714" t="str">
        <f>CHOOSE(INDEX(tblCleanData[Education],706),"Below College","College","Bachelor","Master","Doctor")</f>
        <v>Doctor</v>
      </c>
      <c r="G714" t="str">
        <f>IF(INDEX(tblCleanData[YearsAtCompany],706)&lt;=2,"0-2 Years",IF(INDEX(tblCleanData[YearsAtCompany],706)&lt;=5,"3-5 Years",IF(INDEX(tblCleanData[YearsAtCompany],706)&lt;=10,"6-10 Years","10+ Years")))</f>
        <v>6-10 Years</v>
      </c>
      <c r="H714" t="str">
        <f>IF(INDEX(tblCleanData[WorkLifeBalance],706)&lt;=2,"Elevated","Normal")</f>
        <v>Normal</v>
      </c>
      <c r="I714">
        <f>IF(INDEX(tblCleanData[Age],706)&lt;30,30,IF(INDEX(tblCleanData[Age],706)&lt;40,20,IF(INDEX(tblCleanData[Age],706)&lt;50,10,15)))</f>
        <v>20</v>
      </c>
      <c r="J714">
        <f>IF(INDEX(tblCleanData[MonthlyIncome],706)&lt;=$B$3,25,IF(INDEX(tblCleanData[MonthlyIncome],706)&lt;=$B$4,12,5))</f>
        <v>5</v>
      </c>
      <c r="K714">
        <f>IF(INDEX(tblCleanData[OverTime],706)="Yes",25,0)</f>
        <v>0</v>
      </c>
      <c r="L714">
        <f>(5-INDEX(tblCleanData[JobSatisfaction],706))*6.25</f>
        <v>12.5</v>
      </c>
      <c r="M714">
        <f>IF(INDEX(tblCleanData[YearsAtCompany],706)&lt;=2,25,IF(INDEX(tblCleanData[YearsAtCompany],706)&lt;=5,15,IF(INDEX(tblCleanData[YearsAtCompany],706)&lt;=10,8,3)))</f>
        <v>8</v>
      </c>
      <c r="N714">
        <f t="shared" si="22"/>
        <v>46</v>
      </c>
      <c r="O714" t="str">
        <f t="shared" si="23"/>
        <v>Medium Risk</v>
      </c>
    </row>
    <row r="715" spans="1:15" x14ac:dyDescent="0.25">
      <c r="A715">
        <f>INDEX(tblCleanData[EmployeeNumber],707)</f>
        <v>986</v>
      </c>
      <c r="B715" t="str">
        <f>IF(INDEX(tblCleanData[Age],707)&lt;30,"Under 30",IF(INDEX(tblCleanData[Age],707)&lt;40,"30-39",IF(INDEX(tblCleanData[Age],707)&lt;50,"40-49","50+")))</f>
        <v>40-49</v>
      </c>
      <c r="C715" t="str">
        <f>IF(INDEX(tblCleanData[MonthlyIncome],707)&lt;=$B$3,"Low Income",IF(INDEX(tblCleanData[MonthlyIncome],707)&lt;=$B$4,"Medium Income","High Income"))</f>
        <v>High Income</v>
      </c>
      <c r="D715">
        <f>IF(INDEX(tblCleanData[Attrition],707)="Yes",1,0)</f>
        <v>1</v>
      </c>
      <c r="E715">
        <f>IF(INDEX(tblCleanData[OverTime],707)="Yes",1,0)</f>
        <v>1</v>
      </c>
      <c r="F715" t="str">
        <f>CHOOSE(INDEX(tblCleanData[Education],707),"Below College","College","Bachelor","Master","Doctor")</f>
        <v>Bachelor</v>
      </c>
      <c r="G715" t="str">
        <f>IF(INDEX(tblCleanData[YearsAtCompany],707)&lt;=2,"0-2 Years",IF(INDEX(tblCleanData[YearsAtCompany],707)&lt;=5,"3-5 Years",IF(INDEX(tblCleanData[YearsAtCompany],707)&lt;=10,"6-10 Years","10+ Years")))</f>
        <v>0-2 Years</v>
      </c>
      <c r="H715" t="str">
        <f>IF(INDEX(tblCleanData[WorkLifeBalance],707)&lt;=2,"Elevated","Normal")</f>
        <v>Elevated</v>
      </c>
      <c r="I715">
        <f>IF(INDEX(tblCleanData[Age],707)&lt;30,30,IF(INDEX(tblCleanData[Age],707)&lt;40,20,IF(INDEX(tblCleanData[Age],707)&lt;50,10,15)))</f>
        <v>10</v>
      </c>
      <c r="J715">
        <f>IF(INDEX(tblCleanData[MonthlyIncome],707)&lt;=$B$3,25,IF(INDEX(tblCleanData[MonthlyIncome],707)&lt;=$B$4,12,5))</f>
        <v>5</v>
      </c>
      <c r="K715">
        <f>IF(INDEX(tblCleanData[OverTime],707)="Yes",25,0)</f>
        <v>25</v>
      </c>
      <c r="L715">
        <f>(5-INDEX(tblCleanData[JobSatisfaction],707))*6.25</f>
        <v>18.75</v>
      </c>
      <c r="M715">
        <f>IF(INDEX(tblCleanData[YearsAtCompany],707)&lt;=2,25,IF(INDEX(tblCleanData[YearsAtCompany],707)&lt;=5,15,IF(INDEX(tblCleanData[YearsAtCompany],707)&lt;=10,8,3)))</f>
        <v>25</v>
      </c>
      <c r="N715">
        <f t="shared" si="22"/>
        <v>84</v>
      </c>
      <c r="O715" t="str">
        <f t="shared" si="23"/>
        <v>High Risk</v>
      </c>
    </row>
    <row r="716" spans="1:15" x14ac:dyDescent="0.25">
      <c r="A716">
        <f>INDEX(tblCleanData[EmployeeNumber],708)</f>
        <v>987</v>
      </c>
      <c r="B716" t="str">
        <f>IF(INDEX(tblCleanData[Age],708)&lt;30,"Under 30",IF(INDEX(tblCleanData[Age],708)&lt;40,"30-39",IF(INDEX(tblCleanData[Age],708)&lt;50,"40-49","50+")))</f>
        <v>40-49</v>
      </c>
      <c r="C716" t="str">
        <f>IF(INDEX(tblCleanData[MonthlyIncome],708)&lt;=$B$3,"Low Income",IF(INDEX(tblCleanData[MonthlyIncome],708)&lt;=$B$4,"Medium Income","High Income"))</f>
        <v>High Income</v>
      </c>
      <c r="D716">
        <f>IF(INDEX(tblCleanData[Attrition],708)="Yes",1,0)</f>
        <v>0</v>
      </c>
      <c r="E716">
        <f>IF(INDEX(tblCleanData[OverTime],708)="Yes",1,0)</f>
        <v>1</v>
      </c>
      <c r="F716" t="str">
        <f>CHOOSE(INDEX(tblCleanData[Education],708),"Below College","College","Bachelor","Master","Doctor")</f>
        <v>Master</v>
      </c>
      <c r="G716" t="str">
        <f>IF(INDEX(tblCleanData[YearsAtCompany],708)&lt;=2,"0-2 Years",IF(INDEX(tblCleanData[YearsAtCompany],708)&lt;=5,"3-5 Years",IF(INDEX(tblCleanData[YearsAtCompany],708)&lt;=10,"6-10 Years","10+ Years")))</f>
        <v>10+ Years</v>
      </c>
      <c r="H716" t="str">
        <f>IF(INDEX(tblCleanData[WorkLifeBalance],708)&lt;=2,"Elevated","Normal")</f>
        <v>Normal</v>
      </c>
      <c r="I716">
        <f>IF(INDEX(tblCleanData[Age],708)&lt;30,30,IF(INDEX(tblCleanData[Age],708)&lt;40,20,IF(INDEX(tblCleanData[Age],708)&lt;50,10,15)))</f>
        <v>10</v>
      </c>
      <c r="J716">
        <f>IF(INDEX(tblCleanData[MonthlyIncome],708)&lt;=$B$3,25,IF(INDEX(tblCleanData[MonthlyIncome],708)&lt;=$B$4,12,5))</f>
        <v>5</v>
      </c>
      <c r="K716">
        <f>IF(INDEX(tblCleanData[OverTime],708)="Yes",25,0)</f>
        <v>25</v>
      </c>
      <c r="L716">
        <f>(5-INDEX(tblCleanData[JobSatisfaction],708))*6.25</f>
        <v>12.5</v>
      </c>
      <c r="M716">
        <f>IF(INDEX(tblCleanData[YearsAtCompany],708)&lt;=2,25,IF(INDEX(tblCleanData[YearsAtCompany],708)&lt;=5,15,IF(INDEX(tblCleanData[YearsAtCompany],708)&lt;=10,8,3)))</f>
        <v>3</v>
      </c>
      <c r="N716">
        <f t="shared" si="22"/>
        <v>56</v>
      </c>
      <c r="O716" t="str">
        <f t="shared" si="23"/>
        <v>High Risk</v>
      </c>
    </row>
    <row r="717" spans="1:15" x14ac:dyDescent="0.25">
      <c r="A717">
        <f>INDEX(tblCleanData[EmployeeNumber],709)</f>
        <v>990</v>
      </c>
      <c r="B717" t="str">
        <f>IF(INDEX(tblCleanData[Age],709)&lt;30,"Under 30",IF(INDEX(tblCleanData[Age],709)&lt;40,"30-39",IF(INDEX(tblCleanData[Age],709)&lt;50,"40-49","50+")))</f>
        <v>30-39</v>
      </c>
      <c r="C717" t="str">
        <f>IF(INDEX(tblCleanData[MonthlyIncome],709)&lt;=$B$3,"Low Income",IF(INDEX(tblCleanData[MonthlyIncome],709)&lt;=$B$4,"Medium Income","High Income"))</f>
        <v>High Income</v>
      </c>
      <c r="D717">
        <f>IF(INDEX(tblCleanData[Attrition],709)="Yes",1,0)</f>
        <v>0</v>
      </c>
      <c r="E717">
        <f>IF(INDEX(tblCleanData[OverTime],709)="Yes",1,0)</f>
        <v>0</v>
      </c>
      <c r="F717" t="str">
        <f>CHOOSE(INDEX(tblCleanData[Education],709),"Below College","College","Bachelor","Master","Doctor")</f>
        <v>Master</v>
      </c>
      <c r="G717" t="str">
        <f>IF(INDEX(tblCleanData[YearsAtCompany],709)&lt;=2,"0-2 Years",IF(INDEX(tblCleanData[YearsAtCompany],709)&lt;=5,"3-5 Years",IF(INDEX(tblCleanData[YearsAtCompany],709)&lt;=10,"6-10 Years","10+ Years")))</f>
        <v>6-10 Years</v>
      </c>
      <c r="H717" t="str">
        <f>IF(INDEX(tblCleanData[WorkLifeBalance],709)&lt;=2,"Elevated","Normal")</f>
        <v>Normal</v>
      </c>
      <c r="I717">
        <f>IF(INDEX(tblCleanData[Age],709)&lt;30,30,IF(INDEX(tblCleanData[Age],709)&lt;40,20,IF(INDEX(tblCleanData[Age],709)&lt;50,10,15)))</f>
        <v>20</v>
      </c>
      <c r="J717">
        <f>IF(INDEX(tblCleanData[MonthlyIncome],709)&lt;=$B$3,25,IF(INDEX(tblCleanData[MonthlyIncome],709)&lt;=$B$4,12,5))</f>
        <v>5</v>
      </c>
      <c r="K717">
        <f>IF(INDEX(tblCleanData[OverTime],709)="Yes",25,0)</f>
        <v>0</v>
      </c>
      <c r="L717">
        <f>(5-INDEX(tblCleanData[JobSatisfaction],709))*6.25</f>
        <v>6.25</v>
      </c>
      <c r="M717">
        <f>IF(INDEX(tblCleanData[YearsAtCompany],709)&lt;=2,25,IF(INDEX(tblCleanData[YearsAtCompany],709)&lt;=5,15,IF(INDEX(tblCleanData[YearsAtCompany],709)&lt;=10,8,3)))</f>
        <v>8</v>
      </c>
      <c r="N717">
        <f t="shared" si="22"/>
        <v>39</v>
      </c>
      <c r="O717" t="str">
        <f t="shared" si="23"/>
        <v>Medium Risk</v>
      </c>
    </row>
    <row r="718" spans="1:15" x14ac:dyDescent="0.25">
      <c r="A718">
        <f>INDEX(tblCleanData[EmployeeNumber],710)</f>
        <v>991</v>
      </c>
      <c r="B718" t="str">
        <f>IF(INDEX(tblCleanData[Age],710)&lt;30,"Under 30",IF(INDEX(tblCleanData[Age],710)&lt;40,"30-39",IF(INDEX(tblCleanData[Age],710)&lt;50,"40-49","50+")))</f>
        <v>30-39</v>
      </c>
      <c r="C718" t="str">
        <f>IF(INDEX(tblCleanData[MonthlyIncome],710)&lt;=$B$3,"Low Income",IF(INDEX(tblCleanData[MonthlyIncome],710)&lt;=$B$4,"Medium Income","High Income"))</f>
        <v>High Income</v>
      </c>
      <c r="D718">
        <f>IF(INDEX(tblCleanData[Attrition],710)="Yes",1,0)</f>
        <v>1</v>
      </c>
      <c r="E718">
        <f>IF(INDEX(tblCleanData[OverTime],710)="Yes",1,0)</f>
        <v>1</v>
      </c>
      <c r="F718" t="str">
        <f>CHOOSE(INDEX(tblCleanData[Education],710),"Below College","College","Bachelor","Master","Doctor")</f>
        <v>College</v>
      </c>
      <c r="G718" t="str">
        <f>IF(INDEX(tblCleanData[YearsAtCompany],710)&lt;=2,"0-2 Years",IF(INDEX(tblCleanData[YearsAtCompany],710)&lt;=5,"3-5 Years",IF(INDEX(tblCleanData[YearsAtCompany],710)&lt;=10,"6-10 Years","10+ Years")))</f>
        <v>3-5 Years</v>
      </c>
      <c r="H718" t="str">
        <f>IF(INDEX(tblCleanData[WorkLifeBalance],710)&lt;=2,"Elevated","Normal")</f>
        <v>Normal</v>
      </c>
      <c r="I718">
        <f>IF(INDEX(tblCleanData[Age],710)&lt;30,30,IF(INDEX(tblCleanData[Age],710)&lt;40,20,IF(INDEX(tblCleanData[Age],710)&lt;50,10,15)))</f>
        <v>20</v>
      </c>
      <c r="J718">
        <f>IF(INDEX(tblCleanData[MonthlyIncome],710)&lt;=$B$3,25,IF(INDEX(tblCleanData[MonthlyIncome],710)&lt;=$B$4,12,5))</f>
        <v>5</v>
      </c>
      <c r="K718">
        <f>IF(INDEX(tblCleanData[OverTime],710)="Yes",25,0)</f>
        <v>25</v>
      </c>
      <c r="L718">
        <f>(5-INDEX(tblCleanData[JobSatisfaction],710))*6.25</f>
        <v>25</v>
      </c>
      <c r="M718">
        <f>IF(INDEX(tblCleanData[YearsAtCompany],710)&lt;=2,25,IF(INDEX(tblCleanData[YearsAtCompany],710)&lt;=5,15,IF(INDEX(tblCleanData[YearsAtCompany],710)&lt;=10,8,3)))</f>
        <v>15</v>
      </c>
      <c r="N718">
        <f t="shared" si="22"/>
        <v>90</v>
      </c>
      <c r="O718" t="str">
        <f t="shared" si="23"/>
        <v>High Risk</v>
      </c>
    </row>
    <row r="719" spans="1:15" x14ac:dyDescent="0.25">
      <c r="A719">
        <f>INDEX(tblCleanData[EmployeeNumber],711)</f>
        <v>992</v>
      </c>
      <c r="B719" t="str">
        <f>IF(INDEX(tblCleanData[Age],711)&lt;30,"Under 30",IF(INDEX(tblCleanData[Age],711)&lt;40,"30-39",IF(INDEX(tblCleanData[Age],711)&lt;50,"40-49","50+")))</f>
        <v>30-39</v>
      </c>
      <c r="C719" t="str">
        <f>IF(INDEX(tblCleanData[MonthlyIncome],711)&lt;=$B$3,"Low Income",IF(INDEX(tblCleanData[MonthlyIncome],711)&lt;=$B$4,"Medium Income","High Income"))</f>
        <v>High Income</v>
      </c>
      <c r="D719">
        <f>IF(INDEX(tblCleanData[Attrition],711)="Yes",1,0)</f>
        <v>0</v>
      </c>
      <c r="E719">
        <f>IF(INDEX(tblCleanData[OverTime],711)="Yes",1,0)</f>
        <v>0</v>
      </c>
      <c r="F719" t="str">
        <f>CHOOSE(INDEX(tblCleanData[Education],711),"Below College","College","Bachelor","Master","Doctor")</f>
        <v>Bachelor</v>
      </c>
      <c r="G719" t="str">
        <f>IF(INDEX(tblCleanData[YearsAtCompany],711)&lt;=2,"0-2 Years",IF(INDEX(tblCleanData[YearsAtCompany],711)&lt;=5,"3-5 Years",IF(INDEX(tblCleanData[YearsAtCompany],711)&lt;=10,"6-10 Years","10+ Years")))</f>
        <v>6-10 Years</v>
      </c>
      <c r="H719" t="str">
        <f>IF(INDEX(tblCleanData[WorkLifeBalance],711)&lt;=2,"Elevated","Normal")</f>
        <v>Normal</v>
      </c>
      <c r="I719">
        <f>IF(INDEX(tblCleanData[Age],711)&lt;30,30,IF(INDEX(tblCleanData[Age],711)&lt;40,20,IF(INDEX(tblCleanData[Age],711)&lt;50,10,15)))</f>
        <v>20</v>
      </c>
      <c r="J719">
        <f>IF(INDEX(tblCleanData[MonthlyIncome],711)&lt;=$B$3,25,IF(INDEX(tblCleanData[MonthlyIncome],711)&lt;=$B$4,12,5))</f>
        <v>5</v>
      </c>
      <c r="K719">
        <f>IF(INDEX(tblCleanData[OverTime],711)="Yes",25,0)</f>
        <v>0</v>
      </c>
      <c r="L719">
        <f>(5-INDEX(tblCleanData[JobSatisfaction],711))*6.25</f>
        <v>12.5</v>
      </c>
      <c r="M719">
        <f>IF(INDEX(tblCleanData[YearsAtCompany],711)&lt;=2,25,IF(INDEX(tblCleanData[YearsAtCompany],711)&lt;=5,15,IF(INDEX(tblCleanData[YearsAtCompany],711)&lt;=10,8,3)))</f>
        <v>8</v>
      </c>
      <c r="N719">
        <f t="shared" si="22"/>
        <v>46</v>
      </c>
      <c r="O719" t="str">
        <f t="shared" si="23"/>
        <v>Medium Risk</v>
      </c>
    </row>
    <row r="720" spans="1:15" x14ac:dyDescent="0.25">
      <c r="A720">
        <f>INDEX(tblCleanData[EmployeeNumber],712)</f>
        <v>994</v>
      </c>
      <c r="B720" t="str">
        <f>IF(INDEX(tblCleanData[Age],712)&lt;30,"Under 30",IF(INDEX(tblCleanData[Age],712)&lt;40,"30-39",IF(INDEX(tblCleanData[Age],712)&lt;50,"40-49","50+")))</f>
        <v>Under 30</v>
      </c>
      <c r="C720" t="str">
        <f>IF(INDEX(tblCleanData[MonthlyIncome],712)&lt;=$B$3,"Low Income",IF(INDEX(tblCleanData[MonthlyIncome],712)&lt;=$B$4,"Medium Income","High Income"))</f>
        <v>High Income</v>
      </c>
      <c r="D720">
        <f>IF(INDEX(tblCleanData[Attrition],712)="Yes",1,0)</f>
        <v>1</v>
      </c>
      <c r="E720">
        <f>IF(INDEX(tblCleanData[OverTime],712)="Yes",1,0)</f>
        <v>1</v>
      </c>
      <c r="F720" t="str">
        <f>CHOOSE(INDEX(tblCleanData[Education],712),"Below College","College","Bachelor","Master","Doctor")</f>
        <v>Bachelor</v>
      </c>
      <c r="G720" t="str">
        <f>IF(INDEX(tblCleanData[YearsAtCompany],712)&lt;=2,"0-2 Years",IF(INDEX(tblCleanData[YearsAtCompany],712)&lt;=5,"3-5 Years",IF(INDEX(tblCleanData[YearsAtCompany],712)&lt;=10,"6-10 Years","10+ Years")))</f>
        <v>0-2 Years</v>
      </c>
      <c r="H720" t="str">
        <f>IF(INDEX(tblCleanData[WorkLifeBalance],712)&lt;=2,"Elevated","Normal")</f>
        <v>Normal</v>
      </c>
      <c r="I720">
        <f>IF(INDEX(tblCleanData[Age],712)&lt;30,30,IF(INDEX(tblCleanData[Age],712)&lt;40,20,IF(INDEX(tblCleanData[Age],712)&lt;50,10,15)))</f>
        <v>30</v>
      </c>
      <c r="J720">
        <f>IF(INDEX(tblCleanData[MonthlyIncome],712)&lt;=$B$3,25,IF(INDEX(tblCleanData[MonthlyIncome],712)&lt;=$B$4,12,5))</f>
        <v>5</v>
      </c>
      <c r="K720">
        <f>IF(INDEX(tblCleanData[OverTime],712)="Yes",25,0)</f>
        <v>25</v>
      </c>
      <c r="L720">
        <f>(5-INDEX(tblCleanData[JobSatisfaction],712))*6.25</f>
        <v>25</v>
      </c>
      <c r="M720">
        <f>IF(INDEX(tblCleanData[YearsAtCompany],712)&lt;=2,25,IF(INDEX(tblCleanData[YearsAtCompany],712)&lt;=5,15,IF(INDEX(tblCleanData[YearsAtCompany],712)&lt;=10,8,3)))</f>
        <v>25</v>
      </c>
      <c r="N720">
        <f t="shared" si="22"/>
        <v>110</v>
      </c>
      <c r="O720" t="str">
        <f t="shared" si="23"/>
        <v>High Risk</v>
      </c>
    </row>
    <row r="721" spans="1:15" x14ac:dyDescent="0.25">
      <c r="A721">
        <f>INDEX(tblCleanData[EmployeeNumber],713)</f>
        <v>995</v>
      </c>
      <c r="B721" t="str">
        <f>IF(INDEX(tblCleanData[Age],713)&lt;30,"Under 30",IF(INDEX(tblCleanData[Age],713)&lt;40,"30-39",IF(INDEX(tblCleanData[Age],713)&lt;50,"40-49","50+")))</f>
        <v>30-39</v>
      </c>
      <c r="C721" t="str">
        <f>IF(INDEX(tblCleanData[MonthlyIncome],713)&lt;=$B$3,"Low Income",IF(INDEX(tblCleanData[MonthlyIncome],713)&lt;=$B$4,"Medium Income","High Income"))</f>
        <v>High Income</v>
      </c>
      <c r="D721">
        <f>IF(INDEX(tblCleanData[Attrition],713)="Yes",1,0)</f>
        <v>0</v>
      </c>
      <c r="E721">
        <f>IF(INDEX(tblCleanData[OverTime],713)="Yes",1,0)</f>
        <v>0</v>
      </c>
      <c r="F721" t="str">
        <f>CHOOSE(INDEX(tblCleanData[Education],713),"Below College","College","Bachelor","Master","Doctor")</f>
        <v>Below College</v>
      </c>
      <c r="G721" t="str">
        <f>IF(INDEX(tblCleanData[YearsAtCompany],713)&lt;=2,"0-2 Years",IF(INDEX(tblCleanData[YearsAtCompany],713)&lt;=5,"3-5 Years",IF(INDEX(tblCleanData[YearsAtCompany],713)&lt;=10,"6-10 Years","10+ Years")))</f>
        <v>3-5 Years</v>
      </c>
      <c r="H721" t="str">
        <f>IF(INDEX(tblCleanData[WorkLifeBalance],713)&lt;=2,"Elevated","Normal")</f>
        <v>Normal</v>
      </c>
      <c r="I721">
        <f>IF(INDEX(tblCleanData[Age],713)&lt;30,30,IF(INDEX(tblCleanData[Age],713)&lt;40,20,IF(INDEX(tblCleanData[Age],713)&lt;50,10,15)))</f>
        <v>20</v>
      </c>
      <c r="J721">
        <f>IF(INDEX(tblCleanData[MonthlyIncome],713)&lt;=$B$3,25,IF(INDEX(tblCleanData[MonthlyIncome],713)&lt;=$B$4,12,5))</f>
        <v>5</v>
      </c>
      <c r="K721">
        <f>IF(INDEX(tblCleanData[OverTime],713)="Yes",25,0)</f>
        <v>0</v>
      </c>
      <c r="L721">
        <f>(5-INDEX(tblCleanData[JobSatisfaction],713))*6.25</f>
        <v>6.25</v>
      </c>
      <c r="M721">
        <f>IF(INDEX(tblCleanData[YearsAtCompany],713)&lt;=2,25,IF(INDEX(tblCleanData[YearsAtCompany],713)&lt;=5,15,IF(INDEX(tblCleanData[YearsAtCompany],713)&lt;=10,8,3)))</f>
        <v>15</v>
      </c>
      <c r="N721">
        <f t="shared" si="22"/>
        <v>46</v>
      </c>
      <c r="O721" t="str">
        <f t="shared" si="23"/>
        <v>Medium Risk</v>
      </c>
    </row>
    <row r="722" spans="1:15" x14ac:dyDescent="0.25">
      <c r="A722">
        <f>INDEX(tblCleanData[EmployeeNumber],714)</f>
        <v>996</v>
      </c>
      <c r="B722" t="str">
        <f>IF(INDEX(tblCleanData[Age],714)&lt;30,"Under 30",IF(INDEX(tblCleanData[Age],714)&lt;40,"30-39",IF(INDEX(tblCleanData[Age],714)&lt;50,"40-49","50+")))</f>
        <v>40-49</v>
      </c>
      <c r="C722" t="str">
        <f>IF(INDEX(tblCleanData[MonthlyIncome],714)&lt;=$B$3,"Low Income",IF(INDEX(tblCleanData[MonthlyIncome],714)&lt;=$B$4,"Medium Income","High Income"))</f>
        <v>High Income</v>
      </c>
      <c r="D722">
        <f>IF(INDEX(tblCleanData[Attrition],714)="Yes",1,0)</f>
        <v>0</v>
      </c>
      <c r="E722">
        <f>IF(INDEX(tblCleanData[OverTime],714)="Yes",1,0)</f>
        <v>0</v>
      </c>
      <c r="F722" t="str">
        <f>CHOOSE(INDEX(tblCleanData[Education],714),"Below College","College","Bachelor","Master","Doctor")</f>
        <v>Master</v>
      </c>
      <c r="G722" t="str">
        <f>IF(INDEX(tblCleanData[YearsAtCompany],714)&lt;=2,"0-2 Years",IF(INDEX(tblCleanData[YearsAtCompany],714)&lt;=5,"3-5 Years",IF(INDEX(tblCleanData[YearsAtCompany],714)&lt;=10,"6-10 Years","10+ Years")))</f>
        <v>3-5 Years</v>
      </c>
      <c r="H722" t="str">
        <f>IF(INDEX(tblCleanData[WorkLifeBalance],714)&lt;=2,"Elevated","Normal")</f>
        <v>Normal</v>
      </c>
      <c r="I722">
        <f>IF(INDEX(tblCleanData[Age],714)&lt;30,30,IF(INDEX(tblCleanData[Age],714)&lt;40,20,IF(INDEX(tblCleanData[Age],714)&lt;50,10,15)))</f>
        <v>10</v>
      </c>
      <c r="J722">
        <f>IF(INDEX(tblCleanData[MonthlyIncome],714)&lt;=$B$3,25,IF(INDEX(tblCleanData[MonthlyIncome],714)&lt;=$B$4,12,5))</f>
        <v>5</v>
      </c>
      <c r="K722">
        <f>IF(INDEX(tblCleanData[OverTime],714)="Yes",25,0)</f>
        <v>0</v>
      </c>
      <c r="L722">
        <f>(5-INDEX(tblCleanData[JobSatisfaction],714))*6.25</f>
        <v>6.25</v>
      </c>
      <c r="M722">
        <f>IF(INDEX(tblCleanData[YearsAtCompany],714)&lt;=2,25,IF(INDEX(tblCleanData[YearsAtCompany],714)&lt;=5,15,IF(INDEX(tblCleanData[YearsAtCompany],714)&lt;=10,8,3)))</f>
        <v>15</v>
      </c>
      <c r="N722">
        <f t="shared" si="22"/>
        <v>36</v>
      </c>
      <c r="O722" t="str">
        <f t="shared" si="23"/>
        <v>Medium Risk</v>
      </c>
    </row>
    <row r="723" spans="1:15" x14ac:dyDescent="0.25">
      <c r="A723">
        <f>INDEX(tblCleanData[EmployeeNumber],715)</f>
        <v>997</v>
      </c>
      <c r="B723" t="str">
        <f>IF(INDEX(tblCleanData[Age],715)&lt;30,"Under 30",IF(INDEX(tblCleanData[Age],715)&lt;40,"30-39",IF(INDEX(tblCleanData[Age],715)&lt;50,"40-49","50+")))</f>
        <v>50+</v>
      </c>
      <c r="C723" t="str">
        <f>IF(INDEX(tblCleanData[MonthlyIncome],715)&lt;=$B$3,"Low Income",IF(INDEX(tblCleanData[MonthlyIncome],715)&lt;=$B$4,"Medium Income","High Income"))</f>
        <v>High Income</v>
      </c>
      <c r="D723">
        <f>IF(INDEX(tblCleanData[Attrition],715)="Yes",1,0)</f>
        <v>0</v>
      </c>
      <c r="E723">
        <f>IF(INDEX(tblCleanData[OverTime],715)="Yes",1,0)</f>
        <v>0</v>
      </c>
      <c r="F723" t="str">
        <f>CHOOSE(INDEX(tblCleanData[Education],715),"Below College","College","Bachelor","Master","Doctor")</f>
        <v>College</v>
      </c>
      <c r="G723" t="str">
        <f>IF(INDEX(tblCleanData[YearsAtCompany],715)&lt;=2,"0-2 Years",IF(INDEX(tblCleanData[YearsAtCompany],715)&lt;=5,"3-5 Years",IF(INDEX(tblCleanData[YearsAtCompany],715)&lt;=10,"6-10 Years","10+ Years")))</f>
        <v>3-5 Years</v>
      </c>
      <c r="H723" t="str">
        <f>IF(INDEX(tblCleanData[WorkLifeBalance],715)&lt;=2,"Elevated","Normal")</f>
        <v>Elevated</v>
      </c>
      <c r="I723">
        <f>IF(INDEX(tblCleanData[Age],715)&lt;30,30,IF(INDEX(tblCleanData[Age],715)&lt;40,20,IF(INDEX(tblCleanData[Age],715)&lt;50,10,15)))</f>
        <v>15</v>
      </c>
      <c r="J723">
        <f>IF(INDEX(tblCleanData[MonthlyIncome],715)&lt;=$B$3,25,IF(INDEX(tblCleanData[MonthlyIncome],715)&lt;=$B$4,12,5))</f>
        <v>5</v>
      </c>
      <c r="K723">
        <f>IF(INDEX(tblCleanData[OverTime],715)="Yes",25,0)</f>
        <v>0</v>
      </c>
      <c r="L723">
        <f>(5-INDEX(tblCleanData[JobSatisfaction],715))*6.25</f>
        <v>6.25</v>
      </c>
      <c r="M723">
        <f>IF(INDEX(tblCleanData[YearsAtCompany],715)&lt;=2,25,IF(INDEX(tblCleanData[YearsAtCompany],715)&lt;=5,15,IF(INDEX(tblCleanData[YearsAtCompany],715)&lt;=10,8,3)))</f>
        <v>15</v>
      </c>
      <c r="N723">
        <f t="shared" si="22"/>
        <v>41</v>
      </c>
      <c r="O723" t="str">
        <f t="shared" si="23"/>
        <v>Medium Risk</v>
      </c>
    </row>
    <row r="724" spans="1:15" x14ac:dyDescent="0.25">
      <c r="A724">
        <f>INDEX(tblCleanData[EmployeeNumber],716)</f>
        <v>998</v>
      </c>
      <c r="B724" t="str">
        <f>IF(INDEX(tblCleanData[Age],716)&lt;30,"Under 30",IF(INDEX(tblCleanData[Age],716)&lt;40,"30-39",IF(INDEX(tblCleanData[Age],716)&lt;50,"40-49","50+")))</f>
        <v>30-39</v>
      </c>
      <c r="C724" t="str">
        <f>IF(INDEX(tblCleanData[MonthlyIncome],716)&lt;=$B$3,"Low Income",IF(INDEX(tblCleanData[MonthlyIncome],716)&lt;=$B$4,"Medium Income","High Income"))</f>
        <v>High Income</v>
      </c>
      <c r="D724">
        <f>IF(INDEX(tblCleanData[Attrition],716)="Yes",1,0)</f>
        <v>0</v>
      </c>
      <c r="E724">
        <f>IF(INDEX(tblCleanData[OverTime],716)="Yes",1,0)</f>
        <v>1</v>
      </c>
      <c r="F724" t="str">
        <f>CHOOSE(INDEX(tblCleanData[Education],716),"Below College","College","Bachelor","Master","Doctor")</f>
        <v>Master</v>
      </c>
      <c r="G724" t="str">
        <f>IF(INDEX(tblCleanData[YearsAtCompany],716)&lt;=2,"0-2 Years",IF(INDEX(tblCleanData[YearsAtCompany],716)&lt;=5,"3-5 Years",IF(INDEX(tblCleanData[YearsAtCompany],716)&lt;=10,"6-10 Years","10+ Years")))</f>
        <v>6-10 Years</v>
      </c>
      <c r="H724" t="str">
        <f>IF(INDEX(tblCleanData[WorkLifeBalance],716)&lt;=2,"Elevated","Normal")</f>
        <v>Normal</v>
      </c>
      <c r="I724">
        <f>IF(INDEX(tblCleanData[Age],716)&lt;30,30,IF(INDEX(tblCleanData[Age],716)&lt;40,20,IF(INDEX(tblCleanData[Age],716)&lt;50,10,15)))</f>
        <v>20</v>
      </c>
      <c r="J724">
        <f>IF(INDEX(tblCleanData[MonthlyIncome],716)&lt;=$B$3,25,IF(INDEX(tblCleanData[MonthlyIncome],716)&lt;=$B$4,12,5))</f>
        <v>5</v>
      </c>
      <c r="K724">
        <f>IF(INDEX(tblCleanData[OverTime],716)="Yes",25,0)</f>
        <v>25</v>
      </c>
      <c r="L724">
        <f>(5-INDEX(tblCleanData[JobSatisfaction],716))*6.25</f>
        <v>18.75</v>
      </c>
      <c r="M724">
        <f>IF(INDEX(tblCleanData[YearsAtCompany],716)&lt;=2,25,IF(INDEX(tblCleanData[YearsAtCompany],716)&lt;=5,15,IF(INDEX(tblCleanData[YearsAtCompany],716)&lt;=10,8,3)))</f>
        <v>8</v>
      </c>
      <c r="N724">
        <f t="shared" si="22"/>
        <v>77</v>
      </c>
      <c r="O724" t="str">
        <f t="shared" si="23"/>
        <v>High Risk</v>
      </c>
    </row>
    <row r="725" spans="1:15" x14ac:dyDescent="0.25">
      <c r="A725">
        <f>INDEX(tblCleanData[EmployeeNumber],717)</f>
        <v>999</v>
      </c>
      <c r="B725" t="str">
        <f>IF(INDEX(tblCleanData[Age],717)&lt;30,"Under 30",IF(INDEX(tblCleanData[Age],717)&lt;40,"30-39",IF(INDEX(tblCleanData[Age],717)&lt;50,"40-49","50+")))</f>
        <v>40-49</v>
      </c>
      <c r="C725" t="str">
        <f>IF(INDEX(tblCleanData[MonthlyIncome],717)&lt;=$B$3,"Low Income",IF(INDEX(tblCleanData[MonthlyIncome],717)&lt;=$B$4,"Medium Income","High Income"))</f>
        <v>High Income</v>
      </c>
      <c r="D725">
        <f>IF(INDEX(tblCleanData[Attrition],717)="Yes",1,0)</f>
        <v>0</v>
      </c>
      <c r="E725">
        <f>IF(INDEX(tblCleanData[OverTime],717)="Yes",1,0)</f>
        <v>0</v>
      </c>
      <c r="F725" t="str">
        <f>CHOOSE(INDEX(tblCleanData[Education],717),"Below College","College","Bachelor","Master","Doctor")</f>
        <v>Bachelor</v>
      </c>
      <c r="G725" t="str">
        <f>IF(INDEX(tblCleanData[YearsAtCompany],717)&lt;=2,"0-2 Years",IF(INDEX(tblCleanData[YearsAtCompany],717)&lt;=5,"3-5 Years",IF(INDEX(tblCleanData[YearsAtCompany],717)&lt;=10,"6-10 Years","10+ Years")))</f>
        <v>10+ Years</v>
      </c>
      <c r="H725" t="str">
        <f>IF(INDEX(tblCleanData[WorkLifeBalance],717)&lt;=2,"Elevated","Normal")</f>
        <v>Normal</v>
      </c>
      <c r="I725">
        <f>IF(INDEX(tblCleanData[Age],717)&lt;30,30,IF(INDEX(tblCleanData[Age],717)&lt;40,20,IF(INDEX(tblCleanData[Age],717)&lt;50,10,15)))</f>
        <v>10</v>
      </c>
      <c r="J725">
        <f>IF(INDEX(tblCleanData[MonthlyIncome],717)&lt;=$B$3,25,IF(INDEX(tblCleanData[MonthlyIncome],717)&lt;=$B$4,12,5))</f>
        <v>5</v>
      </c>
      <c r="K725">
        <f>IF(INDEX(tblCleanData[OverTime],717)="Yes",25,0)</f>
        <v>0</v>
      </c>
      <c r="L725">
        <f>(5-INDEX(tblCleanData[JobSatisfaction],717))*6.25</f>
        <v>12.5</v>
      </c>
      <c r="M725">
        <f>IF(INDEX(tblCleanData[YearsAtCompany],717)&lt;=2,25,IF(INDEX(tblCleanData[YearsAtCompany],717)&lt;=5,15,IF(INDEX(tblCleanData[YearsAtCompany],717)&lt;=10,8,3)))</f>
        <v>3</v>
      </c>
      <c r="N725">
        <f t="shared" si="22"/>
        <v>31</v>
      </c>
      <c r="O725" t="str">
        <f t="shared" si="23"/>
        <v>Low Risk</v>
      </c>
    </row>
    <row r="726" spans="1:15" x14ac:dyDescent="0.25">
      <c r="A726">
        <f>INDEX(tblCleanData[EmployeeNumber],718)</f>
        <v>1001</v>
      </c>
      <c r="B726" t="str">
        <f>IF(INDEX(tblCleanData[Age],718)&lt;30,"Under 30",IF(INDEX(tblCleanData[Age],718)&lt;40,"30-39",IF(INDEX(tblCleanData[Age],718)&lt;50,"40-49","50+")))</f>
        <v>Under 30</v>
      </c>
      <c r="C726" t="str">
        <f>IF(INDEX(tblCleanData[MonthlyIncome],718)&lt;=$B$3,"Low Income",IF(INDEX(tblCleanData[MonthlyIncome],718)&lt;=$B$4,"Medium Income","High Income"))</f>
        <v>High Income</v>
      </c>
      <c r="D726">
        <f>IF(INDEX(tblCleanData[Attrition],718)="Yes",1,0)</f>
        <v>0</v>
      </c>
      <c r="E726">
        <f>IF(INDEX(tblCleanData[OverTime],718)="Yes",1,0)</f>
        <v>0</v>
      </c>
      <c r="F726" t="str">
        <f>CHOOSE(INDEX(tblCleanData[Education],718),"Below College","College","Bachelor","Master","Doctor")</f>
        <v>Master</v>
      </c>
      <c r="G726" t="str">
        <f>IF(INDEX(tblCleanData[YearsAtCompany],718)&lt;=2,"0-2 Years",IF(INDEX(tblCleanData[YearsAtCompany],718)&lt;=5,"3-5 Years",IF(INDEX(tblCleanData[YearsAtCompany],718)&lt;=10,"6-10 Years","10+ Years")))</f>
        <v>0-2 Years</v>
      </c>
      <c r="H726" t="str">
        <f>IF(INDEX(tblCleanData[WorkLifeBalance],718)&lt;=2,"Elevated","Normal")</f>
        <v>Normal</v>
      </c>
      <c r="I726">
        <f>IF(INDEX(tblCleanData[Age],718)&lt;30,30,IF(INDEX(tblCleanData[Age],718)&lt;40,20,IF(INDEX(tblCleanData[Age],718)&lt;50,10,15)))</f>
        <v>30</v>
      </c>
      <c r="J726">
        <f>IF(INDEX(tblCleanData[MonthlyIncome],718)&lt;=$B$3,25,IF(INDEX(tblCleanData[MonthlyIncome],718)&lt;=$B$4,12,5))</f>
        <v>5</v>
      </c>
      <c r="K726">
        <f>IF(INDEX(tblCleanData[OverTime],718)="Yes",25,0)</f>
        <v>0</v>
      </c>
      <c r="L726">
        <f>(5-INDEX(tblCleanData[JobSatisfaction],718))*6.25</f>
        <v>18.75</v>
      </c>
      <c r="M726">
        <f>IF(INDEX(tblCleanData[YearsAtCompany],718)&lt;=2,25,IF(INDEX(tblCleanData[YearsAtCompany],718)&lt;=5,15,IF(INDEX(tblCleanData[YearsAtCompany],718)&lt;=10,8,3)))</f>
        <v>25</v>
      </c>
      <c r="N726">
        <f t="shared" si="22"/>
        <v>79</v>
      </c>
      <c r="O726" t="str">
        <f t="shared" si="23"/>
        <v>High Risk</v>
      </c>
    </row>
    <row r="727" spans="1:15" x14ac:dyDescent="0.25">
      <c r="A727">
        <f>INDEX(tblCleanData[EmployeeNumber],719)</f>
        <v>1002</v>
      </c>
      <c r="B727" t="str">
        <f>IF(INDEX(tblCleanData[Age],719)&lt;30,"Under 30",IF(INDEX(tblCleanData[Age],719)&lt;40,"30-39",IF(INDEX(tblCleanData[Age],719)&lt;50,"40-49","50+")))</f>
        <v>40-49</v>
      </c>
      <c r="C727" t="str">
        <f>IF(INDEX(tblCleanData[MonthlyIncome],719)&lt;=$B$3,"Low Income",IF(INDEX(tblCleanData[MonthlyIncome],719)&lt;=$B$4,"Medium Income","High Income"))</f>
        <v>High Income</v>
      </c>
      <c r="D727">
        <f>IF(INDEX(tblCleanData[Attrition],719)="Yes",1,0)</f>
        <v>0</v>
      </c>
      <c r="E727">
        <f>IF(INDEX(tblCleanData[OverTime],719)="Yes",1,0)</f>
        <v>1</v>
      </c>
      <c r="F727" t="str">
        <f>CHOOSE(INDEX(tblCleanData[Education],719),"Below College","College","Bachelor","Master","Doctor")</f>
        <v>College</v>
      </c>
      <c r="G727" t="str">
        <f>IF(INDEX(tblCleanData[YearsAtCompany],719)&lt;=2,"0-2 Years",IF(INDEX(tblCleanData[YearsAtCompany],719)&lt;=5,"3-5 Years",IF(INDEX(tblCleanData[YearsAtCompany],719)&lt;=10,"6-10 Years","10+ Years")))</f>
        <v>6-10 Years</v>
      </c>
      <c r="H727" t="str">
        <f>IF(INDEX(tblCleanData[WorkLifeBalance],719)&lt;=2,"Elevated","Normal")</f>
        <v>Normal</v>
      </c>
      <c r="I727">
        <f>IF(INDEX(tblCleanData[Age],719)&lt;30,30,IF(INDEX(tblCleanData[Age],719)&lt;40,20,IF(INDEX(tblCleanData[Age],719)&lt;50,10,15)))</f>
        <v>10</v>
      </c>
      <c r="J727">
        <f>IF(INDEX(tblCleanData[MonthlyIncome],719)&lt;=$B$3,25,IF(INDEX(tblCleanData[MonthlyIncome],719)&lt;=$B$4,12,5))</f>
        <v>5</v>
      </c>
      <c r="K727">
        <f>IF(INDEX(tblCleanData[OverTime],719)="Yes",25,0)</f>
        <v>25</v>
      </c>
      <c r="L727">
        <f>(5-INDEX(tblCleanData[JobSatisfaction],719))*6.25</f>
        <v>25</v>
      </c>
      <c r="M727">
        <f>IF(INDEX(tblCleanData[YearsAtCompany],719)&lt;=2,25,IF(INDEX(tblCleanData[YearsAtCompany],719)&lt;=5,15,IF(INDEX(tblCleanData[YearsAtCompany],719)&lt;=10,8,3)))</f>
        <v>8</v>
      </c>
      <c r="N727">
        <f t="shared" si="22"/>
        <v>73</v>
      </c>
      <c r="O727" t="str">
        <f t="shared" si="23"/>
        <v>High Risk</v>
      </c>
    </row>
    <row r="728" spans="1:15" x14ac:dyDescent="0.25">
      <c r="A728">
        <f>INDEX(tblCleanData[EmployeeNumber],720)</f>
        <v>1003</v>
      </c>
      <c r="B728" t="str">
        <f>IF(INDEX(tblCleanData[Age],720)&lt;30,"Under 30",IF(INDEX(tblCleanData[Age],720)&lt;40,"30-39",IF(INDEX(tblCleanData[Age],720)&lt;50,"40-49","50+")))</f>
        <v>40-49</v>
      </c>
      <c r="C728" t="str">
        <f>IF(INDEX(tblCleanData[MonthlyIncome],720)&lt;=$B$3,"Low Income",IF(INDEX(tblCleanData[MonthlyIncome],720)&lt;=$B$4,"Medium Income","High Income"))</f>
        <v>High Income</v>
      </c>
      <c r="D728">
        <f>IF(INDEX(tblCleanData[Attrition],720)="Yes",1,0)</f>
        <v>0</v>
      </c>
      <c r="E728">
        <f>IF(INDEX(tblCleanData[OverTime],720)="Yes",1,0)</f>
        <v>1</v>
      </c>
      <c r="F728" t="str">
        <f>CHOOSE(INDEX(tblCleanData[Education],720),"Below College","College","Bachelor","Master","Doctor")</f>
        <v>College</v>
      </c>
      <c r="G728" t="str">
        <f>IF(INDEX(tblCleanData[YearsAtCompany],720)&lt;=2,"0-2 Years",IF(INDEX(tblCleanData[YearsAtCompany],720)&lt;=5,"3-5 Years",IF(INDEX(tblCleanData[YearsAtCompany],720)&lt;=10,"6-10 Years","10+ Years")))</f>
        <v>6-10 Years</v>
      </c>
      <c r="H728" t="str">
        <f>IF(INDEX(tblCleanData[WorkLifeBalance],720)&lt;=2,"Elevated","Normal")</f>
        <v>Normal</v>
      </c>
      <c r="I728">
        <f>IF(INDEX(tblCleanData[Age],720)&lt;30,30,IF(INDEX(tblCleanData[Age],720)&lt;40,20,IF(INDEX(tblCleanData[Age],720)&lt;50,10,15)))</f>
        <v>10</v>
      </c>
      <c r="J728">
        <f>IF(INDEX(tblCleanData[MonthlyIncome],720)&lt;=$B$3,25,IF(INDEX(tblCleanData[MonthlyIncome],720)&lt;=$B$4,12,5))</f>
        <v>5</v>
      </c>
      <c r="K728">
        <f>IF(INDEX(tblCleanData[OverTime],720)="Yes",25,0)</f>
        <v>25</v>
      </c>
      <c r="L728">
        <f>(5-INDEX(tblCleanData[JobSatisfaction],720))*6.25</f>
        <v>6.25</v>
      </c>
      <c r="M728">
        <f>IF(INDEX(tblCleanData[YearsAtCompany],720)&lt;=2,25,IF(INDEX(tblCleanData[YearsAtCompany],720)&lt;=5,15,IF(INDEX(tblCleanData[YearsAtCompany],720)&lt;=10,8,3)))</f>
        <v>8</v>
      </c>
      <c r="N728">
        <f t="shared" si="22"/>
        <v>54</v>
      </c>
      <c r="O728" t="str">
        <f t="shared" si="23"/>
        <v>Medium Risk</v>
      </c>
    </row>
    <row r="729" spans="1:15" x14ac:dyDescent="0.25">
      <c r="A729">
        <f>INDEX(tblCleanData[EmployeeNumber],721)</f>
        <v>1004</v>
      </c>
      <c r="B729" t="str">
        <f>IF(INDEX(tblCleanData[Age],721)&lt;30,"Under 30",IF(INDEX(tblCleanData[Age],721)&lt;40,"30-39",IF(INDEX(tblCleanData[Age],721)&lt;50,"40-49","50+")))</f>
        <v>30-39</v>
      </c>
      <c r="C729" t="str">
        <f>IF(INDEX(tblCleanData[MonthlyIncome],721)&lt;=$B$3,"Low Income",IF(INDEX(tblCleanData[MonthlyIncome],721)&lt;=$B$4,"Medium Income","High Income"))</f>
        <v>High Income</v>
      </c>
      <c r="D729">
        <f>IF(INDEX(tblCleanData[Attrition],721)="Yes",1,0)</f>
        <v>1</v>
      </c>
      <c r="E729">
        <f>IF(INDEX(tblCleanData[OverTime],721)="Yes",1,0)</f>
        <v>1</v>
      </c>
      <c r="F729" t="str">
        <f>CHOOSE(INDEX(tblCleanData[Education],721),"Below College","College","Bachelor","Master","Doctor")</f>
        <v>Bachelor</v>
      </c>
      <c r="G729" t="str">
        <f>IF(INDEX(tblCleanData[YearsAtCompany],721)&lt;=2,"0-2 Years",IF(INDEX(tblCleanData[YearsAtCompany],721)&lt;=5,"3-5 Years",IF(INDEX(tblCleanData[YearsAtCompany],721)&lt;=10,"6-10 Years","10+ Years")))</f>
        <v>3-5 Years</v>
      </c>
      <c r="H729" t="str">
        <f>IF(INDEX(tblCleanData[WorkLifeBalance],721)&lt;=2,"Elevated","Normal")</f>
        <v>Normal</v>
      </c>
      <c r="I729">
        <f>IF(INDEX(tblCleanData[Age],721)&lt;30,30,IF(INDEX(tblCleanData[Age],721)&lt;40,20,IF(INDEX(tblCleanData[Age],721)&lt;50,10,15)))</f>
        <v>20</v>
      </c>
      <c r="J729">
        <f>IF(INDEX(tblCleanData[MonthlyIncome],721)&lt;=$B$3,25,IF(INDEX(tblCleanData[MonthlyIncome],721)&lt;=$B$4,12,5))</f>
        <v>5</v>
      </c>
      <c r="K729">
        <f>IF(INDEX(tblCleanData[OverTime],721)="Yes",25,0)</f>
        <v>25</v>
      </c>
      <c r="L729">
        <f>(5-INDEX(tblCleanData[JobSatisfaction],721))*6.25</f>
        <v>12.5</v>
      </c>
      <c r="M729">
        <f>IF(INDEX(tblCleanData[YearsAtCompany],721)&lt;=2,25,IF(INDEX(tblCleanData[YearsAtCompany],721)&lt;=5,15,IF(INDEX(tblCleanData[YearsAtCompany],721)&lt;=10,8,3)))</f>
        <v>15</v>
      </c>
      <c r="N729">
        <f t="shared" si="22"/>
        <v>78</v>
      </c>
      <c r="O729" t="str">
        <f t="shared" si="23"/>
        <v>High Risk</v>
      </c>
    </row>
    <row r="730" spans="1:15" x14ac:dyDescent="0.25">
      <c r="A730">
        <f>INDEX(tblCleanData[EmployeeNumber],722)</f>
        <v>1005</v>
      </c>
      <c r="B730" t="str">
        <f>IF(INDEX(tblCleanData[Age],722)&lt;30,"Under 30",IF(INDEX(tblCleanData[Age],722)&lt;40,"30-39",IF(INDEX(tblCleanData[Age],722)&lt;50,"40-49","50+")))</f>
        <v>50+</v>
      </c>
      <c r="C730" t="str">
        <f>IF(INDEX(tblCleanData[MonthlyIncome],722)&lt;=$B$3,"Low Income",IF(INDEX(tblCleanData[MonthlyIncome],722)&lt;=$B$4,"Medium Income","High Income"))</f>
        <v>High Income</v>
      </c>
      <c r="D730">
        <f>IF(INDEX(tblCleanData[Attrition],722)="Yes",1,0)</f>
        <v>0</v>
      </c>
      <c r="E730">
        <f>IF(INDEX(tblCleanData[OverTime],722)="Yes",1,0)</f>
        <v>1</v>
      </c>
      <c r="F730" t="str">
        <f>CHOOSE(INDEX(tblCleanData[Education],722),"Below College","College","Bachelor","Master","Doctor")</f>
        <v>Bachelor</v>
      </c>
      <c r="G730" t="str">
        <f>IF(INDEX(tblCleanData[YearsAtCompany],722)&lt;=2,"0-2 Years",IF(INDEX(tblCleanData[YearsAtCompany],722)&lt;=5,"3-5 Years",IF(INDEX(tblCleanData[YearsAtCompany],722)&lt;=10,"6-10 Years","10+ Years")))</f>
        <v>10+ Years</v>
      </c>
      <c r="H730" t="str">
        <f>IF(INDEX(tblCleanData[WorkLifeBalance],722)&lt;=2,"Elevated","Normal")</f>
        <v>Normal</v>
      </c>
      <c r="I730">
        <f>IF(INDEX(tblCleanData[Age],722)&lt;30,30,IF(INDEX(tblCleanData[Age],722)&lt;40,20,IF(INDEX(tblCleanData[Age],722)&lt;50,10,15)))</f>
        <v>15</v>
      </c>
      <c r="J730">
        <f>IF(INDEX(tblCleanData[MonthlyIncome],722)&lt;=$B$3,25,IF(INDEX(tblCleanData[MonthlyIncome],722)&lt;=$B$4,12,5))</f>
        <v>5</v>
      </c>
      <c r="K730">
        <f>IF(INDEX(tblCleanData[OverTime],722)="Yes",25,0)</f>
        <v>25</v>
      </c>
      <c r="L730">
        <f>(5-INDEX(tblCleanData[JobSatisfaction],722))*6.25</f>
        <v>12.5</v>
      </c>
      <c r="M730">
        <f>IF(INDEX(tblCleanData[YearsAtCompany],722)&lt;=2,25,IF(INDEX(tblCleanData[YearsAtCompany],722)&lt;=5,15,IF(INDEX(tblCleanData[YearsAtCompany],722)&lt;=10,8,3)))</f>
        <v>3</v>
      </c>
      <c r="N730">
        <f t="shared" si="22"/>
        <v>61</v>
      </c>
      <c r="O730" t="str">
        <f t="shared" si="23"/>
        <v>High Risk</v>
      </c>
    </row>
    <row r="731" spans="1:15" x14ac:dyDescent="0.25">
      <c r="A731">
        <f>INDEX(tblCleanData[EmployeeNumber],723)</f>
        <v>1006</v>
      </c>
      <c r="B731" t="str">
        <f>IF(INDEX(tblCleanData[Age],723)&lt;30,"Under 30",IF(INDEX(tblCleanData[Age],723)&lt;40,"30-39",IF(INDEX(tblCleanData[Age],723)&lt;50,"40-49","50+")))</f>
        <v>30-39</v>
      </c>
      <c r="C731" t="str">
        <f>IF(INDEX(tblCleanData[MonthlyIncome],723)&lt;=$B$3,"Low Income",IF(INDEX(tblCleanData[MonthlyIncome],723)&lt;=$B$4,"Medium Income","High Income"))</f>
        <v>High Income</v>
      </c>
      <c r="D731">
        <f>IF(INDEX(tblCleanData[Attrition],723)="Yes",1,0)</f>
        <v>0</v>
      </c>
      <c r="E731">
        <f>IF(INDEX(tblCleanData[OverTime],723)="Yes",1,0)</f>
        <v>0</v>
      </c>
      <c r="F731" t="str">
        <f>CHOOSE(INDEX(tblCleanData[Education],723),"Below College","College","Bachelor","Master","Doctor")</f>
        <v>Below College</v>
      </c>
      <c r="G731" t="str">
        <f>IF(INDEX(tblCleanData[YearsAtCompany],723)&lt;=2,"0-2 Years",IF(INDEX(tblCleanData[YearsAtCompany],723)&lt;=5,"3-5 Years",IF(INDEX(tblCleanData[YearsAtCompany],723)&lt;=10,"6-10 Years","10+ Years")))</f>
        <v>0-2 Years</v>
      </c>
      <c r="H731" t="str">
        <f>IF(INDEX(tblCleanData[WorkLifeBalance],723)&lt;=2,"Elevated","Normal")</f>
        <v>Elevated</v>
      </c>
      <c r="I731">
        <f>IF(INDEX(tblCleanData[Age],723)&lt;30,30,IF(INDEX(tblCleanData[Age],723)&lt;40,20,IF(INDEX(tblCleanData[Age],723)&lt;50,10,15)))</f>
        <v>20</v>
      </c>
      <c r="J731">
        <f>IF(INDEX(tblCleanData[MonthlyIncome],723)&lt;=$B$3,25,IF(INDEX(tblCleanData[MonthlyIncome],723)&lt;=$B$4,12,5))</f>
        <v>5</v>
      </c>
      <c r="K731">
        <f>IF(INDEX(tblCleanData[OverTime],723)="Yes",25,0)</f>
        <v>0</v>
      </c>
      <c r="L731">
        <f>(5-INDEX(tblCleanData[JobSatisfaction],723))*6.25</f>
        <v>12.5</v>
      </c>
      <c r="M731">
        <f>IF(INDEX(tblCleanData[YearsAtCompany],723)&lt;=2,25,IF(INDEX(tblCleanData[YearsAtCompany],723)&lt;=5,15,IF(INDEX(tblCleanData[YearsAtCompany],723)&lt;=10,8,3)))</f>
        <v>25</v>
      </c>
      <c r="N731">
        <f t="shared" si="22"/>
        <v>63</v>
      </c>
      <c r="O731" t="str">
        <f t="shared" si="23"/>
        <v>High Risk</v>
      </c>
    </row>
    <row r="732" spans="1:15" x14ac:dyDescent="0.25">
      <c r="A732">
        <f>INDEX(tblCleanData[EmployeeNumber],724)</f>
        <v>1007</v>
      </c>
      <c r="B732" t="str">
        <f>IF(INDEX(tblCleanData[Age],724)&lt;30,"Under 30",IF(INDEX(tblCleanData[Age],724)&lt;40,"30-39",IF(INDEX(tblCleanData[Age],724)&lt;50,"40-49","50+")))</f>
        <v>40-49</v>
      </c>
      <c r="C732" t="str">
        <f>IF(INDEX(tblCleanData[MonthlyIncome],724)&lt;=$B$3,"Low Income",IF(INDEX(tblCleanData[MonthlyIncome],724)&lt;=$B$4,"Medium Income","High Income"))</f>
        <v>High Income</v>
      </c>
      <c r="D732">
        <f>IF(INDEX(tblCleanData[Attrition],724)="Yes",1,0)</f>
        <v>0</v>
      </c>
      <c r="E732">
        <f>IF(INDEX(tblCleanData[OverTime],724)="Yes",1,0)</f>
        <v>0</v>
      </c>
      <c r="F732" t="str">
        <f>CHOOSE(INDEX(tblCleanData[Education],724),"Below College","College","Bachelor","Master","Doctor")</f>
        <v>College</v>
      </c>
      <c r="G732" t="str">
        <f>IF(INDEX(tblCleanData[YearsAtCompany],724)&lt;=2,"0-2 Years",IF(INDEX(tblCleanData[YearsAtCompany],724)&lt;=5,"3-5 Years",IF(INDEX(tblCleanData[YearsAtCompany],724)&lt;=10,"6-10 Years","10+ Years")))</f>
        <v>6-10 Years</v>
      </c>
      <c r="H732" t="str">
        <f>IF(INDEX(tblCleanData[WorkLifeBalance],724)&lt;=2,"Elevated","Normal")</f>
        <v>Normal</v>
      </c>
      <c r="I732">
        <f>IF(INDEX(tblCleanData[Age],724)&lt;30,30,IF(INDEX(tblCleanData[Age],724)&lt;40,20,IF(INDEX(tblCleanData[Age],724)&lt;50,10,15)))</f>
        <v>10</v>
      </c>
      <c r="J732">
        <f>IF(INDEX(tblCleanData[MonthlyIncome],724)&lt;=$B$3,25,IF(INDEX(tblCleanData[MonthlyIncome],724)&lt;=$B$4,12,5))</f>
        <v>5</v>
      </c>
      <c r="K732">
        <f>IF(INDEX(tblCleanData[OverTime],724)="Yes",25,0)</f>
        <v>0</v>
      </c>
      <c r="L732">
        <f>(5-INDEX(tblCleanData[JobSatisfaction],724))*6.25</f>
        <v>12.5</v>
      </c>
      <c r="M732">
        <f>IF(INDEX(tblCleanData[YearsAtCompany],724)&lt;=2,25,IF(INDEX(tblCleanData[YearsAtCompany],724)&lt;=5,15,IF(INDEX(tblCleanData[YearsAtCompany],724)&lt;=10,8,3)))</f>
        <v>8</v>
      </c>
      <c r="N732">
        <f t="shared" si="22"/>
        <v>36</v>
      </c>
      <c r="O732" t="str">
        <f t="shared" si="23"/>
        <v>Medium Risk</v>
      </c>
    </row>
    <row r="733" spans="1:15" x14ac:dyDescent="0.25">
      <c r="A733">
        <f>INDEX(tblCleanData[EmployeeNumber],725)</f>
        <v>1009</v>
      </c>
      <c r="B733" t="str">
        <f>IF(INDEX(tblCleanData[Age],725)&lt;30,"Under 30",IF(INDEX(tblCleanData[Age],725)&lt;40,"30-39",IF(INDEX(tblCleanData[Age],725)&lt;50,"40-49","50+")))</f>
        <v>Under 30</v>
      </c>
      <c r="C733" t="str">
        <f>IF(INDEX(tblCleanData[MonthlyIncome],725)&lt;=$B$3,"Low Income",IF(INDEX(tblCleanData[MonthlyIncome],725)&lt;=$B$4,"Medium Income","High Income"))</f>
        <v>High Income</v>
      </c>
      <c r="D733">
        <f>IF(INDEX(tblCleanData[Attrition],725)="Yes",1,0)</f>
        <v>0</v>
      </c>
      <c r="E733">
        <f>IF(INDEX(tblCleanData[OverTime],725)="Yes",1,0)</f>
        <v>0</v>
      </c>
      <c r="F733" t="str">
        <f>CHOOSE(INDEX(tblCleanData[Education],725),"Below College","College","Bachelor","Master","Doctor")</f>
        <v>Below College</v>
      </c>
      <c r="G733" t="str">
        <f>IF(INDEX(tblCleanData[YearsAtCompany],725)&lt;=2,"0-2 Years",IF(INDEX(tblCleanData[YearsAtCompany],725)&lt;=5,"3-5 Years",IF(INDEX(tblCleanData[YearsAtCompany],725)&lt;=10,"6-10 Years","10+ Years")))</f>
        <v>3-5 Years</v>
      </c>
      <c r="H733" t="str">
        <f>IF(INDEX(tblCleanData[WorkLifeBalance],725)&lt;=2,"Elevated","Normal")</f>
        <v>Normal</v>
      </c>
      <c r="I733">
        <f>IF(INDEX(tblCleanData[Age],725)&lt;30,30,IF(INDEX(tblCleanData[Age],725)&lt;40,20,IF(INDEX(tblCleanData[Age],725)&lt;50,10,15)))</f>
        <v>30</v>
      </c>
      <c r="J733">
        <f>IF(INDEX(tblCleanData[MonthlyIncome],725)&lt;=$B$3,25,IF(INDEX(tblCleanData[MonthlyIncome],725)&lt;=$B$4,12,5))</f>
        <v>5</v>
      </c>
      <c r="K733">
        <f>IF(INDEX(tblCleanData[OverTime],725)="Yes",25,0)</f>
        <v>0</v>
      </c>
      <c r="L733">
        <f>(5-INDEX(tblCleanData[JobSatisfaction],725))*6.25</f>
        <v>12.5</v>
      </c>
      <c r="M733">
        <f>IF(INDEX(tblCleanData[YearsAtCompany],725)&lt;=2,25,IF(INDEX(tblCleanData[YearsAtCompany],725)&lt;=5,15,IF(INDEX(tblCleanData[YearsAtCompany],725)&lt;=10,8,3)))</f>
        <v>15</v>
      </c>
      <c r="N733">
        <f t="shared" si="22"/>
        <v>63</v>
      </c>
      <c r="O733" t="str">
        <f t="shared" si="23"/>
        <v>High Risk</v>
      </c>
    </row>
    <row r="734" spans="1:15" x14ac:dyDescent="0.25">
      <c r="A734">
        <f>INDEX(tblCleanData[EmployeeNumber],726)</f>
        <v>1010</v>
      </c>
      <c r="B734" t="str">
        <f>IF(INDEX(tblCleanData[Age],726)&lt;30,"Under 30",IF(INDEX(tblCleanData[Age],726)&lt;40,"30-39",IF(INDEX(tblCleanData[Age],726)&lt;50,"40-49","50+")))</f>
        <v>30-39</v>
      </c>
      <c r="C734" t="str">
        <f>IF(INDEX(tblCleanData[MonthlyIncome],726)&lt;=$B$3,"Low Income",IF(INDEX(tblCleanData[MonthlyIncome],726)&lt;=$B$4,"Medium Income","High Income"))</f>
        <v>High Income</v>
      </c>
      <c r="D734">
        <f>IF(INDEX(tblCleanData[Attrition],726)="Yes",1,0)</f>
        <v>1</v>
      </c>
      <c r="E734">
        <f>IF(INDEX(tblCleanData[OverTime],726)="Yes",1,0)</f>
        <v>1</v>
      </c>
      <c r="F734" t="str">
        <f>CHOOSE(INDEX(tblCleanData[Education],726),"Below College","College","Bachelor","Master","Doctor")</f>
        <v>Master</v>
      </c>
      <c r="G734" t="str">
        <f>IF(INDEX(tblCleanData[YearsAtCompany],726)&lt;=2,"0-2 Years",IF(INDEX(tblCleanData[YearsAtCompany],726)&lt;=5,"3-5 Years",IF(INDEX(tblCleanData[YearsAtCompany],726)&lt;=10,"6-10 Years","10+ Years")))</f>
        <v>3-5 Years</v>
      </c>
      <c r="H734" t="str">
        <f>IF(INDEX(tblCleanData[WorkLifeBalance],726)&lt;=2,"Elevated","Normal")</f>
        <v>Elevated</v>
      </c>
      <c r="I734">
        <f>IF(INDEX(tblCleanData[Age],726)&lt;30,30,IF(INDEX(tblCleanData[Age],726)&lt;40,20,IF(INDEX(tblCleanData[Age],726)&lt;50,10,15)))</f>
        <v>20</v>
      </c>
      <c r="J734">
        <f>IF(INDEX(tblCleanData[MonthlyIncome],726)&lt;=$B$3,25,IF(INDEX(tblCleanData[MonthlyIncome],726)&lt;=$B$4,12,5))</f>
        <v>5</v>
      </c>
      <c r="K734">
        <f>IF(INDEX(tblCleanData[OverTime],726)="Yes",25,0)</f>
        <v>25</v>
      </c>
      <c r="L734">
        <f>(5-INDEX(tblCleanData[JobSatisfaction],726))*6.25</f>
        <v>18.75</v>
      </c>
      <c r="M734">
        <f>IF(INDEX(tblCleanData[YearsAtCompany],726)&lt;=2,25,IF(INDEX(tblCleanData[YearsAtCompany],726)&lt;=5,15,IF(INDEX(tblCleanData[YearsAtCompany],726)&lt;=10,8,3)))</f>
        <v>15</v>
      </c>
      <c r="N734">
        <f t="shared" si="22"/>
        <v>84</v>
      </c>
      <c r="O734" t="str">
        <f t="shared" si="23"/>
        <v>High Risk</v>
      </c>
    </row>
    <row r="735" spans="1:15" x14ac:dyDescent="0.25">
      <c r="A735">
        <f>INDEX(tblCleanData[EmployeeNumber],727)</f>
        <v>1011</v>
      </c>
      <c r="B735" t="str">
        <f>IF(INDEX(tblCleanData[Age],727)&lt;30,"Under 30",IF(INDEX(tblCleanData[Age],727)&lt;40,"30-39",IF(INDEX(tblCleanData[Age],727)&lt;50,"40-49","50+")))</f>
        <v>30-39</v>
      </c>
      <c r="C735" t="str">
        <f>IF(INDEX(tblCleanData[MonthlyIncome],727)&lt;=$B$3,"Low Income",IF(INDEX(tblCleanData[MonthlyIncome],727)&lt;=$B$4,"Medium Income","High Income"))</f>
        <v>High Income</v>
      </c>
      <c r="D735">
        <f>IF(INDEX(tblCleanData[Attrition],727)="Yes",1,0)</f>
        <v>0</v>
      </c>
      <c r="E735">
        <f>IF(INDEX(tblCleanData[OverTime],727)="Yes",1,0)</f>
        <v>0</v>
      </c>
      <c r="F735" t="str">
        <f>CHOOSE(INDEX(tblCleanData[Education],727),"Below College","College","Bachelor","Master","Doctor")</f>
        <v>Below College</v>
      </c>
      <c r="G735" t="str">
        <f>IF(INDEX(tblCleanData[YearsAtCompany],727)&lt;=2,"0-2 Years",IF(INDEX(tblCleanData[YearsAtCompany],727)&lt;=5,"3-5 Years",IF(INDEX(tblCleanData[YearsAtCompany],727)&lt;=10,"6-10 Years","10+ Years")))</f>
        <v>3-5 Years</v>
      </c>
      <c r="H735" t="str">
        <f>IF(INDEX(tblCleanData[WorkLifeBalance],727)&lt;=2,"Elevated","Normal")</f>
        <v>Normal</v>
      </c>
      <c r="I735">
        <f>IF(INDEX(tblCleanData[Age],727)&lt;30,30,IF(INDEX(tblCleanData[Age],727)&lt;40,20,IF(INDEX(tblCleanData[Age],727)&lt;50,10,15)))</f>
        <v>20</v>
      </c>
      <c r="J735">
        <f>IF(INDEX(tblCleanData[MonthlyIncome],727)&lt;=$B$3,25,IF(INDEX(tblCleanData[MonthlyIncome],727)&lt;=$B$4,12,5))</f>
        <v>5</v>
      </c>
      <c r="K735">
        <f>IF(INDEX(tblCleanData[OverTime],727)="Yes",25,0)</f>
        <v>0</v>
      </c>
      <c r="L735">
        <f>(5-INDEX(tblCleanData[JobSatisfaction],727))*6.25</f>
        <v>25</v>
      </c>
      <c r="M735">
        <f>IF(INDEX(tblCleanData[YearsAtCompany],727)&lt;=2,25,IF(INDEX(tblCleanData[YearsAtCompany],727)&lt;=5,15,IF(INDEX(tblCleanData[YearsAtCompany],727)&lt;=10,8,3)))</f>
        <v>15</v>
      </c>
      <c r="N735">
        <f t="shared" si="22"/>
        <v>65</v>
      </c>
      <c r="O735" t="str">
        <f t="shared" si="23"/>
        <v>High Risk</v>
      </c>
    </row>
    <row r="736" spans="1:15" x14ac:dyDescent="0.25">
      <c r="A736">
        <f>INDEX(tblCleanData[EmployeeNumber],728)</f>
        <v>1012</v>
      </c>
      <c r="B736" t="str">
        <f>IF(INDEX(tblCleanData[Age],728)&lt;30,"Under 30",IF(INDEX(tblCleanData[Age],728)&lt;40,"30-39",IF(INDEX(tblCleanData[Age],728)&lt;50,"40-49","50+")))</f>
        <v>Under 30</v>
      </c>
      <c r="C736" t="str">
        <f>IF(INDEX(tblCleanData[MonthlyIncome],728)&lt;=$B$3,"Low Income",IF(INDEX(tblCleanData[MonthlyIncome],728)&lt;=$B$4,"Medium Income","High Income"))</f>
        <v>High Income</v>
      </c>
      <c r="D736">
        <f>IF(INDEX(tblCleanData[Attrition],728)="Yes",1,0)</f>
        <v>0</v>
      </c>
      <c r="E736">
        <f>IF(INDEX(tblCleanData[OverTime],728)="Yes",1,0)</f>
        <v>0</v>
      </c>
      <c r="F736" t="str">
        <f>CHOOSE(INDEX(tblCleanData[Education],728),"Below College","College","Bachelor","Master","Doctor")</f>
        <v>College</v>
      </c>
      <c r="G736" t="str">
        <f>IF(INDEX(tblCleanData[YearsAtCompany],728)&lt;=2,"0-2 Years",IF(INDEX(tblCleanData[YearsAtCompany],728)&lt;=5,"3-5 Years",IF(INDEX(tblCleanData[YearsAtCompany],728)&lt;=10,"6-10 Years","10+ Years")))</f>
        <v>0-2 Years</v>
      </c>
      <c r="H736" t="str">
        <f>IF(INDEX(tblCleanData[WorkLifeBalance],728)&lt;=2,"Elevated","Normal")</f>
        <v>Normal</v>
      </c>
      <c r="I736">
        <f>IF(INDEX(tblCleanData[Age],728)&lt;30,30,IF(INDEX(tblCleanData[Age],728)&lt;40,20,IF(INDEX(tblCleanData[Age],728)&lt;50,10,15)))</f>
        <v>30</v>
      </c>
      <c r="J736">
        <f>IF(INDEX(tblCleanData[MonthlyIncome],728)&lt;=$B$3,25,IF(INDEX(tblCleanData[MonthlyIncome],728)&lt;=$B$4,12,5))</f>
        <v>5</v>
      </c>
      <c r="K736">
        <f>IF(INDEX(tblCleanData[OverTime],728)="Yes",25,0)</f>
        <v>0</v>
      </c>
      <c r="L736">
        <f>(5-INDEX(tblCleanData[JobSatisfaction],728))*6.25</f>
        <v>6.25</v>
      </c>
      <c r="M736">
        <f>IF(INDEX(tblCleanData[YearsAtCompany],728)&lt;=2,25,IF(INDEX(tblCleanData[YearsAtCompany],728)&lt;=5,15,IF(INDEX(tblCleanData[YearsAtCompany],728)&lt;=10,8,3)))</f>
        <v>25</v>
      </c>
      <c r="N736">
        <f t="shared" si="22"/>
        <v>66</v>
      </c>
      <c r="O736" t="str">
        <f t="shared" si="23"/>
        <v>High Risk</v>
      </c>
    </row>
    <row r="737" spans="1:15" x14ac:dyDescent="0.25">
      <c r="A737">
        <f>INDEX(tblCleanData[EmployeeNumber],729)</f>
        <v>1013</v>
      </c>
      <c r="B737" t="str">
        <f>IF(INDEX(tblCleanData[Age],729)&lt;30,"Under 30",IF(INDEX(tblCleanData[Age],729)&lt;40,"30-39",IF(INDEX(tblCleanData[Age],729)&lt;50,"40-49","50+")))</f>
        <v>50+</v>
      </c>
      <c r="C737" t="str">
        <f>IF(INDEX(tblCleanData[MonthlyIncome],729)&lt;=$B$3,"Low Income",IF(INDEX(tblCleanData[MonthlyIncome],729)&lt;=$B$4,"Medium Income","High Income"))</f>
        <v>High Income</v>
      </c>
      <c r="D737">
        <f>IF(INDEX(tblCleanData[Attrition],729)="Yes",1,0)</f>
        <v>0</v>
      </c>
      <c r="E737">
        <f>IF(INDEX(tblCleanData[OverTime],729)="Yes",1,0)</f>
        <v>0</v>
      </c>
      <c r="F737" t="str">
        <f>CHOOSE(INDEX(tblCleanData[Education],729),"Below College","College","Bachelor","Master","Doctor")</f>
        <v>Bachelor</v>
      </c>
      <c r="G737" t="str">
        <f>IF(INDEX(tblCleanData[YearsAtCompany],729)&lt;=2,"0-2 Years",IF(INDEX(tblCleanData[YearsAtCompany],729)&lt;=5,"3-5 Years",IF(INDEX(tblCleanData[YearsAtCompany],729)&lt;=10,"6-10 Years","10+ Years")))</f>
        <v>6-10 Years</v>
      </c>
      <c r="H737" t="str">
        <f>IF(INDEX(tblCleanData[WorkLifeBalance],729)&lt;=2,"Elevated","Normal")</f>
        <v>Normal</v>
      </c>
      <c r="I737">
        <f>IF(INDEX(tblCleanData[Age],729)&lt;30,30,IF(INDEX(tblCleanData[Age],729)&lt;40,20,IF(INDEX(tblCleanData[Age],729)&lt;50,10,15)))</f>
        <v>15</v>
      </c>
      <c r="J737">
        <f>IF(INDEX(tblCleanData[MonthlyIncome],729)&lt;=$B$3,25,IF(INDEX(tblCleanData[MonthlyIncome],729)&lt;=$B$4,12,5))</f>
        <v>5</v>
      </c>
      <c r="K737">
        <f>IF(INDEX(tblCleanData[OverTime],729)="Yes",25,0)</f>
        <v>0</v>
      </c>
      <c r="L737">
        <f>(5-INDEX(tblCleanData[JobSatisfaction],729))*6.25</f>
        <v>12.5</v>
      </c>
      <c r="M737">
        <f>IF(INDEX(tblCleanData[YearsAtCompany],729)&lt;=2,25,IF(INDEX(tblCleanData[YearsAtCompany],729)&lt;=5,15,IF(INDEX(tblCleanData[YearsAtCompany],729)&lt;=10,8,3)))</f>
        <v>8</v>
      </c>
      <c r="N737">
        <f t="shared" si="22"/>
        <v>41</v>
      </c>
      <c r="O737" t="str">
        <f t="shared" si="23"/>
        <v>Medium Risk</v>
      </c>
    </row>
    <row r="738" spans="1:15" x14ac:dyDescent="0.25">
      <c r="A738">
        <f>INDEX(tblCleanData[EmployeeNumber],730)</f>
        <v>1014</v>
      </c>
      <c r="B738" t="str">
        <f>IF(INDEX(tblCleanData[Age],730)&lt;30,"Under 30",IF(INDEX(tblCleanData[Age],730)&lt;40,"30-39",IF(INDEX(tblCleanData[Age],730)&lt;50,"40-49","50+")))</f>
        <v>30-39</v>
      </c>
      <c r="C738" t="str">
        <f>IF(INDEX(tblCleanData[MonthlyIncome],730)&lt;=$B$3,"Low Income",IF(INDEX(tblCleanData[MonthlyIncome],730)&lt;=$B$4,"Medium Income","High Income"))</f>
        <v>High Income</v>
      </c>
      <c r="D738">
        <f>IF(INDEX(tblCleanData[Attrition],730)="Yes",1,0)</f>
        <v>0</v>
      </c>
      <c r="E738">
        <f>IF(INDEX(tblCleanData[OverTime],730)="Yes",1,0)</f>
        <v>1</v>
      </c>
      <c r="F738" t="str">
        <f>CHOOSE(INDEX(tblCleanData[Education],730),"Below College","College","Bachelor","Master","Doctor")</f>
        <v>Master</v>
      </c>
      <c r="G738" t="str">
        <f>IF(INDEX(tblCleanData[YearsAtCompany],730)&lt;=2,"0-2 Years",IF(INDEX(tblCleanData[YearsAtCompany],730)&lt;=5,"3-5 Years",IF(INDEX(tblCleanData[YearsAtCompany],730)&lt;=10,"6-10 Years","10+ Years")))</f>
        <v>10+ Years</v>
      </c>
      <c r="H738" t="str">
        <f>IF(INDEX(tblCleanData[WorkLifeBalance],730)&lt;=2,"Elevated","Normal")</f>
        <v>Elevated</v>
      </c>
      <c r="I738">
        <f>IF(INDEX(tblCleanData[Age],730)&lt;30,30,IF(INDEX(tblCleanData[Age],730)&lt;40,20,IF(INDEX(tblCleanData[Age],730)&lt;50,10,15)))</f>
        <v>20</v>
      </c>
      <c r="J738">
        <f>IF(INDEX(tblCleanData[MonthlyIncome],730)&lt;=$B$3,25,IF(INDEX(tblCleanData[MonthlyIncome],730)&lt;=$B$4,12,5))</f>
        <v>5</v>
      </c>
      <c r="K738">
        <f>IF(INDEX(tblCleanData[OverTime],730)="Yes",25,0)</f>
        <v>25</v>
      </c>
      <c r="L738">
        <f>(5-INDEX(tblCleanData[JobSatisfaction],730))*6.25</f>
        <v>12.5</v>
      </c>
      <c r="M738">
        <f>IF(INDEX(tblCleanData[YearsAtCompany],730)&lt;=2,25,IF(INDEX(tblCleanData[YearsAtCompany],730)&lt;=5,15,IF(INDEX(tblCleanData[YearsAtCompany],730)&lt;=10,8,3)))</f>
        <v>3</v>
      </c>
      <c r="N738">
        <f t="shared" si="22"/>
        <v>66</v>
      </c>
      <c r="O738" t="str">
        <f t="shared" si="23"/>
        <v>High Risk</v>
      </c>
    </row>
    <row r="739" spans="1:15" x14ac:dyDescent="0.25">
      <c r="A739">
        <f>INDEX(tblCleanData[EmployeeNumber],731)</f>
        <v>1015</v>
      </c>
      <c r="B739" t="str">
        <f>IF(INDEX(tblCleanData[Age],731)&lt;30,"Under 30",IF(INDEX(tblCleanData[Age],731)&lt;40,"30-39",IF(INDEX(tblCleanData[Age],731)&lt;50,"40-49","50+")))</f>
        <v>30-39</v>
      </c>
      <c r="C739" t="str">
        <f>IF(INDEX(tblCleanData[MonthlyIncome],731)&lt;=$B$3,"Low Income",IF(INDEX(tblCleanData[MonthlyIncome],731)&lt;=$B$4,"Medium Income","High Income"))</f>
        <v>High Income</v>
      </c>
      <c r="D739">
        <f>IF(INDEX(tblCleanData[Attrition],731)="Yes",1,0)</f>
        <v>0</v>
      </c>
      <c r="E739">
        <f>IF(INDEX(tblCleanData[OverTime],731)="Yes",1,0)</f>
        <v>1</v>
      </c>
      <c r="F739" t="str">
        <f>CHOOSE(INDEX(tblCleanData[Education],731),"Below College","College","Bachelor","Master","Doctor")</f>
        <v>College</v>
      </c>
      <c r="G739" t="str">
        <f>IF(INDEX(tblCleanData[YearsAtCompany],731)&lt;=2,"0-2 Years",IF(INDEX(tblCleanData[YearsAtCompany],731)&lt;=5,"3-5 Years",IF(INDEX(tblCleanData[YearsAtCompany],731)&lt;=10,"6-10 Years","10+ Years")))</f>
        <v>6-10 Years</v>
      </c>
      <c r="H739" t="str">
        <f>IF(INDEX(tblCleanData[WorkLifeBalance],731)&lt;=2,"Elevated","Normal")</f>
        <v>Elevated</v>
      </c>
      <c r="I739">
        <f>IF(INDEX(tblCleanData[Age],731)&lt;30,30,IF(INDEX(tblCleanData[Age],731)&lt;40,20,IF(INDEX(tblCleanData[Age],731)&lt;50,10,15)))</f>
        <v>20</v>
      </c>
      <c r="J739">
        <f>IF(INDEX(tblCleanData[MonthlyIncome],731)&lt;=$B$3,25,IF(INDEX(tblCleanData[MonthlyIncome],731)&lt;=$B$4,12,5))</f>
        <v>5</v>
      </c>
      <c r="K739">
        <f>IF(INDEX(tblCleanData[OverTime],731)="Yes",25,0)</f>
        <v>25</v>
      </c>
      <c r="L739">
        <f>(5-INDEX(tblCleanData[JobSatisfaction],731))*6.25</f>
        <v>25</v>
      </c>
      <c r="M739">
        <f>IF(INDEX(tblCleanData[YearsAtCompany],731)&lt;=2,25,IF(INDEX(tblCleanData[YearsAtCompany],731)&lt;=5,15,IF(INDEX(tblCleanData[YearsAtCompany],731)&lt;=10,8,3)))</f>
        <v>8</v>
      </c>
      <c r="N739">
        <f t="shared" si="22"/>
        <v>83</v>
      </c>
      <c r="O739" t="str">
        <f t="shared" si="23"/>
        <v>High Risk</v>
      </c>
    </row>
    <row r="740" spans="1:15" x14ac:dyDescent="0.25">
      <c r="A740">
        <f>INDEX(tblCleanData[EmployeeNumber],732)</f>
        <v>1016</v>
      </c>
      <c r="B740" t="str">
        <f>IF(INDEX(tblCleanData[Age],732)&lt;30,"Under 30",IF(INDEX(tblCleanData[Age],732)&lt;40,"30-39",IF(INDEX(tblCleanData[Age],732)&lt;50,"40-49","50+")))</f>
        <v>Under 30</v>
      </c>
      <c r="C740" t="str">
        <f>IF(INDEX(tblCleanData[MonthlyIncome],732)&lt;=$B$3,"Low Income",IF(INDEX(tblCleanData[MonthlyIncome],732)&lt;=$B$4,"Medium Income","High Income"))</f>
        <v>High Income</v>
      </c>
      <c r="D740">
        <f>IF(INDEX(tblCleanData[Attrition],732)="Yes",1,0)</f>
        <v>1</v>
      </c>
      <c r="E740">
        <f>IF(INDEX(tblCleanData[OverTime],732)="Yes",1,0)</f>
        <v>1</v>
      </c>
      <c r="F740" t="str">
        <f>CHOOSE(INDEX(tblCleanData[Education],732),"Below College","College","Bachelor","Master","Doctor")</f>
        <v>Bachelor</v>
      </c>
      <c r="G740" t="str">
        <f>IF(INDEX(tblCleanData[YearsAtCompany],732)&lt;=2,"0-2 Years",IF(INDEX(tblCleanData[YearsAtCompany],732)&lt;=5,"3-5 Years",IF(INDEX(tblCleanData[YearsAtCompany],732)&lt;=10,"6-10 Years","10+ Years")))</f>
        <v>0-2 Years</v>
      </c>
      <c r="H740" t="str">
        <f>IF(INDEX(tblCleanData[WorkLifeBalance],732)&lt;=2,"Elevated","Normal")</f>
        <v>Normal</v>
      </c>
      <c r="I740">
        <f>IF(INDEX(tblCleanData[Age],732)&lt;30,30,IF(INDEX(tblCleanData[Age],732)&lt;40,20,IF(INDEX(tblCleanData[Age],732)&lt;50,10,15)))</f>
        <v>30</v>
      </c>
      <c r="J740">
        <f>IF(INDEX(tblCleanData[MonthlyIncome],732)&lt;=$B$3,25,IF(INDEX(tblCleanData[MonthlyIncome],732)&lt;=$B$4,12,5))</f>
        <v>5</v>
      </c>
      <c r="K740">
        <f>IF(INDEX(tblCleanData[OverTime],732)="Yes",25,0)</f>
        <v>25</v>
      </c>
      <c r="L740">
        <f>(5-INDEX(tblCleanData[JobSatisfaction],732))*6.25</f>
        <v>25</v>
      </c>
      <c r="M740">
        <f>IF(INDEX(tblCleanData[YearsAtCompany],732)&lt;=2,25,IF(INDEX(tblCleanData[YearsAtCompany],732)&lt;=5,15,IF(INDEX(tblCleanData[YearsAtCompany],732)&lt;=10,8,3)))</f>
        <v>25</v>
      </c>
      <c r="N740">
        <f t="shared" si="22"/>
        <v>110</v>
      </c>
      <c r="O740" t="str">
        <f t="shared" si="23"/>
        <v>High Risk</v>
      </c>
    </row>
    <row r="741" spans="1:15" x14ac:dyDescent="0.25">
      <c r="A741">
        <f>INDEX(tblCleanData[EmployeeNumber],733)</f>
        <v>1017</v>
      </c>
      <c r="B741" t="str">
        <f>IF(INDEX(tblCleanData[Age],733)&lt;30,"Under 30",IF(INDEX(tblCleanData[Age],733)&lt;40,"30-39",IF(INDEX(tblCleanData[Age],733)&lt;50,"40-49","50+")))</f>
        <v>30-39</v>
      </c>
      <c r="C741" t="str">
        <f>IF(INDEX(tblCleanData[MonthlyIncome],733)&lt;=$B$3,"Low Income",IF(INDEX(tblCleanData[MonthlyIncome],733)&lt;=$B$4,"Medium Income","High Income"))</f>
        <v>High Income</v>
      </c>
      <c r="D741">
        <f>IF(INDEX(tblCleanData[Attrition],733)="Yes",1,0)</f>
        <v>1</v>
      </c>
      <c r="E741">
        <f>IF(INDEX(tblCleanData[OverTime],733)="Yes",1,0)</f>
        <v>0</v>
      </c>
      <c r="F741" t="str">
        <f>CHOOSE(INDEX(tblCleanData[Education],733),"Below College","College","Bachelor","Master","Doctor")</f>
        <v>Bachelor</v>
      </c>
      <c r="G741" t="str">
        <f>IF(INDEX(tblCleanData[YearsAtCompany],733)&lt;=2,"0-2 Years",IF(INDEX(tblCleanData[YearsAtCompany],733)&lt;=5,"3-5 Years",IF(INDEX(tblCleanData[YearsAtCompany],733)&lt;=10,"6-10 Years","10+ Years")))</f>
        <v>3-5 Years</v>
      </c>
      <c r="H741" t="str">
        <f>IF(INDEX(tblCleanData[WorkLifeBalance],733)&lt;=2,"Elevated","Normal")</f>
        <v>Normal</v>
      </c>
      <c r="I741">
        <f>IF(INDEX(tblCleanData[Age],733)&lt;30,30,IF(INDEX(tblCleanData[Age],733)&lt;40,20,IF(INDEX(tblCleanData[Age],733)&lt;50,10,15)))</f>
        <v>20</v>
      </c>
      <c r="J741">
        <f>IF(INDEX(tblCleanData[MonthlyIncome],733)&lt;=$B$3,25,IF(INDEX(tblCleanData[MonthlyIncome],733)&lt;=$B$4,12,5))</f>
        <v>5</v>
      </c>
      <c r="K741">
        <f>IF(INDEX(tblCleanData[OverTime],733)="Yes",25,0)</f>
        <v>0</v>
      </c>
      <c r="L741">
        <f>(5-INDEX(tblCleanData[JobSatisfaction],733))*6.25</f>
        <v>18.75</v>
      </c>
      <c r="M741">
        <f>IF(INDEX(tblCleanData[YearsAtCompany],733)&lt;=2,25,IF(INDEX(tblCleanData[YearsAtCompany],733)&lt;=5,15,IF(INDEX(tblCleanData[YearsAtCompany],733)&lt;=10,8,3)))</f>
        <v>15</v>
      </c>
      <c r="N741">
        <f t="shared" si="22"/>
        <v>59</v>
      </c>
      <c r="O741" t="str">
        <f t="shared" si="23"/>
        <v>High Risk</v>
      </c>
    </row>
    <row r="742" spans="1:15" x14ac:dyDescent="0.25">
      <c r="A742">
        <f>INDEX(tblCleanData[EmployeeNumber],734)</f>
        <v>1018</v>
      </c>
      <c r="B742" t="str">
        <f>IF(INDEX(tblCleanData[Age],734)&lt;30,"Under 30",IF(INDEX(tblCleanData[Age],734)&lt;40,"30-39",IF(INDEX(tblCleanData[Age],734)&lt;50,"40-49","50+")))</f>
        <v>Under 30</v>
      </c>
      <c r="C742" t="str">
        <f>IF(INDEX(tblCleanData[MonthlyIncome],734)&lt;=$B$3,"Low Income",IF(INDEX(tblCleanData[MonthlyIncome],734)&lt;=$B$4,"Medium Income","High Income"))</f>
        <v>High Income</v>
      </c>
      <c r="D742">
        <f>IF(INDEX(tblCleanData[Attrition],734)="Yes",1,0)</f>
        <v>0</v>
      </c>
      <c r="E742">
        <f>IF(INDEX(tblCleanData[OverTime],734)="Yes",1,0)</f>
        <v>0</v>
      </c>
      <c r="F742" t="str">
        <f>CHOOSE(INDEX(tblCleanData[Education],734),"Below College","College","Bachelor","Master","Doctor")</f>
        <v>College</v>
      </c>
      <c r="G742" t="str">
        <f>IF(INDEX(tblCleanData[YearsAtCompany],734)&lt;=2,"0-2 Years",IF(INDEX(tblCleanData[YearsAtCompany],734)&lt;=5,"3-5 Years",IF(INDEX(tblCleanData[YearsAtCompany],734)&lt;=10,"6-10 Years","10+ Years")))</f>
        <v>6-10 Years</v>
      </c>
      <c r="H742" t="str">
        <f>IF(INDEX(tblCleanData[WorkLifeBalance],734)&lt;=2,"Elevated","Normal")</f>
        <v>Normal</v>
      </c>
      <c r="I742">
        <f>IF(INDEX(tblCleanData[Age],734)&lt;30,30,IF(INDEX(tblCleanData[Age],734)&lt;40,20,IF(INDEX(tblCleanData[Age],734)&lt;50,10,15)))</f>
        <v>30</v>
      </c>
      <c r="J742">
        <f>IF(INDEX(tblCleanData[MonthlyIncome],734)&lt;=$B$3,25,IF(INDEX(tblCleanData[MonthlyIncome],734)&lt;=$B$4,12,5))</f>
        <v>5</v>
      </c>
      <c r="K742">
        <f>IF(INDEX(tblCleanData[OverTime],734)="Yes",25,0)</f>
        <v>0</v>
      </c>
      <c r="L742">
        <f>(5-INDEX(tblCleanData[JobSatisfaction],734))*6.25</f>
        <v>6.25</v>
      </c>
      <c r="M742">
        <f>IF(INDEX(tblCleanData[YearsAtCompany],734)&lt;=2,25,IF(INDEX(tblCleanData[YearsAtCompany],734)&lt;=5,15,IF(INDEX(tblCleanData[YearsAtCompany],734)&lt;=10,8,3)))</f>
        <v>8</v>
      </c>
      <c r="N742">
        <f t="shared" si="22"/>
        <v>49</v>
      </c>
      <c r="O742" t="str">
        <f t="shared" si="23"/>
        <v>Medium Risk</v>
      </c>
    </row>
    <row r="743" spans="1:15" x14ac:dyDescent="0.25">
      <c r="A743">
        <f>INDEX(tblCleanData[EmployeeNumber],735)</f>
        <v>1019</v>
      </c>
      <c r="B743" t="str">
        <f>IF(INDEX(tblCleanData[Age],735)&lt;30,"Under 30",IF(INDEX(tblCleanData[Age],735)&lt;40,"30-39",IF(INDEX(tblCleanData[Age],735)&lt;50,"40-49","50+")))</f>
        <v>Under 30</v>
      </c>
      <c r="C743" t="str">
        <f>IF(INDEX(tblCleanData[MonthlyIncome],735)&lt;=$B$3,"Low Income",IF(INDEX(tblCleanData[MonthlyIncome],735)&lt;=$B$4,"Medium Income","High Income"))</f>
        <v>High Income</v>
      </c>
      <c r="D743">
        <f>IF(INDEX(tblCleanData[Attrition],735)="Yes",1,0)</f>
        <v>0</v>
      </c>
      <c r="E743">
        <f>IF(INDEX(tblCleanData[OverTime],735)="Yes",1,0)</f>
        <v>0</v>
      </c>
      <c r="F743" t="str">
        <f>CHOOSE(INDEX(tblCleanData[Education],735),"Below College","College","Bachelor","Master","Doctor")</f>
        <v>Below College</v>
      </c>
      <c r="G743" t="str">
        <f>IF(INDEX(tblCleanData[YearsAtCompany],735)&lt;=2,"0-2 Years",IF(INDEX(tblCleanData[YearsAtCompany],735)&lt;=5,"3-5 Years",IF(INDEX(tblCleanData[YearsAtCompany],735)&lt;=10,"6-10 Years","10+ Years")))</f>
        <v>3-5 Years</v>
      </c>
      <c r="H743" t="str">
        <f>IF(INDEX(tblCleanData[WorkLifeBalance],735)&lt;=2,"Elevated","Normal")</f>
        <v>Elevated</v>
      </c>
      <c r="I743">
        <f>IF(INDEX(tblCleanData[Age],735)&lt;30,30,IF(INDEX(tblCleanData[Age],735)&lt;40,20,IF(INDEX(tblCleanData[Age],735)&lt;50,10,15)))</f>
        <v>30</v>
      </c>
      <c r="J743">
        <f>IF(INDEX(tblCleanData[MonthlyIncome],735)&lt;=$B$3,25,IF(INDEX(tblCleanData[MonthlyIncome],735)&lt;=$B$4,12,5))</f>
        <v>5</v>
      </c>
      <c r="K743">
        <f>IF(INDEX(tblCleanData[OverTime],735)="Yes",25,0)</f>
        <v>0</v>
      </c>
      <c r="L743">
        <f>(5-INDEX(tblCleanData[JobSatisfaction],735))*6.25</f>
        <v>25</v>
      </c>
      <c r="M743">
        <f>IF(INDEX(tblCleanData[YearsAtCompany],735)&lt;=2,25,IF(INDEX(tblCleanData[YearsAtCompany],735)&lt;=5,15,IF(INDEX(tblCleanData[YearsAtCompany],735)&lt;=10,8,3)))</f>
        <v>15</v>
      </c>
      <c r="N743">
        <f t="shared" si="22"/>
        <v>75</v>
      </c>
      <c r="O743" t="str">
        <f t="shared" si="23"/>
        <v>High Risk</v>
      </c>
    </row>
    <row r="744" spans="1:15" x14ac:dyDescent="0.25">
      <c r="A744">
        <f>INDEX(tblCleanData[EmployeeNumber],736)</f>
        <v>1022</v>
      </c>
      <c r="B744" t="str">
        <f>IF(INDEX(tblCleanData[Age],736)&lt;30,"Under 30",IF(INDEX(tblCleanData[Age],736)&lt;40,"30-39",IF(INDEX(tblCleanData[Age],736)&lt;50,"40-49","50+")))</f>
        <v>40-49</v>
      </c>
      <c r="C744" t="str">
        <f>IF(INDEX(tblCleanData[MonthlyIncome],736)&lt;=$B$3,"Low Income",IF(INDEX(tblCleanData[MonthlyIncome],736)&lt;=$B$4,"Medium Income","High Income"))</f>
        <v>High Income</v>
      </c>
      <c r="D744">
        <f>IF(INDEX(tblCleanData[Attrition],736)="Yes",1,0)</f>
        <v>0</v>
      </c>
      <c r="E744">
        <f>IF(INDEX(tblCleanData[OverTime],736)="Yes",1,0)</f>
        <v>0</v>
      </c>
      <c r="F744" t="str">
        <f>CHOOSE(INDEX(tblCleanData[Education],736),"Below College","College","Bachelor","Master","Doctor")</f>
        <v>Bachelor</v>
      </c>
      <c r="G744" t="str">
        <f>IF(INDEX(tblCleanData[YearsAtCompany],736)&lt;=2,"0-2 Years",IF(INDEX(tblCleanData[YearsAtCompany],736)&lt;=5,"3-5 Years",IF(INDEX(tblCleanData[YearsAtCompany],736)&lt;=10,"6-10 Years","10+ Years")))</f>
        <v>0-2 Years</v>
      </c>
      <c r="H744" t="str">
        <f>IF(INDEX(tblCleanData[WorkLifeBalance],736)&lt;=2,"Elevated","Normal")</f>
        <v>Normal</v>
      </c>
      <c r="I744">
        <f>IF(INDEX(tblCleanData[Age],736)&lt;30,30,IF(INDEX(tblCleanData[Age],736)&lt;40,20,IF(INDEX(tblCleanData[Age],736)&lt;50,10,15)))</f>
        <v>10</v>
      </c>
      <c r="J744">
        <f>IF(INDEX(tblCleanData[MonthlyIncome],736)&lt;=$B$3,25,IF(INDEX(tblCleanData[MonthlyIncome],736)&lt;=$B$4,12,5))</f>
        <v>5</v>
      </c>
      <c r="K744">
        <f>IF(INDEX(tblCleanData[OverTime],736)="Yes",25,0)</f>
        <v>0</v>
      </c>
      <c r="L744">
        <f>(5-INDEX(tblCleanData[JobSatisfaction],736))*6.25</f>
        <v>12.5</v>
      </c>
      <c r="M744">
        <f>IF(INDEX(tblCleanData[YearsAtCompany],736)&lt;=2,25,IF(INDEX(tblCleanData[YearsAtCompany],736)&lt;=5,15,IF(INDEX(tblCleanData[YearsAtCompany],736)&lt;=10,8,3)))</f>
        <v>25</v>
      </c>
      <c r="N744">
        <f t="shared" si="22"/>
        <v>53</v>
      </c>
      <c r="O744" t="str">
        <f t="shared" si="23"/>
        <v>Medium Risk</v>
      </c>
    </row>
    <row r="745" spans="1:15" x14ac:dyDescent="0.25">
      <c r="A745">
        <f>INDEX(tblCleanData[EmployeeNumber],737)</f>
        <v>1024</v>
      </c>
      <c r="B745" t="str">
        <f>IF(INDEX(tblCleanData[Age],737)&lt;30,"Under 30",IF(INDEX(tblCleanData[Age],737)&lt;40,"30-39",IF(INDEX(tblCleanData[Age],737)&lt;50,"40-49","50+")))</f>
        <v>40-49</v>
      </c>
      <c r="C745" t="str">
        <f>IF(INDEX(tblCleanData[MonthlyIncome],737)&lt;=$B$3,"Low Income",IF(INDEX(tblCleanData[MonthlyIncome],737)&lt;=$B$4,"Medium Income","High Income"))</f>
        <v>High Income</v>
      </c>
      <c r="D745">
        <f>IF(INDEX(tblCleanData[Attrition],737)="Yes",1,0)</f>
        <v>0</v>
      </c>
      <c r="E745">
        <f>IF(INDEX(tblCleanData[OverTime],737)="Yes",1,0)</f>
        <v>0</v>
      </c>
      <c r="F745" t="str">
        <f>CHOOSE(INDEX(tblCleanData[Education],737),"Below College","College","Bachelor","Master","Doctor")</f>
        <v>Master</v>
      </c>
      <c r="G745" t="str">
        <f>IF(INDEX(tblCleanData[YearsAtCompany],737)&lt;=2,"0-2 Years",IF(INDEX(tblCleanData[YearsAtCompany],737)&lt;=5,"3-5 Years",IF(INDEX(tblCleanData[YearsAtCompany],737)&lt;=10,"6-10 Years","10+ Years")))</f>
        <v>10+ Years</v>
      </c>
      <c r="H745" t="str">
        <f>IF(INDEX(tblCleanData[WorkLifeBalance],737)&lt;=2,"Elevated","Normal")</f>
        <v>Normal</v>
      </c>
      <c r="I745">
        <f>IF(INDEX(tblCleanData[Age],737)&lt;30,30,IF(INDEX(tblCleanData[Age],737)&lt;40,20,IF(INDEX(tblCleanData[Age],737)&lt;50,10,15)))</f>
        <v>10</v>
      </c>
      <c r="J745">
        <f>IF(INDEX(tblCleanData[MonthlyIncome],737)&lt;=$B$3,25,IF(INDEX(tblCleanData[MonthlyIncome],737)&lt;=$B$4,12,5))</f>
        <v>5</v>
      </c>
      <c r="K745">
        <f>IF(INDEX(tblCleanData[OverTime],737)="Yes",25,0)</f>
        <v>0</v>
      </c>
      <c r="L745">
        <f>(5-INDEX(tblCleanData[JobSatisfaction],737))*6.25</f>
        <v>12.5</v>
      </c>
      <c r="M745">
        <f>IF(INDEX(tblCleanData[YearsAtCompany],737)&lt;=2,25,IF(INDEX(tblCleanData[YearsAtCompany],737)&lt;=5,15,IF(INDEX(tblCleanData[YearsAtCompany],737)&lt;=10,8,3)))</f>
        <v>3</v>
      </c>
      <c r="N745">
        <f t="shared" si="22"/>
        <v>31</v>
      </c>
      <c r="O745" t="str">
        <f t="shared" si="23"/>
        <v>Low Risk</v>
      </c>
    </row>
    <row r="746" spans="1:15" x14ac:dyDescent="0.25">
      <c r="A746">
        <f>INDEX(tblCleanData[EmployeeNumber],738)</f>
        <v>1025</v>
      </c>
      <c r="B746" t="str">
        <f>IF(INDEX(tblCleanData[Age],738)&lt;30,"Under 30",IF(INDEX(tblCleanData[Age],738)&lt;40,"30-39",IF(INDEX(tblCleanData[Age],738)&lt;50,"40-49","50+")))</f>
        <v>40-49</v>
      </c>
      <c r="C746" t="str">
        <f>IF(INDEX(tblCleanData[MonthlyIncome],738)&lt;=$B$3,"Low Income",IF(INDEX(tblCleanData[MonthlyIncome],738)&lt;=$B$4,"Medium Income","High Income"))</f>
        <v>High Income</v>
      </c>
      <c r="D746">
        <f>IF(INDEX(tblCleanData[Attrition],738)="Yes",1,0)</f>
        <v>0</v>
      </c>
      <c r="E746">
        <f>IF(INDEX(tblCleanData[OverTime],738)="Yes",1,0)</f>
        <v>0</v>
      </c>
      <c r="F746" t="str">
        <f>CHOOSE(INDEX(tblCleanData[Education],738),"Below College","College","Bachelor","Master","Doctor")</f>
        <v>College</v>
      </c>
      <c r="G746" t="str">
        <f>IF(INDEX(tblCleanData[YearsAtCompany],738)&lt;=2,"0-2 Years",IF(INDEX(tblCleanData[YearsAtCompany],738)&lt;=5,"3-5 Years",IF(INDEX(tblCleanData[YearsAtCompany],738)&lt;=10,"6-10 Years","10+ Years")))</f>
        <v>0-2 Years</v>
      </c>
      <c r="H746" t="str">
        <f>IF(INDEX(tblCleanData[WorkLifeBalance],738)&lt;=2,"Elevated","Normal")</f>
        <v>Normal</v>
      </c>
      <c r="I746">
        <f>IF(INDEX(tblCleanData[Age],738)&lt;30,30,IF(INDEX(tblCleanData[Age],738)&lt;40,20,IF(INDEX(tblCleanData[Age],738)&lt;50,10,15)))</f>
        <v>10</v>
      </c>
      <c r="J746">
        <f>IF(INDEX(tblCleanData[MonthlyIncome],738)&lt;=$B$3,25,IF(INDEX(tblCleanData[MonthlyIncome],738)&lt;=$B$4,12,5))</f>
        <v>5</v>
      </c>
      <c r="K746">
        <f>IF(INDEX(tblCleanData[OverTime],738)="Yes",25,0)</f>
        <v>0</v>
      </c>
      <c r="L746">
        <f>(5-INDEX(tblCleanData[JobSatisfaction],738))*6.25</f>
        <v>12.5</v>
      </c>
      <c r="M746">
        <f>IF(INDEX(tblCleanData[YearsAtCompany],738)&lt;=2,25,IF(INDEX(tblCleanData[YearsAtCompany],738)&lt;=5,15,IF(INDEX(tblCleanData[YearsAtCompany],738)&lt;=10,8,3)))</f>
        <v>25</v>
      </c>
      <c r="N746">
        <f t="shared" si="22"/>
        <v>53</v>
      </c>
      <c r="O746" t="str">
        <f t="shared" si="23"/>
        <v>Medium Risk</v>
      </c>
    </row>
    <row r="747" spans="1:15" x14ac:dyDescent="0.25">
      <c r="A747">
        <f>INDEX(tblCleanData[EmployeeNumber],739)</f>
        <v>1026</v>
      </c>
      <c r="B747" t="str">
        <f>IF(INDEX(tblCleanData[Age],739)&lt;30,"Under 30",IF(INDEX(tblCleanData[Age],739)&lt;40,"30-39",IF(INDEX(tblCleanData[Age],739)&lt;50,"40-49","50+")))</f>
        <v>30-39</v>
      </c>
      <c r="C747" t="str">
        <f>IF(INDEX(tblCleanData[MonthlyIncome],739)&lt;=$B$3,"Low Income",IF(INDEX(tblCleanData[MonthlyIncome],739)&lt;=$B$4,"Medium Income","High Income"))</f>
        <v>High Income</v>
      </c>
      <c r="D747">
        <f>IF(INDEX(tblCleanData[Attrition],739)="Yes",1,0)</f>
        <v>0</v>
      </c>
      <c r="E747">
        <f>IF(INDEX(tblCleanData[OverTime],739)="Yes",1,0)</f>
        <v>0</v>
      </c>
      <c r="F747" t="str">
        <f>CHOOSE(INDEX(tblCleanData[Education],739),"Below College","College","Bachelor","Master","Doctor")</f>
        <v>Below College</v>
      </c>
      <c r="G747" t="str">
        <f>IF(INDEX(tblCleanData[YearsAtCompany],739)&lt;=2,"0-2 Years",IF(INDEX(tblCleanData[YearsAtCompany],739)&lt;=5,"3-5 Years",IF(INDEX(tblCleanData[YearsAtCompany],739)&lt;=10,"6-10 Years","10+ Years")))</f>
        <v>10+ Years</v>
      </c>
      <c r="H747" t="str">
        <f>IF(INDEX(tblCleanData[WorkLifeBalance],739)&lt;=2,"Elevated","Normal")</f>
        <v>Normal</v>
      </c>
      <c r="I747">
        <f>IF(INDEX(tblCleanData[Age],739)&lt;30,30,IF(INDEX(tblCleanData[Age],739)&lt;40,20,IF(INDEX(tblCleanData[Age],739)&lt;50,10,15)))</f>
        <v>20</v>
      </c>
      <c r="J747">
        <f>IF(INDEX(tblCleanData[MonthlyIncome],739)&lt;=$B$3,25,IF(INDEX(tblCleanData[MonthlyIncome],739)&lt;=$B$4,12,5))</f>
        <v>5</v>
      </c>
      <c r="K747">
        <f>IF(INDEX(tblCleanData[OverTime],739)="Yes",25,0)</f>
        <v>0</v>
      </c>
      <c r="L747">
        <f>(5-INDEX(tblCleanData[JobSatisfaction],739))*6.25</f>
        <v>6.25</v>
      </c>
      <c r="M747">
        <f>IF(INDEX(tblCleanData[YearsAtCompany],739)&lt;=2,25,IF(INDEX(tblCleanData[YearsAtCompany],739)&lt;=5,15,IF(INDEX(tblCleanData[YearsAtCompany],739)&lt;=10,8,3)))</f>
        <v>3</v>
      </c>
      <c r="N747">
        <f t="shared" si="22"/>
        <v>34</v>
      </c>
      <c r="O747" t="str">
        <f t="shared" si="23"/>
        <v>Low Risk</v>
      </c>
    </row>
    <row r="748" spans="1:15" x14ac:dyDescent="0.25">
      <c r="A748">
        <f>INDEX(tblCleanData[EmployeeNumber],740)</f>
        <v>1027</v>
      </c>
      <c r="B748" t="str">
        <f>IF(INDEX(tblCleanData[Age],740)&lt;30,"Under 30",IF(INDEX(tblCleanData[Age],740)&lt;40,"30-39",IF(INDEX(tblCleanData[Age],740)&lt;50,"40-49","50+")))</f>
        <v>Under 30</v>
      </c>
      <c r="C748" t="str">
        <f>IF(INDEX(tblCleanData[MonthlyIncome],740)&lt;=$B$3,"Low Income",IF(INDEX(tblCleanData[MonthlyIncome],740)&lt;=$B$4,"Medium Income","High Income"))</f>
        <v>High Income</v>
      </c>
      <c r="D748">
        <f>IF(INDEX(tblCleanData[Attrition],740)="Yes",1,0)</f>
        <v>0</v>
      </c>
      <c r="E748">
        <f>IF(INDEX(tblCleanData[OverTime],740)="Yes",1,0)</f>
        <v>0</v>
      </c>
      <c r="F748" t="str">
        <f>CHOOSE(INDEX(tblCleanData[Education],740),"Below College","College","Bachelor","Master","Doctor")</f>
        <v>Master</v>
      </c>
      <c r="G748" t="str">
        <f>IF(INDEX(tblCleanData[YearsAtCompany],740)&lt;=2,"0-2 Years",IF(INDEX(tblCleanData[YearsAtCompany],740)&lt;=5,"3-5 Years",IF(INDEX(tblCleanData[YearsAtCompany],740)&lt;=10,"6-10 Years","10+ Years")))</f>
        <v>3-5 Years</v>
      </c>
      <c r="H748" t="str">
        <f>IF(INDEX(tblCleanData[WorkLifeBalance],740)&lt;=2,"Elevated","Normal")</f>
        <v>Normal</v>
      </c>
      <c r="I748">
        <f>IF(INDEX(tblCleanData[Age],740)&lt;30,30,IF(INDEX(tblCleanData[Age],740)&lt;40,20,IF(INDEX(tblCleanData[Age],740)&lt;50,10,15)))</f>
        <v>30</v>
      </c>
      <c r="J748">
        <f>IF(INDEX(tblCleanData[MonthlyIncome],740)&lt;=$B$3,25,IF(INDEX(tblCleanData[MonthlyIncome],740)&lt;=$B$4,12,5))</f>
        <v>5</v>
      </c>
      <c r="K748">
        <f>IF(INDEX(tblCleanData[OverTime],740)="Yes",25,0)</f>
        <v>0</v>
      </c>
      <c r="L748">
        <f>(5-INDEX(tblCleanData[JobSatisfaction],740))*6.25</f>
        <v>6.25</v>
      </c>
      <c r="M748">
        <f>IF(INDEX(tblCleanData[YearsAtCompany],740)&lt;=2,25,IF(INDEX(tblCleanData[YearsAtCompany],740)&lt;=5,15,IF(INDEX(tblCleanData[YearsAtCompany],740)&lt;=10,8,3)))</f>
        <v>15</v>
      </c>
      <c r="N748">
        <f t="shared" si="22"/>
        <v>56</v>
      </c>
      <c r="O748" t="str">
        <f t="shared" si="23"/>
        <v>High Risk</v>
      </c>
    </row>
    <row r="749" spans="1:15" x14ac:dyDescent="0.25">
      <c r="A749">
        <f>INDEX(tblCleanData[EmployeeNumber],741)</f>
        <v>1028</v>
      </c>
      <c r="B749" t="str">
        <f>IF(INDEX(tblCleanData[Age],741)&lt;30,"Under 30",IF(INDEX(tblCleanData[Age],741)&lt;40,"30-39",IF(INDEX(tblCleanData[Age],741)&lt;50,"40-49","50+")))</f>
        <v>30-39</v>
      </c>
      <c r="C749" t="str">
        <f>IF(INDEX(tblCleanData[MonthlyIncome],741)&lt;=$B$3,"Low Income",IF(INDEX(tblCleanData[MonthlyIncome],741)&lt;=$B$4,"Medium Income","High Income"))</f>
        <v>High Income</v>
      </c>
      <c r="D749">
        <f>IF(INDEX(tblCleanData[Attrition],741)="Yes",1,0)</f>
        <v>0</v>
      </c>
      <c r="E749">
        <f>IF(INDEX(tblCleanData[OverTime],741)="Yes",1,0)</f>
        <v>0</v>
      </c>
      <c r="F749" t="str">
        <f>CHOOSE(INDEX(tblCleanData[Education],741),"Below College","College","Bachelor","Master","Doctor")</f>
        <v>Bachelor</v>
      </c>
      <c r="G749" t="str">
        <f>IF(INDEX(tblCleanData[YearsAtCompany],741)&lt;=2,"0-2 Years",IF(INDEX(tblCleanData[YearsAtCompany],741)&lt;=5,"3-5 Years",IF(INDEX(tblCleanData[YearsAtCompany],741)&lt;=10,"6-10 Years","10+ Years")))</f>
        <v>3-5 Years</v>
      </c>
      <c r="H749" t="str">
        <f>IF(INDEX(tblCleanData[WorkLifeBalance],741)&lt;=2,"Elevated","Normal")</f>
        <v>Elevated</v>
      </c>
      <c r="I749">
        <f>IF(INDEX(tblCleanData[Age],741)&lt;30,30,IF(INDEX(tblCleanData[Age],741)&lt;40,20,IF(INDEX(tblCleanData[Age],741)&lt;50,10,15)))</f>
        <v>20</v>
      </c>
      <c r="J749">
        <f>IF(INDEX(tblCleanData[MonthlyIncome],741)&lt;=$B$3,25,IF(INDEX(tblCleanData[MonthlyIncome],741)&lt;=$B$4,12,5))</f>
        <v>5</v>
      </c>
      <c r="K749">
        <f>IF(INDEX(tblCleanData[OverTime],741)="Yes",25,0)</f>
        <v>0</v>
      </c>
      <c r="L749">
        <f>(5-INDEX(tblCleanData[JobSatisfaction],741))*6.25</f>
        <v>6.25</v>
      </c>
      <c r="M749">
        <f>IF(INDEX(tblCleanData[YearsAtCompany],741)&lt;=2,25,IF(INDEX(tblCleanData[YearsAtCompany],741)&lt;=5,15,IF(INDEX(tblCleanData[YearsAtCompany],741)&lt;=10,8,3)))</f>
        <v>15</v>
      </c>
      <c r="N749">
        <f t="shared" si="22"/>
        <v>46</v>
      </c>
      <c r="O749" t="str">
        <f t="shared" si="23"/>
        <v>Medium Risk</v>
      </c>
    </row>
    <row r="750" spans="1:15" x14ac:dyDescent="0.25">
      <c r="A750">
        <f>INDEX(tblCleanData[EmployeeNumber],742)</f>
        <v>1029</v>
      </c>
      <c r="B750" t="str">
        <f>IF(INDEX(tblCleanData[Age],742)&lt;30,"Under 30",IF(INDEX(tblCleanData[Age],742)&lt;40,"30-39",IF(INDEX(tblCleanData[Age],742)&lt;50,"40-49","50+")))</f>
        <v>40-49</v>
      </c>
      <c r="C750" t="str">
        <f>IF(INDEX(tblCleanData[MonthlyIncome],742)&lt;=$B$3,"Low Income",IF(INDEX(tblCleanData[MonthlyIncome],742)&lt;=$B$4,"Medium Income","High Income"))</f>
        <v>High Income</v>
      </c>
      <c r="D750">
        <f>IF(INDEX(tblCleanData[Attrition],742)="Yes",1,0)</f>
        <v>0</v>
      </c>
      <c r="E750">
        <f>IF(INDEX(tblCleanData[OverTime],742)="Yes",1,0)</f>
        <v>0</v>
      </c>
      <c r="F750" t="str">
        <f>CHOOSE(INDEX(tblCleanData[Education],742),"Below College","College","Bachelor","Master","Doctor")</f>
        <v>College</v>
      </c>
      <c r="G750" t="str">
        <f>IF(INDEX(tblCleanData[YearsAtCompany],742)&lt;=2,"0-2 Years",IF(INDEX(tblCleanData[YearsAtCompany],742)&lt;=5,"3-5 Years",IF(INDEX(tblCleanData[YearsAtCompany],742)&lt;=10,"6-10 Years","10+ Years")))</f>
        <v>0-2 Years</v>
      </c>
      <c r="H750" t="str">
        <f>IF(INDEX(tblCleanData[WorkLifeBalance],742)&lt;=2,"Elevated","Normal")</f>
        <v>Normal</v>
      </c>
      <c r="I750">
        <f>IF(INDEX(tblCleanData[Age],742)&lt;30,30,IF(INDEX(tblCleanData[Age],742)&lt;40,20,IF(INDEX(tblCleanData[Age],742)&lt;50,10,15)))</f>
        <v>10</v>
      </c>
      <c r="J750">
        <f>IF(INDEX(tblCleanData[MonthlyIncome],742)&lt;=$B$3,25,IF(INDEX(tblCleanData[MonthlyIncome],742)&lt;=$B$4,12,5))</f>
        <v>5</v>
      </c>
      <c r="K750">
        <f>IF(INDEX(tblCleanData[OverTime],742)="Yes",25,0)</f>
        <v>0</v>
      </c>
      <c r="L750">
        <f>(5-INDEX(tblCleanData[JobSatisfaction],742))*6.25</f>
        <v>12.5</v>
      </c>
      <c r="M750">
        <f>IF(INDEX(tblCleanData[YearsAtCompany],742)&lt;=2,25,IF(INDEX(tblCleanData[YearsAtCompany],742)&lt;=5,15,IF(INDEX(tblCleanData[YearsAtCompany],742)&lt;=10,8,3)))</f>
        <v>25</v>
      </c>
      <c r="N750">
        <f t="shared" si="22"/>
        <v>53</v>
      </c>
      <c r="O750" t="str">
        <f t="shared" si="23"/>
        <v>Medium Risk</v>
      </c>
    </row>
    <row r="751" spans="1:15" x14ac:dyDescent="0.25">
      <c r="A751">
        <f>INDEX(tblCleanData[EmployeeNumber],743)</f>
        <v>1030</v>
      </c>
      <c r="B751" t="str">
        <f>IF(INDEX(tblCleanData[Age],743)&lt;30,"Under 30",IF(INDEX(tblCleanData[Age],743)&lt;40,"30-39",IF(INDEX(tblCleanData[Age],743)&lt;50,"40-49","50+")))</f>
        <v>50+</v>
      </c>
      <c r="C751" t="str">
        <f>IF(INDEX(tblCleanData[MonthlyIncome],743)&lt;=$B$3,"Low Income",IF(INDEX(tblCleanData[MonthlyIncome],743)&lt;=$B$4,"Medium Income","High Income"))</f>
        <v>High Income</v>
      </c>
      <c r="D751">
        <f>IF(INDEX(tblCleanData[Attrition],743)="Yes",1,0)</f>
        <v>0</v>
      </c>
      <c r="E751">
        <f>IF(INDEX(tblCleanData[OverTime],743)="Yes",1,0)</f>
        <v>0</v>
      </c>
      <c r="F751" t="str">
        <f>CHOOSE(INDEX(tblCleanData[Education],743),"Below College","College","Bachelor","Master","Doctor")</f>
        <v>Bachelor</v>
      </c>
      <c r="G751" t="str">
        <f>IF(INDEX(tblCleanData[YearsAtCompany],743)&lt;=2,"0-2 Years",IF(INDEX(tblCleanData[YearsAtCompany],743)&lt;=5,"3-5 Years",IF(INDEX(tblCleanData[YearsAtCompany],743)&lt;=10,"6-10 Years","10+ Years")))</f>
        <v>0-2 Years</v>
      </c>
      <c r="H751" t="str">
        <f>IF(INDEX(tblCleanData[WorkLifeBalance],743)&lt;=2,"Elevated","Normal")</f>
        <v>Normal</v>
      </c>
      <c r="I751">
        <f>IF(INDEX(tblCleanData[Age],743)&lt;30,30,IF(INDEX(tblCleanData[Age],743)&lt;40,20,IF(INDEX(tblCleanData[Age],743)&lt;50,10,15)))</f>
        <v>15</v>
      </c>
      <c r="J751">
        <f>IF(INDEX(tblCleanData[MonthlyIncome],743)&lt;=$B$3,25,IF(INDEX(tblCleanData[MonthlyIncome],743)&lt;=$B$4,12,5))</f>
        <v>5</v>
      </c>
      <c r="K751">
        <f>IF(INDEX(tblCleanData[OverTime],743)="Yes",25,0)</f>
        <v>0</v>
      </c>
      <c r="L751">
        <f>(5-INDEX(tblCleanData[JobSatisfaction],743))*6.25</f>
        <v>6.25</v>
      </c>
      <c r="M751">
        <f>IF(INDEX(tblCleanData[YearsAtCompany],743)&lt;=2,25,IF(INDEX(tblCleanData[YearsAtCompany],743)&lt;=5,15,IF(INDEX(tblCleanData[YearsAtCompany],743)&lt;=10,8,3)))</f>
        <v>25</v>
      </c>
      <c r="N751">
        <f t="shared" si="22"/>
        <v>51</v>
      </c>
      <c r="O751" t="str">
        <f t="shared" si="23"/>
        <v>Medium Risk</v>
      </c>
    </row>
    <row r="752" spans="1:15" x14ac:dyDescent="0.25">
      <c r="A752">
        <f>INDEX(tblCleanData[EmployeeNumber],744)</f>
        <v>1032</v>
      </c>
      <c r="B752" t="str">
        <f>IF(INDEX(tblCleanData[Age],744)&lt;30,"Under 30",IF(INDEX(tblCleanData[Age],744)&lt;40,"30-39",IF(INDEX(tblCleanData[Age],744)&lt;50,"40-49","50+")))</f>
        <v>50+</v>
      </c>
      <c r="C752" t="str">
        <f>IF(INDEX(tblCleanData[MonthlyIncome],744)&lt;=$B$3,"Low Income",IF(INDEX(tblCleanData[MonthlyIncome],744)&lt;=$B$4,"Medium Income","High Income"))</f>
        <v>High Income</v>
      </c>
      <c r="D752">
        <f>IF(INDEX(tblCleanData[Attrition],744)="Yes",1,0)</f>
        <v>0</v>
      </c>
      <c r="E752">
        <f>IF(INDEX(tblCleanData[OverTime],744)="Yes",1,0)</f>
        <v>1</v>
      </c>
      <c r="F752" t="str">
        <f>CHOOSE(INDEX(tblCleanData[Education],744),"Below College","College","Bachelor","Master","Doctor")</f>
        <v>Bachelor</v>
      </c>
      <c r="G752" t="str">
        <f>IF(INDEX(tblCleanData[YearsAtCompany],744)&lt;=2,"0-2 Years",IF(INDEX(tblCleanData[YearsAtCompany],744)&lt;=5,"3-5 Years",IF(INDEX(tblCleanData[YearsAtCompany],744)&lt;=10,"6-10 Years","10+ Years")))</f>
        <v>3-5 Years</v>
      </c>
      <c r="H752" t="str">
        <f>IF(INDEX(tblCleanData[WorkLifeBalance],744)&lt;=2,"Elevated","Normal")</f>
        <v>Normal</v>
      </c>
      <c r="I752">
        <f>IF(INDEX(tblCleanData[Age],744)&lt;30,30,IF(INDEX(tblCleanData[Age],744)&lt;40,20,IF(INDEX(tblCleanData[Age],744)&lt;50,10,15)))</f>
        <v>15</v>
      </c>
      <c r="J752">
        <f>IF(INDEX(tblCleanData[MonthlyIncome],744)&lt;=$B$3,25,IF(INDEX(tblCleanData[MonthlyIncome],744)&lt;=$B$4,12,5))</f>
        <v>5</v>
      </c>
      <c r="K752">
        <f>IF(INDEX(tblCleanData[OverTime],744)="Yes",25,0)</f>
        <v>25</v>
      </c>
      <c r="L752">
        <f>(5-INDEX(tblCleanData[JobSatisfaction],744))*6.25</f>
        <v>6.25</v>
      </c>
      <c r="M752">
        <f>IF(INDEX(tblCleanData[YearsAtCompany],744)&lt;=2,25,IF(INDEX(tblCleanData[YearsAtCompany],744)&lt;=5,15,IF(INDEX(tblCleanData[YearsAtCompany],744)&lt;=10,8,3)))</f>
        <v>15</v>
      </c>
      <c r="N752">
        <f t="shared" si="22"/>
        <v>66</v>
      </c>
      <c r="O752" t="str">
        <f t="shared" si="23"/>
        <v>High Risk</v>
      </c>
    </row>
    <row r="753" spans="1:15" x14ac:dyDescent="0.25">
      <c r="A753">
        <f>INDEX(tblCleanData[EmployeeNumber],745)</f>
        <v>1033</v>
      </c>
      <c r="B753" t="str">
        <f>IF(INDEX(tblCleanData[Age],745)&lt;30,"Under 30",IF(INDEX(tblCleanData[Age],745)&lt;40,"30-39",IF(INDEX(tblCleanData[Age],745)&lt;50,"40-49","50+")))</f>
        <v>30-39</v>
      </c>
      <c r="C753" t="str">
        <f>IF(INDEX(tblCleanData[MonthlyIncome],745)&lt;=$B$3,"Low Income",IF(INDEX(tblCleanData[MonthlyIncome],745)&lt;=$B$4,"Medium Income","High Income"))</f>
        <v>High Income</v>
      </c>
      <c r="D753">
        <f>IF(INDEX(tblCleanData[Attrition],745)="Yes",1,0)</f>
        <v>1</v>
      </c>
      <c r="E753">
        <f>IF(INDEX(tblCleanData[OverTime],745)="Yes",1,0)</f>
        <v>0</v>
      </c>
      <c r="F753" t="str">
        <f>CHOOSE(INDEX(tblCleanData[Education],745),"Below College","College","Bachelor","Master","Doctor")</f>
        <v>College</v>
      </c>
      <c r="G753" t="str">
        <f>IF(INDEX(tblCleanData[YearsAtCompany],745)&lt;=2,"0-2 Years",IF(INDEX(tblCleanData[YearsAtCompany],745)&lt;=5,"3-5 Years",IF(INDEX(tblCleanData[YearsAtCompany],745)&lt;=10,"6-10 Years","10+ Years")))</f>
        <v>0-2 Years</v>
      </c>
      <c r="H753" t="str">
        <f>IF(INDEX(tblCleanData[WorkLifeBalance],745)&lt;=2,"Elevated","Normal")</f>
        <v>Elevated</v>
      </c>
      <c r="I753">
        <f>IF(INDEX(tblCleanData[Age],745)&lt;30,30,IF(INDEX(tblCleanData[Age],745)&lt;40,20,IF(INDEX(tblCleanData[Age],745)&lt;50,10,15)))</f>
        <v>20</v>
      </c>
      <c r="J753">
        <f>IF(INDEX(tblCleanData[MonthlyIncome],745)&lt;=$B$3,25,IF(INDEX(tblCleanData[MonthlyIncome],745)&lt;=$B$4,12,5))</f>
        <v>5</v>
      </c>
      <c r="K753">
        <f>IF(INDEX(tblCleanData[OverTime],745)="Yes",25,0)</f>
        <v>0</v>
      </c>
      <c r="L753">
        <f>(5-INDEX(tblCleanData[JobSatisfaction],745))*6.25</f>
        <v>18.75</v>
      </c>
      <c r="M753">
        <f>IF(INDEX(tblCleanData[YearsAtCompany],745)&lt;=2,25,IF(INDEX(tblCleanData[YearsAtCompany],745)&lt;=5,15,IF(INDEX(tblCleanData[YearsAtCompany],745)&lt;=10,8,3)))</f>
        <v>25</v>
      </c>
      <c r="N753">
        <f t="shared" si="22"/>
        <v>69</v>
      </c>
      <c r="O753" t="str">
        <f t="shared" si="23"/>
        <v>High Risk</v>
      </c>
    </row>
    <row r="754" spans="1:15" x14ac:dyDescent="0.25">
      <c r="A754">
        <f>INDEX(tblCleanData[EmployeeNumber],746)</f>
        <v>1034</v>
      </c>
      <c r="B754" t="str">
        <f>IF(INDEX(tblCleanData[Age],746)&lt;30,"Under 30",IF(INDEX(tblCleanData[Age],746)&lt;40,"30-39",IF(INDEX(tblCleanData[Age],746)&lt;50,"40-49","50+")))</f>
        <v>50+</v>
      </c>
      <c r="C754" t="str">
        <f>IF(INDEX(tblCleanData[MonthlyIncome],746)&lt;=$B$3,"Low Income",IF(INDEX(tblCleanData[MonthlyIncome],746)&lt;=$B$4,"Medium Income","High Income"))</f>
        <v>High Income</v>
      </c>
      <c r="D754">
        <f>IF(INDEX(tblCleanData[Attrition],746)="Yes",1,0)</f>
        <v>0</v>
      </c>
      <c r="E754">
        <f>IF(INDEX(tblCleanData[OverTime],746)="Yes",1,0)</f>
        <v>1</v>
      </c>
      <c r="F754" t="str">
        <f>CHOOSE(INDEX(tblCleanData[Education],746),"Below College","College","Bachelor","Master","Doctor")</f>
        <v>Master</v>
      </c>
      <c r="G754" t="str">
        <f>IF(INDEX(tblCleanData[YearsAtCompany],746)&lt;=2,"0-2 Years",IF(INDEX(tblCleanData[YearsAtCompany],746)&lt;=5,"3-5 Years",IF(INDEX(tblCleanData[YearsAtCompany],746)&lt;=10,"6-10 Years","10+ Years")))</f>
        <v>6-10 Years</v>
      </c>
      <c r="H754" t="str">
        <f>IF(INDEX(tblCleanData[WorkLifeBalance],746)&lt;=2,"Elevated","Normal")</f>
        <v>Normal</v>
      </c>
      <c r="I754">
        <f>IF(INDEX(tblCleanData[Age],746)&lt;30,30,IF(INDEX(tblCleanData[Age],746)&lt;40,20,IF(INDEX(tblCleanData[Age],746)&lt;50,10,15)))</f>
        <v>15</v>
      </c>
      <c r="J754">
        <f>IF(INDEX(tblCleanData[MonthlyIncome],746)&lt;=$B$3,25,IF(INDEX(tblCleanData[MonthlyIncome],746)&lt;=$B$4,12,5))</f>
        <v>5</v>
      </c>
      <c r="K754">
        <f>IF(INDEX(tblCleanData[OverTime],746)="Yes",25,0)</f>
        <v>25</v>
      </c>
      <c r="L754">
        <f>(5-INDEX(tblCleanData[JobSatisfaction],746))*6.25</f>
        <v>18.75</v>
      </c>
      <c r="M754">
        <f>IF(INDEX(tblCleanData[YearsAtCompany],746)&lt;=2,25,IF(INDEX(tblCleanData[YearsAtCompany],746)&lt;=5,15,IF(INDEX(tblCleanData[YearsAtCompany],746)&lt;=10,8,3)))</f>
        <v>8</v>
      </c>
      <c r="N754">
        <f t="shared" si="22"/>
        <v>72</v>
      </c>
      <c r="O754" t="str">
        <f t="shared" si="23"/>
        <v>High Risk</v>
      </c>
    </row>
    <row r="755" spans="1:15" x14ac:dyDescent="0.25">
      <c r="A755">
        <f>INDEX(tblCleanData[EmployeeNumber],747)</f>
        <v>1035</v>
      </c>
      <c r="B755" t="str">
        <f>IF(INDEX(tblCleanData[Age],747)&lt;30,"Under 30",IF(INDEX(tblCleanData[Age],747)&lt;40,"30-39",IF(INDEX(tblCleanData[Age],747)&lt;50,"40-49","50+")))</f>
        <v>40-49</v>
      </c>
      <c r="C755" t="str">
        <f>IF(INDEX(tblCleanData[MonthlyIncome],747)&lt;=$B$3,"Low Income",IF(INDEX(tblCleanData[MonthlyIncome],747)&lt;=$B$4,"Medium Income","High Income"))</f>
        <v>High Income</v>
      </c>
      <c r="D755">
        <f>IF(INDEX(tblCleanData[Attrition],747)="Yes",1,0)</f>
        <v>0</v>
      </c>
      <c r="E755">
        <f>IF(INDEX(tblCleanData[OverTime],747)="Yes",1,0)</f>
        <v>0</v>
      </c>
      <c r="F755" t="str">
        <f>CHOOSE(INDEX(tblCleanData[Education],747),"Below College","College","Bachelor","Master","Doctor")</f>
        <v>Below College</v>
      </c>
      <c r="G755" t="str">
        <f>IF(INDEX(tblCleanData[YearsAtCompany],747)&lt;=2,"0-2 Years",IF(INDEX(tblCleanData[YearsAtCompany],747)&lt;=5,"3-5 Years",IF(INDEX(tblCleanData[YearsAtCompany],747)&lt;=10,"6-10 Years","10+ Years")))</f>
        <v>10+ Years</v>
      </c>
      <c r="H755" t="str">
        <f>IF(INDEX(tblCleanData[WorkLifeBalance],747)&lt;=2,"Elevated","Normal")</f>
        <v>Normal</v>
      </c>
      <c r="I755">
        <f>IF(INDEX(tblCleanData[Age],747)&lt;30,30,IF(INDEX(tblCleanData[Age],747)&lt;40,20,IF(INDEX(tblCleanData[Age],747)&lt;50,10,15)))</f>
        <v>10</v>
      </c>
      <c r="J755">
        <f>IF(INDEX(tblCleanData[MonthlyIncome],747)&lt;=$B$3,25,IF(INDEX(tblCleanData[MonthlyIncome],747)&lt;=$B$4,12,5))</f>
        <v>5</v>
      </c>
      <c r="K755">
        <f>IF(INDEX(tblCleanData[OverTime],747)="Yes",25,0)</f>
        <v>0</v>
      </c>
      <c r="L755">
        <f>(5-INDEX(tblCleanData[JobSatisfaction],747))*6.25</f>
        <v>12.5</v>
      </c>
      <c r="M755">
        <f>IF(INDEX(tblCleanData[YearsAtCompany],747)&lt;=2,25,IF(INDEX(tblCleanData[YearsAtCompany],747)&lt;=5,15,IF(INDEX(tblCleanData[YearsAtCompany],747)&lt;=10,8,3)))</f>
        <v>3</v>
      </c>
      <c r="N755">
        <f t="shared" si="22"/>
        <v>31</v>
      </c>
      <c r="O755" t="str">
        <f t="shared" si="23"/>
        <v>Low Risk</v>
      </c>
    </row>
    <row r="756" spans="1:15" x14ac:dyDescent="0.25">
      <c r="A756">
        <f>INDEX(tblCleanData[EmployeeNumber],748)</f>
        <v>1036</v>
      </c>
      <c r="B756" t="str">
        <f>IF(INDEX(tblCleanData[Age],748)&lt;30,"Under 30",IF(INDEX(tblCleanData[Age],748)&lt;40,"30-39",IF(INDEX(tblCleanData[Age],748)&lt;50,"40-49","50+")))</f>
        <v>30-39</v>
      </c>
      <c r="C756" t="str">
        <f>IF(INDEX(tblCleanData[MonthlyIncome],748)&lt;=$B$3,"Low Income",IF(INDEX(tblCleanData[MonthlyIncome],748)&lt;=$B$4,"Medium Income","High Income"))</f>
        <v>High Income</v>
      </c>
      <c r="D756">
        <f>IF(INDEX(tblCleanData[Attrition],748)="Yes",1,0)</f>
        <v>0</v>
      </c>
      <c r="E756">
        <f>IF(INDEX(tblCleanData[OverTime],748)="Yes",1,0)</f>
        <v>1</v>
      </c>
      <c r="F756" t="str">
        <f>CHOOSE(INDEX(tblCleanData[Education],748),"Below College","College","Bachelor","Master","Doctor")</f>
        <v>Master</v>
      </c>
      <c r="G756" t="str">
        <f>IF(INDEX(tblCleanData[YearsAtCompany],748)&lt;=2,"0-2 Years",IF(INDEX(tblCleanData[YearsAtCompany],748)&lt;=5,"3-5 Years",IF(INDEX(tblCleanData[YearsAtCompany],748)&lt;=10,"6-10 Years","10+ Years")))</f>
        <v>0-2 Years</v>
      </c>
      <c r="H756" t="str">
        <f>IF(INDEX(tblCleanData[WorkLifeBalance],748)&lt;=2,"Elevated","Normal")</f>
        <v>Normal</v>
      </c>
      <c r="I756">
        <f>IF(INDEX(tblCleanData[Age],748)&lt;30,30,IF(INDEX(tblCleanData[Age],748)&lt;40,20,IF(INDEX(tblCleanData[Age],748)&lt;50,10,15)))</f>
        <v>20</v>
      </c>
      <c r="J756">
        <f>IF(INDEX(tblCleanData[MonthlyIncome],748)&lt;=$B$3,25,IF(INDEX(tblCleanData[MonthlyIncome],748)&lt;=$B$4,12,5))</f>
        <v>5</v>
      </c>
      <c r="K756">
        <f>IF(INDEX(tblCleanData[OverTime],748)="Yes",25,0)</f>
        <v>25</v>
      </c>
      <c r="L756">
        <f>(5-INDEX(tblCleanData[JobSatisfaction],748))*6.25</f>
        <v>6.25</v>
      </c>
      <c r="M756">
        <f>IF(INDEX(tblCleanData[YearsAtCompany],748)&lt;=2,25,IF(INDEX(tblCleanData[YearsAtCompany],748)&lt;=5,15,IF(INDEX(tblCleanData[YearsAtCompany],748)&lt;=10,8,3)))</f>
        <v>25</v>
      </c>
      <c r="N756">
        <f t="shared" si="22"/>
        <v>81</v>
      </c>
      <c r="O756" t="str">
        <f t="shared" si="23"/>
        <v>High Risk</v>
      </c>
    </row>
    <row r="757" spans="1:15" x14ac:dyDescent="0.25">
      <c r="A757">
        <f>INDEX(tblCleanData[EmployeeNumber],749)</f>
        <v>1037</v>
      </c>
      <c r="B757" t="str">
        <f>IF(INDEX(tblCleanData[Age],749)&lt;30,"Under 30",IF(INDEX(tblCleanData[Age],749)&lt;40,"30-39",IF(INDEX(tblCleanData[Age],749)&lt;50,"40-49","50+")))</f>
        <v>Under 30</v>
      </c>
      <c r="C757" t="str">
        <f>IF(INDEX(tblCleanData[MonthlyIncome],749)&lt;=$B$3,"Low Income",IF(INDEX(tblCleanData[MonthlyIncome],749)&lt;=$B$4,"Medium Income","High Income"))</f>
        <v>High Income</v>
      </c>
      <c r="D757">
        <f>IF(INDEX(tblCleanData[Attrition],749)="Yes",1,0)</f>
        <v>1</v>
      </c>
      <c r="E757">
        <f>IF(INDEX(tblCleanData[OverTime],749)="Yes",1,0)</f>
        <v>0</v>
      </c>
      <c r="F757" t="str">
        <f>CHOOSE(INDEX(tblCleanData[Education],749),"Below College","College","Bachelor","Master","Doctor")</f>
        <v>College</v>
      </c>
      <c r="G757" t="str">
        <f>IF(INDEX(tblCleanData[YearsAtCompany],749)&lt;=2,"0-2 Years",IF(INDEX(tblCleanData[YearsAtCompany],749)&lt;=5,"3-5 Years",IF(INDEX(tblCleanData[YearsAtCompany],749)&lt;=10,"6-10 Years","10+ Years")))</f>
        <v>0-2 Years</v>
      </c>
      <c r="H757" t="str">
        <f>IF(INDEX(tblCleanData[WorkLifeBalance],749)&lt;=2,"Elevated","Normal")</f>
        <v>Normal</v>
      </c>
      <c r="I757">
        <f>IF(INDEX(tblCleanData[Age],749)&lt;30,30,IF(INDEX(tblCleanData[Age],749)&lt;40,20,IF(INDEX(tblCleanData[Age],749)&lt;50,10,15)))</f>
        <v>30</v>
      </c>
      <c r="J757">
        <f>IF(INDEX(tblCleanData[MonthlyIncome],749)&lt;=$B$3,25,IF(INDEX(tblCleanData[MonthlyIncome],749)&lt;=$B$4,12,5))</f>
        <v>5</v>
      </c>
      <c r="K757">
        <f>IF(INDEX(tblCleanData[OverTime],749)="Yes",25,0)</f>
        <v>0</v>
      </c>
      <c r="L757">
        <f>(5-INDEX(tblCleanData[JobSatisfaction],749))*6.25</f>
        <v>25</v>
      </c>
      <c r="M757">
        <f>IF(INDEX(tblCleanData[YearsAtCompany],749)&lt;=2,25,IF(INDEX(tblCleanData[YearsAtCompany],749)&lt;=5,15,IF(INDEX(tblCleanData[YearsAtCompany],749)&lt;=10,8,3)))</f>
        <v>25</v>
      </c>
      <c r="N757">
        <f t="shared" si="22"/>
        <v>85</v>
      </c>
      <c r="O757" t="str">
        <f t="shared" si="23"/>
        <v>High Risk</v>
      </c>
    </row>
    <row r="758" spans="1:15" x14ac:dyDescent="0.25">
      <c r="A758">
        <f>INDEX(tblCleanData[EmployeeNumber],750)</f>
        <v>1038</v>
      </c>
      <c r="B758" t="str">
        <f>IF(INDEX(tblCleanData[Age],750)&lt;30,"Under 30",IF(INDEX(tblCleanData[Age],750)&lt;40,"30-39",IF(INDEX(tblCleanData[Age],750)&lt;50,"40-49","50+")))</f>
        <v>50+</v>
      </c>
      <c r="C758" t="str">
        <f>IF(INDEX(tblCleanData[MonthlyIncome],750)&lt;=$B$3,"Low Income",IF(INDEX(tblCleanData[MonthlyIncome],750)&lt;=$B$4,"Medium Income","High Income"))</f>
        <v>High Income</v>
      </c>
      <c r="D758">
        <f>IF(INDEX(tblCleanData[Attrition],750)="Yes",1,0)</f>
        <v>1</v>
      </c>
      <c r="E758">
        <f>IF(INDEX(tblCleanData[OverTime],750)="Yes",1,0)</f>
        <v>0</v>
      </c>
      <c r="F758" t="str">
        <f>CHOOSE(INDEX(tblCleanData[Education],750),"Below College","College","Bachelor","Master","Doctor")</f>
        <v>Below College</v>
      </c>
      <c r="G758" t="str">
        <f>IF(INDEX(tblCleanData[YearsAtCompany],750)&lt;=2,"0-2 Years",IF(INDEX(tblCleanData[YearsAtCompany],750)&lt;=5,"3-5 Years",IF(INDEX(tblCleanData[YearsAtCompany],750)&lt;=10,"6-10 Years","10+ Years")))</f>
        <v>10+ Years</v>
      </c>
      <c r="H758" t="str">
        <f>IF(INDEX(tblCleanData[WorkLifeBalance],750)&lt;=2,"Elevated","Normal")</f>
        <v>Normal</v>
      </c>
      <c r="I758">
        <f>IF(INDEX(tblCleanData[Age],750)&lt;30,30,IF(INDEX(tblCleanData[Age],750)&lt;40,20,IF(INDEX(tblCleanData[Age],750)&lt;50,10,15)))</f>
        <v>15</v>
      </c>
      <c r="J758">
        <f>IF(INDEX(tblCleanData[MonthlyIncome],750)&lt;=$B$3,25,IF(INDEX(tblCleanData[MonthlyIncome],750)&lt;=$B$4,12,5))</f>
        <v>5</v>
      </c>
      <c r="K758">
        <f>IF(INDEX(tblCleanData[OverTime],750)="Yes",25,0)</f>
        <v>0</v>
      </c>
      <c r="L758">
        <f>(5-INDEX(tblCleanData[JobSatisfaction],750))*6.25</f>
        <v>6.25</v>
      </c>
      <c r="M758">
        <f>IF(INDEX(tblCleanData[YearsAtCompany],750)&lt;=2,25,IF(INDEX(tblCleanData[YearsAtCompany],750)&lt;=5,15,IF(INDEX(tblCleanData[YearsAtCompany],750)&lt;=10,8,3)))</f>
        <v>3</v>
      </c>
      <c r="N758">
        <f t="shared" si="22"/>
        <v>29</v>
      </c>
      <c r="O758" t="str">
        <f t="shared" si="23"/>
        <v>Low Risk</v>
      </c>
    </row>
    <row r="759" spans="1:15" x14ac:dyDescent="0.25">
      <c r="A759">
        <f>INDEX(tblCleanData[EmployeeNumber],751)</f>
        <v>1039</v>
      </c>
      <c r="B759" t="str">
        <f>IF(INDEX(tblCleanData[Age],751)&lt;30,"Under 30",IF(INDEX(tblCleanData[Age],751)&lt;40,"30-39",IF(INDEX(tblCleanData[Age],751)&lt;50,"40-49","50+")))</f>
        <v>40-49</v>
      </c>
      <c r="C759" t="str">
        <f>IF(INDEX(tblCleanData[MonthlyIncome],751)&lt;=$B$3,"Low Income",IF(INDEX(tblCleanData[MonthlyIncome],751)&lt;=$B$4,"Medium Income","High Income"))</f>
        <v>High Income</v>
      </c>
      <c r="D759">
        <f>IF(INDEX(tblCleanData[Attrition],751)="Yes",1,0)</f>
        <v>0</v>
      </c>
      <c r="E759">
        <f>IF(INDEX(tblCleanData[OverTime],751)="Yes",1,0)</f>
        <v>1</v>
      </c>
      <c r="F759" t="str">
        <f>CHOOSE(INDEX(tblCleanData[Education],751),"Below College","College","Bachelor","Master","Doctor")</f>
        <v>Bachelor</v>
      </c>
      <c r="G759" t="str">
        <f>IF(INDEX(tblCleanData[YearsAtCompany],751)&lt;=2,"0-2 Years",IF(INDEX(tblCleanData[YearsAtCompany],751)&lt;=5,"3-5 Years",IF(INDEX(tblCleanData[YearsAtCompany],751)&lt;=10,"6-10 Years","10+ Years")))</f>
        <v>10+ Years</v>
      </c>
      <c r="H759" t="str">
        <f>IF(INDEX(tblCleanData[WorkLifeBalance],751)&lt;=2,"Elevated","Normal")</f>
        <v>Normal</v>
      </c>
      <c r="I759">
        <f>IF(INDEX(tblCleanData[Age],751)&lt;30,30,IF(INDEX(tblCleanData[Age],751)&lt;40,20,IF(INDEX(tblCleanData[Age],751)&lt;50,10,15)))</f>
        <v>10</v>
      </c>
      <c r="J759">
        <f>IF(INDEX(tblCleanData[MonthlyIncome],751)&lt;=$B$3,25,IF(INDEX(tblCleanData[MonthlyIncome],751)&lt;=$B$4,12,5))</f>
        <v>5</v>
      </c>
      <c r="K759">
        <f>IF(INDEX(tblCleanData[OverTime],751)="Yes",25,0)</f>
        <v>25</v>
      </c>
      <c r="L759">
        <f>(5-INDEX(tblCleanData[JobSatisfaction],751))*6.25</f>
        <v>6.25</v>
      </c>
      <c r="M759">
        <f>IF(INDEX(tblCleanData[YearsAtCompany],751)&lt;=2,25,IF(INDEX(tblCleanData[YearsAtCompany],751)&lt;=5,15,IF(INDEX(tblCleanData[YearsAtCompany],751)&lt;=10,8,3)))</f>
        <v>3</v>
      </c>
      <c r="N759">
        <f t="shared" si="22"/>
        <v>49</v>
      </c>
      <c r="O759" t="str">
        <f t="shared" si="23"/>
        <v>Medium Risk</v>
      </c>
    </row>
    <row r="760" spans="1:15" x14ac:dyDescent="0.25">
      <c r="A760">
        <f>INDEX(tblCleanData[EmployeeNumber],752)</f>
        <v>1040</v>
      </c>
      <c r="B760" t="str">
        <f>IF(INDEX(tblCleanData[Age],752)&lt;30,"Under 30",IF(INDEX(tblCleanData[Age],752)&lt;40,"30-39",IF(INDEX(tblCleanData[Age],752)&lt;50,"40-49","50+")))</f>
        <v>50+</v>
      </c>
      <c r="C760" t="str">
        <f>IF(INDEX(tblCleanData[MonthlyIncome],752)&lt;=$B$3,"Low Income",IF(INDEX(tblCleanData[MonthlyIncome],752)&lt;=$B$4,"Medium Income","High Income"))</f>
        <v>High Income</v>
      </c>
      <c r="D760">
        <f>IF(INDEX(tblCleanData[Attrition],752)="Yes",1,0)</f>
        <v>0</v>
      </c>
      <c r="E760">
        <f>IF(INDEX(tblCleanData[OverTime],752)="Yes",1,0)</f>
        <v>0</v>
      </c>
      <c r="F760" t="str">
        <f>CHOOSE(INDEX(tblCleanData[Education],752),"Below College","College","Bachelor","Master","Doctor")</f>
        <v>Bachelor</v>
      </c>
      <c r="G760" t="str">
        <f>IF(INDEX(tblCleanData[YearsAtCompany],752)&lt;=2,"0-2 Years",IF(INDEX(tblCleanData[YearsAtCompany],752)&lt;=5,"3-5 Years",IF(INDEX(tblCleanData[YearsAtCompany],752)&lt;=10,"6-10 Years","10+ Years")))</f>
        <v>10+ Years</v>
      </c>
      <c r="H760" t="str">
        <f>IF(INDEX(tblCleanData[WorkLifeBalance],752)&lt;=2,"Elevated","Normal")</f>
        <v>Normal</v>
      </c>
      <c r="I760">
        <f>IF(INDEX(tblCleanData[Age],752)&lt;30,30,IF(INDEX(tblCleanData[Age],752)&lt;40,20,IF(INDEX(tblCleanData[Age],752)&lt;50,10,15)))</f>
        <v>15</v>
      </c>
      <c r="J760">
        <f>IF(INDEX(tblCleanData[MonthlyIncome],752)&lt;=$B$3,25,IF(INDEX(tblCleanData[MonthlyIncome],752)&lt;=$B$4,12,5))</f>
        <v>5</v>
      </c>
      <c r="K760">
        <f>IF(INDEX(tblCleanData[OverTime],752)="Yes",25,0)</f>
        <v>0</v>
      </c>
      <c r="L760">
        <f>(5-INDEX(tblCleanData[JobSatisfaction],752))*6.25</f>
        <v>12.5</v>
      </c>
      <c r="M760">
        <f>IF(INDEX(tblCleanData[YearsAtCompany],752)&lt;=2,25,IF(INDEX(tblCleanData[YearsAtCompany],752)&lt;=5,15,IF(INDEX(tblCleanData[YearsAtCompany],752)&lt;=10,8,3)))</f>
        <v>3</v>
      </c>
      <c r="N760">
        <f t="shared" si="22"/>
        <v>36</v>
      </c>
      <c r="O760" t="str">
        <f t="shared" si="23"/>
        <v>Medium Risk</v>
      </c>
    </row>
    <row r="761" spans="1:15" x14ac:dyDescent="0.25">
      <c r="A761">
        <f>INDEX(tblCleanData[EmployeeNumber],753)</f>
        <v>1042</v>
      </c>
      <c r="B761" t="str">
        <f>IF(INDEX(tblCleanData[Age],753)&lt;30,"Under 30",IF(INDEX(tblCleanData[Age],753)&lt;40,"30-39",IF(INDEX(tblCleanData[Age],753)&lt;50,"40-49","50+")))</f>
        <v>30-39</v>
      </c>
      <c r="C761" t="str">
        <f>IF(INDEX(tblCleanData[MonthlyIncome],753)&lt;=$B$3,"Low Income",IF(INDEX(tblCleanData[MonthlyIncome],753)&lt;=$B$4,"Medium Income","High Income"))</f>
        <v>High Income</v>
      </c>
      <c r="D761">
        <f>IF(INDEX(tblCleanData[Attrition],753)="Yes",1,0)</f>
        <v>1</v>
      </c>
      <c r="E761">
        <f>IF(INDEX(tblCleanData[OverTime],753)="Yes",1,0)</f>
        <v>0</v>
      </c>
      <c r="F761" t="str">
        <f>CHOOSE(INDEX(tblCleanData[Education],753),"Below College","College","Bachelor","Master","Doctor")</f>
        <v>Master</v>
      </c>
      <c r="G761" t="str">
        <f>IF(INDEX(tblCleanData[YearsAtCompany],753)&lt;=2,"0-2 Years",IF(INDEX(tblCleanData[YearsAtCompany],753)&lt;=5,"3-5 Years",IF(INDEX(tblCleanData[YearsAtCompany],753)&lt;=10,"6-10 Years","10+ Years")))</f>
        <v>10+ Years</v>
      </c>
      <c r="H761" t="str">
        <f>IF(INDEX(tblCleanData[WorkLifeBalance],753)&lt;=2,"Elevated","Normal")</f>
        <v>Normal</v>
      </c>
      <c r="I761">
        <f>IF(INDEX(tblCleanData[Age],753)&lt;30,30,IF(INDEX(tblCleanData[Age],753)&lt;40,20,IF(INDEX(tblCleanData[Age],753)&lt;50,10,15)))</f>
        <v>20</v>
      </c>
      <c r="J761">
        <f>IF(INDEX(tblCleanData[MonthlyIncome],753)&lt;=$B$3,25,IF(INDEX(tblCleanData[MonthlyIncome],753)&lt;=$B$4,12,5))</f>
        <v>5</v>
      </c>
      <c r="K761">
        <f>IF(INDEX(tblCleanData[OverTime],753)="Yes",25,0)</f>
        <v>0</v>
      </c>
      <c r="L761">
        <f>(5-INDEX(tblCleanData[JobSatisfaction],753))*6.25</f>
        <v>25</v>
      </c>
      <c r="M761">
        <f>IF(INDEX(tblCleanData[YearsAtCompany],753)&lt;=2,25,IF(INDEX(tblCleanData[YearsAtCompany],753)&lt;=5,15,IF(INDEX(tblCleanData[YearsAtCompany],753)&lt;=10,8,3)))</f>
        <v>3</v>
      </c>
      <c r="N761">
        <f t="shared" si="22"/>
        <v>53</v>
      </c>
      <c r="O761" t="str">
        <f t="shared" si="23"/>
        <v>Medium Risk</v>
      </c>
    </row>
    <row r="762" spans="1:15" x14ac:dyDescent="0.25">
      <c r="A762">
        <f>INDEX(tblCleanData[EmployeeNumber],754)</f>
        <v>1043</v>
      </c>
      <c r="B762" t="str">
        <f>IF(INDEX(tblCleanData[Age],754)&lt;30,"Under 30",IF(INDEX(tblCleanData[Age],754)&lt;40,"30-39",IF(INDEX(tblCleanData[Age],754)&lt;50,"40-49","50+")))</f>
        <v>30-39</v>
      </c>
      <c r="C762" t="str">
        <f>IF(INDEX(tblCleanData[MonthlyIncome],754)&lt;=$B$3,"Low Income",IF(INDEX(tblCleanData[MonthlyIncome],754)&lt;=$B$4,"Medium Income","High Income"))</f>
        <v>High Income</v>
      </c>
      <c r="D762">
        <f>IF(INDEX(tblCleanData[Attrition],754)="Yes",1,0)</f>
        <v>0</v>
      </c>
      <c r="E762">
        <f>IF(INDEX(tblCleanData[OverTime],754)="Yes",1,0)</f>
        <v>1</v>
      </c>
      <c r="F762" t="str">
        <f>CHOOSE(INDEX(tblCleanData[Education],754),"Below College","College","Bachelor","Master","Doctor")</f>
        <v>Bachelor</v>
      </c>
      <c r="G762" t="str">
        <f>IF(INDEX(tblCleanData[YearsAtCompany],754)&lt;=2,"0-2 Years",IF(INDEX(tblCleanData[YearsAtCompany],754)&lt;=5,"3-5 Years",IF(INDEX(tblCleanData[YearsAtCompany],754)&lt;=10,"6-10 Years","10+ Years")))</f>
        <v>10+ Years</v>
      </c>
      <c r="H762" t="str">
        <f>IF(INDEX(tblCleanData[WorkLifeBalance],754)&lt;=2,"Elevated","Normal")</f>
        <v>Normal</v>
      </c>
      <c r="I762">
        <f>IF(INDEX(tblCleanData[Age],754)&lt;30,30,IF(INDEX(tblCleanData[Age],754)&lt;40,20,IF(INDEX(tblCleanData[Age],754)&lt;50,10,15)))</f>
        <v>20</v>
      </c>
      <c r="J762">
        <f>IF(INDEX(tblCleanData[MonthlyIncome],754)&lt;=$B$3,25,IF(INDEX(tblCleanData[MonthlyIncome],754)&lt;=$B$4,12,5))</f>
        <v>5</v>
      </c>
      <c r="K762">
        <f>IF(INDEX(tblCleanData[OverTime],754)="Yes",25,0)</f>
        <v>25</v>
      </c>
      <c r="L762">
        <f>(5-INDEX(tblCleanData[JobSatisfaction],754))*6.25</f>
        <v>25</v>
      </c>
      <c r="M762">
        <f>IF(INDEX(tblCleanData[YearsAtCompany],754)&lt;=2,25,IF(INDEX(tblCleanData[YearsAtCompany],754)&lt;=5,15,IF(INDEX(tblCleanData[YearsAtCompany],754)&lt;=10,8,3)))</f>
        <v>3</v>
      </c>
      <c r="N762">
        <f t="shared" si="22"/>
        <v>78</v>
      </c>
      <c r="O762" t="str">
        <f t="shared" si="23"/>
        <v>High Risk</v>
      </c>
    </row>
    <row r="763" spans="1:15" x14ac:dyDescent="0.25">
      <c r="A763">
        <f>INDEX(tblCleanData[EmployeeNumber],755)</f>
        <v>1044</v>
      </c>
      <c r="B763" t="str">
        <f>IF(INDEX(tblCleanData[Age],755)&lt;30,"Under 30",IF(INDEX(tblCleanData[Age],755)&lt;40,"30-39",IF(INDEX(tblCleanData[Age],755)&lt;50,"40-49","50+")))</f>
        <v>30-39</v>
      </c>
      <c r="C763" t="str">
        <f>IF(INDEX(tblCleanData[MonthlyIncome],755)&lt;=$B$3,"Low Income",IF(INDEX(tblCleanData[MonthlyIncome],755)&lt;=$B$4,"Medium Income","High Income"))</f>
        <v>High Income</v>
      </c>
      <c r="D763">
        <f>IF(INDEX(tblCleanData[Attrition],755)="Yes",1,0)</f>
        <v>0</v>
      </c>
      <c r="E763">
        <f>IF(INDEX(tblCleanData[OverTime],755)="Yes",1,0)</f>
        <v>0</v>
      </c>
      <c r="F763" t="str">
        <f>CHOOSE(INDEX(tblCleanData[Education],755),"Below College","College","Bachelor","Master","Doctor")</f>
        <v>Below College</v>
      </c>
      <c r="G763" t="str">
        <f>IF(INDEX(tblCleanData[YearsAtCompany],755)&lt;=2,"0-2 Years",IF(INDEX(tblCleanData[YearsAtCompany],755)&lt;=5,"3-5 Years",IF(INDEX(tblCleanData[YearsAtCompany],755)&lt;=10,"6-10 Years","10+ Years")))</f>
        <v>0-2 Years</v>
      </c>
      <c r="H763" t="str">
        <f>IF(INDEX(tblCleanData[WorkLifeBalance],755)&lt;=2,"Elevated","Normal")</f>
        <v>Elevated</v>
      </c>
      <c r="I763">
        <f>IF(INDEX(tblCleanData[Age],755)&lt;30,30,IF(INDEX(tblCleanData[Age],755)&lt;40,20,IF(INDEX(tblCleanData[Age],755)&lt;50,10,15)))</f>
        <v>20</v>
      </c>
      <c r="J763">
        <f>IF(INDEX(tblCleanData[MonthlyIncome],755)&lt;=$B$3,25,IF(INDEX(tblCleanData[MonthlyIncome],755)&lt;=$B$4,12,5))</f>
        <v>5</v>
      </c>
      <c r="K763">
        <f>IF(INDEX(tblCleanData[OverTime],755)="Yes",25,0)</f>
        <v>0</v>
      </c>
      <c r="L763">
        <f>(5-INDEX(tblCleanData[JobSatisfaction],755))*6.25</f>
        <v>6.25</v>
      </c>
      <c r="M763">
        <f>IF(INDEX(tblCleanData[YearsAtCompany],755)&lt;=2,25,IF(INDEX(tblCleanData[YearsAtCompany],755)&lt;=5,15,IF(INDEX(tblCleanData[YearsAtCompany],755)&lt;=10,8,3)))</f>
        <v>25</v>
      </c>
      <c r="N763">
        <f t="shared" si="22"/>
        <v>56</v>
      </c>
      <c r="O763" t="str">
        <f t="shared" si="23"/>
        <v>High Risk</v>
      </c>
    </row>
    <row r="764" spans="1:15" x14ac:dyDescent="0.25">
      <c r="A764">
        <f>INDEX(tblCleanData[EmployeeNumber],756)</f>
        <v>1045</v>
      </c>
      <c r="B764" t="str">
        <f>IF(INDEX(tblCleanData[Age],756)&lt;30,"Under 30",IF(INDEX(tblCleanData[Age],756)&lt;40,"30-39",IF(INDEX(tblCleanData[Age],756)&lt;50,"40-49","50+")))</f>
        <v>40-49</v>
      </c>
      <c r="C764" t="str">
        <f>IF(INDEX(tblCleanData[MonthlyIncome],756)&lt;=$B$3,"Low Income",IF(INDEX(tblCleanData[MonthlyIncome],756)&lt;=$B$4,"Medium Income","High Income"))</f>
        <v>High Income</v>
      </c>
      <c r="D764">
        <f>IF(INDEX(tblCleanData[Attrition],756)="Yes",1,0)</f>
        <v>0</v>
      </c>
      <c r="E764">
        <f>IF(INDEX(tblCleanData[OverTime],756)="Yes",1,0)</f>
        <v>0</v>
      </c>
      <c r="F764" t="str">
        <f>CHOOSE(INDEX(tblCleanData[Education],756),"Below College","College","Bachelor","Master","Doctor")</f>
        <v>College</v>
      </c>
      <c r="G764" t="str">
        <f>IF(INDEX(tblCleanData[YearsAtCompany],756)&lt;=2,"0-2 Years",IF(INDEX(tblCleanData[YearsAtCompany],756)&lt;=5,"3-5 Years",IF(INDEX(tblCleanData[YearsAtCompany],756)&lt;=10,"6-10 Years","10+ Years")))</f>
        <v>6-10 Years</v>
      </c>
      <c r="H764" t="str">
        <f>IF(INDEX(tblCleanData[WorkLifeBalance],756)&lt;=2,"Elevated","Normal")</f>
        <v>Normal</v>
      </c>
      <c r="I764">
        <f>IF(INDEX(tblCleanData[Age],756)&lt;30,30,IF(INDEX(tblCleanData[Age],756)&lt;40,20,IF(INDEX(tblCleanData[Age],756)&lt;50,10,15)))</f>
        <v>10</v>
      </c>
      <c r="J764">
        <f>IF(INDEX(tblCleanData[MonthlyIncome],756)&lt;=$B$3,25,IF(INDEX(tblCleanData[MonthlyIncome],756)&lt;=$B$4,12,5))</f>
        <v>5</v>
      </c>
      <c r="K764">
        <f>IF(INDEX(tblCleanData[OverTime],756)="Yes",25,0)</f>
        <v>0</v>
      </c>
      <c r="L764">
        <f>(5-INDEX(tblCleanData[JobSatisfaction],756))*6.25</f>
        <v>6.25</v>
      </c>
      <c r="M764">
        <f>IF(INDEX(tblCleanData[YearsAtCompany],756)&lt;=2,25,IF(INDEX(tblCleanData[YearsAtCompany],756)&lt;=5,15,IF(INDEX(tblCleanData[YearsAtCompany],756)&lt;=10,8,3)))</f>
        <v>8</v>
      </c>
      <c r="N764">
        <f t="shared" si="22"/>
        <v>29</v>
      </c>
      <c r="O764" t="str">
        <f t="shared" si="23"/>
        <v>Low Risk</v>
      </c>
    </row>
    <row r="765" spans="1:15" x14ac:dyDescent="0.25">
      <c r="A765">
        <f>INDEX(tblCleanData[EmployeeNumber],757)</f>
        <v>1046</v>
      </c>
      <c r="B765" t="str">
        <f>IF(INDEX(tblCleanData[Age],757)&lt;30,"Under 30",IF(INDEX(tblCleanData[Age],757)&lt;40,"30-39",IF(INDEX(tblCleanData[Age],757)&lt;50,"40-49","50+")))</f>
        <v>30-39</v>
      </c>
      <c r="C765" t="str">
        <f>IF(INDEX(tblCleanData[MonthlyIncome],757)&lt;=$B$3,"Low Income",IF(INDEX(tblCleanData[MonthlyIncome],757)&lt;=$B$4,"Medium Income","High Income"))</f>
        <v>High Income</v>
      </c>
      <c r="D765">
        <f>IF(INDEX(tblCleanData[Attrition],757)="Yes",1,0)</f>
        <v>0</v>
      </c>
      <c r="E765">
        <f>IF(INDEX(tblCleanData[OverTime],757)="Yes",1,0)</f>
        <v>0</v>
      </c>
      <c r="F765" t="str">
        <f>CHOOSE(INDEX(tblCleanData[Education],757),"Below College","College","Bachelor","Master","Doctor")</f>
        <v>Master</v>
      </c>
      <c r="G765" t="str">
        <f>IF(INDEX(tblCleanData[YearsAtCompany],757)&lt;=2,"0-2 Years",IF(INDEX(tblCleanData[YearsAtCompany],757)&lt;=5,"3-5 Years",IF(INDEX(tblCleanData[YearsAtCompany],757)&lt;=10,"6-10 Years","10+ Years")))</f>
        <v>6-10 Years</v>
      </c>
      <c r="H765" t="str">
        <f>IF(INDEX(tblCleanData[WorkLifeBalance],757)&lt;=2,"Elevated","Normal")</f>
        <v>Normal</v>
      </c>
      <c r="I765">
        <f>IF(INDEX(tblCleanData[Age],757)&lt;30,30,IF(INDEX(tblCleanData[Age],757)&lt;40,20,IF(INDEX(tblCleanData[Age],757)&lt;50,10,15)))</f>
        <v>20</v>
      </c>
      <c r="J765">
        <f>IF(INDEX(tblCleanData[MonthlyIncome],757)&lt;=$B$3,25,IF(INDEX(tblCleanData[MonthlyIncome],757)&lt;=$B$4,12,5))</f>
        <v>5</v>
      </c>
      <c r="K765">
        <f>IF(INDEX(tblCleanData[OverTime],757)="Yes",25,0)</f>
        <v>0</v>
      </c>
      <c r="L765">
        <f>(5-INDEX(tblCleanData[JobSatisfaction],757))*6.25</f>
        <v>12.5</v>
      </c>
      <c r="M765">
        <f>IF(INDEX(tblCleanData[YearsAtCompany],757)&lt;=2,25,IF(INDEX(tblCleanData[YearsAtCompany],757)&lt;=5,15,IF(INDEX(tblCleanData[YearsAtCompany],757)&lt;=10,8,3)))</f>
        <v>8</v>
      </c>
      <c r="N765">
        <f t="shared" si="22"/>
        <v>46</v>
      </c>
      <c r="O765" t="str">
        <f t="shared" si="23"/>
        <v>Medium Risk</v>
      </c>
    </row>
    <row r="766" spans="1:15" x14ac:dyDescent="0.25">
      <c r="A766">
        <f>INDEX(tblCleanData[EmployeeNumber],758)</f>
        <v>1047</v>
      </c>
      <c r="B766" t="str">
        <f>IF(INDEX(tblCleanData[Age],758)&lt;30,"Under 30",IF(INDEX(tblCleanData[Age],758)&lt;40,"30-39",IF(INDEX(tblCleanData[Age],758)&lt;50,"40-49","50+")))</f>
        <v>30-39</v>
      </c>
      <c r="C766" t="str">
        <f>IF(INDEX(tblCleanData[MonthlyIncome],758)&lt;=$B$3,"Low Income",IF(INDEX(tblCleanData[MonthlyIncome],758)&lt;=$B$4,"Medium Income","High Income"))</f>
        <v>High Income</v>
      </c>
      <c r="D766">
        <f>IF(INDEX(tblCleanData[Attrition],758)="Yes",1,0)</f>
        <v>0</v>
      </c>
      <c r="E766">
        <f>IF(INDEX(tblCleanData[OverTime],758)="Yes",1,0)</f>
        <v>0</v>
      </c>
      <c r="F766" t="str">
        <f>CHOOSE(INDEX(tblCleanData[Education],758),"Below College","College","Bachelor","Master","Doctor")</f>
        <v>Master</v>
      </c>
      <c r="G766" t="str">
        <f>IF(INDEX(tblCleanData[YearsAtCompany],758)&lt;=2,"0-2 Years",IF(INDEX(tblCleanData[YearsAtCompany],758)&lt;=5,"3-5 Years",IF(INDEX(tblCleanData[YearsAtCompany],758)&lt;=10,"6-10 Years","10+ Years")))</f>
        <v>10+ Years</v>
      </c>
      <c r="H766" t="str">
        <f>IF(INDEX(tblCleanData[WorkLifeBalance],758)&lt;=2,"Elevated","Normal")</f>
        <v>Elevated</v>
      </c>
      <c r="I766">
        <f>IF(INDEX(tblCleanData[Age],758)&lt;30,30,IF(INDEX(tblCleanData[Age],758)&lt;40,20,IF(INDEX(tblCleanData[Age],758)&lt;50,10,15)))</f>
        <v>20</v>
      </c>
      <c r="J766">
        <f>IF(INDEX(tblCleanData[MonthlyIncome],758)&lt;=$B$3,25,IF(INDEX(tblCleanData[MonthlyIncome],758)&lt;=$B$4,12,5))</f>
        <v>5</v>
      </c>
      <c r="K766">
        <f>IF(INDEX(tblCleanData[OverTime],758)="Yes",25,0)</f>
        <v>0</v>
      </c>
      <c r="L766">
        <f>(5-INDEX(tblCleanData[JobSatisfaction],758))*6.25</f>
        <v>6.25</v>
      </c>
      <c r="M766">
        <f>IF(INDEX(tblCleanData[YearsAtCompany],758)&lt;=2,25,IF(INDEX(tblCleanData[YearsAtCompany],758)&lt;=5,15,IF(INDEX(tblCleanData[YearsAtCompany],758)&lt;=10,8,3)))</f>
        <v>3</v>
      </c>
      <c r="N766">
        <f t="shared" si="22"/>
        <v>34</v>
      </c>
      <c r="O766" t="str">
        <f t="shared" si="23"/>
        <v>Low Risk</v>
      </c>
    </row>
    <row r="767" spans="1:15" x14ac:dyDescent="0.25">
      <c r="A767">
        <f>INDEX(tblCleanData[EmployeeNumber],759)</f>
        <v>1048</v>
      </c>
      <c r="B767" t="str">
        <f>IF(INDEX(tblCleanData[Age],759)&lt;30,"Under 30",IF(INDEX(tblCleanData[Age],759)&lt;40,"30-39",IF(INDEX(tblCleanData[Age],759)&lt;50,"40-49","50+")))</f>
        <v>50+</v>
      </c>
      <c r="C767" t="str">
        <f>IF(INDEX(tblCleanData[MonthlyIncome],759)&lt;=$B$3,"Low Income",IF(INDEX(tblCleanData[MonthlyIncome],759)&lt;=$B$4,"Medium Income","High Income"))</f>
        <v>High Income</v>
      </c>
      <c r="D767">
        <f>IF(INDEX(tblCleanData[Attrition],759)="Yes",1,0)</f>
        <v>0</v>
      </c>
      <c r="E767">
        <f>IF(INDEX(tblCleanData[OverTime],759)="Yes",1,0)</f>
        <v>1</v>
      </c>
      <c r="F767" t="str">
        <f>CHOOSE(INDEX(tblCleanData[Education],759),"Below College","College","Bachelor","Master","Doctor")</f>
        <v>College</v>
      </c>
      <c r="G767" t="str">
        <f>IF(INDEX(tblCleanData[YearsAtCompany],759)&lt;=2,"0-2 Years",IF(INDEX(tblCleanData[YearsAtCompany],759)&lt;=5,"3-5 Years",IF(INDEX(tblCleanData[YearsAtCompany],759)&lt;=10,"6-10 Years","10+ Years")))</f>
        <v>6-10 Years</v>
      </c>
      <c r="H767" t="str">
        <f>IF(INDEX(tblCleanData[WorkLifeBalance],759)&lt;=2,"Elevated","Normal")</f>
        <v>Elevated</v>
      </c>
      <c r="I767">
        <f>IF(INDEX(tblCleanData[Age],759)&lt;30,30,IF(INDEX(tblCleanData[Age],759)&lt;40,20,IF(INDEX(tblCleanData[Age],759)&lt;50,10,15)))</f>
        <v>15</v>
      </c>
      <c r="J767">
        <f>IF(INDEX(tblCleanData[MonthlyIncome],759)&lt;=$B$3,25,IF(INDEX(tblCleanData[MonthlyIncome],759)&lt;=$B$4,12,5))</f>
        <v>5</v>
      </c>
      <c r="K767">
        <f>IF(INDEX(tblCleanData[OverTime],759)="Yes",25,0)</f>
        <v>25</v>
      </c>
      <c r="L767">
        <f>(5-INDEX(tblCleanData[JobSatisfaction],759))*6.25</f>
        <v>6.25</v>
      </c>
      <c r="M767">
        <f>IF(INDEX(tblCleanData[YearsAtCompany],759)&lt;=2,25,IF(INDEX(tblCleanData[YearsAtCompany],759)&lt;=5,15,IF(INDEX(tblCleanData[YearsAtCompany],759)&lt;=10,8,3)))</f>
        <v>8</v>
      </c>
      <c r="N767">
        <f t="shared" si="22"/>
        <v>59</v>
      </c>
      <c r="O767" t="str">
        <f t="shared" si="23"/>
        <v>High Risk</v>
      </c>
    </row>
    <row r="768" spans="1:15" x14ac:dyDescent="0.25">
      <c r="A768">
        <f>INDEX(tblCleanData[EmployeeNumber],760)</f>
        <v>1049</v>
      </c>
      <c r="B768" t="str">
        <f>IF(INDEX(tblCleanData[Age],760)&lt;30,"Under 30",IF(INDEX(tblCleanData[Age],760)&lt;40,"30-39",IF(INDEX(tblCleanData[Age],760)&lt;50,"40-49","50+")))</f>
        <v>40-49</v>
      </c>
      <c r="C768" t="str">
        <f>IF(INDEX(tblCleanData[MonthlyIncome],760)&lt;=$B$3,"Low Income",IF(INDEX(tblCleanData[MonthlyIncome],760)&lt;=$B$4,"Medium Income","High Income"))</f>
        <v>High Income</v>
      </c>
      <c r="D768">
        <f>IF(INDEX(tblCleanData[Attrition],760)="Yes",1,0)</f>
        <v>0</v>
      </c>
      <c r="E768">
        <f>IF(INDEX(tblCleanData[OverTime],760)="Yes",1,0)</f>
        <v>0</v>
      </c>
      <c r="F768" t="str">
        <f>CHOOSE(INDEX(tblCleanData[Education],760),"Below College","College","Bachelor","Master","Doctor")</f>
        <v>Master</v>
      </c>
      <c r="G768" t="str">
        <f>IF(INDEX(tblCleanData[YearsAtCompany],760)&lt;=2,"0-2 Years",IF(INDEX(tblCleanData[YearsAtCompany],760)&lt;=5,"3-5 Years",IF(INDEX(tblCleanData[YearsAtCompany],760)&lt;=10,"6-10 Years","10+ Years")))</f>
        <v>6-10 Years</v>
      </c>
      <c r="H768" t="str">
        <f>IF(INDEX(tblCleanData[WorkLifeBalance],760)&lt;=2,"Elevated","Normal")</f>
        <v>Normal</v>
      </c>
      <c r="I768">
        <f>IF(INDEX(tblCleanData[Age],760)&lt;30,30,IF(INDEX(tblCleanData[Age],760)&lt;40,20,IF(INDEX(tblCleanData[Age],760)&lt;50,10,15)))</f>
        <v>10</v>
      </c>
      <c r="J768">
        <f>IF(INDEX(tblCleanData[MonthlyIncome],760)&lt;=$B$3,25,IF(INDEX(tblCleanData[MonthlyIncome],760)&lt;=$B$4,12,5))</f>
        <v>5</v>
      </c>
      <c r="K768">
        <f>IF(INDEX(tblCleanData[OverTime],760)="Yes",25,0)</f>
        <v>0</v>
      </c>
      <c r="L768">
        <f>(5-INDEX(tblCleanData[JobSatisfaction],760))*6.25</f>
        <v>18.75</v>
      </c>
      <c r="M768">
        <f>IF(INDEX(tblCleanData[YearsAtCompany],760)&lt;=2,25,IF(INDEX(tblCleanData[YearsAtCompany],760)&lt;=5,15,IF(INDEX(tblCleanData[YearsAtCompany],760)&lt;=10,8,3)))</f>
        <v>8</v>
      </c>
      <c r="N768">
        <f t="shared" si="22"/>
        <v>42</v>
      </c>
      <c r="O768" t="str">
        <f t="shared" si="23"/>
        <v>Medium Risk</v>
      </c>
    </row>
    <row r="769" spans="1:15" x14ac:dyDescent="0.25">
      <c r="A769">
        <f>INDEX(tblCleanData[EmployeeNumber],761)</f>
        <v>1050</v>
      </c>
      <c r="B769" t="str">
        <f>IF(INDEX(tblCleanData[Age],761)&lt;30,"Under 30",IF(INDEX(tblCleanData[Age],761)&lt;40,"30-39",IF(INDEX(tblCleanData[Age],761)&lt;50,"40-49","50+")))</f>
        <v>50+</v>
      </c>
      <c r="C769" t="str">
        <f>IF(INDEX(tblCleanData[MonthlyIncome],761)&lt;=$B$3,"Low Income",IF(INDEX(tblCleanData[MonthlyIncome],761)&lt;=$B$4,"Medium Income","High Income"))</f>
        <v>High Income</v>
      </c>
      <c r="D769">
        <f>IF(INDEX(tblCleanData[Attrition],761)="Yes",1,0)</f>
        <v>0</v>
      </c>
      <c r="E769">
        <f>IF(INDEX(tblCleanData[OverTime],761)="Yes",1,0)</f>
        <v>0</v>
      </c>
      <c r="F769" t="str">
        <f>CHOOSE(INDEX(tblCleanData[Education],761),"Below College","College","Bachelor","Master","Doctor")</f>
        <v>Bachelor</v>
      </c>
      <c r="G769" t="str">
        <f>IF(INDEX(tblCleanData[YearsAtCompany],761)&lt;=2,"0-2 Years",IF(INDEX(tblCleanData[YearsAtCompany],761)&lt;=5,"3-5 Years",IF(INDEX(tblCleanData[YearsAtCompany],761)&lt;=10,"6-10 Years","10+ Years")))</f>
        <v>10+ Years</v>
      </c>
      <c r="H769" t="str">
        <f>IF(INDEX(tblCleanData[WorkLifeBalance],761)&lt;=2,"Elevated","Normal")</f>
        <v>Normal</v>
      </c>
      <c r="I769">
        <f>IF(INDEX(tblCleanData[Age],761)&lt;30,30,IF(INDEX(tblCleanData[Age],761)&lt;40,20,IF(INDEX(tblCleanData[Age],761)&lt;50,10,15)))</f>
        <v>15</v>
      </c>
      <c r="J769">
        <f>IF(INDEX(tblCleanData[MonthlyIncome],761)&lt;=$B$3,25,IF(INDEX(tblCleanData[MonthlyIncome],761)&lt;=$B$4,12,5))</f>
        <v>5</v>
      </c>
      <c r="K769">
        <f>IF(INDEX(tblCleanData[OverTime],761)="Yes",25,0)</f>
        <v>0</v>
      </c>
      <c r="L769">
        <f>(5-INDEX(tblCleanData[JobSatisfaction],761))*6.25</f>
        <v>18.75</v>
      </c>
      <c r="M769">
        <f>IF(INDEX(tblCleanData[YearsAtCompany],761)&lt;=2,25,IF(INDEX(tblCleanData[YearsAtCompany],761)&lt;=5,15,IF(INDEX(tblCleanData[YearsAtCompany],761)&lt;=10,8,3)))</f>
        <v>3</v>
      </c>
      <c r="N769">
        <f t="shared" si="22"/>
        <v>42</v>
      </c>
      <c r="O769" t="str">
        <f t="shared" si="23"/>
        <v>Medium Risk</v>
      </c>
    </row>
    <row r="770" spans="1:15" x14ac:dyDescent="0.25">
      <c r="A770">
        <f>INDEX(tblCleanData[EmployeeNumber],762)</f>
        <v>1052</v>
      </c>
      <c r="B770" t="str">
        <f>IF(INDEX(tblCleanData[Age],762)&lt;30,"Under 30",IF(INDEX(tblCleanData[Age],762)&lt;40,"30-39",IF(INDEX(tblCleanData[Age],762)&lt;50,"40-49","50+")))</f>
        <v>30-39</v>
      </c>
      <c r="C770" t="str">
        <f>IF(INDEX(tblCleanData[MonthlyIncome],762)&lt;=$B$3,"Low Income",IF(INDEX(tblCleanData[MonthlyIncome],762)&lt;=$B$4,"Medium Income","High Income"))</f>
        <v>High Income</v>
      </c>
      <c r="D770">
        <f>IF(INDEX(tblCleanData[Attrition],762)="Yes",1,0)</f>
        <v>1</v>
      </c>
      <c r="E770">
        <f>IF(INDEX(tblCleanData[OverTime],762)="Yes",1,0)</f>
        <v>0</v>
      </c>
      <c r="F770" t="str">
        <f>CHOOSE(INDEX(tblCleanData[Education],762),"Below College","College","Bachelor","Master","Doctor")</f>
        <v>Bachelor</v>
      </c>
      <c r="G770" t="str">
        <f>IF(INDEX(tblCleanData[YearsAtCompany],762)&lt;=2,"0-2 Years",IF(INDEX(tblCleanData[YearsAtCompany],762)&lt;=5,"3-5 Years",IF(INDEX(tblCleanData[YearsAtCompany],762)&lt;=10,"6-10 Years","10+ Years")))</f>
        <v>0-2 Years</v>
      </c>
      <c r="H770" t="str">
        <f>IF(INDEX(tblCleanData[WorkLifeBalance],762)&lt;=2,"Elevated","Normal")</f>
        <v>Elevated</v>
      </c>
      <c r="I770">
        <f>IF(INDEX(tblCleanData[Age],762)&lt;30,30,IF(INDEX(tblCleanData[Age],762)&lt;40,20,IF(INDEX(tblCleanData[Age],762)&lt;50,10,15)))</f>
        <v>20</v>
      </c>
      <c r="J770">
        <f>IF(INDEX(tblCleanData[MonthlyIncome],762)&lt;=$B$3,25,IF(INDEX(tblCleanData[MonthlyIncome],762)&lt;=$B$4,12,5))</f>
        <v>5</v>
      </c>
      <c r="K770">
        <f>IF(INDEX(tblCleanData[OverTime],762)="Yes",25,0)</f>
        <v>0</v>
      </c>
      <c r="L770">
        <f>(5-INDEX(tblCleanData[JobSatisfaction],762))*6.25</f>
        <v>12.5</v>
      </c>
      <c r="M770">
        <f>IF(INDEX(tblCleanData[YearsAtCompany],762)&lt;=2,25,IF(INDEX(tblCleanData[YearsAtCompany],762)&lt;=5,15,IF(INDEX(tblCleanData[YearsAtCompany],762)&lt;=10,8,3)))</f>
        <v>25</v>
      </c>
      <c r="N770">
        <f t="shared" si="22"/>
        <v>63</v>
      </c>
      <c r="O770" t="str">
        <f t="shared" si="23"/>
        <v>High Risk</v>
      </c>
    </row>
    <row r="771" spans="1:15" x14ac:dyDescent="0.25">
      <c r="A771">
        <f>INDEX(tblCleanData[EmployeeNumber],763)</f>
        <v>1053</v>
      </c>
      <c r="B771" t="str">
        <f>IF(INDEX(tblCleanData[Age],763)&lt;30,"Under 30",IF(INDEX(tblCleanData[Age],763)&lt;40,"30-39",IF(INDEX(tblCleanData[Age],763)&lt;50,"40-49","50+")))</f>
        <v>Under 30</v>
      </c>
      <c r="C771" t="str">
        <f>IF(INDEX(tblCleanData[MonthlyIncome],763)&lt;=$B$3,"Low Income",IF(INDEX(tblCleanData[MonthlyIncome],763)&lt;=$B$4,"Medium Income","High Income"))</f>
        <v>High Income</v>
      </c>
      <c r="D771">
        <f>IF(INDEX(tblCleanData[Attrition],763)="Yes",1,0)</f>
        <v>1</v>
      </c>
      <c r="E771">
        <f>IF(INDEX(tblCleanData[OverTime],763)="Yes",1,0)</f>
        <v>1</v>
      </c>
      <c r="F771" t="str">
        <f>CHOOSE(INDEX(tblCleanData[Education],763),"Below College","College","Bachelor","Master","Doctor")</f>
        <v>Bachelor</v>
      </c>
      <c r="G771" t="str">
        <f>IF(INDEX(tblCleanData[YearsAtCompany],763)&lt;=2,"0-2 Years",IF(INDEX(tblCleanData[YearsAtCompany],763)&lt;=5,"3-5 Years",IF(INDEX(tblCleanData[YearsAtCompany],763)&lt;=10,"6-10 Years","10+ Years")))</f>
        <v>3-5 Years</v>
      </c>
      <c r="H771" t="str">
        <f>IF(INDEX(tblCleanData[WorkLifeBalance],763)&lt;=2,"Elevated","Normal")</f>
        <v>Normal</v>
      </c>
      <c r="I771">
        <f>IF(INDEX(tblCleanData[Age],763)&lt;30,30,IF(INDEX(tblCleanData[Age],763)&lt;40,20,IF(INDEX(tblCleanData[Age],763)&lt;50,10,15)))</f>
        <v>30</v>
      </c>
      <c r="J771">
        <f>IF(INDEX(tblCleanData[MonthlyIncome],763)&lt;=$B$3,25,IF(INDEX(tblCleanData[MonthlyIncome],763)&lt;=$B$4,12,5))</f>
        <v>5</v>
      </c>
      <c r="K771">
        <f>IF(INDEX(tblCleanData[OverTime],763)="Yes",25,0)</f>
        <v>25</v>
      </c>
      <c r="L771">
        <f>(5-INDEX(tblCleanData[JobSatisfaction],763))*6.25</f>
        <v>25</v>
      </c>
      <c r="M771">
        <f>IF(INDEX(tblCleanData[YearsAtCompany],763)&lt;=2,25,IF(INDEX(tblCleanData[YearsAtCompany],763)&lt;=5,15,IF(INDEX(tblCleanData[YearsAtCompany],763)&lt;=10,8,3)))</f>
        <v>15</v>
      </c>
      <c r="N771">
        <f t="shared" si="22"/>
        <v>100</v>
      </c>
      <c r="O771" t="str">
        <f t="shared" si="23"/>
        <v>High Risk</v>
      </c>
    </row>
    <row r="772" spans="1:15" x14ac:dyDescent="0.25">
      <c r="A772">
        <f>INDEX(tblCleanData[EmployeeNumber],764)</f>
        <v>1055</v>
      </c>
      <c r="B772" t="str">
        <f>IF(INDEX(tblCleanData[Age],764)&lt;30,"Under 30",IF(INDEX(tblCleanData[Age],764)&lt;40,"30-39",IF(INDEX(tblCleanData[Age],764)&lt;50,"40-49","50+")))</f>
        <v>30-39</v>
      </c>
      <c r="C772" t="str">
        <f>IF(INDEX(tblCleanData[MonthlyIncome],764)&lt;=$B$3,"Low Income",IF(INDEX(tblCleanData[MonthlyIncome],764)&lt;=$B$4,"Medium Income","High Income"))</f>
        <v>High Income</v>
      </c>
      <c r="D772">
        <f>IF(INDEX(tblCleanData[Attrition],764)="Yes",1,0)</f>
        <v>0</v>
      </c>
      <c r="E772">
        <f>IF(INDEX(tblCleanData[OverTime],764)="Yes",1,0)</f>
        <v>1</v>
      </c>
      <c r="F772" t="str">
        <f>CHOOSE(INDEX(tblCleanData[Education],764),"Below College","College","Bachelor","Master","Doctor")</f>
        <v>Master</v>
      </c>
      <c r="G772" t="str">
        <f>IF(INDEX(tblCleanData[YearsAtCompany],764)&lt;=2,"0-2 Years",IF(INDEX(tblCleanData[YearsAtCompany],764)&lt;=5,"3-5 Years",IF(INDEX(tblCleanData[YearsAtCompany],764)&lt;=10,"6-10 Years","10+ Years")))</f>
        <v>0-2 Years</v>
      </c>
      <c r="H772" t="str">
        <f>IF(INDEX(tblCleanData[WorkLifeBalance],764)&lt;=2,"Elevated","Normal")</f>
        <v>Normal</v>
      </c>
      <c r="I772">
        <f>IF(INDEX(tblCleanData[Age],764)&lt;30,30,IF(INDEX(tblCleanData[Age],764)&lt;40,20,IF(INDEX(tblCleanData[Age],764)&lt;50,10,15)))</f>
        <v>20</v>
      </c>
      <c r="J772">
        <f>IF(INDEX(tblCleanData[MonthlyIncome],764)&lt;=$B$3,25,IF(INDEX(tblCleanData[MonthlyIncome],764)&lt;=$B$4,12,5))</f>
        <v>5</v>
      </c>
      <c r="K772">
        <f>IF(INDEX(tblCleanData[OverTime],764)="Yes",25,0)</f>
        <v>25</v>
      </c>
      <c r="L772">
        <f>(5-INDEX(tblCleanData[JobSatisfaction],764))*6.25</f>
        <v>12.5</v>
      </c>
      <c r="M772">
        <f>IF(INDEX(tblCleanData[YearsAtCompany],764)&lt;=2,25,IF(INDEX(tblCleanData[YearsAtCompany],764)&lt;=5,15,IF(INDEX(tblCleanData[YearsAtCompany],764)&lt;=10,8,3)))</f>
        <v>25</v>
      </c>
      <c r="N772">
        <f t="shared" si="22"/>
        <v>88</v>
      </c>
      <c r="O772" t="str">
        <f t="shared" si="23"/>
        <v>High Risk</v>
      </c>
    </row>
    <row r="773" spans="1:15" x14ac:dyDescent="0.25">
      <c r="A773">
        <f>INDEX(tblCleanData[EmployeeNumber],765)</f>
        <v>1056</v>
      </c>
      <c r="B773" t="str">
        <f>IF(INDEX(tblCleanData[Age],765)&lt;30,"Under 30",IF(INDEX(tblCleanData[Age],765)&lt;40,"30-39",IF(INDEX(tblCleanData[Age],765)&lt;50,"40-49","50+")))</f>
        <v>Under 30</v>
      </c>
      <c r="C773" t="str">
        <f>IF(INDEX(tblCleanData[MonthlyIncome],765)&lt;=$B$3,"Low Income",IF(INDEX(tblCleanData[MonthlyIncome],765)&lt;=$B$4,"Medium Income","High Income"))</f>
        <v>High Income</v>
      </c>
      <c r="D773">
        <f>IF(INDEX(tblCleanData[Attrition],765)="Yes",1,0)</f>
        <v>0</v>
      </c>
      <c r="E773">
        <f>IF(INDEX(tblCleanData[OverTime],765)="Yes",1,0)</f>
        <v>0</v>
      </c>
      <c r="F773" t="str">
        <f>CHOOSE(INDEX(tblCleanData[Education],765),"Below College","College","Bachelor","Master","Doctor")</f>
        <v>Below College</v>
      </c>
      <c r="G773" t="str">
        <f>IF(INDEX(tblCleanData[YearsAtCompany],765)&lt;=2,"0-2 Years",IF(INDEX(tblCleanData[YearsAtCompany],765)&lt;=5,"3-5 Years",IF(INDEX(tblCleanData[YearsAtCompany],765)&lt;=10,"6-10 Years","10+ Years")))</f>
        <v>0-2 Years</v>
      </c>
      <c r="H773" t="str">
        <f>IF(INDEX(tblCleanData[WorkLifeBalance],765)&lt;=2,"Elevated","Normal")</f>
        <v>Normal</v>
      </c>
      <c r="I773">
        <f>IF(INDEX(tblCleanData[Age],765)&lt;30,30,IF(INDEX(tblCleanData[Age],765)&lt;40,20,IF(INDEX(tblCleanData[Age],765)&lt;50,10,15)))</f>
        <v>30</v>
      </c>
      <c r="J773">
        <f>IF(INDEX(tblCleanData[MonthlyIncome],765)&lt;=$B$3,25,IF(INDEX(tblCleanData[MonthlyIncome],765)&lt;=$B$4,12,5))</f>
        <v>5</v>
      </c>
      <c r="K773">
        <f>IF(INDEX(tblCleanData[OverTime],765)="Yes",25,0)</f>
        <v>0</v>
      </c>
      <c r="L773">
        <f>(5-INDEX(tblCleanData[JobSatisfaction],765))*6.25</f>
        <v>18.75</v>
      </c>
      <c r="M773">
        <f>IF(INDEX(tblCleanData[YearsAtCompany],765)&lt;=2,25,IF(INDEX(tblCleanData[YearsAtCompany],765)&lt;=5,15,IF(INDEX(tblCleanData[YearsAtCompany],765)&lt;=10,8,3)))</f>
        <v>25</v>
      </c>
      <c r="N773">
        <f t="shared" si="22"/>
        <v>79</v>
      </c>
      <c r="O773" t="str">
        <f t="shared" si="23"/>
        <v>High Risk</v>
      </c>
    </row>
    <row r="774" spans="1:15" x14ac:dyDescent="0.25">
      <c r="A774">
        <f>INDEX(tblCleanData[EmployeeNumber],766)</f>
        <v>1060</v>
      </c>
      <c r="B774" t="str">
        <f>IF(INDEX(tblCleanData[Age],766)&lt;30,"Under 30",IF(INDEX(tblCleanData[Age],766)&lt;40,"30-39",IF(INDEX(tblCleanData[Age],766)&lt;50,"40-49","50+")))</f>
        <v>30-39</v>
      </c>
      <c r="C774" t="str">
        <f>IF(INDEX(tblCleanData[MonthlyIncome],766)&lt;=$B$3,"Low Income",IF(INDEX(tblCleanData[MonthlyIncome],766)&lt;=$B$4,"Medium Income","High Income"))</f>
        <v>High Income</v>
      </c>
      <c r="D774">
        <f>IF(INDEX(tblCleanData[Attrition],766)="Yes",1,0)</f>
        <v>0</v>
      </c>
      <c r="E774">
        <f>IF(INDEX(tblCleanData[OverTime],766)="Yes",1,0)</f>
        <v>0</v>
      </c>
      <c r="F774" t="str">
        <f>CHOOSE(INDEX(tblCleanData[Education],766),"Below College","College","Bachelor","Master","Doctor")</f>
        <v>Master</v>
      </c>
      <c r="G774" t="str">
        <f>IF(INDEX(tblCleanData[YearsAtCompany],766)&lt;=2,"0-2 Years",IF(INDEX(tblCleanData[YearsAtCompany],766)&lt;=5,"3-5 Years",IF(INDEX(tblCleanData[YearsAtCompany],766)&lt;=10,"6-10 Years","10+ Years")))</f>
        <v>0-2 Years</v>
      </c>
      <c r="H774" t="str">
        <f>IF(INDEX(tblCleanData[WorkLifeBalance],766)&lt;=2,"Elevated","Normal")</f>
        <v>Normal</v>
      </c>
      <c r="I774">
        <f>IF(INDEX(tblCleanData[Age],766)&lt;30,30,IF(INDEX(tblCleanData[Age],766)&lt;40,20,IF(INDEX(tblCleanData[Age],766)&lt;50,10,15)))</f>
        <v>20</v>
      </c>
      <c r="J774">
        <f>IF(INDEX(tblCleanData[MonthlyIncome],766)&lt;=$B$3,25,IF(INDEX(tblCleanData[MonthlyIncome],766)&lt;=$B$4,12,5))</f>
        <v>5</v>
      </c>
      <c r="K774">
        <f>IF(INDEX(tblCleanData[OverTime],766)="Yes",25,0)</f>
        <v>0</v>
      </c>
      <c r="L774">
        <f>(5-INDEX(tblCleanData[JobSatisfaction],766))*6.25</f>
        <v>12.5</v>
      </c>
      <c r="M774">
        <f>IF(INDEX(tblCleanData[YearsAtCompany],766)&lt;=2,25,IF(INDEX(tblCleanData[YearsAtCompany],766)&lt;=5,15,IF(INDEX(tblCleanData[YearsAtCompany],766)&lt;=10,8,3)))</f>
        <v>25</v>
      </c>
      <c r="N774">
        <f t="shared" si="22"/>
        <v>63</v>
      </c>
      <c r="O774" t="str">
        <f t="shared" si="23"/>
        <v>High Risk</v>
      </c>
    </row>
    <row r="775" spans="1:15" x14ac:dyDescent="0.25">
      <c r="A775">
        <f>INDEX(tblCleanData[EmployeeNumber],767)</f>
        <v>1061</v>
      </c>
      <c r="B775" t="str">
        <f>IF(INDEX(tblCleanData[Age],767)&lt;30,"Under 30",IF(INDEX(tblCleanData[Age],767)&lt;40,"30-39",IF(INDEX(tblCleanData[Age],767)&lt;50,"40-49","50+")))</f>
        <v>50+</v>
      </c>
      <c r="C775" t="str">
        <f>IF(INDEX(tblCleanData[MonthlyIncome],767)&lt;=$B$3,"Low Income",IF(INDEX(tblCleanData[MonthlyIncome],767)&lt;=$B$4,"Medium Income","High Income"))</f>
        <v>High Income</v>
      </c>
      <c r="D775">
        <f>IF(INDEX(tblCleanData[Attrition],767)="Yes",1,0)</f>
        <v>0</v>
      </c>
      <c r="E775">
        <f>IF(INDEX(tblCleanData[OverTime],767)="Yes",1,0)</f>
        <v>1</v>
      </c>
      <c r="F775" t="str">
        <f>CHOOSE(INDEX(tblCleanData[Education],767),"Below College","College","Bachelor","Master","Doctor")</f>
        <v>Master</v>
      </c>
      <c r="G775" t="str">
        <f>IF(INDEX(tblCleanData[YearsAtCompany],767)&lt;=2,"0-2 Years",IF(INDEX(tblCleanData[YearsAtCompany],767)&lt;=5,"3-5 Years",IF(INDEX(tblCleanData[YearsAtCompany],767)&lt;=10,"6-10 Years","10+ Years")))</f>
        <v>6-10 Years</v>
      </c>
      <c r="H775" t="str">
        <f>IF(INDEX(tblCleanData[WorkLifeBalance],767)&lt;=2,"Elevated","Normal")</f>
        <v>Elevated</v>
      </c>
      <c r="I775">
        <f>IF(INDEX(tblCleanData[Age],767)&lt;30,30,IF(INDEX(tblCleanData[Age],767)&lt;40,20,IF(INDEX(tblCleanData[Age],767)&lt;50,10,15)))</f>
        <v>15</v>
      </c>
      <c r="J775">
        <f>IF(INDEX(tblCleanData[MonthlyIncome],767)&lt;=$B$3,25,IF(INDEX(tblCleanData[MonthlyIncome],767)&lt;=$B$4,12,5))</f>
        <v>5</v>
      </c>
      <c r="K775">
        <f>IF(INDEX(tblCleanData[OverTime],767)="Yes",25,0)</f>
        <v>25</v>
      </c>
      <c r="L775">
        <f>(5-INDEX(tblCleanData[JobSatisfaction],767))*6.25</f>
        <v>12.5</v>
      </c>
      <c r="M775">
        <f>IF(INDEX(tblCleanData[YearsAtCompany],767)&lt;=2,25,IF(INDEX(tblCleanData[YearsAtCompany],767)&lt;=5,15,IF(INDEX(tblCleanData[YearsAtCompany],767)&lt;=10,8,3)))</f>
        <v>8</v>
      </c>
      <c r="N775">
        <f t="shared" si="22"/>
        <v>66</v>
      </c>
      <c r="O775" t="str">
        <f t="shared" si="23"/>
        <v>High Risk</v>
      </c>
    </row>
    <row r="776" spans="1:15" x14ac:dyDescent="0.25">
      <c r="A776">
        <f>INDEX(tblCleanData[EmployeeNumber],768)</f>
        <v>1062</v>
      </c>
      <c r="B776" t="str">
        <f>IF(INDEX(tblCleanData[Age],768)&lt;30,"Under 30",IF(INDEX(tblCleanData[Age],768)&lt;40,"30-39",IF(INDEX(tblCleanData[Age],768)&lt;50,"40-49","50+")))</f>
        <v>30-39</v>
      </c>
      <c r="C776" t="str">
        <f>IF(INDEX(tblCleanData[MonthlyIncome],768)&lt;=$B$3,"Low Income",IF(INDEX(tblCleanData[MonthlyIncome],768)&lt;=$B$4,"Medium Income","High Income"))</f>
        <v>High Income</v>
      </c>
      <c r="D776">
        <f>IF(INDEX(tblCleanData[Attrition],768)="Yes",1,0)</f>
        <v>0</v>
      </c>
      <c r="E776">
        <f>IF(INDEX(tblCleanData[OverTime],768)="Yes",1,0)</f>
        <v>0</v>
      </c>
      <c r="F776" t="str">
        <f>CHOOSE(INDEX(tblCleanData[Education],768),"Below College","College","Bachelor","Master","Doctor")</f>
        <v>Bachelor</v>
      </c>
      <c r="G776" t="str">
        <f>IF(INDEX(tblCleanData[YearsAtCompany],768)&lt;=2,"0-2 Years",IF(INDEX(tblCleanData[YearsAtCompany],768)&lt;=5,"3-5 Years",IF(INDEX(tblCleanData[YearsAtCompany],768)&lt;=10,"6-10 Years","10+ Years")))</f>
        <v>3-5 Years</v>
      </c>
      <c r="H776" t="str">
        <f>IF(INDEX(tblCleanData[WorkLifeBalance],768)&lt;=2,"Elevated","Normal")</f>
        <v>Elevated</v>
      </c>
      <c r="I776">
        <f>IF(INDEX(tblCleanData[Age],768)&lt;30,30,IF(INDEX(tblCleanData[Age],768)&lt;40,20,IF(INDEX(tblCleanData[Age],768)&lt;50,10,15)))</f>
        <v>20</v>
      </c>
      <c r="J776">
        <f>IF(INDEX(tblCleanData[MonthlyIncome],768)&lt;=$B$3,25,IF(INDEX(tblCleanData[MonthlyIncome],768)&lt;=$B$4,12,5))</f>
        <v>5</v>
      </c>
      <c r="K776">
        <f>IF(INDEX(tblCleanData[OverTime],768)="Yes",25,0)</f>
        <v>0</v>
      </c>
      <c r="L776">
        <f>(5-INDEX(tblCleanData[JobSatisfaction],768))*6.25</f>
        <v>18.75</v>
      </c>
      <c r="M776">
        <f>IF(INDEX(tblCleanData[YearsAtCompany],768)&lt;=2,25,IF(INDEX(tblCleanData[YearsAtCompany],768)&lt;=5,15,IF(INDEX(tblCleanData[YearsAtCompany],768)&lt;=10,8,3)))</f>
        <v>15</v>
      </c>
      <c r="N776">
        <f t="shared" si="22"/>
        <v>59</v>
      </c>
      <c r="O776" t="str">
        <f t="shared" si="23"/>
        <v>High Risk</v>
      </c>
    </row>
    <row r="777" spans="1:15" x14ac:dyDescent="0.25">
      <c r="A777">
        <f>INDEX(tblCleanData[EmployeeNumber],769)</f>
        <v>1066</v>
      </c>
      <c r="B777" t="str">
        <f>IF(INDEX(tblCleanData[Age],769)&lt;30,"Under 30",IF(INDEX(tblCleanData[Age],769)&lt;40,"30-39",IF(INDEX(tblCleanData[Age],769)&lt;50,"40-49","50+")))</f>
        <v>40-49</v>
      </c>
      <c r="C777" t="str">
        <f>IF(INDEX(tblCleanData[MonthlyIncome],769)&lt;=$B$3,"Low Income",IF(INDEX(tblCleanData[MonthlyIncome],769)&lt;=$B$4,"Medium Income","High Income"))</f>
        <v>High Income</v>
      </c>
      <c r="D777">
        <f>IF(INDEX(tblCleanData[Attrition],769)="Yes",1,0)</f>
        <v>0</v>
      </c>
      <c r="E777">
        <f>IF(INDEX(tblCleanData[OverTime],769)="Yes",1,0)</f>
        <v>0</v>
      </c>
      <c r="F777" t="str">
        <f>CHOOSE(INDEX(tblCleanData[Education],769),"Below College","College","Bachelor","Master","Doctor")</f>
        <v>Bachelor</v>
      </c>
      <c r="G777" t="str">
        <f>IF(INDEX(tblCleanData[YearsAtCompany],769)&lt;=2,"0-2 Years",IF(INDEX(tblCleanData[YearsAtCompany],769)&lt;=5,"3-5 Years",IF(INDEX(tblCleanData[YearsAtCompany],769)&lt;=10,"6-10 Years","10+ Years")))</f>
        <v>6-10 Years</v>
      </c>
      <c r="H777" t="str">
        <f>IF(INDEX(tblCleanData[WorkLifeBalance],769)&lt;=2,"Elevated","Normal")</f>
        <v>Elevated</v>
      </c>
      <c r="I777">
        <f>IF(INDEX(tblCleanData[Age],769)&lt;30,30,IF(INDEX(tblCleanData[Age],769)&lt;40,20,IF(INDEX(tblCleanData[Age],769)&lt;50,10,15)))</f>
        <v>10</v>
      </c>
      <c r="J777">
        <f>IF(INDEX(tblCleanData[MonthlyIncome],769)&lt;=$B$3,25,IF(INDEX(tblCleanData[MonthlyIncome],769)&lt;=$B$4,12,5))</f>
        <v>5</v>
      </c>
      <c r="K777">
        <f>IF(INDEX(tblCleanData[OverTime],769)="Yes",25,0)</f>
        <v>0</v>
      </c>
      <c r="L777">
        <f>(5-INDEX(tblCleanData[JobSatisfaction],769))*6.25</f>
        <v>25</v>
      </c>
      <c r="M777">
        <f>IF(INDEX(tblCleanData[YearsAtCompany],769)&lt;=2,25,IF(INDEX(tblCleanData[YearsAtCompany],769)&lt;=5,15,IF(INDEX(tblCleanData[YearsAtCompany],769)&lt;=10,8,3)))</f>
        <v>8</v>
      </c>
      <c r="N777">
        <f t="shared" ref="N777:N840" si="24">ROUND(I777+J777+K777+L777+M777,0)</f>
        <v>48</v>
      </c>
      <c r="O777" t="str">
        <f t="shared" ref="O777:O840" si="25">IF(N777&gt;=55,"High Risk",IF(N777&gt;=35,"Medium Risk","Low Risk"))</f>
        <v>Medium Risk</v>
      </c>
    </row>
    <row r="778" spans="1:15" x14ac:dyDescent="0.25">
      <c r="A778">
        <f>INDEX(tblCleanData[EmployeeNumber],770)</f>
        <v>1068</v>
      </c>
      <c r="B778" t="str">
        <f>IF(INDEX(tblCleanData[Age],770)&lt;30,"Under 30",IF(INDEX(tblCleanData[Age],770)&lt;40,"30-39",IF(INDEX(tblCleanData[Age],770)&lt;50,"40-49","50+")))</f>
        <v>Under 30</v>
      </c>
      <c r="C778" t="str">
        <f>IF(INDEX(tblCleanData[MonthlyIncome],770)&lt;=$B$3,"Low Income",IF(INDEX(tblCleanData[MonthlyIncome],770)&lt;=$B$4,"Medium Income","High Income"))</f>
        <v>High Income</v>
      </c>
      <c r="D778">
        <f>IF(INDEX(tblCleanData[Attrition],770)="Yes",1,0)</f>
        <v>0</v>
      </c>
      <c r="E778">
        <f>IF(INDEX(tblCleanData[OverTime],770)="Yes",1,0)</f>
        <v>0</v>
      </c>
      <c r="F778" t="str">
        <f>CHOOSE(INDEX(tblCleanData[Education],770),"Below College","College","Bachelor","Master","Doctor")</f>
        <v>Below College</v>
      </c>
      <c r="G778" t="str">
        <f>IF(INDEX(tblCleanData[YearsAtCompany],770)&lt;=2,"0-2 Years",IF(INDEX(tblCleanData[YearsAtCompany],770)&lt;=5,"3-5 Years",IF(INDEX(tblCleanData[YearsAtCompany],770)&lt;=10,"6-10 Years","10+ Years")))</f>
        <v>3-5 Years</v>
      </c>
      <c r="H778" t="str">
        <f>IF(INDEX(tblCleanData[WorkLifeBalance],770)&lt;=2,"Elevated","Normal")</f>
        <v>Normal</v>
      </c>
      <c r="I778">
        <f>IF(INDEX(tblCleanData[Age],770)&lt;30,30,IF(INDEX(tblCleanData[Age],770)&lt;40,20,IF(INDEX(tblCleanData[Age],770)&lt;50,10,15)))</f>
        <v>30</v>
      </c>
      <c r="J778">
        <f>IF(INDEX(tblCleanData[MonthlyIncome],770)&lt;=$B$3,25,IF(INDEX(tblCleanData[MonthlyIncome],770)&lt;=$B$4,12,5))</f>
        <v>5</v>
      </c>
      <c r="K778">
        <f>IF(INDEX(tblCleanData[OverTime],770)="Yes",25,0)</f>
        <v>0</v>
      </c>
      <c r="L778">
        <f>(5-INDEX(tblCleanData[JobSatisfaction],770))*6.25</f>
        <v>12.5</v>
      </c>
      <c r="M778">
        <f>IF(INDEX(tblCleanData[YearsAtCompany],770)&lt;=2,25,IF(INDEX(tblCleanData[YearsAtCompany],770)&lt;=5,15,IF(INDEX(tblCleanData[YearsAtCompany],770)&lt;=10,8,3)))</f>
        <v>15</v>
      </c>
      <c r="N778">
        <f t="shared" si="24"/>
        <v>63</v>
      </c>
      <c r="O778" t="str">
        <f t="shared" si="25"/>
        <v>High Risk</v>
      </c>
    </row>
    <row r="779" spans="1:15" x14ac:dyDescent="0.25">
      <c r="A779">
        <f>INDEX(tblCleanData[EmployeeNumber],771)</f>
        <v>1069</v>
      </c>
      <c r="B779" t="str">
        <f>IF(INDEX(tblCleanData[Age],771)&lt;30,"Under 30",IF(INDEX(tblCleanData[Age],771)&lt;40,"30-39",IF(INDEX(tblCleanData[Age],771)&lt;50,"40-49","50+")))</f>
        <v>40-49</v>
      </c>
      <c r="C779" t="str">
        <f>IF(INDEX(tblCleanData[MonthlyIncome],771)&lt;=$B$3,"Low Income",IF(INDEX(tblCleanData[MonthlyIncome],771)&lt;=$B$4,"Medium Income","High Income"))</f>
        <v>High Income</v>
      </c>
      <c r="D779">
        <f>IF(INDEX(tblCleanData[Attrition],771)="Yes",1,0)</f>
        <v>0</v>
      </c>
      <c r="E779">
        <f>IF(INDEX(tblCleanData[OverTime],771)="Yes",1,0)</f>
        <v>0</v>
      </c>
      <c r="F779" t="str">
        <f>CHOOSE(INDEX(tblCleanData[Education],771),"Below College","College","Bachelor","Master","Doctor")</f>
        <v>Master</v>
      </c>
      <c r="G779" t="str">
        <f>IF(INDEX(tblCleanData[YearsAtCompany],771)&lt;=2,"0-2 Years",IF(INDEX(tblCleanData[YearsAtCompany],771)&lt;=5,"3-5 Years",IF(INDEX(tblCleanData[YearsAtCompany],771)&lt;=10,"6-10 Years","10+ Years")))</f>
        <v>0-2 Years</v>
      </c>
      <c r="H779" t="str">
        <f>IF(INDEX(tblCleanData[WorkLifeBalance],771)&lt;=2,"Elevated","Normal")</f>
        <v>Normal</v>
      </c>
      <c r="I779">
        <f>IF(INDEX(tblCleanData[Age],771)&lt;30,30,IF(INDEX(tblCleanData[Age],771)&lt;40,20,IF(INDEX(tblCleanData[Age],771)&lt;50,10,15)))</f>
        <v>10</v>
      </c>
      <c r="J779">
        <f>IF(INDEX(tblCleanData[MonthlyIncome],771)&lt;=$B$3,25,IF(INDEX(tblCleanData[MonthlyIncome],771)&lt;=$B$4,12,5))</f>
        <v>5</v>
      </c>
      <c r="K779">
        <f>IF(INDEX(tblCleanData[OverTime],771)="Yes",25,0)</f>
        <v>0</v>
      </c>
      <c r="L779">
        <f>(5-INDEX(tblCleanData[JobSatisfaction],771))*6.25</f>
        <v>6.25</v>
      </c>
      <c r="M779">
        <f>IF(INDEX(tblCleanData[YearsAtCompany],771)&lt;=2,25,IF(INDEX(tblCleanData[YearsAtCompany],771)&lt;=5,15,IF(INDEX(tblCleanData[YearsAtCompany],771)&lt;=10,8,3)))</f>
        <v>25</v>
      </c>
      <c r="N779">
        <f t="shared" si="24"/>
        <v>46</v>
      </c>
      <c r="O779" t="str">
        <f t="shared" si="25"/>
        <v>Medium Risk</v>
      </c>
    </row>
    <row r="780" spans="1:15" x14ac:dyDescent="0.25">
      <c r="A780">
        <f>INDEX(tblCleanData[EmployeeNumber],772)</f>
        <v>1070</v>
      </c>
      <c r="B780" t="str">
        <f>IF(INDEX(tblCleanData[Age],772)&lt;30,"Under 30",IF(INDEX(tblCleanData[Age],772)&lt;40,"30-39",IF(INDEX(tblCleanData[Age],772)&lt;50,"40-49","50+")))</f>
        <v>50+</v>
      </c>
      <c r="C780" t="str">
        <f>IF(INDEX(tblCleanData[MonthlyIncome],772)&lt;=$B$3,"Low Income",IF(INDEX(tblCleanData[MonthlyIncome],772)&lt;=$B$4,"Medium Income","High Income"))</f>
        <v>High Income</v>
      </c>
      <c r="D780">
        <f>IF(INDEX(tblCleanData[Attrition],772)="Yes",1,0)</f>
        <v>0</v>
      </c>
      <c r="E780">
        <f>IF(INDEX(tblCleanData[OverTime],772)="Yes",1,0)</f>
        <v>0</v>
      </c>
      <c r="F780" t="str">
        <f>CHOOSE(INDEX(tblCleanData[Education],772),"Below College","College","Bachelor","Master","Doctor")</f>
        <v>Master</v>
      </c>
      <c r="G780" t="str">
        <f>IF(INDEX(tblCleanData[YearsAtCompany],772)&lt;=2,"0-2 Years",IF(INDEX(tblCleanData[YearsAtCompany],772)&lt;=5,"3-5 Years",IF(INDEX(tblCleanData[YearsAtCompany],772)&lt;=10,"6-10 Years","10+ Years")))</f>
        <v>6-10 Years</v>
      </c>
      <c r="H780" t="str">
        <f>IF(INDEX(tblCleanData[WorkLifeBalance],772)&lt;=2,"Elevated","Normal")</f>
        <v>Normal</v>
      </c>
      <c r="I780">
        <f>IF(INDEX(tblCleanData[Age],772)&lt;30,30,IF(INDEX(tblCleanData[Age],772)&lt;40,20,IF(INDEX(tblCleanData[Age],772)&lt;50,10,15)))</f>
        <v>15</v>
      </c>
      <c r="J780">
        <f>IF(INDEX(tblCleanData[MonthlyIncome],772)&lt;=$B$3,25,IF(INDEX(tblCleanData[MonthlyIncome],772)&lt;=$B$4,12,5))</f>
        <v>5</v>
      </c>
      <c r="K780">
        <f>IF(INDEX(tblCleanData[OverTime],772)="Yes",25,0)</f>
        <v>0</v>
      </c>
      <c r="L780">
        <f>(5-INDEX(tblCleanData[JobSatisfaction],772))*6.25</f>
        <v>12.5</v>
      </c>
      <c r="M780">
        <f>IF(INDEX(tblCleanData[YearsAtCompany],772)&lt;=2,25,IF(INDEX(tblCleanData[YearsAtCompany],772)&lt;=5,15,IF(INDEX(tblCleanData[YearsAtCompany],772)&lt;=10,8,3)))</f>
        <v>8</v>
      </c>
      <c r="N780">
        <f t="shared" si="24"/>
        <v>41</v>
      </c>
      <c r="O780" t="str">
        <f t="shared" si="25"/>
        <v>Medium Risk</v>
      </c>
    </row>
    <row r="781" spans="1:15" x14ac:dyDescent="0.25">
      <c r="A781">
        <f>INDEX(tblCleanData[EmployeeNumber],773)</f>
        <v>1071</v>
      </c>
      <c r="B781" t="str">
        <f>IF(INDEX(tblCleanData[Age],773)&lt;30,"Under 30",IF(INDEX(tblCleanData[Age],773)&lt;40,"30-39",IF(INDEX(tblCleanData[Age],773)&lt;50,"40-49","50+")))</f>
        <v>50+</v>
      </c>
      <c r="C781" t="str">
        <f>IF(INDEX(tblCleanData[MonthlyIncome],773)&lt;=$B$3,"Low Income",IF(INDEX(tblCleanData[MonthlyIncome],773)&lt;=$B$4,"Medium Income","High Income"))</f>
        <v>High Income</v>
      </c>
      <c r="D781">
        <f>IF(INDEX(tblCleanData[Attrition],773)="Yes",1,0)</f>
        <v>0</v>
      </c>
      <c r="E781">
        <f>IF(INDEX(tblCleanData[OverTime],773)="Yes",1,0)</f>
        <v>0</v>
      </c>
      <c r="F781" t="str">
        <f>CHOOSE(INDEX(tblCleanData[Education],773),"Below College","College","Bachelor","Master","Doctor")</f>
        <v>Bachelor</v>
      </c>
      <c r="G781" t="str">
        <f>IF(INDEX(tblCleanData[YearsAtCompany],773)&lt;=2,"0-2 Years",IF(INDEX(tblCleanData[YearsAtCompany],773)&lt;=5,"3-5 Years",IF(INDEX(tblCleanData[YearsAtCompany],773)&lt;=10,"6-10 Years","10+ Years")))</f>
        <v>3-5 Years</v>
      </c>
      <c r="H781" t="str">
        <f>IF(INDEX(tblCleanData[WorkLifeBalance],773)&lt;=2,"Elevated","Normal")</f>
        <v>Normal</v>
      </c>
      <c r="I781">
        <f>IF(INDEX(tblCleanData[Age],773)&lt;30,30,IF(INDEX(tblCleanData[Age],773)&lt;40,20,IF(INDEX(tblCleanData[Age],773)&lt;50,10,15)))</f>
        <v>15</v>
      </c>
      <c r="J781">
        <f>IF(INDEX(tblCleanData[MonthlyIncome],773)&lt;=$B$3,25,IF(INDEX(tblCleanData[MonthlyIncome],773)&lt;=$B$4,12,5))</f>
        <v>5</v>
      </c>
      <c r="K781">
        <f>IF(INDEX(tblCleanData[OverTime],773)="Yes",25,0)</f>
        <v>0</v>
      </c>
      <c r="L781">
        <f>(5-INDEX(tblCleanData[JobSatisfaction],773))*6.25</f>
        <v>12.5</v>
      </c>
      <c r="M781">
        <f>IF(INDEX(tblCleanData[YearsAtCompany],773)&lt;=2,25,IF(INDEX(tblCleanData[YearsAtCompany],773)&lt;=5,15,IF(INDEX(tblCleanData[YearsAtCompany],773)&lt;=10,8,3)))</f>
        <v>15</v>
      </c>
      <c r="N781">
        <f t="shared" si="24"/>
        <v>48</v>
      </c>
      <c r="O781" t="str">
        <f t="shared" si="25"/>
        <v>Medium Risk</v>
      </c>
    </row>
    <row r="782" spans="1:15" x14ac:dyDescent="0.25">
      <c r="A782">
        <f>INDEX(tblCleanData[EmployeeNumber],774)</f>
        <v>1073</v>
      </c>
      <c r="B782" t="str">
        <f>IF(INDEX(tblCleanData[Age],774)&lt;30,"Under 30",IF(INDEX(tblCleanData[Age],774)&lt;40,"30-39",IF(INDEX(tblCleanData[Age],774)&lt;50,"40-49","50+")))</f>
        <v>30-39</v>
      </c>
      <c r="C782" t="str">
        <f>IF(INDEX(tblCleanData[MonthlyIncome],774)&lt;=$B$3,"Low Income",IF(INDEX(tblCleanData[MonthlyIncome],774)&lt;=$B$4,"Medium Income","High Income"))</f>
        <v>High Income</v>
      </c>
      <c r="D782">
        <f>IF(INDEX(tblCleanData[Attrition],774)="Yes",1,0)</f>
        <v>0</v>
      </c>
      <c r="E782">
        <f>IF(INDEX(tblCleanData[OverTime],774)="Yes",1,0)</f>
        <v>0</v>
      </c>
      <c r="F782" t="str">
        <f>CHOOSE(INDEX(tblCleanData[Education],774),"Below College","College","Bachelor","Master","Doctor")</f>
        <v>Doctor</v>
      </c>
      <c r="G782" t="str">
        <f>IF(INDEX(tblCleanData[YearsAtCompany],774)&lt;=2,"0-2 Years",IF(INDEX(tblCleanData[YearsAtCompany],774)&lt;=5,"3-5 Years",IF(INDEX(tblCleanData[YearsAtCompany],774)&lt;=10,"6-10 Years","10+ Years")))</f>
        <v>10+ Years</v>
      </c>
      <c r="H782" t="str">
        <f>IF(INDEX(tblCleanData[WorkLifeBalance],774)&lt;=2,"Elevated","Normal")</f>
        <v>Elevated</v>
      </c>
      <c r="I782">
        <f>IF(INDEX(tblCleanData[Age],774)&lt;30,30,IF(INDEX(tblCleanData[Age],774)&lt;40,20,IF(INDEX(tblCleanData[Age],774)&lt;50,10,15)))</f>
        <v>20</v>
      </c>
      <c r="J782">
        <f>IF(INDEX(tblCleanData[MonthlyIncome],774)&lt;=$B$3,25,IF(INDEX(tblCleanData[MonthlyIncome],774)&lt;=$B$4,12,5))</f>
        <v>5</v>
      </c>
      <c r="K782">
        <f>IF(INDEX(tblCleanData[OverTime],774)="Yes",25,0)</f>
        <v>0</v>
      </c>
      <c r="L782">
        <f>(5-INDEX(tblCleanData[JobSatisfaction],774))*6.25</f>
        <v>6.25</v>
      </c>
      <c r="M782">
        <f>IF(INDEX(tblCleanData[YearsAtCompany],774)&lt;=2,25,IF(INDEX(tblCleanData[YearsAtCompany],774)&lt;=5,15,IF(INDEX(tblCleanData[YearsAtCompany],774)&lt;=10,8,3)))</f>
        <v>3</v>
      </c>
      <c r="N782">
        <f t="shared" si="24"/>
        <v>34</v>
      </c>
      <c r="O782" t="str">
        <f t="shared" si="25"/>
        <v>Low Risk</v>
      </c>
    </row>
    <row r="783" spans="1:15" x14ac:dyDescent="0.25">
      <c r="A783">
        <f>INDEX(tblCleanData[EmployeeNumber],775)</f>
        <v>1074</v>
      </c>
      <c r="B783" t="str">
        <f>IF(INDEX(tblCleanData[Age],775)&lt;30,"Under 30",IF(INDEX(tblCleanData[Age],775)&lt;40,"30-39",IF(INDEX(tblCleanData[Age],775)&lt;50,"40-49","50+")))</f>
        <v>50+</v>
      </c>
      <c r="C783" t="str">
        <f>IF(INDEX(tblCleanData[MonthlyIncome],775)&lt;=$B$3,"Low Income",IF(INDEX(tblCleanData[MonthlyIncome],775)&lt;=$B$4,"Medium Income","High Income"))</f>
        <v>High Income</v>
      </c>
      <c r="D783">
        <f>IF(INDEX(tblCleanData[Attrition],775)="Yes",1,0)</f>
        <v>0</v>
      </c>
      <c r="E783">
        <f>IF(INDEX(tblCleanData[OverTime],775)="Yes",1,0)</f>
        <v>0</v>
      </c>
      <c r="F783" t="str">
        <f>CHOOSE(INDEX(tblCleanData[Education],775),"Below College","College","Bachelor","Master","Doctor")</f>
        <v>Below College</v>
      </c>
      <c r="G783" t="str">
        <f>IF(INDEX(tblCleanData[YearsAtCompany],775)&lt;=2,"0-2 Years",IF(INDEX(tblCleanData[YearsAtCompany],775)&lt;=5,"3-5 Years",IF(INDEX(tblCleanData[YearsAtCompany],775)&lt;=10,"6-10 Years","10+ Years")))</f>
        <v>6-10 Years</v>
      </c>
      <c r="H783" t="str">
        <f>IF(INDEX(tblCleanData[WorkLifeBalance],775)&lt;=2,"Elevated","Normal")</f>
        <v>Normal</v>
      </c>
      <c r="I783">
        <f>IF(INDEX(tblCleanData[Age],775)&lt;30,30,IF(INDEX(tblCleanData[Age],775)&lt;40,20,IF(INDEX(tblCleanData[Age],775)&lt;50,10,15)))</f>
        <v>15</v>
      </c>
      <c r="J783">
        <f>IF(INDEX(tblCleanData[MonthlyIncome],775)&lt;=$B$3,25,IF(INDEX(tblCleanData[MonthlyIncome],775)&lt;=$B$4,12,5))</f>
        <v>5</v>
      </c>
      <c r="K783">
        <f>IF(INDEX(tblCleanData[OverTime],775)="Yes",25,0)</f>
        <v>0</v>
      </c>
      <c r="L783">
        <f>(5-INDEX(tblCleanData[JobSatisfaction],775))*6.25</f>
        <v>25</v>
      </c>
      <c r="M783">
        <f>IF(INDEX(tblCleanData[YearsAtCompany],775)&lt;=2,25,IF(INDEX(tblCleanData[YearsAtCompany],775)&lt;=5,15,IF(INDEX(tblCleanData[YearsAtCompany],775)&lt;=10,8,3)))</f>
        <v>8</v>
      </c>
      <c r="N783">
        <f t="shared" si="24"/>
        <v>53</v>
      </c>
      <c r="O783" t="str">
        <f t="shared" si="25"/>
        <v>Medium Risk</v>
      </c>
    </row>
    <row r="784" spans="1:15" x14ac:dyDescent="0.25">
      <c r="A784">
        <f>INDEX(tblCleanData[EmployeeNumber],776)</f>
        <v>1076</v>
      </c>
      <c r="B784" t="str">
        <f>IF(INDEX(tblCleanData[Age],776)&lt;30,"Under 30",IF(INDEX(tblCleanData[Age],776)&lt;40,"30-39",IF(INDEX(tblCleanData[Age],776)&lt;50,"40-49","50+")))</f>
        <v>40-49</v>
      </c>
      <c r="C784" t="str">
        <f>IF(INDEX(tblCleanData[MonthlyIncome],776)&lt;=$B$3,"Low Income",IF(INDEX(tblCleanData[MonthlyIncome],776)&lt;=$B$4,"Medium Income","High Income"))</f>
        <v>High Income</v>
      </c>
      <c r="D784">
        <f>IF(INDEX(tblCleanData[Attrition],776)="Yes",1,0)</f>
        <v>0</v>
      </c>
      <c r="E784">
        <f>IF(INDEX(tblCleanData[OverTime],776)="Yes",1,0)</f>
        <v>0</v>
      </c>
      <c r="F784" t="str">
        <f>CHOOSE(INDEX(tblCleanData[Education],776),"Below College","College","Bachelor","Master","Doctor")</f>
        <v>Bachelor</v>
      </c>
      <c r="G784" t="str">
        <f>IF(INDEX(tblCleanData[YearsAtCompany],776)&lt;=2,"0-2 Years",IF(INDEX(tblCleanData[YearsAtCompany],776)&lt;=5,"3-5 Years",IF(INDEX(tblCleanData[YearsAtCompany],776)&lt;=10,"6-10 Years","10+ Years")))</f>
        <v>0-2 Years</v>
      </c>
      <c r="H784" t="str">
        <f>IF(INDEX(tblCleanData[WorkLifeBalance],776)&lt;=2,"Elevated","Normal")</f>
        <v>Normal</v>
      </c>
      <c r="I784">
        <f>IF(INDEX(tblCleanData[Age],776)&lt;30,30,IF(INDEX(tblCleanData[Age],776)&lt;40,20,IF(INDEX(tblCleanData[Age],776)&lt;50,10,15)))</f>
        <v>10</v>
      </c>
      <c r="J784">
        <f>IF(INDEX(tblCleanData[MonthlyIncome],776)&lt;=$B$3,25,IF(INDEX(tblCleanData[MonthlyIncome],776)&lt;=$B$4,12,5))</f>
        <v>5</v>
      </c>
      <c r="K784">
        <f>IF(INDEX(tblCleanData[OverTime],776)="Yes",25,0)</f>
        <v>0</v>
      </c>
      <c r="L784">
        <f>(5-INDEX(tblCleanData[JobSatisfaction],776))*6.25</f>
        <v>6.25</v>
      </c>
      <c r="M784">
        <f>IF(INDEX(tblCleanData[YearsAtCompany],776)&lt;=2,25,IF(INDEX(tblCleanData[YearsAtCompany],776)&lt;=5,15,IF(INDEX(tblCleanData[YearsAtCompany],776)&lt;=10,8,3)))</f>
        <v>25</v>
      </c>
      <c r="N784">
        <f t="shared" si="24"/>
        <v>46</v>
      </c>
      <c r="O784" t="str">
        <f t="shared" si="25"/>
        <v>Medium Risk</v>
      </c>
    </row>
    <row r="785" spans="1:15" x14ac:dyDescent="0.25">
      <c r="A785">
        <f>INDEX(tblCleanData[EmployeeNumber],777)</f>
        <v>1077</v>
      </c>
      <c r="B785" t="str">
        <f>IF(INDEX(tblCleanData[Age],777)&lt;30,"Under 30",IF(INDEX(tblCleanData[Age],777)&lt;40,"30-39",IF(INDEX(tblCleanData[Age],777)&lt;50,"40-49","50+")))</f>
        <v>Under 30</v>
      </c>
      <c r="C785" t="str">
        <f>IF(INDEX(tblCleanData[MonthlyIncome],777)&lt;=$B$3,"Low Income",IF(INDEX(tblCleanData[MonthlyIncome],777)&lt;=$B$4,"Medium Income","High Income"))</f>
        <v>High Income</v>
      </c>
      <c r="D785">
        <f>IF(INDEX(tblCleanData[Attrition],777)="Yes",1,0)</f>
        <v>1</v>
      </c>
      <c r="E785">
        <f>IF(INDEX(tblCleanData[OverTime],777)="Yes",1,0)</f>
        <v>1</v>
      </c>
      <c r="F785" t="str">
        <f>CHOOSE(INDEX(tblCleanData[Education],777),"Below College","College","Bachelor","Master","Doctor")</f>
        <v>Bachelor</v>
      </c>
      <c r="G785" t="str">
        <f>IF(INDEX(tblCleanData[YearsAtCompany],777)&lt;=2,"0-2 Years",IF(INDEX(tblCleanData[YearsAtCompany],777)&lt;=5,"3-5 Years",IF(INDEX(tblCleanData[YearsAtCompany],777)&lt;=10,"6-10 Years","10+ Years")))</f>
        <v>0-2 Years</v>
      </c>
      <c r="H785" t="str">
        <f>IF(INDEX(tblCleanData[WorkLifeBalance],777)&lt;=2,"Elevated","Normal")</f>
        <v>Normal</v>
      </c>
      <c r="I785">
        <f>IF(INDEX(tblCleanData[Age],777)&lt;30,30,IF(INDEX(tblCleanData[Age],777)&lt;40,20,IF(INDEX(tblCleanData[Age],777)&lt;50,10,15)))</f>
        <v>30</v>
      </c>
      <c r="J785">
        <f>IF(INDEX(tblCleanData[MonthlyIncome],777)&lt;=$B$3,25,IF(INDEX(tblCleanData[MonthlyIncome],777)&lt;=$B$4,12,5))</f>
        <v>5</v>
      </c>
      <c r="K785">
        <f>IF(INDEX(tblCleanData[OverTime],777)="Yes",25,0)</f>
        <v>25</v>
      </c>
      <c r="L785">
        <f>(5-INDEX(tblCleanData[JobSatisfaction],777))*6.25</f>
        <v>6.25</v>
      </c>
      <c r="M785">
        <f>IF(INDEX(tblCleanData[YearsAtCompany],777)&lt;=2,25,IF(INDEX(tblCleanData[YearsAtCompany],777)&lt;=5,15,IF(INDEX(tblCleanData[YearsAtCompany],777)&lt;=10,8,3)))</f>
        <v>25</v>
      </c>
      <c r="N785">
        <f t="shared" si="24"/>
        <v>91</v>
      </c>
      <c r="O785" t="str">
        <f t="shared" si="25"/>
        <v>High Risk</v>
      </c>
    </row>
    <row r="786" spans="1:15" x14ac:dyDescent="0.25">
      <c r="A786">
        <f>INDEX(tblCleanData[EmployeeNumber],778)</f>
        <v>1079</v>
      </c>
      <c r="B786" t="str">
        <f>IF(INDEX(tblCleanData[Age],778)&lt;30,"Under 30",IF(INDEX(tblCleanData[Age],778)&lt;40,"30-39",IF(INDEX(tblCleanData[Age],778)&lt;50,"40-49","50+")))</f>
        <v>Under 30</v>
      </c>
      <c r="C786" t="str">
        <f>IF(INDEX(tblCleanData[MonthlyIncome],778)&lt;=$B$3,"Low Income",IF(INDEX(tblCleanData[MonthlyIncome],778)&lt;=$B$4,"Medium Income","High Income"))</f>
        <v>High Income</v>
      </c>
      <c r="D786">
        <f>IF(INDEX(tblCleanData[Attrition],778)="Yes",1,0)</f>
        <v>1</v>
      </c>
      <c r="E786">
        <f>IF(INDEX(tblCleanData[OverTime],778)="Yes",1,0)</f>
        <v>0</v>
      </c>
      <c r="F786" t="str">
        <f>CHOOSE(INDEX(tblCleanData[Education],778),"Below College","College","Bachelor","Master","Doctor")</f>
        <v>Bachelor</v>
      </c>
      <c r="G786" t="str">
        <f>IF(INDEX(tblCleanData[YearsAtCompany],778)&lt;=2,"0-2 Years",IF(INDEX(tblCleanData[YearsAtCompany],778)&lt;=5,"3-5 Years",IF(INDEX(tblCleanData[YearsAtCompany],778)&lt;=10,"6-10 Years","10+ Years")))</f>
        <v>0-2 Years</v>
      </c>
      <c r="H786" t="str">
        <f>IF(INDEX(tblCleanData[WorkLifeBalance],778)&lt;=2,"Elevated","Normal")</f>
        <v>Elevated</v>
      </c>
      <c r="I786">
        <f>IF(INDEX(tblCleanData[Age],778)&lt;30,30,IF(INDEX(tblCleanData[Age],778)&lt;40,20,IF(INDEX(tblCleanData[Age],778)&lt;50,10,15)))</f>
        <v>30</v>
      </c>
      <c r="J786">
        <f>IF(INDEX(tblCleanData[MonthlyIncome],778)&lt;=$B$3,25,IF(INDEX(tblCleanData[MonthlyIncome],778)&lt;=$B$4,12,5))</f>
        <v>5</v>
      </c>
      <c r="K786">
        <f>IF(INDEX(tblCleanData[OverTime],778)="Yes",25,0)</f>
        <v>0</v>
      </c>
      <c r="L786">
        <f>(5-INDEX(tblCleanData[JobSatisfaction],778))*6.25</f>
        <v>25</v>
      </c>
      <c r="M786">
        <f>IF(INDEX(tblCleanData[YearsAtCompany],778)&lt;=2,25,IF(INDEX(tblCleanData[YearsAtCompany],778)&lt;=5,15,IF(INDEX(tblCleanData[YearsAtCompany],778)&lt;=10,8,3)))</f>
        <v>25</v>
      </c>
      <c r="N786">
        <f t="shared" si="24"/>
        <v>85</v>
      </c>
      <c r="O786" t="str">
        <f t="shared" si="25"/>
        <v>High Risk</v>
      </c>
    </row>
    <row r="787" spans="1:15" x14ac:dyDescent="0.25">
      <c r="A787">
        <f>INDEX(tblCleanData[EmployeeNumber],779)</f>
        <v>1080</v>
      </c>
      <c r="B787" t="str">
        <f>IF(INDEX(tblCleanData[Age],779)&lt;30,"Under 30",IF(INDEX(tblCleanData[Age],779)&lt;40,"30-39",IF(INDEX(tblCleanData[Age],779)&lt;50,"40-49","50+")))</f>
        <v>40-49</v>
      </c>
      <c r="C787" t="str">
        <f>IF(INDEX(tblCleanData[MonthlyIncome],779)&lt;=$B$3,"Low Income",IF(INDEX(tblCleanData[MonthlyIncome],779)&lt;=$B$4,"Medium Income","High Income"))</f>
        <v>High Income</v>
      </c>
      <c r="D787">
        <f>IF(INDEX(tblCleanData[Attrition],779)="Yes",1,0)</f>
        <v>0</v>
      </c>
      <c r="E787">
        <f>IF(INDEX(tblCleanData[OverTime],779)="Yes",1,0)</f>
        <v>1</v>
      </c>
      <c r="F787" t="str">
        <f>CHOOSE(INDEX(tblCleanData[Education],779),"Below College","College","Bachelor","Master","Doctor")</f>
        <v>Master</v>
      </c>
      <c r="G787" t="str">
        <f>IF(INDEX(tblCleanData[YearsAtCompany],779)&lt;=2,"0-2 Years",IF(INDEX(tblCleanData[YearsAtCompany],779)&lt;=5,"3-5 Years",IF(INDEX(tblCleanData[YearsAtCompany],779)&lt;=10,"6-10 Years","10+ Years")))</f>
        <v>10+ Years</v>
      </c>
      <c r="H787" t="str">
        <f>IF(INDEX(tblCleanData[WorkLifeBalance],779)&lt;=2,"Elevated","Normal")</f>
        <v>Normal</v>
      </c>
      <c r="I787">
        <f>IF(INDEX(tblCleanData[Age],779)&lt;30,30,IF(INDEX(tblCleanData[Age],779)&lt;40,20,IF(INDEX(tblCleanData[Age],779)&lt;50,10,15)))</f>
        <v>10</v>
      </c>
      <c r="J787">
        <f>IF(INDEX(tblCleanData[MonthlyIncome],779)&lt;=$B$3,25,IF(INDEX(tblCleanData[MonthlyIncome],779)&lt;=$B$4,12,5))</f>
        <v>5</v>
      </c>
      <c r="K787">
        <f>IF(INDEX(tblCleanData[OverTime],779)="Yes",25,0)</f>
        <v>25</v>
      </c>
      <c r="L787">
        <f>(5-INDEX(tblCleanData[JobSatisfaction],779))*6.25</f>
        <v>25</v>
      </c>
      <c r="M787">
        <f>IF(INDEX(tblCleanData[YearsAtCompany],779)&lt;=2,25,IF(INDEX(tblCleanData[YearsAtCompany],779)&lt;=5,15,IF(INDEX(tblCleanData[YearsAtCompany],779)&lt;=10,8,3)))</f>
        <v>3</v>
      </c>
      <c r="N787">
        <f t="shared" si="24"/>
        <v>68</v>
      </c>
      <c r="O787" t="str">
        <f t="shared" si="25"/>
        <v>High Risk</v>
      </c>
    </row>
    <row r="788" spans="1:15" x14ac:dyDescent="0.25">
      <c r="A788">
        <f>INDEX(tblCleanData[EmployeeNumber],780)</f>
        <v>1081</v>
      </c>
      <c r="B788" t="str">
        <f>IF(INDEX(tblCleanData[Age],780)&lt;30,"Under 30",IF(INDEX(tblCleanData[Age],780)&lt;40,"30-39",IF(INDEX(tblCleanData[Age],780)&lt;50,"40-49","50+")))</f>
        <v>50+</v>
      </c>
      <c r="C788" t="str">
        <f>IF(INDEX(tblCleanData[MonthlyIncome],780)&lt;=$B$3,"Low Income",IF(INDEX(tblCleanData[MonthlyIncome],780)&lt;=$B$4,"Medium Income","High Income"))</f>
        <v>High Income</v>
      </c>
      <c r="D788">
        <f>IF(INDEX(tblCleanData[Attrition],780)="Yes",1,0)</f>
        <v>1</v>
      </c>
      <c r="E788">
        <f>IF(INDEX(tblCleanData[OverTime],780)="Yes",1,0)</f>
        <v>1</v>
      </c>
      <c r="F788" t="str">
        <f>CHOOSE(INDEX(tblCleanData[Education],780),"Below College","College","Bachelor","Master","Doctor")</f>
        <v>Master</v>
      </c>
      <c r="G788" t="str">
        <f>IF(INDEX(tblCleanData[YearsAtCompany],780)&lt;=2,"0-2 Years",IF(INDEX(tblCleanData[YearsAtCompany],780)&lt;=5,"3-5 Years",IF(INDEX(tblCleanData[YearsAtCompany],780)&lt;=10,"6-10 Years","10+ Years")))</f>
        <v>6-10 Years</v>
      </c>
      <c r="H788" t="str">
        <f>IF(INDEX(tblCleanData[WorkLifeBalance],780)&lt;=2,"Elevated","Normal")</f>
        <v>Normal</v>
      </c>
      <c r="I788">
        <f>IF(INDEX(tblCleanData[Age],780)&lt;30,30,IF(INDEX(tblCleanData[Age],780)&lt;40,20,IF(INDEX(tblCleanData[Age],780)&lt;50,10,15)))</f>
        <v>15</v>
      </c>
      <c r="J788">
        <f>IF(INDEX(tblCleanData[MonthlyIncome],780)&lt;=$B$3,25,IF(INDEX(tblCleanData[MonthlyIncome],780)&lt;=$B$4,12,5))</f>
        <v>5</v>
      </c>
      <c r="K788">
        <f>IF(INDEX(tblCleanData[OverTime],780)="Yes",25,0)</f>
        <v>25</v>
      </c>
      <c r="L788">
        <f>(5-INDEX(tblCleanData[JobSatisfaction],780))*6.25</f>
        <v>12.5</v>
      </c>
      <c r="M788">
        <f>IF(INDEX(tblCleanData[YearsAtCompany],780)&lt;=2,25,IF(INDEX(tblCleanData[YearsAtCompany],780)&lt;=5,15,IF(INDEX(tblCleanData[YearsAtCompany],780)&lt;=10,8,3)))</f>
        <v>8</v>
      </c>
      <c r="N788">
        <f t="shared" si="24"/>
        <v>66</v>
      </c>
      <c r="O788" t="str">
        <f t="shared" si="25"/>
        <v>High Risk</v>
      </c>
    </row>
    <row r="789" spans="1:15" x14ac:dyDescent="0.25">
      <c r="A789">
        <f>INDEX(tblCleanData[EmployeeNumber],781)</f>
        <v>1082</v>
      </c>
      <c r="B789" t="str">
        <f>IF(INDEX(tblCleanData[Age],781)&lt;30,"Under 30",IF(INDEX(tblCleanData[Age],781)&lt;40,"30-39",IF(INDEX(tblCleanData[Age],781)&lt;50,"40-49","50+")))</f>
        <v>Under 30</v>
      </c>
      <c r="C789" t="str">
        <f>IF(INDEX(tblCleanData[MonthlyIncome],781)&lt;=$B$3,"Low Income",IF(INDEX(tblCleanData[MonthlyIncome],781)&lt;=$B$4,"Medium Income","High Income"))</f>
        <v>High Income</v>
      </c>
      <c r="D789">
        <f>IF(INDEX(tblCleanData[Attrition],781)="Yes",1,0)</f>
        <v>1</v>
      </c>
      <c r="E789">
        <f>IF(INDEX(tblCleanData[OverTime],781)="Yes",1,0)</f>
        <v>0</v>
      </c>
      <c r="F789" t="str">
        <f>CHOOSE(INDEX(tblCleanData[Education],781),"Below College","College","Bachelor","Master","Doctor")</f>
        <v>College</v>
      </c>
      <c r="G789" t="str">
        <f>IF(INDEX(tblCleanData[YearsAtCompany],781)&lt;=2,"0-2 Years",IF(INDEX(tblCleanData[YearsAtCompany],781)&lt;=5,"3-5 Years",IF(INDEX(tblCleanData[YearsAtCompany],781)&lt;=10,"6-10 Years","10+ Years")))</f>
        <v>6-10 Years</v>
      </c>
      <c r="H789" t="str">
        <f>IF(INDEX(tblCleanData[WorkLifeBalance],781)&lt;=2,"Elevated","Normal")</f>
        <v>Elevated</v>
      </c>
      <c r="I789">
        <f>IF(INDEX(tblCleanData[Age],781)&lt;30,30,IF(INDEX(tblCleanData[Age],781)&lt;40,20,IF(INDEX(tblCleanData[Age],781)&lt;50,10,15)))</f>
        <v>30</v>
      </c>
      <c r="J789">
        <f>IF(INDEX(tblCleanData[MonthlyIncome],781)&lt;=$B$3,25,IF(INDEX(tblCleanData[MonthlyIncome],781)&lt;=$B$4,12,5))</f>
        <v>5</v>
      </c>
      <c r="K789">
        <f>IF(INDEX(tblCleanData[OverTime],781)="Yes",25,0)</f>
        <v>0</v>
      </c>
      <c r="L789">
        <f>(5-INDEX(tblCleanData[JobSatisfaction],781))*6.25</f>
        <v>25</v>
      </c>
      <c r="M789">
        <f>IF(INDEX(tblCleanData[YearsAtCompany],781)&lt;=2,25,IF(INDEX(tblCleanData[YearsAtCompany],781)&lt;=5,15,IF(INDEX(tblCleanData[YearsAtCompany],781)&lt;=10,8,3)))</f>
        <v>8</v>
      </c>
      <c r="N789">
        <f t="shared" si="24"/>
        <v>68</v>
      </c>
      <c r="O789" t="str">
        <f t="shared" si="25"/>
        <v>High Risk</v>
      </c>
    </row>
    <row r="790" spans="1:15" x14ac:dyDescent="0.25">
      <c r="A790">
        <f>INDEX(tblCleanData[EmployeeNumber],782)</f>
        <v>1083</v>
      </c>
      <c r="B790" t="str">
        <f>IF(INDEX(tblCleanData[Age],782)&lt;30,"Under 30",IF(INDEX(tblCleanData[Age],782)&lt;40,"30-39",IF(INDEX(tblCleanData[Age],782)&lt;50,"40-49","50+")))</f>
        <v>Under 30</v>
      </c>
      <c r="C790" t="str">
        <f>IF(INDEX(tblCleanData[MonthlyIncome],782)&lt;=$B$3,"Low Income",IF(INDEX(tblCleanData[MonthlyIncome],782)&lt;=$B$4,"Medium Income","High Income"))</f>
        <v>High Income</v>
      </c>
      <c r="D790">
        <f>IF(INDEX(tblCleanData[Attrition],782)="Yes",1,0)</f>
        <v>0</v>
      </c>
      <c r="E790">
        <f>IF(INDEX(tblCleanData[OverTime],782)="Yes",1,0)</f>
        <v>0</v>
      </c>
      <c r="F790" t="str">
        <f>CHOOSE(INDEX(tblCleanData[Education],782),"Below College","College","Bachelor","Master","Doctor")</f>
        <v>College</v>
      </c>
      <c r="G790" t="str">
        <f>IF(INDEX(tblCleanData[YearsAtCompany],782)&lt;=2,"0-2 Years",IF(INDEX(tblCleanData[YearsAtCompany],782)&lt;=5,"3-5 Years",IF(INDEX(tblCleanData[YearsAtCompany],782)&lt;=10,"6-10 Years","10+ Years")))</f>
        <v>3-5 Years</v>
      </c>
      <c r="H790" t="str">
        <f>IF(INDEX(tblCleanData[WorkLifeBalance],782)&lt;=2,"Elevated","Normal")</f>
        <v>Normal</v>
      </c>
      <c r="I790">
        <f>IF(INDEX(tblCleanData[Age],782)&lt;30,30,IF(INDEX(tblCleanData[Age],782)&lt;40,20,IF(INDEX(tblCleanData[Age],782)&lt;50,10,15)))</f>
        <v>30</v>
      </c>
      <c r="J790">
        <f>IF(INDEX(tblCleanData[MonthlyIncome],782)&lt;=$B$3,25,IF(INDEX(tblCleanData[MonthlyIncome],782)&lt;=$B$4,12,5))</f>
        <v>5</v>
      </c>
      <c r="K790">
        <f>IF(INDEX(tblCleanData[OverTime],782)="Yes",25,0)</f>
        <v>0</v>
      </c>
      <c r="L790">
        <f>(5-INDEX(tblCleanData[JobSatisfaction],782))*6.25</f>
        <v>25</v>
      </c>
      <c r="M790">
        <f>IF(INDEX(tblCleanData[YearsAtCompany],782)&lt;=2,25,IF(INDEX(tblCleanData[YearsAtCompany],782)&lt;=5,15,IF(INDEX(tblCleanData[YearsAtCompany],782)&lt;=10,8,3)))</f>
        <v>15</v>
      </c>
      <c r="N790">
        <f t="shared" si="24"/>
        <v>75</v>
      </c>
      <c r="O790" t="str">
        <f t="shared" si="25"/>
        <v>High Risk</v>
      </c>
    </row>
    <row r="791" spans="1:15" x14ac:dyDescent="0.25">
      <c r="A791">
        <f>INDEX(tblCleanData[EmployeeNumber],783)</f>
        <v>1084</v>
      </c>
      <c r="B791" t="str">
        <f>IF(INDEX(tblCleanData[Age],783)&lt;30,"Under 30",IF(INDEX(tblCleanData[Age],783)&lt;40,"30-39",IF(INDEX(tblCleanData[Age],783)&lt;50,"40-49","50+")))</f>
        <v>30-39</v>
      </c>
      <c r="C791" t="str">
        <f>IF(INDEX(tblCleanData[MonthlyIncome],783)&lt;=$B$3,"Low Income",IF(INDEX(tblCleanData[MonthlyIncome],783)&lt;=$B$4,"Medium Income","High Income"))</f>
        <v>High Income</v>
      </c>
      <c r="D791">
        <f>IF(INDEX(tblCleanData[Attrition],783)="Yes",1,0)</f>
        <v>0</v>
      </c>
      <c r="E791">
        <f>IF(INDEX(tblCleanData[OverTime],783)="Yes",1,0)</f>
        <v>0</v>
      </c>
      <c r="F791" t="str">
        <f>CHOOSE(INDEX(tblCleanData[Education],783),"Below College","College","Bachelor","Master","Doctor")</f>
        <v>Bachelor</v>
      </c>
      <c r="G791" t="str">
        <f>IF(INDEX(tblCleanData[YearsAtCompany],783)&lt;=2,"0-2 Years",IF(INDEX(tblCleanData[YearsAtCompany],783)&lt;=5,"3-5 Years",IF(INDEX(tblCleanData[YearsAtCompany],783)&lt;=10,"6-10 Years","10+ Years")))</f>
        <v>6-10 Years</v>
      </c>
      <c r="H791" t="str">
        <f>IF(INDEX(tblCleanData[WorkLifeBalance],783)&lt;=2,"Elevated","Normal")</f>
        <v>Elevated</v>
      </c>
      <c r="I791">
        <f>IF(INDEX(tblCleanData[Age],783)&lt;30,30,IF(INDEX(tblCleanData[Age],783)&lt;40,20,IF(INDEX(tblCleanData[Age],783)&lt;50,10,15)))</f>
        <v>20</v>
      </c>
      <c r="J791">
        <f>IF(INDEX(tblCleanData[MonthlyIncome],783)&lt;=$B$3,25,IF(INDEX(tblCleanData[MonthlyIncome],783)&lt;=$B$4,12,5))</f>
        <v>5</v>
      </c>
      <c r="K791">
        <f>IF(INDEX(tblCleanData[OverTime],783)="Yes",25,0)</f>
        <v>0</v>
      </c>
      <c r="L791">
        <f>(5-INDEX(tblCleanData[JobSatisfaction],783))*6.25</f>
        <v>25</v>
      </c>
      <c r="M791">
        <f>IF(INDEX(tblCleanData[YearsAtCompany],783)&lt;=2,25,IF(INDEX(tblCleanData[YearsAtCompany],783)&lt;=5,15,IF(INDEX(tblCleanData[YearsAtCompany],783)&lt;=10,8,3)))</f>
        <v>8</v>
      </c>
      <c r="N791">
        <f t="shared" si="24"/>
        <v>58</v>
      </c>
      <c r="O791" t="str">
        <f t="shared" si="25"/>
        <v>High Risk</v>
      </c>
    </row>
    <row r="792" spans="1:15" x14ac:dyDescent="0.25">
      <c r="A792">
        <f>INDEX(tblCleanData[EmployeeNumber],784)</f>
        <v>1085</v>
      </c>
      <c r="B792" t="str">
        <f>IF(INDEX(tblCleanData[Age],784)&lt;30,"Under 30",IF(INDEX(tblCleanData[Age],784)&lt;40,"30-39",IF(INDEX(tblCleanData[Age],784)&lt;50,"40-49","50+")))</f>
        <v>40-49</v>
      </c>
      <c r="C792" t="str">
        <f>IF(INDEX(tblCleanData[MonthlyIncome],784)&lt;=$B$3,"Low Income",IF(INDEX(tblCleanData[MonthlyIncome],784)&lt;=$B$4,"Medium Income","High Income"))</f>
        <v>High Income</v>
      </c>
      <c r="D792">
        <f>IF(INDEX(tblCleanData[Attrition],784)="Yes",1,0)</f>
        <v>0</v>
      </c>
      <c r="E792">
        <f>IF(INDEX(tblCleanData[OverTime],784)="Yes",1,0)</f>
        <v>0</v>
      </c>
      <c r="F792" t="str">
        <f>CHOOSE(INDEX(tblCleanData[Education],784),"Below College","College","Bachelor","Master","Doctor")</f>
        <v>College</v>
      </c>
      <c r="G792" t="str">
        <f>IF(INDEX(tblCleanData[YearsAtCompany],784)&lt;=2,"0-2 Years",IF(INDEX(tblCleanData[YearsAtCompany],784)&lt;=5,"3-5 Years",IF(INDEX(tblCleanData[YearsAtCompany],784)&lt;=10,"6-10 Years","10+ Years")))</f>
        <v>6-10 Years</v>
      </c>
      <c r="H792" t="str">
        <f>IF(INDEX(tblCleanData[WorkLifeBalance],784)&lt;=2,"Elevated","Normal")</f>
        <v>Normal</v>
      </c>
      <c r="I792">
        <f>IF(INDEX(tblCleanData[Age],784)&lt;30,30,IF(INDEX(tblCleanData[Age],784)&lt;40,20,IF(INDEX(tblCleanData[Age],784)&lt;50,10,15)))</f>
        <v>10</v>
      </c>
      <c r="J792">
        <f>IF(INDEX(tblCleanData[MonthlyIncome],784)&lt;=$B$3,25,IF(INDEX(tblCleanData[MonthlyIncome],784)&lt;=$B$4,12,5))</f>
        <v>5</v>
      </c>
      <c r="K792">
        <f>IF(INDEX(tblCleanData[OverTime],784)="Yes",25,0)</f>
        <v>0</v>
      </c>
      <c r="L792">
        <f>(5-INDEX(tblCleanData[JobSatisfaction],784))*6.25</f>
        <v>12.5</v>
      </c>
      <c r="M792">
        <f>IF(INDEX(tblCleanData[YearsAtCompany],784)&lt;=2,25,IF(INDEX(tblCleanData[YearsAtCompany],784)&lt;=5,15,IF(INDEX(tblCleanData[YearsAtCompany],784)&lt;=10,8,3)))</f>
        <v>8</v>
      </c>
      <c r="N792">
        <f t="shared" si="24"/>
        <v>36</v>
      </c>
      <c r="O792" t="str">
        <f t="shared" si="25"/>
        <v>Medium Risk</v>
      </c>
    </row>
    <row r="793" spans="1:15" x14ac:dyDescent="0.25">
      <c r="A793">
        <f>INDEX(tblCleanData[EmployeeNumber],785)</f>
        <v>1088</v>
      </c>
      <c r="B793" t="str">
        <f>IF(INDEX(tblCleanData[Age],785)&lt;30,"Under 30",IF(INDEX(tblCleanData[Age],785)&lt;40,"30-39",IF(INDEX(tblCleanData[Age],785)&lt;50,"40-49","50+")))</f>
        <v>30-39</v>
      </c>
      <c r="C793" t="str">
        <f>IF(INDEX(tblCleanData[MonthlyIncome],785)&lt;=$B$3,"Low Income",IF(INDEX(tblCleanData[MonthlyIncome],785)&lt;=$B$4,"Medium Income","High Income"))</f>
        <v>High Income</v>
      </c>
      <c r="D793">
        <f>IF(INDEX(tblCleanData[Attrition],785)="Yes",1,0)</f>
        <v>0</v>
      </c>
      <c r="E793">
        <f>IF(INDEX(tblCleanData[OverTime],785)="Yes",1,0)</f>
        <v>0</v>
      </c>
      <c r="F793" t="str">
        <f>CHOOSE(INDEX(tblCleanData[Education],785),"Below College","College","Bachelor","Master","Doctor")</f>
        <v>Below College</v>
      </c>
      <c r="G793" t="str">
        <f>IF(INDEX(tblCleanData[YearsAtCompany],785)&lt;=2,"0-2 Years",IF(INDEX(tblCleanData[YearsAtCompany],785)&lt;=5,"3-5 Years",IF(INDEX(tblCleanData[YearsAtCompany],785)&lt;=10,"6-10 Years","10+ Years")))</f>
        <v>10+ Years</v>
      </c>
      <c r="H793" t="str">
        <f>IF(INDEX(tblCleanData[WorkLifeBalance],785)&lt;=2,"Elevated","Normal")</f>
        <v>Elevated</v>
      </c>
      <c r="I793">
        <f>IF(INDEX(tblCleanData[Age],785)&lt;30,30,IF(INDEX(tblCleanData[Age],785)&lt;40,20,IF(INDEX(tblCleanData[Age],785)&lt;50,10,15)))</f>
        <v>20</v>
      </c>
      <c r="J793">
        <f>IF(INDEX(tblCleanData[MonthlyIncome],785)&lt;=$B$3,25,IF(INDEX(tblCleanData[MonthlyIncome],785)&lt;=$B$4,12,5))</f>
        <v>5</v>
      </c>
      <c r="K793">
        <f>IF(INDEX(tblCleanData[OverTime],785)="Yes",25,0)</f>
        <v>0</v>
      </c>
      <c r="L793">
        <f>(5-INDEX(tblCleanData[JobSatisfaction],785))*6.25</f>
        <v>12.5</v>
      </c>
      <c r="M793">
        <f>IF(INDEX(tblCleanData[YearsAtCompany],785)&lt;=2,25,IF(INDEX(tblCleanData[YearsAtCompany],785)&lt;=5,15,IF(INDEX(tblCleanData[YearsAtCompany],785)&lt;=10,8,3)))</f>
        <v>3</v>
      </c>
      <c r="N793">
        <f t="shared" si="24"/>
        <v>41</v>
      </c>
      <c r="O793" t="str">
        <f t="shared" si="25"/>
        <v>Medium Risk</v>
      </c>
    </row>
    <row r="794" spans="1:15" x14ac:dyDescent="0.25">
      <c r="A794">
        <f>INDEX(tblCleanData[EmployeeNumber],786)</f>
        <v>1092</v>
      </c>
      <c r="B794" t="str">
        <f>IF(INDEX(tblCleanData[Age],786)&lt;30,"Under 30",IF(INDEX(tblCleanData[Age],786)&lt;40,"30-39",IF(INDEX(tblCleanData[Age],786)&lt;50,"40-49","50+")))</f>
        <v>40-49</v>
      </c>
      <c r="C794" t="str">
        <f>IF(INDEX(tblCleanData[MonthlyIncome],786)&lt;=$B$3,"Low Income",IF(INDEX(tblCleanData[MonthlyIncome],786)&lt;=$B$4,"Medium Income","High Income"))</f>
        <v>High Income</v>
      </c>
      <c r="D794">
        <f>IF(INDEX(tblCleanData[Attrition],786)="Yes",1,0)</f>
        <v>0</v>
      </c>
      <c r="E794">
        <f>IF(INDEX(tblCleanData[OverTime],786)="Yes",1,0)</f>
        <v>0</v>
      </c>
      <c r="F794" t="str">
        <f>CHOOSE(INDEX(tblCleanData[Education],786),"Below College","College","Bachelor","Master","Doctor")</f>
        <v>Master</v>
      </c>
      <c r="G794" t="str">
        <f>IF(INDEX(tblCleanData[YearsAtCompany],786)&lt;=2,"0-2 Years",IF(INDEX(tblCleanData[YearsAtCompany],786)&lt;=5,"3-5 Years",IF(INDEX(tblCleanData[YearsAtCompany],786)&lt;=10,"6-10 Years","10+ Years")))</f>
        <v>10+ Years</v>
      </c>
      <c r="H794" t="str">
        <f>IF(INDEX(tblCleanData[WorkLifeBalance],786)&lt;=2,"Elevated","Normal")</f>
        <v>Normal</v>
      </c>
      <c r="I794">
        <f>IF(INDEX(tblCleanData[Age],786)&lt;30,30,IF(INDEX(tblCleanData[Age],786)&lt;40,20,IF(INDEX(tblCleanData[Age],786)&lt;50,10,15)))</f>
        <v>10</v>
      </c>
      <c r="J794">
        <f>IF(INDEX(tblCleanData[MonthlyIncome],786)&lt;=$B$3,25,IF(INDEX(tblCleanData[MonthlyIncome],786)&lt;=$B$4,12,5))</f>
        <v>5</v>
      </c>
      <c r="K794">
        <f>IF(INDEX(tblCleanData[OverTime],786)="Yes",25,0)</f>
        <v>0</v>
      </c>
      <c r="L794">
        <f>(5-INDEX(tblCleanData[JobSatisfaction],786))*6.25</f>
        <v>6.25</v>
      </c>
      <c r="M794">
        <f>IF(INDEX(tblCleanData[YearsAtCompany],786)&lt;=2,25,IF(INDEX(tblCleanData[YearsAtCompany],786)&lt;=5,15,IF(INDEX(tblCleanData[YearsAtCompany],786)&lt;=10,8,3)))</f>
        <v>3</v>
      </c>
      <c r="N794">
        <f t="shared" si="24"/>
        <v>24</v>
      </c>
      <c r="O794" t="str">
        <f t="shared" si="25"/>
        <v>Low Risk</v>
      </c>
    </row>
    <row r="795" spans="1:15" x14ac:dyDescent="0.25">
      <c r="A795">
        <f>INDEX(tblCleanData[EmployeeNumber],787)</f>
        <v>1094</v>
      </c>
      <c r="B795" t="str">
        <f>IF(INDEX(tblCleanData[Age],787)&lt;30,"Under 30",IF(INDEX(tblCleanData[Age],787)&lt;40,"30-39",IF(INDEX(tblCleanData[Age],787)&lt;50,"40-49","50+")))</f>
        <v>Under 30</v>
      </c>
      <c r="C795" t="str">
        <f>IF(INDEX(tblCleanData[MonthlyIncome],787)&lt;=$B$3,"Low Income",IF(INDEX(tblCleanData[MonthlyIncome],787)&lt;=$B$4,"Medium Income","High Income"))</f>
        <v>High Income</v>
      </c>
      <c r="D795">
        <f>IF(INDEX(tblCleanData[Attrition],787)="Yes",1,0)</f>
        <v>0</v>
      </c>
      <c r="E795">
        <f>IF(INDEX(tblCleanData[OverTime],787)="Yes",1,0)</f>
        <v>0</v>
      </c>
      <c r="F795" t="str">
        <f>CHOOSE(INDEX(tblCleanData[Education],787),"Below College","College","Bachelor","Master","Doctor")</f>
        <v>Doctor</v>
      </c>
      <c r="G795" t="str">
        <f>IF(INDEX(tblCleanData[YearsAtCompany],787)&lt;=2,"0-2 Years",IF(INDEX(tblCleanData[YearsAtCompany],787)&lt;=5,"3-5 Years",IF(INDEX(tblCleanData[YearsAtCompany],787)&lt;=10,"6-10 Years","10+ Years")))</f>
        <v>3-5 Years</v>
      </c>
      <c r="H795" t="str">
        <f>IF(INDEX(tblCleanData[WorkLifeBalance],787)&lt;=2,"Elevated","Normal")</f>
        <v>Normal</v>
      </c>
      <c r="I795">
        <f>IF(INDEX(tblCleanData[Age],787)&lt;30,30,IF(INDEX(tblCleanData[Age],787)&lt;40,20,IF(INDEX(tblCleanData[Age],787)&lt;50,10,15)))</f>
        <v>30</v>
      </c>
      <c r="J795">
        <f>IF(INDEX(tblCleanData[MonthlyIncome],787)&lt;=$B$3,25,IF(INDEX(tblCleanData[MonthlyIncome],787)&lt;=$B$4,12,5))</f>
        <v>5</v>
      </c>
      <c r="K795">
        <f>IF(INDEX(tblCleanData[OverTime],787)="Yes",25,0)</f>
        <v>0</v>
      </c>
      <c r="L795">
        <f>(5-INDEX(tblCleanData[JobSatisfaction],787))*6.25</f>
        <v>12.5</v>
      </c>
      <c r="M795">
        <f>IF(INDEX(tblCleanData[YearsAtCompany],787)&lt;=2,25,IF(INDEX(tblCleanData[YearsAtCompany],787)&lt;=5,15,IF(INDEX(tblCleanData[YearsAtCompany],787)&lt;=10,8,3)))</f>
        <v>15</v>
      </c>
      <c r="N795">
        <f t="shared" si="24"/>
        <v>63</v>
      </c>
      <c r="O795" t="str">
        <f t="shared" si="25"/>
        <v>High Risk</v>
      </c>
    </row>
    <row r="796" spans="1:15" x14ac:dyDescent="0.25">
      <c r="A796">
        <f>INDEX(tblCleanData[EmployeeNumber],788)</f>
        <v>1096</v>
      </c>
      <c r="B796" t="str">
        <f>IF(INDEX(tblCleanData[Age],788)&lt;30,"Under 30",IF(INDEX(tblCleanData[Age],788)&lt;40,"30-39",IF(INDEX(tblCleanData[Age],788)&lt;50,"40-49","50+")))</f>
        <v>50+</v>
      </c>
      <c r="C796" t="str">
        <f>IF(INDEX(tblCleanData[MonthlyIncome],788)&lt;=$B$3,"Low Income",IF(INDEX(tblCleanData[MonthlyIncome],788)&lt;=$B$4,"Medium Income","High Income"))</f>
        <v>High Income</v>
      </c>
      <c r="D796">
        <f>IF(INDEX(tblCleanData[Attrition],788)="Yes",1,0)</f>
        <v>0</v>
      </c>
      <c r="E796">
        <f>IF(INDEX(tblCleanData[OverTime],788)="Yes",1,0)</f>
        <v>0</v>
      </c>
      <c r="F796" t="str">
        <f>CHOOSE(INDEX(tblCleanData[Education],788),"Below College","College","Bachelor","Master","Doctor")</f>
        <v>Below College</v>
      </c>
      <c r="G796" t="str">
        <f>IF(INDEX(tblCleanData[YearsAtCompany],788)&lt;=2,"0-2 Years",IF(INDEX(tblCleanData[YearsAtCompany],788)&lt;=5,"3-5 Years",IF(INDEX(tblCleanData[YearsAtCompany],788)&lt;=10,"6-10 Years","10+ Years")))</f>
        <v>3-5 Years</v>
      </c>
      <c r="H796" t="str">
        <f>IF(INDEX(tblCleanData[WorkLifeBalance],788)&lt;=2,"Elevated","Normal")</f>
        <v>Normal</v>
      </c>
      <c r="I796">
        <f>IF(INDEX(tblCleanData[Age],788)&lt;30,30,IF(INDEX(tblCleanData[Age],788)&lt;40,20,IF(INDEX(tblCleanData[Age],788)&lt;50,10,15)))</f>
        <v>15</v>
      </c>
      <c r="J796">
        <f>IF(INDEX(tblCleanData[MonthlyIncome],788)&lt;=$B$3,25,IF(INDEX(tblCleanData[MonthlyIncome],788)&lt;=$B$4,12,5))</f>
        <v>5</v>
      </c>
      <c r="K796">
        <f>IF(INDEX(tblCleanData[OverTime],788)="Yes",25,0)</f>
        <v>0</v>
      </c>
      <c r="L796">
        <f>(5-INDEX(tblCleanData[JobSatisfaction],788))*6.25</f>
        <v>18.75</v>
      </c>
      <c r="M796">
        <f>IF(INDEX(tblCleanData[YearsAtCompany],788)&lt;=2,25,IF(INDEX(tblCleanData[YearsAtCompany],788)&lt;=5,15,IF(INDEX(tblCleanData[YearsAtCompany],788)&lt;=10,8,3)))</f>
        <v>15</v>
      </c>
      <c r="N796">
        <f t="shared" si="24"/>
        <v>54</v>
      </c>
      <c r="O796" t="str">
        <f t="shared" si="25"/>
        <v>Medium Risk</v>
      </c>
    </row>
    <row r="797" spans="1:15" x14ac:dyDescent="0.25">
      <c r="A797">
        <f>INDEX(tblCleanData[EmployeeNumber],789)</f>
        <v>1097</v>
      </c>
      <c r="B797" t="str">
        <f>IF(INDEX(tblCleanData[Age],789)&lt;30,"Under 30",IF(INDEX(tblCleanData[Age],789)&lt;40,"30-39",IF(INDEX(tblCleanData[Age],789)&lt;50,"40-49","50+")))</f>
        <v>Under 30</v>
      </c>
      <c r="C797" t="str">
        <f>IF(INDEX(tblCleanData[MonthlyIncome],789)&lt;=$B$3,"Low Income",IF(INDEX(tblCleanData[MonthlyIncome],789)&lt;=$B$4,"Medium Income","High Income"))</f>
        <v>High Income</v>
      </c>
      <c r="D797">
        <f>IF(INDEX(tblCleanData[Attrition],789)="Yes",1,0)</f>
        <v>0</v>
      </c>
      <c r="E797">
        <f>IF(INDEX(tblCleanData[OverTime],789)="Yes",1,0)</f>
        <v>0</v>
      </c>
      <c r="F797" t="str">
        <f>CHOOSE(INDEX(tblCleanData[Education],789),"Below College","College","Bachelor","Master","Doctor")</f>
        <v>Bachelor</v>
      </c>
      <c r="G797" t="str">
        <f>IF(INDEX(tblCleanData[YearsAtCompany],789)&lt;=2,"0-2 Years",IF(INDEX(tblCleanData[YearsAtCompany],789)&lt;=5,"3-5 Years",IF(INDEX(tblCleanData[YearsAtCompany],789)&lt;=10,"6-10 Years","10+ Years")))</f>
        <v>6-10 Years</v>
      </c>
      <c r="H797" t="str">
        <f>IF(INDEX(tblCleanData[WorkLifeBalance],789)&lt;=2,"Elevated","Normal")</f>
        <v>Normal</v>
      </c>
      <c r="I797">
        <f>IF(INDEX(tblCleanData[Age],789)&lt;30,30,IF(INDEX(tblCleanData[Age],789)&lt;40,20,IF(INDEX(tblCleanData[Age],789)&lt;50,10,15)))</f>
        <v>30</v>
      </c>
      <c r="J797">
        <f>IF(INDEX(tblCleanData[MonthlyIncome],789)&lt;=$B$3,25,IF(INDEX(tblCleanData[MonthlyIncome],789)&lt;=$B$4,12,5))</f>
        <v>5</v>
      </c>
      <c r="K797">
        <f>IF(INDEX(tblCleanData[OverTime],789)="Yes",25,0)</f>
        <v>0</v>
      </c>
      <c r="L797">
        <f>(5-INDEX(tblCleanData[JobSatisfaction],789))*6.25</f>
        <v>12.5</v>
      </c>
      <c r="M797">
        <f>IF(INDEX(tblCleanData[YearsAtCompany],789)&lt;=2,25,IF(INDEX(tblCleanData[YearsAtCompany],789)&lt;=5,15,IF(INDEX(tblCleanData[YearsAtCompany],789)&lt;=10,8,3)))</f>
        <v>8</v>
      </c>
      <c r="N797">
        <f t="shared" si="24"/>
        <v>56</v>
      </c>
      <c r="O797" t="str">
        <f t="shared" si="25"/>
        <v>High Risk</v>
      </c>
    </row>
    <row r="798" spans="1:15" x14ac:dyDescent="0.25">
      <c r="A798">
        <f>INDEX(tblCleanData[EmployeeNumber],790)</f>
        <v>1098</v>
      </c>
      <c r="B798" t="str">
        <f>IF(INDEX(tblCleanData[Age],790)&lt;30,"Under 30",IF(INDEX(tblCleanData[Age],790)&lt;40,"30-39",IF(INDEX(tblCleanData[Age],790)&lt;50,"40-49","50+")))</f>
        <v>40-49</v>
      </c>
      <c r="C798" t="str">
        <f>IF(INDEX(tblCleanData[MonthlyIncome],790)&lt;=$B$3,"Low Income",IF(INDEX(tblCleanData[MonthlyIncome],790)&lt;=$B$4,"Medium Income","High Income"))</f>
        <v>High Income</v>
      </c>
      <c r="D798">
        <f>IF(INDEX(tblCleanData[Attrition],790)="Yes",1,0)</f>
        <v>1</v>
      </c>
      <c r="E798">
        <f>IF(INDEX(tblCleanData[OverTime],790)="Yes",1,0)</f>
        <v>0</v>
      </c>
      <c r="F798" t="str">
        <f>CHOOSE(INDEX(tblCleanData[Education],790),"Below College","College","Bachelor","Master","Doctor")</f>
        <v>College</v>
      </c>
      <c r="G798" t="str">
        <f>IF(INDEX(tblCleanData[YearsAtCompany],790)&lt;=2,"0-2 Years",IF(INDEX(tblCleanData[YearsAtCompany],790)&lt;=5,"3-5 Years",IF(INDEX(tblCleanData[YearsAtCompany],790)&lt;=10,"6-10 Years","10+ Years")))</f>
        <v>10+ Years</v>
      </c>
      <c r="H798" t="str">
        <f>IF(INDEX(tblCleanData[WorkLifeBalance],790)&lt;=2,"Elevated","Normal")</f>
        <v>Normal</v>
      </c>
      <c r="I798">
        <f>IF(INDEX(tblCleanData[Age],790)&lt;30,30,IF(INDEX(tblCleanData[Age],790)&lt;40,20,IF(INDEX(tblCleanData[Age],790)&lt;50,10,15)))</f>
        <v>10</v>
      </c>
      <c r="J798">
        <f>IF(INDEX(tblCleanData[MonthlyIncome],790)&lt;=$B$3,25,IF(INDEX(tblCleanData[MonthlyIncome],790)&lt;=$B$4,12,5))</f>
        <v>5</v>
      </c>
      <c r="K798">
        <f>IF(INDEX(tblCleanData[OverTime],790)="Yes",25,0)</f>
        <v>0</v>
      </c>
      <c r="L798">
        <f>(5-INDEX(tblCleanData[JobSatisfaction],790))*6.25</f>
        <v>25</v>
      </c>
      <c r="M798">
        <f>IF(INDEX(tblCleanData[YearsAtCompany],790)&lt;=2,25,IF(INDEX(tblCleanData[YearsAtCompany],790)&lt;=5,15,IF(INDEX(tblCleanData[YearsAtCompany],790)&lt;=10,8,3)))</f>
        <v>3</v>
      </c>
      <c r="N798">
        <f t="shared" si="24"/>
        <v>43</v>
      </c>
      <c r="O798" t="str">
        <f t="shared" si="25"/>
        <v>Medium Risk</v>
      </c>
    </row>
    <row r="799" spans="1:15" x14ac:dyDescent="0.25">
      <c r="A799">
        <f>INDEX(tblCleanData[EmployeeNumber],791)</f>
        <v>1099</v>
      </c>
      <c r="B799" t="str">
        <f>IF(INDEX(tblCleanData[Age],791)&lt;30,"Under 30",IF(INDEX(tblCleanData[Age],791)&lt;40,"30-39",IF(INDEX(tblCleanData[Age],791)&lt;50,"40-49","50+")))</f>
        <v>30-39</v>
      </c>
      <c r="C799" t="str">
        <f>IF(INDEX(tblCleanData[MonthlyIncome],791)&lt;=$B$3,"Low Income",IF(INDEX(tblCleanData[MonthlyIncome],791)&lt;=$B$4,"Medium Income","High Income"))</f>
        <v>High Income</v>
      </c>
      <c r="D799">
        <f>IF(INDEX(tblCleanData[Attrition],791)="Yes",1,0)</f>
        <v>0</v>
      </c>
      <c r="E799">
        <f>IF(INDEX(tblCleanData[OverTime],791)="Yes",1,0)</f>
        <v>0</v>
      </c>
      <c r="F799" t="str">
        <f>CHOOSE(INDEX(tblCleanData[Education],791),"Below College","College","Bachelor","Master","Doctor")</f>
        <v>Bachelor</v>
      </c>
      <c r="G799" t="str">
        <f>IF(INDEX(tblCleanData[YearsAtCompany],791)&lt;=2,"0-2 Years",IF(INDEX(tblCleanData[YearsAtCompany],791)&lt;=5,"3-5 Years",IF(INDEX(tblCleanData[YearsAtCompany],791)&lt;=10,"6-10 Years","10+ Years")))</f>
        <v>3-5 Years</v>
      </c>
      <c r="H799" t="str">
        <f>IF(INDEX(tblCleanData[WorkLifeBalance],791)&lt;=2,"Elevated","Normal")</f>
        <v>Normal</v>
      </c>
      <c r="I799">
        <f>IF(INDEX(tblCleanData[Age],791)&lt;30,30,IF(INDEX(tblCleanData[Age],791)&lt;40,20,IF(INDEX(tblCleanData[Age],791)&lt;50,10,15)))</f>
        <v>20</v>
      </c>
      <c r="J799">
        <f>IF(INDEX(tblCleanData[MonthlyIncome],791)&lt;=$B$3,25,IF(INDEX(tblCleanData[MonthlyIncome],791)&lt;=$B$4,12,5))</f>
        <v>5</v>
      </c>
      <c r="K799">
        <f>IF(INDEX(tblCleanData[OverTime],791)="Yes",25,0)</f>
        <v>0</v>
      </c>
      <c r="L799">
        <f>(5-INDEX(tblCleanData[JobSatisfaction],791))*6.25</f>
        <v>6.25</v>
      </c>
      <c r="M799">
        <f>IF(INDEX(tblCleanData[YearsAtCompany],791)&lt;=2,25,IF(INDEX(tblCleanData[YearsAtCompany],791)&lt;=5,15,IF(INDEX(tblCleanData[YearsAtCompany],791)&lt;=10,8,3)))</f>
        <v>15</v>
      </c>
      <c r="N799">
        <f t="shared" si="24"/>
        <v>46</v>
      </c>
      <c r="O799" t="str">
        <f t="shared" si="25"/>
        <v>Medium Risk</v>
      </c>
    </row>
    <row r="800" spans="1:15" x14ac:dyDescent="0.25">
      <c r="A800">
        <f>INDEX(tblCleanData[EmployeeNumber],792)</f>
        <v>1100</v>
      </c>
      <c r="B800" t="str">
        <f>IF(INDEX(tblCleanData[Age],792)&lt;30,"Under 30",IF(INDEX(tblCleanData[Age],792)&lt;40,"30-39",IF(INDEX(tblCleanData[Age],792)&lt;50,"40-49","50+")))</f>
        <v>30-39</v>
      </c>
      <c r="C800" t="str">
        <f>IF(INDEX(tblCleanData[MonthlyIncome],792)&lt;=$B$3,"Low Income",IF(INDEX(tblCleanData[MonthlyIncome],792)&lt;=$B$4,"Medium Income","High Income"))</f>
        <v>High Income</v>
      </c>
      <c r="D800">
        <f>IF(INDEX(tblCleanData[Attrition],792)="Yes",1,0)</f>
        <v>1</v>
      </c>
      <c r="E800">
        <f>IF(INDEX(tblCleanData[OverTime],792)="Yes",1,0)</f>
        <v>1</v>
      </c>
      <c r="F800" t="str">
        <f>CHOOSE(INDEX(tblCleanData[Education],792),"Below College","College","Bachelor","Master","Doctor")</f>
        <v>Bachelor</v>
      </c>
      <c r="G800" t="str">
        <f>IF(INDEX(tblCleanData[YearsAtCompany],792)&lt;=2,"0-2 Years",IF(INDEX(tblCleanData[YearsAtCompany],792)&lt;=5,"3-5 Years",IF(INDEX(tblCleanData[YearsAtCompany],792)&lt;=10,"6-10 Years","10+ Years")))</f>
        <v>6-10 Years</v>
      </c>
      <c r="H800" t="str">
        <f>IF(INDEX(tblCleanData[WorkLifeBalance],792)&lt;=2,"Elevated","Normal")</f>
        <v>Normal</v>
      </c>
      <c r="I800">
        <f>IF(INDEX(tblCleanData[Age],792)&lt;30,30,IF(INDEX(tblCleanData[Age],792)&lt;40,20,IF(INDEX(tblCleanData[Age],792)&lt;50,10,15)))</f>
        <v>20</v>
      </c>
      <c r="J800">
        <f>IF(INDEX(tblCleanData[MonthlyIncome],792)&lt;=$B$3,25,IF(INDEX(tblCleanData[MonthlyIncome],792)&lt;=$B$4,12,5))</f>
        <v>5</v>
      </c>
      <c r="K800">
        <f>IF(INDEX(tblCleanData[OverTime],792)="Yes",25,0)</f>
        <v>25</v>
      </c>
      <c r="L800">
        <f>(5-INDEX(tblCleanData[JobSatisfaction],792))*6.25</f>
        <v>25</v>
      </c>
      <c r="M800">
        <f>IF(INDEX(tblCleanData[YearsAtCompany],792)&lt;=2,25,IF(INDEX(tblCleanData[YearsAtCompany],792)&lt;=5,15,IF(INDEX(tblCleanData[YearsAtCompany],792)&lt;=10,8,3)))</f>
        <v>8</v>
      </c>
      <c r="N800">
        <f t="shared" si="24"/>
        <v>83</v>
      </c>
      <c r="O800" t="str">
        <f t="shared" si="25"/>
        <v>High Risk</v>
      </c>
    </row>
    <row r="801" spans="1:15" x14ac:dyDescent="0.25">
      <c r="A801">
        <f>INDEX(tblCleanData[EmployeeNumber],793)</f>
        <v>1101</v>
      </c>
      <c r="B801" t="str">
        <f>IF(INDEX(tblCleanData[Age],793)&lt;30,"Under 30",IF(INDEX(tblCleanData[Age],793)&lt;40,"30-39",IF(INDEX(tblCleanData[Age],793)&lt;50,"40-49","50+")))</f>
        <v>30-39</v>
      </c>
      <c r="C801" t="str">
        <f>IF(INDEX(tblCleanData[MonthlyIncome],793)&lt;=$B$3,"Low Income",IF(INDEX(tblCleanData[MonthlyIncome],793)&lt;=$B$4,"Medium Income","High Income"))</f>
        <v>High Income</v>
      </c>
      <c r="D801">
        <f>IF(INDEX(tblCleanData[Attrition],793)="Yes",1,0)</f>
        <v>1</v>
      </c>
      <c r="E801">
        <f>IF(INDEX(tblCleanData[OverTime],793)="Yes",1,0)</f>
        <v>0</v>
      </c>
      <c r="F801" t="str">
        <f>CHOOSE(INDEX(tblCleanData[Education],793),"Below College","College","Bachelor","Master","Doctor")</f>
        <v>Master</v>
      </c>
      <c r="G801" t="str">
        <f>IF(INDEX(tblCleanData[YearsAtCompany],793)&lt;=2,"0-2 Years",IF(INDEX(tblCleanData[YearsAtCompany],793)&lt;=5,"3-5 Years",IF(INDEX(tblCleanData[YearsAtCompany],793)&lt;=10,"6-10 Years","10+ Years")))</f>
        <v>10+ Years</v>
      </c>
      <c r="H801" t="str">
        <f>IF(INDEX(tblCleanData[WorkLifeBalance],793)&lt;=2,"Elevated","Normal")</f>
        <v>Normal</v>
      </c>
      <c r="I801">
        <f>IF(INDEX(tblCleanData[Age],793)&lt;30,30,IF(INDEX(tblCleanData[Age],793)&lt;40,20,IF(INDEX(tblCleanData[Age],793)&lt;50,10,15)))</f>
        <v>20</v>
      </c>
      <c r="J801">
        <f>IF(INDEX(tblCleanData[MonthlyIncome],793)&lt;=$B$3,25,IF(INDEX(tblCleanData[MonthlyIncome],793)&lt;=$B$4,12,5))</f>
        <v>5</v>
      </c>
      <c r="K801">
        <f>IF(INDEX(tblCleanData[OverTime],793)="Yes",25,0)</f>
        <v>0</v>
      </c>
      <c r="L801">
        <f>(5-INDEX(tblCleanData[JobSatisfaction],793))*6.25</f>
        <v>12.5</v>
      </c>
      <c r="M801">
        <f>IF(INDEX(tblCleanData[YearsAtCompany],793)&lt;=2,25,IF(INDEX(tblCleanData[YearsAtCompany],793)&lt;=5,15,IF(INDEX(tblCleanData[YearsAtCompany],793)&lt;=10,8,3)))</f>
        <v>3</v>
      </c>
      <c r="N801">
        <f t="shared" si="24"/>
        <v>41</v>
      </c>
      <c r="O801" t="str">
        <f t="shared" si="25"/>
        <v>Medium Risk</v>
      </c>
    </row>
    <row r="802" spans="1:15" x14ac:dyDescent="0.25">
      <c r="A802">
        <f>INDEX(tblCleanData[EmployeeNumber],794)</f>
        <v>1102</v>
      </c>
      <c r="B802" t="str">
        <f>IF(INDEX(tblCleanData[Age],794)&lt;30,"Under 30",IF(INDEX(tblCleanData[Age],794)&lt;40,"30-39",IF(INDEX(tblCleanData[Age],794)&lt;50,"40-49","50+")))</f>
        <v>Under 30</v>
      </c>
      <c r="C802" t="str">
        <f>IF(INDEX(tblCleanData[MonthlyIncome],794)&lt;=$B$3,"Low Income",IF(INDEX(tblCleanData[MonthlyIncome],794)&lt;=$B$4,"Medium Income","High Income"))</f>
        <v>High Income</v>
      </c>
      <c r="D802">
        <f>IF(INDEX(tblCleanData[Attrition],794)="Yes",1,0)</f>
        <v>0</v>
      </c>
      <c r="E802">
        <f>IF(INDEX(tblCleanData[OverTime],794)="Yes",1,0)</f>
        <v>0</v>
      </c>
      <c r="F802" t="str">
        <f>CHOOSE(INDEX(tblCleanData[Education],794),"Below College","College","Bachelor","Master","Doctor")</f>
        <v>College</v>
      </c>
      <c r="G802" t="str">
        <f>IF(INDEX(tblCleanData[YearsAtCompany],794)&lt;=2,"0-2 Years",IF(INDEX(tblCleanData[YearsAtCompany],794)&lt;=5,"3-5 Years",IF(INDEX(tblCleanData[YearsAtCompany],794)&lt;=10,"6-10 Years","10+ Years")))</f>
        <v>3-5 Years</v>
      </c>
      <c r="H802" t="str">
        <f>IF(INDEX(tblCleanData[WorkLifeBalance],794)&lt;=2,"Elevated","Normal")</f>
        <v>Elevated</v>
      </c>
      <c r="I802">
        <f>IF(INDEX(tblCleanData[Age],794)&lt;30,30,IF(INDEX(tblCleanData[Age],794)&lt;40,20,IF(INDEX(tblCleanData[Age],794)&lt;50,10,15)))</f>
        <v>30</v>
      </c>
      <c r="J802">
        <f>IF(INDEX(tblCleanData[MonthlyIncome],794)&lt;=$B$3,25,IF(INDEX(tblCleanData[MonthlyIncome],794)&lt;=$B$4,12,5))</f>
        <v>5</v>
      </c>
      <c r="K802">
        <f>IF(INDEX(tblCleanData[OverTime],794)="Yes",25,0)</f>
        <v>0</v>
      </c>
      <c r="L802">
        <f>(5-INDEX(tblCleanData[JobSatisfaction],794))*6.25</f>
        <v>12.5</v>
      </c>
      <c r="M802">
        <f>IF(INDEX(tblCleanData[YearsAtCompany],794)&lt;=2,25,IF(INDEX(tblCleanData[YearsAtCompany],794)&lt;=5,15,IF(INDEX(tblCleanData[YearsAtCompany],794)&lt;=10,8,3)))</f>
        <v>15</v>
      </c>
      <c r="N802">
        <f t="shared" si="24"/>
        <v>63</v>
      </c>
      <c r="O802" t="str">
        <f t="shared" si="25"/>
        <v>High Risk</v>
      </c>
    </row>
    <row r="803" spans="1:15" x14ac:dyDescent="0.25">
      <c r="A803">
        <f>INDEX(tblCleanData[EmployeeNumber],795)</f>
        <v>1103</v>
      </c>
      <c r="B803" t="str">
        <f>IF(INDEX(tblCleanData[Age],795)&lt;30,"Under 30",IF(INDEX(tblCleanData[Age],795)&lt;40,"30-39",IF(INDEX(tblCleanData[Age],795)&lt;50,"40-49","50+")))</f>
        <v>30-39</v>
      </c>
      <c r="C803" t="str">
        <f>IF(INDEX(tblCleanData[MonthlyIncome],795)&lt;=$B$3,"Low Income",IF(INDEX(tblCleanData[MonthlyIncome],795)&lt;=$B$4,"Medium Income","High Income"))</f>
        <v>High Income</v>
      </c>
      <c r="D803">
        <f>IF(INDEX(tblCleanData[Attrition],795)="Yes",1,0)</f>
        <v>0</v>
      </c>
      <c r="E803">
        <f>IF(INDEX(tblCleanData[OverTime],795)="Yes",1,0)</f>
        <v>0</v>
      </c>
      <c r="F803" t="str">
        <f>CHOOSE(INDEX(tblCleanData[Education],795),"Below College","College","Bachelor","Master","Doctor")</f>
        <v>Below College</v>
      </c>
      <c r="G803" t="str">
        <f>IF(INDEX(tblCleanData[YearsAtCompany],795)&lt;=2,"0-2 Years",IF(INDEX(tblCleanData[YearsAtCompany],795)&lt;=5,"3-5 Years",IF(INDEX(tblCleanData[YearsAtCompany],795)&lt;=10,"6-10 Years","10+ Years")))</f>
        <v>6-10 Years</v>
      </c>
      <c r="H803" t="str">
        <f>IF(INDEX(tblCleanData[WorkLifeBalance],795)&lt;=2,"Elevated","Normal")</f>
        <v>Elevated</v>
      </c>
      <c r="I803">
        <f>IF(INDEX(tblCleanData[Age],795)&lt;30,30,IF(INDEX(tblCleanData[Age],795)&lt;40,20,IF(INDEX(tblCleanData[Age],795)&lt;50,10,15)))</f>
        <v>20</v>
      </c>
      <c r="J803">
        <f>IF(INDEX(tblCleanData[MonthlyIncome],795)&lt;=$B$3,25,IF(INDEX(tblCleanData[MonthlyIncome],795)&lt;=$B$4,12,5))</f>
        <v>5</v>
      </c>
      <c r="K803">
        <f>IF(INDEX(tblCleanData[OverTime],795)="Yes",25,0)</f>
        <v>0</v>
      </c>
      <c r="L803">
        <f>(5-INDEX(tblCleanData[JobSatisfaction],795))*6.25</f>
        <v>6.25</v>
      </c>
      <c r="M803">
        <f>IF(INDEX(tblCleanData[YearsAtCompany],795)&lt;=2,25,IF(INDEX(tblCleanData[YearsAtCompany],795)&lt;=5,15,IF(INDEX(tblCleanData[YearsAtCompany],795)&lt;=10,8,3)))</f>
        <v>8</v>
      </c>
      <c r="N803">
        <f t="shared" si="24"/>
        <v>39</v>
      </c>
      <c r="O803" t="str">
        <f t="shared" si="25"/>
        <v>Medium Risk</v>
      </c>
    </row>
    <row r="804" spans="1:15" x14ac:dyDescent="0.25">
      <c r="A804">
        <f>INDEX(tblCleanData[EmployeeNumber],796)</f>
        <v>1105</v>
      </c>
      <c r="B804" t="str">
        <f>IF(INDEX(tblCleanData[Age],796)&lt;30,"Under 30",IF(INDEX(tblCleanData[Age],796)&lt;40,"30-39",IF(INDEX(tblCleanData[Age],796)&lt;50,"40-49","50+")))</f>
        <v>30-39</v>
      </c>
      <c r="C804" t="str">
        <f>IF(INDEX(tblCleanData[MonthlyIncome],796)&lt;=$B$3,"Low Income",IF(INDEX(tblCleanData[MonthlyIncome],796)&lt;=$B$4,"Medium Income","High Income"))</f>
        <v>High Income</v>
      </c>
      <c r="D804">
        <f>IF(INDEX(tblCleanData[Attrition],796)="Yes",1,0)</f>
        <v>0</v>
      </c>
      <c r="E804">
        <f>IF(INDEX(tblCleanData[OverTime],796)="Yes",1,0)</f>
        <v>1</v>
      </c>
      <c r="F804" t="str">
        <f>CHOOSE(INDEX(tblCleanData[Education],796),"Below College","College","Bachelor","Master","Doctor")</f>
        <v>Master</v>
      </c>
      <c r="G804" t="str">
        <f>IF(INDEX(tblCleanData[YearsAtCompany],796)&lt;=2,"0-2 Years",IF(INDEX(tblCleanData[YearsAtCompany],796)&lt;=5,"3-5 Years",IF(INDEX(tblCleanData[YearsAtCompany],796)&lt;=10,"6-10 Years","10+ Years")))</f>
        <v>0-2 Years</v>
      </c>
      <c r="H804" t="str">
        <f>IF(INDEX(tblCleanData[WorkLifeBalance],796)&lt;=2,"Elevated","Normal")</f>
        <v>Normal</v>
      </c>
      <c r="I804">
        <f>IF(INDEX(tblCleanData[Age],796)&lt;30,30,IF(INDEX(tblCleanData[Age],796)&lt;40,20,IF(INDEX(tblCleanData[Age],796)&lt;50,10,15)))</f>
        <v>20</v>
      </c>
      <c r="J804">
        <f>IF(INDEX(tblCleanData[MonthlyIncome],796)&lt;=$B$3,25,IF(INDEX(tblCleanData[MonthlyIncome],796)&lt;=$B$4,12,5))</f>
        <v>5</v>
      </c>
      <c r="K804">
        <f>IF(INDEX(tblCleanData[OverTime],796)="Yes",25,0)</f>
        <v>25</v>
      </c>
      <c r="L804">
        <f>(5-INDEX(tblCleanData[JobSatisfaction],796))*6.25</f>
        <v>6.25</v>
      </c>
      <c r="M804">
        <f>IF(INDEX(tblCleanData[YearsAtCompany],796)&lt;=2,25,IF(INDEX(tblCleanData[YearsAtCompany],796)&lt;=5,15,IF(INDEX(tblCleanData[YearsAtCompany],796)&lt;=10,8,3)))</f>
        <v>25</v>
      </c>
      <c r="N804">
        <f t="shared" si="24"/>
        <v>81</v>
      </c>
      <c r="O804" t="str">
        <f t="shared" si="25"/>
        <v>High Risk</v>
      </c>
    </row>
    <row r="805" spans="1:15" x14ac:dyDescent="0.25">
      <c r="A805">
        <f>INDEX(tblCleanData[EmployeeNumber],797)</f>
        <v>1106</v>
      </c>
      <c r="B805" t="str">
        <f>IF(INDEX(tblCleanData[Age],797)&lt;30,"Under 30",IF(INDEX(tblCleanData[Age],797)&lt;40,"30-39",IF(INDEX(tblCleanData[Age],797)&lt;50,"40-49","50+")))</f>
        <v>Under 30</v>
      </c>
      <c r="C805" t="str">
        <f>IF(INDEX(tblCleanData[MonthlyIncome],797)&lt;=$B$3,"Low Income",IF(INDEX(tblCleanData[MonthlyIncome],797)&lt;=$B$4,"Medium Income","High Income"))</f>
        <v>High Income</v>
      </c>
      <c r="D805">
        <f>IF(INDEX(tblCleanData[Attrition],797)="Yes",1,0)</f>
        <v>1</v>
      </c>
      <c r="E805">
        <f>IF(INDEX(tblCleanData[OverTime],797)="Yes",1,0)</f>
        <v>1</v>
      </c>
      <c r="F805" t="str">
        <f>CHOOSE(INDEX(tblCleanData[Education],797),"Below College","College","Bachelor","Master","Doctor")</f>
        <v>Below College</v>
      </c>
      <c r="G805" t="str">
        <f>IF(INDEX(tblCleanData[YearsAtCompany],797)&lt;=2,"0-2 Years",IF(INDEX(tblCleanData[YearsAtCompany],797)&lt;=5,"3-5 Years",IF(INDEX(tblCleanData[YearsAtCompany],797)&lt;=10,"6-10 Years","10+ Years")))</f>
        <v>6-10 Years</v>
      </c>
      <c r="H805" t="str">
        <f>IF(INDEX(tblCleanData[WorkLifeBalance],797)&lt;=2,"Elevated","Normal")</f>
        <v>Normal</v>
      </c>
      <c r="I805">
        <f>IF(INDEX(tblCleanData[Age],797)&lt;30,30,IF(INDEX(tblCleanData[Age],797)&lt;40,20,IF(INDEX(tblCleanData[Age],797)&lt;50,10,15)))</f>
        <v>30</v>
      </c>
      <c r="J805">
        <f>IF(INDEX(tblCleanData[MonthlyIncome],797)&lt;=$B$3,25,IF(INDEX(tblCleanData[MonthlyIncome],797)&lt;=$B$4,12,5))</f>
        <v>5</v>
      </c>
      <c r="K805">
        <f>IF(INDEX(tblCleanData[OverTime],797)="Yes",25,0)</f>
        <v>25</v>
      </c>
      <c r="L805">
        <f>(5-INDEX(tblCleanData[JobSatisfaction],797))*6.25</f>
        <v>6.25</v>
      </c>
      <c r="M805">
        <f>IF(INDEX(tblCleanData[YearsAtCompany],797)&lt;=2,25,IF(INDEX(tblCleanData[YearsAtCompany],797)&lt;=5,15,IF(INDEX(tblCleanData[YearsAtCompany],797)&lt;=10,8,3)))</f>
        <v>8</v>
      </c>
      <c r="N805">
        <f t="shared" si="24"/>
        <v>74</v>
      </c>
      <c r="O805" t="str">
        <f t="shared" si="25"/>
        <v>High Risk</v>
      </c>
    </row>
    <row r="806" spans="1:15" x14ac:dyDescent="0.25">
      <c r="A806">
        <f>INDEX(tblCleanData[EmployeeNumber],798)</f>
        <v>1107</v>
      </c>
      <c r="B806" t="str">
        <f>IF(INDEX(tblCleanData[Age],798)&lt;30,"Under 30",IF(INDEX(tblCleanData[Age],798)&lt;40,"30-39",IF(INDEX(tblCleanData[Age],798)&lt;50,"40-49","50+")))</f>
        <v>Under 30</v>
      </c>
      <c r="C806" t="str">
        <f>IF(INDEX(tblCleanData[MonthlyIncome],798)&lt;=$B$3,"Low Income",IF(INDEX(tblCleanData[MonthlyIncome],798)&lt;=$B$4,"Medium Income","High Income"))</f>
        <v>High Income</v>
      </c>
      <c r="D806">
        <f>IF(INDEX(tblCleanData[Attrition],798)="Yes",1,0)</f>
        <v>1</v>
      </c>
      <c r="E806">
        <f>IF(INDEX(tblCleanData[OverTime],798)="Yes",1,0)</f>
        <v>0</v>
      </c>
      <c r="F806" t="str">
        <f>CHOOSE(INDEX(tblCleanData[Education],798),"Below College","College","Bachelor","Master","Doctor")</f>
        <v>Bachelor</v>
      </c>
      <c r="G806" t="str">
        <f>IF(INDEX(tblCleanData[YearsAtCompany],798)&lt;=2,"0-2 Years",IF(INDEX(tblCleanData[YearsAtCompany],798)&lt;=5,"3-5 Years",IF(INDEX(tblCleanData[YearsAtCompany],798)&lt;=10,"6-10 Years","10+ Years")))</f>
        <v>0-2 Years</v>
      </c>
      <c r="H806" t="str">
        <f>IF(INDEX(tblCleanData[WorkLifeBalance],798)&lt;=2,"Elevated","Normal")</f>
        <v>Elevated</v>
      </c>
      <c r="I806">
        <f>IF(INDEX(tblCleanData[Age],798)&lt;30,30,IF(INDEX(tblCleanData[Age],798)&lt;40,20,IF(INDEX(tblCleanData[Age],798)&lt;50,10,15)))</f>
        <v>30</v>
      </c>
      <c r="J806">
        <f>IF(INDEX(tblCleanData[MonthlyIncome],798)&lt;=$B$3,25,IF(INDEX(tblCleanData[MonthlyIncome],798)&lt;=$B$4,12,5))</f>
        <v>5</v>
      </c>
      <c r="K806">
        <f>IF(INDEX(tblCleanData[OverTime],798)="Yes",25,0)</f>
        <v>0</v>
      </c>
      <c r="L806">
        <f>(5-INDEX(tblCleanData[JobSatisfaction],798))*6.25</f>
        <v>12.5</v>
      </c>
      <c r="M806">
        <f>IF(INDEX(tblCleanData[YearsAtCompany],798)&lt;=2,25,IF(INDEX(tblCleanData[YearsAtCompany],798)&lt;=5,15,IF(INDEX(tblCleanData[YearsAtCompany],798)&lt;=10,8,3)))</f>
        <v>25</v>
      </c>
      <c r="N806">
        <f t="shared" si="24"/>
        <v>73</v>
      </c>
      <c r="O806" t="str">
        <f t="shared" si="25"/>
        <v>High Risk</v>
      </c>
    </row>
    <row r="807" spans="1:15" x14ac:dyDescent="0.25">
      <c r="A807">
        <f>INDEX(tblCleanData[EmployeeNumber],799)</f>
        <v>1108</v>
      </c>
      <c r="B807" t="str">
        <f>IF(INDEX(tblCleanData[Age],799)&lt;30,"Under 30",IF(INDEX(tblCleanData[Age],799)&lt;40,"30-39",IF(INDEX(tblCleanData[Age],799)&lt;50,"40-49","50+")))</f>
        <v>30-39</v>
      </c>
      <c r="C807" t="str">
        <f>IF(INDEX(tblCleanData[MonthlyIncome],799)&lt;=$B$3,"Low Income",IF(INDEX(tblCleanData[MonthlyIncome],799)&lt;=$B$4,"Medium Income","High Income"))</f>
        <v>High Income</v>
      </c>
      <c r="D807">
        <f>IF(INDEX(tblCleanData[Attrition],799)="Yes",1,0)</f>
        <v>1</v>
      </c>
      <c r="E807">
        <f>IF(INDEX(tblCleanData[OverTime],799)="Yes",1,0)</f>
        <v>1</v>
      </c>
      <c r="F807" t="str">
        <f>CHOOSE(INDEX(tblCleanData[Education],799),"Below College","College","Bachelor","Master","Doctor")</f>
        <v>Bachelor</v>
      </c>
      <c r="G807" t="str">
        <f>IF(INDEX(tblCleanData[YearsAtCompany],799)&lt;=2,"0-2 Years",IF(INDEX(tblCleanData[YearsAtCompany],799)&lt;=5,"3-5 Years",IF(INDEX(tblCleanData[YearsAtCompany],799)&lt;=10,"6-10 Years","10+ Years")))</f>
        <v>0-2 Years</v>
      </c>
      <c r="H807" t="str">
        <f>IF(INDEX(tblCleanData[WorkLifeBalance],799)&lt;=2,"Elevated","Normal")</f>
        <v>Normal</v>
      </c>
      <c r="I807">
        <f>IF(INDEX(tblCleanData[Age],799)&lt;30,30,IF(INDEX(tblCleanData[Age],799)&lt;40,20,IF(INDEX(tblCleanData[Age],799)&lt;50,10,15)))</f>
        <v>20</v>
      </c>
      <c r="J807">
        <f>IF(INDEX(tblCleanData[MonthlyIncome],799)&lt;=$B$3,25,IF(INDEX(tblCleanData[MonthlyIncome],799)&lt;=$B$4,12,5))</f>
        <v>5</v>
      </c>
      <c r="K807">
        <f>IF(INDEX(tblCleanData[OverTime],799)="Yes",25,0)</f>
        <v>25</v>
      </c>
      <c r="L807">
        <f>(5-INDEX(tblCleanData[JobSatisfaction],799))*6.25</f>
        <v>18.75</v>
      </c>
      <c r="M807">
        <f>IF(INDEX(tblCleanData[YearsAtCompany],799)&lt;=2,25,IF(INDEX(tblCleanData[YearsAtCompany],799)&lt;=5,15,IF(INDEX(tblCleanData[YearsAtCompany],799)&lt;=10,8,3)))</f>
        <v>25</v>
      </c>
      <c r="N807">
        <f t="shared" si="24"/>
        <v>94</v>
      </c>
      <c r="O807" t="str">
        <f t="shared" si="25"/>
        <v>High Risk</v>
      </c>
    </row>
    <row r="808" spans="1:15" x14ac:dyDescent="0.25">
      <c r="A808">
        <f>INDEX(tblCleanData[EmployeeNumber],800)</f>
        <v>1109</v>
      </c>
      <c r="B808" t="str">
        <f>IF(INDEX(tblCleanData[Age],800)&lt;30,"Under 30",IF(INDEX(tblCleanData[Age],800)&lt;40,"30-39",IF(INDEX(tblCleanData[Age],800)&lt;50,"40-49","50+")))</f>
        <v>40-49</v>
      </c>
      <c r="C808" t="str">
        <f>IF(INDEX(tblCleanData[MonthlyIncome],800)&lt;=$B$3,"Low Income",IF(INDEX(tblCleanData[MonthlyIncome],800)&lt;=$B$4,"Medium Income","High Income"))</f>
        <v>High Income</v>
      </c>
      <c r="D808">
        <f>IF(INDEX(tblCleanData[Attrition],800)="Yes",1,0)</f>
        <v>0</v>
      </c>
      <c r="E808">
        <f>IF(INDEX(tblCleanData[OverTime],800)="Yes",1,0)</f>
        <v>0</v>
      </c>
      <c r="F808" t="str">
        <f>CHOOSE(INDEX(tblCleanData[Education],800),"Below College","College","Bachelor","Master","Doctor")</f>
        <v>College</v>
      </c>
      <c r="G808" t="str">
        <f>IF(INDEX(tblCleanData[YearsAtCompany],800)&lt;=2,"0-2 Years",IF(INDEX(tblCleanData[YearsAtCompany],800)&lt;=5,"3-5 Years",IF(INDEX(tblCleanData[YearsAtCompany],800)&lt;=10,"6-10 Years","10+ Years")))</f>
        <v>10+ Years</v>
      </c>
      <c r="H808" t="str">
        <f>IF(INDEX(tblCleanData[WorkLifeBalance],800)&lt;=2,"Elevated","Normal")</f>
        <v>Normal</v>
      </c>
      <c r="I808">
        <f>IF(INDEX(tblCleanData[Age],800)&lt;30,30,IF(INDEX(tblCleanData[Age],800)&lt;40,20,IF(INDEX(tblCleanData[Age],800)&lt;50,10,15)))</f>
        <v>10</v>
      </c>
      <c r="J808">
        <f>IF(INDEX(tblCleanData[MonthlyIncome],800)&lt;=$B$3,25,IF(INDEX(tblCleanData[MonthlyIncome],800)&lt;=$B$4,12,5))</f>
        <v>5</v>
      </c>
      <c r="K808">
        <f>IF(INDEX(tblCleanData[OverTime],800)="Yes",25,0)</f>
        <v>0</v>
      </c>
      <c r="L808">
        <f>(5-INDEX(tblCleanData[JobSatisfaction],800))*6.25</f>
        <v>25</v>
      </c>
      <c r="M808">
        <f>IF(INDEX(tblCleanData[YearsAtCompany],800)&lt;=2,25,IF(INDEX(tblCleanData[YearsAtCompany],800)&lt;=5,15,IF(INDEX(tblCleanData[YearsAtCompany],800)&lt;=10,8,3)))</f>
        <v>3</v>
      </c>
      <c r="N808">
        <f t="shared" si="24"/>
        <v>43</v>
      </c>
      <c r="O808" t="str">
        <f t="shared" si="25"/>
        <v>Medium Risk</v>
      </c>
    </row>
    <row r="809" spans="1:15" x14ac:dyDescent="0.25">
      <c r="A809">
        <f>INDEX(tblCleanData[EmployeeNumber],801)</f>
        <v>1111</v>
      </c>
      <c r="B809" t="str">
        <f>IF(INDEX(tblCleanData[Age],801)&lt;30,"Under 30",IF(INDEX(tblCleanData[Age],801)&lt;40,"30-39",IF(INDEX(tblCleanData[Age],801)&lt;50,"40-49","50+")))</f>
        <v>Under 30</v>
      </c>
      <c r="C809" t="str">
        <f>IF(INDEX(tblCleanData[MonthlyIncome],801)&lt;=$B$3,"Low Income",IF(INDEX(tblCleanData[MonthlyIncome],801)&lt;=$B$4,"Medium Income","High Income"))</f>
        <v>High Income</v>
      </c>
      <c r="D809">
        <f>IF(INDEX(tblCleanData[Attrition],801)="Yes",1,0)</f>
        <v>1</v>
      </c>
      <c r="E809">
        <f>IF(INDEX(tblCleanData[OverTime],801)="Yes",1,0)</f>
        <v>0</v>
      </c>
      <c r="F809" t="str">
        <f>CHOOSE(INDEX(tblCleanData[Education],801),"Below College","College","Bachelor","Master","Doctor")</f>
        <v>Bachelor</v>
      </c>
      <c r="G809" t="str">
        <f>IF(INDEX(tblCleanData[YearsAtCompany],801)&lt;=2,"0-2 Years",IF(INDEX(tblCleanData[YearsAtCompany],801)&lt;=5,"3-5 Years",IF(INDEX(tblCleanData[YearsAtCompany],801)&lt;=10,"6-10 Years","10+ Years")))</f>
        <v>0-2 Years</v>
      </c>
      <c r="H809" t="str">
        <f>IF(INDEX(tblCleanData[WorkLifeBalance],801)&lt;=2,"Elevated","Normal")</f>
        <v>Normal</v>
      </c>
      <c r="I809">
        <f>IF(INDEX(tblCleanData[Age],801)&lt;30,30,IF(INDEX(tblCleanData[Age],801)&lt;40,20,IF(INDEX(tblCleanData[Age],801)&lt;50,10,15)))</f>
        <v>30</v>
      </c>
      <c r="J809">
        <f>IF(INDEX(tblCleanData[MonthlyIncome],801)&lt;=$B$3,25,IF(INDEX(tblCleanData[MonthlyIncome],801)&lt;=$B$4,12,5))</f>
        <v>5</v>
      </c>
      <c r="K809">
        <f>IF(INDEX(tblCleanData[OverTime],801)="Yes",25,0)</f>
        <v>0</v>
      </c>
      <c r="L809">
        <f>(5-INDEX(tblCleanData[JobSatisfaction],801))*6.25</f>
        <v>18.75</v>
      </c>
      <c r="M809">
        <f>IF(INDEX(tblCleanData[YearsAtCompany],801)&lt;=2,25,IF(INDEX(tblCleanData[YearsAtCompany],801)&lt;=5,15,IF(INDEX(tblCleanData[YearsAtCompany],801)&lt;=10,8,3)))</f>
        <v>25</v>
      </c>
      <c r="N809">
        <f t="shared" si="24"/>
        <v>79</v>
      </c>
      <c r="O809" t="str">
        <f t="shared" si="25"/>
        <v>High Risk</v>
      </c>
    </row>
    <row r="810" spans="1:15" x14ac:dyDescent="0.25">
      <c r="A810">
        <f>INDEX(tblCleanData[EmployeeNumber],802)</f>
        <v>1113</v>
      </c>
      <c r="B810" t="str">
        <f>IF(INDEX(tblCleanData[Age],802)&lt;30,"Under 30",IF(INDEX(tblCleanData[Age],802)&lt;40,"30-39",IF(INDEX(tblCleanData[Age],802)&lt;50,"40-49","50+")))</f>
        <v>50+</v>
      </c>
      <c r="C810" t="str">
        <f>IF(INDEX(tblCleanData[MonthlyIncome],802)&lt;=$B$3,"Low Income",IF(INDEX(tblCleanData[MonthlyIncome],802)&lt;=$B$4,"Medium Income","High Income"))</f>
        <v>High Income</v>
      </c>
      <c r="D810">
        <f>IF(INDEX(tblCleanData[Attrition],802)="Yes",1,0)</f>
        <v>1</v>
      </c>
      <c r="E810">
        <f>IF(INDEX(tblCleanData[OverTime],802)="Yes",1,0)</f>
        <v>1</v>
      </c>
      <c r="F810" t="str">
        <f>CHOOSE(INDEX(tblCleanData[Education],802),"Below College","College","Bachelor","Master","Doctor")</f>
        <v>Master</v>
      </c>
      <c r="G810" t="str">
        <f>IF(INDEX(tblCleanData[YearsAtCompany],802)&lt;=2,"0-2 Years",IF(INDEX(tblCleanData[YearsAtCompany],802)&lt;=5,"3-5 Years",IF(INDEX(tblCleanData[YearsAtCompany],802)&lt;=10,"6-10 Years","10+ Years")))</f>
        <v>0-2 Years</v>
      </c>
      <c r="H810" t="str">
        <f>IF(INDEX(tblCleanData[WorkLifeBalance],802)&lt;=2,"Elevated","Normal")</f>
        <v>Normal</v>
      </c>
      <c r="I810">
        <f>IF(INDEX(tblCleanData[Age],802)&lt;30,30,IF(INDEX(tblCleanData[Age],802)&lt;40,20,IF(INDEX(tblCleanData[Age],802)&lt;50,10,15)))</f>
        <v>15</v>
      </c>
      <c r="J810">
        <f>IF(INDEX(tblCleanData[MonthlyIncome],802)&lt;=$B$3,25,IF(INDEX(tblCleanData[MonthlyIncome],802)&lt;=$B$4,12,5))</f>
        <v>5</v>
      </c>
      <c r="K810">
        <f>IF(INDEX(tblCleanData[OverTime],802)="Yes",25,0)</f>
        <v>25</v>
      </c>
      <c r="L810">
        <f>(5-INDEX(tblCleanData[JobSatisfaction],802))*6.25</f>
        <v>12.5</v>
      </c>
      <c r="M810">
        <f>IF(INDEX(tblCleanData[YearsAtCompany],802)&lt;=2,25,IF(INDEX(tblCleanData[YearsAtCompany],802)&lt;=5,15,IF(INDEX(tblCleanData[YearsAtCompany],802)&lt;=10,8,3)))</f>
        <v>25</v>
      </c>
      <c r="N810">
        <f t="shared" si="24"/>
        <v>83</v>
      </c>
      <c r="O810" t="str">
        <f t="shared" si="25"/>
        <v>High Risk</v>
      </c>
    </row>
    <row r="811" spans="1:15" x14ac:dyDescent="0.25">
      <c r="A811">
        <f>INDEX(tblCleanData[EmployeeNumber],803)</f>
        <v>1114</v>
      </c>
      <c r="B811" t="str">
        <f>IF(INDEX(tblCleanData[Age],803)&lt;30,"Under 30",IF(INDEX(tblCleanData[Age],803)&lt;40,"30-39",IF(INDEX(tblCleanData[Age],803)&lt;50,"40-49","50+")))</f>
        <v>30-39</v>
      </c>
      <c r="C811" t="str">
        <f>IF(INDEX(tblCleanData[MonthlyIncome],803)&lt;=$B$3,"Low Income",IF(INDEX(tblCleanData[MonthlyIncome],803)&lt;=$B$4,"Medium Income","High Income"))</f>
        <v>High Income</v>
      </c>
      <c r="D811">
        <f>IF(INDEX(tblCleanData[Attrition],803)="Yes",1,0)</f>
        <v>0</v>
      </c>
      <c r="E811">
        <f>IF(INDEX(tblCleanData[OverTime],803)="Yes",1,0)</f>
        <v>0</v>
      </c>
      <c r="F811" t="str">
        <f>CHOOSE(INDEX(tblCleanData[Education],803),"Below College","College","Bachelor","Master","Doctor")</f>
        <v>Bachelor</v>
      </c>
      <c r="G811" t="str">
        <f>IF(INDEX(tblCleanData[YearsAtCompany],803)&lt;=2,"0-2 Years",IF(INDEX(tblCleanData[YearsAtCompany],803)&lt;=5,"3-5 Years",IF(INDEX(tblCleanData[YearsAtCompany],803)&lt;=10,"6-10 Years","10+ Years")))</f>
        <v>3-5 Years</v>
      </c>
      <c r="H811" t="str">
        <f>IF(INDEX(tblCleanData[WorkLifeBalance],803)&lt;=2,"Elevated","Normal")</f>
        <v>Normal</v>
      </c>
      <c r="I811">
        <f>IF(INDEX(tblCleanData[Age],803)&lt;30,30,IF(INDEX(tblCleanData[Age],803)&lt;40,20,IF(INDEX(tblCleanData[Age],803)&lt;50,10,15)))</f>
        <v>20</v>
      </c>
      <c r="J811">
        <f>IF(INDEX(tblCleanData[MonthlyIncome],803)&lt;=$B$3,25,IF(INDEX(tblCleanData[MonthlyIncome],803)&lt;=$B$4,12,5))</f>
        <v>5</v>
      </c>
      <c r="K811">
        <f>IF(INDEX(tblCleanData[OverTime],803)="Yes",25,0)</f>
        <v>0</v>
      </c>
      <c r="L811">
        <f>(5-INDEX(tblCleanData[JobSatisfaction],803))*6.25</f>
        <v>18.75</v>
      </c>
      <c r="M811">
        <f>IF(INDEX(tblCleanData[YearsAtCompany],803)&lt;=2,25,IF(INDEX(tblCleanData[YearsAtCompany],803)&lt;=5,15,IF(INDEX(tblCleanData[YearsAtCompany],803)&lt;=10,8,3)))</f>
        <v>15</v>
      </c>
      <c r="N811">
        <f t="shared" si="24"/>
        <v>59</v>
      </c>
      <c r="O811" t="str">
        <f t="shared" si="25"/>
        <v>High Risk</v>
      </c>
    </row>
    <row r="812" spans="1:15" x14ac:dyDescent="0.25">
      <c r="A812">
        <f>INDEX(tblCleanData[EmployeeNumber],804)</f>
        <v>1115</v>
      </c>
      <c r="B812" t="str">
        <f>IF(INDEX(tblCleanData[Age],804)&lt;30,"Under 30",IF(INDEX(tblCleanData[Age],804)&lt;40,"30-39",IF(INDEX(tblCleanData[Age],804)&lt;50,"40-49","50+")))</f>
        <v>30-39</v>
      </c>
      <c r="C812" t="str">
        <f>IF(INDEX(tblCleanData[MonthlyIncome],804)&lt;=$B$3,"Low Income",IF(INDEX(tblCleanData[MonthlyIncome],804)&lt;=$B$4,"Medium Income","High Income"))</f>
        <v>High Income</v>
      </c>
      <c r="D812">
        <f>IF(INDEX(tblCleanData[Attrition],804)="Yes",1,0)</f>
        <v>0</v>
      </c>
      <c r="E812">
        <f>IF(INDEX(tblCleanData[OverTime],804)="Yes",1,0)</f>
        <v>0</v>
      </c>
      <c r="F812" t="str">
        <f>CHOOSE(INDEX(tblCleanData[Education],804),"Below College","College","Bachelor","Master","Doctor")</f>
        <v>Master</v>
      </c>
      <c r="G812" t="str">
        <f>IF(INDEX(tblCleanData[YearsAtCompany],804)&lt;=2,"0-2 Years",IF(INDEX(tblCleanData[YearsAtCompany],804)&lt;=5,"3-5 Years",IF(INDEX(tblCleanData[YearsAtCompany],804)&lt;=10,"6-10 Years","10+ Years")))</f>
        <v>0-2 Years</v>
      </c>
      <c r="H812" t="str">
        <f>IF(INDEX(tblCleanData[WorkLifeBalance],804)&lt;=2,"Elevated","Normal")</f>
        <v>Normal</v>
      </c>
      <c r="I812">
        <f>IF(INDEX(tblCleanData[Age],804)&lt;30,30,IF(INDEX(tblCleanData[Age],804)&lt;40,20,IF(INDEX(tblCleanData[Age],804)&lt;50,10,15)))</f>
        <v>20</v>
      </c>
      <c r="J812">
        <f>IF(INDEX(tblCleanData[MonthlyIncome],804)&lt;=$B$3,25,IF(INDEX(tblCleanData[MonthlyIncome],804)&lt;=$B$4,12,5))</f>
        <v>5</v>
      </c>
      <c r="K812">
        <f>IF(INDEX(tblCleanData[OverTime],804)="Yes",25,0)</f>
        <v>0</v>
      </c>
      <c r="L812">
        <f>(5-INDEX(tblCleanData[JobSatisfaction],804))*6.25</f>
        <v>6.25</v>
      </c>
      <c r="M812">
        <f>IF(INDEX(tblCleanData[YearsAtCompany],804)&lt;=2,25,IF(INDEX(tblCleanData[YearsAtCompany],804)&lt;=5,15,IF(INDEX(tblCleanData[YearsAtCompany],804)&lt;=10,8,3)))</f>
        <v>25</v>
      </c>
      <c r="N812">
        <f t="shared" si="24"/>
        <v>56</v>
      </c>
      <c r="O812" t="str">
        <f t="shared" si="25"/>
        <v>High Risk</v>
      </c>
    </row>
    <row r="813" spans="1:15" x14ac:dyDescent="0.25">
      <c r="A813">
        <f>INDEX(tblCleanData[EmployeeNumber],805)</f>
        <v>1116</v>
      </c>
      <c r="B813" t="str">
        <f>IF(INDEX(tblCleanData[Age],805)&lt;30,"Under 30",IF(INDEX(tblCleanData[Age],805)&lt;40,"30-39",IF(INDEX(tblCleanData[Age],805)&lt;50,"40-49","50+")))</f>
        <v>40-49</v>
      </c>
      <c r="C813" t="str">
        <f>IF(INDEX(tblCleanData[MonthlyIncome],805)&lt;=$B$3,"Low Income",IF(INDEX(tblCleanData[MonthlyIncome],805)&lt;=$B$4,"Medium Income","High Income"))</f>
        <v>High Income</v>
      </c>
      <c r="D813">
        <f>IF(INDEX(tblCleanData[Attrition],805)="Yes",1,0)</f>
        <v>0</v>
      </c>
      <c r="E813">
        <f>IF(INDEX(tblCleanData[OverTime],805)="Yes",1,0)</f>
        <v>0</v>
      </c>
      <c r="F813" t="str">
        <f>CHOOSE(INDEX(tblCleanData[Education],805),"Below College","College","Bachelor","Master","Doctor")</f>
        <v>Master</v>
      </c>
      <c r="G813" t="str">
        <f>IF(INDEX(tblCleanData[YearsAtCompany],805)&lt;=2,"0-2 Years",IF(INDEX(tblCleanData[YearsAtCompany],805)&lt;=5,"3-5 Years",IF(INDEX(tblCleanData[YearsAtCompany],805)&lt;=10,"6-10 Years","10+ Years")))</f>
        <v>3-5 Years</v>
      </c>
      <c r="H813" t="str">
        <f>IF(INDEX(tblCleanData[WorkLifeBalance],805)&lt;=2,"Elevated","Normal")</f>
        <v>Elevated</v>
      </c>
      <c r="I813">
        <f>IF(INDEX(tblCleanData[Age],805)&lt;30,30,IF(INDEX(tblCleanData[Age],805)&lt;40,20,IF(INDEX(tblCleanData[Age],805)&lt;50,10,15)))</f>
        <v>10</v>
      </c>
      <c r="J813">
        <f>IF(INDEX(tblCleanData[MonthlyIncome],805)&lt;=$B$3,25,IF(INDEX(tblCleanData[MonthlyIncome],805)&lt;=$B$4,12,5))</f>
        <v>5</v>
      </c>
      <c r="K813">
        <f>IF(INDEX(tblCleanData[OverTime],805)="Yes",25,0)</f>
        <v>0</v>
      </c>
      <c r="L813">
        <f>(5-INDEX(tblCleanData[JobSatisfaction],805))*6.25</f>
        <v>6.25</v>
      </c>
      <c r="M813">
        <f>IF(INDEX(tblCleanData[YearsAtCompany],805)&lt;=2,25,IF(INDEX(tblCleanData[YearsAtCompany],805)&lt;=5,15,IF(INDEX(tblCleanData[YearsAtCompany],805)&lt;=10,8,3)))</f>
        <v>15</v>
      </c>
      <c r="N813">
        <f t="shared" si="24"/>
        <v>36</v>
      </c>
      <c r="O813" t="str">
        <f t="shared" si="25"/>
        <v>Medium Risk</v>
      </c>
    </row>
    <row r="814" spans="1:15" x14ac:dyDescent="0.25">
      <c r="A814">
        <f>INDEX(tblCleanData[EmployeeNumber],806)</f>
        <v>1117</v>
      </c>
      <c r="B814" t="str">
        <f>IF(INDEX(tblCleanData[Age],806)&lt;30,"Under 30",IF(INDEX(tblCleanData[Age],806)&lt;40,"30-39",IF(INDEX(tblCleanData[Age],806)&lt;50,"40-49","50+")))</f>
        <v>40-49</v>
      </c>
      <c r="C814" t="str">
        <f>IF(INDEX(tblCleanData[MonthlyIncome],806)&lt;=$B$3,"Low Income",IF(INDEX(tblCleanData[MonthlyIncome],806)&lt;=$B$4,"Medium Income","High Income"))</f>
        <v>High Income</v>
      </c>
      <c r="D814">
        <f>IF(INDEX(tblCleanData[Attrition],806)="Yes",1,0)</f>
        <v>0</v>
      </c>
      <c r="E814">
        <f>IF(INDEX(tblCleanData[OverTime],806)="Yes",1,0)</f>
        <v>0</v>
      </c>
      <c r="F814" t="str">
        <f>CHOOSE(INDEX(tblCleanData[Education],806),"Below College","College","Bachelor","Master","Doctor")</f>
        <v>Master</v>
      </c>
      <c r="G814" t="str">
        <f>IF(INDEX(tblCleanData[YearsAtCompany],806)&lt;=2,"0-2 Years",IF(INDEX(tblCleanData[YearsAtCompany],806)&lt;=5,"3-5 Years",IF(INDEX(tblCleanData[YearsAtCompany],806)&lt;=10,"6-10 Years","10+ Years")))</f>
        <v>10+ Years</v>
      </c>
      <c r="H814" t="str">
        <f>IF(INDEX(tblCleanData[WorkLifeBalance],806)&lt;=2,"Elevated","Normal")</f>
        <v>Normal</v>
      </c>
      <c r="I814">
        <f>IF(INDEX(tblCleanData[Age],806)&lt;30,30,IF(INDEX(tblCleanData[Age],806)&lt;40,20,IF(INDEX(tblCleanData[Age],806)&lt;50,10,15)))</f>
        <v>10</v>
      </c>
      <c r="J814">
        <f>IF(INDEX(tblCleanData[MonthlyIncome],806)&lt;=$B$3,25,IF(INDEX(tblCleanData[MonthlyIncome],806)&lt;=$B$4,12,5))</f>
        <v>5</v>
      </c>
      <c r="K814">
        <f>IF(INDEX(tblCleanData[OverTime],806)="Yes",25,0)</f>
        <v>0</v>
      </c>
      <c r="L814">
        <f>(5-INDEX(tblCleanData[JobSatisfaction],806))*6.25</f>
        <v>12.5</v>
      </c>
      <c r="M814">
        <f>IF(INDEX(tblCleanData[YearsAtCompany],806)&lt;=2,25,IF(INDEX(tblCleanData[YearsAtCompany],806)&lt;=5,15,IF(INDEX(tblCleanData[YearsAtCompany],806)&lt;=10,8,3)))</f>
        <v>3</v>
      </c>
      <c r="N814">
        <f t="shared" si="24"/>
        <v>31</v>
      </c>
      <c r="O814" t="str">
        <f t="shared" si="25"/>
        <v>Low Risk</v>
      </c>
    </row>
    <row r="815" spans="1:15" x14ac:dyDescent="0.25">
      <c r="A815">
        <f>INDEX(tblCleanData[EmployeeNumber],807)</f>
        <v>1118</v>
      </c>
      <c r="B815" t="str">
        <f>IF(INDEX(tblCleanData[Age],807)&lt;30,"Under 30",IF(INDEX(tblCleanData[Age],807)&lt;40,"30-39",IF(INDEX(tblCleanData[Age],807)&lt;50,"40-49","50+")))</f>
        <v>50+</v>
      </c>
      <c r="C815" t="str">
        <f>IF(INDEX(tblCleanData[MonthlyIncome],807)&lt;=$B$3,"Low Income",IF(INDEX(tblCleanData[MonthlyIncome],807)&lt;=$B$4,"Medium Income","High Income"))</f>
        <v>High Income</v>
      </c>
      <c r="D815">
        <f>IF(INDEX(tblCleanData[Attrition],807)="Yes",1,0)</f>
        <v>0</v>
      </c>
      <c r="E815">
        <f>IF(INDEX(tblCleanData[OverTime],807)="Yes",1,0)</f>
        <v>0</v>
      </c>
      <c r="F815" t="str">
        <f>CHOOSE(INDEX(tblCleanData[Education],807),"Below College","College","Bachelor","Master","Doctor")</f>
        <v>Master</v>
      </c>
      <c r="G815" t="str">
        <f>IF(INDEX(tblCleanData[YearsAtCompany],807)&lt;=2,"0-2 Years",IF(INDEX(tblCleanData[YearsAtCompany],807)&lt;=5,"3-5 Years",IF(INDEX(tblCleanData[YearsAtCompany],807)&lt;=10,"6-10 Years","10+ Years")))</f>
        <v>6-10 Years</v>
      </c>
      <c r="H815" t="str">
        <f>IF(INDEX(tblCleanData[WorkLifeBalance],807)&lt;=2,"Elevated","Normal")</f>
        <v>Normal</v>
      </c>
      <c r="I815">
        <f>IF(INDEX(tblCleanData[Age],807)&lt;30,30,IF(INDEX(tblCleanData[Age],807)&lt;40,20,IF(INDEX(tblCleanData[Age],807)&lt;50,10,15)))</f>
        <v>15</v>
      </c>
      <c r="J815">
        <f>IF(INDEX(tblCleanData[MonthlyIncome],807)&lt;=$B$3,25,IF(INDEX(tblCleanData[MonthlyIncome],807)&lt;=$B$4,12,5))</f>
        <v>5</v>
      </c>
      <c r="K815">
        <f>IF(INDEX(tblCleanData[OverTime],807)="Yes",25,0)</f>
        <v>0</v>
      </c>
      <c r="L815">
        <f>(5-INDEX(tblCleanData[JobSatisfaction],807))*6.25</f>
        <v>18.75</v>
      </c>
      <c r="M815">
        <f>IF(INDEX(tblCleanData[YearsAtCompany],807)&lt;=2,25,IF(INDEX(tblCleanData[YearsAtCompany],807)&lt;=5,15,IF(INDEX(tblCleanData[YearsAtCompany],807)&lt;=10,8,3)))</f>
        <v>8</v>
      </c>
      <c r="N815">
        <f t="shared" si="24"/>
        <v>47</v>
      </c>
      <c r="O815" t="str">
        <f t="shared" si="25"/>
        <v>Medium Risk</v>
      </c>
    </row>
    <row r="816" spans="1:15" x14ac:dyDescent="0.25">
      <c r="A816">
        <f>INDEX(tblCleanData[EmployeeNumber],808)</f>
        <v>1119</v>
      </c>
      <c r="B816" t="str">
        <f>IF(INDEX(tblCleanData[Age],808)&lt;30,"Under 30",IF(INDEX(tblCleanData[Age],808)&lt;40,"30-39",IF(INDEX(tblCleanData[Age],808)&lt;50,"40-49","50+")))</f>
        <v>30-39</v>
      </c>
      <c r="C816" t="str">
        <f>IF(INDEX(tblCleanData[MonthlyIncome],808)&lt;=$B$3,"Low Income",IF(INDEX(tblCleanData[MonthlyIncome],808)&lt;=$B$4,"Medium Income","High Income"))</f>
        <v>High Income</v>
      </c>
      <c r="D816">
        <f>IF(INDEX(tblCleanData[Attrition],808)="Yes",1,0)</f>
        <v>0</v>
      </c>
      <c r="E816">
        <f>IF(INDEX(tblCleanData[OverTime],808)="Yes",1,0)</f>
        <v>1</v>
      </c>
      <c r="F816" t="str">
        <f>CHOOSE(INDEX(tblCleanData[Education],808),"Below College","College","Bachelor","Master","Doctor")</f>
        <v>Master</v>
      </c>
      <c r="G816" t="str">
        <f>IF(INDEX(tblCleanData[YearsAtCompany],808)&lt;=2,"0-2 Years",IF(INDEX(tblCleanData[YearsAtCompany],808)&lt;=5,"3-5 Years",IF(INDEX(tblCleanData[YearsAtCompany],808)&lt;=10,"6-10 Years","10+ Years")))</f>
        <v>6-10 Years</v>
      </c>
      <c r="H816" t="str">
        <f>IF(INDEX(tblCleanData[WorkLifeBalance],808)&lt;=2,"Elevated","Normal")</f>
        <v>Normal</v>
      </c>
      <c r="I816">
        <f>IF(INDEX(tblCleanData[Age],808)&lt;30,30,IF(INDEX(tblCleanData[Age],808)&lt;40,20,IF(INDEX(tblCleanData[Age],808)&lt;50,10,15)))</f>
        <v>20</v>
      </c>
      <c r="J816">
        <f>IF(INDEX(tblCleanData[MonthlyIncome],808)&lt;=$B$3,25,IF(INDEX(tblCleanData[MonthlyIncome],808)&lt;=$B$4,12,5))</f>
        <v>5</v>
      </c>
      <c r="K816">
        <f>IF(INDEX(tblCleanData[OverTime],808)="Yes",25,0)</f>
        <v>25</v>
      </c>
      <c r="L816">
        <f>(5-INDEX(tblCleanData[JobSatisfaction],808))*6.25</f>
        <v>12.5</v>
      </c>
      <c r="M816">
        <f>IF(INDEX(tblCleanData[YearsAtCompany],808)&lt;=2,25,IF(INDEX(tblCleanData[YearsAtCompany],808)&lt;=5,15,IF(INDEX(tblCleanData[YearsAtCompany],808)&lt;=10,8,3)))</f>
        <v>8</v>
      </c>
      <c r="N816">
        <f t="shared" si="24"/>
        <v>71</v>
      </c>
      <c r="O816" t="str">
        <f t="shared" si="25"/>
        <v>High Risk</v>
      </c>
    </row>
    <row r="817" spans="1:15" x14ac:dyDescent="0.25">
      <c r="A817">
        <f>INDEX(tblCleanData[EmployeeNumber],809)</f>
        <v>1120</v>
      </c>
      <c r="B817" t="str">
        <f>IF(INDEX(tblCleanData[Age],809)&lt;30,"Under 30",IF(INDEX(tblCleanData[Age],809)&lt;40,"30-39",IF(INDEX(tblCleanData[Age],809)&lt;50,"40-49","50+")))</f>
        <v>Under 30</v>
      </c>
      <c r="C817" t="str">
        <f>IF(INDEX(tblCleanData[MonthlyIncome],809)&lt;=$B$3,"Low Income",IF(INDEX(tblCleanData[MonthlyIncome],809)&lt;=$B$4,"Medium Income","High Income"))</f>
        <v>High Income</v>
      </c>
      <c r="D817">
        <f>IF(INDEX(tblCleanData[Attrition],809)="Yes",1,0)</f>
        <v>0</v>
      </c>
      <c r="E817">
        <f>IF(INDEX(tblCleanData[OverTime],809)="Yes",1,0)</f>
        <v>0</v>
      </c>
      <c r="F817" t="str">
        <f>CHOOSE(INDEX(tblCleanData[Education],809),"Below College","College","Bachelor","Master","Doctor")</f>
        <v>Master</v>
      </c>
      <c r="G817" t="str">
        <f>IF(INDEX(tblCleanData[YearsAtCompany],809)&lt;=2,"0-2 Years",IF(INDEX(tblCleanData[YearsAtCompany],809)&lt;=5,"3-5 Years",IF(INDEX(tblCleanData[YearsAtCompany],809)&lt;=10,"6-10 Years","10+ Years")))</f>
        <v>6-10 Years</v>
      </c>
      <c r="H817" t="str">
        <f>IF(INDEX(tblCleanData[WorkLifeBalance],809)&lt;=2,"Elevated","Normal")</f>
        <v>Normal</v>
      </c>
      <c r="I817">
        <f>IF(INDEX(tblCleanData[Age],809)&lt;30,30,IF(INDEX(tblCleanData[Age],809)&lt;40,20,IF(INDEX(tblCleanData[Age],809)&lt;50,10,15)))</f>
        <v>30</v>
      </c>
      <c r="J817">
        <f>IF(INDEX(tblCleanData[MonthlyIncome],809)&lt;=$B$3,25,IF(INDEX(tblCleanData[MonthlyIncome],809)&lt;=$B$4,12,5))</f>
        <v>5</v>
      </c>
      <c r="K817">
        <f>IF(INDEX(tblCleanData[OverTime],809)="Yes",25,0)</f>
        <v>0</v>
      </c>
      <c r="L817">
        <f>(5-INDEX(tblCleanData[JobSatisfaction],809))*6.25</f>
        <v>6.25</v>
      </c>
      <c r="M817">
        <f>IF(INDEX(tblCleanData[YearsAtCompany],809)&lt;=2,25,IF(INDEX(tblCleanData[YearsAtCompany],809)&lt;=5,15,IF(INDEX(tblCleanData[YearsAtCompany],809)&lt;=10,8,3)))</f>
        <v>8</v>
      </c>
      <c r="N817">
        <f t="shared" si="24"/>
        <v>49</v>
      </c>
      <c r="O817" t="str">
        <f t="shared" si="25"/>
        <v>Medium Risk</v>
      </c>
    </row>
    <row r="818" spans="1:15" x14ac:dyDescent="0.25">
      <c r="A818">
        <f>INDEX(tblCleanData[EmployeeNumber],810)</f>
        <v>1121</v>
      </c>
      <c r="B818" t="str">
        <f>IF(INDEX(tblCleanData[Age],810)&lt;30,"Under 30",IF(INDEX(tblCleanData[Age],810)&lt;40,"30-39",IF(INDEX(tblCleanData[Age],810)&lt;50,"40-49","50+")))</f>
        <v>Under 30</v>
      </c>
      <c r="C818" t="str">
        <f>IF(INDEX(tblCleanData[MonthlyIncome],810)&lt;=$B$3,"Low Income",IF(INDEX(tblCleanData[MonthlyIncome],810)&lt;=$B$4,"Medium Income","High Income"))</f>
        <v>High Income</v>
      </c>
      <c r="D818">
        <f>IF(INDEX(tblCleanData[Attrition],810)="Yes",1,0)</f>
        <v>0</v>
      </c>
      <c r="E818">
        <f>IF(INDEX(tblCleanData[OverTime],810)="Yes",1,0)</f>
        <v>0</v>
      </c>
      <c r="F818" t="str">
        <f>CHOOSE(INDEX(tblCleanData[Education],810),"Below College","College","Bachelor","Master","Doctor")</f>
        <v>Bachelor</v>
      </c>
      <c r="G818" t="str">
        <f>IF(INDEX(tblCleanData[YearsAtCompany],810)&lt;=2,"0-2 Years",IF(INDEX(tblCleanData[YearsAtCompany],810)&lt;=5,"3-5 Years",IF(INDEX(tblCleanData[YearsAtCompany],810)&lt;=10,"6-10 Years","10+ Years")))</f>
        <v>6-10 Years</v>
      </c>
      <c r="H818" t="str">
        <f>IF(INDEX(tblCleanData[WorkLifeBalance],810)&lt;=2,"Elevated","Normal")</f>
        <v>Elevated</v>
      </c>
      <c r="I818">
        <f>IF(INDEX(tblCleanData[Age],810)&lt;30,30,IF(INDEX(tblCleanData[Age],810)&lt;40,20,IF(INDEX(tblCleanData[Age],810)&lt;50,10,15)))</f>
        <v>30</v>
      </c>
      <c r="J818">
        <f>IF(INDEX(tblCleanData[MonthlyIncome],810)&lt;=$B$3,25,IF(INDEX(tblCleanData[MonthlyIncome],810)&lt;=$B$4,12,5))</f>
        <v>5</v>
      </c>
      <c r="K818">
        <f>IF(INDEX(tblCleanData[OverTime],810)="Yes",25,0)</f>
        <v>0</v>
      </c>
      <c r="L818">
        <f>(5-INDEX(tblCleanData[JobSatisfaction],810))*6.25</f>
        <v>18.75</v>
      </c>
      <c r="M818">
        <f>IF(INDEX(tblCleanData[YearsAtCompany],810)&lt;=2,25,IF(INDEX(tblCleanData[YearsAtCompany],810)&lt;=5,15,IF(INDEX(tblCleanData[YearsAtCompany],810)&lt;=10,8,3)))</f>
        <v>8</v>
      </c>
      <c r="N818">
        <f t="shared" si="24"/>
        <v>62</v>
      </c>
      <c r="O818" t="str">
        <f t="shared" si="25"/>
        <v>High Risk</v>
      </c>
    </row>
    <row r="819" spans="1:15" x14ac:dyDescent="0.25">
      <c r="A819">
        <f>INDEX(tblCleanData[EmployeeNumber],811)</f>
        <v>1124</v>
      </c>
      <c r="B819" t="str">
        <f>IF(INDEX(tblCleanData[Age],811)&lt;30,"Under 30",IF(INDEX(tblCleanData[Age],811)&lt;40,"30-39",IF(INDEX(tblCleanData[Age],811)&lt;50,"40-49","50+")))</f>
        <v>40-49</v>
      </c>
      <c r="C819" t="str">
        <f>IF(INDEX(tblCleanData[MonthlyIncome],811)&lt;=$B$3,"Low Income",IF(INDEX(tblCleanData[MonthlyIncome],811)&lt;=$B$4,"Medium Income","High Income"))</f>
        <v>High Income</v>
      </c>
      <c r="D819">
        <f>IF(INDEX(tblCleanData[Attrition],811)="Yes",1,0)</f>
        <v>0</v>
      </c>
      <c r="E819">
        <f>IF(INDEX(tblCleanData[OverTime],811)="Yes",1,0)</f>
        <v>0</v>
      </c>
      <c r="F819" t="str">
        <f>CHOOSE(INDEX(tblCleanData[Education],811),"Below College","College","Bachelor","Master","Doctor")</f>
        <v>Below College</v>
      </c>
      <c r="G819" t="str">
        <f>IF(INDEX(tblCleanData[YearsAtCompany],811)&lt;=2,"0-2 Years",IF(INDEX(tblCleanData[YearsAtCompany],811)&lt;=5,"3-5 Years",IF(INDEX(tblCleanData[YearsAtCompany],811)&lt;=10,"6-10 Years","10+ Years")))</f>
        <v>10+ Years</v>
      </c>
      <c r="H819" t="str">
        <f>IF(INDEX(tblCleanData[WorkLifeBalance],811)&lt;=2,"Elevated","Normal")</f>
        <v>Normal</v>
      </c>
      <c r="I819">
        <f>IF(INDEX(tblCleanData[Age],811)&lt;30,30,IF(INDEX(tblCleanData[Age],811)&lt;40,20,IF(INDEX(tblCleanData[Age],811)&lt;50,10,15)))</f>
        <v>10</v>
      </c>
      <c r="J819">
        <f>IF(INDEX(tblCleanData[MonthlyIncome],811)&lt;=$B$3,25,IF(INDEX(tblCleanData[MonthlyIncome],811)&lt;=$B$4,12,5))</f>
        <v>5</v>
      </c>
      <c r="K819">
        <f>IF(INDEX(tblCleanData[OverTime],811)="Yes",25,0)</f>
        <v>0</v>
      </c>
      <c r="L819">
        <f>(5-INDEX(tblCleanData[JobSatisfaction],811))*6.25</f>
        <v>12.5</v>
      </c>
      <c r="M819">
        <f>IF(INDEX(tblCleanData[YearsAtCompany],811)&lt;=2,25,IF(INDEX(tblCleanData[YearsAtCompany],811)&lt;=5,15,IF(INDEX(tblCleanData[YearsAtCompany],811)&lt;=10,8,3)))</f>
        <v>3</v>
      </c>
      <c r="N819">
        <f t="shared" si="24"/>
        <v>31</v>
      </c>
      <c r="O819" t="str">
        <f t="shared" si="25"/>
        <v>Low Risk</v>
      </c>
    </row>
    <row r="820" spans="1:15" x14ac:dyDescent="0.25">
      <c r="A820">
        <f>INDEX(tblCleanData[EmployeeNumber],812)</f>
        <v>1125</v>
      </c>
      <c r="B820" t="str">
        <f>IF(INDEX(tblCleanData[Age],812)&lt;30,"Under 30",IF(INDEX(tblCleanData[Age],812)&lt;40,"30-39",IF(INDEX(tblCleanData[Age],812)&lt;50,"40-49","50+")))</f>
        <v>30-39</v>
      </c>
      <c r="C820" t="str">
        <f>IF(INDEX(tblCleanData[MonthlyIncome],812)&lt;=$B$3,"Low Income",IF(INDEX(tblCleanData[MonthlyIncome],812)&lt;=$B$4,"Medium Income","High Income"))</f>
        <v>High Income</v>
      </c>
      <c r="D820">
        <f>IF(INDEX(tblCleanData[Attrition],812)="Yes",1,0)</f>
        <v>0</v>
      </c>
      <c r="E820">
        <f>IF(INDEX(tblCleanData[OverTime],812)="Yes",1,0)</f>
        <v>0</v>
      </c>
      <c r="F820" t="str">
        <f>CHOOSE(INDEX(tblCleanData[Education],812),"Below College","College","Bachelor","Master","Doctor")</f>
        <v>College</v>
      </c>
      <c r="G820" t="str">
        <f>IF(INDEX(tblCleanData[YearsAtCompany],812)&lt;=2,"0-2 Years",IF(INDEX(tblCleanData[YearsAtCompany],812)&lt;=5,"3-5 Years",IF(INDEX(tblCleanData[YearsAtCompany],812)&lt;=10,"6-10 Years","10+ Years")))</f>
        <v>0-2 Years</v>
      </c>
      <c r="H820" t="str">
        <f>IF(INDEX(tblCleanData[WorkLifeBalance],812)&lt;=2,"Elevated","Normal")</f>
        <v>Normal</v>
      </c>
      <c r="I820">
        <f>IF(INDEX(tblCleanData[Age],812)&lt;30,30,IF(INDEX(tblCleanData[Age],812)&lt;40,20,IF(INDEX(tblCleanData[Age],812)&lt;50,10,15)))</f>
        <v>20</v>
      </c>
      <c r="J820">
        <f>IF(INDEX(tblCleanData[MonthlyIncome],812)&lt;=$B$3,25,IF(INDEX(tblCleanData[MonthlyIncome],812)&lt;=$B$4,12,5))</f>
        <v>5</v>
      </c>
      <c r="K820">
        <f>IF(INDEX(tblCleanData[OverTime],812)="Yes",25,0)</f>
        <v>0</v>
      </c>
      <c r="L820">
        <f>(5-INDEX(tblCleanData[JobSatisfaction],812))*6.25</f>
        <v>18.75</v>
      </c>
      <c r="M820">
        <f>IF(INDEX(tblCleanData[YearsAtCompany],812)&lt;=2,25,IF(INDEX(tblCleanData[YearsAtCompany],812)&lt;=5,15,IF(INDEX(tblCleanData[YearsAtCompany],812)&lt;=10,8,3)))</f>
        <v>25</v>
      </c>
      <c r="N820">
        <f t="shared" si="24"/>
        <v>69</v>
      </c>
      <c r="O820" t="str">
        <f t="shared" si="25"/>
        <v>High Risk</v>
      </c>
    </row>
    <row r="821" spans="1:15" x14ac:dyDescent="0.25">
      <c r="A821">
        <f>INDEX(tblCleanData[EmployeeNumber],813)</f>
        <v>1126</v>
      </c>
      <c r="B821" t="str">
        <f>IF(INDEX(tblCleanData[Age],813)&lt;30,"Under 30",IF(INDEX(tblCleanData[Age],813)&lt;40,"30-39",IF(INDEX(tblCleanData[Age],813)&lt;50,"40-49","50+")))</f>
        <v>40-49</v>
      </c>
      <c r="C821" t="str">
        <f>IF(INDEX(tblCleanData[MonthlyIncome],813)&lt;=$B$3,"Low Income",IF(INDEX(tblCleanData[MonthlyIncome],813)&lt;=$B$4,"Medium Income","High Income"))</f>
        <v>High Income</v>
      </c>
      <c r="D821">
        <f>IF(INDEX(tblCleanData[Attrition],813)="Yes",1,0)</f>
        <v>0</v>
      </c>
      <c r="E821">
        <f>IF(INDEX(tblCleanData[OverTime],813)="Yes",1,0)</f>
        <v>0</v>
      </c>
      <c r="F821" t="str">
        <f>CHOOSE(INDEX(tblCleanData[Education],813),"Below College","College","Bachelor","Master","Doctor")</f>
        <v>Bachelor</v>
      </c>
      <c r="G821" t="str">
        <f>IF(INDEX(tblCleanData[YearsAtCompany],813)&lt;=2,"0-2 Years",IF(INDEX(tblCleanData[YearsAtCompany],813)&lt;=5,"3-5 Years",IF(INDEX(tblCleanData[YearsAtCompany],813)&lt;=10,"6-10 Years","10+ Years")))</f>
        <v>6-10 Years</v>
      </c>
      <c r="H821" t="str">
        <f>IF(INDEX(tblCleanData[WorkLifeBalance],813)&lt;=2,"Elevated","Normal")</f>
        <v>Normal</v>
      </c>
      <c r="I821">
        <f>IF(INDEX(tblCleanData[Age],813)&lt;30,30,IF(INDEX(tblCleanData[Age],813)&lt;40,20,IF(INDEX(tblCleanData[Age],813)&lt;50,10,15)))</f>
        <v>10</v>
      </c>
      <c r="J821">
        <f>IF(INDEX(tblCleanData[MonthlyIncome],813)&lt;=$B$3,25,IF(INDEX(tblCleanData[MonthlyIncome],813)&lt;=$B$4,12,5))</f>
        <v>5</v>
      </c>
      <c r="K821">
        <f>IF(INDEX(tblCleanData[OverTime],813)="Yes",25,0)</f>
        <v>0</v>
      </c>
      <c r="L821">
        <f>(5-INDEX(tblCleanData[JobSatisfaction],813))*6.25</f>
        <v>25</v>
      </c>
      <c r="M821">
        <f>IF(INDEX(tblCleanData[YearsAtCompany],813)&lt;=2,25,IF(INDEX(tblCleanData[YearsAtCompany],813)&lt;=5,15,IF(INDEX(tblCleanData[YearsAtCompany],813)&lt;=10,8,3)))</f>
        <v>8</v>
      </c>
      <c r="N821">
        <f t="shared" si="24"/>
        <v>48</v>
      </c>
      <c r="O821" t="str">
        <f t="shared" si="25"/>
        <v>Medium Risk</v>
      </c>
    </row>
    <row r="822" spans="1:15" x14ac:dyDescent="0.25">
      <c r="A822">
        <f>INDEX(tblCleanData[EmployeeNumber],814)</f>
        <v>1127</v>
      </c>
      <c r="B822" t="str">
        <f>IF(INDEX(tblCleanData[Age],814)&lt;30,"Under 30",IF(INDEX(tblCleanData[Age],814)&lt;40,"30-39",IF(INDEX(tblCleanData[Age],814)&lt;50,"40-49","50+")))</f>
        <v>30-39</v>
      </c>
      <c r="C822" t="str">
        <f>IF(INDEX(tblCleanData[MonthlyIncome],814)&lt;=$B$3,"Low Income",IF(INDEX(tblCleanData[MonthlyIncome],814)&lt;=$B$4,"Medium Income","High Income"))</f>
        <v>High Income</v>
      </c>
      <c r="D822">
        <f>IF(INDEX(tblCleanData[Attrition],814)="Yes",1,0)</f>
        <v>1</v>
      </c>
      <c r="E822">
        <f>IF(INDEX(tblCleanData[OverTime],814)="Yes",1,0)</f>
        <v>0</v>
      </c>
      <c r="F822" t="str">
        <f>CHOOSE(INDEX(tblCleanData[Education],814),"Below College","College","Bachelor","Master","Doctor")</f>
        <v>Bachelor</v>
      </c>
      <c r="G822" t="str">
        <f>IF(INDEX(tblCleanData[YearsAtCompany],814)&lt;=2,"0-2 Years",IF(INDEX(tblCleanData[YearsAtCompany],814)&lt;=5,"3-5 Years",IF(INDEX(tblCleanData[YearsAtCompany],814)&lt;=10,"6-10 Years","10+ Years")))</f>
        <v>10+ Years</v>
      </c>
      <c r="H822" t="str">
        <f>IF(INDEX(tblCleanData[WorkLifeBalance],814)&lt;=2,"Elevated","Normal")</f>
        <v>Normal</v>
      </c>
      <c r="I822">
        <f>IF(INDEX(tblCleanData[Age],814)&lt;30,30,IF(INDEX(tblCleanData[Age],814)&lt;40,20,IF(INDEX(tblCleanData[Age],814)&lt;50,10,15)))</f>
        <v>20</v>
      </c>
      <c r="J822">
        <f>IF(INDEX(tblCleanData[MonthlyIncome],814)&lt;=$B$3,25,IF(INDEX(tblCleanData[MonthlyIncome],814)&lt;=$B$4,12,5))</f>
        <v>5</v>
      </c>
      <c r="K822">
        <f>IF(INDEX(tblCleanData[OverTime],814)="Yes",25,0)</f>
        <v>0</v>
      </c>
      <c r="L822">
        <f>(5-INDEX(tblCleanData[JobSatisfaction],814))*6.25</f>
        <v>6.25</v>
      </c>
      <c r="M822">
        <f>IF(INDEX(tblCleanData[YearsAtCompany],814)&lt;=2,25,IF(INDEX(tblCleanData[YearsAtCompany],814)&lt;=5,15,IF(INDEX(tblCleanData[YearsAtCompany],814)&lt;=10,8,3)))</f>
        <v>3</v>
      </c>
      <c r="N822">
        <f t="shared" si="24"/>
        <v>34</v>
      </c>
      <c r="O822" t="str">
        <f t="shared" si="25"/>
        <v>Low Risk</v>
      </c>
    </row>
    <row r="823" spans="1:15" x14ac:dyDescent="0.25">
      <c r="A823">
        <f>INDEX(tblCleanData[EmployeeNumber],815)</f>
        <v>1128</v>
      </c>
      <c r="B823" t="str">
        <f>IF(INDEX(tblCleanData[Age],815)&lt;30,"Under 30",IF(INDEX(tblCleanData[Age],815)&lt;40,"30-39",IF(INDEX(tblCleanData[Age],815)&lt;50,"40-49","50+")))</f>
        <v>40-49</v>
      </c>
      <c r="C823" t="str">
        <f>IF(INDEX(tblCleanData[MonthlyIncome],815)&lt;=$B$3,"Low Income",IF(INDEX(tblCleanData[MonthlyIncome],815)&lt;=$B$4,"Medium Income","High Income"))</f>
        <v>High Income</v>
      </c>
      <c r="D823">
        <f>IF(INDEX(tblCleanData[Attrition],815)="Yes",1,0)</f>
        <v>0</v>
      </c>
      <c r="E823">
        <f>IF(INDEX(tblCleanData[OverTime],815)="Yes",1,0)</f>
        <v>0</v>
      </c>
      <c r="F823" t="str">
        <f>CHOOSE(INDEX(tblCleanData[Education],815),"Below College","College","Bachelor","Master","Doctor")</f>
        <v>Bachelor</v>
      </c>
      <c r="G823" t="str">
        <f>IF(INDEX(tblCleanData[YearsAtCompany],815)&lt;=2,"0-2 Years",IF(INDEX(tblCleanData[YearsAtCompany],815)&lt;=5,"3-5 Years",IF(INDEX(tblCleanData[YearsAtCompany],815)&lt;=10,"6-10 Years","10+ Years")))</f>
        <v>10+ Years</v>
      </c>
      <c r="H823" t="str">
        <f>IF(INDEX(tblCleanData[WorkLifeBalance],815)&lt;=2,"Elevated","Normal")</f>
        <v>Normal</v>
      </c>
      <c r="I823">
        <f>IF(INDEX(tblCleanData[Age],815)&lt;30,30,IF(INDEX(tblCleanData[Age],815)&lt;40,20,IF(INDEX(tblCleanData[Age],815)&lt;50,10,15)))</f>
        <v>10</v>
      </c>
      <c r="J823">
        <f>IF(INDEX(tblCleanData[MonthlyIncome],815)&lt;=$B$3,25,IF(INDEX(tblCleanData[MonthlyIncome],815)&lt;=$B$4,12,5))</f>
        <v>5</v>
      </c>
      <c r="K823">
        <f>IF(INDEX(tblCleanData[OverTime],815)="Yes",25,0)</f>
        <v>0</v>
      </c>
      <c r="L823">
        <f>(5-INDEX(tblCleanData[JobSatisfaction],815))*6.25</f>
        <v>12.5</v>
      </c>
      <c r="M823">
        <f>IF(INDEX(tblCleanData[YearsAtCompany],815)&lt;=2,25,IF(INDEX(tblCleanData[YearsAtCompany],815)&lt;=5,15,IF(INDEX(tblCleanData[YearsAtCompany],815)&lt;=10,8,3)))</f>
        <v>3</v>
      </c>
      <c r="N823">
        <f t="shared" si="24"/>
        <v>31</v>
      </c>
      <c r="O823" t="str">
        <f t="shared" si="25"/>
        <v>Low Risk</v>
      </c>
    </row>
    <row r="824" spans="1:15" x14ac:dyDescent="0.25">
      <c r="A824">
        <f>INDEX(tblCleanData[EmployeeNumber],816)</f>
        <v>1131</v>
      </c>
      <c r="B824" t="str">
        <f>IF(INDEX(tblCleanData[Age],816)&lt;30,"Under 30",IF(INDEX(tblCleanData[Age],816)&lt;40,"30-39",IF(INDEX(tblCleanData[Age],816)&lt;50,"40-49","50+")))</f>
        <v>Under 30</v>
      </c>
      <c r="C824" t="str">
        <f>IF(INDEX(tblCleanData[MonthlyIncome],816)&lt;=$B$3,"Low Income",IF(INDEX(tblCleanData[MonthlyIncome],816)&lt;=$B$4,"Medium Income","High Income"))</f>
        <v>High Income</v>
      </c>
      <c r="D824">
        <f>IF(INDEX(tblCleanData[Attrition],816)="Yes",1,0)</f>
        <v>0</v>
      </c>
      <c r="E824">
        <f>IF(INDEX(tblCleanData[OverTime],816)="Yes",1,0)</f>
        <v>1</v>
      </c>
      <c r="F824" t="str">
        <f>CHOOSE(INDEX(tblCleanData[Education],816),"Below College","College","Bachelor","Master","Doctor")</f>
        <v>Below College</v>
      </c>
      <c r="G824" t="str">
        <f>IF(INDEX(tblCleanData[YearsAtCompany],816)&lt;=2,"0-2 Years",IF(INDEX(tblCleanData[YearsAtCompany],816)&lt;=5,"3-5 Years",IF(INDEX(tblCleanData[YearsAtCompany],816)&lt;=10,"6-10 Years","10+ Years")))</f>
        <v>0-2 Years</v>
      </c>
      <c r="H824" t="str">
        <f>IF(INDEX(tblCleanData[WorkLifeBalance],816)&lt;=2,"Elevated","Normal")</f>
        <v>Normal</v>
      </c>
      <c r="I824">
        <f>IF(INDEX(tblCleanData[Age],816)&lt;30,30,IF(INDEX(tblCleanData[Age],816)&lt;40,20,IF(INDEX(tblCleanData[Age],816)&lt;50,10,15)))</f>
        <v>30</v>
      </c>
      <c r="J824">
        <f>IF(INDEX(tblCleanData[MonthlyIncome],816)&lt;=$B$3,25,IF(INDEX(tblCleanData[MonthlyIncome],816)&lt;=$B$4,12,5))</f>
        <v>5</v>
      </c>
      <c r="K824">
        <f>IF(INDEX(tblCleanData[OverTime],816)="Yes",25,0)</f>
        <v>25</v>
      </c>
      <c r="L824">
        <f>(5-INDEX(tblCleanData[JobSatisfaction],816))*6.25</f>
        <v>18.75</v>
      </c>
      <c r="M824">
        <f>IF(INDEX(tblCleanData[YearsAtCompany],816)&lt;=2,25,IF(INDEX(tblCleanData[YearsAtCompany],816)&lt;=5,15,IF(INDEX(tblCleanData[YearsAtCompany],816)&lt;=10,8,3)))</f>
        <v>25</v>
      </c>
      <c r="N824">
        <f t="shared" si="24"/>
        <v>104</v>
      </c>
      <c r="O824" t="str">
        <f t="shared" si="25"/>
        <v>High Risk</v>
      </c>
    </row>
    <row r="825" spans="1:15" x14ac:dyDescent="0.25">
      <c r="A825">
        <f>INDEX(tblCleanData[EmployeeNumber],817)</f>
        <v>1132</v>
      </c>
      <c r="B825" t="str">
        <f>IF(INDEX(tblCleanData[Age],817)&lt;30,"Under 30",IF(INDEX(tblCleanData[Age],817)&lt;40,"30-39",IF(INDEX(tblCleanData[Age],817)&lt;50,"40-49","50+")))</f>
        <v>30-39</v>
      </c>
      <c r="C825" t="str">
        <f>IF(INDEX(tblCleanData[MonthlyIncome],817)&lt;=$B$3,"Low Income",IF(INDEX(tblCleanData[MonthlyIncome],817)&lt;=$B$4,"Medium Income","High Income"))</f>
        <v>High Income</v>
      </c>
      <c r="D825">
        <f>IF(INDEX(tblCleanData[Attrition],817)="Yes",1,0)</f>
        <v>0</v>
      </c>
      <c r="E825">
        <f>IF(INDEX(tblCleanData[OverTime],817)="Yes",1,0)</f>
        <v>0</v>
      </c>
      <c r="F825" t="str">
        <f>CHOOSE(INDEX(tblCleanData[Education],817),"Below College","College","Bachelor","Master","Doctor")</f>
        <v>Bachelor</v>
      </c>
      <c r="G825" t="str">
        <f>IF(INDEX(tblCleanData[YearsAtCompany],817)&lt;=2,"0-2 Years",IF(INDEX(tblCleanData[YearsAtCompany],817)&lt;=5,"3-5 Years",IF(INDEX(tblCleanData[YearsAtCompany],817)&lt;=10,"6-10 Years","10+ Years")))</f>
        <v>3-5 Years</v>
      </c>
      <c r="H825" t="str">
        <f>IF(INDEX(tblCleanData[WorkLifeBalance],817)&lt;=2,"Elevated","Normal")</f>
        <v>Elevated</v>
      </c>
      <c r="I825">
        <f>IF(INDEX(tblCleanData[Age],817)&lt;30,30,IF(INDEX(tblCleanData[Age],817)&lt;40,20,IF(INDEX(tblCleanData[Age],817)&lt;50,10,15)))</f>
        <v>20</v>
      </c>
      <c r="J825">
        <f>IF(INDEX(tblCleanData[MonthlyIncome],817)&lt;=$B$3,25,IF(INDEX(tblCleanData[MonthlyIncome],817)&lt;=$B$4,12,5))</f>
        <v>5</v>
      </c>
      <c r="K825">
        <f>IF(INDEX(tblCleanData[OverTime],817)="Yes",25,0)</f>
        <v>0</v>
      </c>
      <c r="L825">
        <f>(5-INDEX(tblCleanData[JobSatisfaction],817))*6.25</f>
        <v>18.75</v>
      </c>
      <c r="M825">
        <f>IF(INDEX(tblCleanData[YearsAtCompany],817)&lt;=2,25,IF(INDEX(tblCleanData[YearsAtCompany],817)&lt;=5,15,IF(INDEX(tblCleanData[YearsAtCompany],817)&lt;=10,8,3)))</f>
        <v>15</v>
      </c>
      <c r="N825">
        <f t="shared" si="24"/>
        <v>59</v>
      </c>
      <c r="O825" t="str">
        <f t="shared" si="25"/>
        <v>High Risk</v>
      </c>
    </row>
    <row r="826" spans="1:15" x14ac:dyDescent="0.25">
      <c r="A826">
        <f>INDEX(tblCleanData[EmployeeNumber],818)</f>
        <v>1133</v>
      </c>
      <c r="B826" t="str">
        <f>IF(INDEX(tblCleanData[Age],818)&lt;30,"Under 30",IF(INDEX(tblCleanData[Age],818)&lt;40,"30-39",IF(INDEX(tblCleanData[Age],818)&lt;50,"40-49","50+")))</f>
        <v>30-39</v>
      </c>
      <c r="C826" t="str">
        <f>IF(INDEX(tblCleanData[MonthlyIncome],818)&lt;=$B$3,"Low Income",IF(INDEX(tblCleanData[MonthlyIncome],818)&lt;=$B$4,"Medium Income","High Income"))</f>
        <v>High Income</v>
      </c>
      <c r="D826">
        <f>IF(INDEX(tblCleanData[Attrition],818)="Yes",1,0)</f>
        <v>0</v>
      </c>
      <c r="E826">
        <f>IF(INDEX(tblCleanData[OverTime],818)="Yes",1,0)</f>
        <v>0</v>
      </c>
      <c r="F826" t="str">
        <f>CHOOSE(INDEX(tblCleanData[Education],818),"Below College","College","Bachelor","Master","Doctor")</f>
        <v>Master</v>
      </c>
      <c r="G826" t="str">
        <f>IF(INDEX(tblCleanData[YearsAtCompany],818)&lt;=2,"0-2 Years",IF(INDEX(tblCleanData[YearsAtCompany],818)&lt;=5,"3-5 Years",IF(INDEX(tblCleanData[YearsAtCompany],818)&lt;=10,"6-10 Years","10+ Years")))</f>
        <v>10+ Years</v>
      </c>
      <c r="H826" t="str">
        <f>IF(INDEX(tblCleanData[WorkLifeBalance],818)&lt;=2,"Elevated","Normal")</f>
        <v>Normal</v>
      </c>
      <c r="I826">
        <f>IF(INDEX(tblCleanData[Age],818)&lt;30,30,IF(INDEX(tblCleanData[Age],818)&lt;40,20,IF(INDEX(tblCleanData[Age],818)&lt;50,10,15)))</f>
        <v>20</v>
      </c>
      <c r="J826">
        <f>IF(INDEX(tblCleanData[MonthlyIncome],818)&lt;=$B$3,25,IF(INDEX(tblCleanData[MonthlyIncome],818)&lt;=$B$4,12,5))</f>
        <v>5</v>
      </c>
      <c r="K826">
        <f>IF(INDEX(tblCleanData[OverTime],818)="Yes",25,0)</f>
        <v>0</v>
      </c>
      <c r="L826">
        <f>(5-INDEX(tblCleanData[JobSatisfaction],818))*6.25</f>
        <v>6.25</v>
      </c>
      <c r="M826">
        <f>IF(INDEX(tblCleanData[YearsAtCompany],818)&lt;=2,25,IF(INDEX(tblCleanData[YearsAtCompany],818)&lt;=5,15,IF(INDEX(tblCleanData[YearsAtCompany],818)&lt;=10,8,3)))</f>
        <v>3</v>
      </c>
      <c r="N826">
        <f t="shared" si="24"/>
        <v>34</v>
      </c>
      <c r="O826" t="str">
        <f t="shared" si="25"/>
        <v>Low Risk</v>
      </c>
    </row>
    <row r="827" spans="1:15" x14ac:dyDescent="0.25">
      <c r="A827">
        <f>INDEX(tblCleanData[EmployeeNumber],819)</f>
        <v>1135</v>
      </c>
      <c r="B827" t="str">
        <f>IF(INDEX(tblCleanData[Age],819)&lt;30,"Under 30",IF(INDEX(tblCleanData[Age],819)&lt;40,"30-39",IF(INDEX(tblCleanData[Age],819)&lt;50,"40-49","50+")))</f>
        <v>30-39</v>
      </c>
      <c r="C827" t="str">
        <f>IF(INDEX(tblCleanData[MonthlyIncome],819)&lt;=$B$3,"Low Income",IF(INDEX(tblCleanData[MonthlyIncome],819)&lt;=$B$4,"Medium Income","High Income"))</f>
        <v>High Income</v>
      </c>
      <c r="D827">
        <f>IF(INDEX(tblCleanData[Attrition],819)="Yes",1,0)</f>
        <v>0</v>
      </c>
      <c r="E827">
        <f>IF(INDEX(tblCleanData[OverTime],819)="Yes",1,0)</f>
        <v>0</v>
      </c>
      <c r="F827" t="str">
        <f>CHOOSE(INDEX(tblCleanData[Education],819),"Below College","College","Bachelor","Master","Doctor")</f>
        <v>Bachelor</v>
      </c>
      <c r="G827" t="str">
        <f>IF(INDEX(tblCleanData[YearsAtCompany],819)&lt;=2,"0-2 Years",IF(INDEX(tblCleanData[YearsAtCompany],819)&lt;=5,"3-5 Years",IF(INDEX(tblCleanData[YearsAtCompany],819)&lt;=10,"6-10 Years","10+ Years")))</f>
        <v>0-2 Years</v>
      </c>
      <c r="H827" t="str">
        <f>IF(INDEX(tblCleanData[WorkLifeBalance],819)&lt;=2,"Elevated","Normal")</f>
        <v>Normal</v>
      </c>
      <c r="I827">
        <f>IF(INDEX(tblCleanData[Age],819)&lt;30,30,IF(INDEX(tblCleanData[Age],819)&lt;40,20,IF(INDEX(tblCleanData[Age],819)&lt;50,10,15)))</f>
        <v>20</v>
      </c>
      <c r="J827">
        <f>IF(INDEX(tblCleanData[MonthlyIncome],819)&lt;=$B$3,25,IF(INDEX(tblCleanData[MonthlyIncome],819)&lt;=$B$4,12,5))</f>
        <v>5</v>
      </c>
      <c r="K827">
        <f>IF(INDEX(tblCleanData[OverTime],819)="Yes",25,0)</f>
        <v>0</v>
      </c>
      <c r="L827">
        <f>(5-INDEX(tblCleanData[JobSatisfaction],819))*6.25</f>
        <v>6.25</v>
      </c>
      <c r="M827">
        <f>IF(INDEX(tblCleanData[YearsAtCompany],819)&lt;=2,25,IF(INDEX(tblCleanData[YearsAtCompany],819)&lt;=5,15,IF(INDEX(tblCleanData[YearsAtCompany],819)&lt;=10,8,3)))</f>
        <v>25</v>
      </c>
      <c r="N827">
        <f t="shared" si="24"/>
        <v>56</v>
      </c>
      <c r="O827" t="str">
        <f t="shared" si="25"/>
        <v>High Risk</v>
      </c>
    </row>
    <row r="828" spans="1:15" x14ac:dyDescent="0.25">
      <c r="A828">
        <f>INDEX(tblCleanData[EmployeeNumber],820)</f>
        <v>1136</v>
      </c>
      <c r="B828" t="str">
        <f>IF(INDEX(tblCleanData[Age],820)&lt;30,"Under 30",IF(INDEX(tblCleanData[Age],820)&lt;40,"30-39",IF(INDEX(tblCleanData[Age],820)&lt;50,"40-49","50+")))</f>
        <v>Under 30</v>
      </c>
      <c r="C828" t="str">
        <f>IF(INDEX(tblCleanData[MonthlyIncome],820)&lt;=$B$3,"Low Income",IF(INDEX(tblCleanData[MonthlyIncome],820)&lt;=$B$4,"Medium Income","High Income"))</f>
        <v>High Income</v>
      </c>
      <c r="D828">
        <f>IF(INDEX(tblCleanData[Attrition],820)="Yes",1,0)</f>
        <v>0</v>
      </c>
      <c r="E828">
        <f>IF(INDEX(tblCleanData[OverTime],820)="Yes",1,0)</f>
        <v>0</v>
      </c>
      <c r="F828" t="str">
        <f>CHOOSE(INDEX(tblCleanData[Education],820),"Below College","College","Bachelor","Master","Doctor")</f>
        <v>Below College</v>
      </c>
      <c r="G828" t="str">
        <f>IF(INDEX(tblCleanData[YearsAtCompany],820)&lt;=2,"0-2 Years",IF(INDEX(tblCleanData[YearsAtCompany],820)&lt;=5,"3-5 Years",IF(INDEX(tblCleanData[YearsAtCompany],820)&lt;=10,"6-10 Years","10+ Years")))</f>
        <v>3-5 Years</v>
      </c>
      <c r="H828" t="str">
        <f>IF(INDEX(tblCleanData[WorkLifeBalance],820)&lt;=2,"Elevated","Normal")</f>
        <v>Elevated</v>
      </c>
      <c r="I828">
        <f>IF(INDEX(tblCleanData[Age],820)&lt;30,30,IF(INDEX(tblCleanData[Age],820)&lt;40,20,IF(INDEX(tblCleanData[Age],820)&lt;50,10,15)))</f>
        <v>30</v>
      </c>
      <c r="J828">
        <f>IF(INDEX(tblCleanData[MonthlyIncome],820)&lt;=$B$3,25,IF(INDEX(tblCleanData[MonthlyIncome],820)&lt;=$B$4,12,5))</f>
        <v>5</v>
      </c>
      <c r="K828">
        <f>IF(INDEX(tblCleanData[OverTime],820)="Yes",25,0)</f>
        <v>0</v>
      </c>
      <c r="L828">
        <f>(5-INDEX(tblCleanData[JobSatisfaction],820))*6.25</f>
        <v>18.75</v>
      </c>
      <c r="M828">
        <f>IF(INDEX(tblCleanData[YearsAtCompany],820)&lt;=2,25,IF(INDEX(tblCleanData[YearsAtCompany],820)&lt;=5,15,IF(INDEX(tblCleanData[YearsAtCompany],820)&lt;=10,8,3)))</f>
        <v>15</v>
      </c>
      <c r="N828">
        <f t="shared" si="24"/>
        <v>69</v>
      </c>
      <c r="O828" t="str">
        <f t="shared" si="25"/>
        <v>High Risk</v>
      </c>
    </row>
    <row r="829" spans="1:15" x14ac:dyDescent="0.25">
      <c r="A829">
        <f>INDEX(tblCleanData[EmployeeNumber],821)</f>
        <v>1137</v>
      </c>
      <c r="B829" t="str">
        <f>IF(INDEX(tblCleanData[Age],821)&lt;30,"Under 30",IF(INDEX(tblCleanData[Age],821)&lt;40,"30-39",IF(INDEX(tblCleanData[Age],821)&lt;50,"40-49","50+")))</f>
        <v>30-39</v>
      </c>
      <c r="C829" t="str">
        <f>IF(INDEX(tblCleanData[MonthlyIncome],821)&lt;=$B$3,"Low Income",IF(INDEX(tblCleanData[MonthlyIncome],821)&lt;=$B$4,"Medium Income","High Income"))</f>
        <v>High Income</v>
      </c>
      <c r="D829">
        <f>IF(INDEX(tblCleanData[Attrition],821)="Yes",1,0)</f>
        <v>0</v>
      </c>
      <c r="E829">
        <f>IF(INDEX(tblCleanData[OverTime],821)="Yes",1,0)</f>
        <v>0</v>
      </c>
      <c r="F829" t="str">
        <f>CHOOSE(INDEX(tblCleanData[Education],821),"Below College","College","Bachelor","Master","Doctor")</f>
        <v>College</v>
      </c>
      <c r="G829" t="str">
        <f>IF(INDEX(tblCleanData[YearsAtCompany],821)&lt;=2,"0-2 Years",IF(INDEX(tblCleanData[YearsAtCompany],821)&lt;=5,"3-5 Years",IF(INDEX(tblCleanData[YearsAtCompany],821)&lt;=10,"6-10 Years","10+ Years")))</f>
        <v>3-5 Years</v>
      </c>
      <c r="H829" t="str">
        <f>IF(INDEX(tblCleanData[WorkLifeBalance],821)&lt;=2,"Elevated","Normal")</f>
        <v>Normal</v>
      </c>
      <c r="I829">
        <f>IF(INDEX(tblCleanData[Age],821)&lt;30,30,IF(INDEX(tblCleanData[Age],821)&lt;40,20,IF(INDEX(tblCleanData[Age],821)&lt;50,10,15)))</f>
        <v>20</v>
      </c>
      <c r="J829">
        <f>IF(INDEX(tblCleanData[MonthlyIncome],821)&lt;=$B$3,25,IF(INDEX(tblCleanData[MonthlyIncome],821)&lt;=$B$4,12,5))</f>
        <v>5</v>
      </c>
      <c r="K829">
        <f>IF(INDEX(tblCleanData[OverTime],821)="Yes",25,0)</f>
        <v>0</v>
      </c>
      <c r="L829">
        <f>(5-INDEX(tblCleanData[JobSatisfaction],821))*6.25</f>
        <v>6.25</v>
      </c>
      <c r="M829">
        <f>IF(INDEX(tblCleanData[YearsAtCompany],821)&lt;=2,25,IF(INDEX(tblCleanData[YearsAtCompany],821)&lt;=5,15,IF(INDEX(tblCleanData[YearsAtCompany],821)&lt;=10,8,3)))</f>
        <v>15</v>
      </c>
      <c r="N829">
        <f t="shared" si="24"/>
        <v>46</v>
      </c>
      <c r="O829" t="str">
        <f t="shared" si="25"/>
        <v>Medium Risk</v>
      </c>
    </row>
    <row r="830" spans="1:15" x14ac:dyDescent="0.25">
      <c r="A830">
        <f>INDEX(tblCleanData[EmployeeNumber],822)</f>
        <v>1138</v>
      </c>
      <c r="B830" t="str">
        <f>IF(INDEX(tblCleanData[Age],822)&lt;30,"Under 30",IF(INDEX(tblCleanData[Age],822)&lt;40,"30-39",IF(INDEX(tblCleanData[Age],822)&lt;50,"40-49","50+")))</f>
        <v>40-49</v>
      </c>
      <c r="C830" t="str">
        <f>IF(INDEX(tblCleanData[MonthlyIncome],822)&lt;=$B$3,"Low Income",IF(INDEX(tblCleanData[MonthlyIncome],822)&lt;=$B$4,"Medium Income","High Income"))</f>
        <v>High Income</v>
      </c>
      <c r="D830">
        <f>IF(INDEX(tblCleanData[Attrition],822)="Yes",1,0)</f>
        <v>0</v>
      </c>
      <c r="E830">
        <f>IF(INDEX(tblCleanData[OverTime],822)="Yes",1,0)</f>
        <v>0</v>
      </c>
      <c r="F830" t="str">
        <f>CHOOSE(INDEX(tblCleanData[Education],822),"Below College","College","Bachelor","Master","Doctor")</f>
        <v>Master</v>
      </c>
      <c r="G830" t="str">
        <f>IF(INDEX(tblCleanData[YearsAtCompany],822)&lt;=2,"0-2 Years",IF(INDEX(tblCleanData[YearsAtCompany],822)&lt;=5,"3-5 Years",IF(INDEX(tblCleanData[YearsAtCompany],822)&lt;=10,"6-10 Years","10+ Years")))</f>
        <v>6-10 Years</v>
      </c>
      <c r="H830" t="str">
        <f>IF(INDEX(tblCleanData[WorkLifeBalance],822)&lt;=2,"Elevated","Normal")</f>
        <v>Normal</v>
      </c>
      <c r="I830">
        <f>IF(INDEX(tblCleanData[Age],822)&lt;30,30,IF(INDEX(tblCleanData[Age],822)&lt;40,20,IF(INDEX(tblCleanData[Age],822)&lt;50,10,15)))</f>
        <v>10</v>
      </c>
      <c r="J830">
        <f>IF(INDEX(tblCleanData[MonthlyIncome],822)&lt;=$B$3,25,IF(INDEX(tblCleanData[MonthlyIncome],822)&lt;=$B$4,12,5))</f>
        <v>5</v>
      </c>
      <c r="K830">
        <f>IF(INDEX(tblCleanData[OverTime],822)="Yes",25,0)</f>
        <v>0</v>
      </c>
      <c r="L830">
        <f>(5-INDEX(tblCleanData[JobSatisfaction],822))*6.25</f>
        <v>18.75</v>
      </c>
      <c r="M830">
        <f>IF(INDEX(tblCleanData[YearsAtCompany],822)&lt;=2,25,IF(INDEX(tblCleanData[YearsAtCompany],822)&lt;=5,15,IF(INDEX(tblCleanData[YearsAtCompany],822)&lt;=10,8,3)))</f>
        <v>8</v>
      </c>
      <c r="N830">
        <f t="shared" si="24"/>
        <v>42</v>
      </c>
      <c r="O830" t="str">
        <f t="shared" si="25"/>
        <v>Medium Risk</v>
      </c>
    </row>
    <row r="831" spans="1:15" x14ac:dyDescent="0.25">
      <c r="A831">
        <f>INDEX(tblCleanData[EmployeeNumber],823)</f>
        <v>1140</v>
      </c>
      <c r="B831" t="str">
        <f>IF(INDEX(tblCleanData[Age],823)&lt;30,"Under 30",IF(INDEX(tblCleanData[Age],823)&lt;40,"30-39",IF(INDEX(tblCleanData[Age],823)&lt;50,"40-49","50+")))</f>
        <v>30-39</v>
      </c>
      <c r="C831" t="str">
        <f>IF(INDEX(tblCleanData[MonthlyIncome],823)&lt;=$B$3,"Low Income",IF(INDEX(tblCleanData[MonthlyIncome],823)&lt;=$B$4,"Medium Income","High Income"))</f>
        <v>High Income</v>
      </c>
      <c r="D831">
        <f>IF(INDEX(tblCleanData[Attrition],823)="Yes",1,0)</f>
        <v>0</v>
      </c>
      <c r="E831">
        <f>IF(INDEX(tblCleanData[OverTime],823)="Yes",1,0)</f>
        <v>0</v>
      </c>
      <c r="F831" t="str">
        <f>CHOOSE(INDEX(tblCleanData[Education],823),"Below College","College","Bachelor","Master","Doctor")</f>
        <v>College</v>
      </c>
      <c r="G831" t="str">
        <f>IF(INDEX(tblCleanData[YearsAtCompany],823)&lt;=2,"0-2 Years",IF(INDEX(tblCleanData[YearsAtCompany],823)&lt;=5,"3-5 Years",IF(INDEX(tblCleanData[YearsAtCompany],823)&lt;=10,"6-10 Years","10+ Years")))</f>
        <v>3-5 Years</v>
      </c>
      <c r="H831" t="str">
        <f>IF(INDEX(tblCleanData[WorkLifeBalance],823)&lt;=2,"Elevated","Normal")</f>
        <v>Elevated</v>
      </c>
      <c r="I831">
        <f>IF(INDEX(tblCleanData[Age],823)&lt;30,30,IF(INDEX(tblCleanData[Age],823)&lt;40,20,IF(INDEX(tblCleanData[Age],823)&lt;50,10,15)))</f>
        <v>20</v>
      </c>
      <c r="J831">
        <f>IF(INDEX(tblCleanData[MonthlyIncome],823)&lt;=$B$3,25,IF(INDEX(tblCleanData[MonthlyIncome],823)&lt;=$B$4,12,5))</f>
        <v>5</v>
      </c>
      <c r="K831">
        <f>IF(INDEX(tblCleanData[OverTime],823)="Yes",25,0)</f>
        <v>0</v>
      </c>
      <c r="L831">
        <f>(5-INDEX(tblCleanData[JobSatisfaction],823))*6.25</f>
        <v>12.5</v>
      </c>
      <c r="M831">
        <f>IF(INDEX(tblCleanData[YearsAtCompany],823)&lt;=2,25,IF(INDEX(tblCleanData[YearsAtCompany],823)&lt;=5,15,IF(INDEX(tblCleanData[YearsAtCompany],823)&lt;=10,8,3)))</f>
        <v>15</v>
      </c>
      <c r="N831">
        <f t="shared" si="24"/>
        <v>53</v>
      </c>
      <c r="O831" t="str">
        <f t="shared" si="25"/>
        <v>Medium Risk</v>
      </c>
    </row>
    <row r="832" spans="1:15" x14ac:dyDescent="0.25">
      <c r="A832">
        <f>INDEX(tblCleanData[EmployeeNumber],824)</f>
        <v>1143</v>
      </c>
      <c r="B832" t="str">
        <f>IF(INDEX(tblCleanData[Age],824)&lt;30,"Under 30",IF(INDEX(tblCleanData[Age],824)&lt;40,"30-39",IF(INDEX(tblCleanData[Age],824)&lt;50,"40-49","50+")))</f>
        <v>Under 30</v>
      </c>
      <c r="C832" t="str">
        <f>IF(INDEX(tblCleanData[MonthlyIncome],824)&lt;=$B$3,"Low Income",IF(INDEX(tblCleanData[MonthlyIncome],824)&lt;=$B$4,"Medium Income","High Income"))</f>
        <v>High Income</v>
      </c>
      <c r="D832">
        <f>IF(INDEX(tblCleanData[Attrition],824)="Yes",1,0)</f>
        <v>0</v>
      </c>
      <c r="E832">
        <f>IF(INDEX(tblCleanData[OverTime],824)="Yes",1,0)</f>
        <v>0</v>
      </c>
      <c r="F832" t="str">
        <f>CHOOSE(INDEX(tblCleanData[Education],824),"Below College","College","Bachelor","Master","Doctor")</f>
        <v>Bachelor</v>
      </c>
      <c r="G832" t="str">
        <f>IF(INDEX(tblCleanData[YearsAtCompany],824)&lt;=2,"0-2 Years",IF(INDEX(tblCleanData[YearsAtCompany],824)&lt;=5,"3-5 Years",IF(INDEX(tblCleanData[YearsAtCompany],824)&lt;=10,"6-10 Years","10+ Years")))</f>
        <v>6-10 Years</v>
      </c>
      <c r="H832" t="str">
        <f>IF(INDEX(tblCleanData[WorkLifeBalance],824)&lt;=2,"Elevated","Normal")</f>
        <v>Elevated</v>
      </c>
      <c r="I832">
        <f>IF(INDEX(tblCleanData[Age],824)&lt;30,30,IF(INDEX(tblCleanData[Age],824)&lt;40,20,IF(INDEX(tblCleanData[Age],824)&lt;50,10,15)))</f>
        <v>30</v>
      </c>
      <c r="J832">
        <f>IF(INDEX(tblCleanData[MonthlyIncome],824)&lt;=$B$3,25,IF(INDEX(tblCleanData[MonthlyIncome],824)&lt;=$B$4,12,5))</f>
        <v>5</v>
      </c>
      <c r="K832">
        <f>IF(INDEX(tblCleanData[OverTime],824)="Yes",25,0)</f>
        <v>0</v>
      </c>
      <c r="L832">
        <f>(5-INDEX(tblCleanData[JobSatisfaction],824))*6.25</f>
        <v>18.75</v>
      </c>
      <c r="M832">
        <f>IF(INDEX(tblCleanData[YearsAtCompany],824)&lt;=2,25,IF(INDEX(tblCleanData[YearsAtCompany],824)&lt;=5,15,IF(INDEX(tblCleanData[YearsAtCompany],824)&lt;=10,8,3)))</f>
        <v>8</v>
      </c>
      <c r="N832">
        <f t="shared" si="24"/>
        <v>62</v>
      </c>
      <c r="O832" t="str">
        <f t="shared" si="25"/>
        <v>High Risk</v>
      </c>
    </row>
    <row r="833" spans="1:15" x14ac:dyDescent="0.25">
      <c r="A833">
        <f>INDEX(tblCleanData[EmployeeNumber],825)</f>
        <v>1148</v>
      </c>
      <c r="B833" t="str">
        <f>IF(INDEX(tblCleanData[Age],825)&lt;30,"Under 30",IF(INDEX(tblCleanData[Age],825)&lt;40,"30-39",IF(INDEX(tblCleanData[Age],825)&lt;50,"40-49","50+")))</f>
        <v>40-49</v>
      </c>
      <c r="C833" t="str">
        <f>IF(INDEX(tblCleanData[MonthlyIncome],825)&lt;=$B$3,"Low Income",IF(INDEX(tblCleanData[MonthlyIncome],825)&lt;=$B$4,"Medium Income","High Income"))</f>
        <v>High Income</v>
      </c>
      <c r="D833">
        <f>IF(INDEX(tblCleanData[Attrition],825)="Yes",1,0)</f>
        <v>0</v>
      </c>
      <c r="E833">
        <f>IF(INDEX(tblCleanData[OverTime],825)="Yes",1,0)</f>
        <v>0</v>
      </c>
      <c r="F833" t="str">
        <f>CHOOSE(INDEX(tblCleanData[Education],825),"Below College","College","Bachelor","Master","Doctor")</f>
        <v>Bachelor</v>
      </c>
      <c r="G833" t="str">
        <f>IF(INDEX(tblCleanData[YearsAtCompany],825)&lt;=2,"0-2 Years",IF(INDEX(tblCleanData[YearsAtCompany],825)&lt;=5,"3-5 Years",IF(INDEX(tblCleanData[YearsAtCompany],825)&lt;=10,"6-10 Years","10+ Years")))</f>
        <v>0-2 Years</v>
      </c>
      <c r="H833" t="str">
        <f>IF(INDEX(tblCleanData[WorkLifeBalance],825)&lt;=2,"Elevated","Normal")</f>
        <v>Normal</v>
      </c>
      <c r="I833">
        <f>IF(INDEX(tblCleanData[Age],825)&lt;30,30,IF(INDEX(tblCleanData[Age],825)&lt;40,20,IF(INDEX(tblCleanData[Age],825)&lt;50,10,15)))</f>
        <v>10</v>
      </c>
      <c r="J833">
        <f>IF(INDEX(tblCleanData[MonthlyIncome],825)&lt;=$B$3,25,IF(INDEX(tblCleanData[MonthlyIncome],825)&lt;=$B$4,12,5))</f>
        <v>5</v>
      </c>
      <c r="K833">
        <f>IF(INDEX(tblCleanData[OverTime],825)="Yes",25,0)</f>
        <v>0</v>
      </c>
      <c r="L833">
        <f>(5-INDEX(tblCleanData[JobSatisfaction],825))*6.25</f>
        <v>6.25</v>
      </c>
      <c r="M833">
        <f>IF(INDEX(tblCleanData[YearsAtCompany],825)&lt;=2,25,IF(INDEX(tblCleanData[YearsAtCompany],825)&lt;=5,15,IF(INDEX(tblCleanData[YearsAtCompany],825)&lt;=10,8,3)))</f>
        <v>25</v>
      </c>
      <c r="N833">
        <f t="shared" si="24"/>
        <v>46</v>
      </c>
      <c r="O833" t="str">
        <f t="shared" si="25"/>
        <v>Medium Risk</v>
      </c>
    </row>
    <row r="834" spans="1:15" x14ac:dyDescent="0.25">
      <c r="A834">
        <f>INDEX(tblCleanData[EmployeeNumber],826)</f>
        <v>1150</v>
      </c>
      <c r="B834" t="str">
        <f>IF(INDEX(tblCleanData[Age],826)&lt;30,"Under 30",IF(INDEX(tblCleanData[Age],826)&lt;40,"30-39",IF(INDEX(tblCleanData[Age],826)&lt;50,"40-49","50+")))</f>
        <v>Under 30</v>
      </c>
      <c r="C834" t="str">
        <f>IF(INDEX(tblCleanData[MonthlyIncome],826)&lt;=$B$3,"Low Income",IF(INDEX(tblCleanData[MonthlyIncome],826)&lt;=$B$4,"Medium Income","High Income"))</f>
        <v>High Income</v>
      </c>
      <c r="D834">
        <f>IF(INDEX(tblCleanData[Attrition],826)="Yes",1,0)</f>
        <v>0</v>
      </c>
      <c r="E834">
        <f>IF(INDEX(tblCleanData[OverTime],826)="Yes",1,0)</f>
        <v>1</v>
      </c>
      <c r="F834" t="str">
        <f>CHOOSE(INDEX(tblCleanData[Education],826),"Below College","College","Bachelor","Master","Doctor")</f>
        <v>Below College</v>
      </c>
      <c r="G834" t="str">
        <f>IF(INDEX(tblCleanData[YearsAtCompany],826)&lt;=2,"0-2 Years",IF(INDEX(tblCleanData[YearsAtCompany],826)&lt;=5,"3-5 Years",IF(INDEX(tblCleanData[YearsAtCompany],826)&lt;=10,"6-10 Years","10+ Years")))</f>
        <v>6-10 Years</v>
      </c>
      <c r="H834" t="str">
        <f>IF(INDEX(tblCleanData[WorkLifeBalance],826)&lt;=2,"Elevated","Normal")</f>
        <v>Elevated</v>
      </c>
      <c r="I834">
        <f>IF(INDEX(tblCleanData[Age],826)&lt;30,30,IF(INDEX(tblCleanData[Age],826)&lt;40,20,IF(INDEX(tblCleanData[Age],826)&lt;50,10,15)))</f>
        <v>30</v>
      </c>
      <c r="J834">
        <f>IF(INDEX(tblCleanData[MonthlyIncome],826)&lt;=$B$3,25,IF(INDEX(tblCleanData[MonthlyIncome],826)&lt;=$B$4,12,5))</f>
        <v>5</v>
      </c>
      <c r="K834">
        <f>IF(INDEX(tblCleanData[OverTime],826)="Yes",25,0)</f>
        <v>25</v>
      </c>
      <c r="L834">
        <f>(5-INDEX(tblCleanData[JobSatisfaction],826))*6.25</f>
        <v>6.25</v>
      </c>
      <c r="M834">
        <f>IF(INDEX(tblCleanData[YearsAtCompany],826)&lt;=2,25,IF(INDEX(tblCleanData[YearsAtCompany],826)&lt;=5,15,IF(INDEX(tblCleanData[YearsAtCompany],826)&lt;=10,8,3)))</f>
        <v>8</v>
      </c>
      <c r="N834">
        <f t="shared" si="24"/>
        <v>74</v>
      </c>
      <c r="O834" t="str">
        <f t="shared" si="25"/>
        <v>High Risk</v>
      </c>
    </row>
    <row r="835" spans="1:15" x14ac:dyDescent="0.25">
      <c r="A835">
        <f>INDEX(tblCleanData[EmployeeNumber],827)</f>
        <v>1152</v>
      </c>
      <c r="B835" t="str">
        <f>IF(INDEX(tblCleanData[Age],827)&lt;30,"Under 30",IF(INDEX(tblCleanData[Age],827)&lt;40,"30-39",IF(INDEX(tblCleanData[Age],827)&lt;50,"40-49","50+")))</f>
        <v>30-39</v>
      </c>
      <c r="C835" t="str">
        <f>IF(INDEX(tblCleanData[MonthlyIncome],827)&lt;=$B$3,"Low Income",IF(INDEX(tblCleanData[MonthlyIncome],827)&lt;=$B$4,"Medium Income","High Income"))</f>
        <v>High Income</v>
      </c>
      <c r="D835">
        <f>IF(INDEX(tblCleanData[Attrition],827)="Yes",1,0)</f>
        <v>0</v>
      </c>
      <c r="E835">
        <f>IF(INDEX(tblCleanData[OverTime],827)="Yes",1,0)</f>
        <v>0</v>
      </c>
      <c r="F835" t="str">
        <f>CHOOSE(INDEX(tblCleanData[Education],827),"Below College","College","Bachelor","Master","Doctor")</f>
        <v>Bachelor</v>
      </c>
      <c r="G835" t="str">
        <f>IF(INDEX(tblCleanData[YearsAtCompany],827)&lt;=2,"0-2 Years",IF(INDEX(tblCleanData[YearsAtCompany],827)&lt;=5,"3-5 Years",IF(INDEX(tblCleanData[YearsAtCompany],827)&lt;=10,"6-10 Years","10+ Years")))</f>
        <v>6-10 Years</v>
      </c>
      <c r="H835" t="str">
        <f>IF(INDEX(tblCleanData[WorkLifeBalance],827)&lt;=2,"Elevated","Normal")</f>
        <v>Normal</v>
      </c>
      <c r="I835">
        <f>IF(INDEX(tblCleanData[Age],827)&lt;30,30,IF(INDEX(tblCleanData[Age],827)&lt;40,20,IF(INDEX(tblCleanData[Age],827)&lt;50,10,15)))</f>
        <v>20</v>
      </c>
      <c r="J835">
        <f>IF(INDEX(tblCleanData[MonthlyIncome],827)&lt;=$B$3,25,IF(INDEX(tblCleanData[MonthlyIncome],827)&lt;=$B$4,12,5))</f>
        <v>5</v>
      </c>
      <c r="K835">
        <f>IF(INDEX(tblCleanData[OverTime],827)="Yes",25,0)</f>
        <v>0</v>
      </c>
      <c r="L835">
        <f>(5-INDEX(tblCleanData[JobSatisfaction],827))*6.25</f>
        <v>12.5</v>
      </c>
      <c r="M835">
        <f>IF(INDEX(tblCleanData[YearsAtCompany],827)&lt;=2,25,IF(INDEX(tblCleanData[YearsAtCompany],827)&lt;=5,15,IF(INDEX(tblCleanData[YearsAtCompany],827)&lt;=10,8,3)))</f>
        <v>8</v>
      </c>
      <c r="N835">
        <f t="shared" si="24"/>
        <v>46</v>
      </c>
      <c r="O835" t="str">
        <f t="shared" si="25"/>
        <v>Medium Risk</v>
      </c>
    </row>
    <row r="836" spans="1:15" x14ac:dyDescent="0.25">
      <c r="A836">
        <f>INDEX(tblCleanData[EmployeeNumber],828)</f>
        <v>1154</v>
      </c>
      <c r="B836" t="str">
        <f>IF(INDEX(tblCleanData[Age],828)&lt;30,"Under 30",IF(INDEX(tblCleanData[Age],828)&lt;40,"30-39",IF(INDEX(tblCleanData[Age],828)&lt;50,"40-49","50+")))</f>
        <v>Under 30</v>
      </c>
      <c r="C836" t="str">
        <f>IF(INDEX(tblCleanData[MonthlyIncome],828)&lt;=$B$3,"Low Income",IF(INDEX(tblCleanData[MonthlyIncome],828)&lt;=$B$4,"Medium Income","High Income"))</f>
        <v>High Income</v>
      </c>
      <c r="D836">
        <f>IF(INDEX(tblCleanData[Attrition],828)="Yes",1,0)</f>
        <v>0</v>
      </c>
      <c r="E836">
        <f>IF(INDEX(tblCleanData[OverTime],828)="Yes",1,0)</f>
        <v>1</v>
      </c>
      <c r="F836" t="str">
        <f>CHOOSE(INDEX(tblCleanData[Education],828),"Below College","College","Bachelor","Master","Doctor")</f>
        <v>Bachelor</v>
      </c>
      <c r="G836" t="str">
        <f>IF(INDEX(tblCleanData[YearsAtCompany],828)&lt;=2,"0-2 Years",IF(INDEX(tblCleanData[YearsAtCompany],828)&lt;=5,"3-5 Years",IF(INDEX(tblCleanData[YearsAtCompany],828)&lt;=10,"6-10 Years","10+ Years")))</f>
        <v>3-5 Years</v>
      </c>
      <c r="H836" t="str">
        <f>IF(INDEX(tblCleanData[WorkLifeBalance],828)&lt;=2,"Elevated","Normal")</f>
        <v>Normal</v>
      </c>
      <c r="I836">
        <f>IF(INDEX(tblCleanData[Age],828)&lt;30,30,IF(INDEX(tblCleanData[Age],828)&lt;40,20,IF(INDEX(tblCleanData[Age],828)&lt;50,10,15)))</f>
        <v>30</v>
      </c>
      <c r="J836">
        <f>IF(INDEX(tblCleanData[MonthlyIncome],828)&lt;=$B$3,25,IF(INDEX(tblCleanData[MonthlyIncome],828)&lt;=$B$4,12,5))</f>
        <v>5</v>
      </c>
      <c r="K836">
        <f>IF(INDEX(tblCleanData[OverTime],828)="Yes",25,0)</f>
        <v>25</v>
      </c>
      <c r="L836">
        <f>(5-INDEX(tblCleanData[JobSatisfaction],828))*6.25</f>
        <v>12.5</v>
      </c>
      <c r="M836">
        <f>IF(INDEX(tblCleanData[YearsAtCompany],828)&lt;=2,25,IF(INDEX(tblCleanData[YearsAtCompany],828)&lt;=5,15,IF(INDEX(tblCleanData[YearsAtCompany],828)&lt;=10,8,3)))</f>
        <v>15</v>
      </c>
      <c r="N836">
        <f t="shared" si="24"/>
        <v>88</v>
      </c>
      <c r="O836" t="str">
        <f t="shared" si="25"/>
        <v>High Risk</v>
      </c>
    </row>
    <row r="837" spans="1:15" x14ac:dyDescent="0.25">
      <c r="A837">
        <f>INDEX(tblCleanData[EmployeeNumber],829)</f>
        <v>1156</v>
      </c>
      <c r="B837" t="str">
        <f>IF(INDEX(tblCleanData[Age],829)&lt;30,"Under 30",IF(INDEX(tblCleanData[Age],829)&lt;40,"30-39",IF(INDEX(tblCleanData[Age],829)&lt;50,"40-49","50+")))</f>
        <v>Under 30</v>
      </c>
      <c r="C837" t="str">
        <f>IF(INDEX(tblCleanData[MonthlyIncome],829)&lt;=$B$3,"Low Income",IF(INDEX(tblCleanData[MonthlyIncome],829)&lt;=$B$4,"Medium Income","High Income"))</f>
        <v>High Income</v>
      </c>
      <c r="D837">
        <f>IF(INDEX(tblCleanData[Attrition],829)="Yes",1,0)</f>
        <v>1</v>
      </c>
      <c r="E837">
        <f>IF(INDEX(tblCleanData[OverTime],829)="Yes",1,0)</f>
        <v>0</v>
      </c>
      <c r="F837" t="str">
        <f>CHOOSE(INDEX(tblCleanData[Education],829),"Below College","College","Bachelor","Master","Doctor")</f>
        <v>Below College</v>
      </c>
      <c r="G837" t="str">
        <f>IF(INDEX(tblCleanData[YearsAtCompany],829)&lt;=2,"0-2 Years",IF(INDEX(tblCleanData[YearsAtCompany],829)&lt;=5,"3-5 Years",IF(INDEX(tblCleanData[YearsAtCompany],829)&lt;=10,"6-10 Years","10+ Years")))</f>
        <v>0-2 Years</v>
      </c>
      <c r="H837" t="str">
        <f>IF(INDEX(tblCleanData[WorkLifeBalance],829)&lt;=2,"Elevated","Normal")</f>
        <v>Normal</v>
      </c>
      <c r="I837">
        <f>IF(INDEX(tblCleanData[Age],829)&lt;30,30,IF(INDEX(tblCleanData[Age],829)&lt;40,20,IF(INDEX(tblCleanData[Age],829)&lt;50,10,15)))</f>
        <v>30</v>
      </c>
      <c r="J837">
        <f>IF(INDEX(tblCleanData[MonthlyIncome],829)&lt;=$B$3,25,IF(INDEX(tblCleanData[MonthlyIncome],829)&lt;=$B$4,12,5))</f>
        <v>5</v>
      </c>
      <c r="K837">
        <f>IF(INDEX(tblCleanData[OverTime],829)="Yes",25,0)</f>
        <v>0</v>
      </c>
      <c r="L837">
        <f>(5-INDEX(tblCleanData[JobSatisfaction],829))*6.25</f>
        <v>12.5</v>
      </c>
      <c r="M837">
        <f>IF(INDEX(tblCleanData[YearsAtCompany],829)&lt;=2,25,IF(INDEX(tblCleanData[YearsAtCompany],829)&lt;=5,15,IF(INDEX(tblCleanData[YearsAtCompany],829)&lt;=10,8,3)))</f>
        <v>25</v>
      </c>
      <c r="N837">
        <f t="shared" si="24"/>
        <v>73</v>
      </c>
      <c r="O837" t="str">
        <f t="shared" si="25"/>
        <v>High Risk</v>
      </c>
    </row>
    <row r="838" spans="1:15" x14ac:dyDescent="0.25">
      <c r="A838">
        <f>INDEX(tblCleanData[EmployeeNumber],830)</f>
        <v>1157</v>
      </c>
      <c r="B838" t="str">
        <f>IF(INDEX(tblCleanData[Age],830)&lt;30,"Under 30",IF(INDEX(tblCleanData[Age],830)&lt;40,"30-39",IF(INDEX(tblCleanData[Age],830)&lt;50,"40-49","50+")))</f>
        <v>30-39</v>
      </c>
      <c r="C838" t="str">
        <f>IF(INDEX(tblCleanData[MonthlyIncome],830)&lt;=$B$3,"Low Income",IF(INDEX(tblCleanData[MonthlyIncome],830)&lt;=$B$4,"Medium Income","High Income"))</f>
        <v>High Income</v>
      </c>
      <c r="D838">
        <f>IF(INDEX(tblCleanData[Attrition],830)="Yes",1,0)</f>
        <v>1</v>
      </c>
      <c r="E838">
        <f>IF(INDEX(tblCleanData[OverTime],830)="Yes",1,0)</f>
        <v>1</v>
      </c>
      <c r="F838" t="str">
        <f>CHOOSE(INDEX(tblCleanData[Education],830),"Below College","College","Bachelor","Master","Doctor")</f>
        <v>Master</v>
      </c>
      <c r="G838" t="str">
        <f>IF(INDEX(tblCleanData[YearsAtCompany],830)&lt;=2,"0-2 Years",IF(INDEX(tblCleanData[YearsAtCompany],830)&lt;=5,"3-5 Years",IF(INDEX(tblCleanData[YearsAtCompany],830)&lt;=10,"6-10 Years","10+ Years")))</f>
        <v>3-5 Years</v>
      </c>
      <c r="H838" t="str">
        <f>IF(INDEX(tblCleanData[WorkLifeBalance],830)&lt;=2,"Elevated","Normal")</f>
        <v>Normal</v>
      </c>
      <c r="I838">
        <f>IF(INDEX(tblCleanData[Age],830)&lt;30,30,IF(INDEX(tblCleanData[Age],830)&lt;40,20,IF(INDEX(tblCleanData[Age],830)&lt;50,10,15)))</f>
        <v>20</v>
      </c>
      <c r="J838">
        <f>IF(INDEX(tblCleanData[MonthlyIncome],830)&lt;=$B$3,25,IF(INDEX(tblCleanData[MonthlyIncome],830)&lt;=$B$4,12,5))</f>
        <v>5</v>
      </c>
      <c r="K838">
        <f>IF(INDEX(tblCleanData[OverTime],830)="Yes",25,0)</f>
        <v>25</v>
      </c>
      <c r="L838">
        <f>(5-INDEX(tblCleanData[JobSatisfaction],830))*6.25</f>
        <v>25</v>
      </c>
      <c r="M838">
        <f>IF(INDEX(tblCleanData[YearsAtCompany],830)&lt;=2,25,IF(INDEX(tblCleanData[YearsAtCompany],830)&lt;=5,15,IF(INDEX(tblCleanData[YearsAtCompany],830)&lt;=10,8,3)))</f>
        <v>15</v>
      </c>
      <c r="N838">
        <f t="shared" si="24"/>
        <v>90</v>
      </c>
      <c r="O838" t="str">
        <f t="shared" si="25"/>
        <v>High Risk</v>
      </c>
    </row>
    <row r="839" spans="1:15" x14ac:dyDescent="0.25">
      <c r="A839">
        <f>INDEX(tblCleanData[EmployeeNumber],831)</f>
        <v>1158</v>
      </c>
      <c r="B839" t="str">
        <f>IF(INDEX(tblCleanData[Age],831)&lt;30,"Under 30",IF(INDEX(tblCleanData[Age],831)&lt;40,"30-39",IF(INDEX(tblCleanData[Age],831)&lt;50,"40-49","50+")))</f>
        <v>40-49</v>
      </c>
      <c r="C839" t="str">
        <f>IF(INDEX(tblCleanData[MonthlyIncome],831)&lt;=$B$3,"Low Income",IF(INDEX(tblCleanData[MonthlyIncome],831)&lt;=$B$4,"Medium Income","High Income"))</f>
        <v>High Income</v>
      </c>
      <c r="D839">
        <f>IF(INDEX(tblCleanData[Attrition],831)="Yes",1,0)</f>
        <v>0</v>
      </c>
      <c r="E839">
        <f>IF(INDEX(tblCleanData[OverTime],831)="Yes",1,0)</f>
        <v>1</v>
      </c>
      <c r="F839" t="str">
        <f>CHOOSE(INDEX(tblCleanData[Education],831),"Below College","College","Bachelor","Master","Doctor")</f>
        <v>Master</v>
      </c>
      <c r="G839" t="str">
        <f>IF(INDEX(tblCleanData[YearsAtCompany],831)&lt;=2,"0-2 Years",IF(INDEX(tblCleanData[YearsAtCompany],831)&lt;=5,"3-5 Years",IF(INDEX(tblCleanData[YearsAtCompany],831)&lt;=10,"6-10 Years","10+ Years")))</f>
        <v>0-2 Years</v>
      </c>
      <c r="H839" t="str">
        <f>IF(INDEX(tblCleanData[WorkLifeBalance],831)&lt;=2,"Elevated","Normal")</f>
        <v>Normal</v>
      </c>
      <c r="I839">
        <f>IF(INDEX(tblCleanData[Age],831)&lt;30,30,IF(INDEX(tblCleanData[Age],831)&lt;40,20,IF(INDEX(tblCleanData[Age],831)&lt;50,10,15)))</f>
        <v>10</v>
      </c>
      <c r="J839">
        <f>IF(INDEX(tblCleanData[MonthlyIncome],831)&lt;=$B$3,25,IF(INDEX(tblCleanData[MonthlyIncome],831)&lt;=$B$4,12,5))</f>
        <v>5</v>
      </c>
      <c r="K839">
        <f>IF(INDEX(tblCleanData[OverTime],831)="Yes",25,0)</f>
        <v>25</v>
      </c>
      <c r="L839">
        <f>(5-INDEX(tblCleanData[JobSatisfaction],831))*6.25</f>
        <v>6.25</v>
      </c>
      <c r="M839">
        <f>IF(INDEX(tblCleanData[YearsAtCompany],831)&lt;=2,25,IF(INDEX(tblCleanData[YearsAtCompany],831)&lt;=5,15,IF(INDEX(tblCleanData[YearsAtCompany],831)&lt;=10,8,3)))</f>
        <v>25</v>
      </c>
      <c r="N839">
        <f t="shared" si="24"/>
        <v>71</v>
      </c>
      <c r="O839" t="str">
        <f t="shared" si="25"/>
        <v>High Risk</v>
      </c>
    </row>
    <row r="840" spans="1:15" x14ac:dyDescent="0.25">
      <c r="A840">
        <f>INDEX(tblCleanData[EmployeeNumber],832)</f>
        <v>1160</v>
      </c>
      <c r="B840" t="str">
        <f>IF(INDEX(tblCleanData[Age],832)&lt;30,"Under 30",IF(INDEX(tblCleanData[Age],832)&lt;40,"30-39",IF(INDEX(tblCleanData[Age],832)&lt;50,"40-49","50+")))</f>
        <v>30-39</v>
      </c>
      <c r="C840" t="str">
        <f>IF(INDEX(tblCleanData[MonthlyIncome],832)&lt;=$B$3,"Low Income",IF(INDEX(tblCleanData[MonthlyIncome],832)&lt;=$B$4,"Medium Income","High Income"))</f>
        <v>High Income</v>
      </c>
      <c r="D840">
        <f>IF(INDEX(tblCleanData[Attrition],832)="Yes",1,0)</f>
        <v>1</v>
      </c>
      <c r="E840">
        <f>IF(INDEX(tblCleanData[OverTime],832)="Yes",1,0)</f>
        <v>0</v>
      </c>
      <c r="F840" t="str">
        <f>CHOOSE(INDEX(tblCleanData[Education],832),"Below College","College","Bachelor","Master","Doctor")</f>
        <v>Bachelor</v>
      </c>
      <c r="G840" t="str">
        <f>IF(INDEX(tblCleanData[YearsAtCompany],832)&lt;=2,"0-2 Years",IF(INDEX(tblCleanData[YearsAtCompany],832)&lt;=5,"3-5 Years",IF(INDEX(tblCleanData[YearsAtCompany],832)&lt;=10,"6-10 Years","10+ Years")))</f>
        <v>0-2 Years</v>
      </c>
      <c r="H840" t="str">
        <f>IF(INDEX(tblCleanData[WorkLifeBalance],832)&lt;=2,"Elevated","Normal")</f>
        <v>Elevated</v>
      </c>
      <c r="I840">
        <f>IF(INDEX(tblCleanData[Age],832)&lt;30,30,IF(INDEX(tblCleanData[Age],832)&lt;40,20,IF(INDEX(tblCleanData[Age],832)&lt;50,10,15)))</f>
        <v>20</v>
      </c>
      <c r="J840">
        <f>IF(INDEX(tblCleanData[MonthlyIncome],832)&lt;=$B$3,25,IF(INDEX(tblCleanData[MonthlyIncome],832)&lt;=$B$4,12,5))</f>
        <v>5</v>
      </c>
      <c r="K840">
        <f>IF(INDEX(tblCleanData[OverTime],832)="Yes",25,0)</f>
        <v>0</v>
      </c>
      <c r="L840">
        <f>(5-INDEX(tblCleanData[JobSatisfaction],832))*6.25</f>
        <v>12.5</v>
      </c>
      <c r="M840">
        <f>IF(INDEX(tblCleanData[YearsAtCompany],832)&lt;=2,25,IF(INDEX(tblCleanData[YearsAtCompany],832)&lt;=5,15,IF(INDEX(tblCleanData[YearsAtCompany],832)&lt;=10,8,3)))</f>
        <v>25</v>
      </c>
      <c r="N840">
        <f t="shared" si="24"/>
        <v>63</v>
      </c>
      <c r="O840" t="str">
        <f t="shared" si="25"/>
        <v>High Risk</v>
      </c>
    </row>
    <row r="841" spans="1:15" x14ac:dyDescent="0.25">
      <c r="A841">
        <f>INDEX(tblCleanData[EmployeeNumber],833)</f>
        <v>1161</v>
      </c>
      <c r="B841" t="str">
        <f>IF(INDEX(tblCleanData[Age],833)&lt;30,"Under 30",IF(INDEX(tblCleanData[Age],833)&lt;40,"30-39",IF(INDEX(tblCleanData[Age],833)&lt;50,"40-49","50+")))</f>
        <v>30-39</v>
      </c>
      <c r="C841" t="str">
        <f>IF(INDEX(tblCleanData[MonthlyIncome],833)&lt;=$B$3,"Low Income",IF(INDEX(tblCleanData[MonthlyIncome],833)&lt;=$B$4,"Medium Income","High Income"))</f>
        <v>High Income</v>
      </c>
      <c r="D841">
        <f>IF(INDEX(tblCleanData[Attrition],833)="Yes",1,0)</f>
        <v>0</v>
      </c>
      <c r="E841">
        <f>IF(INDEX(tblCleanData[OverTime],833)="Yes",1,0)</f>
        <v>0</v>
      </c>
      <c r="F841" t="str">
        <f>CHOOSE(INDEX(tblCleanData[Education],833),"Below College","College","Bachelor","Master","Doctor")</f>
        <v>College</v>
      </c>
      <c r="G841" t="str">
        <f>IF(INDEX(tblCleanData[YearsAtCompany],833)&lt;=2,"0-2 Years",IF(INDEX(tblCleanData[YearsAtCompany],833)&lt;=5,"3-5 Years",IF(INDEX(tblCleanData[YearsAtCompany],833)&lt;=10,"6-10 Years","10+ Years")))</f>
        <v>6-10 Years</v>
      </c>
      <c r="H841" t="str">
        <f>IF(INDEX(tblCleanData[WorkLifeBalance],833)&lt;=2,"Elevated","Normal")</f>
        <v>Normal</v>
      </c>
      <c r="I841">
        <f>IF(INDEX(tblCleanData[Age],833)&lt;30,30,IF(INDEX(tblCleanData[Age],833)&lt;40,20,IF(INDEX(tblCleanData[Age],833)&lt;50,10,15)))</f>
        <v>20</v>
      </c>
      <c r="J841">
        <f>IF(INDEX(tblCleanData[MonthlyIncome],833)&lt;=$B$3,25,IF(INDEX(tblCleanData[MonthlyIncome],833)&lt;=$B$4,12,5))</f>
        <v>5</v>
      </c>
      <c r="K841">
        <f>IF(INDEX(tblCleanData[OverTime],833)="Yes",25,0)</f>
        <v>0</v>
      </c>
      <c r="L841">
        <f>(5-INDEX(tblCleanData[JobSatisfaction],833))*6.25</f>
        <v>6.25</v>
      </c>
      <c r="M841">
        <f>IF(INDEX(tblCleanData[YearsAtCompany],833)&lt;=2,25,IF(INDEX(tblCleanData[YearsAtCompany],833)&lt;=5,15,IF(INDEX(tblCleanData[YearsAtCompany],833)&lt;=10,8,3)))</f>
        <v>8</v>
      </c>
      <c r="N841">
        <f t="shared" ref="N841:N904" si="26">ROUND(I841+J841+K841+L841+M841,0)</f>
        <v>39</v>
      </c>
      <c r="O841" t="str">
        <f t="shared" ref="O841:O904" si="27">IF(N841&gt;=55,"High Risk",IF(N841&gt;=35,"Medium Risk","Low Risk"))</f>
        <v>Medium Risk</v>
      </c>
    </row>
    <row r="842" spans="1:15" x14ac:dyDescent="0.25">
      <c r="A842">
        <f>INDEX(tblCleanData[EmployeeNumber],834)</f>
        <v>1162</v>
      </c>
      <c r="B842" t="str">
        <f>IF(INDEX(tblCleanData[Age],834)&lt;30,"Under 30",IF(INDEX(tblCleanData[Age],834)&lt;40,"30-39",IF(INDEX(tblCleanData[Age],834)&lt;50,"40-49","50+")))</f>
        <v>Under 30</v>
      </c>
      <c r="C842" t="str">
        <f>IF(INDEX(tblCleanData[MonthlyIncome],834)&lt;=$B$3,"Low Income",IF(INDEX(tblCleanData[MonthlyIncome],834)&lt;=$B$4,"Medium Income","High Income"))</f>
        <v>High Income</v>
      </c>
      <c r="D842">
        <f>IF(INDEX(tblCleanData[Attrition],834)="Yes",1,0)</f>
        <v>0</v>
      </c>
      <c r="E842">
        <f>IF(INDEX(tblCleanData[OverTime],834)="Yes",1,0)</f>
        <v>0</v>
      </c>
      <c r="F842" t="str">
        <f>CHOOSE(INDEX(tblCleanData[Education],834),"Below College","College","Bachelor","Master","Doctor")</f>
        <v>Bachelor</v>
      </c>
      <c r="G842" t="str">
        <f>IF(INDEX(tblCleanData[YearsAtCompany],834)&lt;=2,"0-2 Years",IF(INDEX(tblCleanData[YearsAtCompany],834)&lt;=5,"3-5 Years",IF(INDEX(tblCleanData[YearsAtCompany],834)&lt;=10,"6-10 Years","10+ Years")))</f>
        <v>3-5 Years</v>
      </c>
      <c r="H842" t="str">
        <f>IF(INDEX(tblCleanData[WorkLifeBalance],834)&lt;=2,"Elevated","Normal")</f>
        <v>Normal</v>
      </c>
      <c r="I842">
        <f>IF(INDEX(tblCleanData[Age],834)&lt;30,30,IF(INDEX(tblCleanData[Age],834)&lt;40,20,IF(INDEX(tblCleanData[Age],834)&lt;50,10,15)))</f>
        <v>30</v>
      </c>
      <c r="J842">
        <f>IF(INDEX(tblCleanData[MonthlyIncome],834)&lt;=$B$3,25,IF(INDEX(tblCleanData[MonthlyIncome],834)&lt;=$B$4,12,5))</f>
        <v>5</v>
      </c>
      <c r="K842">
        <f>IF(INDEX(tblCleanData[OverTime],834)="Yes",25,0)</f>
        <v>0</v>
      </c>
      <c r="L842">
        <f>(5-INDEX(tblCleanData[JobSatisfaction],834))*6.25</f>
        <v>12.5</v>
      </c>
      <c r="M842">
        <f>IF(INDEX(tblCleanData[YearsAtCompany],834)&lt;=2,25,IF(INDEX(tblCleanData[YearsAtCompany],834)&lt;=5,15,IF(INDEX(tblCleanData[YearsAtCompany],834)&lt;=10,8,3)))</f>
        <v>15</v>
      </c>
      <c r="N842">
        <f t="shared" si="26"/>
        <v>63</v>
      </c>
      <c r="O842" t="str">
        <f t="shared" si="27"/>
        <v>High Risk</v>
      </c>
    </row>
    <row r="843" spans="1:15" x14ac:dyDescent="0.25">
      <c r="A843">
        <f>INDEX(tblCleanData[EmployeeNumber],835)</f>
        <v>1163</v>
      </c>
      <c r="B843" t="str">
        <f>IF(INDEX(tblCleanData[Age],835)&lt;30,"Under 30",IF(INDEX(tblCleanData[Age],835)&lt;40,"30-39",IF(INDEX(tblCleanData[Age],835)&lt;50,"40-49","50+")))</f>
        <v>30-39</v>
      </c>
      <c r="C843" t="str">
        <f>IF(INDEX(tblCleanData[MonthlyIncome],835)&lt;=$B$3,"Low Income",IF(INDEX(tblCleanData[MonthlyIncome],835)&lt;=$B$4,"Medium Income","High Income"))</f>
        <v>High Income</v>
      </c>
      <c r="D843">
        <f>IF(INDEX(tblCleanData[Attrition],835)="Yes",1,0)</f>
        <v>0</v>
      </c>
      <c r="E843">
        <f>IF(INDEX(tblCleanData[OverTime],835)="Yes",1,0)</f>
        <v>0</v>
      </c>
      <c r="F843" t="str">
        <f>CHOOSE(INDEX(tblCleanData[Education],835),"Below College","College","Bachelor","Master","Doctor")</f>
        <v>Below College</v>
      </c>
      <c r="G843" t="str">
        <f>IF(INDEX(tblCleanData[YearsAtCompany],835)&lt;=2,"0-2 Years",IF(INDEX(tblCleanData[YearsAtCompany],835)&lt;=5,"3-5 Years",IF(INDEX(tblCleanData[YearsAtCompany],835)&lt;=10,"6-10 Years","10+ Years")))</f>
        <v>6-10 Years</v>
      </c>
      <c r="H843" t="str">
        <f>IF(INDEX(tblCleanData[WorkLifeBalance],835)&lt;=2,"Elevated","Normal")</f>
        <v>Elevated</v>
      </c>
      <c r="I843">
        <f>IF(INDEX(tblCleanData[Age],835)&lt;30,30,IF(INDEX(tblCleanData[Age],835)&lt;40,20,IF(INDEX(tblCleanData[Age],835)&lt;50,10,15)))</f>
        <v>20</v>
      </c>
      <c r="J843">
        <f>IF(INDEX(tblCleanData[MonthlyIncome],835)&lt;=$B$3,25,IF(INDEX(tblCleanData[MonthlyIncome],835)&lt;=$B$4,12,5))</f>
        <v>5</v>
      </c>
      <c r="K843">
        <f>IF(INDEX(tblCleanData[OverTime],835)="Yes",25,0)</f>
        <v>0</v>
      </c>
      <c r="L843">
        <f>(5-INDEX(tblCleanData[JobSatisfaction],835))*6.25</f>
        <v>12.5</v>
      </c>
      <c r="M843">
        <f>IF(INDEX(tblCleanData[YearsAtCompany],835)&lt;=2,25,IF(INDEX(tblCleanData[YearsAtCompany],835)&lt;=5,15,IF(INDEX(tblCleanData[YearsAtCompany],835)&lt;=10,8,3)))</f>
        <v>8</v>
      </c>
      <c r="N843">
        <f t="shared" si="26"/>
        <v>46</v>
      </c>
      <c r="O843" t="str">
        <f t="shared" si="27"/>
        <v>Medium Risk</v>
      </c>
    </row>
    <row r="844" spans="1:15" x14ac:dyDescent="0.25">
      <c r="A844">
        <f>INDEX(tblCleanData[EmployeeNumber],836)</f>
        <v>1164</v>
      </c>
      <c r="B844" t="str">
        <f>IF(INDEX(tblCleanData[Age],836)&lt;30,"Under 30",IF(INDEX(tblCleanData[Age],836)&lt;40,"30-39",IF(INDEX(tblCleanData[Age],836)&lt;50,"40-49","50+")))</f>
        <v>30-39</v>
      </c>
      <c r="C844" t="str">
        <f>IF(INDEX(tblCleanData[MonthlyIncome],836)&lt;=$B$3,"Low Income",IF(INDEX(tblCleanData[MonthlyIncome],836)&lt;=$B$4,"Medium Income","High Income"))</f>
        <v>High Income</v>
      </c>
      <c r="D844">
        <f>IF(INDEX(tblCleanData[Attrition],836)="Yes",1,0)</f>
        <v>0</v>
      </c>
      <c r="E844">
        <f>IF(INDEX(tblCleanData[OverTime],836)="Yes",1,0)</f>
        <v>0</v>
      </c>
      <c r="F844" t="str">
        <f>CHOOSE(INDEX(tblCleanData[Education],836),"Below College","College","Bachelor","Master","Doctor")</f>
        <v>Master</v>
      </c>
      <c r="G844" t="str">
        <f>IF(INDEX(tblCleanData[YearsAtCompany],836)&lt;=2,"0-2 Years",IF(INDEX(tblCleanData[YearsAtCompany],836)&lt;=5,"3-5 Years",IF(INDEX(tblCleanData[YearsAtCompany],836)&lt;=10,"6-10 Years","10+ Years")))</f>
        <v>3-5 Years</v>
      </c>
      <c r="H844" t="str">
        <f>IF(INDEX(tblCleanData[WorkLifeBalance],836)&lt;=2,"Elevated","Normal")</f>
        <v>Elevated</v>
      </c>
      <c r="I844">
        <f>IF(INDEX(tblCleanData[Age],836)&lt;30,30,IF(INDEX(tblCleanData[Age],836)&lt;40,20,IF(INDEX(tblCleanData[Age],836)&lt;50,10,15)))</f>
        <v>20</v>
      </c>
      <c r="J844">
        <f>IF(INDEX(tblCleanData[MonthlyIncome],836)&lt;=$B$3,25,IF(INDEX(tblCleanData[MonthlyIncome],836)&lt;=$B$4,12,5))</f>
        <v>5</v>
      </c>
      <c r="K844">
        <f>IF(INDEX(tblCleanData[OverTime],836)="Yes",25,0)</f>
        <v>0</v>
      </c>
      <c r="L844">
        <f>(5-INDEX(tblCleanData[JobSatisfaction],836))*6.25</f>
        <v>12.5</v>
      </c>
      <c r="M844">
        <f>IF(INDEX(tblCleanData[YearsAtCompany],836)&lt;=2,25,IF(INDEX(tblCleanData[YearsAtCompany],836)&lt;=5,15,IF(INDEX(tblCleanData[YearsAtCompany],836)&lt;=10,8,3)))</f>
        <v>15</v>
      </c>
      <c r="N844">
        <f t="shared" si="26"/>
        <v>53</v>
      </c>
      <c r="O844" t="str">
        <f t="shared" si="27"/>
        <v>Medium Risk</v>
      </c>
    </row>
    <row r="845" spans="1:15" x14ac:dyDescent="0.25">
      <c r="A845">
        <f>INDEX(tblCleanData[EmployeeNumber],837)</f>
        <v>1165</v>
      </c>
      <c r="B845" t="str">
        <f>IF(INDEX(tblCleanData[Age],837)&lt;30,"Under 30",IF(INDEX(tblCleanData[Age],837)&lt;40,"30-39",IF(INDEX(tblCleanData[Age],837)&lt;50,"40-49","50+")))</f>
        <v>Under 30</v>
      </c>
      <c r="C845" t="str">
        <f>IF(INDEX(tblCleanData[MonthlyIncome],837)&lt;=$B$3,"Low Income",IF(INDEX(tblCleanData[MonthlyIncome],837)&lt;=$B$4,"Medium Income","High Income"))</f>
        <v>High Income</v>
      </c>
      <c r="D845">
        <f>IF(INDEX(tblCleanData[Attrition],837)="Yes",1,0)</f>
        <v>1</v>
      </c>
      <c r="E845">
        <f>IF(INDEX(tblCleanData[OverTime],837)="Yes",1,0)</f>
        <v>0</v>
      </c>
      <c r="F845" t="str">
        <f>CHOOSE(INDEX(tblCleanData[Education],837),"Below College","College","Bachelor","Master","Doctor")</f>
        <v>Below College</v>
      </c>
      <c r="G845" t="str">
        <f>IF(INDEX(tblCleanData[YearsAtCompany],837)&lt;=2,"0-2 Years",IF(INDEX(tblCleanData[YearsAtCompany],837)&lt;=5,"3-5 Years",IF(INDEX(tblCleanData[YearsAtCompany],837)&lt;=10,"6-10 Years","10+ Years")))</f>
        <v>10+ Years</v>
      </c>
      <c r="H845" t="str">
        <f>IF(INDEX(tblCleanData[WorkLifeBalance],837)&lt;=2,"Elevated","Normal")</f>
        <v>Elevated</v>
      </c>
      <c r="I845">
        <f>IF(INDEX(tblCleanData[Age],837)&lt;30,30,IF(INDEX(tblCleanData[Age],837)&lt;40,20,IF(INDEX(tblCleanData[Age],837)&lt;50,10,15)))</f>
        <v>30</v>
      </c>
      <c r="J845">
        <f>IF(INDEX(tblCleanData[MonthlyIncome],837)&lt;=$B$3,25,IF(INDEX(tblCleanData[MonthlyIncome],837)&lt;=$B$4,12,5))</f>
        <v>5</v>
      </c>
      <c r="K845">
        <f>IF(INDEX(tblCleanData[OverTime],837)="Yes",25,0)</f>
        <v>0</v>
      </c>
      <c r="L845">
        <f>(5-INDEX(tblCleanData[JobSatisfaction],837))*6.25</f>
        <v>25</v>
      </c>
      <c r="M845">
        <f>IF(INDEX(tblCleanData[YearsAtCompany],837)&lt;=2,25,IF(INDEX(tblCleanData[YearsAtCompany],837)&lt;=5,15,IF(INDEX(tblCleanData[YearsAtCompany],837)&lt;=10,8,3)))</f>
        <v>3</v>
      </c>
      <c r="N845">
        <f t="shared" si="26"/>
        <v>63</v>
      </c>
      <c r="O845" t="str">
        <f t="shared" si="27"/>
        <v>High Risk</v>
      </c>
    </row>
    <row r="846" spans="1:15" x14ac:dyDescent="0.25">
      <c r="A846">
        <f>INDEX(tblCleanData[EmployeeNumber],838)</f>
        <v>1166</v>
      </c>
      <c r="B846" t="str">
        <f>IF(INDEX(tblCleanData[Age],838)&lt;30,"Under 30",IF(INDEX(tblCleanData[Age],838)&lt;40,"30-39",IF(INDEX(tblCleanData[Age],838)&lt;50,"40-49","50+")))</f>
        <v>40-49</v>
      </c>
      <c r="C846" t="str">
        <f>IF(INDEX(tblCleanData[MonthlyIncome],838)&lt;=$B$3,"Low Income",IF(INDEX(tblCleanData[MonthlyIncome],838)&lt;=$B$4,"Medium Income","High Income"))</f>
        <v>High Income</v>
      </c>
      <c r="D846">
        <f>IF(INDEX(tblCleanData[Attrition],838)="Yes",1,0)</f>
        <v>0</v>
      </c>
      <c r="E846">
        <f>IF(INDEX(tblCleanData[OverTime],838)="Yes",1,0)</f>
        <v>0</v>
      </c>
      <c r="F846" t="str">
        <f>CHOOSE(INDEX(tblCleanData[Education],838),"Below College","College","Bachelor","Master","Doctor")</f>
        <v>Master</v>
      </c>
      <c r="G846" t="str">
        <f>IF(INDEX(tblCleanData[YearsAtCompany],838)&lt;=2,"0-2 Years",IF(INDEX(tblCleanData[YearsAtCompany],838)&lt;=5,"3-5 Years",IF(INDEX(tblCleanData[YearsAtCompany],838)&lt;=10,"6-10 Years","10+ Years")))</f>
        <v>10+ Years</v>
      </c>
      <c r="H846" t="str">
        <f>IF(INDEX(tblCleanData[WorkLifeBalance],838)&lt;=2,"Elevated","Normal")</f>
        <v>Elevated</v>
      </c>
      <c r="I846">
        <f>IF(INDEX(tblCleanData[Age],838)&lt;30,30,IF(INDEX(tblCleanData[Age],838)&lt;40,20,IF(INDEX(tblCleanData[Age],838)&lt;50,10,15)))</f>
        <v>10</v>
      </c>
      <c r="J846">
        <f>IF(INDEX(tblCleanData[MonthlyIncome],838)&lt;=$B$3,25,IF(INDEX(tblCleanData[MonthlyIncome],838)&lt;=$B$4,12,5))</f>
        <v>5</v>
      </c>
      <c r="K846">
        <f>IF(INDEX(tblCleanData[OverTime],838)="Yes",25,0)</f>
        <v>0</v>
      </c>
      <c r="L846">
        <f>(5-INDEX(tblCleanData[JobSatisfaction],838))*6.25</f>
        <v>12.5</v>
      </c>
      <c r="M846">
        <f>IF(INDEX(tblCleanData[YearsAtCompany],838)&lt;=2,25,IF(INDEX(tblCleanData[YearsAtCompany],838)&lt;=5,15,IF(INDEX(tblCleanData[YearsAtCompany],838)&lt;=10,8,3)))</f>
        <v>3</v>
      </c>
      <c r="N846">
        <f t="shared" si="26"/>
        <v>31</v>
      </c>
      <c r="O846" t="str">
        <f t="shared" si="27"/>
        <v>Low Risk</v>
      </c>
    </row>
    <row r="847" spans="1:15" x14ac:dyDescent="0.25">
      <c r="A847">
        <f>INDEX(tblCleanData[EmployeeNumber],839)</f>
        <v>1167</v>
      </c>
      <c r="B847" t="str">
        <f>IF(INDEX(tblCleanData[Age],839)&lt;30,"Under 30",IF(INDEX(tblCleanData[Age],839)&lt;40,"30-39",IF(INDEX(tblCleanData[Age],839)&lt;50,"40-49","50+")))</f>
        <v>40-49</v>
      </c>
      <c r="C847" t="str">
        <f>IF(INDEX(tblCleanData[MonthlyIncome],839)&lt;=$B$3,"Low Income",IF(INDEX(tblCleanData[MonthlyIncome],839)&lt;=$B$4,"Medium Income","High Income"))</f>
        <v>High Income</v>
      </c>
      <c r="D847">
        <f>IF(INDEX(tblCleanData[Attrition],839)="Yes",1,0)</f>
        <v>1</v>
      </c>
      <c r="E847">
        <f>IF(INDEX(tblCleanData[OverTime],839)="Yes",1,0)</f>
        <v>1</v>
      </c>
      <c r="F847" t="str">
        <f>CHOOSE(INDEX(tblCleanData[Education],839),"Below College","College","Bachelor","Master","Doctor")</f>
        <v>Bachelor</v>
      </c>
      <c r="G847" t="str">
        <f>IF(INDEX(tblCleanData[YearsAtCompany],839)&lt;=2,"0-2 Years",IF(INDEX(tblCleanData[YearsAtCompany],839)&lt;=5,"3-5 Years",IF(INDEX(tblCleanData[YearsAtCompany],839)&lt;=10,"6-10 Years","10+ Years")))</f>
        <v>10+ Years</v>
      </c>
      <c r="H847" t="str">
        <f>IF(INDEX(tblCleanData[WorkLifeBalance],839)&lt;=2,"Elevated","Normal")</f>
        <v>Elevated</v>
      </c>
      <c r="I847">
        <f>IF(INDEX(tblCleanData[Age],839)&lt;30,30,IF(INDEX(tblCleanData[Age],839)&lt;40,20,IF(INDEX(tblCleanData[Age],839)&lt;50,10,15)))</f>
        <v>10</v>
      </c>
      <c r="J847">
        <f>IF(INDEX(tblCleanData[MonthlyIncome],839)&lt;=$B$3,25,IF(INDEX(tblCleanData[MonthlyIncome],839)&lt;=$B$4,12,5))</f>
        <v>5</v>
      </c>
      <c r="K847">
        <f>IF(INDEX(tblCleanData[OverTime],839)="Yes",25,0)</f>
        <v>25</v>
      </c>
      <c r="L847">
        <f>(5-INDEX(tblCleanData[JobSatisfaction],839))*6.25</f>
        <v>25</v>
      </c>
      <c r="M847">
        <f>IF(INDEX(tblCleanData[YearsAtCompany],839)&lt;=2,25,IF(INDEX(tblCleanData[YearsAtCompany],839)&lt;=5,15,IF(INDEX(tblCleanData[YearsAtCompany],839)&lt;=10,8,3)))</f>
        <v>3</v>
      </c>
      <c r="N847">
        <f t="shared" si="26"/>
        <v>68</v>
      </c>
      <c r="O847" t="str">
        <f t="shared" si="27"/>
        <v>High Risk</v>
      </c>
    </row>
    <row r="848" spans="1:15" x14ac:dyDescent="0.25">
      <c r="A848">
        <f>INDEX(tblCleanData[EmployeeNumber],840)</f>
        <v>1171</v>
      </c>
      <c r="B848" t="str">
        <f>IF(INDEX(tblCleanData[Age],840)&lt;30,"Under 30",IF(INDEX(tblCleanData[Age],840)&lt;40,"30-39",IF(INDEX(tblCleanData[Age],840)&lt;50,"40-49","50+")))</f>
        <v>40-49</v>
      </c>
      <c r="C848" t="str">
        <f>IF(INDEX(tblCleanData[MonthlyIncome],840)&lt;=$B$3,"Low Income",IF(INDEX(tblCleanData[MonthlyIncome],840)&lt;=$B$4,"Medium Income","High Income"))</f>
        <v>High Income</v>
      </c>
      <c r="D848">
        <f>IF(INDEX(tblCleanData[Attrition],840)="Yes",1,0)</f>
        <v>0</v>
      </c>
      <c r="E848">
        <f>IF(INDEX(tblCleanData[OverTime],840)="Yes",1,0)</f>
        <v>0</v>
      </c>
      <c r="F848" t="str">
        <f>CHOOSE(INDEX(tblCleanData[Education],840),"Below College","College","Bachelor","Master","Doctor")</f>
        <v>Master</v>
      </c>
      <c r="G848" t="str">
        <f>IF(INDEX(tblCleanData[YearsAtCompany],840)&lt;=2,"0-2 Years",IF(INDEX(tblCleanData[YearsAtCompany],840)&lt;=5,"3-5 Years",IF(INDEX(tblCleanData[YearsAtCompany],840)&lt;=10,"6-10 Years","10+ Years")))</f>
        <v>6-10 Years</v>
      </c>
      <c r="H848" t="str">
        <f>IF(INDEX(tblCleanData[WorkLifeBalance],840)&lt;=2,"Elevated","Normal")</f>
        <v>Normal</v>
      </c>
      <c r="I848">
        <f>IF(INDEX(tblCleanData[Age],840)&lt;30,30,IF(INDEX(tblCleanData[Age],840)&lt;40,20,IF(INDEX(tblCleanData[Age],840)&lt;50,10,15)))</f>
        <v>10</v>
      </c>
      <c r="J848">
        <f>IF(INDEX(tblCleanData[MonthlyIncome],840)&lt;=$B$3,25,IF(INDEX(tblCleanData[MonthlyIncome],840)&lt;=$B$4,12,5))</f>
        <v>5</v>
      </c>
      <c r="K848">
        <f>IF(INDEX(tblCleanData[OverTime],840)="Yes",25,0)</f>
        <v>0</v>
      </c>
      <c r="L848">
        <f>(5-INDEX(tblCleanData[JobSatisfaction],840))*6.25</f>
        <v>25</v>
      </c>
      <c r="M848">
        <f>IF(INDEX(tblCleanData[YearsAtCompany],840)&lt;=2,25,IF(INDEX(tblCleanData[YearsAtCompany],840)&lt;=5,15,IF(INDEX(tblCleanData[YearsAtCompany],840)&lt;=10,8,3)))</f>
        <v>8</v>
      </c>
      <c r="N848">
        <f t="shared" si="26"/>
        <v>48</v>
      </c>
      <c r="O848" t="str">
        <f t="shared" si="27"/>
        <v>Medium Risk</v>
      </c>
    </row>
    <row r="849" spans="1:15" x14ac:dyDescent="0.25">
      <c r="A849">
        <f>INDEX(tblCleanData[EmployeeNumber],841)</f>
        <v>1172</v>
      </c>
      <c r="B849" t="str">
        <f>IF(INDEX(tblCleanData[Age],841)&lt;30,"Under 30",IF(INDEX(tblCleanData[Age],841)&lt;40,"30-39",IF(INDEX(tblCleanData[Age],841)&lt;50,"40-49","50+")))</f>
        <v>30-39</v>
      </c>
      <c r="C849" t="str">
        <f>IF(INDEX(tblCleanData[MonthlyIncome],841)&lt;=$B$3,"Low Income",IF(INDEX(tblCleanData[MonthlyIncome],841)&lt;=$B$4,"Medium Income","High Income"))</f>
        <v>High Income</v>
      </c>
      <c r="D849">
        <f>IF(INDEX(tblCleanData[Attrition],841)="Yes",1,0)</f>
        <v>0</v>
      </c>
      <c r="E849">
        <f>IF(INDEX(tblCleanData[OverTime],841)="Yes",1,0)</f>
        <v>0</v>
      </c>
      <c r="F849" t="str">
        <f>CHOOSE(INDEX(tblCleanData[Education],841),"Below College","College","Bachelor","Master","Doctor")</f>
        <v>Master</v>
      </c>
      <c r="G849" t="str">
        <f>IF(INDEX(tblCleanData[YearsAtCompany],841)&lt;=2,"0-2 Years",IF(INDEX(tblCleanData[YearsAtCompany],841)&lt;=5,"3-5 Years",IF(INDEX(tblCleanData[YearsAtCompany],841)&lt;=10,"6-10 Years","10+ Years")))</f>
        <v>6-10 Years</v>
      </c>
      <c r="H849" t="str">
        <f>IF(INDEX(tblCleanData[WorkLifeBalance],841)&lt;=2,"Elevated","Normal")</f>
        <v>Normal</v>
      </c>
      <c r="I849">
        <f>IF(INDEX(tblCleanData[Age],841)&lt;30,30,IF(INDEX(tblCleanData[Age],841)&lt;40,20,IF(INDEX(tblCleanData[Age],841)&lt;50,10,15)))</f>
        <v>20</v>
      </c>
      <c r="J849">
        <f>IF(INDEX(tblCleanData[MonthlyIncome],841)&lt;=$B$3,25,IF(INDEX(tblCleanData[MonthlyIncome],841)&lt;=$B$4,12,5))</f>
        <v>5</v>
      </c>
      <c r="K849">
        <f>IF(INDEX(tblCleanData[OverTime],841)="Yes",25,0)</f>
        <v>0</v>
      </c>
      <c r="L849">
        <f>(5-INDEX(tblCleanData[JobSatisfaction],841))*6.25</f>
        <v>12.5</v>
      </c>
      <c r="M849">
        <f>IF(INDEX(tblCleanData[YearsAtCompany],841)&lt;=2,25,IF(INDEX(tblCleanData[YearsAtCompany],841)&lt;=5,15,IF(INDEX(tblCleanData[YearsAtCompany],841)&lt;=10,8,3)))</f>
        <v>8</v>
      </c>
      <c r="N849">
        <f t="shared" si="26"/>
        <v>46</v>
      </c>
      <c r="O849" t="str">
        <f t="shared" si="27"/>
        <v>Medium Risk</v>
      </c>
    </row>
    <row r="850" spans="1:15" x14ac:dyDescent="0.25">
      <c r="A850">
        <f>INDEX(tblCleanData[EmployeeNumber],842)</f>
        <v>1173</v>
      </c>
      <c r="B850" t="str">
        <f>IF(INDEX(tblCleanData[Age],842)&lt;30,"Under 30",IF(INDEX(tblCleanData[Age],842)&lt;40,"30-39",IF(INDEX(tblCleanData[Age],842)&lt;50,"40-49","50+")))</f>
        <v>Under 30</v>
      </c>
      <c r="C850" t="str">
        <f>IF(INDEX(tblCleanData[MonthlyIncome],842)&lt;=$B$3,"Low Income",IF(INDEX(tblCleanData[MonthlyIncome],842)&lt;=$B$4,"Medium Income","High Income"))</f>
        <v>High Income</v>
      </c>
      <c r="D850">
        <f>IF(INDEX(tblCleanData[Attrition],842)="Yes",1,0)</f>
        <v>0</v>
      </c>
      <c r="E850">
        <f>IF(INDEX(tblCleanData[OverTime],842)="Yes",1,0)</f>
        <v>0</v>
      </c>
      <c r="F850" t="str">
        <f>CHOOSE(INDEX(tblCleanData[Education],842),"Below College","College","Bachelor","Master","Doctor")</f>
        <v>Bachelor</v>
      </c>
      <c r="G850" t="str">
        <f>IF(INDEX(tblCleanData[YearsAtCompany],842)&lt;=2,"0-2 Years",IF(INDEX(tblCleanData[YearsAtCompany],842)&lt;=5,"3-5 Years",IF(INDEX(tblCleanData[YearsAtCompany],842)&lt;=10,"6-10 Years","10+ Years")))</f>
        <v>3-5 Years</v>
      </c>
      <c r="H850" t="str">
        <f>IF(INDEX(tblCleanData[WorkLifeBalance],842)&lt;=2,"Elevated","Normal")</f>
        <v>Normal</v>
      </c>
      <c r="I850">
        <f>IF(INDEX(tblCleanData[Age],842)&lt;30,30,IF(INDEX(tblCleanData[Age],842)&lt;40,20,IF(INDEX(tblCleanData[Age],842)&lt;50,10,15)))</f>
        <v>30</v>
      </c>
      <c r="J850">
        <f>IF(INDEX(tblCleanData[MonthlyIncome],842)&lt;=$B$3,25,IF(INDEX(tblCleanData[MonthlyIncome],842)&lt;=$B$4,12,5))</f>
        <v>5</v>
      </c>
      <c r="K850">
        <f>IF(INDEX(tblCleanData[OverTime],842)="Yes",25,0)</f>
        <v>0</v>
      </c>
      <c r="L850">
        <f>(5-INDEX(tblCleanData[JobSatisfaction],842))*6.25</f>
        <v>18.75</v>
      </c>
      <c r="M850">
        <f>IF(INDEX(tblCleanData[YearsAtCompany],842)&lt;=2,25,IF(INDEX(tblCleanData[YearsAtCompany],842)&lt;=5,15,IF(INDEX(tblCleanData[YearsAtCompany],842)&lt;=10,8,3)))</f>
        <v>15</v>
      </c>
      <c r="N850">
        <f t="shared" si="26"/>
        <v>69</v>
      </c>
      <c r="O850" t="str">
        <f t="shared" si="27"/>
        <v>High Risk</v>
      </c>
    </row>
    <row r="851" spans="1:15" x14ac:dyDescent="0.25">
      <c r="A851">
        <f>INDEX(tblCleanData[EmployeeNumber],843)</f>
        <v>1175</v>
      </c>
      <c r="B851" t="str">
        <f>IF(INDEX(tblCleanData[Age],843)&lt;30,"Under 30",IF(INDEX(tblCleanData[Age],843)&lt;40,"30-39",IF(INDEX(tblCleanData[Age],843)&lt;50,"40-49","50+")))</f>
        <v>Under 30</v>
      </c>
      <c r="C851" t="str">
        <f>IF(INDEX(tblCleanData[MonthlyIncome],843)&lt;=$B$3,"Low Income",IF(INDEX(tblCleanData[MonthlyIncome],843)&lt;=$B$4,"Medium Income","High Income"))</f>
        <v>High Income</v>
      </c>
      <c r="D851">
        <f>IF(INDEX(tblCleanData[Attrition],843)="Yes",1,0)</f>
        <v>1</v>
      </c>
      <c r="E851">
        <f>IF(INDEX(tblCleanData[OverTime],843)="Yes",1,0)</f>
        <v>1</v>
      </c>
      <c r="F851" t="str">
        <f>CHOOSE(INDEX(tblCleanData[Education],843),"Below College","College","Bachelor","Master","Doctor")</f>
        <v>Below College</v>
      </c>
      <c r="G851" t="str">
        <f>IF(INDEX(tblCleanData[YearsAtCompany],843)&lt;=2,"0-2 Years",IF(INDEX(tblCleanData[YearsAtCompany],843)&lt;=5,"3-5 Years",IF(INDEX(tblCleanData[YearsAtCompany],843)&lt;=10,"6-10 Years","10+ Years")))</f>
        <v>0-2 Years</v>
      </c>
      <c r="H851" t="str">
        <f>IF(INDEX(tblCleanData[WorkLifeBalance],843)&lt;=2,"Elevated","Normal")</f>
        <v>Elevated</v>
      </c>
      <c r="I851">
        <f>IF(INDEX(tblCleanData[Age],843)&lt;30,30,IF(INDEX(tblCleanData[Age],843)&lt;40,20,IF(INDEX(tblCleanData[Age],843)&lt;50,10,15)))</f>
        <v>30</v>
      </c>
      <c r="J851">
        <f>IF(INDEX(tblCleanData[MonthlyIncome],843)&lt;=$B$3,25,IF(INDEX(tblCleanData[MonthlyIncome],843)&lt;=$B$4,12,5))</f>
        <v>5</v>
      </c>
      <c r="K851">
        <f>IF(INDEX(tblCleanData[OverTime],843)="Yes",25,0)</f>
        <v>25</v>
      </c>
      <c r="L851">
        <f>(5-INDEX(tblCleanData[JobSatisfaction],843))*6.25</f>
        <v>6.25</v>
      </c>
      <c r="M851">
        <f>IF(INDEX(tblCleanData[YearsAtCompany],843)&lt;=2,25,IF(INDEX(tblCleanData[YearsAtCompany],843)&lt;=5,15,IF(INDEX(tblCleanData[YearsAtCompany],843)&lt;=10,8,3)))</f>
        <v>25</v>
      </c>
      <c r="N851">
        <f t="shared" si="26"/>
        <v>91</v>
      </c>
      <c r="O851" t="str">
        <f t="shared" si="27"/>
        <v>High Risk</v>
      </c>
    </row>
    <row r="852" spans="1:15" x14ac:dyDescent="0.25">
      <c r="A852">
        <f>INDEX(tblCleanData[EmployeeNumber],844)</f>
        <v>1177</v>
      </c>
      <c r="B852" t="str">
        <f>IF(INDEX(tblCleanData[Age],844)&lt;30,"Under 30",IF(INDEX(tblCleanData[Age],844)&lt;40,"30-39",IF(INDEX(tblCleanData[Age],844)&lt;50,"40-49","50+")))</f>
        <v>Under 30</v>
      </c>
      <c r="C852" t="str">
        <f>IF(INDEX(tblCleanData[MonthlyIncome],844)&lt;=$B$3,"Low Income",IF(INDEX(tblCleanData[MonthlyIncome],844)&lt;=$B$4,"Medium Income","High Income"))</f>
        <v>High Income</v>
      </c>
      <c r="D852">
        <f>IF(INDEX(tblCleanData[Attrition],844)="Yes",1,0)</f>
        <v>0</v>
      </c>
      <c r="E852">
        <f>IF(INDEX(tblCleanData[OverTime],844)="Yes",1,0)</f>
        <v>0</v>
      </c>
      <c r="F852" t="str">
        <f>CHOOSE(INDEX(tblCleanData[Education],844),"Below College","College","Bachelor","Master","Doctor")</f>
        <v>Master</v>
      </c>
      <c r="G852" t="str">
        <f>IF(INDEX(tblCleanData[YearsAtCompany],844)&lt;=2,"0-2 Years",IF(INDEX(tblCleanData[YearsAtCompany],844)&lt;=5,"3-5 Years",IF(INDEX(tblCleanData[YearsAtCompany],844)&lt;=10,"6-10 Years","10+ Years")))</f>
        <v>6-10 Years</v>
      </c>
      <c r="H852" t="str">
        <f>IF(INDEX(tblCleanData[WorkLifeBalance],844)&lt;=2,"Elevated","Normal")</f>
        <v>Normal</v>
      </c>
      <c r="I852">
        <f>IF(INDEX(tblCleanData[Age],844)&lt;30,30,IF(INDEX(tblCleanData[Age],844)&lt;40,20,IF(INDEX(tblCleanData[Age],844)&lt;50,10,15)))</f>
        <v>30</v>
      </c>
      <c r="J852">
        <f>IF(INDEX(tblCleanData[MonthlyIncome],844)&lt;=$B$3,25,IF(INDEX(tblCleanData[MonthlyIncome],844)&lt;=$B$4,12,5))</f>
        <v>5</v>
      </c>
      <c r="K852">
        <f>IF(INDEX(tblCleanData[OverTime],844)="Yes",25,0)</f>
        <v>0</v>
      </c>
      <c r="L852">
        <f>(5-INDEX(tblCleanData[JobSatisfaction],844))*6.25</f>
        <v>6.25</v>
      </c>
      <c r="M852">
        <f>IF(INDEX(tblCleanData[YearsAtCompany],844)&lt;=2,25,IF(INDEX(tblCleanData[YearsAtCompany],844)&lt;=5,15,IF(INDEX(tblCleanData[YearsAtCompany],844)&lt;=10,8,3)))</f>
        <v>8</v>
      </c>
      <c r="N852">
        <f t="shared" si="26"/>
        <v>49</v>
      </c>
      <c r="O852" t="str">
        <f t="shared" si="27"/>
        <v>Medium Risk</v>
      </c>
    </row>
    <row r="853" spans="1:15" x14ac:dyDescent="0.25">
      <c r="A853">
        <f>INDEX(tblCleanData[EmployeeNumber],845)</f>
        <v>1179</v>
      </c>
      <c r="B853" t="str">
        <f>IF(INDEX(tblCleanData[Age],845)&lt;30,"Under 30",IF(INDEX(tblCleanData[Age],845)&lt;40,"30-39",IF(INDEX(tblCleanData[Age],845)&lt;50,"40-49","50+")))</f>
        <v>30-39</v>
      </c>
      <c r="C853" t="str">
        <f>IF(INDEX(tblCleanData[MonthlyIncome],845)&lt;=$B$3,"Low Income",IF(INDEX(tblCleanData[MonthlyIncome],845)&lt;=$B$4,"Medium Income","High Income"))</f>
        <v>High Income</v>
      </c>
      <c r="D853">
        <f>IF(INDEX(tblCleanData[Attrition],845)="Yes",1,0)</f>
        <v>0</v>
      </c>
      <c r="E853">
        <f>IF(INDEX(tblCleanData[OverTime],845)="Yes",1,0)</f>
        <v>0</v>
      </c>
      <c r="F853" t="str">
        <f>CHOOSE(INDEX(tblCleanData[Education],845),"Below College","College","Bachelor","Master","Doctor")</f>
        <v>Bachelor</v>
      </c>
      <c r="G853" t="str">
        <f>IF(INDEX(tblCleanData[YearsAtCompany],845)&lt;=2,"0-2 Years",IF(INDEX(tblCleanData[YearsAtCompany],845)&lt;=5,"3-5 Years",IF(INDEX(tblCleanData[YearsAtCompany],845)&lt;=10,"6-10 Years","10+ Years")))</f>
        <v>6-10 Years</v>
      </c>
      <c r="H853" t="str">
        <f>IF(INDEX(tblCleanData[WorkLifeBalance],845)&lt;=2,"Elevated","Normal")</f>
        <v>Normal</v>
      </c>
      <c r="I853">
        <f>IF(INDEX(tblCleanData[Age],845)&lt;30,30,IF(INDEX(tblCleanData[Age],845)&lt;40,20,IF(INDEX(tblCleanData[Age],845)&lt;50,10,15)))</f>
        <v>20</v>
      </c>
      <c r="J853">
        <f>IF(INDEX(tblCleanData[MonthlyIncome],845)&lt;=$B$3,25,IF(INDEX(tblCleanData[MonthlyIncome],845)&lt;=$B$4,12,5))</f>
        <v>5</v>
      </c>
      <c r="K853">
        <f>IF(INDEX(tblCleanData[OverTime],845)="Yes",25,0)</f>
        <v>0</v>
      </c>
      <c r="L853">
        <f>(5-INDEX(tblCleanData[JobSatisfaction],845))*6.25</f>
        <v>12.5</v>
      </c>
      <c r="M853">
        <f>IF(INDEX(tblCleanData[YearsAtCompany],845)&lt;=2,25,IF(INDEX(tblCleanData[YearsAtCompany],845)&lt;=5,15,IF(INDEX(tblCleanData[YearsAtCompany],845)&lt;=10,8,3)))</f>
        <v>8</v>
      </c>
      <c r="N853">
        <f t="shared" si="26"/>
        <v>46</v>
      </c>
      <c r="O853" t="str">
        <f t="shared" si="27"/>
        <v>Medium Risk</v>
      </c>
    </row>
    <row r="854" spans="1:15" x14ac:dyDescent="0.25">
      <c r="A854">
        <f>INDEX(tblCleanData[EmployeeNumber],846)</f>
        <v>1180</v>
      </c>
      <c r="B854" t="str">
        <f>IF(INDEX(tblCleanData[Age],846)&lt;30,"Under 30",IF(INDEX(tblCleanData[Age],846)&lt;40,"30-39",IF(INDEX(tblCleanData[Age],846)&lt;50,"40-49","50+")))</f>
        <v>40-49</v>
      </c>
      <c r="C854" t="str">
        <f>IF(INDEX(tblCleanData[MonthlyIncome],846)&lt;=$B$3,"Low Income",IF(INDEX(tblCleanData[MonthlyIncome],846)&lt;=$B$4,"Medium Income","High Income"))</f>
        <v>High Income</v>
      </c>
      <c r="D854">
        <f>IF(INDEX(tblCleanData[Attrition],846)="Yes",1,0)</f>
        <v>0</v>
      </c>
      <c r="E854">
        <f>IF(INDEX(tblCleanData[OverTime],846)="Yes",1,0)</f>
        <v>1</v>
      </c>
      <c r="F854" t="str">
        <f>CHOOSE(INDEX(tblCleanData[Education],846),"Below College","College","Bachelor","Master","Doctor")</f>
        <v>College</v>
      </c>
      <c r="G854" t="str">
        <f>IF(INDEX(tblCleanData[YearsAtCompany],846)&lt;=2,"0-2 Years",IF(INDEX(tblCleanData[YearsAtCompany],846)&lt;=5,"3-5 Years",IF(INDEX(tblCleanData[YearsAtCompany],846)&lt;=10,"6-10 Years","10+ Years")))</f>
        <v>0-2 Years</v>
      </c>
      <c r="H854" t="str">
        <f>IF(INDEX(tblCleanData[WorkLifeBalance],846)&lt;=2,"Elevated","Normal")</f>
        <v>Elevated</v>
      </c>
      <c r="I854">
        <f>IF(INDEX(tblCleanData[Age],846)&lt;30,30,IF(INDEX(tblCleanData[Age],846)&lt;40,20,IF(INDEX(tblCleanData[Age],846)&lt;50,10,15)))</f>
        <v>10</v>
      </c>
      <c r="J854">
        <f>IF(INDEX(tblCleanData[MonthlyIncome],846)&lt;=$B$3,25,IF(INDEX(tblCleanData[MonthlyIncome],846)&lt;=$B$4,12,5))</f>
        <v>5</v>
      </c>
      <c r="K854">
        <f>IF(INDEX(tblCleanData[OverTime],846)="Yes",25,0)</f>
        <v>25</v>
      </c>
      <c r="L854">
        <f>(5-INDEX(tblCleanData[JobSatisfaction],846))*6.25</f>
        <v>6.25</v>
      </c>
      <c r="M854">
        <f>IF(INDEX(tblCleanData[YearsAtCompany],846)&lt;=2,25,IF(INDEX(tblCleanData[YearsAtCompany],846)&lt;=5,15,IF(INDEX(tblCleanData[YearsAtCompany],846)&lt;=10,8,3)))</f>
        <v>25</v>
      </c>
      <c r="N854">
        <f t="shared" si="26"/>
        <v>71</v>
      </c>
      <c r="O854" t="str">
        <f t="shared" si="27"/>
        <v>High Risk</v>
      </c>
    </row>
    <row r="855" spans="1:15" x14ac:dyDescent="0.25">
      <c r="A855">
        <f>INDEX(tblCleanData[EmployeeNumber],847)</f>
        <v>1182</v>
      </c>
      <c r="B855" t="str">
        <f>IF(INDEX(tblCleanData[Age],847)&lt;30,"Under 30",IF(INDEX(tblCleanData[Age],847)&lt;40,"30-39",IF(INDEX(tblCleanData[Age],847)&lt;50,"40-49","50+")))</f>
        <v>30-39</v>
      </c>
      <c r="C855" t="str">
        <f>IF(INDEX(tblCleanData[MonthlyIncome],847)&lt;=$B$3,"Low Income",IF(INDEX(tblCleanData[MonthlyIncome],847)&lt;=$B$4,"Medium Income","High Income"))</f>
        <v>High Income</v>
      </c>
      <c r="D855">
        <f>IF(INDEX(tblCleanData[Attrition],847)="Yes",1,0)</f>
        <v>0</v>
      </c>
      <c r="E855">
        <f>IF(INDEX(tblCleanData[OverTime],847)="Yes",1,0)</f>
        <v>0</v>
      </c>
      <c r="F855" t="str">
        <f>CHOOSE(INDEX(tblCleanData[Education],847),"Below College","College","Bachelor","Master","Doctor")</f>
        <v>Bachelor</v>
      </c>
      <c r="G855" t="str">
        <f>IF(INDEX(tblCleanData[YearsAtCompany],847)&lt;=2,"0-2 Years",IF(INDEX(tblCleanData[YearsAtCompany],847)&lt;=5,"3-5 Years",IF(INDEX(tblCleanData[YearsAtCompany],847)&lt;=10,"6-10 Years","10+ Years")))</f>
        <v>6-10 Years</v>
      </c>
      <c r="H855" t="str">
        <f>IF(INDEX(tblCleanData[WorkLifeBalance],847)&lt;=2,"Elevated","Normal")</f>
        <v>Normal</v>
      </c>
      <c r="I855">
        <f>IF(INDEX(tblCleanData[Age],847)&lt;30,30,IF(INDEX(tblCleanData[Age],847)&lt;40,20,IF(INDEX(tblCleanData[Age],847)&lt;50,10,15)))</f>
        <v>20</v>
      </c>
      <c r="J855">
        <f>IF(INDEX(tblCleanData[MonthlyIncome],847)&lt;=$B$3,25,IF(INDEX(tblCleanData[MonthlyIncome],847)&lt;=$B$4,12,5))</f>
        <v>5</v>
      </c>
      <c r="K855">
        <f>IF(INDEX(tblCleanData[OverTime],847)="Yes",25,0)</f>
        <v>0</v>
      </c>
      <c r="L855">
        <f>(5-INDEX(tblCleanData[JobSatisfaction],847))*6.25</f>
        <v>18.75</v>
      </c>
      <c r="M855">
        <f>IF(INDEX(tblCleanData[YearsAtCompany],847)&lt;=2,25,IF(INDEX(tblCleanData[YearsAtCompany],847)&lt;=5,15,IF(INDEX(tblCleanData[YearsAtCompany],847)&lt;=10,8,3)))</f>
        <v>8</v>
      </c>
      <c r="N855">
        <f t="shared" si="26"/>
        <v>52</v>
      </c>
      <c r="O855" t="str">
        <f t="shared" si="27"/>
        <v>Medium Risk</v>
      </c>
    </row>
    <row r="856" spans="1:15" x14ac:dyDescent="0.25">
      <c r="A856">
        <f>INDEX(tblCleanData[EmployeeNumber],848)</f>
        <v>1184</v>
      </c>
      <c r="B856" t="str">
        <f>IF(INDEX(tblCleanData[Age],848)&lt;30,"Under 30",IF(INDEX(tblCleanData[Age],848)&lt;40,"30-39",IF(INDEX(tblCleanData[Age],848)&lt;50,"40-49","50+")))</f>
        <v>30-39</v>
      </c>
      <c r="C856" t="str">
        <f>IF(INDEX(tblCleanData[MonthlyIncome],848)&lt;=$B$3,"Low Income",IF(INDEX(tblCleanData[MonthlyIncome],848)&lt;=$B$4,"Medium Income","High Income"))</f>
        <v>High Income</v>
      </c>
      <c r="D856">
        <f>IF(INDEX(tblCleanData[Attrition],848)="Yes",1,0)</f>
        <v>0</v>
      </c>
      <c r="E856">
        <f>IF(INDEX(tblCleanData[OverTime],848)="Yes",1,0)</f>
        <v>0</v>
      </c>
      <c r="F856" t="str">
        <f>CHOOSE(INDEX(tblCleanData[Education],848),"Below College","College","Bachelor","Master","Doctor")</f>
        <v>Bachelor</v>
      </c>
      <c r="G856" t="str">
        <f>IF(INDEX(tblCleanData[YearsAtCompany],848)&lt;=2,"0-2 Years",IF(INDEX(tblCleanData[YearsAtCompany],848)&lt;=5,"3-5 Years",IF(INDEX(tblCleanData[YearsAtCompany],848)&lt;=10,"6-10 Years","10+ Years")))</f>
        <v>10+ Years</v>
      </c>
      <c r="H856" t="str">
        <f>IF(INDEX(tblCleanData[WorkLifeBalance],848)&lt;=2,"Elevated","Normal")</f>
        <v>Normal</v>
      </c>
      <c r="I856">
        <f>IF(INDEX(tblCleanData[Age],848)&lt;30,30,IF(INDEX(tblCleanData[Age],848)&lt;40,20,IF(INDEX(tblCleanData[Age],848)&lt;50,10,15)))</f>
        <v>20</v>
      </c>
      <c r="J856">
        <f>IF(INDEX(tblCleanData[MonthlyIncome],848)&lt;=$B$3,25,IF(INDEX(tblCleanData[MonthlyIncome],848)&lt;=$B$4,12,5))</f>
        <v>5</v>
      </c>
      <c r="K856">
        <f>IF(INDEX(tblCleanData[OverTime],848)="Yes",25,0)</f>
        <v>0</v>
      </c>
      <c r="L856">
        <f>(5-INDEX(tblCleanData[JobSatisfaction],848))*6.25</f>
        <v>25</v>
      </c>
      <c r="M856">
        <f>IF(INDEX(tblCleanData[YearsAtCompany],848)&lt;=2,25,IF(INDEX(tblCleanData[YearsAtCompany],848)&lt;=5,15,IF(INDEX(tblCleanData[YearsAtCompany],848)&lt;=10,8,3)))</f>
        <v>3</v>
      </c>
      <c r="N856">
        <f t="shared" si="26"/>
        <v>53</v>
      </c>
      <c r="O856" t="str">
        <f t="shared" si="27"/>
        <v>Medium Risk</v>
      </c>
    </row>
    <row r="857" spans="1:15" x14ac:dyDescent="0.25">
      <c r="A857">
        <f>INDEX(tblCleanData[EmployeeNumber],849)</f>
        <v>1185</v>
      </c>
      <c r="B857" t="str">
        <f>IF(INDEX(tblCleanData[Age],849)&lt;30,"Under 30",IF(INDEX(tblCleanData[Age],849)&lt;40,"30-39",IF(INDEX(tblCleanData[Age],849)&lt;50,"40-49","50+")))</f>
        <v>30-39</v>
      </c>
      <c r="C857" t="str">
        <f>IF(INDEX(tblCleanData[MonthlyIncome],849)&lt;=$B$3,"Low Income",IF(INDEX(tblCleanData[MonthlyIncome],849)&lt;=$B$4,"Medium Income","High Income"))</f>
        <v>High Income</v>
      </c>
      <c r="D857">
        <f>IF(INDEX(tblCleanData[Attrition],849)="Yes",1,0)</f>
        <v>0</v>
      </c>
      <c r="E857">
        <f>IF(INDEX(tblCleanData[OverTime],849)="Yes",1,0)</f>
        <v>0</v>
      </c>
      <c r="F857" t="str">
        <f>CHOOSE(INDEX(tblCleanData[Education],849),"Below College","College","Bachelor","Master","Doctor")</f>
        <v>Master</v>
      </c>
      <c r="G857" t="str">
        <f>IF(INDEX(tblCleanData[YearsAtCompany],849)&lt;=2,"0-2 Years",IF(INDEX(tblCleanData[YearsAtCompany],849)&lt;=5,"3-5 Years",IF(INDEX(tblCleanData[YearsAtCompany],849)&lt;=10,"6-10 Years","10+ Years")))</f>
        <v>0-2 Years</v>
      </c>
      <c r="H857" t="str">
        <f>IF(INDEX(tblCleanData[WorkLifeBalance],849)&lt;=2,"Elevated","Normal")</f>
        <v>Normal</v>
      </c>
      <c r="I857">
        <f>IF(INDEX(tblCleanData[Age],849)&lt;30,30,IF(INDEX(tblCleanData[Age],849)&lt;40,20,IF(INDEX(tblCleanData[Age],849)&lt;50,10,15)))</f>
        <v>20</v>
      </c>
      <c r="J857">
        <f>IF(INDEX(tblCleanData[MonthlyIncome],849)&lt;=$B$3,25,IF(INDEX(tblCleanData[MonthlyIncome],849)&lt;=$B$4,12,5))</f>
        <v>5</v>
      </c>
      <c r="K857">
        <f>IF(INDEX(tblCleanData[OverTime],849)="Yes",25,0)</f>
        <v>0</v>
      </c>
      <c r="L857">
        <f>(5-INDEX(tblCleanData[JobSatisfaction],849))*6.25</f>
        <v>6.25</v>
      </c>
      <c r="M857">
        <f>IF(INDEX(tblCleanData[YearsAtCompany],849)&lt;=2,25,IF(INDEX(tblCleanData[YearsAtCompany],849)&lt;=5,15,IF(INDEX(tblCleanData[YearsAtCompany],849)&lt;=10,8,3)))</f>
        <v>25</v>
      </c>
      <c r="N857">
        <f t="shared" si="26"/>
        <v>56</v>
      </c>
      <c r="O857" t="str">
        <f t="shared" si="27"/>
        <v>High Risk</v>
      </c>
    </row>
    <row r="858" spans="1:15" x14ac:dyDescent="0.25">
      <c r="A858">
        <f>INDEX(tblCleanData[EmployeeNumber],850)</f>
        <v>1188</v>
      </c>
      <c r="B858" t="str">
        <f>IF(INDEX(tblCleanData[Age],850)&lt;30,"Under 30",IF(INDEX(tblCleanData[Age],850)&lt;40,"30-39",IF(INDEX(tblCleanData[Age],850)&lt;50,"40-49","50+")))</f>
        <v>40-49</v>
      </c>
      <c r="C858" t="str">
        <f>IF(INDEX(tblCleanData[MonthlyIncome],850)&lt;=$B$3,"Low Income",IF(INDEX(tblCleanData[MonthlyIncome],850)&lt;=$B$4,"Medium Income","High Income"))</f>
        <v>High Income</v>
      </c>
      <c r="D858">
        <f>IF(INDEX(tblCleanData[Attrition],850)="Yes",1,0)</f>
        <v>1</v>
      </c>
      <c r="E858">
        <f>IF(INDEX(tblCleanData[OverTime],850)="Yes",1,0)</f>
        <v>0</v>
      </c>
      <c r="F858" t="str">
        <f>CHOOSE(INDEX(tblCleanData[Education],850),"Below College","College","Bachelor","Master","Doctor")</f>
        <v>Bachelor</v>
      </c>
      <c r="G858" t="str">
        <f>IF(INDEX(tblCleanData[YearsAtCompany],850)&lt;=2,"0-2 Years",IF(INDEX(tblCleanData[YearsAtCompany],850)&lt;=5,"3-5 Years",IF(INDEX(tblCleanData[YearsAtCompany],850)&lt;=10,"6-10 Years","10+ Years")))</f>
        <v>3-5 Years</v>
      </c>
      <c r="H858" t="str">
        <f>IF(INDEX(tblCleanData[WorkLifeBalance],850)&lt;=2,"Elevated","Normal")</f>
        <v>Elevated</v>
      </c>
      <c r="I858">
        <f>IF(INDEX(tblCleanData[Age],850)&lt;30,30,IF(INDEX(tblCleanData[Age],850)&lt;40,20,IF(INDEX(tblCleanData[Age],850)&lt;50,10,15)))</f>
        <v>10</v>
      </c>
      <c r="J858">
        <f>IF(INDEX(tblCleanData[MonthlyIncome],850)&lt;=$B$3,25,IF(INDEX(tblCleanData[MonthlyIncome],850)&lt;=$B$4,12,5))</f>
        <v>5</v>
      </c>
      <c r="K858">
        <f>IF(INDEX(tblCleanData[OverTime],850)="Yes",25,0)</f>
        <v>0</v>
      </c>
      <c r="L858">
        <f>(5-INDEX(tblCleanData[JobSatisfaction],850))*6.25</f>
        <v>12.5</v>
      </c>
      <c r="M858">
        <f>IF(INDEX(tblCleanData[YearsAtCompany],850)&lt;=2,25,IF(INDEX(tblCleanData[YearsAtCompany],850)&lt;=5,15,IF(INDEX(tblCleanData[YearsAtCompany],850)&lt;=10,8,3)))</f>
        <v>15</v>
      </c>
      <c r="N858">
        <f t="shared" si="26"/>
        <v>43</v>
      </c>
      <c r="O858" t="str">
        <f t="shared" si="27"/>
        <v>Medium Risk</v>
      </c>
    </row>
    <row r="859" spans="1:15" x14ac:dyDescent="0.25">
      <c r="A859">
        <f>INDEX(tblCleanData[EmployeeNumber],851)</f>
        <v>1190</v>
      </c>
      <c r="B859" t="str">
        <f>IF(INDEX(tblCleanData[Age],851)&lt;30,"Under 30",IF(INDEX(tblCleanData[Age],851)&lt;40,"30-39",IF(INDEX(tblCleanData[Age],851)&lt;50,"40-49","50+")))</f>
        <v>30-39</v>
      </c>
      <c r="C859" t="str">
        <f>IF(INDEX(tblCleanData[MonthlyIncome],851)&lt;=$B$3,"Low Income",IF(INDEX(tblCleanData[MonthlyIncome],851)&lt;=$B$4,"Medium Income","High Income"))</f>
        <v>High Income</v>
      </c>
      <c r="D859">
        <f>IF(INDEX(tblCleanData[Attrition],851)="Yes",1,0)</f>
        <v>0</v>
      </c>
      <c r="E859">
        <f>IF(INDEX(tblCleanData[OverTime],851)="Yes",1,0)</f>
        <v>0</v>
      </c>
      <c r="F859" t="str">
        <f>CHOOSE(INDEX(tblCleanData[Education],851),"Below College","College","Bachelor","Master","Doctor")</f>
        <v>Below College</v>
      </c>
      <c r="G859" t="str">
        <f>IF(INDEX(tblCleanData[YearsAtCompany],851)&lt;=2,"0-2 Years",IF(INDEX(tblCleanData[YearsAtCompany],851)&lt;=5,"3-5 Years",IF(INDEX(tblCleanData[YearsAtCompany],851)&lt;=10,"6-10 Years","10+ Years")))</f>
        <v>0-2 Years</v>
      </c>
      <c r="H859" t="str">
        <f>IF(INDEX(tblCleanData[WorkLifeBalance],851)&lt;=2,"Elevated","Normal")</f>
        <v>Normal</v>
      </c>
      <c r="I859">
        <f>IF(INDEX(tblCleanData[Age],851)&lt;30,30,IF(INDEX(tblCleanData[Age],851)&lt;40,20,IF(INDEX(tblCleanData[Age],851)&lt;50,10,15)))</f>
        <v>20</v>
      </c>
      <c r="J859">
        <f>IF(INDEX(tblCleanData[MonthlyIncome],851)&lt;=$B$3,25,IF(INDEX(tblCleanData[MonthlyIncome],851)&lt;=$B$4,12,5))</f>
        <v>5</v>
      </c>
      <c r="K859">
        <f>IF(INDEX(tblCleanData[OverTime],851)="Yes",25,0)</f>
        <v>0</v>
      </c>
      <c r="L859">
        <f>(5-INDEX(tblCleanData[JobSatisfaction],851))*6.25</f>
        <v>25</v>
      </c>
      <c r="M859">
        <f>IF(INDEX(tblCleanData[YearsAtCompany],851)&lt;=2,25,IF(INDEX(tblCleanData[YearsAtCompany],851)&lt;=5,15,IF(INDEX(tblCleanData[YearsAtCompany],851)&lt;=10,8,3)))</f>
        <v>25</v>
      </c>
      <c r="N859">
        <f t="shared" si="26"/>
        <v>75</v>
      </c>
      <c r="O859" t="str">
        <f t="shared" si="27"/>
        <v>High Risk</v>
      </c>
    </row>
    <row r="860" spans="1:15" x14ac:dyDescent="0.25">
      <c r="A860">
        <f>INDEX(tblCleanData[EmployeeNumber],852)</f>
        <v>1191</v>
      </c>
      <c r="B860" t="str">
        <f>IF(INDEX(tblCleanData[Age],852)&lt;30,"Under 30",IF(INDEX(tblCleanData[Age],852)&lt;40,"30-39",IF(INDEX(tblCleanData[Age],852)&lt;50,"40-49","50+")))</f>
        <v>50+</v>
      </c>
      <c r="C860" t="str">
        <f>IF(INDEX(tblCleanData[MonthlyIncome],852)&lt;=$B$3,"Low Income",IF(INDEX(tblCleanData[MonthlyIncome],852)&lt;=$B$4,"Medium Income","High Income"))</f>
        <v>High Income</v>
      </c>
      <c r="D860">
        <f>IF(INDEX(tblCleanData[Attrition],852)="Yes",1,0)</f>
        <v>0</v>
      </c>
      <c r="E860">
        <f>IF(INDEX(tblCleanData[OverTime],852)="Yes",1,0)</f>
        <v>0</v>
      </c>
      <c r="F860" t="str">
        <f>CHOOSE(INDEX(tblCleanData[Education],852),"Below College","College","Bachelor","Master","Doctor")</f>
        <v>Master</v>
      </c>
      <c r="G860" t="str">
        <f>IF(INDEX(tblCleanData[YearsAtCompany],852)&lt;=2,"0-2 Years",IF(INDEX(tblCleanData[YearsAtCompany],852)&lt;=5,"3-5 Years",IF(INDEX(tblCleanData[YearsAtCompany],852)&lt;=10,"6-10 Years","10+ Years")))</f>
        <v>3-5 Years</v>
      </c>
      <c r="H860" t="str">
        <f>IF(INDEX(tblCleanData[WorkLifeBalance],852)&lt;=2,"Elevated","Normal")</f>
        <v>Normal</v>
      </c>
      <c r="I860">
        <f>IF(INDEX(tblCleanData[Age],852)&lt;30,30,IF(INDEX(tblCleanData[Age],852)&lt;40,20,IF(INDEX(tblCleanData[Age],852)&lt;50,10,15)))</f>
        <v>15</v>
      </c>
      <c r="J860">
        <f>IF(INDEX(tblCleanData[MonthlyIncome],852)&lt;=$B$3,25,IF(INDEX(tblCleanData[MonthlyIncome],852)&lt;=$B$4,12,5))</f>
        <v>5</v>
      </c>
      <c r="K860">
        <f>IF(INDEX(tblCleanData[OverTime],852)="Yes",25,0)</f>
        <v>0</v>
      </c>
      <c r="L860">
        <f>(5-INDEX(tblCleanData[JobSatisfaction],852))*6.25</f>
        <v>25</v>
      </c>
      <c r="M860">
        <f>IF(INDEX(tblCleanData[YearsAtCompany],852)&lt;=2,25,IF(INDEX(tblCleanData[YearsAtCompany],852)&lt;=5,15,IF(INDEX(tblCleanData[YearsAtCompany],852)&lt;=10,8,3)))</f>
        <v>15</v>
      </c>
      <c r="N860">
        <f t="shared" si="26"/>
        <v>60</v>
      </c>
      <c r="O860" t="str">
        <f t="shared" si="27"/>
        <v>High Risk</v>
      </c>
    </row>
    <row r="861" spans="1:15" x14ac:dyDescent="0.25">
      <c r="A861">
        <f>INDEX(tblCleanData[EmployeeNumber],853)</f>
        <v>1192</v>
      </c>
      <c r="B861" t="str">
        <f>IF(INDEX(tblCleanData[Age],853)&lt;30,"Under 30",IF(INDEX(tblCleanData[Age],853)&lt;40,"30-39",IF(INDEX(tblCleanData[Age],853)&lt;50,"40-49","50+")))</f>
        <v>Under 30</v>
      </c>
      <c r="C861" t="str">
        <f>IF(INDEX(tblCleanData[MonthlyIncome],853)&lt;=$B$3,"Low Income",IF(INDEX(tblCleanData[MonthlyIncome],853)&lt;=$B$4,"Medium Income","High Income"))</f>
        <v>High Income</v>
      </c>
      <c r="D861">
        <f>IF(INDEX(tblCleanData[Attrition],853)="Yes",1,0)</f>
        <v>0</v>
      </c>
      <c r="E861">
        <f>IF(INDEX(tblCleanData[OverTime],853)="Yes",1,0)</f>
        <v>0</v>
      </c>
      <c r="F861" t="str">
        <f>CHOOSE(INDEX(tblCleanData[Education],853),"Below College","College","Bachelor","Master","Doctor")</f>
        <v>Below College</v>
      </c>
      <c r="G861" t="str">
        <f>IF(INDEX(tblCleanData[YearsAtCompany],853)&lt;=2,"0-2 Years",IF(INDEX(tblCleanData[YearsAtCompany],853)&lt;=5,"3-5 Years",IF(INDEX(tblCleanData[YearsAtCompany],853)&lt;=10,"6-10 Years","10+ Years")))</f>
        <v>6-10 Years</v>
      </c>
      <c r="H861" t="str">
        <f>IF(INDEX(tblCleanData[WorkLifeBalance],853)&lt;=2,"Elevated","Normal")</f>
        <v>Normal</v>
      </c>
      <c r="I861">
        <f>IF(INDEX(tblCleanData[Age],853)&lt;30,30,IF(INDEX(tblCleanData[Age],853)&lt;40,20,IF(INDEX(tblCleanData[Age],853)&lt;50,10,15)))</f>
        <v>30</v>
      </c>
      <c r="J861">
        <f>IF(INDEX(tblCleanData[MonthlyIncome],853)&lt;=$B$3,25,IF(INDEX(tblCleanData[MonthlyIncome],853)&lt;=$B$4,12,5))</f>
        <v>5</v>
      </c>
      <c r="K861">
        <f>IF(INDEX(tblCleanData[OverTime],853)="Yes",25,0)</f>
        <v>0</v>
      </c>
      <c r="L861">
        <f>(5-INDEX(tblCleanData[JobSatisfaction],853))*6.25</f>
        <v>6.25</v>
      </c>
      <c r="M861">
        <f>IF(INDEX(tblCleanData[YearsAtCompany],853)&lt;=2,25,IF(INDEX(tblCleanData[YearsAtCompany],853)&lt;=5,15,IF(INDEX(tblCleanData[YearsAtCompany],853)&lt;=10,8,3)))</f>
        <v>8</v>
      </c>
      <c r="N861">
        <f t="shared" si="26"/>
        <v>49</v>
      </c>
      <c r="O861" t="str">
        <f t="shared" si="27"/>
        <v>Medium Risk</v>
      </c>
    </row>
    <row r="862" spans="1:15" x14ac:dyDescent="0.25">
      <c r="A862">
        <f>INDEX(tblCleanData[EmployeeNumber],854)</f>
        <v>1193</v>
      </c>
      <c r="B862" t="str">
        <f>IF(INDEX(tblCleanData[Age],854)&lt;30,"Under 30",IF(INDEX(tblCleanData[Age],854)&lt;40,"30-39",IF(INDEX(tblCleanData[Age],854)&lt;50,"40-49","50+")))</f>
        <v>Under 30</v>
      </c>
      <c r="C862" t="str">
        <f>IF(INDEX(tblCleanData[MonthlyIncome],854)&lt;=$B$3,"Low Income",IF(INDEX(tblCleanData[MonthlyIncome],854)&lt;=$B$4,"Medium Income","High Income"))</f>
        <v>High Income</v>
      </c>
      <c r="D862">
        <f>IF(INDEX(tblCleanData[Attrition],854)="Yes",1,0)</f>
        <v>0</v>
      </c>
      <c r="E862">
        <f>IF(INDEX(tblCleanData[OverTime],854)="Yes",1,0)</f>
        <v>0</v>
      </c>
      <c r="F862" t="str">
        <f>CHOOSE(INDEX(tblCleanData[Education],854),"Below College","College","Bachelor","Master","Doctor")</f>
        <v>College</v>
      </c>
      <c r="G862" t="str">
        <f>IF(INDEX(tblCleanData[YearsAtCompany],854)&lt;=2,"0-2 Years",IF(INDEX(tblCleanData[YearsAtCompany],854)&lt;=5,"3-5 Years",IF(INDEX(tblCleanData[YearsAtCompany],854)&lt;=10,"6-10 Years","10+ Years")))</f>
        <v>0-2 Years</v>
      </c>
      <c r="H862" t="str">
        <f>IF(INDEX(tblCleanData[WorkLifeBalance],854)&lt;=2,"Elevated","Normal")</f>
        <v>Normal</v>
      </c>
      <c r="I862">
        <f>IF(INDEX(tblCleanData[Age],854)&lt;30,30,IF(INDEX(tblCleanData[Age],854)&lt;40,20,IF(INDEX(tblCleanData[Age],854)&lt;50,10,15)))</f>
        <v>30</v>
      </c>
      <c r="J862">
        <f>IF(INDEX(tblCleanData[MonthlyIncome],854)&lt;=$B$3,25,IF(INDEX(tblCleanData[MonthlyIncome],854)&lt;=$B$4,12,5))</f>
        <v>5</v>
      </c>
      <c r="K862">
        <f>IF(INDEX(tblCleanData[OverTime],854)="Yes",25,0)</f>
        <v>0</v>
      </c>
      <c r="L862">
        <f>(5-INDEX(tblCleanData[JobSatisfaction],854))*6.25</f>
        <v>25</v>
      </c>
      <c r="M862">
        <f>IF(INDEX(tblCleanData[YearsAtCompany],854)&lt;=2,25,IF(INDEX(tblCleanData[YearsAtCompany],854)&lt;=5,15,IF(INDEX(tblCleanData[YearsAtCompany],854)&lt;=10,8,3)))</f>
        <v>25</v>
      </c>
      <c r="N862">
        <f t="shared" si="26"/>
        <v>85</v>
      </c>
      <c r="O862" t="str">
        <f t="shared" si="27"/>
        <v>High Risk</v>
      </c>
    </row>
    <row r="863" spans="1:15" x14ac:dyDescent="0.25">
      <c r="A863">
        <f>INDEX(tblCleanData[EmployeeNumber],855)</f>
        <v>1195</v>
      </c>
      <c r="B863" t="str">
        <f>IF(INDEX(tblCleanData[Age],855)&lt;30,"Under 30",IF(INDEX(tblCleanData[Age],855)&lt;40,"30-39",IF(INDEX(tblCleanData[Age],855)&lt;50,"40-49","50+")))</f>
        <v>40-49</v>
      </c>
      <c r="C863" t="str">
        <f>IF(INDEX(tblCleanData[MonthlyIncome],855)&lt;=$B$3,"Low Income",IF(INDEX(tblCleanData[MonthlyIncome],855)&lt;=$B$4,"Medium Income","High Income"))</f>
        <v>High Income</v>
      </c>
      <c r="D863">
        <f>IF(INDEX(tblCleanData[Attrition],855)="Yes",1,0)</f>
        <v>0</v>
      </c>
      <c r="E863">
        <f>IF(INDEX(tblCleanData[OverTime],855)="Yes",1,0)</f>
        <v>1</v>
      </c>
      <c r="F863" t="str">
        <f>CHOOSE(INDEX(tblCleanData[Education],855),"Below College","College","Bachelor","Master","Doctor")</f>
        <v>Bachelor</v>
      </c>
      <c r="G863" t="str">
        <f>IF(INDEX(tblCleanData[YearsAtCompany],855)&lt;=2,"0-2 Years",IF(INDEX(tblCleanData[YearsAtCompany],855)&lt;=5,"3-5 Years",IF(INDEX(tblCleanData[YearsAtCompany],855)&lt;=10,"6-10 Years","10+ Years")))</f>
        <v>3-5 Years</v>
      </c>
      <c r="H863" t="str">
        <f>IF(INDEX(tblCleanData[WorkLifeBalance],855)&lt;=2,"Elevated","Normal")</f>
        <v>Elevated</v>
      </c>
      <c r="I863">
        <f>IF(INDEX(tblCleanData[Age],855)&lt;30,30,IF(INDEX(tblCleanData[Age],855)&lt;40,20,IF(INDEX(tblCleanData[Age],855)&lt;50,10,15)))</f>
        <v>10</v>
      </c>
      <c r="J863">
        <f>IF(INDEX(tblCleanData[MonthlyIncome],855)&lt;=$B$3,25,IF(INDEX(tblCleanData[MonthlyIncome],855)&lt;=$B$4,12,5))</f>
        <v>5</v>
      </c>
      <c r="K863">
        <f>IF(INDEX(tblCleanData[OverTime],855)="Yes",25,0)</f>
        <v>25</v>
      </c>
      <c r="L863">
        <f>(5-INDEX(tblCleanData[JobSatisfaction],855))*6.25</f>
        <v>12.5</v>
      </c>
      <c r="M863">
        <f>IF(INDEX(tblCleanData[YearsAtCompany],855)&lt;=2,25,IF(INDEX(tblCleanData[YearsAtCompany],855)&lt;=5,15,IF(INDEX(tblCleanData[YearsAtCompany],855)&lt;=10,8,3)))</f>
        <v>15</v>
      </c>
      <c r="N863">
        <f t="shared" si="26"/>
        <v>68</v>
      </c>
      <c r="O863" t="str">
        <f t="shared" si="27"/>
        <v>High Risk</v>
      </c>
    </row>
    <row r="864" spans="1:15" x14ac:dyDescent="0.25">
      <c r="A864">
        <f>INDEX(tblCleanData[EmployeeNumber],856)</f>
        <v>1196</v>
      </c>
      <c r="B864" t="str">
        <f>IF(INDEX(tblCleanData[Age],856)&lt;30,"Under 30",IF(INDEX(tblCleanData[Age],856)&lt;40,"30-39",IF(INDEX(tblCleanData[Age],856)&lt;50,"40-49","50+")))</f>
        <v>30-39</v>
      </c>
      <c r="C864" t="str">
        <f>IF(INDEX(tblCleanData[MonthlyIncome],856)&lt;=$B$3,"Low Income",IF(INDEX(tblCleanData[MonthlyIncome],856)&lt;=$B$4,"Medium Income","High Income"))</f>
        <v>High Income</v>
      </c>
      <c r="D864">
        <f>IF(INDEX(tblCleanData[Attrition],856)="Yes",1,0)</f>
        <v>0</v>
      </c>
      <c r="E864">
        <f>IF(INDEX(tblCleanData[OverTime],856)="Yes",1,0)</f>
        <v>0</v>
      </c>
      <c r="F864" t="str">
        <f>CHOOSE(INDEX(tblCleanData[Education],856),"Below College","College","Bachelor","Master","Doctor")</f>
        <v>Bachelor</v>
      </c>
      <c r="G864" t="str">
        <f>IF(INDEX(tblCleanData[YearsAtCompany],856)&lt;=2,"0-2 Years",IF(INDEX(tblCleanData[YearsAtCompany],856)&lt;=5,"3-5 Years",IF(INDEX(tblCleanData[YearsAtCompany],856)&lt;=10,"6-10 Years","10+ Years")))</f>
        <v>10+ Years</v>
      </c>
      <c r="H864" t="str">
        <f>IF(INDEX(tblCleanData[WorkLifeBalance],856)&lt;=2,"Elevated","Normal")</f>
        <v>Elevated</v>
      </c>
      <c r="I864">
        <f>IF(INDEX(tblCleanData[Age],856)&lt;30,30,IF(INDEX(tblCleanData[Age],856)&lt;40,20,IF(INDEX(tblCleanData[Age],856)&lt;50,10,15)))</f>
        <v>20</v>
      </c>
      <c r="J864">
        <f>IF(INDEX(tblCleanData[MonthlyIncome],856)&lt;=$B$3,25,IF(INDEX(tblCleanData[MonthlyIncome],856)&lt;=$B$4,12,5))</f>
        <v>5</v>
      </c>
      <c r="K864">
        <f>IF(INDEX(tblCleanData[OverTime],856)="Yes",25,0)</f>
        <v>0</v>
      </c>
      <c r="L864">
        <f>(5-INDEX(tblCleanData[JobSatisfaction],856))*6.25</f>
        <v>6.25</v>
      </c>
      <c r="M864">
        <f>IF(INDEX(tblCleanData[YearsAtCompany],856)&lt;=2,25,IF(INDEX(tblCleanData[YearsAtCompany],856)&lt;=5,15,IF(INDEX(tblCleanData[YearsAtCompany],856)&lt;=10,8,3)))</f>
        <v>3</v>
      </c>
      <c r="N864">
        <f t="shared" si="26"/>
        <v>34</v>
      </c>
      <c r="O864" t="str">
        <f t="shared" si="27"/>
        <v>Low Risk</v>
      </c>
    </row>
    <row r="865" spans="1:15" x14ac:dyDescent="0.25">
      <c r="A865">
        <f>INDEX(tblCleanData[EmployeeNumber],857)</f>
        <v>1198</v>
      </c>
      <c r="B865" t="str">
        <f>IF(INDEX(tblCleanData[Age],857)&lt;30,"Under 30",IF(INDEX(tblCleanData[Age],857)&lt;40,"30-39",IF(INDEX(tblCleanData[Age],857)&lt;50,"40-49","50+")))</f>
        <v>Under 30</v>
      </c>
      <c r="C865" t="str">
        <f>IF(INDEX(tblCleanData[MonthlyIncome],857)&lt;=$B$3,"Low Income",IF(INDEX(tblCleanData[MonthlyIncome],857)&lt;=$B$4,"Medium Income","High Income"))</f>
        <v>High Income</v>
      </c>
      <c r="D865">
        <f>IF(INDEX(tblCleanData[Attrition],857)="Yes",1,0)</f>
        <v>0</v>
      </c>
      <c r="E865">
        <f>IF(INDEX(tblCleanData[OverTime],857)="Yes",1,0)</f>
        <v>0</v>
      </c>
      <c r="F865" t="str">
        <f>CHOOSE(INDEX(tblCleanData[Education],857),"Below College","College","Bachelor","Master","Doctor")</f>
        <v>Bachelor</v>
      </c>
      <c r="G865" t="str">
        <f>IF(INDEX(tblCleanData[YearsAtCompany],857)&lt;=2,"0-2 Years",IF(INDEX(tblCleanData[YearsAtCompany],857)&lt;=5,"3-5 Years",IF(INDEX(tblCleanData[YearsAtCompany],857)&lt;=10,"6-10 Years","10+ Years")))</f>
        <v>0-2 Years</v>
      </c>
      <c r="H865" t="str">
        <f>IF(INDEX(tblCleanData[WorkLifeBalance],857)&lt;=2,"Elevated","Normal")</f>
        <v>Elevated</v>
      </c>
      <c r="I865">
        <f>IF(INDEX(tblCleanData[Age],857)&lt;30,30,IF(INDEX(tblCleanData[Age],857)&lt;40,20,IF(INDEX(tblCleanData[Age],857)&lt;50,10,15)))</f>
        <v>30</v>
      </c>
      <c r="J865">
        <f>IF(INDEX(tblCleanData[MonthlyIncome],857)&lt;=$B$3,25,IF(INDEX(tblCleanData[MonthlyIncome],857)&lt;=$B$4,12,5))</f>
        <v>5</v>
      </c>
      <c r="K865">
        <f>IF(INDEX(tblCleanData[OverTime],857)="Yes",25,0)</f>
        <v>0</v>
      </c>
      <c r="L865">
        <f>(5-INDEX(tblCleanData[JobSatisfaction],857))*6.25</f>
        <v>12.5</v>
      </c>
      <c r="M865">
        <f>IF(INDEX(tblCleanData[YearsAtCompany],857)&lt;=2,25,IF(INDEX(tblCleanData[YearsAtCompany],857)&lt;=5,15,IF(INDEX(tblCleanData[YearsAtCompany],857)&lt;=10,8,3)))</f>
        <v>25</v>
      </c>
      <c r="N865">
        <f t="shared" si="26"/>
        <v>73</v>
      </c>
      <c r="O865" t="str">
        <f t="shared" si="27"/>
        <v>High Risk</v>
      </c>
    </row>
    <row r="866" spans="1:15" x14ac:dyDescent="0.25">
      <c r="A866">
        <f>INDEX(tblCleanData[EmployeeNumber],858)</f>
        <v>1200</v>
      </c>
      <c r="B866" t="str">
        <f>IF(INDEX(tblCleanData[Age],858)&lt;30,"Under 30",IF(INDEX(tblCleanData[Age],858)&lt;40,"30-39",IF(INDEX(tblCleanData[Age],858)&lt;50,"40-49","50+")))</f>
        <v>40-49</v>
      </c>
      <c r="C866" t="str">
        <f>IF(INDEX(tblCleanData[MonthlyIncome],858)&lt;=$B$3,"Low Income",IF(INDEX(tblCleanData[MonthlyIncome],858)&lt;=$B$4,"Medium Income","High Income"))</f>
        <v>High Income</v>
      </c>
      <c r="D866">
        <f>IF(INDEX(tblCleanData[Attrition],858)="Yes",1,0)</f>
        <v>1</v>
      </c>
      <c r="E866">
        <f>IF(INDEX(tblCleanData[OverTime],858)="Yes",1,0)</f>
        <v>1</v>
      </c>
      <c r="F866" t="str">
        <f>CHOOSE(INDEX(tblCleanData[Education],858),"Below College","College","Bachelor","Master","Doctor")</f>
        <v>Master</v>
      </c>
      <c r="G866" t="str">
        <f>IF(INDEX(tblCleanData[YearsAtCompany],858)&lt;=2,"0-2 Years",IF(INDEX(tblCleanData[YearsAtCompany],858)&lt;=5,"3-5 Years",IF(INDEX(tblCleanData[YearsAtCompany],858)&lt;=10,"6-10 Years","10+ Years")))</f>
        <v>6-10 Years</v>
      </c>
      <c r="H866" t="str">
        <f>IF(INDEX(tblCleanData[WorkLifeBalance],858)&lt;=2,"Elevated","Normal")</f>
        <v>Normal</v>
      </c>
      <c r="I866">
        <f>IF(INDEX(tblCleanData[Age],858)&lt;30,30,IF(INDEX(tblCleanData[Age],858)&lt;40,20,IF(INDEX(tblCleanData[Age],858)&lt;50,10,15)))</f>
        <v>10</v>
      </c>
      <c r="J866">
        <f>IF(INDEX(tblCleanData[MonthlyIncome],858)&lt;=$B$3,25,IF(INDEX(tblCleanData[MonthlyIncome],858)&lt;=$B$4,12,5))</f>
        <v>5</v>
      </c>
      <c r="K866">
        <f>IF(INDEX(tblCleanData[OverTime],858)="Yes",25,0)</f>
        <v>25</v>
      </c>
      <c r="L866">
        <f>(5-INDEX(tblCleanData[JobSatisfaction],858))*6.25</f>
        <v>12.5</v>
      </c>
      <c r="M866">
        <f>IF(INDEX(tblCleanData[YearsAtCompany],858)&lt;=2,25,IF(INDEX(tblCleanData[YearsAtCompany],858)&lt;=5,15,IF(INDEX(tblCleanData[YearsAtCompany],858)&lt;=10,8,3)))</f>
        <v>8</v>
      </c>
      <c r="N866">
        <f t="shared" si="26"/>
        <v>61</v>
      </c>
      <c r="O866" t="str">
        <f t="shared" si="27"/>
        <v>High Risk</v>
      </c>
    </row>
    <row r="867" spans="1:15" x14ac:dyDescent="0.25">
      <c r="A867">
        <f>INDEX(tblCleanData[EmployeeNumber],859)</f>
        <v>1201</v>
      </c>
      <c r="B867" t="str">
        <f>IF(INDEX(tblCleanData[Age],859)&lt;30,"Under 30",IF(INDEX(tblCleanData[Age],859)&lt;40,"30-39",IF(INDEX(tblCleanData[Age],859)&lt;50,"40-49","50+")))</f>
        <v>50+</v>
      </c>
      <c r="C867" t="str">
        <f>IF(INDEX(tblCleanData[MonthlyIncome],859)&lt;=$B$3,"Low Income",IF(INDEX(tblCleanData[MonthlyIncome],859)&lt;=$B$4,"Medium Income","High Income"))</f>
        <v>High Income</v>
      </c>
      <c r="D867">
        <f>IF(INDEX(tblCleanData[Attrition],859)="Yes",1,0)</f>
        <v>0</v>
      </c>
      <c r="E867">
        <f>IF(INDEX(tblCleanData[OverTime],859)="Yes",1,0)</f>
        <v>0</v>
      </c>
      <c r="F867" t="str">
        <f>CHOOSE(INDEX(tblCleanData[Education],859),"Below College","College","Bachelor","Master","Doctor")</f>
        <v>College</v>
      </c>
      <c r="G867" t="str">
        <f>IF(INDEX(tblCleanData[YearsAtCompany],859)&lt;=2,"0-2 Years",IF(INDEX(tblCleanData[YearsAtCompany],859)&lt;=5,"3-5 Years",IF(INDEX(tblCleanData[YearsAtCompany],859)&lt;=10,"6-10 Years","10+ Years")))</f>
        <v>6-10 Years</v>
      </c>
      <c r="H867" t="str">
        <f>IF(INDEX(tblCleanData[WorkLifeBalance],859)&lt;=2,"Elevated","Normal")</f>
        <v>Normal</v>
      </c>
      <c r="I867">
        <f>IF(INDEX(tblCleanData[Age],859)&lt;30,30,IF(INDEX(tblCleanData[Age],859)&lt;40,20,IF(INDEX(tblCleanData[Age],859)&lt;50,10,15)))</f>
        <v>15</v>
      </c>
      <c r="J867">
        <f>IF(INDEX(tblCleanData[MonthlyIncome],859)&lt;=$B$3,25,IF(INDEX(tblCleanData[MonthlyIncome],859)&lt;=$B$4,12,5))</f>
        <v>5</v>
      </c>
      <c r="K867">
        <f>IF(INDEX(tblCleanData[OverTime],859)="Yes",25,0)</f>
        <v>0</v>
      </c>
      <c r="L867">
        <f>(5-INDEX(tblCleanData[JobSatisfaction],859))*6.25</f>
        <v>12.5</v>
      </c>
      <c r="M867">
        <f>IF(INDEX(tblCleanData[YearsAtCompany],859)&lt;=2,25,IF(INDEX(tblCleanData[YearsAtCompany],859)&lt;=5,15,IF(INDEX(tblCleanData[YearsAtCompany],859)&lt;=10,8,3)))</f>
        <v>8</v>
      </c>
      <c r="N867">
        <f t="shared" si="26"/>
        <v>41</v>
      </c>
      <c r="O867" t="str">
        <f t="shared" si="27"/>
        <v>Medium Risk</v>
      </c>
    </row>
    <row r="868" spans="1:15" x14ac:dyDescent="0.25">
      <c r="A868">
        <f>INDEX(tblCleanData[EmployeeNumber],860)</f>
        <v>1202</v>
      </c>
      <c r="B868" t="str">
        <f>IF(INDEX(tblCleanData[Age],860)&lt;30,"Under 30",IF(INDEX(tblCleanData[Age],860)&lt;40,"30-39",IF(INDEX(tblCleanData[Age],860)&lt;50,"40-49","50+")))</f>
        <v>Under 30</v>
      </c>
      <c r="C868" t="str">
        <f>IF(INDEX(tblCleanData[MonthlyIncome],860)&lt;=$B$3,"Low Income",IF(INDEX(tblCleanData[MonthlyIncome],860)&lt;=$B$4,"Medium Income","High Income"))</f>
        <v>High Income</v>
      </c>
      <c r="D868">
        <f>IF(INDEX(tblCleanData[Attrition],860)="Yes",1,0)</f>
        <v>0</v>
      </c>
      <c r="E868">
        <f>IF(INDEX(tblCleanData[OverTime],860)="Yes",1,0)</f>
        <v>1</v>
      </c>
      <c r="F868" t="str">
        <f>CHOOSE(INDEX(tblCleanData[Education],860),"Below College","College","Bachelor","Master","Doctor")</f>
        <v>Below College</v>
      </c>
      <c r="G868" t="str">
        <f>IF(INDEX(tblCleanData[YearsAtCompany],860)&lt;=2,"0-2 Years",IF(INDEX(tblCleanData[YearsAtCompany],860)&lt;=5,"3-5 Years",IF(INDEX(tblCleanData[YearsAtCompany],860)&lt;=10,"6-10 Years","10+ Years")))</f>
        <v>3-5 Years</v>
      </c>
      <c r="H868" t="str">
        <f>IF(INDEX(tblCleanData[WorkLifeBalance],860)&lt;=2,"Elevated","Normal")</f>
        <v>Elevated</v>
      </c>
      <c r="I868">
        <f>IF(INDEX(tblCleanData[Age],860)&lt;30,30,IF(INDEX(tblCleanData[Age],860)&lt;40,20,IF(INDEX(tblCleanData[Age],860)&lt;50,10,15)))</f>
        <v>30</v>
      </c>
      <c r="J868">
        <f>IF(INDEX(tblCleanData[MonthlyIncome],860)&lt;=$B$3,25,IF(INDEX(tblCleanData[MonthlyIncome],860)&lt;=$B$4,12,5))</f>
        <v>5</v>
      </c>
      <c r="K868">
        <f>IF(INDEX(tblCleanData[OverTime],860)="Yes",25,0)</f>
        <v>25</v>
      </c>
      <c r="L868">
        <f>(5-INDEX(tblCleanData[JobSatisfaction],860))*6.25</f>
        <v>6.25</v>
      </c>
      <c r="M868">
        <f>IF(INDEX(tblCleanData[YearsAtCompany],860)&lt;=2,25,IF(INDEX(tblCleanData[YearsAtCompany],860)&lt;=5,15,IF(INDEX(tblCleanData[YearsAtCompany],860)&lt;=10,8,3)))</f>
        <v>15</v>
      </c>
      <c r="N868">
        <f t="shared" si="26"/>
        <v>81</v>
      </c>
      <c r="O868" t="str">
        <f t="shared" si="27"/>
        <v>High Risk</v>
      </c>
    </row>
    <row r="869" spans="1:15" x14ac:dyDescent="0.25">
      <c r="A869">
        <f>INDEX(tblCleanData[EmployeeNumber],861)</f>
        <v>1203</v>
      </c>
      <c r="B869" t="str">
        <f>IF(INDEX(tblCleanData[Age],861)&lt;30,"Under 30",IF(INDEX(tblCleanData[Age],861)&lt;40,"30-39",IF(INDEX(tblCleanData[Age],861)&lt;50,"40-49","50+")))</f>
        <v>Under 30</v>
      </c>
      <c r="C869" t="str">
        <f>IF(INDEX(tblCleanData[MonthlyIncome],861)&lt;=$B$3,"Low Income",IF(INDEX(tblCleanData[MonthlyIncome],861)&lt;=$B$4,"Medium Income","High Income"))</f>
        <v>High Income</v>
      </c>
      <c r="D869">
        <f>IF(INDEX(tblCleanData[Attrition],861)="Yes",1,0)</f>
        <v>1</v>
      </c>
      <c r="E869">
        <f>IF(INDEX(tblCleanData[OverTime],861)="Yes",1,0)</f>
        <v>1</v>
      </c>
      <c r="F869" t="str">
        <f>CHOOSE(INDEX(tblCleanData[Education],861),"Below College","College","Bachelor","Master","Doctor")</f>
        <v>Master</v>
      </c>
      <c r="G869" t="str">
        <f>IF(INDEX(tblCleanData[YearsAtCompany],861)&lt;=2,"0-2 Years",IF(INDEX(tblCleanData[YearsAtCompany],861)&lt;=5,"3-5 Years",IF(INDEX(tblCleanData[YearsAtCompany],861)&lt;=10,"6-10 Years","10+ Years")))</f>
        <v>0-2 Years</v>
      </c>
      <c r="H869" t="str">
        <f>IF(INDEX(tblCleanData[WorkLifeBalance],861)&lt;=2,"Elevated","Normal")</f>
        <v>Normal</v>
      </c>
      <c r="I869">
        <f>IF(INDEX(tblCleanData[Age],861)&lt;30,30,IF(INDEX(tblCleanData[Age],861)&lt;40,20,IF(INDEX(tblCleanData[Age],861)&lt;50,10,15)))</f>
        <v>30</v>
      </c>
      <c r="J869">
        <f>IF(INDEX(tblCleanData[MonthlyIncome],861)&lt;=$B$3,25,IF(INDEX(tblCleanData[MonthlyIncome],861)&lt;=$B$4,12,5))</f>
        <v>5</v>
      </c>
      <c r="K869">
        <f>IF(INDEX(tblCleanData[OverTime],861)="Yes",25,0)</f>
        <v>25</v>
      </c>
      <c r="L869">
        <f>(5-INDEX(tblCleanData[JobSatisfaction],861))*6.25</f>
        <v>6.25</v>
      </c>
      <c r="M869">
        <f>IF(INDEX(tblCleanData[YearsAtCompany],861)&lt;=2,25,IF(INDEX(tblCleanData[YearsAtCompany],861)&lt;=5,15,IF(INDEX(tblCleanData[YearsAtCompany],861)&lt;=10,8,3)))</f>
        <v>25</v>
      </c>
      <c r="N869">
        <f t="shared" si="26"/>
        <v>91</v>
      </c>
      <c r="O869" t="str">
        <f t="shared" si="27"/>
        <v>High Risk</v>
      </c>
    </row>
    <row r="870" spans="1:15" x14ac:dyDescent="0.25">
      <c r="A870">
        <f>INDEX(tblCleanData[EmployeeNumber],862)</f>
        <v>1204</v>
      </c>
      <c r="B870" t="str">
        <f>IF(INDEX(tblCleanData[Age],862)&lt;30,"Under 30",IF(INDEX(tblCleanData[Age],862)&lt;40,"30-39",IF(INDEX(tblCleanData[Age],862)&lt;50,"40-49","50+")))</f>
        <v>40-49</v>
      </c>
      <c r="C870" t="str">
        <f>IF(INDEX(tblCleanData[MonthlyIncome],862)&lt;=$B$3,"Low Income",IF(INDEX(tblCleanData[MonthlyIncome],862)&lt;=$B$4,"Medium Income","High Income"))</f>
        <v>High Income</v>
      </c>
      <c r="D870">
        <f>IF(INDEX(tblCleanData[Attrition],862)="Yes",1,0)</f>
        <v>0</v>
      </c>
      <c r="E870">
        <f>IF(INDEX(tblCleanData[OverTime],862)="Yes",1,0)</f>
        <v>0</v>
      </c>
      <c r="F870" t="str">
        <f>CHOOSE(INDEX(tblCleanData[Education],862),"Below College","College","Bachelor","Master","Doctor")</f>
        <v>Bachelor</v>
      </c>
      <c r="G870" t="str">
        <f>IF(INDEX(tblCleanData[YearsAtCompany],862)&lt;=2,"0-2 Years",IF(INDEX(tblCleanData[YearsAtCompany],862)&lt;=5,"3-5 Years",IF(INDEX(tblCleanData[YearsAtCompany],862)&lt;=10,"6-10 Years","10+ Years")))</f>
        <v>10+ Years</v>
      </c>
      <c r="H870" t="str">
        <f>IF(INDEX(tblCleanData[WorkLifeBalance],862)&lt;=2,"Elevated","Normal")</f>
        <v>Normal</v>
      </c>
      <c r="I870">
        <f>IF(INDEX(tblCleanData[Age],862)&lt;30,30,IF(INDEX(tblCleanData[Age],862)&lt;40,20,IF(INDEX(tblCleanData[Age],862)&lt;50,10,15)))</f>
        <v>10</v>
      </c>
      <c r="J870">
        <f>IF(INDEX(tblCleanData[MonthlyIncome],862)&lt;=$B$3,25,IF(INDEX(tblCleanData[MonthlyIncome],862)&lt;=$B$4,12,5))</f>
        <v>5</v>
      </c>
      <c r="K870">
        <f>IF(INDEX(tblCleanData[OverTime],862)="Yes",25,0)</f>
        <v>0</v>
      </c>
      <c r="L870">
        <f>(5-INDEX(tblCleanData[JobSatisfaction],862))*6.25</f>
        <v>25</v>
      </c>
      <c r="M870">
        <f>IF(INDEX(tblCleanData[YearsAtCompany],862)&lt;=2,25,IF(INDEX(tblCleanData[YearsAtCompany],862)&lt;=5,15,IF(INDEX(tblCleanData[YearsAtCompany],862)&lt;=10,8,3)))</f>
        <v>3</v>
      </c>
      <c r="N870">
        <f t="shared" si="26"/>
        <v>43</v>
      </c>
      <c r="O870" t="str">
        <f t="shared" si="27"/>
        <v>Medium Risk</v>
      </c>
    </row>
    <row r="871" spans="1:15" x14ac:dyDescent="0.25">
      <c r="A871">
        <f>INDEX(tblCleanData[EmployeeNumber],863)</f>
        <v>1206</v>
      </c>
      <c r="B871" t="str">
        <f>IF(INDEX(tblCleanData[Age],863)&lt;30,"Under 30",IF(INDEX(tblCleanData[Age],863)&lt;40,"30-39",IF(INDEX(tblCleanData[Age],863)&lt;50,"40-49","50+")))</f>
        <v>40-49</v>
      </c>
      <c r="C871" t="str">
        <f>IF(INDEX(tblCleanData[MonthlyIncome],863)&lt;=$B$3,"Low Income",IF(INDEX(tblCleanData[MonthlyIncome],863)&lt;=$B$4,"Medium Income","High Income"))</f>
        <v>High Income</v>
      </c>
      <c r="D871">
        <f>IF(INDEX(tblCleanData[Attrition],863)="Yes",1,0)</f>
        <v>0</v>
      </c>
      <c r="E871">
        <f>IF(INDEX(tblCleanData[OverTime],863)="Yes",1,0)</f>
        <v>0</v>
      </c>
      <c r="F871" t="str">
        <f>CHOOSE(INDEX(tblCleanData[Education],863),"Below College","College","Bachelor","Master","Doctor")</f>
        <v>Bachelor</v>
      </c>
      <c r="G871" t="str">
        <f>IF(INDEX(tblCleanData[YearsAtCompany],863)&lt;=2,"0-2 Years",IF(INDEX(tblCleanData[YearsAtCompany],863)&lt;=5,"3-5 Years",IF(INDEX(tblCleanData[YearsAtCompany],863)&lt;=10,"6-10 Years","10+ Years")))</f>
        <v>0-2 Years</v>
      </c>
      <c r="H871" t="str">
        <f>IF(INDEX(tblCleanData[WorkLifeBalance],863)&lt;=2,"Elevated","Normal")</f>
        <v>Normal</v>
      </c>
      <c r="I871">
        <f>IF(INDEX(tblCleanData[Age],863)&lt;30,30,IF(INDEX(tblCleanData[Age],863)&lt;40,20,IF(INDEX(tblCleanData[Age],863)&lt;50,10,15)))</f>
        <v>10</v>
      </c>
      <c r="J871">
        <f>IF(INDEX(tblCleanData[MonthlyIncome],863)&lt;=$B$3,25,IF(INDEX(tblCleanData[MonthlyIncome],863)&lt;=$B$4,12,5))</f>
        <v>5</v>
      </c>
      <c r="K871">
        <f>IF(INDEX(tblCleanData[OverTime],863)="Yes",25,0)</f>
        <v>0</v>
      </c>
      <c r="L871">
        <f>(5-INDEX(tblCleanData[JobSatisfaction],863))*6.25</f>
        <v>12.5</v>
      </c>
      <c r="M871">
        <f>IF(INDEX(tblCleanData[YearsAtCompany],863)&lt;=2,25,IF(INDEX(tblCleanData[YearsAtCompany],863)&lt;=5,15,IF(INDEX(tblCleanData[YearsAtCompany],863)&lt;=10,8,3)))</f>
        <v>25</v>
      </c>
      <c r="N871">
        <f t="shared" si="26"/>
        <v>53</v>
      </c>
      <c r="O871" t="str">
        <f t="shared" si="27"/>
        <v>Medium Risk</v>
      </c>
    </row>
    <row r="872" spans="1:15" x14ac:dyDescent="0.25">
      <c r="A872">
        <f>INDEX(tblCleanData[EmployeeNumber],864)</f>
        <v>1207</v>
      </c>
      <c r="B872" t="str">
        <f>IF(INDEX(tblCleanData[Age],864)&lt;30,"Under 30",IF(INDEX(tblCleanData[Age],864)&lt;40,"30-39",IF(INDEX(tblCleanData[Age],864)&lt;50,"40-49","50+")))</f>
        <v>30-39</v>
      </c>
      <c r="C872" t="str">
        <f>IF(INDEX(tblCleanData[MonthlyIncome],864)&lt;=$B$3,"Low Income",IF(INDEX(tblCleanData[MonthlyIncome],864)&lt;=$B$4,"Medium Income","High Income"))</f>
        <v>High Income</v>
      </c>
      <c r="D872">
        <f>IF(INDEX(tblCleanData[Attrition],864)="Yes",1,0)</f>
        <v>0</v>
      </c>
      <c r="E872">
        <f>IF(INDEX(tblCleanData[OverTime],864)="Yes",1,0)</f>
        <v>0</v>
      </c>
      <c r="F872" t="str">
        <f>CHOOSE(INDEX(tblCleanData[Education],864),"Below College","College","Bachelor","Master","Doctor")</f>
        <v>Bachelor</v>
      </c>
      <c r="G872" t="str">
        <f>IF(INDEX(tblCleanData[YearsAtCompany],864)&lt;=2,"0-2 Years",IF(INDEX(tblCleanData[YearsAtCompany],864)&lt;=5,"3-5 Years",IF(INDEX(tblCleanData[YearsAtCompany],864)&lt;=10,"6-10 Years","10+ Years")))</f>
        <v>3-5 Years</v>
      </c>
      <c r="H872" t="str">
        <f>IF(INDEX(tblCleanData[WorkLifeBalance],864)&lt;=2,"Elevated","Normal")</f>
        <v>Normal</v>
      </c>
      <c r="I872">
        <f>IF(INDEX(tblCleanData[Age],864)&lt;30,30,IF(INDEX(tblCleanData[Age],864)&lt;40,20,IF(INDEX(tblCleanData[Age],864)&lt;50,10,15)))</f>
        <v>20</v>
      </c>
      <c r="J872">
        <f>IF(INDEX(tblCleanData[MonthlyIncome],864)&lt;=$B$3,25,IF(INDEX(tblCleanData[MonthlyIncome],864)&lt;=$B$4,12,5))</f>
        <v>5</v>
      </c>
      <c r="K872">
        <f>IF(INDEX(tblCleanData[OverTime],864)="Yes",25,0)</f>
        <v>0</v>
      </c>
      <c r="L872">
        <f>(5-INDEX(tblCleanData[JobSatisfaction],864))*6.25</f>
        <v>12.5</v>
      </c>
      <c r="M872">
        <f>IF(INDEX(tblCleanData[YearsAtCompany],864)&lt;=2,25,IF(INDEX(tblCleanData[YearsAtCompany],864)&lt;=5,15,IF(INDEX(tblCleanData[YearsAtCompany],864)&lt;=10,8,3)))</f>
        <v>15</v>
      </c>
      <c r="N872">
        <f t="shared" si="26"/>
        <v>53</v>
      </c>
      <c r="O872" t="str">
        <f t="shared" si="27"/>
        <v>Medium Risk</v>
      </c>
    </row>
    <row r="873" spans="1:15" x14ac:dyDescent="0.25">
      <c r="A873">
        <f>INDEX(tblCleanData[EmployeeNumber],865)</f>
        <v>1210</v>
      </c>
      <c r="B873" t="str">
        <f>IF(INDEX(tblCleanData[Age],865)&lt;30,"Under 30",IF(INDEX(tblCleanData[Age],865)&lt;40,"30-39",IF(INDEX(tblCleanData[Age],865)&lt;50,"40-49","50+")))</f>
        <v>40-49</v>
      </c>
      <c r="C873" t="str">
        <f>IF(INDEX(tblCleanData[MonthlyIncome],865)&lt;=$B$3,"Low Income",IF(INDEX(tblCleanData[MonthlyIncome],865)&lt;=$B$4,"Medium Income","High Income"))</f>
        <v>High Income</v>
      </c>
      <c r="D873">
        <f>IF(INDEX(tblCleanData[Attrition],865)="Yes",1,0)</f>
        <v>1</v>
      </c>
      <c r="E873">
        <f>IF(INDEX(tblCleanData[OverTime],865)="Yes",1,0)</f>
        <v>0</v>
      </c>
      <c r="F873" t="str">
        <f>CHOOSE(INDEX(tblCleanData[Education],865),"Below College","College","Bachelor","Master","Doctor")</f>
        <v>College</v>
      </c>
      <c r="G873" t="str">
        <f>IF(INDEX(tblCleanData[YearsAtCompany],865)&lt;=2,"0-2 Years",IF(INDEX(tblCleanData[YearsAtCompany],865)&lt;=5,"3-5 Years",IF(INDEX(tblCleanData[YearsAtCompany],865)&lt;=10,"6-10 Years","10+ Years")))</f>
        <v>0-2 Years</v>
      </c>
      <c r="H873" t="str">
        <f>IF(INDEX(tblCleanData[WorkLifeBalance],865)&lt;=2,"Elevated","Normal")</f>
        <v>Elevated</v>
      </c>
      <c r="I873">
        <f>IF(INDEX(tblCleanData[Age],865)&lt;30,30,IF(INDEX(tblCleanData[Age],865)&lt;40,20,IF(INDEX(tblCleanData[Age],865)&lt;50,10,15)))</f>
        <v>10</v>
      </c>
      <c r="J873">
        <f>IF(INDEX(tblCleanData[MonthlyIncome],865)&lt;=$B$3,25,IF(INDEX(tblCleanData[MonthlyIncome],865)&lt;=$B$4,12,5))</f>
        <v>5</v>
      </c>
      <c r="K873">
        <f>IF(INDEX(tblCleanData[OverTime],865)="Yes",25,0)</f>
        <v>0</v>
      </c>
      <c r="L873">
        <f>(5-INDEX(tblCleanData[JobSatisfaction],865))*6.25</f>
        <v>25</v>
      </c>
      <c r="M873">
        <f>IF(INDEX(tblCleanData[YearsAtCompany],865)&lt;=2,25,IF(INDEX(tblCleanData[YearsAtCompany],865)&lt;=5,15,IF(INDEX(tblCleanData[YearsAtCompany],865)&lt;=10,8,3)))</f>
        <v>25</v>
      </c>
      <c r="N873">
        <f t="shared" si="26"/>
        <v>65</v>
      </c>
      <c r="O873" t="str">
        <f t="shared" si="27"/>
        <v>High Risk</v>
      </c>
    </row>
    <row r="874" spans="1:15" x14ac:dyDescent="0.25">
      <c r="A874">
        <f>INDEX(tblCleanData[EmployeeNumber],866)</f>
        <v>1211</v>
      </c>
      <c r="B874" t="str">
        <f>IF(INDEX(tblCleanData[Age],866)&lt;30,"Under 30",IF(INDEX(tblCleanData[Age],866)&lt;40,"30-39",IF(INDEX(tblCleanData[Age],866)&lt;50,"40-49","50+")))</f>
        <v>30-39</v>
      </c>
      <c r="C874" t="str">
        <f>IF(INDEX(tblCleanData[MonthlyIncome],866)&lt;=$B$3,"Low Income",IF(INDEX(tblCleanData[MonthlyIncome],866)&lt;=$B$4,"Medium Income","High Income"))</f>
        <v>High Income</v>
      </c>
      <c r="D874">
        <f>IF(INDEX(tblCleanData[Attrition],866)="Yes",1,0)</f>
        <v>0</v>
      </c>
      <c r="E874">
        <f>IF(INDEX(tblCleanData[OverTime],866)="Yes",1,0)</f>
        <v>0</v>
      </c>
      <c r="F874" t="str">
        <f>CHOOSE(INDEX(tblCleanData[Education],866),"Below College","College","Bachelor","Master","Doctor")</f>
        <v>Master</v>
      </c>
      <c r="G874" t="str">
        <f>IF(INDEX(tblCleanData[YearsAtCompany],866)&lt;=2,"0-2 Years",IF(INDEX(tblCleanData[YearsAtCompany],866)&lt;=5,"3-5 Years",IF(INDEX(tblCleanData[YearsAtCompany],866)&lt;=10,"6-10 Years","10+ Years")))</f>
        <v>3-5 Years</v>
      </c>
      <c r="H874" t="str">
        <f>IF(INDEX(tblCleanData[WorkLifeBalance],866)&lt;=2,"Elevated","Normal")</f>
        <v>Normal</v>
      </c>
      <c r="I874">
        <f>IF(INDEX(tblCleanData[Age],866)&lt;30,30,IF(INDEX(tblCleanData[Age],866)&lt;40,20,IF(INDEX(tblCleanData[Age],866)&lt;50,10,15)))</f>
        <v>20</v>
      </c>
      <c r="J874">
        <f>IF(INDEX(tblCleanData[MonthlyIncome],866)&lt;=$B$3,25,IF(INDEX(tblCleanData[MonthlyIncome],866)&lt;=$B$4,12,5))</f>
        <v>5</v>
      </c>
      <c r="K874">
        <f>IF(INDEX(tblCleanData[OverTime],866)="Yes",25,0)</f>
        <v>0</v>
      </c>
      <c r="L874">
        <f>(5-INDEX(tblCleanData[JobSatisfaction],866))*6.25</f>
        <v>25</v>
      </c>
      <c r="M874">
        <f>IF(INDEX(tblCleanData[YearsAtCompany],866)&lt;=2,25,IF(INDEX(tblCleanData[YearsAtCompany],866)&lt;=5,15,IF(INDEX(tblCleanData[YearsAtCompany],866)&lt;=10,8,3)))</f>
        <v>15</v>
      </c>
      <c r="N874">
        <f t="shared" si="26"/>
        <v>65</v>
      </c>
      <c r="O874" t="str">
        <f t="shared" si="27"/>
        <v>High Risk</v>
      </c>
    </row>
    <row r="875" spans="1:15" x14ac:dyDescent="0.25">
      <c r="A875">
        <f>INDEX(tblCleanData[EmployeeNumber],867)</f>
        <v>1212</v>
      </c>
      <c r="B875" t="str">
        <f>IF(INDEX(tblCleanData[Age],867)&lt;30,"Under 30",IF(INDEX(tblCleanData[Age],867)&lt;40,"30-39",IF(INDEX(tblCleanData[Age],867)&lt;50,"40-49","50+")))</f>
        <v>40-49</v>
      </c>
      <c r="C875" t="str">
        <f>IF(INDEX(tblCleanData[MonthlyIncome],867)&lt;=$B$3,"Low Income",IF(INDEX(tblCleanData[MonthlyIncome],867)&lt;=$B$4,"Medium Income","High Income"))</f>
        <v>High Income</v>
      </c>
      <c r="D875">
        <f>IF(INDEX(tblCleanData[Attrition],867)="Yes",1,0)</f>
        <v>0</v>
      </c>
      <c r="E875">
        <f>IF(INDEX(tblCleanData[OverTime],867)="Yes",1,0)</f>
        <v>0</v>
      </c>
      <c r="F875" t="str">
        <f>CHOOSE(INDEX(tblCleanData[Education],867),"Below College","College","Bachelor","Master","Doctor")</f>
        <v>Master</v>
      </c>
      <c r="G875" t="str">
        <f>IF(INDEX(tblCleanData[YearsAtCompany],867)&lt;=2,"0-2 Years",IF(INDEX(tblCleanData[YearsAtCompany],867)&lt;=5,"3-5 Years",IF(INDEX(tblCleanData[YearsAtCompany],867)&lt;=10,"6-10 Years","10+ Years")))</f>
        <v>0-2 Years</v>
      </c>
      <c r="H875" t="str">
        <f>IF(INDEX(tblCleanData[WorkLifeBalance],867)&lt;=2,"Elevated","Normal")</f>
        <v>Normal</v>
      </c>
      <c r="I875">
        <f>IF(INDEX(tblCleanData[Age],867)&lt;30,30,IF(INDEX(tblCleanData[Age],867)&lt;40,20,IF(INDEX(tblCleanData[Age],867)&lt;50,10,15)))</f>
        <v>10</v>
      </c>
      <c r="J875">
        <f>IF(INDEX(tblCleanData[MonthlyIncome],867)&lt;=$B$3,25,IF(INDEX(tblCleanData[MonthlyIncome],867)&lt;=$B$4,12,5))</f>
        <v>5</v>
      </c>
      <c r="K875">
        <f>IF(INDEX(tblCleanData[OverTime],867)="Yes",25,0)</f>
        <v>0</v>
      </c>
      <c r="L875">
        <f>(5-INDEX(tblCleanData[JobSatisfaction],867))*6.25</f>
        <v>18.75</v>
      </c>
      <c r="M875">
        <f>IF(INDEX(tblCleanData[YearsAtCompany],867)&lt;=2,25,IF(INDEX(tblCleanData[YearsAtCompany],867)&lt;=5,15,IF(INDEX(tblCleanData[YearsAtCompany],867)&lt;=10,8,3)))</f>
        <v>25</v>
      </c>
      <c r="N875">
        <f t="shared" si="26"/>
        <v>59</v>
      </c>
      <c r="O875" t="str">
        <f t="shared" si="27"/>
        <v>High Risk</v>
      </c>
    </row>
    <row r="876" spans="1:15" x14ac:dyDescent="0.25">
      <c r="A876">
        <f>INDEX(tblCleanData[EmployeeNumber],868)</f>
        <v>1215</v>
      </c>
      <c r="B876" t="str">
        <f>IF(INDEX(tblCleanData[Age],868)&lt;30,"Under 30",IF(INDEX(tblCleanData[Age],868)&lt;40,"30-39",IF(INDEX(tblCleanData[Age],868)&lt;50,"40-49","50+")))</f>
        <v>50+</v>
      </c>
      <c r="C876" t="str">
        <f>IF(INDEX(tblCleanData[MonthlyIncome],868)&lt;=$B$3,"Low Income",IF(INDEX(tblCleanData[MonthlyIncome],868)&lt;=$B$4,"Medium Income","High Income"))</f>
        <v>High Income</v>
      </c>
      <c r="D876">
        <f>IF(INDEX(tblCleanData[Attrition],868)="Yes",1,0)</f>
        <v>0</v>
      </c>
      <c r="E876">
        <f>IF(INDEX(tblCleanData[OverTime],868)="Yes",1,0)</f>
        <v>0</v>
      </c>
      <c r="F876" t="str">
        <f>CHOOSE(INDEX(tblCleanData[Education],868),"Below College","College","Bachelor","Master","Doctor")</f>
        <v>Bachelor</v>
      </c>
      <c r="G876" t="str">
        <f>IF(INDEX(tblCleanData[YearsAtCompany],868)&lt;=2,"0-2 Years",IF(INDEX(tblCleanData[YearsAtCompany],868)&lt;=5,"3-5 Years",IF(INDEX(tblCleanData[YearsAtCompany],868)&lt;=10,"6-10 Years","10+ Years")))</f>
        <v>0-2 Years</v>
      </c>
      <c r="H876" t="str">
        <f>IF(INDEX(tblCleanData[WorkLifeBalance],868)&lt;=2,"Elevated","Normal")</f>
        <v>Normal</v>
      </c>
      <c r="I876">
        <f>IF(INDEX(tblCleanData[Age],868)&lt;30,30,IF(INDEX(tblCleanData[Age],868)&lt;40,20,IF(INDEX(tblCleanData[Age],868)&lt;50,10,15)))</f>
        <v>15</v>
      </c>
      <c r="J876">
        <f>IF(INDEX(tblCleanData[MonthlyIncome],868)&lt;=$B$3,25,IF(INDEX(tblCleanData[MonthlyIncome],868)&lt;=$B$4,12,5))</f>
        <v>5</v>
      </c>
      <c r="K876">
        <f>IF(INDEX(tblCleanData[OverTime],868)="Yes",25,0)</f>
        <v>0</v>
      </c>
      <c r="L876">
        <f>(5-INDEX(tblCleanData[JobSatisfaction],868))*6.25</f>
        <v>25</v>
      </c>
      <c r="M876">
        <f>IF(INDEX(tblCleanData[YearsAtCompany],868)&lt;=2,25,IF(INDEX(tblCleanData[YearsAtCompany],868)&lt;=5,15,IF(INDEX(tblCleanData[YearsAtCompany],868)&lt;=10,8,3)))</f>
        <v>25</v>
      </c>
      <c r="N876">
        <f t="shared" si="26"/>
        <v>70</v>
      </c>
      <c r="O876" t="str">
        <f t="shared" si="27"/>
        <v>High Risk</v>
      </c>
    </row>
    <row r="877" spans="1:15" x14ac:dyDescent="0.25">
      <c r="A877">
        <f>INDEX(tblCleanData[EmployeeNumber],869)</f>
        <v>1216</v>
      </c>
      <c r="B877" t="str">
        <f>IF(INDEX(tblCleanData[Age],869)&lt;30,"Under 30",IF(INDEX(tblCleanData[Age],869)&lt;40,"30-39",IF(INDEX(tblCleanData[Age],869)&lt;50,"40-49","50+")))</f>
        <v>Under 30</v>
      </c>
      <c r="C877" t="str">
        <f>IF(INDEX(tblCleanData[MonthlyIncome],869)&lt;=$B$3,"Low Income",IF(INDEX(tblCleanData[MonthlyIncome],869)&lt;=$B$4,"Medium Income","High Income"))</f>
        <v>High Income</v>
      </c>
      <c r="D877">
        <f>IF(INDEX(tblCleanData[Attrition],869)="Yes",1,0)</f>
        <v>0</v>
      </c>
      <c r="E877">
        <f>IF(INDEX(tblCleanData[OverTime],869)="Yes",1,0)</f>
        <v>0</v>
      </c>
      <c r="F877" t="str">
        <f>CHOOSE(INDEX(tblCleanData[Education],869),"Below College","College","Bachelor","Master","Doctor")</f>
        <v>Master</v>
      </c>
      <c r="G877" t="str">
        <f>IF(INDEX(tblCleanData[YearsAtCompany],869)&lt;=2,"0-2 Years",IF(INDEX(tblCleanData[YearsAtCompany],869)&lt;=5,"3-5 Years",IF(INDEX(tblCleanData[YearsAtCompany],869)&lt;=10,"6-10 Years","10+ Years")))</f>
        <v>6-10 Years</v>
      </c>
      <c r="H877" t="str">
        <f>IF(INDEX(tblCleanData[WorkLifeBalance],869)&lt;=2,"Elevated","Normal")</f>
        <v>Normal</v>
      </c>
      <c r="I877">
        <f>IF(INDEX(tblCleanData[Age],869)&lt;30,30,IF(INDEX(tblCleanData[Age],869)&lt;40,20,IF(INDEX(tblCleanData[Age],869)&lt;50,10,15)))</f>
        <v>30</v>
      </c>
      <c r="J877">
        <f>IF(INDEX(tblCleanData[MonthlyIncome],869)&lt;=$B$3,25,IF(INDEX(tblCleanData[MonthlyIncome],869)&lt;=$B$4,12,5))</f>
        <v>5</v>
      </c>
      <c r="K877">
        <f>IF(INDEX(tblCleanData[OverTime],869)="Yes",25,0)</f>
        <v>0</v>
      </c>
      <c r="L877">
        <f>(5-INDEX(tblCleanData[JobSatisfaction],869))*6.25</f>
        <v>25</v>
      </c>
      <c r="M877">
        <f>IF(INDEX(tblCleanData[YearsAtCompany],869)&lt;=2,25,IF(INDEX(tblCleanData[YearsAtCompany],869)&lt;=5,15,IF(INDEX(tblCleanData[YearsAtCompany],869)&lt;=10,8,3)))</f>
        <v>8</v>
      </c>
      <c r="N877">
        <f t="shared" si="26"/>
        <v>68</v>
      </c>
      <c r="O877" t="str">
        <f t="shared" si="27"/>
        <v>High Risk</v>
      </c>
    </row>
    <row r="878" spans="1:15" x14ac:dyDescent="0.25">
      <c r="A878">
        <f>INDEX(tblCleanData[EmployeeNumber],870)</f>
        <v>1217</v>
      </c>
      <c r="B878" t="str">
        <f>IF(INDEX(tblCleanData[Age],870)&lt;30,"Under 30",IF(INDEX(tblCleanData[Age],870)&lt;40,"30-39",IF(INDEX(tblCleanData[Age],870)&lt;50,"40-49","50+")))</f>
        <v>40-49</v>
      </c>
      <c r="C878" t="str">
        <f>IF(INDEX(tblCleanData[MonthlyIncome],870)&lt;=$B$3,"Low Income",IF(INDEX(tblCleanData[MonthlyIncome],870)&lt;=$B$4,"Medium Income","High Income"))</f>
        <v>High Income</v>
      </c>
      <c r="D878">
        <f>IF(INDEX(tblCleanData[Attrition],870)="Yes",1,0)</f>
        <v>0</v>
      </c>
      <c r="E878">
        <f>IF(INDEX(tblCleanData[OverTime],870)="Yes",1,0)</f>
        <v>0</v>
      </c>
      <c r="F878" t="str">
        <f>CHOOSE(INDEX(tblCleanData[Education],870),"Below College","College","Bachelor","Master","Doctor")</f>
        <v>College</v>
      </c>
      <c r="G878" t="str">
        <f>IF(INDEX(tblCleanData[YearsAtCompany],870)&lt;=2,"0-2 Years",IF(INDEX(tblCleanData[YearsAtCompany],870)&lt;=5,"3-5 Years",IF(INDEX(tblCleanData[YearsAtCompany],870)&lt;=10,"6-10 Years","10+ Years")))</f>
        <v>3-5 Years</v>
      </c>
      <c r="H878" t="str">
        <f>IF(INDEX(tblCleanData[WorkLifeBalance],870)&lt;=2,"Elevated","Normal")</f>
        <v>Normal</v>
      </c>
      <c r="I878">
        <f>IF(INDEX(tblCleanData[Age],870)&lt;30,30,IF(INDEX(tblCleanData[Age],870)&lt;40,20,IF(INDEX(tblCleanData[Age],870)&lt;50,10,15)))</f>
        <v>10</v>
      </c>
      <c r="J878">
        <f>IF(INDEX(tblCleanData[MonthlyIncome],870)&lt;=$B$3,25,IF(INDEX(tblCleanData[MonthlyIncome],870)&lt;=$B$4,12,5))</f>
        <v>5</v>
      </c>
      <c r="K878">
        <f>IF(INDEX(tblCleanData[OverTime],870)="Yes",25,0)</f>
        <v>0</v>
      </c>
      <c r="L878">
        <f>(5-INDEX(tblCleanData[JobSatisfaction],870))*6.25</f>
        <v>18.75</v>
      </c>
      <c r="M878">
        <f>IF(INDEX(tblCleanData[YearsAtCompany],870)&lt;=2,25,IF(INDEX(tblCleanData[YearsAtCompany],870)&lt;=5,15,IF(INDEX(tblCleanData[YearsAtCompany],870)&lt;=10,8,3)))</f>
        <v>15</v>
      </c>
      <c r="N878">
        <f t="shared" si="26"/>
        <v>49</v>
      </c>
      <c r="O878" t="str">
        <f t="shared" si="27"/>
        <v>Medium Risk</v>
      </c>
    </row>
    <row r="879" spans="1:15" x14ac:dyDescent="0.25">
      <c r="A879">
        <f>INDEX(tblCleanData[EmployeeNumber],871)</f>
        <v>1218</v>
      </c>
      <c r="B879" t="str">
        <f>IF(INDEX(tblCleanData[Age],871)&lt;30,"Under 30",IF(INDEX(tblCleanData[Age],871)&lt;40,"30-39",IF(INDEX(tblCleanData[Age],871)&lt;50,"40-49","50+")))</f>
        <v>30-39</v>
      </c>
      <c r="C879" t="str">
        <f>IF(INDEX(tblCleanData[MonthlyIncome],871)&lt;=$B$3,"Low Income",IF(INDEX(tblCleanData[MonthlyIncome],871)&lt;=$B$4,"Medium Income","High Income"))</f>
        <v>High Income</v>
      </c>
      <c r="D879">
        <f>IF(INDEX(tblCleanData[Attrition],871)="Yes",1,0)</f>
        <v>0</v>
      </c>
      <c r="E879">
        <f>IF(INDEX(tblCleanData[OverTime],871)="Yes",1,0)</f>
        <v>1</v>
      </c>
      <c r="F879" t="str">
        <f>CHOOSE(INDEX(tblCleanData[Education],871),"Below College","College","Bachelor","Master","Doctor")</f>
        <v>Master</v>
      </c>
      <c r="G879" t="str">
        <f>IF(INDEX(tblCleanData[YearsAtCompany],871)&lt;=2,"0-2 Years",IF(INDEX(tblCleanData[YearsAtCompany],871)&lt;=5,"3-5 Years",IF(INDEX(tblCleanData[YearsAtCompany],871)&lt;=10,"6-10 Years","10+ Years")))</f>
        <v>6-10 Years</v>
      </c>
      <c r="H879" t="str">
        <f>IF(INDEX(tblCleanData[WorkLifeBalance],871)&lt;=2,"Elevated","Normal")</f>
        <v>Normal</v>
      </c>
      <c r="I879">
        <f>IF(INDEX(tblCleanData[Age],871)&lt;30,30,IF(INDEX(tblCleanData[Age],871)&lt;40,20,IF(INDEX(tblCleanData[Age],871)&lt;50,10,15)))</f>
        <v>20</v>
      </c>
      <c r="J879">
        <f>IF(INDEX(tblCleanData[MonthlyIncome],871)&lt;=$B$3,25,IF(INDEX(tblCleanData[MonthlyIncome],871)&lt;=$B$4,12,5))</f>
        <v>5</v>
      </c>
      <c r="K879">
        <f>IF(INDEX(tblCleanData[OverTime],871)="Yes",25,0)</f>
        <v>25</v>
      </c>
      <c r="L879">
        <f>(5-INDEX(tblCleanData[JobSatisfaction],871))*6.25</f>
        <v>25</v>
      </c>
      <c r="M879">
        <f>IF(INDEX(tblCleanData[YearsAtCompany],871)&lt;=2,25,IF(INDEX(tblCleanData[YearsAtCompany],871)&lt;=5,15,IF(INDEX(tblCleanData[YearsAtCompany],871)&lt;=10,8,3)))</f>
        <v>8</v>
      </c>
      <c r="N879">
        <f t="shared" si="26"/>
        <v>83</v>
      </c>
      <c r="O879" t="str">
        <f t="shared" si="27"/>
        <v>High Risk</v>
      </c>
    </row>
    <row r="880" spans="1:15" x14ac:dyDescent="0.25">
      <c r="A880">
        <f>INDEX(tblCleanData[EmployeeNumber],872)</f>
        <v>1219</v>
      </c>
      <c r="B880" t="str">
        <f>IF(INDEX(tblCleanData[Age],872)&lt;30,"Under 30",IF(INDEX(tblCleanData[Age],872)&lt;40,"30-39",IF(INDEX(tblCleanData[Age],872)&lt;50,"40-49","50+")))</f>
        <v>Under 30</v>
      </c>
      <c r="C880" t="str">
        <f>IF(INDEX(tblCleanData[MonthlyIncome],872)&lt;=$B$3,"Low Income",IF(INDEX(tblCleanData[MonthlyIncome],872)&lt;=$B$4,"Medium Income","High Income"))</f>
        <v>High Income</v>
      </c>
      <c r="D880">
        <f>IF(INDEX(tblCleanData[Attrition],872)="Yes",1,0)</f>
        <v>1</v>
      </c>
      <c r="E880">
        <f>IF(INDEX(tblCleanData[OverTime],872)="Yes",1,0)</f>
        <v>0</v>
      </c>
      <c r="F880" t="str">
        <f>CHOOSE(INDEX(tblCleanData[Education],872),"Below College","College","Bachelor","Master","Doctor")</f>
        <v>College</v>
      </c>
      <c r="G880" t="str">
        <f>IF(INDEX(tblCleanData[YearsAtCompany],872)&lt;=2,"0-2 Years",IF(INDEX(tblCleanData[YearsAtCompany],872)&lt;=5,"3-5 Years",IF(INDEX(tblCleanData[YearsAtCompany],872)&lt;=10,"6-10 Years","10+ Years")))</f>
        <v>0-2 Years</v>
      </c>
      <c r="H880" t="str">
        <f>IF(INDEX(tblCleanData[WorkLifeBalance],872)&lt;=2,"Elevated","Normal")</f>
        <v>Elevated</v>
      </c>
      <c r="I880">
        <f>IF(INDEX(tblCleanData[Age],872)&lt;30,30,IF(INDEX(tblCleanData[Age],872)&lt;40,20,IF(INDEX(tblCleanData[Age],872)&lt;50,10,15)))</f>
        <v>30</v>
      </c>
      <c r="J880">
        <f>IF(INDEX(tblCleanData[MonthlyIncome],872)&lt;=$B$3,25,IF(INDEX(tblCleanData[MonthlyIncome],872)&lt;=$B$4,12,5))</f>
        <v>5</v>
      </c>
      <c r="K880">
        <f>IF(INDEX(tblCleanData[OverTime],872)="Yes",25,0)</f>
        <v>0</v>
      </c>
      <c r="L880">
        <f>(5-INDEX(tblCleanData[JobSatisfaction],872))*6.25</f>
        <v>18.75</v>
      </c>
      <c r="M880">
        <f>IF(INDEX(tblCleanData[YearsAtCompany],872)&lt;=2,25,IF(INDEX(tblCleanData[YearsAtCompany],872)&lt;=5,15,IF(INDEX(tblCleanData[YearsAtCompany],872)&lt;=10,8,3)))</f>
        <v>25</v>
      </c>
      <c r="N880">
        <f t="shared" si="26"/>
        <v>79</v>
      </c>
      <c r="O880" t="str">
        <f t="shared" si="27"/>
        <v>High Risk</v>
      </c>
    </row>
    <row r="881" spans="1:15" x14ac:dyDescent="0.25">
      <c r="A881">
        <f>INDEX(tblCleanData[EmployeeNumber],873)</f>
        <v>1220</v>
      </c>
      <c r="B881" t="str">
        <f>IF(INDEX(tblCleanData[Age],873)&lt;30,"Under 30",IF(INDEX(tblCleanData[Age],873)&lt;40,"30-39",IF(INDEX(tblCleanData[Age],873)&lt;50,"40-49","50+")))</f>
        <v>30-39</v>
      </c>
      <c r="C881" t="str">
        <f>IF(INDEX(tblCleanData[MonthlyIncome],873)&lt;=$B$3,"Low Income",IF(INDEX(tblCleanData[MonthlyIncome],873)&lt;=$B$4,"Medium Income","High Income"))</f>
        <v>High Income</v>
      </c>
      <c r="D881">
        <f>IF(INDEX(tblCleanData[Attrition],873)="Yes",1,0)</f>
        <v>0</v>
      </c>
      <c r="E881">
        <f>IF(INDEX(tblCleanData[OverTime],873)="Yes",1,0)</f>
        <v>0</v>
      </c>
      <c r="F881" t="str">
        <f>CHOOSE(INDEX(tblCleanData[Education],873),"Below College","College","Bachelor","Master","Doctor")</f>
        <v>Bachelor</v>
      </c>
      <c r="G881" t="str">
        <f>IF(INDEX(tblCleanData[YearsAtCompany],873)&lt;=2,"0-2 Years",IF(INDEX(tblCleanData[YearsAtCompany],873)&lt;=5,"3-5 Years",IF(INDEX(tblCleanData[YearsAtCompany],873)&lt;=10,"6-10 Years","10+ Years")))</f>
        <v>6-10 Years</v>
      </c>
      <c r="H881" t="str">
        <f>IF(INDEX(tblCleanData[WorkLifeBalance],873)&lt;=2,"Elevated","Normal")</f>
        <v>Elevated</v>
      </c>
      <c r="I881">
        <f>IF(INDEX(tblCleanData[Age],873)&lt;30,30,IF(INDEX(tblCleanData[Age],873)&lt;40,20,IF(INDEX(tblCleanData[Age],873)&lt;50,10,15)))</f>
        <v>20</v>
      </c>
      <c r="J881">
        <f>IF(INDEX(tblCleanData[MonthlyIncome],873)&lt;=$B$3,25,IF(INDEX(tblCleanData[MonthlyIncome],873)&lt;=$B$4,12,5))</f>
        <v>5</v>
      </c>
      <c r="K881">
        <f>IF(INDEX(tblCleanData[OverTime],873)="Yes",25,0)</f>
        <v>0</v>
      </c>
      <c r="L881">
        <f>(5-INDEX(tblCleanData[JobSatisfaction],873))*6.25</f>
        <v>12.5</v>
      </c>
      <c r="M881">
        <f>IF(INDEX(tblCleanData[YearsAtCompany],873)&lt;=2,25,IF(INDEX(tblCleanData[YearsAtCompany],873)&lt;=5,15,IF(INDEX(tblCleanData[YearsAtCompany],873)&lt;=10,8,3)))</f>
        <v>8</v>
      </c>
      <c r="N881">
        <f t="shared" si="26"/>
        <v>46</v>
      </c>
      <c r="O881" t="str">
        <f t="shared" si="27"/>
        <v>Medium Risk</v>
      </c>
    </row>
    <row r="882" spans="1:15" x14ac:dyDescent="0.25">
      <c r="A882">
        <f>INDEX(tblCleanData[EmployeeNumber],874)</f>
        <v>1221</v>
      </c>
      <c r="B882" t="str">
        <f>IF(INDEX(tblCleanData[Age],874)&lt;30,"Under 30",IF(INDEX(tblCleanData[Age],874)&lt;40,"30-39",IF(INDEX(tblCleanData[Age],874)&lt;50,"40-49","50+")))</f>
        <v>30-39</v>
      </c>
      <c r="C882" t="str">
        <f>IF(INDEX(tblCleanData[MonthlyIncome],874)&lt;=$B$3,"Low Income",IF(INDEX(tblCleanData[MonthlyIncome],874)&lt;=$B$4,"Medium Income","High Income"))</f>
        <v>High Income</v>
      </c>
      <c r="D882">
        <f>IF(INDEX(tblCleanData[Attrition],874)="Yes",1,0)</f>
        <v>0</v>
      </c>
      <c r="E882">
        <f>IF(INDEX(tblCleanData[OverTime],874)="Yes",1,0)</f>
        <v>0</v>
      </c>
      <c r="F882" t="str">
        <f>CHOOSE(INDEX(tblCleanData[Education],874),"Below College","College","Bachelor","Master","Doctor")</f>
        <v>Master</v>
      </c>
      <c r="G882" t="str">
        <f>IF(INDEX(tblCleanData[YearsAtCompany],874)&lt;=2,"0-2 Years",IF(INDEX(tblCleanData[YearsAtCompany],874)&lt;=5,"3-5 Years",IF(INDEX(tblCleanData[YearsAtCompany],874)&lt;=10,"6-10 Years","10+ Years")))</f>
        <v>6-10 Years</v>
      </c>
      <c r="H882" t="str">
        <f>IF(INDEX(tblCleanData[WorkLifeBalance],874)&lt;=2,"Elevated","Normal")</f>
        <v>Normal</v>
      </c>
      <c r="I882">
        <f>IF(INDEX(tblCleanData[Age],874)&lt;30,30,IF(INDEX(tblCleanData[Age],874)&lt;40,20,IF(INDEX(tblCleanData[Age],874)&lt;50,10,15)))</f>
        <v>20</v>
      </c>
      <c r="J882">
        <f>IF(INDEX(tblCleanData[MonthlyIncome],874)&lt;=$B$3,25,IF(INDEX(tblCleanData[MonthlyIncome],874)&lt;=$B$4,12,5))</f>
        <v>5</v>
      </c>
      <c r="K882">
        <f>IF(INDEX(tblCleanData[OverTime],874)="Yes",25,0)</f>
        <v>0</v>
      </c>
      <c r="L882">
        <f>(5-INDEX(tblCleanData[JobSatisfaction],874))*6.25</f>
        <v>12.5</v>
      </c>
      <c r="M882">
        <f>IF(INDEX(tblCleanData[YearsAtCompany],874)&lt;=2,25,IF(INDEX(tblCleanData[YearsAtCompany],874)&lt;=5,15,IF(INDEX(tblCleanData[YearsAtCompany],874)&lt;=10,8,3)))</f>
        <v>8</v>
      </c>
      <c r="N882">
        <f t="shared" si="26"/>
        <v>46</v>
      </c>
      <c r="O882" t="str">
        <f t="shared" si="27"/>
        <v>Medium Risk</v>
      </c>
    </row>
    <row r="883" spans="1:15" x14ac:dyDescent="0.25">
      <c r="A883">
        <f>INDEX(tblCleanData[EmployeeNumber],875)</f>
        <v>1224</v>
      </c>
      <c r="B883" t="str">
        <f>IF(INDEX(tblCleanData[Age],875)&lt;30,"Under 30",IF(INDEX(tblCleanData[Age],875)&lt;40,"30-39",IF(INDEX(tblCleanData[Age],875)&lt;50,"40-49","50+")))</f>
        <v>30-39</v>
      </c>
      <c r="C883" t="str">
        <f>IF(INDEX(tblCleanData[MonthlyIncome],875)&lt;=$B$3,"Low Income",IF(INDEX(tblCleanData[MonthlyIncome],875)&lt;=$B$4,"Medium Income","High Income"))</f>
        <v>High Income</v>
      </c>
      <c r="D883">
        <f>IF(INDEX(tblCleanData[Attrition],875)="Yes",1,0)</f>
        <v>0</v>
      </c>
      <c r="E883">
        <f>IF(INDEX(tblCleanData[OverTime],875)="Yes",1,0)</f>
        <v>0</v>
      </c>
      <c r="F883" t="str">
        <f>CHOOSE(INDEX(tblCleanData[Education],875),"Below College","College","Bachelor","Master","Doctor")</f>
        <v>Master</v>
      </c>
      <c r="G883" t="str">
        <f>IF(INDEX(tblCleanData[YearsAtCompany],875)&lt;=2,"0-2 Years",IF(INDEX(tblCleanData[YearsAtCompany],875)&lt;=5,"3-5 Years",IF(INDEX(tblCleanData[YearsAtCompany],875)&lt;=10,"6-10 Years","10+ Years")))</f>
        <v>6-10 Years</v>
      </c>
      <c r="H883" t="str">
        <f>IF(INDEX(tblCleanData[WorkLifeBalance],875)&lt;=2,"Elevated","Normal")</f>
        <v>Elevated</v>
      </c>
      <c r="I883">
        <f>IF(INDEX(tblCleanData[Age],875)&lt;30,30,IF(INDEX(tblCleanData[Age],875)&lt;40,20,IF(INDEX(tblCleanData[Age],875)&lt;50,10,15)))</f>
        <v>20</v>
      </c>
      <c r="J883">
        <f>IF(INDEX(tblCleanData[MonthlyIncome],875)&lt;=$B$3,25,IF(INDEX(tblCleanData[MonthlyIncome],875)&lt;=$B$4,12,5))</f>
        <v>5</v>
      </c>
      <c r="K883">
        <f>IF(INDEX(tblCleanData[OverTime],875)="Yes",25,0)</f>
        <v>0</v>
      </c>
      <c r="L883">
        <f>(5-INDEX(tblCleanData[JobSatisfaction],875))*6.25</f>
        <v>12.5</v>
      </c>
      <c r="M883">
        <f>IF(INDEX(tblCleanData[YearsAtCompany],875)&lt;=2,25,IF(INDEX(tblCleanData[YearsAtCompany],875)&lt;=5,15,IF(INDEX(tblCleanData[YearsAtCompany],875)&lt;=10,8,3)))</f>
        <v>8</v>
      </c>
      <c r="N883">
        <f t="shared" si="26"/>
        <v>46</v>
      </c>
      <c r="O883" t="str">
        <f t="shared" si="27"/>
        <v>Medium Risk</v>
      </c>
    </row>
    <row r="884" spans="1:15" x14ac:dyDescent="0.25">
      <c r="A884">
        <f>INDEX(tblCleanData[EmployeeNumber],876)</f>
        <v>1225</v>
      </c>
      <c r="B884" t="str">
        <f>IF(INDEX(tblCleanData[Age],876)&lt;30,"Under 30",IF(INDEX(tblCleanData[Age],876)&lt;40,"30-39",IF(INDEX(tblCleanData[Age],876)&lt;50,"40-49","50+")))</f>
        <v>40-49</v>
      </c>
      <c r="C884" t="str">
        <f>IF(INDEX(tblCleanData[MonthlyIncome],876)&lt;=$B$3,"Low Income",IF(INDEX(tblCleanData[MonthlyIncome],876)&lt;=$B$4,"Medium Income","High Income"))</f>
        <v>High Income</v>
      </c>
      <c r="D884">
        <f>IF(INDEX(tblCleanData[Attrition],876)="Yes",1,0)</f>
        <v>0</v>
      </c>
      <c r="E884">
        <f>IF(INDEX(tblCleanData[OverTime],876)="Yes",1,0)</f>
        <v>0</v>
      </c>
      <c r="F884" t="str">
        <f>CHOOSE(INDEX(tblCleanData[Education],876),"Below College","College","Bachelor","Master","Doctor")</f>
        <v>Master</v>
      </c>
      <c r="G884" t="str">
        <f>IF(INDEX(tblCleanData[YearsAtCompany],876)&lt;=2,"0-2 Years",IF(INDEX(tblCleanData[YearsAtCompany],876)&lt;=5,"3-5 Years",IF(INDEX(tblCleanData[YearsAtCompany],876)&lt;=10,"6-10 Years","10+ Years")))</f>
        <v>10+ Years</v>
      </c>
      <c r="H884" t="str">
        <f>IF(INDEX(tblCleanData[WorkLifeBalance],876)&lt;=2,"Elevated","Normal")</f>
        <v>Normal</v>
      </c>
      <c r="I884">
        <f>IF(INDEX(tblCleanData[Age],876)&lt;30,30,IF(INDEX(tblCleanData[Age],876)&lt;40,20,IF(INDEX(tblCleanData[Age],876)&lt;50,10,15)))</f>
        <v>10</v>
      </c>
      <c r="J884">
        <f>IF(INDEX(tblCleanData[MonthlyIncome],876)&lt;=$B$3,25,IF(INDEX(tblCleanData[MonthlyIncome],876)&lt;=$B$4,12,5))</f>
        <v>5</v>
      </c>
      <c r="K884">
        <f>IF(INDEX(tblCleanData[OverTime],876)="Yes",25,0)</f>
        <v>0</v>
      </c>
      <c r="L884">
        <f>(5-INDEX(tblCleanData[JobSatisfaction],876))*6.25</f>
        <v>6.25</v>
      </c>
      <c r="M884">
        <f>IF(INDEX(tblCleanData[YearsAtCompany],876)&lt;=2,25,IF(INDEX(tblCleanData[YearsAtCompany],876)&lt;=5,15,IF(INDEX(tblCleanData[YearsAtCompany],876)&lt;=10,8,3)))</f>
        <v>3</v>
      </c>
      <c r="N884">
        <f t="shared" si="26"/>
        <v>24</v>
      </c>
      <c r="O884" t="str">
        <f t="shared" si="27"/>
        <v>Low Risk</v>
      </c>
    </row>
    <row r="885" spans="1:15" x14ac:dyDescent="0.25">
      <c r="A885">
        <f>INDEX(tblCleanData[EmployeeNumber],877)</f>
        <v>1226</v>
      </c>
      <c r="B885" t="str">
        <f>IF(INDEX(tblCleanData[Age],877)&lt;30,"Under 30",IF(INDEX(tblCleanData[Age],877)&lt;40,"30-39",IF(INDEX(tblCleanData[Age],877)&lt;50,"40-49","50+")))</f>
        <v>Under 30</v>
      </c>
      <c r="C885" t="str">
        <f>IF(INDEX(tblCleanData[MonthlyIncome],877)&lt;=$B$3,"Low Income",IF(INDEX(tblCleanData[MonthlyIncome],877)&lt;=$B$4,"Medium Income","High Income"))</f>
        <v>High Income</v>
      </c>
      <c r="D885">
        <f>IF(INDEX(tblCleanData[Attrition],877)="Yes",1,0)</f>
        <v>0</v>
      </c>
      <c r="E885">
        <f>IF(INDEX(tblCleanData[OverTime],877)="Yes",1,0)</f>
        <v>0</v>
      </c>
      <c r="F885" t="str">
        <f>CHOOSE(INDEX(tblCleanData[Education],877),"Below College","College","Bachelor","Master","Doctor")</f>
        <v>Bachelor</v>
      </c>
      <c r="G885" t="str">
        <f>IF(INDEX(tblCleanData[YearsAtCompany],877)&lt;=2,"0-2 Years",IF(INDEX(tblCleanData[YearsAtCompany],877)&lt;=5,"3-5 Years",IF(INDEX(tblCleanData[YearsAtCompany],877)&lt;=10,"6-10 Years","10+ Years")))</f>
        <v>0-2 Years</v>
      </c>
      <c r="H885" t="str">
        <f>IF(INDEX(tblCleanData[WorkLifeBalance],877)&lt;=2,"Elevated","Normal")</f>
        <v>Normal</v>
      </c>
      <c r="I885">
        <f>IF(INDEX(tblCleanData[Age],877)&lt;30,30,IF(INDEX(tblCleanData[Age],877)&lt;40,20,IF(INDEX(tblCleanData[Age],877)&lt;50,10,15)))</f>
        <v>30</v>
      </c>
      <c r="J885">
        <f>IF(INDEX(tblCleanData[MonthlyIncome],877)&lt;=$B$3,25,IF(INDEX(tblCleanData[MonthlyIncome],877)&lt;=$B$4,12,5))</f>
        <v>5</v>
      </c>
      <c r="K885">
        <f>IF(INDEX(tblCleanData[OverTime],877)="Yes",25,0)</f>
        <v>0</v>
      </c>
      <c r="L885">
        <f>(5-INDEX(tblCleanData[JobSatisfaction],877))*6.25</f>
        <v>6.25</v>
      </c>
      <c r="M885">
        <f>IF(INDEX(tblCleanData[YearsAtCompany],877)&lt;=2,25,IF(INDEX(tblCleanData[YearsAtCompany],877)&lt;=5,15,IF(INDEX(tblCleanData[YearsAtCompany],877)&lt;=10,8,3)))</f>
        <v>25</v>
      </c>
      <c r="N885">
        <f t="shared" si="26"/>
        <v>66</v>
      </c>
      <c r="O885" t="str">
        <f t="shared" si="27"/>
        <v>High Risk</v>
      </c>
    </row>
    <row r="886" spans="1:15" x14ac:dyDescent="0.25">
      <c r="A886">
        <f>INDEX(tblCleanData[EmployeeNumber],878)</f>
        <v>1228</v>
      </c>
      <c r="B886" t="str">
        <f>IF(INDEX(tblCleanData[Age],878)&lt;30,"Under 30",IF(INDEX(tblCleanData[Age],878)&lt;40,"30-39",IF(INDEX(tblCleanData[Age],878)&lt;50,"40-49","50+")))</f>
        <v>40-49</v>
      </c>
      <c r="C886" t="str">
        <f>IF(INDEX(tblCleanData[MonthlyIncome],878)&lt;=$B$3,"Low Income",IF(INDEX(tblCleanData[MonthlyIncome],878)&lt;=$B$4,"Medium Income","High Income"))</f>
        <v>High Income</v>
      </c>
      <c r="D886">
        <f>IF(INDEX(tblCleanData[Attrition],878)="Yes",1,0)</f>
        <v>0</v>
      </c>
      <c r="E886">
        <f>IF(INDEX(tblCleanData[OverTime],878)="Yes",1,0)</f>
        <v>0</v>
      </c>
      <c r="F886" t="str">
        <f>CHOOSE(INDEX(tblCleanData[Education],878),"Below College","College","Bachelor","Master","Doctor")</f>
        <v>Master</v>
      </c>
      <c r="G886" t="str">
        <f>IF(INDEX(tblCleanData[YearsAtCompany],878)&lt;=2,"0-2 Years",IF(INDEX(tblCleanData[YearsAtCompany],878)&lt;=5,"3-5 Years",IF(INDEX(tblCleanData[YearsAtCompany],878)&lt;=10,"6-10 Years","10+ Years")))</f>
        <v>6-10 Years</v>
      </c>
      <c r="H886" t="str">
        <f>IF(INDEX(tblCleanData[WorkLifeBalance],878)&lt;=2,"Elevated","Normal")</f>
        <v>Elevated</v>
      </c>
      <c r="I886">
        <f>IF(INDEX(tblCleanData[Age],878)&lt;30,30,IF(INDEX(tblCleanData[Age],878)&lt;40,20,IF(INDEX(tblCleanData[Age],878)&lt;50,10,15)))</f>
        <v>10</v>
      </c>
      <c r="J886">
        <f>IF(INDEX(tblCleanData[MonthlyIncome],878)&lt;=$B$3,25,IF(INDEX(tblCleanData[MonthlyIncome],878)&lt;=$B$4,12,5))</f>
        <v>5</v>
      </c>
      <c r="K886">
        <f>IF(INDEX(tblCleanData[OverTime],878)="Yes",25,0)</f>
        <v>0</v>
      </c>
      <c r="L886">
        <f>(5-INDEX(tblCleanData[JobSatisfaction],878))*6.25</f>
        <v>6.25</v>
      </c>
      <c r="M886">
        <f>IF(INDEX(tblCleanData[YearsAtCompany],878)&lt;=2,25,IF(INDEX(tblCleanData[YearsAtCompany],878)&lt;=5,15,IF(INDEX(tblCleanData[YearsAtCompany],878)&lt;=10,8,3)))</f>
        <v>8</v>
      </c>
      <c r="N886">
        <f t="shared" si="26"/>
        <v>29</v>
      </c>
      <c r="O886" t="str">
        <f t="shared" si="27"/>
        <v>Low Risk</v>
      </c>
    </row>
    <row r="887" spans="1:15" x14ac:dyDescent="0.25">
      <c r="A887">
        <f>INDEX(tblCleanData[EmployeeNumber],879)</f>
        <v>1231</v>
      </c>
      <c r="B887" t="str">
        <f>IF(INDEX(tblCleanData[Age],879)&lt;30,"Under 30",IF(INDEX(tblCleanData[Age],879)&lt;40,"30-39",IF(INDEX(tblCleanData[Age],879)&lt;50,"40-49","50+")))</f>
        <v>40-49</v>
      </c>
      <c r="C887" t="str">
        <f>IF(INDEX(tblCleanData[MonthlyIncome],879)&lt;=$B$3,"Low Income",IF(INDEX(tblCleanData[MonthlyIncome],879)&lt;=$B$4,"Medium Income","High Income"))</f>
        <v>High Income</v>
      </c>
      <c r="D887">
        <f>IF(INDEX(tblCleanData[Attrition],879)="Yes",1,0)</f>
        <v>0</v>
      </c>
      <c r="E887">
        <f>IF(INDEX(tblCleanData[OverTime],879)="Yes",1,0)</f>
        <v>0</v>
      </c>
      <c r="F887" t="str">
        <f>CHOOSE(INDEX(tblCleanData[Education],879),"Below College","College","Bachelor","Master","Doctor")</f>
        <v>Doctor</v>
      </c>
      <c r="G887" t="str">
        <f>IF(INDEX(tblCleanData[YearsAtCompany],879)&lt;=2,"0-2 Years",IF(INDEX(tblCleanData[YearsAtCompany],879)&lt;=5,"3-5 Years",IF(INDEX(tblCleanData[YearsAtCompany],879)&lt;=10,"6-10 Years","10+ Years")))</f>
        <v>3-5 Years</v>
      </c>
      <c r="H887" t="str">
        <f>IF(INDEX(tblCleanData[WorkLifeBalance],879)&lt;=2,"Elevated","Normal")</f>
        <v>Normal</v>
      </c>
      <c r="I887">
        <f>IF(INDEX(tblCleanData[Age],879)&lt;30,30,IF(INDEX(tblCleanData[Age],879)&lt;40,20,IF(INDEX(tblCleanData[Age],879)&lt;50,10,15)))</f>
        <v>10</v>
      </c>
      <c r="J887">
        <f>IF(INDEX(tblCleanData[MonthlyIncome],879)&lt;=$B$3,25,IF(INDEX(tblCleanData[MonthlyIncome],879)&lt;=$B$4,12,5))</f>
        <v>5</v>
      </c>
      <c r="K887">
        <f>IF(INDEX(tblCleanData[OverTime],879)="Yes",25,0)</f>
        <v>0</v>
      </c>
      <c r="L887">
        <f>(5-INDEX(tblCleanData[JobSatisfaction],879))*6.25</f>
        <v>25</v>
      </c>
      <c r="M887">
        <f>IF(INDEX(tblCleanData[YearsAtCompany],879)&lt;=2,25,IF(INDEX(tblCleanData[YearsAtCompany],879)&lt;=5,15,IF(INDEX(tblCleanData[YearsAtCompany],879)&lt;=10,8,3)))</f>
        <v>15</v>
      </c>
      <c r="N887">
        <f t="shared" si="26"/>
        <v>55</v>
      </c>
      <c r="O887" t="str">
        <f t="shared" si="27"/>
        <v>High Risk</v>
      </c>
    </row>
    <row r="888" spans="1:15" x14ac:dyDescent="0.25">
      <c r="A888">
        <f>INDEX(tblCleanData[EmployeeNumber],880)</f>
        <v>1233</v>
      </c>
      <c r="B888" t="str">
        <f>IF(INDEX(tblCleanData[Age],880)&lt;30,"Under 30",IF(INDEX(tblCleanData[Age],880)&lt;40,"30-39",IF(INDEX(tblCleanData[Age],880)&lt;50,"40-49","50+")))</f>
        <v>50+</v>
      </c>
      <c r="C888" t="str">
        <f>IF(INDEX(tblCleanData[MonthlyIncome],880)&lt;=$B$3,"Low Income",IF(INDEX(tblCleanData[MonthlyIncome],880)&lt;=$B$4,"Medium Income","High Income"))</f>
        <v>High Income</v>
      </c>
      <c r="D888">
        <f>IF(INDEX(tblCleanData[Attrition],880)="Yes",1,0)</f>
        <v>0</v>
      </c>
      <c r="E888">
        <f>IF(INDEX(tblCleanData[OverTime],880)="Yes",1,0)</f>
        <v>1</v>
      </c>
      <c r="F888" t="str">
        <f>CHOOSE(INDEX(tblCleanData[Education],880),"Below College","College","Bachelor","Master","Doctor")</f>
        <v>Master</v>
      </c>
      <c r="G888" t="str">
        <f>IF(INDEX(tblCleanData[YearsAtCompany],880)&lt;=2,"0-2 Years",IF(INDEX(tblCleanData[YearsAtCompany],880)&lt;=5,"3-5 Years",IF(INDEX(tblCleanData[YearsAtCompany],880)&lt;=10,"6-10 Years","10+ Years")))</f>
        <v>10+ Years</v>
      </c>
      <c r="H888" t="str">
        <f>IF(INDEX(tblCleanData[WorkLifeBalance],880)&lt;=2,"Elevated","Normal")</f>
        <v>Normal</v>
      </c>
      <c r="I888">
        <f>IF(INDEX(tblCleanData[Age],880)&lt;30,30,IF(INDEX(tblCleanData[Age],880)&lt;40,20,IF(INDEX(tblCleanData[Age],880)&lt;50,10,15)))</f>
        <v>15</v>
      </c>
      <c r="J888">
        <f>IF(INDEX(tblCleanData[MonthlyIncome],880)&lt;=$B$3,25,IF(INDEX(tblCleanData[MonthlyIncome],880)&lt;=$B$4,12,5))</f>
        <v>5</v>
      </c>
      <c r="K888">
        <f>IF(INDEX(tblCleanData[OverTime],880)="Yes",25,0)</f>
        <v>25</v>
      </c>
      <c r="L888">
        <f>(5-INDEX(tblCleanData[JobSatisfaction],880))*6.25</f>
        <v>6.25</v>
      </c>
      <c r="M888">
        <f>IF(INDEX(tblCleanData[YearsAtCompany],880)&lt;=2,25,IF(INDEX(tblCleanData[YearsAtCompany],880)&lt;=5,15,IF(INDEX(tblCleanData[YearsAtCompany],880)&lt;=10,8,3)))</f>
        <v>3</v>
      </c>
      <c r="N888">
        <f t="shared" si="26"/>
        <v>54</v>
      </c>
      <c r="O888" t="str">
        <f t="shared" si="27"/>
        <v>Medium Risk</v>
      </c>
    </row>
    <row r="889" spans="1:15" x14ac:dyDescent="0.25">
      <c r="A889">
        <f>INDEX(tblCleanData[EmployeeNumber],881)</f>
        <v>1234</v>
      </c>
      <c r="B889" t="str">
        <f>IF(INDEX(tblCleanData[Age],881)&lt;30,"Under 30",IF(INDEX(tblCleanData[Age],881)&lt;40,"30-39",IF(INDEX(tblCleanData[Age],881)&lt;50,"40-49","50+")))</f>
        <v>30-39</v>
      </c>
      <c r="C889" t="str">
        <f>IF(INDEX(tblCleanData[MonthlyIncome],881)&lt;=$B$3,"Low Income",IF(INDEX(tblCleanData[MonthlyIncome],881)&lt;=$B$4,"Medium Income","High Income"))</f>
        <v>High Income</v>
      </c>
      <c r="D889">
        <f>IF(INDEX(tblCleanData[Attrition],881)="Yes",1,0)</f>
        <v>0</v>
      </c>
      <c r="E889">
        <f>IF(INDEX(tblCleanData[OverTime],881)="Yes",1,0)</f>
        <v>0</v>
      </c>
      <c r="F889" t="str">
        <f>CHOOSE(INDEX(tblCleanData[Education],881),"Below College","College","Bachelor","Master","Doctor")</f>
        <v>Bachelor</v>
      </c>
      <c r="G889" t="str">
        <f>IF(INDEX(tblCleanData[YearsAtCompany],881)&lt;=2,"0-2 Years",IF(INDEX(tblCleanData[YearsAtCompany],881)&lt;=5,"3-5 Years",IF(INDEX(tblCleanData[YearsAtCompany],881)&lt;=10,"6-10 Years","10+ Years")))</f>
        <v>0-2 Years</v>
      </c>
      <c r="H889" t="str">
        <f>IF(INDEX(tblCleanData[WorkLifeBalance],881)&lt;=2,"Elevated","Normal")</f>
        <v>Normal</v>
      </c>
      <c r="I889">
        <f>IF(INDEX(tblCleanData[Age],881)&lt;30,30,IF(INDEX(tblCleanData[Age],881)&lt;40,20,IF(INDEX(tblCleanData[Age],881)&lt;50,10,15)))</f>
        <v>20</v>
      </c>
      <c r="J889">
        <f>IF(INDEX(tblCleanData[MonthlyIncome],881)&lt;=$B$3,25,IF(INDEX(tblCleanData[MonthlyIncome],881)&lt;=$B$4,12,5))</f>
        <v>5</v>
      </c>
      <c r="K889">
        <f>IF(INDEX(tblCleanData[OverTime],881)="Yes",25,0)</f>
        <v>0</v>
      </c>
      <c r="L889">
        <f>(5-INDEX(tblCleanData[JobSatisfaction],881))*6.25</f>
        <v>18.75</v>
      </c>
      <c r="M889">
        <f>IF(INDEX(tblCleanData[YearsAtCompany],881)&lt;=2,25,IF(INDEX(tblCleanData[YearsAtCompany],881)&lt;=5,15,IF(INDEX(tblCleanData[YearsAtCompany],881)&lt;=10,8,3)))</f>
        <v>25</v>
      </c>
      <c r="N889">
        <f t="shared" si="26"/>
        <v>69</v>
      </c>
      <c r="O889" t="str">
        <f t="shared" si="27"/>
        <v>High Risk</v>
      </c>
    </row>
    <row r="890" spans="1:15" x14ac:dyDescent="0.25">
      <c r="A890">
        <f>INDEX(tblCleanData[EmployeeNumber],882)</f>
        <v>1235</v>
      </c>
      <c r="B890" t="str">
        <f>IF(INDEX(tblCleanData[Age],882)&lt;30,"Under 30",IF(INDEX(tblCleanData[Age],882)&lt;40,"30-39",IF(INDEX(tblCleanData[Age],882)&lt;50,"40-49","50+")))</f>
        <v>30-39</v>
      </c>
      <c r="C890" t="str">
        <f>IF(INDEX(tblCleanData[MonthlyIncome],882)&lt;=$B$3,"Low Income",IF(INDEX(tblCleanData[MonthlyIncome],882)&lt;=$B$4,"Medium Income","High Income"))</f>
        <v>High Income</v>
      </c>
      <c r="D890">
        <f>IF(INDEX(tblCleanData[Attrition],882)="Yes",1,0)</f>
        <v>0</v>
      </c>
      <c r="E890">
        <f>IF(INDEX(tblCleanData[OverTime],882)="Yes",1,0)</f>
        <v>1</v>
      </c>
      <c r="F890" t="str">
        <f>CHOOSE(INDEX(tblCleanData[Education],882),"Below College","College","Bachelor","Master","Doctor")</f>
        <v>College</v>
      </c>
      <c r="G890" t="str">
        <f>IF(INDEX(tblCleanData[YearsAtCompany],882)&lt;=2,"0-2 Years",IF(INDEX(tblCleanData[YearsAtCompany],882)&lt;=5,"3-5 Years",IF(INDEX(tblCleanData[YearsAtCompany],882)&lt;=10,"6-10 Years","10+ Years")))</f>
        <v>6-10 Years</v>
      </c>
      <c r="H890" t="str">
        <f>IF(INDEX(tblCleanData[WorkLifeBalance],882)&lt;=2,"Elevated","Normal")</f>
        <v>Normal</v>
      </c>
      <c r="I890">
        <f>IF(INDEX(tblCleanData[Age],882)&lt;30,30,IF(INDEX(tblCleanData[Age],882)&lt;40,20,IF(INDEX(tblCleanData[Age],882)&lt;50,10,15)))</f>
        <v>20</v>
      </c>
      <c r="J890">
        <f>IF(INDEX(tblCleanData[MonthlyIncome],882)&lt;=$B$3,25,IF(INDEX(tblCleanData[MonthlyIncome],882)&lt;=$B$4,12,5))</f>
        <v>5</v>
      </c>
      <c r="K890">
        <f>IF(INDEX(tblCleanData[OverTime],882)="Yes",25,0)</f>
        <v>25</v>
      </c>
      <c r="L890">
        <f>(5-INDEX(tblCleanData[JobSatisfaction],882))*6.25</f>
        <v>12.5</v>
      </c>
      <c r="M890">
        <f>IF(INDEX(tblCleanData[YearsAtCompany],882)&lt;=2,25,IF(INDEX(tblCleanData[YearsAtCompany],882)&lt;=5,15,IF(INDEX(tblCleanData[YearsAtCompany],882)&lt;=10,8,3)))</f>
        <v>8</v>
      </c>
      <c r="N890">
        <f t="shared" si="26"/>
        <v>71</v>
      </c>
      <c r="O890" t="str">
        <f t="shared" si="27"/>
        <v>High Risk</v>
      </c>
    </row>
    <row r="891" spans="1:15" x14ac:dyDescent="0.25">
      <c r="A891">
        <f>INDEX(tblCleanData[EmployeeNumber],883)</f>
        <v>1237</v>
      </c>
      <c r="B891" t="str">
        <f>IF(INDEX(tblCleanData[Age],883)&lt;30,"Under 30",IF(INDEX(tblCleanData[Age],883)&lt;40,"30-39",IF(INDEX(tblCleanData[Age],883)&lt;50,"40-49","50+")))</f>
        <v>30-39</v>
      </c>
      <c r="C891" t="str">
        <f>IF(INDEX(tblCleanData[MonthlyIncome],883)&lt;=$B$3,"Low Income",IF(INDEX(tblCleanData[MonthlyIncome],883)&lt;=$B$4,"Medium Income","High Income"))</f>
        <v>High Income</v>
      </c>
      <c r="D891">
        <f>IF(INDEX(tblCleanData[Attrition],883)="Yes",1,0)</f>
        <v>0</v>
      </c>
      <c r="E891">
        <f>IF(INDEX(tblCleanData[OverTime],883)="Yes",1,0)</f>
        <v>1</v>
      </c>
      <c r="F891" t="str">
        <f>CHOOSE(INDEX(tblCleanData[Education],883),"Below College","College","Bachelor","Master","Doctor")</f>
        <v>Bachelor</v>
      </c>
      <c r="G891" t="str">
        <f>IF(INDEX(tblCleanData[YearsAtCompany],883)&lt;=2,"0-2 Years",IF(INDEX(tblCleanData[YearsAtCompany],883)&lt;=5,"3-5 Years",IF(INDEX(tblCleanData[YearsAtCompany],883)&lt;=10,"6-10 Years","10+ Years")))</f>
        <v>6-10 Years</v>
      </c>
      <c r="H891" t="str">
        <f>IF(INDEX(tblCleanData[WorkLifeBalance],883)&lt;=2,"Elevated","Normal")</f>
        <v>Normal</v>
      </c>
      <c r="I891">
        <f>IF(INDEX(tblCleanData[Age],883)&lt;30,30,IF(INDEX(tblCleanData[Age],883)&lt;40,20,IF(INDEX(tblCleanData[Age],883)&lt;50,10,15)))</f>
        <v>20</v>
      </c>
      <c r="J891">
        <f>IF(INDEX(tblCleanData[MonthlyIncome],883)&lt;=$B$3,25,IF(INDEX(tblCleanData[MonthlyIncome],883)&lt;=$B$4,12,5))</f>
        <v>5</v>
      </c>
      <c r="K891">
        <f>IF(INDEX(tblCleanData[OverTime],883)="Yes",25,0)</f>
        <v>25</v>
      </c>
      <c r="L891">
        <f>(5-INDEX(tblCleanData[JobSatisfaction],883))*6.25</f>
        <v>25</v>
      </c>
      <c r="M891">
        <f>IF(INDEX(tblCleanData[YearsAtCompany],883)&lt;=2,25,IF(INDEX(tblCleanData[YearsAtCompany],883)&lt;=5,15,IF(INDEX(tblCleanData[YearsAtCompany],883)&lt;=10,8,3)))</f>
        <v>8</v>
      </c>
      <c r="N891">
        <f t="shared" si="26"/>
        <v>83</v>
      </c>
      <c r="O891" t="str">
        <f t="shared" si="27"/>
        <v>High Risk</v>
      </c>
    </row>
    <row r="892" spans="1:15" x14ac:dyDescent="0.25">
      <c r="A892">
        <f>INDEX(tblCleanData[EmployeeNumber],884)</f>
        <v>1238</v>
      </c>
      <c r="B892" t="str">
        <f>IF(INDEX(tblCleanData[Age],884)&lt;30,"Under 30",IF(INDEX(tblCleanData[Age],884)&lt;40,"30-39",IF(INDEX(tblCleanData[Age],884)&lt;50,"40-49","50+")))</f>
        <v>30-39</v>
      </c>
      <c r="C892" t="str">
        <f>IF(INDEX(tblCleanData[MonthlyIncome],884)&lt;=$B$3,"Low Income",IF(INDEX(tblCleanData[MonthlyIncome],884)&lt;=$B$4,"Medium Income","High Income"))</f>
        <v>High Income</v>
      </c>
      <c r="D892">
        <f>IF(INDEX(tblCleanData[Attrition],884)="Yes",1,0)</f>
        <v>0</v>
      </c>
      <c r="E892">
        <f>IF(INDEX(tblCleanData[OverTime],884)="Yes",1,0)</f>
        <v>0</v>
      </c>
      <c r="F892" t="str">
        <f>CHOOSE(INDEX(tblCleanData[Education],884),"Below College","College","Bachelor","Master","Doctor")</f>
        <v>Bachelor</v>
      </c>
      <c r="G892" t="str">
        <f>IF(INDEX(tblCleanData[YearsAtCompany],884)&lt;=2,"0-2 Years",IF(INDEX(tblCleanData[YearsAtCompany],884)&lt;=5,"3-5 Years",IF(INDEX(tblCleanData[YearsAtCompany],884)&lt;=10,"6-10 Years","10+ Years")))</f>
        <v>10+ Years</v>
      </c>
      <c r="H892" t="str">
        <f>IF(INDEX(tblCleanData[WorkLifeBalance],884)&lt;=2,"Elevated","Normal")</f>
        <v>Normal</v>
      </c>
      <c r="I892">
        <f>IF(INDEX(tblCleanData[Age],884)&lt;30,30,IF(INDEX(tblCleanData[Age],884)&lt;40,20,IF(INDEX(tblCleanData[Age],884)&lt;50,10,15)))</f>
        <v>20</v>
      </c>
      <c r="J892">
        <f>IF(INDEX(tblCleanData[MonthlyIncome],884)&lt;=$B$3,25,IF(INDEX(tblCleanData[MonthlyIncome],884)&lt;=$B$4,12,5))</f>
        <v>5</v>
      </c>
      <c r="K892">
        <f>IF(INDEX(tblCleanData[OverTime],884)="Yes",25,0)</f>
        <v>0</v>
      </c>
      <c r="L892">
        <f>(5-INDEX(tblCleanData[JobSatisfaction],884))*6.25</f>
        <v>6.25</v>
      </c>
      <c r="M892">
        <f>IF(INDEX(tblCleanData[YearsAtCompany],884)&lt;=2,25,IF(INDEX(tblCleanData[YearsAtCompany],884)&lt;=5,15,IF(INDEX(tblCleanData[YearsAtCompany],884)&lt;=10,8,3)))</f>
        <v>3</v>
      </c>
      <c r="N892">
        <f t="shared" si="26"/>
        <v>34</v>
      </c>
      <c r="O892" t="str">
        <f t="shared" si="27"/>
        <v>Low Risk</v>
      </c>
    </row>
    <row r="893" spans="1:15" x14ac:dyDescent="0.25">
      <c r="A893">
        <f>INDEX(tblCleanData[EmployeeNumber],885)</f>
        <v>1239</v>
      </c>
      <c r="B893" t="str">
        <f>IF(INDEX(tblCleanData[Age],885)&lt;30,"Under 30",IF(INDEX(tblCleanData[Age],885)&lt;40,"30-39",IF(INDEX(tblCleanData[Age],885)&lt;50,"40-49","50+")))</f>
        <v>40-49</v>
      </c>
      <c r="C893" t="str">
        <f>IF(INDEX(tblCleanData[MonthlyIncome],885)&lt;=$B$3,"Low Income",IF(INDEX(tblCleanData[MonthlyIncome],885)&lt;=$B$4,"Medium Income","High Income"))</f>
        <v>High Income</v>
      </c>
      <c r="D893">
        <f>IF(INDEX(tblCleanData[Attrition],885)="Yes",1,0)</f>
        <v>0</v>
      </c>
      <c r="E893">
        <f>IF(INDEX(tblCleanData[OverTime],885)="Yes",1,0)</f>
        <v>0</v>
      </c>
      <c r="F893" t="str">
        <f>CHOOSE(INDEX(tblCleanData[Education],885),"Below College","College","Bachelor","Master","Doctor")</f>
        <v>Bachelor</v>
      </c>
      <c r="G893" t="str">
        <f>IF(INDEX(tblCleanData[YearsAtCompany],885)&lt;=2,"0-2 Years",IF(INDEX(tblCleanData[YearsAtCompany],885)&lt;=5,"3-5 Years",IF(INDEX(tblCleanData[YearsAtCompany],885)&lt;=10,"6-10 Years","10+ Years")))</f>
        <v>3-5 Years</v>
      </c>
      <c r="H893" t="str">
        <f>IF(INDEX(tblCleanData[WorkLifeBalance],885)&lt;=2,"Elevated","Normal")</f>
        <v>Normal</v>
      </c>
      <c r="I893">
        <f>IF(INDEX(tblCleanData[Age],885)&lt;30,30,IF(INDEX(tblCleanData[Age],885)&lt;40,20,IF(INDEX(tblCleanData[Age],885)&lt;50,10,15)))</f>
        <v>10</v>
      </c>
      <c r="J893">
        <f>IF(INDEX(tblCleanData[MonthlyIncome],885)&lt;=$B$3,25,IF(INDEX(tblCleanData[MonthlyIncome],885)&lt;=$B$4,12,5))</f>
        <v>5</v>
      </c>
      <c r="K893">
        <f>IF(INDEX(tblCleanData[OverTime],885)="Yes",25,0)</f>
        <v>0</v>
      </c>
      <c r="L893">
        <f>(5-INDEX(tblCleanData[JobSatisfaction],885))*6.25</f>
        <v>18.75</v>
      </c>
      <c r="M893">
        <f>IF(INDEX(tblCleanData[YearsAtCompany],885)&lt;=2,25,IF(INDEX(tblCleanData[YearsAtCompany],885)&lt;=5,15,IF(INDEX(tblCleanData[YearsAtCompany],885)&lt;=10,8,3)))</f>
        <v>15</v>
      </c>
      <c r="N893">
        <f t="shared" si="26"/>
        <v>49</v>
      </c>
      <c r="O893" t="str">
        <f t="shared" si="27"/>
        <v>Medium Risk</v>
      </c>
    </row>
    <row r="894" spans="1:15" x14ac:dyDescent="0.25">
      <c r="A894">
        <f>INDEX(tblCleanData[EmployeeNumber],886)</f>
        <v>1240</v>
      </c>
      <c r="B894" t="str">
        <f>IF(INDEX(tblCleanData[Age],886)&lt;30,"Under 30",IF(INDEX(tblCleanData[Age],886)&lt;40,"30-39",IF(INDEX(tblCleanData[Age],886)&lt;50,"40-49","50+")))</f>
        <v>Under 30</v>
      </c>
      <c r="C894" t="str">
        <f>IF(INDEX(tblCleanData[MonthlyIncome],886)&lt;=$B$3,"Low Income",IF(INDEX(tblCleanData[MonthlyIncome],886)&lt;=$B$4,"Medium Income","High Income"))</f>
        <v>High Income</v>
      </c>
      <c r="D894">
        <f>IF(INDEX(tblCleanData[Attrition],886)="Yes",1,0)</f>
        <v>0</v>
      </c>
      <c r="E894">
        <f>IF(INDEX(tblCleanData[OverTime],886)="Yes",1,0)</f>
        <v>0</v>
      </c>
      <c r="F894" t="str">
        <f>CHOOSE(INDEX(tblCleanData[Education],886),"Below College","College","Bachelor","Master","Doctor")</f>
        <v>Master</v>
      </c>
      <c r="G894" t="str">
        <f>IF(INDEX(tblCleanData[YearsAtCompany],886)&lt;=2,"0-2 Years",IF(INDEX(tblCleanData[YearsAtCompany],886)&lt;=5,"3-5 Years",IF(INDEX(tblCleanData[YearsAtCompany],886)&lt;=10,"6-10 Years","10+ Years")))</f>
        <v>3-5 Years</v>
      </c>
      <c r="H894" t="str">
        <f>IF(INDEX(tblCleanData[WorkLifeBalance],886)&lt;=2,"Elevated","Normal")</f>
        <v>Normal</v>
      </c>
      <c r="I894">
        <f>IF(INDEX(tblCleanData[Age],886)&lt;30,30,IF(INDEX(tblCleanData[Age],886)&lt;40,20,IF(INDEX(tblCleanData[Age],886)&lt;50,10,15)))</f>
        <v>30</v>
      </c>
      <c r="J894">
        <f>IF(INDEX(tblCleanData[MonthlyIncome],886)&lt;=$B$3,25,IF(INDEX(tblCleanData[MonthlyIncome],886)&lt;=$B$4,12,5))</f>
        <v>5</v>
      </c>
      <c r="K894">
        <f>IF(INDEX(tblCleanData[OverTime],886)="Yes",25,0)</f>
        <v>0</v>
      </c>
      <c r="L894">
        <f>(5-INDEX(tblCleanData[JobSatisfaction],886))*6.25</f>
        <v>6.25</v>
      </c>
      <c r="M894">
        <f>IF(INDEX(tblCleanData[YearsAtCompany],886)&lt;=2,25,IF(INDEX(tblCleanData[YearsAtCompany],886)&lt;=5,15,IF(INDEX(tblCleanData[YearsAtCompany],886)&lt;=10,8,3)))</f>
        <v>15</v>
      </c>
      <c r="N894">
        <f t="shared" si="26"/>
        <v>56</v>
      </c>
      <c r="O894" t="str">
        <f t="shared" si="27"/>
        <v>High Risk</v>
      </c>
    </row>
    <row r="895" spans="1:15" x14ac:dyDescent="0.25">
      <c r="A895">
        <f>INDEX(tblCleanData[EmployeeNumber],887)</f>
        <v>1241</v>
      </c>
      <c r="B895" t="str">
        <f>IF(INDEX(tblCleanData[Age],887)&lt;30,"Under 30",IF(INDEX(tblCleanData[Age],887)&lt;40,"30-39",IF(INDEX(tblCleanData[Age],887)&lt;50,"40-49","50+")))</f>
        <v>30-39</v>
      </c>
      <c r="C895" t="str">
        <f>IF(INDEX(tblCleanData[MonthlyIncome],887)&lt;=$B$3,"Low Income",IF(INDEX(tblCleanData[MonthlyIncome],887)&lt;=$B$4,"Medium Income","High Income"))</f>
        <v>High Income</v>
      </c>
      <c r="D895">
        <f>IF(INDEX(tblCleanData[Attrition],887)="Yes",1,0)</f>
        <v>0</v>
      </c>
      <c r="E895">
        <f>IF(INDEX(tblCleanData[OverTime],887)="Yes",1,0)</f>
        <v>1</v>
      </c>
      <c r="F895" t="str">
        <f>CHOOSE(INDEX(tblCleanData[Education],887),"Below College","College","Bachelor","Master","Doctor")</f>
        <v>Bachelor</v>
      </c>
      <c r="G895" t="str">
        <f>IF(INDEX(tblCleanData[YearsAtCompany],887)&lt;=2,"0-2 Years",IF(INDEX(tblCleanData[YearsAtCompany],887)&lt;=5,"3-5 Years",IF(INDEX(tblCleanData[YearsAtCompany],887)&lt;=10,"6-10 Years","10+ Years")))</f>
        <v>10+ Years</v>
      </c>
      <c r="H895" t="str">
        <f>IF(INDEX(tblCleanData[WorkLifeBalance],887)&lt;=2,"Elevated","Normal")</f>
        <v>Normal</v>
      </c>
      <c r="I895">
        <f>IF(INDEX(tblCleanData[Age],887)&lt;30,30,IF(INDEX(tblCleanData[Age],887)&lt;40,20,IF(INDEX(tblCleanData[Age],887)&lt;50,10,15)))</f>
        <v>20</v>
      </c>
      <c r="J895">
        <f>IF(INDEX(tblCleanData[MonthlyIncome],887)&lt;=$B$3,25,IF(INDEX(tblCleanData[MonthlyIncome],887)&lt;=$B$4,12,5))</f>
        <v>5</v>
      </c>
      <c r="K895">
        <f>IF(INDEX(tblCleanData[OverTime],887)="Yes",25,0)</f>
        <v>25</v>
      </c>
      <c r="L895">
        <f>(5-INDEX(tblCleanData[JobSatisfaction],887))*6.25</f>
        <v>18.75</v>
      </c>
      <c r="M895">
        <f>IF(INDEX(tblCleanData[YearsAtCompany],887)&lt;=2,25,IF(INDEX(tblCleanData[YearsAtCompany],887)&lt;=5,15,IF(INDEX(tblCleanData[YearsAtCompany],887)&lt;=10,8,3)))</f>
        <v>3</v>
      </c>
      <c r="N895">
        <f t="shared" si="26"/>
        <v>72</v>
      </c>
      <c r="O895" t="str">
        <f t="shared" si="27"/>
        <v>High Risk</v>
      </c>
    </row>
    <row r="896" spans="1:15" x14ac:dyDescent="0.25">
      <c r="A896">
        <f>INDEX(tblCleanData[EmployeeNumber],888)</f>
        <v>1242</v>
      </c>
      <c r="B896" t="str">
        <f>IF(INDEX(tblCleanData[Age],888)&lt;30,"Under 30",IF(INDEX(tblCleanData[Age],888)&lt;40,"30-39",IF(INDEX(tblCleanData[Age],888)&lt;50,"40-49","50+")))</f>
        <v>40-49</v>
      </c>
      <c r="C896" t="str">
        <f>IF(INDEX(tblCleanData[MonthlyIncome],888)&lt;=$B$3,"Low Income",IF(INDEX(tblCleanData[MonthlyIncome],888)&lt;=$B$4,"Medium Income","High Income"))</f>
        <v>High Income</v>
      </c>
      <c r="D896">
        <f>IF(INDEX(tblCleanData[Attrition],888)="Yes",1,0)</f>
        <v>0</v>
      </c>
      <c r="E896">
        <f>IF(INDEX(tblCleanData[OverTime],888)="Yes",1,0)</f>
        <v>1</v>
      </c>
      <c r="F896" t="str">
        <f>CHOOSE(INDEX(tblCleanData[Education],888),"Below College","College","Bachelor","Master","Doctor")</f>
        <v>Doctor</v>
      </c>
      <c r="G896" t="str">
        <f>IF(INDEX(tblCleanData[YearsAtCompany],888)&lt;=2,"0-2 Years",IF(INDEX(tblCleanData[YearsAtCompany],888)&lt;=5,"3-5 Years",IF(INDEX(tblCleanData[YearsAtCompany],888)&lt;=10,"6-10 Years","10+ Years")))</f>
        <v>0-2 Years</v>
      </c>
      <c r="H896" t="str">
        <f>IF(INDEX(tblCleanData[WorkLifeBalance],888)&lt;=2,"Elevated","Normal")</f>
        <v>Normal</v>
      </c>
      <c r="I896">
        <f>IF(INDEX(tblCleanData[Age],888)&lt;30,30,IF(INDEX(tblCleanData[Age],888)&lt;40,20,IF(INDEX(tblCleanData[Age],888)&lt;50,10,15)))</f>
        <v>10</v>
      </c>
      <c r="J896">
        <f>IF(INDEX(tblCleanData[MonthlyIncome],888)&lt;=$B$3,25,IF(INDEX(tblCleanData[MonthlyIncome],888)&lt;=$B$4,12,5))</f>
        <v>5</v>
      </c>
      <c r="K896">
        <f>IF(INDEX(tblCleanData[OverTime],888)="Yes",25,0)</f>
        <v>25</v>
      </c>
      <c r="L896">
        <f>(5-INDEX(tblCleanData[JobSatisfaction],888))*6.25</f>
        <v>25</v>
      </c>
      <c r="M896">
        <f>IF(INDEX(tblCleanData[YearsAtCompany],888)&lt;=2,25,IF(INDEX(tblCleanData[YearsAtCompany],888)&lt;=5,15,IF(INDEX(tblCleanData[YearsAtCompany],888)&lt;=10,8,3)))</f>
        <v>25</v>
      </c>
      <c r="N896">
        <f t="shared" si="26"/>
        <v>90</v>
      </c>
      <c r="O896" t="str">
        <f t="shared" si="27"/>
        <v>High Risk</v>
      </c>
    </row>
    <row r="897" spans="1:15" x14ac:dyDescent="0.25">
      <c r="A897">
        <f>INDEX(tblCleanData[EmployeeNumber],889)</f>
        <v>1243</v>
      </c>
      <c r="B897" t="str">
        <f>IF(INDEX(tblCleanData[Age],889)&lt;30,"Under 30",IF(INDEX(tblCleanData[Age],889)&lt;40,"30-39",IF(INDEX(tblCleanData[Age],889)&lt;50,"40-49","50+")))</f>
        <v>30-39</v>
      </c>
      <c r="C897" t="str">
        <f>IF(INDEX(tblCleanData[MonthlyIncome],889)&lt;=$B$3,"Low Income",IF(INDEX(tblCleanData[MonthlyIncome],889)&lt;=$B$4,"Medium Income","High Income"))</f>
        <v>High Income</v>
      </c>
      <c r="D897">
        <f>IF(INDEX(tblCleanData[Attrition],889)="Yes",1,0)</f>
        <v>0</v>
      </c>
      <c r="E897">
        <f>IF(INDEX(tblCleanData[OverTime],889)="Yes",1,0)</f>
        <v>1</v>
      </c>
      <c r="F897" t="str">
        <f>CHOOSE(INDEX(tblCleanData[Education],889),"Below College","College","Bachelor","Master","Doctor")</f>
        <v>College</v>
      </c>
      <c r="G897" t="str">
        <f>IF(INDEX(tblCleanData[YearsAtCompany],889)&lt;=2,"0-2 Years",IF(INDEX(tblCleanData[YearsAtCompany],889)&lt;=5,"3-5 Years",IF(INDEX(tblCleanData[YearsAtCompany],889)&lt;=10,"6-10 Years","10+ Years")))</f>
        <v>10+ Years</v>
      </c>
      <c r="H897" t="str">
        <f>IF(INDEX(tblCleanData[WorkLifeBalance],889)&lt;=2,"Elevated","Normal")</f>
        <v>Elevated</v>
      </c>
      <c r="I897">
        <f>IF(INDEX(tblCleanData[Age],889)&lt;30,30,IF(INDEX(tblCleanData[Age],889)&lt;40,20,IF(INDEX(tblCleanData[Age],889)&lt;50,10,15)))</f>
        <v>20</v>
      </c>
      <c r="J897">
        <f>IF(INDEX(tblCleanData[MonthlyIncome],889)&lt;=$B$3,25,IF(INDEX(tblCleanData[MonthlyIncome],889)&lt;=$B$4,12,5))</f>
        <v>5</v>
      </c>
      <c r="K897">
        <f>IF(INDEX(tblCleanData[OverTime],889)="Yes",25,0)</f>
        <v>25</v>
      </c>
      <c r="L897">
        <f>(5-INDEX(tblCleanData[JobSatisfaction],889))*6.25</f>
        <v>6.25</v>
      </c>
      <c r="M897">
        <f>IF(INDEX(tblCleanData[YearsAtCompany],889)&lt;=2,25,IF(INDEX(tblCleanData[YearsAtCompany],889)&lt;=5,15,IF(INDEX(tblCleanData[YearsAtCompany],889)&lt;=10,8,3)))</f>
        <v>3</v>
      </c>
      <c r="N897">
        <f t="shared" si="26"/>
        <v>59</v>
      </c>
      <c r="O897" t="str">
        <f t="shared" si="27"/>
        <v>High Risk</v>
      </c>
    </row>
    <row r="898" spans="1:15" x14ac:dyDescent="0.25">
      <c r="A898">
        <f>INDEX(tblCleanData[EmployeeNumber],890)</f>
        <v>1244</v>
      </c>
      <c r="B898" t="str">
        <f>IF(INDEX(tblCleanData[Age],890)&lt;30,"Under 30",IF(INDEX(tblCleanData[Age],890)&lt;40,"30-39",IF(INDEX(tblCleanData[Age],890)&lt;50,"40-49","50+")))</f>
        <v>Under 30</v>
      </c>
      <c r="C898" t="str">
        <f>IF(INDEX(tblCleanData[MonthlyIncome],890)&lt;=$B$3,"Low Income",IF(INDEX(tblCleanData[MonthlyIncome],890)&lt;=$B$4,"Medium Income","High Income"))</f>
        <v>High Income</v>
      </c>
      <c r="D898">
        <f>IF(INDEX(tblCleanData[Attrition],890)="Yes",1,0)</f>
        <v>0</v>
      </c>
      <c r="E898">
        <f>IF(INDEX(tblCleanData[OverTime],890)="Yes",1,0)</f>
        <v>1</v>
      </c>
      <c r="F898" t="str">
        <f>CHOOSE(INDEX(tblCleanData[Education],890),"Below College","College","Bachelor","Master","Doctor")</f>
        <v>Bachelor</v>
      </c>
      <c r="G898" t="str">
        <f>IF(INDEX(tblCleanData[YearsAtCompany],890)&lt;=2,"0-2 Years",IF(INDEX(tblCleanData[YearsAtCompany],890)&lt;=5,"3-5 Years",IF(INDEX(tblCleanData[YearsAtCompany],890)&lt;=10,"6-10 Years","10+ Years")))</f>
        <v>6-10 Years</v>
      </c>
      <c r="H898" t="str">
        <f>IF(INDEX(tblCleanData[WorkLifeBalance],890)&lt;=2,"Elevated","Normal")</f>
        <v>Elevated</v>
      </c>
      <c r="I898">
        <f>IF(INDEX(tblCleanData[Age],890)&lt;30,30,IF(INDEX(tblCleanData[Age],890)&lt;40,20,IF(INDEX(tblCleanData[Age],890)&lt;50,10,15)))</f>
        <v>30</v>
      </c>
      <c r="J898">
        <f>IF(INDEX(tblCleanData[MonthlyIncome],890)&lt;=$B$3,25,IF(INDEX(tblCleanData[MonthlyIncome],890)&lt;=$B$4,12,5))</f>
        <v>5</v>
      </c>
      <c r="K898">
        <f>IF(INDEX(tblCleanData[OverTime],890)="Yes",25,0)</f>
        <v>25</v>
      </c>
      <c r="L898">
        <f>(5-INDEX(tblCleanData[JobSatisfaction],890))*6.25</f>
        <v>25</v>
      </c>
      <c r="M898">
        <f>IF(INDEX(tblCleanData[YearsAtCompany],890)&lt;=2,25,IF(INDEX(tblCleanData[YearsAtCompany],890)&lt;=5,15,IF(INDEX(tblCleanData[YearsAtCompany],890)&lt;=10,8,3)))</f>
        <v>8</v>
      </c>
      <c r="N898">
        <f t="shared" si="26"/>
        <v>93</v>
      </c>
      <c r="O898" t="str">
        <f t="shared" si="27"/>
        <v>High Risk</v>
      </c>
    </row>
    <row r="899" spans="1:15" x14ac:dyDescent="0.25">
      <c r="A899">
        <f>INDEX(tblCleanData[EmployeeNumber],891)</f>
        <v>1245</v>
      </c>
      <c r="B899" t="str">
        <f>IF(INDEX(tblCleanData[Age],891)&lt;30,"Under 30",IF(INDEX(tblCleanData[Age],891)&lt;40,"30-39",IF(INDEX(tblCleanData[Age],891)&lt;50,"40-49","50+")))</f>
        <v>50+</v>
      </c>
      <c r="C899" t="str">
        <f>IF(INDEX(tblCleanData[MonthlyIncome],891)&lt;=$B$3,"Low Income",IF(INDEX(tblCleanData[MonthlyIncome],891)&lt;=$B$4,"Medium Income","High Income"))</f>
        <v>High Income</v>
      </c>
      <c r="D899">
        <f>IF(INDEX(tblCleanData[Attrition],891)="Yes",1,0)</f>
        <v>0</v>
      </c>
      <c r="E899">
        <f>IF(INDEX(tblCleanData[OverTime],891)="Yes",1,0)</f>
        <v>0</v>
      </c>
      <c r="F899" t="str">
        <f>CHOOSE(INDEX(tblCleanData[Education],891),"Below College","College","Bachelor","Master","Doctor")</f>
        <v>Master</v>
      </c>
      <c r="G899" t="str">
        <f>IF(INDEX(tblCleanData[YearsAtCompany],891)&lt;=2,"0-2 Years",IF(INDEX(tblCleanData[YearsAtCompany],891)&lt;=5,"3-5 Years",IF(INDEX(tblCleanData[YearsAtCompany],891)&lt;=10,"6-10 Years","10+ Years")))</f>
        <v>3-5 Years</v>
      </c>
      <c r="H899" t="str">
        <f>IF(INDEX(tblCleanData[WorkLifeBalance],891)&lt;=2,"Elevated","Normal")</f>
        <v>Elevated</v>
      </c>
      <c r="I899">
        <f>IF(INDEX(tblCleanData[Age],891)&lt;30,30,IF(INDEX(tblCleanData[Age],891)&lt;40,20,IF(INDEX(tblCleanData[Age],891)&lt;50,10,15)))</f>
        <v>15</v>
      </c>
      <c r="J899">
        <f>IF(INDEX(tblCleanData[MonthlyIncome],891)&lt;=$B$3,25,IF(INDEX(tblCleanData[MonthlyIncome],891)&lt;=$B$4,12,5))</f>
        <v>5</v>
      </c>
      <c r="K899">
        <f>IF(INDEX(tblCleanData[OverTime],891)="Yes",25,0)</f>
        <v>0</v>
      </c>
      <c r="L899">
        <f>(5-INDEX(tblCleanData[JobSatisfaction],891))*6.25</f>
        <v>12.5</v>
      </c>
      <c r="M899">
        <f>IF(INDEX(tblCleanData[YearsAtCompany],891)&lt;=2,25,IF(INDEX(tblCleanData[YearsAtCompany],891)&lt;=5,15,IF(INDEX(tblCleanData[YearsAtCompany],891)&lt;=10,8,3)))</f>
        <v>15</v>
      </c>
      <c r="N899">
        <f t="shared" si="26"/>
        <v>48</v>
      </c>
      <c r="O899" t="str">
        <f t="shared" si="27"/>
        <v>Medium Risk</v>
      </c>
    </row>
    <row r="900" spans="1:15" x14ac:dyDescent="0.25">
      <c r="A900">
        <f>INDEX(tblCleanData[EmployeeNumber],892)</f>
        <v>1246</v>
      </c>
      <c r="B900" t="str">
        <f>IF(INDEX(tblCleanData[Age],892)&lt;30,"Under 30",IF(INDEX(tblCleanData[Age],892)&lt;40,"30-39",IF(INDEX(tblCleanData[Age],892)&lt;50,"40-49","50+")))</f>
        <v>40-49</v>
      </c>
      <c r="C900" t="str">
        <f>IF(INDEX(tblCleanData[MonthlyIncome],892)&lt;=$B$3,"Low Income",IF(INDEX(tblCleanData[MonthlyIncome],892)&lt;=$B$4,"Medium Income","High Income"))</f>
        <v>High Income</v>
      </c>
      <c r="D900">
        <f>IF(INDEX(tblCleanData[Attrition],892)="Yes",1,0)</f>
        <v>0</v>
      </c>
      <c r="E900">
        <f>IF(INDEX(tblCleanData[OverTime],892)="Yes",1,0)</f>
        <v>0</v>
      </c>
      <c r="F900" t="str">
        <f>CHOOSE(INDEX(tblCleanData[Education],892),"Below College","College","Bachelor","Master","Doctor")</f>
        <v>Below College</v>
      </c>
      <c r="G900" t="str">
        <f>IF(INDEX(tblCleanData[YearsAtCompany],892)&lt;=2,"0-2 Years",IF(INDEX(tblCleanData[YearsAtCompany],892)&lt;=5,"3-5 Years",IF(INDEX(tblCleanData[YearsAtCompany],892)&lt;=10,"6-10 Years","10+ Years")))</f>
        <v>6-10 Years</v>
      </c>
      <c r="H900" t="str">
        <f>IF(INDEX(tblCleanData[WorkLifeBalance],892)&lt;=2,"Elevated","Normal")</f>
        <v>Normal</v>
      </c>
      <c r="I900">
        <f>IF(INDEX(tblCleanData[Age],892)&lt;30,30,IF(INDEX(tblCleanData[Age],892)&lt;40,20,IF(INDEX(tblCleanData[Age],892)&lt;50,10,15)))</f>
        <v>10</v>
      </c>
      <c r="J900">
        <f>IF(INDEX(tblCleanData[MonthlyIncome],892)&lt;=$B$3,25,IF(INDEX(tblCleanData[MonthlyIncome],892)&lt;=$B$4,12,5))</f>
        <v>5</v>
      </c>
      <c r="K900">
        <f>IF(INDEX(tblCleanData[OverTime],892)="Yes",25,0)</f>
        <v>0</v>
      </c>
      <c r="L900">
        <f>(5-INDEX(tblCleanData[JobSatisfaction],892))*6.25</f>
        <v>6.25</v>
      </c>
      <c r="M900">
        <f>IF(INDEX(tblCleanData[YearsAtCompany],892)&lt;=2,25,IF(INDEX(tblCleanData[YearsAtCompany],892)&lt;=5,15,IF(INDEX(tblCleanData[YearsAtCompany],892)&lt;=10,8,3)))</f>
        <v>8</v>
      </c>
      <c r="N900">
        <f t="shared" si="26"/>
        <v>29</v>
      </c>
      <c r="O900" t="str">
        <f t="shared" si="27"/>
        <v>Low Risk</v>
      </c>
    </row>
    <row r="901" spans="1:15" x14ac:dyDescent="0.25">
      <c r="A901">
        <f>INDEX(tblCleanData[EmployeeNumber],893)</f>
        <v>1248</v>
      </c>
      <c r="B901" t="str">
        <f>IF(INDEX(tblCleanData[Age],893)&lt;30,"Under 30",IF(INDEX(tblCleanData[Age],893)&lt;40,"30-39",IF(INDEX(tblCleanData[Age],893)&lt;50,"40-49","50+")))</f>
        <v>Under 30</v>
      </c>
      <c r="C901" t="str">
        <f>IF(INDEX(tblCleanData[MonthlyIncome],893)&lt;=$B$3,"Low Income",IF(INDEX(tblCleanData[MonthlyIncome],893)&lt;=$B$4,"Medium Income","High Income"))</f>
        <v>High Income</v>
      </c>
      <c r="D901">
        <f>IF(INDEX(tblCleanData[Attrition],893)="Yes",1,0)</f>
        <v>1</v>
      </c>
      <c r="E901">
        <f>IF(INDEX(tblCleanData[OverTime],893)="Yes",1,0)</f>
        <v>1</v>
      </c>
      <c r="F901" t="str">
        <f>CHOOSE(INDEX(tblCleanData[Education],893),"Below College","College","Bachelor","Master","Doctor")</f>
        <v>Bachelor</v>
      </c>
      <c r="G901" t="str">
        <f>IF(INDEX(tblCleanData[YearsAtCompany],893)&lt;=2,"0-2 Years",IF(INDEX(tblCleanData[YearsAtCompany],893)&lt;=5,"3-5 Years",IF(INDEX(tblCleanData[YearsAtCompany],893)&lt;=10,"6-10 Years","10+ Years")))</f>
        <v>0-2 Years</v>
      </c>
      <c r="H901" t="str">
        <f>IF(INDEX(tblCleanData[WorkLifeBalance],893)&lt;=2,"Elevated","Normal")</f>
        <v>Normal</v>
      </c>
      <c r="I901">
        <f>IF(INDEX(tblCleanData[Age],893)&lt;30,30,IF(INDEX(tblCleanData[Age],893)&lt;40,20,IF(INDEX(tblCleanData[Age],893)&lt;50,10,15)))</f>
        <v>30</v>
      </c>
      <c r="J901">
        <f>IF(INDEX(tblCleanData[MonthlyIncome],893)&lt;=$B$3,25,IF(INDEX(tblCleanData[MonthlyIncome],893)&lt;=$B$4,12,5))</f>
        <v>5</v>
      </c>
      <c r="K901">
        <f>IF(INDEX(tblCleanData[OverTime],893)="Yes",25,0)</f>
        <v>25</v>
      </c>
      <c r="L901">
        <f>(5-INDEX(tblCleanData[JobSatisfaction],893))*6.25</f>
        <v>18.75</v>
      </c>
      <c r="M901">
        <f>IF(INDEX(tblCleanData[YearsAtCompany],893)&lt;=2,25,IF(INDEX(tblCleanData[YearsAtCompany],893)&lt;=5,15,IF(INDEX(tblCleanData[YearsAtCompany],893)&lt;=10,8,3)))</f>
        <v>25</v>
      </c>
      <c r="N901">
        <f t="shared" si="26"/>
        <v>104</v>
      </c>
      <c r="O901" t="str">
        <f t="shared" si="27"/>
        <v>High Risk</v>
      </c>
    </row>
    <row r="902" spans="1:15" x14ac:dyDescent="0.25">
      <c r="A902">
        <f>INDEX(tblCleanData[EmployeeNumber],894)</f>
        <v>1249</v>
      </c>
      <c r="B902" t="str">
        <f>IF(INDEX(tblCleanData[Age],894)&lt;30,"Under 30",IF(INDEX(tblCleanData[Age],894)&lt;40,"30-39",IF(INDEX(tblCleanData[Age],894)&lt;50,"40-49","50+")))</f>
        <v>Under 30</v>
      </c>
      <c r="C902" t="str">
        <f>IF(INDEX(tblCleanData[MonthlyIncome],894)&lt;=$B$3,"Low Income",IF(INDEX(tblCleanData[MonthlyIncome],894)&lt;=$B$4,"Medium Income","High Income"))</f>
        <v>High Income</v>
      </c>
      <c r="D902">
        <f>IF(INDEX(tblCleanData[Attrition],894)="Yes",1,0)</f>
        <v>0</v>
      </c>
      <c r="E902">
        <f>IF(INDEX(tblCleanData[OverTime],894)="Yes",1,0)</f>
        <v>0</v>
      </c>
      <c r="F902" t="str">
        <f>CHOOSE(INDEX(tblCleanData[Education],894),"Below College","College","Bachelor","Master","Doctor")</f>
        <v>Bachelor</v>
      </c>
      <c r="G902" t="str">
        <f>IF(INDEX(tblCleanData[YearsAtCompany],894)&lt;=2,"0-2 Years",IF(INDEX(tblCleanData[YearsAtCompany],894)&lt;=5,"3-5 Years",IF(INDEX(tblCleanData[YearsAtCompany],894)&lt;=10,"6-10 Years","10+ Years")))</f>
        <v>3-5 Years</v>
      </c>
      <c r="H902" t="str">
        <f>IF(INDEX(tblCleanData[WorkLifeBalance],894)&lt;=2,"Elevated","Normal")</f>
        <v>Normal</v>
      </c>
      <c r="I902">
        <f>IF(INDEX(tblCleanData[Age],894)&lt;30,30,IF(INDEX(tblCleanData[Age],894)&lt;40,20,IF(INDEX(tblCleanData[Age],894)&lt;50,10,15)))</f>
        <v>30</v>
      </c>
      <c r="J902">
        <f>IF(INDEX(tblCleanData[MonthlyIncome],894)&lt;=$B$3,25,IF(INDEX(tblCleanData[MonthlyIncome],894)&lt;=$B$4,12,5))</f>
        <v>5</v>
      </c>
      <c r="K902">
        <f>IF(INDEX(tblCleanData[OverTime],894)="Yes",25,0)</f>
        <v>0</v>
      </c>
      <c r="L902">
        <f>(5-INDEX(tblCleanData[JobSatisfaction],894))*6.25</f>
        <v>6.25</v>
      </c>
      <c r="M902">
        <f>IF(INDEX(tblCleanData[YearsAtCompany],894)&lt;=2,25,IF(INDEX(tblCleanData[YearsAtCompany],894)&lt;=5,15,IF(INDEX(tblCleanData[YearsAtCompany],894)&lt;=10,8,3)))</f>
        <v>15</v>
      </c>
      <c r="N902">
        <f t="shared" si="26"/>
        <v>56</v>
      </c>
      <c r="O902" t="str">
        <f t="shared" si="27"/>
        <v>High Risk</v>
      </c>
    </row>
    <row r="903" spans="1:15" x14ac:dyDescent="0.25">
      <c r="A903">
        <f>INDEX(tblCleanData[EmployeeNumber],895)</f>
        <v>1250</v>
      </c>
      <c r="B903" t="str">
        <f>IF(INDEX(tblCleanData[Age],895)&lt;30,"Under 30",IF(INDEX(tblCleanData[Age],895)&lt;40,"30-39",IF(INDEX(tblCleanData[Age],895)&lt;50,"40-49","50+")))</f>
        <v>50+</v>
      </c>
      <c r="C903" t="str">
        <f>IF(INDEX(tblCleanData[MonthlyIncome],895)&lt;=$B$3,"Low Income",IF(INDEX(tblCleanData[MonthlyIncome],895)&lt;=$B$4,"Medium Income","High Income"))</f>
        <v>High Income</v>
      </c>
      <c r="D903">
        <f>IF(INDEX(tblCleanData[Attrition],895)="Yes",1,0)</f>
        <v>0</v>
      </c>
      <c r="E903">
        <f>IF(INDEX(tblCleanData[OverTime],895)="Yes",1,0)</f>
        <v>0</v>
      </c>
      <c r="F903" t="str">
        <f>CHOOSE(INDEX(tblCleanData[Education],895),"Below College","College","Bachelor","Master","Doctor")</f>
        <v>Bachelor</v>
      </c>
      <c r="G903" t="str">
        <f>IF(INDEX(tblCleanData[YearsAtCompany],895)&lt;=2,"0-2 Years",IF(INDEX(tblCleanData[YearsAtCompany],895)&lt;=5,"3-5 Years",IF(INDEX(tblCleanData[YearsAtCompany],895)&lt;=10,"6-10 Years","10+ Years")))</f>
        <v>6-10 Years</v>
      </c>
      <c r="H903" t="str">
        <f>IF(INDEX(tblCleanData[WorkLifeBalance],895)&lt;=2,"Elevated","Normal")</f>
        <v>Normal</v>
      </c>
      <c r="I903">
        <f>IF(INDEX(tblCleanData[Age],895)&lt;30,30,IF(INDEX(tblCleanData[Age],895)&lt;40,20,IF(INDEX(tblCleanData[Age],895)&lt;50,10,15)))</f>
        <v>15</v>
      </c>
      <c r="J903">
        <f>IF(INDEX(tblCleanData[MonthlyIncome],895)&lt;=$B$3,25,IF(INDEX(tblCleanData[MonthlyIncome],895)&lt;=$B$4,12,5))</f>
        <v>5</v>
      </c>
      <c r="K903">
        <f>IF(INDEX(tblCleanData[OverTime],895)="Yes",25,0)</f>
        <v>0</v>
      </c>
      <c r="L903">
        <f>(5-INDEX(tblCleanData[JobSatisfaction],895))*6.25</f>
        <v>6.25</v>
      </c>
      <c r="M903">
        <f>IF(INDEX(tblCleanData[YearsAtCompany],895)&lt;=2,25,IF(INDEX(tblCleanData[YearsAtCompany],895)&lt;=5,15,IF(INDEX(tblCleanData[YearsAtCompany],895)&lt;=10,8,3)))</f>
        <v>8</v>
      </c>
      <c r="N903">
        <f t="shared" si="26"/>
        <v>34</v>
      </c>
      <c r="O903" t="str">
        <f t="shared" si="27"/>
        <v>Low Risk</v>
      </c>
    </row>
    <row r="904" spans="1:15" x14ac:dyDescent="0.25">
      <c r="A904">
        <f>INDEX(tblCleanData[EmployeeNumber],896)</f>
        <v>1251</v>
      </c>
      <c r="B904" t="str">
        <f>IF(INDEX(tblCleanData[Age],896)&lt;30,"Under 30",IF(INDEX(tblCleanData[Age],896)&lt;40,"30-39",IF(INDEX(tblCleanData[Age],896)&lt;50,"40-49","50+")))</f>
        <v>30-39</v>
      </c>
      <c r="C904" t="str">
        <f>IF(INDEX(tblCleanData[MonthlyIncome],896)&lt;=$B$3,"Low Income",IF(INDEX(tblCleanData[MonthlyIncome],896)&lt;=$B$4,"Medium Income","High Income"))</f>
        <v>High Income</v>
      </c>
      <c r="D904">
        <f>IF(INDEX(tblCleanData[Attrition],896)="Yes",1,0)</f>
        <v>0</v>
      </c>
      <c r="E904">
        <f>IF(INDEX(tblCleanData[OverTime],896)="Yes",1,0)</f>
        <v>1</v>
      </c>
      <c r="F904" t="str">
        <f>CHOOSE(INDEX(tblCleanData[Education],896),"Below College","College","Bachelor","Master","Doctor")</f>
        <v>College</v>
      </c>
      <c r="G904" t="str">
        <f>IF(INDEX(tblCleanData[YearsAtCompany],896)&lt;=2,"0-2 Years",IF(INDEX(tblCleanData[YearsAtCompany],896)&lt;=5,"3-5 Years",IF(INDEX(tblCleanData[YearsAtCompany],896)&lt;=10,"6-10 Years","10+ Years")))</f>
        <v>6-10 Years</v>
      </c>
      <c r="H904" t="str">
        <f>IF(INDEX(tblCleanData[WorkLifeBalance],896)&lt;=2,"Elevated","Normal")</f>
        <v>Elevated</v>
      </c>
      <c r="I904">
        <f>IF(INDEX(tblCleanData[Age],896)&lt;30,30,IF(INDEX(tblCleanData[Age],896)&lt;40,20,IF(INDEX(tblCleanData[Age],896)&lt;50,10,15)))</f>
        <v>20</v>
      </c>
      <c r="J904">
        <f>IF(INDEX(tblCleanData[MonthlyIncome],896)&lt;=$B$3,25,IF(INDEX(tblCleanData[MonthlyIncome],896)&lt;=$B$4,12,5))</f>
        <v>5</v>
      </c>
      <c r="K904">
        <f>IF(INDEX(tblCleanData[OverTime],896)="Yes",25,0)</f>
        <v>25</v>
      </c>
      <c r="L904">
        <f>(5-INDEX(tblCleanData[JobSatisfaction],896))*6.25</f>
        <v>25</v>
      </c>
      <c r="M904">
        <f>IF(INDEX(tblCleanData[YearsAtCompany],896)&lt;=2,25,IF(INDEX(tblCleanData[YearsAtCompany],896)&lt;=5,15,IF(INDEX(tblCleanData[YearsAtCompany],896)&lt;=10,8,3)))</f>
        <v>8</v>
      </c>
      <c r="N904">
        <f t="shared" si="26"/>
        <v>83</v>
      </c>
      <c r="O904" t="str">
        <f t="shared" si="27"/>
        <v>High Risk</v>
      </c>
    </row>
    <row r="905" spans="1:15" x14ac:dyDescent="0.25">
      <c r="A905">
        <f>INDEX(tblCleanData[EmployeeNumber],897)</f>
        <v>1252</v>
      </c>
      <c r="B905" t="str">
        <f>IF(INDEX(tblCleanData[Age],897)&lt;30,"Under 30",IF(INDEX(tblCleanData[Age],897)&lt;40,"30-39",IF(INDEX(tblCleanData[Age],897)&lt;50,"40-49","50+")))</f>
        <v>30-39</v>
      </c>
      <c r="C905" t="str">
        <f>IF(INDEX(tblCleanData[MonthlyIncome],897)&lt;=$B$3,"Low Income",IF(INDEX(tblCleanData[MonthlyIncome],897)&lt;=$B$4,"Medium Income","High Income"))</f>
        <v>High Income</v>
      </c>
      <c r="D905">
        <f>IF(INDEX(tblCleanData[Attrition],897)="Yes",1,0)</f>
        <v>0</v>
      </c>
      <c r="E905">
        <f>IF(INDEX(tblCleanData[OverTime],897)="Yes",1,0)</f>
        <v>0</v>
      </c>
      <c r="F905" t="str">
        <f>CHOOSE(INDEX(tblCleanData[Education],897),"Below College","College","Bachelor","Master","Doctor")</f>
        <v>Bachelor</v>
      </c>
      <c r="G905" t="str">
        <f>IF(INDEX(tblCleanData[YearsAtCompany],897)&lt;=2,"0-2 Years",IF(INDEX(tblCleanData[YearsAtCompany],897)&lt;=5,"3-5 Years",IF(INDEX(tblCleanData[YearsAtCompany],897)&lt;=10,"6-10 Years","10+ Years")))</f>
        <v>6-10 Years</v>
      </c>
      <c r="H905" t="str">
        <f>IF(INDEX(tblCleanData[WorkLifeBalance],897)&lt;=2,"Elevated","Normal")</f>
        <v>Normal</v>
      </c>
      <c r="I905">
        <f>IF(INDEX(tblCleanData[Age],897)&lt;30,30,IF(INDEX(tblCleanData[Age],897)&lt;40,20,IF(INDEX(tblCleanData[Age],897)&lt;50,10,15)))</f>
        <v>20</v>
      </c>
      <c r="J905">
        <f>IF(INDEX(tblCleanData[MonthlyIncome],897)&lt;=$B$3,25,IF(INDEX(tblCleanData[MonthlyIncome],897)&lt;=$B$4,12,5))</f>
        <v>5</v>
      </c>
      <c r="K905">
        <f>IF(INDEX(tblCleanData[OverTime],897)="Yes",25,0)</f>
        <v>0</v>
      </c>
      <c r="L905">
        <f>(5-INDEX(tblCleanData[JobSatisfaction],897))*6.25</f>
        <v>25</v>
      </c>
      <c r="M905">
        <f>IF(INDEX(tblCleanData[YearsAtCompany],897)&lt;=2,25,IF(INDEX(tblCleanData[YearsAtCompany],897)&lt;=5,15,IF(INDEX(tblCleanData[YearsAtCompany],897)&lt;=10,8,3)))</f>
        <v>8</v>
      </c>
      <c r="N905">
        <f t="shared" ref="N905:N968" si="28">ROUND(I905+J905+K905+L905+M905,0)</f>
        <v>58</v>
      </c>
      <c r="O905" t="str">
        <f t="shared" ref="O905:O968" si="29">IF(N905&gt;=55,"High Risk",IF(N905&gt;=35,"Medium Risk","Low Risk"))</f>
        <v>High Risk</v>
      </c>
    </row>
    <row r="906" spans="1:15" x14ac:dyDescent="0.25">
      <c r="A906">
        <f>INDEX(tblCleanData[EmployeeNumber],898)</f>
        <v>1254</v>
      </c>
      <c r="B906" t="str">
        <f>IF(INDEX(tblCleanData[Age],898)&lt;30,"Under 30",IF(INDEX(tblCleanData[Age],898)&lt;40,"30-39",IF(INDEX(tblCleanData[Age],898)&lt;50,"40-49","50+")))</f>
        <v>50+</v>
      </c>
      <c r="C906" t="str">
        <f>IF(INDEX(tblCleanData[MonthlyIncome],898)&lt;=$B$3,"Low Income",IF(INDEX(tblCleanData[MonthlyIncome],898)&lt;=$B$4,"Medium Income","High Income"))</f>
        <v>High Income</v>
      </c>
      <c r="D906">
        <f>IF(INDEX(tblCleanData[Attrition],898)="Yes",1,0)</f>
        <v>0</v>
      </c>
      <c r="E906">
        <f>IF(INDEX(tblCleanData[OverTime],898)="Yes",1,0)</f>
        <v>0</v>
      </c>
      <c r="F906" t="str">
        <f>CHOOSE(INDEX(tblCleanData[Education],898),"Below College","College","Bachelor","Master","Doctor")</f>
        <v>Bachelor</v>
      </c>
      <c r="G906" t="str">
        <f>IF(INDEX(tblCleanData[YearsAtCompany],898)&lt;=2,"0-2 Years",IF(INDEX(tblCleanData[YearsAtCompany],898)&lt;=5,"3-5 Years",IF(INDEX(tblCleanData[YearsAtCompany],898)&lt;=10,"6-10 Years","10+ Years")))</f>
        <v>6-10 Years</v>
      </c>
      <c r="H906" t="str">
        <f>IF(INDEX(tblCleanData[WorkLifeBalance],898)&lt;=2,"Elevated","Normal")</f>
        <v>Normal</v>
      </c>
      <c r="I906">
        <f>IF(INDEX(tblCleanData[Age],898)&lt;30,30,IF(INDEX(tblCleanData[Age],898)&lt;40,20,IF(INDEX(tblCleanData[Age],898)&lt;50,10,15)))</f>
        <v>15</v>
      </c>
      <c r="J906">
        <f>IF(INDEX(tblCleanData[MonthlyIncome],898)&lt;=$B$3,25,IF(INDEX(tblCleanData[MonthlyIncome],898)&lt;=$B$4,12,5))</f>
        <v>5</v>
      </c>
      <c r="K906">
        <f>IF(INDEX(tblCleanData[OverTime],898)="Yes",25,0)</f>
        <v>0</v>
      </c>
      <c r="L906">
        <f>(5-INDEX(tblCleanData[JobSatisfaction],898))*6.25</f>
        <v>6.25</v>
      </c>
      <c r="M906">
        <f>IF(INDEX(tblCleanData[YearsAtCompany],898)&lt;=2,25,IF(INDEX(tblCleanData[YearsAtCompany],898)&lt;=5,15,IF(INDEX(tblCleanData[YearsAtCompany],898)&lt;=10,8,3)))</f>
        <v>8</v>
      </c>
      <c r="N906">
        <f t="shared" si="28"/>
        <v>34</v>
      </c>
      <c r="O906" t="str">
        <f t="shared" si="29"/>
        <v>Low Risk</v>
      </c>
    </row>
    <row r="907" spans="1:15" x14ac:dyDescent="0.25">
      <c r="A907">
        <f>INDEX(tblCleanData[EmployeeNumber],899)</f>
        <v>1255</v>
      </c>
      <c r="B907" t="str">
        <f>IF(INDEX(tblCleanData[Age],899)&lt;30,"Under 30",IF(INDEX(tblCleanData[Age],899)&lt;40,"30-39",IF(INDEX(tblCleanData[Age],899)&lt;50,"40-49","50+")))</f>
        <v>40-49</v>
      </c>
      <c r="C907" t="str">
        <f>IF(INDEX(tblCleanData[MonthlyIncome],899)&lt;=$B$3,"Low Income",IF(INDEX(tblCleanData[MonthlyIncome],899)&lt;=$B$4,"Medium Income","High Income"))</f>
        <v>High Income</v>
      </c>
      <c r="D907">
        <f>IF(INDEX(tblCleanData[Attrition],899)="Yes",1,0)</f>
        <v>0</v>
      </c>
      <c r="E907">
        <f>IF(INDEX(tblCleanData[OverTime],899)="Yes",1,0)</f>
        <v>0</v>
      </c>
      <c r="F907" t="str">
        <f>CHOOSE(INDEX(tblCleanData[Education],899),"Below College","College","Bachelor","Master","Doctor")</f>
        <v>Bachelor</v>
      </c>
      <c r="G907" t="str">
        <f>IF(INDEX(tblCleanData[YearsAtCompany],899)&lt;=2,"0-2 Years",IF(INDEX(tblCleanData[YearsAtCompany],899)&lt;=5,"3-5 Years",IF(INDEX(tblCleanData[YearsAtCompany],899)&lt;=10,"6-10 Years","10+ Years")))</f>
        <v>6-10 Years</v>
      </c>
      <c r="H907" t="str">
        <f>IF(INDEX(tblCleanData[WorkLifeBalance],899)&lt;=2,"Elevated","Normal")</f>
        <v>Normal</v>
      </c>
      <c r="I907">
        <f>IF(INDEX(tblCleanData[Age],899)&lt;30,30,IF(INDEX(tblCleanData[Age],899)&lt;40,20,IF(INDEX(tblCleanData[Age],899)&lt;50,10,15)))</f>
        <v>10</v>
      </c>
      <c r="J907">
        <f>IF(INDEX(tblCleanData[MonthlyIncome],899)&lt;=$B$3,25,IF(INDEX(tblCleanData[MonthlyIncome],899)&lt;=$B$4,12,5))</f>
        <v>5</v>
      </c>
      <c r="K907">
        <f>IF(INDEX(tblCleanData[OverTime],899)="Yes",25,0)</f>
        <v>0</v>
      </c>
      <c r="L907">
        <f>(5-INDEX(tblCleanData[JobSatisfaction],899))*6.25</f>
        <v>6.25</v>
      </c>
      <c r="M907">
        <f>IF(INDEX(tblCleanData[YearsAtCompany],899)&lt;=2,25,IF(INDEX(tblCleanData[YearsAtCompany],899)&lt;=5,15,IF(INDEX(tblCleanData[YearsAtCompany],899)&lt;=10,8,3)))</f>
        <v>8</v>
      </c>
      <c r="N907">
        <f t="shared" si="28"/>
        <v>29</v>
      </c>
      <c r="O907" t="str">
        <f t="shared" si="29"/>
        <v>Low Risk</v>
      </c>
    </row>
    <row r="908" spans="1:15" x14ac:dyDescent="0.25">
      <c r="A908">
        <f>INDEX(tblCleanData[EmployeeNumber],900)</f>
        <v>1256</v>
      </c>
      <c r="B908" t="str">
        <f>IF(INDEX(tblCleanData[Age],900)&lt;30,"Under 30",IF(INDEX(tblCleanData[Age],900)&lt;40,"30-39",IF(INDEX(tblCleanData[Age],900)&lt;50,"40-49","50+")))</f>
        <v>40-49</v>
      </c>
      <c r="C908" t="str">
        <f>IF(INDEX(tblCleanData[MonthlyIncome],900)&lt;=$B$3,"Low Income",IF(INDEX(tblCleanData[MonthlyIncome],900)&lt;=$B$4,"Medium Income","High Income"))</f>
        <v>High Income</v>
      </c>
      <c r="D908">
        <f>IF(INDEX(tblCleanData[Attrition],900)="Yes",1,0)</f>
        <v>0</v>
      </c>
      <c r="E908">
        <f>IF(INDEX(tblCleanData[OverTime],900)="Yes",1,0)</f>
        <v>0</v>
      </c>
      <c r="F908" t="str">
        <f>CHOOSE(INDEX(tblCleanData[Education],900),"Below College","College","Bachelor","Master","Doctor")</f>
        <v>College</v>
      </c>
      <c r="G908" t="str">
        <f>IF(INDEX(tblCleanData[YearsAtCompany],900)&lt;=2,"0-2 Years",IF(INDEX(tblCleanData[YearsAtCompany],900)&lt;=5,"3-5 Years",IF(INDEX(tblCleanData[YearsAtCompany],900)&lt;=10,"6-10 Years","10+ Years")))</f>
        <v>0-2 Years</v>
      </c>
      <c r="H908" t="str">
        <f>IF(INDEX(tblCleanData[WorkLifeBalance],900)&lt;=2,"Elevated","Normal")</f>
        <v>Normal</v>
      </c>
      <c r="I908">
        <f>IF(INDEX(tblCleanData[Age],900)&lt;30,30,IF(INDEX(tblCleanData[Age],900)&lt;40,20,IF(INDEX(tblCleanData[Age],900)&lt;50,10,15)))</f>
        <v>10</v>
      </c>
      <c r="J908">
        <f>IF(INDEX(tblCleanData[MonthlyIncome],900)&lt;=$B$3,25,IF(INDEX(tblCleanData[MonthlyIncome],900)&lt;=$B$4,12,5))</f>
        <v>5</v>
      </c>
      <c r="K908">
        <f>IF(INDEX(tblCleanData[OverTime],900)="Yes",25,0)</f>
        <v>0</v>
      </c>
      <c r="L908">
        <f>(5-INDEX(tblCleanData[JobSatisfaction],900))*6.25</f>
        <v>12.5</v>
      </c>
      <c r="M908">
        <f>IF(INDEX(tblCleanData[YearsAtCompany],900)&lt;=2,25,IF(INDEX(tblCleanData[YearsAtCompany],900)&lt;=5,15,IF(INDEX(tblCleanData[YearsAtCompany],900)&lt;=10,8,3)))</f>
        <v>25</v>
      </c>
      <c r="N908">
        <f t="shared" si="28"/>
        <v>53</v>
      </c>
      <c r="O908" t="str">
        <f t="shared" si="29"/>
        <v>Medium Risk</v>
      </c>
    </row>
    <row r="909" spans="1:15" x14ac:dyDescent="0.25">
      <c r="A909">
        <f>INDEX(tblCleanData[EmployeeNumber],901)</f>
        <v>1257</v>
      </c>
      <c r="B909" t="str">
        <f>IF(INDEX(tblCleanData[Age],901)&lt;30,"Under 30",IF(INDEX(tblCleanData[Age],901)&lt;40,"30-39",IF(INDEX(tblCleanData[Age],901)&lt;50,"40-49","50+")))</f>
        <v>30-39</v>
      </c>
      <c r="C909" t="str">
        <f>IF(INDEX(tblCleanData[MonthlyIncome],901)&lt;=$B$3,"Low Income",IF(INDEX(tblCleanData[MonthlyIncome],901)&lt;=$B$4,"Medium Income","High Income"))</f>
        <v>High Income</v>
      </c>
      <c r="D909">
        <f>IF(INDEX(tblCleanData[Attrition],901)="Yes",1,0)</f>
        <v>0</v>
      </c>
      <c r="E909">
        <f>IF(INDEX(tblCleanData[OverTime],901)="Yes",1,0)</f>
        <v>0</v>
      </c>
      <c r="F909" t="str">
        <f>CHOOSE(INDEX(tblCleanData[Education],901),"Below College","College","Bachelor","Master","Doctor")</f>
        <v>Bachelor</v>
      </c>
      <c r="G909" t="str">
        <f>IF(INDEX(tblCleanData[YearsAtCompany],901)&lt;=2,"0-2 Years",IF(INDEX(tblCleanData[YearsAtCompany],901)&lt;=5,"3-5 Years",IF(INDEX(tblCleanData[YearsAtCompany],901)&lt;=10,"6-10 Years","10+ Years")))</f>
        <v>10+ Years</v>
      </c>
      <c r="H909" t="str">
        <f>IF(INDEX(tblCleanData[WorkLifeBalance],901)&lt;=2,"Elevated","Normal")</f>
        <v>Elevated</v>
      </c>
      <c r="I909">
        <f>IF(INDEX(tblCleanData[Age],901)&lt;30,30,IF(INDEX(tblCleanData[Age],901)&lt;40,20,IF(INDEX(tblCleanData[Age],901)&lt;50,10,15)))</f>
        <v>20</v>
      </c>
      <c r="J909">
        <f>IF(INDEX(tblCleanData[MonthlyIncome],901)&lt;=$B$3,25,IF(INDEX(tblCleanData[MonthlyIncome],901)&lt;=$B$4,12,5))</f>
        <v>5</v>
      </c>
      <c r="K909">
        <f>IF(INDEX(tblCleanData[OverTime],901)="Yes",25,0)</f>
        <v>0</v>
      </c>
      <c r="L909">
        <f>(5-INDEX(tblCleanData[JobSatisfaction],901))*6.25</f>
        <v>18.75</v>
      </c>
      <c r="M909">
        <f>IF(INDEX(tblCleanData[YearsAtCompany],901)&lt;=2,25,IF(INDEX(tblCleanData[YearsAtCompany],901)&lt;=5,15,IF(INDEX(tblCleanData[YearsAtCompany],901)&lt;=10,8,3)))</f>
        <v>3</v>
      </c>
      <c r="N909">
        <f t="shared" si="28"/>
        <v>47</v>
      </c>
      <c r="O909" t="str">
        <f t="shared" si="29"/>
        <v>Medium Risk</v>
      </c>
    </row>
    <row r="910" spans="1:15" x14ac:dyDescent="0.25">
      <c r="A910">
        <f>INDEX(tblCleanData[EmployeeNumber],902)</f>
        <v>1258</v>
      </c>
      <c r="B910" t="str">
        <f>IF(INDEX(tblCleanData[Age],902)&lt;30,"Under 30",IF(INDEX(tblCleanData[Age],902)&lt;40,"30-39",IF(INDEX(tblCleanData[Age],902)&lt;50,"40-49","50+")))</f>
        <v>40-49</v>
      </c>
      <c r="C910" t="str">
        <f>IF(INDEX(tblCleanData[MonthlyIncome],902)&lt;=$B$3,"Low Income",IF(INDEX(tblCleanData[MonthlyIncome],902)&lt;=$B$4,"Medium Income","High Income"))</f>
        <v>High Income</v>
      </c>
      <c r="D910">
        <f>IF(INDEX(tblCleanData[Attrition],902)="Yes",1,0)</f>
        <v>0</v>
      </c>
      <c r="E910">
        <f>IF(INDEX(tblCleanData[OverTime],902)="Yes",1,0)</f>
        <v>0</v>
      </c>
      <c r="F910" t="str">
        <f>CHOOSE(INDEX(tblCleanData[Education],902),"Below College","College","Bachelor","Master","Doctor")</f>
        <v>College</v>
      </c>
      <c r="G910" t="str">
        <f>IF(INDEX(tblCleanData[YearsAtCompany],902)&lt;=2,"0-2 Years",IF(INDEX(tblCleanData[YearsAtCompany],902)&lt;=5,"3-5 Years",IF(INDEX(tblCleanData[YearsAtCompany],902)&lt;=10,"6-10 Years","10+ Years")))</f>
        <v>0-2 Years</v>
      </c>
      <c r="H910" t="str">
        <f>IF(INDEX(tblCleanData[WorkLifeBalance],902)&lt;=2,"Elevated","Normal")</f>
        <v>Elevated</v>
      </c>
      <c r="I910">
        <f>IF(INDEX(tblCleanData[Age],902)&lt;30,30,IF(INDEX(tblCleanData[Age],902)&lt;40,20,IF(INDEX(tblCleanData[Age],902)&lt;50,10,15)))</f>
        <v>10</v>
      </c>
      <c r="J910">
        <f>IF(INDEX(tblCleanData[MonthlyIncome],902)&lt;=$B$3,25,IF(INDEX(tblCleanData[MonthlyIncome],902)&lt;=$B$4,12,5))</f>
        <v>5</v>
      </c>
      <c r="K910">
        <f>IF(INDEX(tblCleanData[OverTime],902)="Yes",25,0)</f>
        <v>0</v>
      </c>
      <c r="L910">
        <f>(5-INDEX(tblCleanData[JobSatisfaction],902))*6.25</f>
        <v>18.75</v>
      </c>
      <c r="M910">
        <f>IF(INDEX(tblCleanData[YearsAtCompany],902)&lt;=2,25,IF(INDEX(tblCleanData[YearsAtCompany],902)&lt;=5,15,IF(INDEX(tblCleanData[YearsAtCompany],902)&lt;=10,8,3)))</f>
        <v>25</v>
      </c>
      <c r="N910">
        <f t="shared" si="28"/>
        <v>59</v>
      </c>
      <c r="O910" t="str">
        <f t="shared" si="29"/>
        <v>High Risk</v>
      </c>
    </row>
    <row r="911" spans="1:15" x14ac:dyDescent="0.25">
      <c r="A911">
        <f>INDEX(tblCleanData[EmployeeNumber],903)</f>
        <v>1259</v>
      </c>
      <c r="B911" t="str">
        <f>IF(INDEX(tblCleanData[Age],903)&lt;30,"Under 30",IF(INDEX(tblCleanData[Age],903)&lt;40,"30-39",IF(INDEX(tblCleanData[Age],903)&lt;50,"40-49","50+")))</f>
        <v>Under 30</v>
      </c>
      <c r="C911" t="str">
        <f>IF(INDEX(tblCleanData[MonthlyIncome],903)&lt;=$B$3,"Low Income",IF(INDEX(tblCleanData[MonthlyIncome],903)&lt;=$B$4,"Medium Income","High Income"))</f>
        <v>High Income</v>
      </c>
      <c r="D911">
        <f>IF(INDEX(tblCleanData[Attrition],903)="Yes",1,0)</f>
        <v>0</v>
      </c>
      <c r="E911">
        <f>IF(INDEX(tblCleanData[OverTime],903)="Yes",1,0)</f>
        <v>0</v>
      </c>
      <c r="F911" t="str">
        <f>CHOOSE(INDEX(tblCleanData[Education],903),"Below College","College","Bachelor","Master","Doctor")</f>
        <v>College</v>
      </c>
      <c r="G911" t="str">
        <f>IF(INDEX(tblCleanData[YearsAtCompany],903)&lt;=2,"0-2 Years",IF(INDEX(tblCleanData[YearsAtCompany],903)&lt;=5,"3-5 Years",IF(INDEX(tblCleanData[YearsAtCompany],903)&lt;=10,"6-10 Years","10+ Years")))</f>
        <v>3-5 Years</v>
      </c>
      <c r="H911" t="str">
        <f>IF(INDEX(tblCleanData[WorkLifeBalance],903)&lt;=2,"Elevated","Normal")</f>
        <v>Normal</v>
      </c>
      <c r="I911">
        <f>IF(INDEX(tblCleanData[Age],903)&lt;30,30,IF(INDEX(tblCleanData[Age],903)&lt;40,20,IF(INDEX(tblCleanData[Age],903)&lt;50,10,15)))</f>
        <v>30</v>
      </c>
      <c r="J911">
        <f>IF(INDEX(tblCleanData[MonthlyIncome],903)&lt;=$B$3,25,IF(INDEX(tblCleanData[MonthlyIncome],903)&lt;=$B$4,12,5))</f>
        <v>5</v>
      </c>
      <c r="K911">
        <f>IF(INDEX(tblCleanData[OverTime],903)="Yes",25,0)</f>
        <v>0</v>
      </c>
      <c r="L911">
        <f>(5-INDEX(tblCleanData[JobSatisfaction],903))*6.25</f>
        <v>12.5</v>
      </c>
      <c r="M911">
        <f>IF(INDEX(tblCleanData[YearsAtCompany],903)&lt;=2,25,IF(INDEX(tblCleanData[YearsAtCompany],903)&lt;=5,15,IF(INDEX(tblCleanData[YearsAtCompany],903)&lt;=10,8,3)))</f>
        <v>15</v>
      </c>
      <c r="N911">
        <f t="shared" si="28"/>
        <v>63</v>
      </c>
      <c r="O911" t="str">
        <f t="shared" si="29"/>
        <v>High Risk</v>
      </c>
    </row>
    <row r="912" spans="1:15" x14ac:dyDescent="0.25">
      <c r="A912">
        <f>INDEX(tblCleanData[EmployeeNumber],904)</f>
        <v>1260</v>
      </c>
      <c r="B912" t="str">
        <f>IF(INDEX(tblCleanData[Age],904)&lt;30,"Under 30",IF(INDEX(tblCleanData[Age],904)&lt;40,"30-39",IF(INDEX(tblCleanData[Age],904)&lt;50,"40-49","50+")))</f>
        <v>Under 30</v>
      </c>
      <c r="C912" t="str">
        <f>IF(INDEX(tblCleanData[MonthlyIncome],904)&lt;=$B$3,"Low Income",IF(INDEX(tblCleanData[MonthlyIncome],904)&lt;=$B$4,"Medium Income","High Income"))</f>
        <v>High Income</v>
      </c>
      <c r="D912">
        <f>IF(INDEX(tblCleanData[Attrition],904)="Yes",1,0)</f>
        <v>0</v>
      </c>
      <c r="E912">
        <f>IF(INDEX(tblCleanData[OverTime],904)="Yes",1,0)</f>
        <v>1</v>
      </c>
      <c r="F912" t="str">
        <f>CHOOSE(INDEX(tblCleanData[Education],904),"Below College","College","Bachelor","Master","Doctor")</f>
        <v>Bachelor</v>
      </c>
      <c r="G912" t="str">
        <f>IF(INDEX(tblCleanData[YearsAtCompany],904)&lt;=2,"0-2 Years",IF(INDEX(tblCleanData[YearsAtCompany],904)&lt;=5,"3-5 Years",IF(INDEX(tblCleanData[YearsAtCompany],904)&lt;=10,"6-10 Years","10+ Years")))</f>
        <v>6-10 Years</v>
      </c>
      <c r="H912" t="str">
        <f>IF(INDEX(tblCleanData[WorkLifeBalance],904)&lt;=2,"Elevated","Normal")</f>
        <v>Normal</v>
      </c>
      <c r="I912">
        <f>IF(INDEX(tblCleanData[Age],904)&lt;30,30,IF(INDEX(tblCleanData[Age],904)&lt;40,20,IF(INDEX(tblCleanData[Age],904)&lt;50,10,15)))</f>
        <v>30</v>
      </c>
      <c r="J912">
        <f>IF(INDEX(tblCleanData[MonthlyIncome],904)&lt;=$B$3,25,IF(INDEX(tblCleanData[MonthlyIncome],904)&lt;=$B$4,12,5))</f>
        <v>5</v>
      </c>
      <c r="K912">
        <f>IF(INDEX(tblCleanData[OverTime],904)="Yes",25,0)</f>
        <v>25</v>
      </c>
      <c r="L912">
        <f>(5-INDEX(tblCleanData[JobSatisfaction],904))*6.25</f>
        <v>6.25</v>
      </c>
      <c r="M912">
        <f>IF(INDEX(tblCleanData[YearsAtCompany],904)&lt;=2,25,IF(INDEX(tblCleanData[YearsAtCompany],904)&lt;=5,15,IF(INDEX(tblCleanData[YearsAtCompany],904)&lt;=10,8,3)))</f>
        <v>8</v>
      </c>
      <c r="N912">
        <f t="shared" si="28"/>
        <v>74</v>
      </c>
      <c r="O912" t="str">
        <f t="shared" si="29"/>
        <v>High Risk</v>
      </c>
    </row>
    <row r="913" spans="1:15" x14ac:dyDescent="0.25">
      <c r="A913">
        <f>INDEX(tblCleanData[EmployeeNumber],905)</f>
        <v>1263</v>
      </c>
      <c r="B913" t="str">
        <f>IF(INDEX(tblCleanData[Age],905)&lt;30,"Under 30",IF(INDEX(tblCleanData[Age],905)&lt;40,"30-39",IF(INDEX(tblCleanData[Age],905)&lt;50,"40-49","50+")))</f>
        <v>40-49</v>
      </c>
      <c r="C913" t="str">
        <f>IF(INDEX(tblCleanData[MonthlyIncome],905)&lt;=$B$3,"Low Income",IF(INDEX(tblCleanData[MonthlyIncome],905)&lt;=$B$4,"Medium Income","High Income"))</f>
        <v>High Income</v>
      </c>
      <c r="D913">
        <f>IF(INDEX(tblCleanData[Attrition],905)="Yes",1,0)</f>
        <v>0</v>
      </c>
      <c r="E913">
        <f>IF(INDEX(tblCleanData[OverTime],905)="Yes",1,0)</f>
        <v>0</v>
      </c>
      <c r="F913" t="str">
        <f>CHOOSE(INDEX(tblCleanData[Education],905),"Below College","College","Bachelor","Master","Doctor")</f>
        <v>Bachelor</v>
      </c>
      <c r="G913" t="str">
        <f>IF(INDEX(tblCleanData[YearsAtCompany],905)&lt;=2,"0-2 Years",IF(INDEX(tblCleanData[YearsAtCompany],905)&lt;=5,"3-5 Years",IF(INDEX(tblCleanData[YearsAtCompany],905)&lt;=10,"6-10 Years","10+ Years")))</f>
        <v>0-2 Years</v>
      </c>
      <c r="H913" t="str">
        <f>IF(INDEX(tblCleanData[WorkLifeBalance],905)&lt;=2,"Elevated","Normal")</f>
        <v>Normal</v>
      </c>
      <c r="I913">
        <f>IF(INDEX(tblCleanData[Age],905)&lt;30,30,IF(INDEX(tblCleanData[Age],905)&lt;40,20,IF(INDEX(tblCleanData[Age],905)&lt;50,10,15)))</f>
        <v>10</v>
      </c>
      <c r="J913">
        <f>IF(INDEX(tblCleanData[MonthlyIncome],905)&lt;=$B$3,25,IF(INDEX(tblCleanData[MonthlyIncome],905)&lt;=$B$4,12,5))</f>
        <v>5</v>
      </c>
      <c r="K913">
        <f>IF(INDEX(tblCleanData[OverTime],905)="Yes",25,0)</f>
        <v>0</v>
      </c>
      <c r="L913">
        <f>(5-INDEX(tblCleanData[JobSatisfaction],905))*6.25</f>
        <v>6.25</v>
      </c>
      <c r="M913">
        <f>IF(INDEX(tblCleanData[YearsAtCompany],905)&lt;=2,25,IF(INDEX(tblCleanData[YearsAtCompany],905)&lt;=5,15,IF(INDEX(tblCleanData[YearsAtCompany],905)&lt;=10,8,3)))</f>
        <v>25</v>
      </c>
      <c r="N913">
        <f t="shared" si="28"/>
        <v>46</v>
      </c>
      <c r="O913" t="str">
        <f t="shared" si="29"/>
        <v>Medium Risk</v>
      </c>
    </row>
    <row r="914" spans="1:15" x14ac:dyDescent="0.25">
      <c r="A914">
        <f>INDEX(tblCleanData[EmployeeNumber],906)</f>
        <v>1264</v>
      </c>
      <c r="B914" t="str">
        <f>IF(INDEX(tblCleanData[Age],906)&lt;30,"Under 30",IF(INDEX(tblCleanData[Age],906)&lt;40,"30-39",IF(INDEX(tblCleanData[Age],906)&lt;50,"40-49","50+")))</f>
        <v>Under 30</v>
      </c>
      <c r="C914" t="str">
        <f>IF(INDEX(tblCleanData[MonthlyIncome],906)&lt;=$B$3,"Low Income",IF(INDEX(tblCleanData[MonthlyIncome],906)&lt;=$B$4,"Medium Income","High Income"))</f>
        <v>High Income</v>
      </c>
      <c r="D914">
        <f>IF(INDEX(tblCleanData[Attrition],906)="Yes",1,0)</f>
        <v>0</v>
      </c>
      <c r="E914">
        <f>IF(INDEX(tblCleanData[OverTime],906)="Yes",1,0)</f>
        <v>0</v>
      </c>
      <c r="F914" t="str">
        <f>CHOOSE(INDEX(tblCleanData[Education],906),"Below College","College","Bachelor","Master","Doctor")</f>
        <v>Bachelor</v>
      </c>
      <c r="G914" t="str">
        <f>IF(INDEX(tblCleanData[YearsAtCompany],906)&lt;=2,"0-2 Years",IF(INDEX(tblCleanData[YearsAtCompany],906)&lt;=5,"3-5 Years",IF(INDEX(tblCleanData[YearsAtCompany],906)&lt;=10,"6-10 Years","10+ Years")))</f>
        <v>6-10 Years</v>
      </c>
      <c r="H914" t="str">
        <f>IF(INDEX(tblCleanData[WorkLifeBalance],906)&lt;=2,"Elevated","Normal")</f>
        <v>Elevated</v>
      </c>
      <c r="I914">
        <f>IF(INDEX(tblCleanData[Age],906)&lt;30,30,IF(INDEX(tblCleanData[Age],906)&lt;40,20,IF(INDEX(tblCleanData[Age],906)&lt;50,10,15)))</f>
        <v>30</v>
      </c>
      <c r="J914">
        <f>IF(INDEX(tblCleanData[MonthlyIncome],906)&lt;=$B$3,25,IF(INDEX(tblCleanData[MonthlyIncome],906)&lt;=$B$4,12,5))</f>
        <v>5</v>
      </c>
      <c r="K914">
        <f>IF(INDEX(tblCleanData[OverTime],906)="Yes",25,0)</f>
        <v>0</v>
      </c>
      <c r="L914">
        <f>(5-INDEX(tblCleanData[JobSatisfaction],906))*6.25</f>
        <v>6.25</v>
      </c>
      <c r="M914">
        <f>IF(INDEX(tblCleanData[YearsAtCompany],906)&lt;=2,25,IF(INDEX(tblCleanData[YearsAtCompany],906)&lt;=5,15,IF(INDEX(tblCleanData[YearsAtCompany],906)&lt;=10,8,3)))</f>
        <v>8</v>
      </c>
      <c r="N914">
        <f t="shared" si="28"/>
        <v>49</v>
      </c>
      <c r="O914" t="str">
        <f t="shared" si="29"/>
        <v>Medium Risk</v>
      </c>
    </row>
    <row r="915" spans="1:15" x14ac:dyDescent="0.25">
      <c r="A915">
        <f>INDEX(tblCleanData[EmployeeNumber],907)</f>
        <v>1265</v>
      </c>
      <c r="B915" t="str">
        <f>IF(INDEX(tblCleanData[Age],907)&lt;30,"Under 30",IF(INDEX(tblCleanData[Age],907)&lt;40,"30-39",IF(INDEX(tblCleanData[Age],907)&lt;50,"40-49","50+")))</f>
        <v>30-39</v>
      </c>
      <c r="C915" t="str">
        <f>IF(INDEX(tblCleanData[MonthlyIncome],907)&lt;=$B$3,"Low Income",IF(INDEX(tblCleanData[MonthlyIncome],907)&lt;=$B$4,"Medium Income","High Income"))</f>
        <v>High Income</v>
      </c>
      <c r="D915">
        <f>IF(INDEX(tblCleanData[Attrition],907)="Yes",1,0)</f>
        <v>0</v>
      </c>
      <c r="E915">
        <f>IF(INDEX(tblCleanData[OverTime],907)="Yes",1,0)</f>
        <v>0</v>
      </c>
      <c r="F915" t="str">
        <f>CHOOSE(INDEX(tblCleanData[Education],907),"Below College","College","Bachelor","Master","Doctor")</f>
        <v>Bachelor</v>
      </c>
      <c r="G915" t="str">
        <f>IF(INDEX(tblCleanData[YearsAtCompany],907)&lt;=2,"0-2 Years",IF(INDEX(tblCleanData[YearsAtCompany],907)&lt;=5,"3-5 Years",IF(INDEX(tblCleanData[YearsAtCompany],907)&lt;=10,"6-10 Years","10+ Years")))</f>
        <v>0-2 Years</v>
      </c>
      <c r="H915" t="str">
        <f>IF(INDEX(tblCleanData[WorkLifeBalance],907)&lt;=2,"Elevated","Normal")</f>
        <v>Elevated</v>
      </c>
      <c r="I915">
        <f>IF(INDEX(tblCleanData[Age],907)&lt;30,30,IF(INDEX(tblCleanData[Age],907)&lt;40,20,IF(INDEX(tblCleanData[Age],907)&lt;50,10,15)))</f>
        <v>20</v>
      </c>
      <c r="J915">
        <f>IF(INDEX(tblCleanData[MonthlyIncome],907)&lt;=$B$3,25,IF(INDEX(tblCleanData[MonthlyIncome],907)&lt;=$B$4,12,5))</f>
        <v>5</v>
      </c>
      <c r="K915">
        <f>IF(INDEX(tblCleanData[OverTime],907)="Yes",25,0)</f>
        <v>0</v>
      </c>
      <c r="L915">
        <f>(5-INDEX(tblCleanData[JobSatisfaction],907))*6.25</f>
        <v>12.5</v>
      </c>
      <c r="M915">
        <f>IF(INDEX(tblCleanData[YearsAtCompany],907)&lt;=2,25,IF(INDEX(tblCleanData[YearsAtCompany],907)&lt;=5,15,IF(INDEX(tblCleanData[YearsAtCompany],907)&lt;=10,8,3)))</f>
        <v>25</v>
      </c>
      <c r="N915">
        <f t="shared" si="28"/>
        <v>63</v>
      </c>
      <c r="O915" t="str">
        <f t="shared" si="29"/>
        <v>High Risk</v>
      </c>
    </row>
    <row r="916" spans="1:15" x14ac:dyDescent="0.25">
      <c r="A916">
        <f>INDEX(tblCleanData[EmployeeNumber],908)</f>
        <v>1267</v>
      </c>
      <c r="B916" t="str">
        <f>IF(INDEX(tblCleanData[Age],908)&lt;30,"Under 30",IF(INDEX(tblCleanData[Age],908)&lt;40,"30-39",IF(INDEX(tblCleanData[Age],908)&lt;50,"40-49","50+")))</f>
        <v>40-49</v>
      </c>
      <c r="C916" t="str">
        <f>IF(INDEX(tblCleanData[MonthlyIncome],908)&lt;=$B$3,"Low Income",IF(INDEX(tblCleanData[MonthlyIncome],908)&lt;=$B$4,"Medium Income","High Income"))</f>
        <v>High Income</v>
      </c>
      <c r="D916">
        <f>IF(INDEX(tblCleanData[Attrition],908)="Yes",1,0)</f>
        <v>0</v>
      </c>
      <c r="E916">
        <f>IF(INDEX(tblCleanData[OverTime],908)="Yes",1,0)</f>
        <v>0</v>
      </c>
      <c r="F916" t="str">
        <f>CHOOSE(INDEX(tblCleanData[Education],908),"Below College","College","Bachelor","Master","Doctor")</f>
        <v>Bachelor</v>
      </c>
      <c r="G916" t="str">
        <f>IF(INDEX(tblCleanData[YearsAtCompany],908)&lt;=2,"0-2 Years",IF(INDEX(tblCleanData[YearsAtCompany],908)&lt;=5,"3-5 Years",IF(INDEX(tblCleanData[YearsAtCompany],908)&lt;=10,"6-10 Years","10+ Years")))</f>
        <v>10+ Years</v>
      </c>
      <c r="H916" t="str">
        <f>IF(INDEX(tblCleanData[WorkLifeBalance],908)&lt;=2,"Elevated","Normal")</f>
        <v>Normal</v>
      </c>
      <c r="I916">
        <f>IF(INDEX(tblCleanData[Age],908)&lt;30,30,IF(INDEX(tblCleanData[Age],908)&lt;40,20,IF(INDEX(tblCleanData[Age],908)&lt;50,10,15)))</f>
        <v>10</v>
      </c>
      <c r="J916">
        <f>IF(INDEX(tblCleanData[MonthlyIncome],908)&lt;=$B$3,25,IF(INDEX(tblCleanData[MonthlyIncome],908)&lt;=$B$4,12,5))</f>
        <v>5</v>
      </c>
      <c r="K916">
        <f>IF(INDEX(tblCleanData[OverTime],908)="Yes",25,0)</f>
        <v>0</v>
      </c>
      <c r="L916">
        <f>(5-INDEX(tblCleanData[JobSatisfaction],908))*6.25</f>
        <v>18.75</v>
      </c>
      <c r="M916">
        <f>IF(INDEX(tblCleanData[YearsAtCompany],908)&lt;=2,25,IF(INDEX(tblCleanData[YearsAtCompany],908)&lt;=5,15,IF(INDEX(tblCleanData[YearsAtCompany],908)&lt;=10,8,3)))</f>
        <v>3</v>
      </c>
      <c r="N916">
        <f t="shared" si="28"/>
        <v>37</v>
      </c>
      <c r="O916" t="str">
        <f t="shared" si="29"/>
        <v>Medium Risk</v>
      </c>
    </row>
    <row r="917" spans="1:15" x14ac:dyDescent="0.25">
      <c r="A917">
        <f>INDEX(tblCleanData[EmployeeNumber],909)</f>
        <v>1268</v>
      </c>
      <c r="B917" t="str">
        <f>IF(INDEX(tblCleanData[Age],909)&lt;30,"Under 30",IF(INDEX(tblCleanData[Age],909)&lt;40,"30-39",IF(INDEX(tblCleanData[Age],909)&lt;50,"40-49","50+")))</f>
        <v>30-39</v>
      </c>
      <c r="C917" t="str">
        <f>IF(INDEX(tblCleanData[MonthlyIncome],909)&lt;=$B$3,"Low Income",IF(INDEX(tblCleanData[MonthlyIncome],909)&lt;=$B$4,"Medium Income","High Income"))</f>
        <v>High Income</v>
      </c>
      <c r="D917">
        <f>IF(INDEX(tblCleanData[Attrition],909)="Yes",1,0)</f>
        <v>0</v>
      </c>
      <c r="E917">
        <f>IF(INDEX(tblCleanData[OverTime],909)="Yes",1,0)</f>
        <v>1</v>
      </c>
      <c r="F917" t="str">
        <f>CHOOSE(INDEX(tblCleanData[Education],909),"Below College","College","Bachelor","Master","Doctor")</f>
        <v>Doctor</v>
      </c>
      <c r="G917" t="str">
        <f>IF(INDEX(tblCleanData[YearsAtCompany],909)&lt;=2,"0-2 Years",IF(INDEX(tblCleanData[YearsAtCompany],909)&lt;=5,"3-5 Years",IF(INDEX(tblCleanData[YearsAtCompany],909)&lt;=10,"6-10 Years","10+ Years")))</f>
        <v>6-10 Years</v>
      </c>
      <c r="H917" t="str">
        <f>IF(INDEX(tblCleanData[WorkLifeBalance],909)&lt;=2,"Elevated","Normal")</f>
        <v>Normal</v>
      </c>
      <c r="I917">
        <f>IF(INDEX(tblCleanData[Age],909)&lt;30,30,IF(INDEX(tblCleanData[Age],909)&lt;40,20,IF(INDEX(tblCleanData[Age],909)&lt;50,10,15)))</f>
        <v>20</v>
      </c>
      <c r="J917">
        <f>IF(INDEX(tblCleanData[MonthlyIncome],909)&lt;=$B$3,25,IF(INDEX(tblCleanData[MonthlyIncome],909)&lt;=$B$4,12,5))</f>
        <v>5</v>
      </c>
      <c r="K917">
        <f>IF(INDEX(tblCleanData[OverTime],909)="Yes",25,0)</f>
        <v>25</v>
      </c>
      <c r="L917">
        <f>(5-INDEX(tblCleanData[JobSatisfaction],909))*6.25</f>
        <v>12.5</v>
      </c>
      <c r="M917">
        <f>IF(INDEX(tblCleanData[YearsAtCompany],909)&lt;=2,25,IF(INDEX(tblCleanData[YearsAtCompany],909)&lt;=5,15,IF(INDEX(tblCleanData[YearsAtCompany],909)&lt;=10,8,3)))</f>
        <v>8</v>
      </c>
      <c r="N917">
        <f t="shared" si="28"/>
        <v>71</v>
      </c>
      <c r="O917" t="str">
        <f t="shared" si="29"/>
        <v>High Risk</v>
      </c>
    </row>
    <row r="918" spans="1:15" x14ac:dyDescent="0.25">
      <c r="A918">
        <f>INDEX(tblCleanData[EmployeeNumber],910)</f>
        <v>1269</v>
      </c>
      <c r="B918" t="str">
        <f>IF(INDEX(tblCleanData[Age],910)&lt;30,"Under 30",IF(INDEX(tblCleanData[Age],910)&lt;40,"30-39",IF(INDEX(tblCleanData[Age],910)&lt;50,"40-49","50+")))</f>
        <v>Under 30</v>
      </c>
      <c r="C918" t="str">
        <f>IF(INDEX(tblCleanData[MonthlyIncome],910)&lt;=$B$3,"Low Income",IF(INDEX(tblCleanData[MonthlyIncome],910)&lt;=$B$4,"Medium Income","High Income"))</f>
        <v>High Income</v>
      </c>
      <c r="D918">
        <f>IF(INDEX(tblCleanData[Attrition],910)="Yes",1,0)</f>
        <v>0</v>
      </c>
      <c r="E918">
        <f>IF(INDEX(tblCleanData[OverTime],910)="Yes",1,0)</f>
        <v>1</v>
      </c>
      <c r="F918" t="str">
        <f>CHOOSE(INDEX(tblCleanData[Education],910),"Below College","College","Bachelor","Master","Doctor")</f>
        <v>Bachelor</v>
      </c>
      <c r="G918" t="str">
        <f>IF(INDEX(tblCleanData[YearsAtCompany],910)&lt;=2,"0-2 Years",IF(INDEX(tblCleanData[YearsAtCompany],910)&lt;=5,"3-5 Years",IF(INDEX(tblCleanData[YearsAtCompany],910)&lt;=10,"6-10 Years","10+ Years")))</f>
        <v>0-2 Years</v>
      </c>
      <c r="H918" t="str">
        <f>IF(INDEX(tblCleanData[WorkLifeBalance],910)&lt;=2,"Elevated","Normal")</f>
        <v>Normal</v>
      </c>
      <c r="I918">
        <f>IF(INDEX(tblCleanData[Age],910)&lt;30,30,IF(INDEX(tblCleanData[Age],910)&lt;40,20,IF(INDEX(tblCleanData[Age],910)&lt;50,10,15)))</f>
        <v>30</v>
      </c>
      <c r="J918">
        <f>IF(INDEX(tblCleanData[MonthlyIncome],910)&lt;=$B$3,25,IF(INDEX(tblCleanData[MonthlyIncome],910)&lt;=$B$4,12,5))</f>
        <v>5</v>
      </c>
      <c r="K918">
        <f>IF(INDEX(tblCleanData[OverTime],910)="Yes",25,0)</f>
        <v>25</v>
      </c>
      <c r="L918">
        <f>(5-INDEX(tblCleanData[JobSatisfaction],910))*6.25</f>
        <v>6.25</v>
      </c>
      <c r="M918">
        <f>IF(INDEX(tblCleanData[YearsAtCompany],910)&lt;=2,25,IF(INDEX(tblCleanData[YearsAtCompany],910)&lt;=5,15,IF(INDEX(tblCleanData[YearsAtCompany],910)&lt;=10,8,3)))</f>
        <v>25</v>
      </c>
      <c r="N918">
        <f t="shared" si="28"/>
        <v>91</v>
      </c>
      <c r="O918" t="str">
        <f t="shared" si="29"/>
        <v>High Risk</v>
      </c>
    </row>
    <row r="919" spans="1:15" x14ac:dyDescent="0.25">
      <c r="A919">
        <f>INDEX(tblCleanData[EmployeeNumber],911)</f>
        <v>1270</v>
      </c>
      <c r="B919" t="str">
        <f>IF(INDEX(tblCleanData[Age],911)&lt;30,"Under 30",IF(INDEX(tblCleanData[Age],911)&lt;40,"30-39",IF(INDEX(tblCleanData[Age],911)&lt;50,"40-49","50+")))</f>
        <v>Under 30</v>
      </c>
      <c r="C919" t="str">
        <f>IF(INDEX(tblCleanData[MonthlyIncome],911)&lt;=$B$3,"Low Income",IF(INDEX(tblCleanData[MonthlyIncome],911)&lt;=$B$4,"Medium Income","High Income"))</f>
        <v>High Income</v>
      </c>
      <c r="D919">
        <f>IF(INDEX(tblCleanData[Attrition],911)="Yes",1,0)</f>
        <v>0</v>
      </c>
      <c r="E919">
        <f>IF(INDEX(tblCleanData[OverTime],911)="Yes",1,0)</f>
        <v>0</v>
      </c>
      <c r="F919" t="str">
        <f>CHOOSE(INDEX(tblCleanData[Education],911),"Below College","College","Bachelor","Master","Doctor")</f>
        <v>College</v>
      </c>
      <c r="G919" t="str">
        <f>IF(INDEX(tblCleanData[YearsAtCompany],911)&lt;=2,"0-2 Years",IF(INDEX(tblCleanData[YearsAtCompany],911)&lt;=5,"3-5 Years",IF(INDEX(tblCleanData[YearsAtCompany],911)&lt;=10,"6-10 Years","10+ Years")))</f>
        <v>0-2 Years</v>
      </c>
      <c r="H919" t="str">
        <f>IF(INDEX(tblCleanData[WorkLifeBalance],911)&lt;=2,"Elevated","Normal")</f>
        <v>Normal</v>
      </c>
      <c r="I919">
        <f>IF(INDEX(tblCleanData[Age],911)&lt;30,30,IF(INDEX(tblCleanData[Age],911)&lt;40,20,IF(INDEX(tblCleanData[Age],911)&lt;50,10,15)))</f>
        <v>30</v>
      </c>
      <c r="J919">
        <f>IF(INDEX(tblCleanData[MonthlyIncome],911)&lt;=$B$3,25,IF(INDEX(tblCleanData[MonthlyIncome],911)&lt;=$B$4,12,5))</f>
        <v>5</v>
      </c>
      <c r="K919">
        <f>IF(INDEX(tblCleanData[OverTime],911)="Yes",25,0)</f>
        <v>0</v>
      </c>
      <c r="L919">
        <f>(5-INDEX(tblCleanData[JobSatisfaction],911))*6.25</f>
        <v>12.5</v>
      </c>
      <c r="M919">
        <f>IF(INDEX(tblCleanData[YearsAtCompany],911)&lt;=2,25,IF(INDEX(tblCleanData[YearsAtCompany],911)&lt;=5,15,IF(INDEX(tblCleanData[YearsAtCompany],911)&lt;=10,8,3)))</f>
        <v>25</v>
      </c>
      <c r="N919">
        <f t="shared" si="28"/>
        <v>73</v>
      </c>
      <c r="O919" t="str">
        <f t="shared" si="29"/>
        <v>High Risk</v>
      </c>
    </row>
    <row r="920" spans="1:15" x14ac:dyDescent="0.25">
      <c r="A920">
        <f>INDEX(tblCleanData[EmployeeNumber],912)</f>
        <v>1273</v>
      </c>
      <c r="B920" t="str">
        <f>IF(INDEX(tblCleanData[Age],912)&lt;30,"Under 30",IF(INDEX(tblCleanData[Age],912)&lt;40,"30-39",IF(INDEX(tblCleanData[Age],912)&lt;50,"40-49","50+")))</f>
        <v>Under 30</v>
      </c>
      <c r="C920" t="str">
        <f>IF(INDEX(tblCleanData[MonthlyIncome],912)&lt;=$B$3,"Low Income",IF(INDEX(tblCleanData[MonthlyIncome],912)&lt;=$B$4,"Medium Income","High Income"))</f>
        <v>High Income</v>
      </c>
      <c r="D920">
        <f>IF(INDEX(tblCleanData[Attrition],912)="Yes",1,0)</f>
        <v>1</v>
      </c>
      <c r="E920">
        <f>IF(INDEX(tblCleanData[OverTime],912)="Yes",1,0)</f>
        <v>1</v>
      </c>
      <c r="F920" t="str">
        <f>CHOOSE(INDEX(tblCleanData[Education],912),"Below College","College","Bachelor","Master","Doctor")</f>
        <v>Below College</v>
      </c>
      <c r="G920" t="str">
        <f>IF(INDEX(tblCleanData[YearsAtCompany],912)&lt;=2,"0-2 Years",IF(INDEX(tblCleanData[YearsAtCompany],912)&lt;=5,"3-5 Years",IF(INDEX(tblCleanData[YearsAtCompany],912)&lt;=10,"6-10 Years","10+ Years")))</f>
        <v>0-2 Years</v>
      </c>
      <c r="H920" t="str">
        <f>IF(INDEX(tblCleanData[WorkLifeBalance],912)&lt;=2,"Elevated","Normal")</f>
        <v>Normal</v>
      </c>
      <c r="I920">
        <f>IF(INDEX(tblCleanData[Age],912)&lt;30,30,IF(INDEX(tblCleanData[Age],912)&lt;40,20,IF(INDEX(tblCleanData[Age],912)&lt;50,10,15)))</f>
        <v>30</v>
      </c>
      <c r="J920">
        <f>IF(INDEX(tblCleanData[MonthlyIncome],912)&lt;=$B$3,25,IF(INDEX(tblCleanData[MonthlyIncome],912)&lt;=$B$4,12,5))</f>
        <v>5</v>
      </c>
      <c r="K920">
        <f>IF(INDEX(tblCleanData[OverTime],912)="Yes",25,0)</f>
        <v>25</v>
      </c>
      <c r="L920">
        <f>(5-INDEX(tblCleanData[JobSatisfaction],912))*6.25</f>
        <v>6.25</v>
      </c>
      <c r="M920">
        <f>IF(INDEX(tblCleanData[YearsAtCompany],912)&lt;=2,25,IF(INDEX(tblCleanData[YearsAtCompany],912)&lt;=5,15,IF(INDEX(tblCleanData[YearsAtCompany],912)&lt;=10,8,3)))</f>
        <v>25</v>
      </c>
      <c r="N920">
        <f t="shared" si="28"/>
        <v>91</v>
      </c>
      <c r="O920" t="str">
        <f t="shared" si="29"/>
        <v>High Risk</v>
      </c>
    </row>
    <row r="921" spans="1:15" x14ac:dyDescent="0.25">
      <c r="A921">
        <f>INDEX(tblCleanData[EmployeeNumber],913)</f>
        <v>1275</v>
      </c>
      <c r="B921" t="str">
        <f>IF(INDEX(tblCleanData[Age],913)&lt;30,"Under 30",IF(INDEX(tblCleanData[Age],913)&lt;40,"30-39",IF(INDEX(tblCleanData[Age],913)&lt;50,"40-49","50+")))</f>
        <v>Under 30</v>
      </c>
      <c r="C921" t="str">
        <f>IF(INDEX(tblCleanData[MonthlyIncome],913)&lt;=$B$3,"Low Income",IF(INDEX(tblCleanData[MonthlyIncome],913)&lt;=$B$4,"Medium Income","High Income"))</f>
        <v>High Income</v>
      </c>
      <c r="D921">
        <f>IF(INDEX(tblCleanData[Attrition],913)="Yes",1,0)</f>
        <v>0</v>
      </c>
      <c r="E921">
        <f>IF(INDEX(tblCleanData[OverTime],913)="Yes",1,0)</f>
        <v>1</v>
      </c>
      <c r="F921" t="str">
        <f>CHOOSE(INDEX(tblCleanData[Education],913),"Below College","College","Bachelor","Master","Doctor")</f>
        <v>College</v>
      </c>
      <c r="G921" t="str">
        <f>IF(INDEX(tblCleanData[YearsAtCompany],913)&lt;=2,"0-2 Years",IF(INDEX(tblCleanData[YearsAtCompany],913)&lt;=5,"3-5 Years",IF(INDEX(tblCleanData[YearsAtCompany],913)&lt;=10,"6-10 Years","10+ Years")))</f>
        <v>6-10 Years</v>
      </c>
      <c r="H921" t="str">
        <f>IF(INDEX(tblCleanData[WorkLifeBalance],913)&lt;=2,"Elevated","Normal")</f>
        <v>Elevated</v>
      </c>
      <c r="I921">
        <f>IF(INDEX(tblCleanData[Age],913)&lt;30,30,IF(INDEX(tblCleanData[Age],913)&lt;40,20,IF(INDEX(tblCleanData[Age],913)&lt;50,10,15)))</f>
        <v>30</v>
      </c>
      <c r="J921">
        <f>IF(INDEX(tblCleanData[MonthlyIncome],913)&lt;=$B$3,25,IF(INDEX(tblCleanData[MonthlyIncome],913)&lt;=$B$4,12,5))</f>
        <v>5</v>
      </c>
      <c r="K921">
        <f>IF(INDEX(tblCleanData[OverTime],913)="Yes",25,0)</f>
        <v>25</v>
      </c>
      <c r="L921">
        <f>(5-INDEX(tblCleanData[JobSatisfaction],913))*6.25</f>
        <v>6.25</v>
      </c>
      <c r="M921">
        <f>IF(INDEX(tblCleanData[YearsAtCompany],913)&lt;=2,25,IF(INDEX(tblCleanData[YearsAtCompany],913)&lt;=5,15,IF(INDEX(tblCleanData[YearsAtCompany],913)&lt;=10,8,3)))</f>
        <v>8</v>
      </c>
      <c r="N921">
        <f t="shared" si="28"/>
        <v>74</v>
      </c>
      <c r="O921" t="str">
        <f t="shared" si="29"/>
        <v>High Risk</v>
      </c>
    </row>
    <row r="922" spans="1:15" x14ac:dyDescent="0.25">
      <c r="A922">
        <f>INDEX(tblCleanData[EmployeeNumber],914)</f>
        <v>1277</v>
      </c>
      <c r="B922" t="str">
        <f>IF(INDEX(tblCleanData[Age],914)&lt;30,"Under 30",IF(INDEX(tblCleanData[Age],914)&lt;40,"30-39",IF(INDEX(tblCleanData[Age],914)&lt;50,"40-49","50+")))</f>
        <v>40-49</v>
      </c>
      <c r="C922" t="str">
        <f>IF(INDEX(tblCleanData[MonthlyIncome],914)&lt;=$B$3,"Low Income",IF(INDEX(tblCleanData[MonthlyIncome],914)&lt;=$B$4,"Medium Income","High Income"))</f>
        <v>High Income</v>
      </c>
      <c r="D922">
        <f>IF(INDEX(tblCleanData[Attrition],914)="Yes",1,0)</f>
        <v>1</v>
      </c>
      <c r="E922">
        <f>IF(INDEX(tblCleanData[OverTime],914)="Yes",1,0)</f>
        <v>1</v>
      </c>
      <c r="F922" t="str">
        <f>CHOOSE(INDEX(tblCleanData[Education],914),"Below College","College","Bachelor","Master","Doctor")</f>
        <v>Bachelor</v>
      </c>
      <c r="G922" t="str">
        <f>IF(INDEX(tblCleanData[YearsAtCompany],914)&lt;=2,"0-2 Years",IF(INDEX(tblCleanData[YearsAtCompany],914)&lt;=5,"3-5 Years",IF(INDEX(tblCleanData[YearsAtCompany],914)&lt;=10,"6-10 Years","10+ Years")))</f>
        <v>10+ Years</v>
      </c>
      <c r="H922" t="str">
        <f>IF(INDEX(tblCleanData[WorkLifeBalance],914)&lt;=2,"Elevated","Normal")</f>
        <v>Normal</v>
      </c>
      <c r="I922">
        <f>IF(INDEX(tblCleanData[Age],914)&lt;30,30,IF(INDEX(tblCleanData[Age],914)&lt;40,20,IF(INDEX(tblCleanData[Age],914)&lt;50,10,15)))</f>
        <v>10</v>
      </c>
      <c r="J922">
        <f>IF(INDEX(tblCleanData[MonthlyIncome],914)&lt;=$B$3,25,IF(INDEX(tblCleanData[MonthlyIncome],914)&lt;=$B$4,12,5))</f>
        <v>5</v>
      </c>
      <c r="K922">
        <f>IF(INDEX(tblCleanData[OverTime],914)="Yes",25,0)</f>
        <v>25</v>
      </c>
      <c r="L922">
        <f>(5-INDEX(tblCleanData[JobSatisfaction],914))*6.25</f>
        <v>18.75</v>
      </c>
      <c r="M922">
        <f>IF(INDEX(tblCleanData[YearsAtCompany],914)&lt;=2,25,IF(INDEX(tblCleanData[YearsAtCompany],914)&lt;=5,15,IF(INDEX(tblCleanData[YearsAtCompany],914)&lt;=10,8,3)))</f>
        <v>3</v>
      </c>
      <c r="N922">
        <f t="shared" si="28"/>
        <v>62</v>
      </c>
      <c r="O922" t="str">
        <f t="shared" si="29"/>
        <v>High Risk</v>
      </c>
    </row>
    <row r="923" spans="1:15" x14ac:dyDescent="0.25">
      <c r="A923">
        <f>INDEX(tblCleanData[EmployeeNumber],915)</f>
        <v>1278</v>
      </c>
      <c r="B923" t="str">
        <f>IF(INDEX(tblCleanData[Age],915)&lt;30,"Under 30",IF(INDEX(tblCleanData[Age],915)&lt;40,"30-39",IF(INDEX(tblCleanData[Age],915)&lt;50,"40-49","50+")))</f>
        <v>50+</v>
      </c>
      <c r="C923" t="str">
        <f>IF(INDEX(tblCleanData[MonthlyIncome],915)&lt;=$B$3,"Low Income",IF(INDEX(tblCleanData[MonthlyIncome],915)&lt;=$B$4,"Medium Income","High Income"))</f>
        <v>High Income</v>
      </c>
      <c r="D923">
        <f>IF(INDEX(tblCleanData[Attrition],915)="Yes",1,0)</f>
        <v>0</v>
      </c>
      <c r="E923">
        <f>IF(INDEX(tblCleanData[OverTime],915)="Yes",1,0)</f>
        <v>1</v>
      </c>
      <c r="F923" t="str">
        <f>CHOOSE(INDEX(tblCleanData[Education],915),"Below College","College","Bachelor","Master","Doctor")</f>
        <v>Below College</v>
      </c>
      <c r="G923" t="str">
        <f>IF(INDEX(tblCleanData[YearsAtCompany],915)&lt;=2,"0-2 Years",IF(INDEX(tblCleanData[YearsAtCompany],915)&lt;=5,"3-5 Years",IF(INDEX(tblCleanData[YearsAtCompany],915)&lt;=10,"6-10 Years","10+ Years")))</f>
        <v>10+ Years</v>
      </c>
      <c r="H923" t="str">
        <f>IF(INDEX(tblCleanData[WorkLifeBalance],915)&lt;=2,"Elevated","Normal")</f>
        <v>Normal</v>
      </c>
      <c r="I923">
        <f>IF(INDEX(tblCleanData[Age],915)&lt;30,30,IF(INDEX(tblCleanData[Age],915)&lt;40,20,IF(INDEX(tblCleanData[Age],915)&lt;50,10,15)))</f>
        <v>15</v>
      </c>
      <c r="J923">
        <f>IF(INDEX(tblCleanData[MonthlyIncome],915)&lt;=$B$3,25,IF(INDEX(tblCleanData[MonthlyIncome],915)&lt;=$B$4,12,5))</f>
        <v>5</v>
      </c>
      <c r="K923">
        <f>IF(INDEX(tblCleanData[OverTime],915)="Yes",25,0)</f>
        <v>25</v>
      </c>
      <c r="L923">
        <f>(5-INDEX(tblCleanData[JobSatisfaction],915))*6.25</f>
        <v>18.75</v>
      </c>
      <c r="M923">
        <f>IF(INDEX(tblCleanData[YearsAtCompany],915)&lt;=2,25,IF(INDEX(tblCleanData[YearsAtCompany],915)&lt;=5,15,IF(INDEX(tblCleanData[YearsAtCompany],915)&lt;=10,8,3)))</f>
        <v>3</v>
      </c>
      <c r="N923">
        <f t="shared" si="28"/>
        <v>67</v>
      </c>
      <c r="O923" t="str">
        <f t="shared" si="29"/>
        <v>High Risk</v>
      </c>
    </row>
    <row r="924" spans="1:15" x14ac:dyDescent="0.25">
      <c r="A924">
        <f>INDEX(tblCleanData[EmployeeNumber],916)</f>
        <v>1279</v>
      </c>
      <c r="B924" t="str">
        <f>IF(INDEX(tblCleanData[Age],916)&lt;30,"Under 30",IF(INDEX(tblCleanData[Age],916)&lt;40,"30-39",IF(INDEX(tblCleanData[Age],916)&lt;50,"40-49","50+")))</f>
        <v>Under 30</v>
      </c>
      <c r="C924" t="str">
        <f>IF(INDEX(tblCleanData[MonthlyIncome],916)&lt;=$B$3,"Low Income",IF(INDEX(tblCleanData[MonthlyIncome],916)&lt;=$B$4,"Medium Income","High Income"))</f>
        <v>High Income</v>
      </c>
      <c r="D924">
        <f>IF(INDEX(tblCleanData[Attrition],916)="Yes",1,0)</f>
        <v>1</v>
      </c>
      <c r="E924">
        <f>IF(INDEX(tblCleanData[OverTime],916)="Yes",1,0)</f>
        <v>0</v>
      </c>
      <c r="F924" t="str">
        <f>CHOOSE(INDEX(tblCleanData[Education],916),"Below College","College","Bachelor","Master","Doctor")</f>
        <v>College</v>
      </c>
      <c r="G924" t="str">
        <f>IF(INDEX(tblCleanData[YearsAtCompany],916)&lt;=2,"0-2 Years",IF(INDEX(tblCleanData[YearsAtCompany],916)&lt;=5,"3-5 Years",IF(INDEX(tblCleanData[YearsAtCompany],916)&lt;=10,"6-10 Years","10+ Years")))</f>
        <v>0-2 Years</v>
      </c>
      <c r="H924" t="str">
        <f>IF(INDEX(tblCleanData[WorkLifeBalance],916)&lt;=2,"Elevated","Normal")</f>
        <v>Elevated</v>
      </c>
      <c r="I924">
        <f>IF(INDEX(tblCleanData[Age],916)&lt;30,30,IF(INDEX(tblCleanData[Age],916)&lt;40,20,IF(INDEX(tblCleanData[Age],916)&lt;50,10,15)))</f>
        <v>30</v>
      </c>
      <c r="J924">
        <f>IF(INDEX(tblCleanData[MonthlyIncome],916)&lt;=$B$3,25,IF(INDEX(tblCleanData[MonthlyIncome],916)&lt;=$B$4,12,5))</f>
        <v>5</v>
      </c>
      <c r="K924">
        <f>IF(INDEX(tblCleanData[OverTime],916)="Yes",25,0)</f>
        <v>0</v>
      </c>
      <c r="L924">
        <f>(5-INDEX(tblCleanData[JobSatisfaction],916))*6.25</f>
        <v>12.5</v>
      </c>
      <c r="M924">
        <f>IF(INDEX(tblCleanData[YearsAtCompany],916)&lt;=2,25,IF(INDEX(tblCleanData[YearsAtCompany],916)&lt;=5,15,IF(INDEX(tblCleanData[YearsAtCompany],916)&lt;=10,8,3)))</f>
        <v>25</v>
      </c>
      <c r="N924">
        <f t="shared" si="28"/>
        <v>73</v>
      </c>
      <c r="O924" t="str">
        <f t="shared" si="29"/>
        <v>High Risk</v>
      </c>
    </row>
    <row r="925" spans="1:15" x14ac:dyDescent="0.25">
      <c r="A925">
        <f>INDEX(tblCleanData[EmployeeNumber],917)</f>
        <v>1280</v>
      </c>
      <c r="B925" t="str">
        <f>IF(INDEX(tblCleanData[Age],917)&lt;30,"Under 30",IF(INDEX(tblCleanData[Age],917)&lt;40,"30-39",IF(INDEX(tblCleanData[Age],917)&lt;50,"40-49","50+")))</f>
        <v>40-49</v>
      </c>
      <c r="C925" t="str">
        <f>IF(INDEX(tblCleanData[MonthlyIncome],917)&lt;=$B$3,"Low Income",IF(INDEX(tblCleanData[MonthlyIncome],917)&lt;=$B$4,"Medium Income","High Income"))</f>
        <v>High Income</v>
      </c>
      <c r="D925">
        <f>IF(INDEX(tblCleanData[Attrition],917)="Yes",1,0)</f>
        <v>0</v>
      </c>
      <c r="E925">
        <f>IF(INDEX(tblCleanData[OverTime],917)="Yes",1,0)</f>
        <v>0</v>
      </c>
      <c r="F925" t="str">
        <f>CHOOSE(INDEX(tblCleanData[Education],917),"Below College","College","Bachelor","Master","Doctor")</f>
        <v>College</v>
      </c>
      <c r="G925" t="str">
        <f>IF(INDEX(tblCleanData[YearsAtCompany],917)&lt;=2,"0-2 Years",IF(INDEX(tblCleanData[YearsAtCompany],917)&lt;=5,"3-5 Years",IF(INDEX(tblCleanData[YearsAtCompany],917)&lt;=10,"6-10 Years","10+ Years")))</f>
        <v>10+ Years</v>
      </c>
      <c r="H925" t="str">
        <f>IF(INDEX(tblCleanData[WorkLifeBalance],917)&lt;=2,"Elevated","Normal")</f>
        <v>Normal</v>
      </c>
      <c r="I925">
        <f>IF(INDEX(tblCleanData[Age],917)&lt;30,30,IF(INDEX(tblCleanData[Age],917)&lt;40,20,IF(INDEX(tblCleanData[Age],917)&lt;50,10,15)))</f>
        <v>10</v>
      </c>
      <c r="J925">
        <f>IF(INDEX(tblCleanData[MonthlyIncome],917)&lt;=$B$3,25,IF(INDEX(tblCleanData[MonthlyIncome],917)&lt;=$B$4,12,5))</f>
        <v>5</v>
      </c>
      <c r="K925">
        <f>IF(INDEX(tblCleanData[OverTime],917)="Yes",25,0)</f>
        <v>0</v>
      </c>
      <c r="L925">
        <f>(5-INDEX(tblCleanData[JobSatisfaction],917))*6.25</f>
        <v>18.75</v>
      </c>
      <c r="M925">
        <f>IF(INDEX(tblCleanData[YearsAtCompany],917)&lt;=2,25,IF(INDEX(tblCleanData[YearsAtCompany],917)&lt;=5,15,IF(INDEX(tblCleanData[YearsAtCompany],917)&lt;=10,8,3)))</f>
        <v>3</v>
      </c>
      <c r="N925">
        <f t="shared" si="28"/>
        <v>37</v>
      </c>
      <c r="O925" t="str">
        <f t="shared" si="29"/>
        <v>Medium Risk</v>
      </c>
    </row>
    <row r="926" spans="1:15" x14ac:dyDescent="0.25">
      <c r="A926">
        <f>INDEX(tblCleanData[EmployeeNumber],918)</f>
        <v>1281</v>
      </c>
      <c r="B926" t="str">
        <f>IF(INDEX(tblCleanData[Age],918)&lt;30,"Under 30",IF(INDEX(tblCleanData[Age],918)&lt;40,"30-39",IF(INDEX(tblCleanData[Age],918)&lt;50,"40-49","50+")))</f>
        <v>30-39</v>
      </c>
      <c r="C926" t="str">
        <f>IF(INDEX(tblCleanData[MonthlyIncome],918)&lt;=$B$3,"Low Income",IF(INDEX(tblCleanData[MonthlyIncome],918)&lt;=$B$4,"Medium Income","High Income"))</f>
        <v>High Income</v>
      </c>
      <c r="D926">
        <f>IF(INDEX(tblCleanData[Attrition],918)="Yes",1,0)</f>
        <v>0</v>
      </c>
      <c r="E926">
        <f>IF(INDEX(tblCleanData[OverTime],918)="Yes",1,0)</f>
        <v>1</v>
      </c>
      <c r="F926" t="str">
        <f>CHOOSE(INDEX(tblCleanData[Education],918),"Below College","College","Bachelor","Master","Doctor")</f>
        <v>Bachelor</v>
      </c>
      <c r="G926" t="str">
        <f>IF(INDEX(tblCleanData[YearsAtCompany],918)&lt;=2,"0-2 Years",IF(INDEX(tblCleanData[YearsAtCompany],918)&lt;=5,"3-5 Years",IF(INDEX(tblCleanData[YearsAtCompany],918)&lt;=10,"6-10 Years","10+ Years")))</f>
        <v>3-5 Years</v>
      </c>
      <c r="H926" t="str">
        <f>IF(INDEX(tblCleanData[WorkLifeBalance],918)&lt;=2,"Elevated","Normal")</f>
        <v>Normal</v>
      </c>
      <c r="I926">
        <f>IF(INDEX(tblCleanData[Age],918)&lt;30,30,IF(INDEX(tblCleanData[Age],918)&lt;40,20,IF(INDEX(tblCleanData[Age],918)&lt;50,10,15)))</f>
        <v>20</v>
      </c>
      <c r="J926">
        <f>IF(INDEX(tblCleanData[MonthlyIncome],918)&lt;=$B$3,25,IF(INDEX(tblCleanData[MonthlyIncome],918)&lt;=$B$4,12,5))</f>
        <v>5</v>
      </c>
      <c r="K926">
        <f>IF(INDEX(tblCleanData[OverTime],918)="Yes",25,0)</f>
        <v>25</v>
      </c>
      <c r="L926">
        <f>(5-INDEX(tblCleanData[JobSatisfaction],918))*6.25</f>
        <v>25</v>
      </c>
      <c r="M926">
        <f>IF(INDEX(tblCleanData[YearsAtCompany],918)&lt;=2,25,IF(INDEX(tblCleanData[YearsAtCompany],918)&lt;=5,15,IF(INDEX(tblCleanData[YearsAtCompany],918)&lt;=10,8,3)))</f>
        <v>15</v>
      </c>
      <c r="N926">
        <f t="shared" si="28"/>
        <v>90</v>
      </c>
      <c r="O926" t="str">
        <f t="shared" si="29"/>
        <v>High Risk</v>
      </c>
    </row>
    <row r="927" spans="1:15" x14ac:dyDescent="0.25">
      <c r="A927">
        <f>INDEX(tblCleanData[EmployeeNumber],919)</f>
        <v>1282</v>
      </c>
      <c r="B927" t="str">
        <f>IF(INDEX(tblCleanData[Age],919)&lt;30,"Under 30",IF(INDEX(tblCleanData[Age],919)&lt;40,"30-39",IF(INDEX(tblCleanData[Age],919)&lt;50,"40-49","50+")))</f>
        <v>50+</v>
      </c>
      <c r="C927" t="str">
        <f>IF(INDEX(tblCleanData[MonthlyIncome],919)&lt;=$B$3,"Low Income",IF(INDEX(tblCleanData[MonthlyIncome],919)&lt;=$B$4,"Medium Income","High Income"))</f>
        <v>High Income</v>
      </c>
      <c r="D927">
        <f>IF(INDEX(tblCleanData[Attrition],919)="Yes",1,0)</f>
        <v>0</v>
      </c>
      <c r="E927">
        <f>IF(INDEX(tblCleanData[OverTime],919)="Yes",1,0)</f>
        <v>1</v>
      </c>
      <c r="F927" t="str">
        <f>CHOOSE(INDEX(tblCleanData[Education],919),"Below College","College","Bachelor","Master","Doctor")</f>
        <v>Bachelor</v>
      </c>
      <c r="G927" t="str">
        <f>IF(INDEX(tblCleanData[YearsAtCompany],919)&lt;=2,"0-2 Years",IF(INDEX(tblCleanData[YearsAtCompany],919)&lt;=5,"3-5 Years",IF(INDEX(tblCleanData[YearsAtCompany],919)&lt;=10,"6-10 Years","10+ Years")))</f>
        <v>10+ Years</v>
      </c>
      <c r="H927" t="str">
        <f>IF(INDEX(tblCleanData[WorkLifeBalance],919)&lt;=2,"Elevated","Normal")</f>
        <v>Elevated</v>
      </c>
      <c r="I927">
        <f>IF(INDEX(tblCleanData[Age],919)&lt;30,30,IF(INDEX(tblCleanData[Age],919)&lt;40,20,IF(INDEX(tblCleanData[Age],919)&lt;50,10,15)))</f>
        <v>15</v>
      </c>
      <c r="J927">
        <f>IF(INDEX(tblCleanData[MonthlyIncome],919)&lt;=$B$3,25,IF(INDEX(tblCleanData[MonthlyIncome],919)&lt;=$B$4,12,5))</f>
        <v>5</v>
      </c>
      <c r="K927">
        <f>IF(INDEX(tblCleanData[OverTime],919)="Yes",25,0)</f>
        <v>25</v>
      </c>
      <c r="L927">
        <f>(5-INDEX(tblCleanData[JobSatisfaction],919))*6.25</f>
        <v>18.75</v>
      </c>
      <c r="M927">
        <f>IF(INDEX(tblCleanData[YearsAtCompany],919)&lt;=2,25,IF(INDEX(tblCleanData[YearsAtCompany],919)&lt;=5,15,IF(INDEX(tblCleanData[YearsAtCompany],919)&lt;=10,8,3)))</f>
        <v>3</v>
      </c>
      <c r="N927">
        <f t="shared" si="28"/>
        <v>67</v>
      </c>
      <c r="O927" t="str">
        <f t="shared" si="29"/>
        <v>High Risk</v>
      </c>
    </row>
    <row r="928" spans="1:15" x14ac:dyDescent="0.25">
      <c r="A928">
        <f>INDEX(tblCleanData[EmployeeNumber],920)</f>
        <v>1283</v>
      </c>
      <c r="B928" t="str">
        <f>IF(INDEX(tblCleanData[Age],920)&lt;30,"Under 30",IF(INDEX(tblCleanData[Age],920)&lt;40,"30-39",IF(INDEX(tblCleanData[Age],920)&lt;50,"40-49","50+")))</f>
        <v>50+</v>
      </c>
      <c r="C928" t="str">
        <f>IF(INDEX(tblCleanData[MonthlyIncome],920)&lt;=$B$3,"Low Income",IF(INDEX(tblCleanData[MonthlyIncome],920)&lt;=$B$4,"Medium Income","High Income"))</f>
        <v>High Income</v>
      </c>
      <c r="D928">
        <f>IF(INDEX(tblCleanData[Attrition],920)="Yes",1,0)</f>
        <v>0</v>
      </c>
      <c r="E928">
        <f>IF(INDEX(tblCleanData[OverTime],920)="Yes",1,0)</f>
        <v>0</v>
      </c>
      <c r="F928" t="str">
        <f>CHOOSE(INDEX(tblCleanData[Education],920),"Below College","College","Bachelor","Master","Doctor")</f>
        <v>Master</v>
      </c>
      <c r="G928" t="str">
        <f>IF(INDEX(tblCleanData[YearsAtCompany],920)&lt;=2,"0-2 Years",IF(INDEX(tblCleanData[YearsAtCompany],920)&lt;=5,"3-5 Years",IF(INDEX(tblCleanData[YearsAtCompany],920)&lt;=10,"6-10 Years","10+ Years")))</f>
        <v>6-10 Years</v>
      </c>
      <c r="H928" t="str">
        <f>IF(INDEX(tblCleanData[WorkLifeBalance],920)&lt;=2,"Elevated","Normal")</f>
        <v>Elevated</v>
      </c>
      <c r="I928">
        <f>IF(INDEX(tblCleanData[Age],920)&lt;30,30,IF(INDEX(tblCleanData[Age],920)&lt;40,20,IF(INDEX(tblCleanData[Age],920)&lt;50,10,15)))</f>
        <v>15</v>
      </c>
      <c r="J928">
        <f>IF(INDEX(tblCleanData[MonthlyIncome],920)&lt;=$B$3,25,IF(INDEX(tblCleanData[MonthlyIncome],920)&lt;=$B$4,12,5))</f>
        <v>5</v>
      </c>
      <c r="K928">
        <f>IF(INDEX(tblCleanData[OverTime],920)="Yes",25,0)</f>
        <v>0</v>
      </c>
      <c r="L928">
        <f>(5-INDEX(tblCleanData[JobSatisfaction],920))*6.25</f>
        <v>6.25</v>
      </c>
      <c r="M928">
        <f>IF(INDEX(tblCleanData[YearsAtCompany],920)&lt;=2,25,IF(INDEX(tblCleanData[YearsAtCompany],920)&lt;=5,15,IF(INDEX(tblCleanData[YearsAtCompany],920)&lt;=10,8,3)))</f>
        <v>8</v>
      </c>
      <c r="N928">
        <f t="shared" si="28"/>
        <v>34</v>
      </c>
      <c r="O928" t="str">
        <f t="shared" si="29"/>
        <v>Low Risk</v>
      </c>
    </row>
    <row r="929" spans="1:15" x14ac:dyDescent="0.25">
      <c r="A929">
        <f>INDEX(tblCleanData[EmployeeNumber],921)</f>
        <v>1285</v>
      </c>
      <c r="B929" t="str">
        <f>IF(INDEX(tblCleanData[Age],921)&lt;30,"Under 30",IF(INDEX(tblCleanData[Age],921)&lt;40,"30-39",IF(INDEX(tblCleanData[Age],921)&lt;50,"40-49","50+")))</f>
        <v>30-39</v>
      </c>
      <c r="C929" t="str">
        <f>IF(INDEX(tblCleanData[MonthlyIncome],921)&lt;=$B$3,"Low Income",IF(INDEX(tblCleanData[MonthlyIncome],921)&lt;=$B$4,"Medium Income","High Income"))</f>
        <v>High Income</v>
      </c>
      <c r="D929">
        <f>IF(INDEX(tblCleanData[Attrition],921)="Yes",1,0)</f>
        <v>0</v>
      </c>
      <c r="E929">
        <f>IF(INDEX(tblCleanData[OverTime],921)="Yes",1,0)</f>
        <v>0</v>
      </c>
      <c r="F929" t="str">
        <f>CHOOSE(INDEX(tblCleanData[Education],921),"Below College","College","Bachelor","Master","Doctor")</f>
        <v>Bachelor</v>
      </c>
      <c r="G929" t="str">
        <f>IF(INDEX(tblCleanData[YearsAtCompany],921)&lt;=2,"0-2 Years",IF(INDEX(tblCleanData[YearsAtCompany],921)&lt;=5,"3-5 Years",IF(INDEX(tblCleanData[YearsAtCompany],921)&lt;=10,"6-10 Years","10+ Years")))</f>
        <v>10+ Years</v>
      </c>
      <c r="H929" t="str">
        <f>IF(INDEX(tblCleanData[WorkLifeBalance],921)&lt;=2,"Elevated","Normal")</f>
        <v>Normal</v>
      </c>
      <c r="I929">
        <f>IF(INDEX(tblCleanData[Age],921)&lt;30,30,IF(INDEX(tblCleanData[Age],921)&lt;40,20,IF(INDEX(tblCleanData[Age],921)&lt;50,10,15)))</f>
        <v>20</v>
      </c>
      <c r="J929">
        <f>IF(INDEX(tblCleanData[MonthlyIncome],921)&lt;=$B$3,25,IF(INDEX(tblCleanData[MonthlyIncome],921)&lt;=$B$4,12,5))</f>
        <v>5</v>
      </c>
      <c r="K929">
        <f>IF(INDEX(tblCleanData[OverTime],921)="Yes",25,0)</f>
        <v>0</v>
      </c>
      <c r="L929">
        <f>(5-INDEX(tblCleanData[JobSatisfaction],921))*6.25</f>
        <v>18.75</v>
      </c>
      <c r="M929">
        <f>IF(INDEX(tblCleanData[YearsAtCompany],921)&lt;=2,25,IF(INDEX(tblCleanData[YearsAtCompany],921)&lt;=5,15,IF(INDEX(tblCleanData[YearsAtCompany],921)&lt;=10,8,3)))</f>
        <v>3</v>
      </c>
      <c r="N929">
        <f t="shared" si="28"/>
        <v>47</v>
      </c>
      <c r="O929" t="str">
        <f t="shared" si="29"/>
        <v>Medium Risk</v>
      </c>
    </row>
    <row r="930" spans="1:15" x14ac:dyDescent="0.25">
      <c r="A930">
        <f>INDEX(tblCleanData[EmployeeNumber],922)</f>
        <v>1286</v>
      </c>
      <c r="B930" t="str">
        <f>IF(INDEX(tblCleanData[Age],922)&lt;30,"Under 30",IF(INDEX(tblCleanData[Age],922)&lt;40,"30-39",IF(INDEX(tblCleanData[Age],922)&lt;50,"40-49","50+")))</f>
        <v>Under 30</v>
      </c>
      <c r="C930" t="str">
        <f>IF(INDEX(tblCleanData[MonthlyIncome],922)&lt;=$B$3,"Low Income",IF(INDEX(tblCleanData[MonthlyIncome],922)&lt;=$B$4,"Medium Income","High Income"))</f>
        <v>High Income</v>
      </c>
      <c r="D930">
        <f>IF(INDEX(tblCleanData[Attrition],922)="Yes",1,0)</f>
        <v>0</v>
      </c>
      <c r="E930">
        <f>IF(INDEX(tblCleanData[OverTime],922)="Yes",1,0)</f>
        <v>1</v>
      </c>
      <c r="F930" t="str">
        <f>CHOOSE(INDEX(tblCleanData[Education],922),"Below College","College","Bachelor","Master","Doctor")</f>
        <v>Master</v>
      </c>
      <c r="G930" t="str">
        <f>IF(INDEX(tblCleanData[YearsAtCompany],922)&lt;=2,"0-2 Years",IF(INDEX(tblCleanData[YearsAtCompany],922)&lt;=5,"3-5 Years",IF(INDEX(tblCleanData[YearsAtCompany],922)&lt;=10,"6-10 Years","10+ Years")))</f>
        <v>3-5 Years</v>
      </c>
      <c r="H930" t="str">
        <f>IF(INDEX(tblCleanData[WorkLifeBalance],922)&lt;=2,"Elevated","Normal")</f>
        <v>Elevated</v>
      </c>
      <c r="I930">
        <f>IF(INDEX(tblCleanData[Age],922)&lt;30,30,IF(INDEX(tblCleanData[Age],922)&lt;40,20,IF(INDEX(tblCleanData[Age],922)&lt;50,10,15)))</f>
        <v>30</v>
      </c>
      <c r="J930">
        <f>IF(INDEX(tblCleanData[MonthlyIncome],922)&lt;=$B$3,25,IF(INDEX(tblCleanData[MonthlyIncome],922)&lt;=$B$4,12,5))</f>
        <v>5</v>
      </c>
      <c r="K930">
        <f>IF(INDEX(tblCleanData[OverTime],922)="Yes",25,0)</f>
        <v>25</v>
      </c>
      <c r="L930">
        <f>(5-INDEX(tblCleanData[JobSatisfaction],922))*6.25</f>
        <v>12.5</v>
      </c>
      <c r="M930">
        <f>IF(INDEX(tblCleanData[YearsAtCompany],922)&lt;=2,25,IF(INDEX(tblCleanData[YearsAtCompany],922)&lt;=5,15,IF(INDEX(tblCleanData[YearsAtCompany],922)&lt;=10,8,3)))</f>
        <v>15</v>
      </c>
      <c r="N930">
        <f t="shared" si="28"/>
        <v>88</v>
      </c>
      <c r="O930" t="str">
        <f t="shared" si="29"/>
        <v>High Risk</v>
      </c>
    </row>
    <row r="931" spans="1:15" x14ac:dyDescent="0.25">
      <c r="A931">
        <f>INDEX(tblCleanData[EmployeeNumber],923)</f>
        <v>1288</v>
      </c>
      <c r="B931" t="str">
        <f>IF(INDEX(tblCleanData[Age],923)&lt;30,"Under 30",IF(INDEX(tblCleanData[Age],923)&lt;40,"30-39",IF(INDEX(tblCleanData[Age],923)&lt;50,"40-49","50+")))</f>
        <v>40-49</v>
      </c>
      <c r="C931" t="str">
        <f>IF(INDEX(tblCleanData[MonthlyIncome],923)&lt;=$B$3,"Low Income",IF(INDEX(tblCleanData[MonthlyIncome],923)&lt;=$B$4,"Medium Income","High Income"))</f>
        <v>High Income</v>
      </c>
      <c r="D931">
        <f>IF(INDEX(tblCleanData[Attrition],923)="Yes",1,0)</f>
        <v>0</v>
      </c>
      <c r="E931">
        <f>IF(INDEX(tblCleanData[OverTime],923)="Yes",1,0)</f>
        <v>0</v>
      </c>
      <c r="F931" t="str">
        <f>CHOOSE(INDEX(tblCleanData[Education],923),"Below College","College","Bachelor","Master","Doctor")</f>
        <v>College</v>
      </c>
      <c r="G931" t="str">
        <f>IF(INDEX(tblCleanData[YearsAtCompany],923)&lt;=2,"0-2 Years",IF(INDEX(tblCleanData[YearsAtCompany],923)&lt;=5,"3-5 Years",IF(INDEX(tblCleanData[YearsAtCompany],923)&lt;=10,"6-10 Years","10+ Years")))</f>
        <v>10+ Years</v>
      </c>
      <c r="H931" t="str">
        <f>IF(INDEX(tblCleanData[WorkLifeBalance],923)&lt;=2,"Elevated","Normal")</f>
        <v>Elevated</v>
      </c>
      <c r="I931">
        <f>IF(INDEX(tblCleanData[Age],923)&lt;30,30,IF(INDEX(tblCleanData[Age],923)&lt;40,20,IF(INDEX(tblCleanData[Age],923)&lt;50,10,15)))</f>
        <v>10</v>
      </c>
      <c r="J931">
        <f>IF(INDEX(tblCleanData[MonthlyIncome],923)&lt;=$B$3,25,IF(INDEX(tblCleanData[MonthlyIncome],923)&lt;=$B$4,12,5))</f>
        <v>5</v>
      </c>
      <c r="K931">
        <f>IF(INDEX(tblCleanData[OverTime],923)="Yes",25,0)</f>
        <v>0</v>
      </c>
      <c r="L931">
        <f>(5-INDEX(tblCleanData[JobSatisfaction],923))*6.25</f>
        <v>25</v>
      </c>
      <c r="M931">
        <f>IF(INDEX(tblCleanData[YearsAtCompany],923)&lt;=2,25,IF(INDEX(tblCleanData[YearsAtCompany],923)&lt;=5,15,IF(INDEX(tblCleanData[YearsAtCompany],923)&lt;=10,8,3)))</f>
        <v>3</v>
      </c>
      <c r="N931">
        <f t="shared" si="28"/>
        <v>43</v>
      </c>
      <c r="O931" t="str">
        <f t="shared" si="29"/>
        <v>Medium Risk</v>
      </c>
    </row>
    <row r="932" spans="1:15" x14ac:dyDescent="0.25">
      <c r="A932">
        <f>INDEX(tblCleanData[EmployeeNumber],924)</f>
        <v>1289</v>
      </c>
      <c r="B932" t="str">
        <f>IF(INDEX(tblCleanData[Age],924)&lt;30,"Under 30",IF(INDEX(tblCleanData[Age],924)&lt;40,"30-39",IF(INDEX(tblCleanData[Age],924)&lt;50,"40-49","50+")))</f>
        <v>30-39</v>
      </c>
      <c r="C932" t="str">
        <f>IF(INDEX(tblCleanData[MonthlyIncome],924)&lt;=$B$3,"Low Income",IF(INDEX(tblCleanData[MonthlyIncome],924)&lt;=$B$4,"Medium Income","High Income"))</f>
        <v>High Income</v>
      </c>
      <c r="D932">
        <f>IF(INDEX(tblCleanData[Attrition],924)="Yes",1,0)</f>
        <v>0</v>
      </c>
      <c r="E932">
        <f>IF(INDEX(tblCleanData[OverTime],924)="Yes",1,0)</f>
        <v>0</v>
      </c>
      <c r="F932" t="str">
        <f>CHOOSE(INDEX(tblCleanData[Education],924),"Below College","College","Bachelor","Master","Doctor")</f>
        <v>Bachelor</v>
      </c>
      <c r="G932" t="str">
        <f>IF(INDEX(tblCleanData[YearsAtCompany],924)&lt;=2,"0-2 Years",IF(INDEX(tblCleanData[YearsAtCompany],924)&lt;=5,"3-5 Years",IF(INDEX(tblCleanData[YearsAtCompany],924)&lt;=10,"6-10 Years","10+ Years")))</f>
        <v>6-10 Years</v>
      </c>
      <c r="H932" t="str">
        <f>IF(INDEX(tblCleanData[WorkLifeBalance],924)&lt;=2,"Elevated","Normal")</f>
        <v>Normal</v>
      </c>
      <c r="I932">
        <f>IF(INDEX(tblCleanData[Age],924)&lt;30,30,IF(INDEX(tblCleanData[Age],924)&lt;40,20,IF(INDEX(tblCleanData[Age],924)&lt;50,10,15)))</f>
        <v>20</v>
      </c>
      <c r="J932">
        <f>IF(INDEX(tblCleanData[MonthlyIncome],924)&lt;=$B$3,25,IF(INDEX(tblCleanData[MonthlyIncome],924)&lt;=$B$4,12,5))</f>
        <v>5</v>
      </c>
      <c r="K932">
        <f>IF(INDEX(tblCleanData[OverTime],924)="Yes",25,0)</f>
        <v>0</v>
      </c>
      <c r="L932">
        <f>(5-INDEX(tblCleanData[JobSatisfaction],924))*6.25</f>
        <v>18.75</v>
      </c>
      <c r="M932">
        <f>IF(INDEX(tblCleanData[YearsAtCompany],924)&lt;=2,25,IF(INDEX(tblCleanData[YearsAtCompany],924)&lt;=5,15,IF(INDEX(tblCleanData[YearsAtCompany],924)&lt;=10,8,3)))</f>
        <v>8</v>
      </c>
      <c r="N932">
        <f t="shared" si="28"/>
        <v>52</v>
      </c>
      <c r="O932" t="str">
        <f t="shared" si="29"/>
        <v>Medium Risk</v>
      </c>
    </row>
    <row r="933" spans="1:15" x14ac:dyDescent="0.25">
      <c r="A933">
        <f>INDEX(tblCleanData[EmployeeNumber],925)</f>
        <v>1291</v>
      </c>
      <c r="B933" t="str">
        <f>IF(INDEX(tblCleanData[Age],925)&lt;30,"Under 30",IF(INDEX(tblCleanData[Age],925)&lt;40,"30-39",IF(INDEX(tblCleanData[Age],925)&lt;50,"40-49","50+")))</f>
        <v>30-39</v>
      </c>
      <c r="C933" t="str">
        <f>IF(INDEX(tblCleanData[MonthlyIncome],925)&lt;=$B$3,"Low Income",IF(INDEX(tblCleanData[MonthlyIncome],925)&lt;=$B$4,"Medium Income","High Income"))</f>
        <v>High Income</v>
      </c>
      <c r="D933">
        <f>IF(INDEX(tblCleanData[Attrition],925)="Yes",1,0)</f>
        <v>0</v>
      </c>
      <c r="E933">
        <f>IF(INDEX(tblCleanData[OverTime],925)="Yes",1,0)</f>
        <v>1</v>
      </c>
      <c r="F933" t="str">
        <f>CHOOSE(INDEX(tblCleanData[Education],925),"Below College","College","Bachelor","Master","Doctor")</f>
        <v>Below College</v>
      </c>
      <c r="G933" t="str">
        <f>IF(INDEX(tblCleanData[YearsAtCompany],925)&lt;=2,"0-2 Years",IF(INDEX(tblCleanData[YearsAtCompany],925)&lt;=5,"3-5 Years",IF(INDEX(tblCleanData[YearsAtCompany],925)&lt;=10,"6-10 Years","10+ Years")))</f>
        <v>3-5 Years</v>
      </c>
      <c r="H933" t="str">
        <f>IF(INDEX(tblCleanData[WorkLifeBalance],925)&lt;=2,"Elevated","Normal")</f>
        <v>Normal</v>
      </c>
      <c r="I933">
        <f>IF(INDEX(tblCleanData[Age],925)&lt;30,30,IF(INDEX(tblCleanData[Age],925)&lt;40,20,IF(INDEX(tblCleanData[Age],925)&lt;50,10,15)))</f>
        <v>20</v>
      </c>
      <c r="J933">
        <f>IF(INDEX(tblCleanData[MonthlyIncome],925)&lt;=$B$3,25,IF(INDEX(tblCleanData[MonthlyIncome],925)&lt;=$B$4,12,5))</f>
        <v>5</v>
      </c>
      <c r="K933">
        <f>IF(INDEX(tblCleanData[OverTime],925)="Yes",25,0)</f>
        <v>25</v>
      </c>
      <c r="L933">
        <f>(5-INDEX(tblCleanData[JobSatisfaction],925))*6.25</f>
        <v>12.5</v>
      </c>
      <c r="M933">
        <f>IF(INDEX(tblCleanData[YearsAtCompany],925)&lt;=2,25,IF(INDEX(tblCleanData[YearsAtCompany],925)&lt;=5,15,IF(INDEX(tblCleanData[YearsAtCompany],925)&lt;=10,8,3)))</f>
        <v>15</v>
      </c>
      <c r="N933">
        <f t="shared" si="28"/>
        <v>78</v>
      </c>
      <c r="O933" t="str">
        <f t="shared" si="29"/>
        <v>High Risk</v>
      </c>
    </row>
    <row r="934" spans="1:15" x14ac:dyDescent="0.25">
      <c r="A934">
        <f>INDEX(tblCleanData[EmployeeNumber],926)</f>
        <v>1292</v>
      </c>
      <c r="B934" t="str">
        <f>IF(INDEX(tblCleanData[Age],926)&lt;30,"Under 30",IF(INDEX(tblCleanData[Age],926)&lt;40,"30-39",IF(INDEX(tblCleanData[Age],926)&lt;50,"40-49","50+")))</f>
        <v>40-49</v>
      </c>
      <c r="C934" t="str">
        <f>IF(INDEX(tblCleanData[MonthlyIncome],926)&lt;=$B$3,"Low Income",IF(INDEX(tblCleanData[MonthlyIncome],926)&lt;=$B$4,"Medium Income","High Income"))</f>
        <v>High Income</v>
      </c>
      <c r="D934">
        <f>IF(INDEX(tblCleanData[Attrition],926)="Yes",1,0)</f>
        <v>0</v>
      </c>
      <c r="E934">
        <f>IF(INDEX(tblCleanData[OverTime],926)="Yes",1,0)</f>
        <v>1</v>
      </c>
      <c r="F934" t="str">
        <f>CHOOSE(INDEX(tblCleanData[Education],926),"Below College","College","Bachelor","Master","Doctor")</f>
        <v>Master</v>
      </c>
      <c r="G934" t="str">
        <f>IF(INDEX(tblCleanData[YearsAtCompany],926)&lt;=2,"0-2 Years",IF(INDEX(tblCleanData[YearsAtCompany],926)&lt;=5,"3-5 Years",IF(INDEX(tblCleanData[YearsAtCompany],926)&lt;=10,"6-10 Years","10+ Years")))</f>
        <v>0-2 Years</v>
      </c>
      <c r="H934" t="str">
        <f>IF(INDEX(tblCleanData[WorkLifeBalance],926)&lt;=2,"Elevated","Normal")</f>
        <v>Normal</v>
      </c>
      <c r="I934">
        <f>IF(INDEX(tblCleanData[Age],926)&lt;30,30,IF(INDEX(tblCleanData[Age],926)&lt;40,20,IF(INDEX(tblCleanData[Age],926)&lt;50,10,15)))</f>
        <v>10</v>
      </c>
      <c r="J934">
        <f>IF(INDEX(tblCleanData[MonthlyIncome],926)&lt;=$B$3,25,IF(INDEX(tblCleanData[MonthlyIncome],926)&lt;=$B$4,12,5))</f>
        <v>5</v>
      </c>
      <c r="K934">
        <f>IF(INDEX(tblCleanData[OverTime],926)="Yes",25,0)</f>
        <v>25</v>
      </c>
      <c r="L934">
        <f>(5-INDEX(tblCleanData[JobSatisfaction],926))*6.25</f>
        <v>18.75</v>
      </c>
      <c r="M934">
        <f>IF(INDEX(tblCleanData[YearsAtCompany],926)&lt;=2,25,IF(INDEX(tblCleanData[YearsAtCompany],926)&lt;=5,15,IF(INDEX(tblCleanData[YearsAtCompany],926)&lt;=10,8,3)))</f>
        <v>25</v>
      </c>
      <c r="N934">
        <f t="shared" si="28"/>
        <v>84</v>
      </c>
      <c r="O934" t="str">
        <f t="shared" si="29"/>
        <v>High Risk</v>
      </c>
    </row>
    <row r="935" spans="1:15" x14ac:dyDescent="0.25">
      <c r="A935">
        <f>INDEX(tblCleanData[EmployeeNumber],927)</f>
        <v>1293</v>
      </c>
      <c r="B935" t="str">
        <f>IF(INDEX(tblCleanData[Age],927)&lt;30,"Under 30",IF(INDEX(tblCleanData[Age],927)&lt;40,"30-39",IF(INDEX(tblCleanData[Age],927)&lt;50,"40-49","50+")))</f>
        <v>40-49</v>
      </c>
      <c r="C935" t="str">
        <f>IF(INDEX(tblCleanData[MonthlyIncome],927)&lt;=$B$3,"Low Income",IF(INDEX(tblCleanData[MonthlyIncome],927)&lt;=$B$4,"Medium Income","High Income"))</f>
        <v>High Income</v>
      </c>
      <c r="D935">
        <f>IF(INDEX(tblCleanData[Attrition],927)="Yes",1,0)</f>
        <v>0</v>
      </c>
      <c r="E935">
        <f>IF(INDEX(tblCleanData[OverTime],927)="Yes",1,0)</f>
        <v>0</v>
      </c>
      <c r="F935" t="str">
        <f>CHOOSE(INDEX(tblCleanData[Education],927),"Below College","College","Bachelor","Master","Doctor")</f>
        <v>Master</v>
      </c>
      <c r="G935" t="str">
        <f>IF(INDEX(tblCleanData[YearsAtCompany],927)&lt;=2,"0-2 Years",IF(INDEX(tblCleanData[YearsAtCompany],927)&lt;=5,"3-5 Years",IF(INDEX(tblCleanData[YearsAtCompany],927)&lt;=10,"6-10 Years","10+ Years")))</f>
        <v>10+ Years</v>
      </c>
      <c r="H935" t="str">
        <f>IF(INDEX(tblCleanData[WorkLifeBalance],927)&lt;=2,"Elevated","Normal")</f>
        <v>Normal</v>
      </c>
      <c r="I935">
        <f>IF(INDEX(tblCleanData[Age],927)&lt;30,30,IF(INDEX(tblCleanData[Age],927)&lt;40,20,IF(INDEX(tblCleanData[Age],927)&lt;50,10,15)))</f>
        <v>10</v>
      </c>
      <c r="J935">
        <f>IF(INDEX(tblCleanData[MonthlyIncome],927)&lt;=$B$3,25,IF(INDEX(tblCleanData[MonthlyIncome],927)&lt;=$B$4,12,5))</f>
        <v>5</v>
      </c>
      <c r="K935">
        <f>IF(INDEX(tblCleanData[OverTime],927)="Yes",25,0)</f>
        <v>0</v>
      </c>
      <c r="L935">
        <f>(5-INDEX(tblCleanData[JobSatisfaction],927))*6.25</f>
        <v>6.25</v>
      </c>
      <c r="M935">
        <f>IF(INDEX(tblCleanData[YearsAtCompany],927)&lt;=2,25,IF(INDEX(tblCleanData[YearsAtCompany],927)&lt;=5,15,IF(INDEX(tblCleanData[YearsAtCompany],927)&lt;=10,8,3)))</f>
        <v>3</v>
      </c>
      <c r="N935">
        <f t="shared" si="28"/>
        <v>24</v>
      </c>
      <c r="O935" t="str">
        <f t="shared" si="29"/>
        <v>Low Risk</v>
      </c>
    </row>
    <row r="936" spans="1:15" x14ac:dyDescent="0.25">
      <c r="A936">
        <f>INDEX(tblCleanData[EmployeeNumber],928)</f>
        <v>1294</v>
      </c>
      <c r="B936" t="str">
        <f>IF(INDEX(tblCleanData[Age],928)&lt;30,"Under 30",IF(INDEX(tblCleanData[Age],928)&lt;40,"30-39",IF(INDEX(tblCleanData[Age],928)&lt;50,"40-49","50+")))</f>
        <v>30-39</v>
      </c>
      <c r="C936" t="str">
        <f>IF(INDEX(tblCleanData[MonthlyIncome],928)&lt;=$B$3,"Low Income",IF(INDEX(tblCleanData[MonthlyIncome],928)&lt;=$B$4,"Medium Income","High Income"))</f>
        <v>High Income</v>
      </c>
      <c r="D936">
        <f>IF(INDEX(tblCleanData[Attrition],928)="Yes",1,0)</f>
        <v>0</v>
      </c>
      <c r="E936">
        <f>IF(INDEX(tblCleanData[OverTime],928)="Yes",1,0)</f>
        <v>1</v>
      </c>
      <c r="F936" t="str">
        <f>CHOOSE(INDEX(tblCleanData[Education],928),"Below College","College","Bachelor","Master","Doctor")</f>
        <v>Master</v>
      </c>
      <c r="G936" t="str">
        <f>IF(INDEX(tblCleanData[YearsAtCompany],928)&lt;=2,"0-2 Years",IF(INDEX(tblCleanData[YearsAtCompany],928)&lt;=5,"3-5 Years",IF(INDEX(tblCleanData[YearsAtCompany],928)&lt;=10,"6-10 Years","10+ Years")))</f>
        <v>10+ Years</v>
      </c>
      <c r="H936" t="str">
        <f>IF(INDEX(tblCleanData[WorkLifeBalance],928)&lt;=2,"Elevated","Normal")</f>
        <v>Normal</v>
      </c>
      <c r="I936">
        <f>IF(INDEX(tblCleanData[Age],928)&lt;30,30,IF(INDEX(tblCleanData[Age],928)&lt;40,20,IF(INDEX(tblCleanData[Age],928)&lt;50,10,15)))</f>
        <v>20</v>
      </c>
      <c r="J936">
        <f>IF(INDEX(tblCleanData[MonthlyIncome],928)&lt;=$B$3,25,IF(INDEX(tblCleanData[MonthlyIncome],928)&lt;=$B$4,12,5))</f>
        <v>5</v>
      </c>
      <c r="K936">
        <f>IF(INDEX(tblCleanData[OverTime],928)="Yes",25,0)</f>
        <v>25</v>
      </c>
      <c r="L936">
        <f>(5-INDEX(tblCleanData[JobSatisfaction],928))*6.25</f>
        <v>18.75</v>
      </c>
      <c r="M936">
        <f>IF(INDEX(tblCleanData[YearsAtCompany],928)&lt;=2,25,IF(INDEX(tblCleanData[YearsAtCompany],928)&lt;=5,15,IF(INDEX(tblCleanData[YearsAtCompany],928)&lt;=10,8,3)))</f>
        <v>3</v>
      </c>
      <c r="N936">
        <f t="shared" si="28"/>
        <v>72</v>
      </c>
      <c r="O936" t="str">
        <f t="shared" si="29"/>
        <v>High Risk</v>
      </c>
    </row>
    <row r="937" spans="1:15" x14ac:dyDescent="0.25">
      <c r="A937">
        <f>INDEX(tblCleanData[EmployeeNumber],929)</f>
        <v>1295</v>
      </c>
      <c r="B937" t="str">
        <f>IF(INDEX(tblCleanData[Age],929)&lt;30,"Under 30",IF(INDEX(tblCleanData[Age],929)&lt;40,"30-39",IF(INDEX(tblCleanData[Age],929)&lt;50,"40-49","50+")))</f>
        <v>40-49</v>
      </c>
      <c r="C937" t="str">
        <f>IF(INDEX(tblCleanData[MonthlyIncome],929)&lt;=$B$3,"Low Income",IF(INDEX(tblCleanData[MonthlyIncome],929)&lt;=$B$4,"Medium Income","High Income"))</f>
        <v>High Income</v>
      </c>
      <c r="D937">
        <f>IF(INDEX(tblCleanData[Attrition],929)="Yes",1,0)</f>
        <v>1</v>
      </c>
      <c r="E937">
        <f>IF(INDEX(tblCleanData[OverTime],929)="Yes",1,0)</f>
        <v>0</v>
      </c>
      <c r="F937" t="str">
        <f>CHOOSE(INDEX(tblCleanData[Education],929),"Below College","College","Bachelor","Master","Doctor")</f>
        <v>Bachelor</v>
      </c>
      <c r="G937" t="str">
        <f>IF(INDEX(tblCleanData[YearsAtCompany],929)&lt;=2,"0-2 Years",IF(INDEX(tblCleanData[YearsAtCompany],929)&lt;=5,"3-5 Years",IF(INDEX(tblCleanData[YearsAtCompany],929)&lt;=10,"6-10 Years","10+ Years")))</f>
        <v>6-10 Years</v>
      </c>
      <c r="H937" t="str">
        <f>IF(INDEX(tblCleanData[WorkLifeBalance],929)&lt;=2,"Elevated","Normal")</f>
        <v>Normal</v>
      </c>
      <c r="I937">
        <f>IF(INDEX(tblCleanData[Age],929)&lt;30,30,IF(INDEX(tblCleanData[Age],929)&lt;40,20,IF(INDEX(tblCleanData[Age],929)&lt;50,10,15)))</f>
        <v>10</v>
      </c>
      <c r="J937">
        <f>IF(INDEX(tblCleanData[MonthlyIncome],929)&lt;=$B$3,25,IF(INDEX(tblCleanData[MonthlyIncome],929)&lt;=$B$4,12,5))</f>
        <v>5</v>
      </c>
      <c r="K937">
        <f>IF(INDEX(tblCleanData[OverTime],929)="Yes",25,0)</f>
        <v>0</v>
      </c>
      <c r="L937">
        <f>(5-INDEX(tblCleanData[JobSatisfaction],929))*6.25</f>
        <v>6.25</v>
      </c>
      <c r="M937">
        <f>IF(INDEX(tblCleanData[YearsAtCompany],929)&lt;=2,25,IF(INDEX(tblCleanData[YearsAtCompany],929)&lt;=5,15,IF(INDEX(tblCleanData[YearsAtCompany],929)&lt;=10,8,3)))</f>
        <v>8</v>
      </c>
      <c r="N937">
        <f t="shared" si="28"/>
        <v>29</v>
      </c>
      <c r="O937" t="str">
        <f t="shared" si="29"/>
        <v>Low Risk</v>
      </c>
    </row>
    <row r="938" spans="1:15" x14ac:dyDescent="0.25">
      <c r="A938">
        <f>INDEX(tblCleanData[EmployeeNumber],930)</f>
        <v>1296</v>
      </c>
      <c r="B938" t="str">
        <f>IF(INDEX(tblCleanData[Age],930)&lt;30,"Under 30",IF(INDEX(tblCleanData[Age],930)&lt;40,"30-39",IF(INDEX(tblCleanData[Age],930)&lt;50,"40-49","50+")))</f>
        <v>Under 30</v>
      </c>
      <c r="C938" t="str">
        <f>IF(INDEX(tblCleanData[MonthlyIncome],930)&lt;=$B$3,"Low Income",IF(INDEX(tblCleanData[MonthlyIncome],930)&lt;=$B$4,"Medium Income","High Income"))</f>
        <v>High Income</v>
      </c>
      <c r="D938">
        <f>IF(INDEX(tblCleanData[Attrition],930)="Yes",1,0)</f>
        <v>0</v>
      </c>
      <c r="E938">
        <f>IF(INDEX(tblCleanData[OverTime],930)="Yes",1,0)</f>
        <v>1</v>
      </c>
      <c r="F938" t="str">
        <f>CHOOSE(INDEX(tblCleanData[Education],930),"Below College","College","Bachelor","Master","Doctor")</f>
        <v>Bachelor</v>
      </c>
      <c r="G938" t="str">
        <f>IF(INDEX(tblCleanData[YearsAtCompany],930)&lt;=2,"0-2 Years",IF(INDEX(tblCleanData[YearsAtCompany],930)&lt;=5,"3-5 Years",IF(INDEX(tblCleanData[YearsAtCompany],930)&lt;=10,"6-10 Years","10+ Years")))</f>
        <v>0-2 Years</v>
      </c>
      <c r="H938" t="str">
        <f>IF(INDEX(tblCleanData[WorkLifeBalance],930)&lt;=2,"Elevated","Normal")</f>
        <v>Normal</v>
      </c>
      <c r="I938">
        <f>IF(INDEX(tblCleanData[Age],930)&lt;30,30,IF(INDEX(tblCleanData[Age],930)&lt;40,20,IF(INDEX(tblCleanData[Age],930)&lt;50,10,15)))</f>
        <v>30</v>
      </c>
      <c r="J938">
        <f>IF(INDEX(tblCleanData[MonthlyIncome],930)&lt;=$B$3,25,IF(INDEX(tblCleanData[MonthlyIncome],930)&lt;=$B$4,12,5))</f>
        <v>5</v>
      </c>
      <c r="K938">
        <f>IF(INDEX(tblCleanData[OverTime],930)="Yes",25,0)</f>
        <v>25</v>
      </c>
      <c r="L938">
        <f>(5-INDEX(tblCleanData[JobSatisfaction],930))*6.25</f>
        <v>6.25</v>
      </c>
      <c r="M938">
        <f>IF(INDEX(tblCleanData[YearsAtCompany],930)&lt;=2,25,IF(INDEX(tblCleanData[YearsAtCompany],930)&lt;=5,15,IF(INDEX(tblCleanData[YearsAtCompany],930)&lt;=10,8,3)))</f>
        <v>25</v>
      </c>
      <c r="N938">
        <f t="shared" si="28"/>
        <v>91</v>
      </c>
      <c r="O938" t="str">
        <f t="shared" si="29"/>
        <v>High Risk</v>
      </c>
    </row>
    <row r="939" spans="1:15" x14ac:dyDescent="0.25">
      <c r="A939">
        <f>INDEX(tblCleanData[EmployeeNumber],931)</f>
        <v>1297</v>
      </c>
      <c r="B939" t="str">
        <f>IF(INDEX(tblCleanData[Age],931)&lt;30,"Under 30",IF(INDEX(tblCleanData[Age],931)&lt;40,"30-39",IF(INDEX(tblCleanData[Age],931)&lt;50,"40-49","50+")))</f>
        <v>50+</v>
      </c>
      <c r="C939" t="str">
        <f>IF(INDEX(tblCleanData[MonthlyIncome],931)&lt;=$B$3,"Low Income",IF(INDEX(tblCleanData[MonthlyIncome],931)&lt;=$B$4,"Medium Income","High Income"))</f>
        <v>High Income</v>
      </c>
      <c r="D939">
        <f>IF(INDEX(tblCleanData[Attrition],931)="Yes",1,0)</f>
        <v>0</v>
      </c>
      <c r="E939">
        <f>IF(INDEX(tblCleanData[OverTime],931)="Yes",1,0)</f>
        <v>0</v>
      </c>
      <c r="F939" t="str">
        <f>CHOOSE(INDEX(tblCleanData[Education],931),"Below College","College","Bachelor","Master","Doctor")</f>
        <v>College</v>
      </c>
      <c r="G939" t="str">
        <f>IF(INDEX(tblCleanData[YearsAtCompany],931)&lt;=2,"0-2 Years",IF(INDEX(tblCleanData[YearsAtCompany],931)&lt;=5,"3-5 Years",IF(INDEX(tblCleanData[YearsAtCompany],931)&lt;=10,"6-10 Years","10+ Years")))</f>
        <v>6-10 Years</v>
      </c>
      <c r="H939" t="str">
        <f>IF(INDEX(tblCleanData[WorkLifeBalance],931)&lt;=2,"Elevated","Normal")</f>
        <v>Elevated</v>
      </c>
      <c r="I939">
        <f>IF(INDEX(tblCleanData[Age],931)&lt;30,30,IF(INDEX(tblCleanData[Age],931)&lt;40,20,IF(INDEX(tblCleanData[Age],931)&lt;50,10,15)))</f>
        <v>15</v>
      </c>
      <c r="J939">
        <f>IF(INDEX(tblCleanData[MonthlyIncome],931)&lt;=$B$3,25,IF(INDEX(tblCleanData[MonthlyIncome],931)&lt;=$B$4,12,5))</f>
        <v>5</v>
      </c>
      <c r="K939">
        <f>IF(INDEX(tblCleanData[OverTime],931)="Yes",25,0)</f>
        <v>0</v>
      </c>
      <c r="L939">
        <f>(5-INDEX(tblCleanData[JobSatisfaction],931))*6.25</f>
        <v>12.5</v>
      </c>
      <c r="M939">
        <f>IF(INDEX(tblCleanData[YearsAtCompany],931)&lt;=2,25,IF(INDEX(tblCleanData[YearsAtCompany],931)&lt;=5,15,IF(INDEX(tblCleanData[YearsAtCompany],931)&lt;=10,8,3)))</f>
        <v>8</v>
      </c>
      <c r="N939">
        <f t="shared" si="28"/>
        <v>41</v>
      </c>
      <c r="O939" t="str">
        <f t="shared" si="29"/>
        <v>Medium Risk</v>
      </c>
    </row>
    <row r="940" spans="1:15" x14ac:dyDescent="0.25">
      <c r="A940">
        <f>INDEX(tblCleanData[EmployeeNumber],932)</f>
        <v>1298</v>
      </c>
      <c r="B940" t="str">
        <f>IF(INDEX(tblCleanData[Age],932)&lt;30,"Under 30",IF(INDEX(tblCleanData[Age],932)&lt;40,"30-39",IF(INDEX(tblCleanData[Age],932)&lt;50,"40-49","50+")))</f>
        <v>30-39</v>
      </c>
      <c r="C940" t="str">
        <f>IF(INDEX(tblCleanData[MonthlyIncome],932)&lt;=$B$3,"Low Income",IF(INDEX(tblCleanData[MonthlyIncome],932)&lt;=$B$4,"Medium Income","High Income"))</f>
        <v>High Income</v>
      </c>
      <c r="D940">
        <f>IF(INDEX(tblCleanData[Attrition],932)="Yes",1,0)</f>
        <v>0</v>
      </c>
      <c r="E940">
        <f>IF(INDEX(tblCleanData[OverTime],932)="Yes",1,0)</f>
        <v>1</v>
      </c>
      <c r="F940" t="str">
        <f>CHOOSE(INDEX(tblCleanData[Education],932),"Below College","College","Bachelor","Master","Doctor")</f>
        <v>College</v>
      </c>
      <c r="G940" t="str">
        <f>IF(INDEX(tblCleanData[YearsAtCompany],932)&lt;=2,"0-2 Years",IF(INDEX(tblCleanData[YearsAtCompany],932)&lt;=5,"3-5 Years",IF(INDEX(tblCleanData[YearsAtCompany],932)&lt;=10,"6-10 Years","10+ Years")))</f>
        <v>6-10 Years</v>
      </c>
      <c r="H940" t="str">
        <f>IF(INDEX(tblCleanData[WorkLifeBalance],932)&lt;=2,"Elevated","Normal")</f>
        <v>Normal</v>
      </c>
      <c r="I940">
        <f>IF(INDEX(tblCleanData[Age],932)&lt;30,30,IF(INDEX(tblCleanData[Age],932)&lt;40,20,IF(INDEX(tblCleanData[Age],932)&lt;50,10,15)))</f>
        <v>20</v>
      </c>
      <c r="J940">
        <f>IF(INDEX(tblCleanData[MonthlyIncome],932)&lt;=$B$3,25,IF(INDEX(tblCleanData[MonthlyIncome],932)&lt;=$B$4,12,5))</f>
        <v>5</v>
      </c>
      <c r="K940">
        <f>IF(INDEX(tblCleanData[OverTime],932)="Yes",25,0)</f>
        <v>25</v>
      </c>
      <c r="L940">
        <f>(5-INDEX(tblCleanData[JobSatisfaction],932))*6.25</f>
        <v>12.5</v>
      </c>
      <c r="M940">
        <f>IF(INDEX(tblCleanData[YearsAtCompany],932)&lt;=2,25,IF(INDEX(tblCleanData[YearsAtCompany],932)&lt;=5,15,IF(INDEX(tblCleanData[YearsAtCompany],932)&lt;=10,8,3)))</f>
        <v>8</v>
      </c>
      <c r="N940">
        <f t="shared" si="28"/>
        <v>71</v>
      </c>
      <c r="O940" t="str">
        <f t="shared" si="29"/>
        <v>High Risk</v>
      </c>
    </row>
    <row r="941" spans="1:15" x14ac:dyDescent="0.25">
      <c r="A941">
        <f>INDEX(tblCleanData[EmployeeNumber],933)</f>
        <v>1299</v>
      </c>
      <c r="B941" t="str">
        <f>IF(INDEX(tblCleanData[Age],933)&lt;30,"Under 30",IF(INDEX(tblCleanData[Age],933)&lt;40,"30-39",IF(INDEX(tblCleanData[Age],933)&lt;50,"40-49","50+")))</f>
        <v>Under 30</v>
      </c>
      <c r="C941" t="str">
        <f>IF(INDEX(tblCleanData[MonthlyIncome],933)&lt;=$B$3,"Low Income",IF(INDEX(tblCleanData[MonthlyIncome],933)&lt;=$B$4,"Medium Income","High Income"))</f>
        <v>High Income</v>
      </c>
      <c r="D941">
        <f>IF(INDEX(tblCleanData[Attrition],933)="Yes",1,0)</f>
        <v>1</v>
      </c>
      <c r="E941">
        <f>IF(INDEX(tblCleanData[OverTime],933)="Yes",1,0)</f>
        <v>1</v>
      </c>
      <c r="F941" t="str">
        <f>CHOOSE(INDEX(tblCleanData[Education],933),"Below College","College","Bachelor","Master","Doctor")</f>
        <v>Bachelor</v>
      </c>
      <c r="G941" t="str">
        <f>IF(INDEX(tblCleanData[YearsAtCompany],933)&lt;=2,"0-2 Years",IF(INDEX(tblCleanData[YearsAtCompany],933)&lt;=5,"3-5 Years",IF(INDEX(tblCleanData[YearsAtCompany],933)&lt;=10,"6-10 Years","10+ Years")))</f>
        <v>6-10 Years</v>
      </c>
      <c r="H941" t="str">
        <f>IF(INDEX(tblCleanData[WorkLifeBalance],933)&lt;=2,"Elevated","Normal")</f>
        <v>Normal</v>
      </c>
      <c r="I941">
        <f>IF(INDEX(tblCleanData[Age],933)&lt;30,30,IF(INDEX(tblCleanData[Age],933)&lt;40,20,IF(INDEX(tblCleanData[Age],933)&lt;50,10,15)))</f>
        <v>30</v>
      </c>
      <c r="J941">
        <f>IF(INDEX(tblCleanData[MonthlyIncome],933)&lt;=$B$3,25,IF(INDEX(tblCleanData[MonthlyIncome],933)&lt;=$B$4,12,5))</f>
        <v>5</v>
      </c>
      <c r="K941">
        <f>IF(INDEX(tblCleanData[OverTime],933)="Yes",25,0)</f>
        <v>25</v>
      </c>
      <c r="L941">
        <f>(5-INDEX(tblCleanData[JobSatisfaction],933))*6.25</f>
        <v>12.5</v>
      </c>
      <c r="M941">
        <f>IF(INDEX(tblCleanData[YearsAtCompany],933)&lt;=2,25,IF(INDEX(tblCleanData[YearsAtCompany],933)&lt;=5,15,IF(INDEX(tblCleanData[YearsAtCompany],933)&lt;=10,8,3)))</f>
        <v>8</v>
      </c>
      <c r="N941">
        <f t="shared" si="28"/>
        <v>81</v>
      </c>
      <c r="O941" t="str">
        <f t="shared" si="29"/>
        <v>High Risk</v>
      </c>
    </row>
    <row r="942" spans="1:15" x14ac:dyDescent="0.25">
      <c r="A942">
        <f>INDEX(tblCleanData[EmployeeNumber],934)</f>
        <v>1301</v>
      </c>
      <c r="B942" t="str">
        <f>IF(INDEX(tblCleanData[Age],934)&lt;30,"Under 30",IF(INDEX(tblCleanData[Age],934)&lt;40,"30-39",IF(INDEX(tblCleanData[Age],934)&lt;50,"40-49","50+")))</f>
        <v>Under 30</v>
      </c>
      <c r="C942" t="str">
        <f>IF(INDEX(tblCleanData[MonthlyIncome],934)&lt;=$B$3,"Low Income",IF(INDEX(tblCleanData[MonthlyIncome],934)&lt;=$B$4,"Medium Income","High Income"))</f>
        <v>High Income</v>
      </c>
      <c r="D942">
        <f>IF(INDEX(tblCleanData[Attrition],934)="Yes",1,0)</f>
        <v>0</v>
      </c>
      <c r="E942">
        <f>IF(INDEX(tblCleanData[OverTime],934)="Yes",1,0)</f>
        <v>0</v>
      </c>
      <c r="F942" t="str">
        <f>CHOOSE(INDEX(tblCleanData[Education],934),"Below College","College","Bachelor","Master","Doctor")</f>
        <v>Bachelor</v>
      </c>
      <c r="G942" t="str">
        <f>IF(INDEX(tblCleanData[YearsAtCompany],934)&lt;=2,"0-2 Years",IF(INDEX(tblCleanData[YearsAtCompany],934)&lt;=5,"3-5 Years",IF(INDEX(tblCleanData[YearsAtCompany],934)&lt;=10,"6-10 Years","10+ Years")))</f>
        <v>3-5 Years</v>
      </c>
      <c r="H942" t="str">
        <f>IF(INDEX(tblCleanData[WorkLifeBalance],934)&lt;=2,"Elevated","Normal")</f>
        <v>Elevated</v>
      </c>
      <c r="I942">
        <f>IF(INDEX(tblCleanData[Age],934)&lt;30,30,IF(INDEX(tblCleanData[Age],934)&lt;40,20,IF(INDEX(tblCleanData[Age],934)&lt;50,10,15)))</f>
        <v>30</v>
      </c>
      <c r="J942">
        <f>IF(INDEX(tblCleanData[MonthlyIncome],934)&lt;=$B$3,25,IF(INDEX(tblCleanData[MonthlyIncome],934)&lt;=$B$4,12,5))</f>
        <v>5</v>
      </c>
      <c r="K942">
        <f>IF(INDEX(tblCleanData[OverTime],934)="Yes",25,0)</f>
        <v>0</v>
      </c>
      <c r="L942">
        <f>(5-INDEX(tblCleanData[JobSatisfaction],934))*6.25</f>
        <v>25</v>
      </c>
      <c r="M942">
        <f>IF(INDEX(tblCleanData[YearsAtCompany],934)&lt;=2,25,IF(INDEX(tblCleanData[YearsAtCompany],934)&lt;=5,15,IF(INDEX(tblCleanData[YearsAtCompany],934)&lt;=10,8,3)))</f>
        <v>15</v>
      </c>
      <c r="N942">
        <f t="shared" si="28"/>
        <v>75</v>
      </c>
      <c r="O942" t="str">
        <f t="shared" si="29"/>
        <v>High Risk</v>
      </c>
    </row>
    <row r="943" spans="1:15" x14ac:dyDescent="0.25">
      <c r="A943">
        <f>INDEX(tblCleanData[EmployeeNumber],935)</f>
        <v>1303</v>
      </c>
      <c r="B943" t="str">
        <f>IF(INDEX(tblCleanData[Age],935)&lt;30,"Under 30",IF(INDEX(tblCleanData[Age],935)&lt;40,"30-39",IF(INDEX(tblCleanData[Age],935)&lt;50,"40-49","50+")))</f>
        <v>Under 30</v>
      </c>
      <c r="C943" t="str">
        <f>IF(INDEX(tblCleanData[MonthlyIncome],935)&lt;=$B$3,"Low Income",IF(INDEX(tblCleanData[MonthlyIncome],935)&lt;=$B$4,"Medium Income","High Income"))</f>
        <v>High Income</v>
      </c>
      <c r="D943">
        <f>IF(INDEX(tblCleanData[Attrition],935)="Yes",1,0)</f>
        <v>0</v>
      </c>
      <c r="E943">
        <f>IF(INDEX(tblCleanData[OverTime],935)="Yes",1,0)</f>
        <v>0</v>
      </c>
      <c r="F943" t="str">
        <f>CHOOSE(INDEX(tblCleanData[Education],935),"Below College","College","Bachelor","Master","Doctor")</f>
        <v>Bachelor</v>
      </c>
      <c r="G943" t="str">
        <f>IF(INDEX(tblCleanData[YearsAtCompany],935)&lt;=2,"0-2 Years",IF(INDEX(tblCleanData[YearsAtCompany],935)&lt;=5,"3-5 Years",IF(INDEX(tblCleanData[YearsAtCompany],935)&lt;=10,"6-10 Years","10+ Years")))</f>
        <v>0-2 Years</v>
      </c>
      <c r="H943" t="str">
        <f>IF(INDEX(tblCleanData[WorkLifeBalance],935)&lt;=2,"Elevated","Normal")</f>
        <v>Elevated</v>
      </c>
      <c r="I943">
        <f>IF(INDEX(tblCleanData[Age],935)&lt;30,30,IF(INDEX(tblCleanData[Age],935)&lt;40,20,IF(INDEX(tblCleanData[Age],935)&lt;50,10,15)))</f>
        <v>30</v>
      </c>
      <c r="J943">
        <f>IF(INDEX(tblCleanData[MonthlyIncome],935)&lt;=$B$3,25,IF(INDEX(tblCleanData[MonthlyIncome],935)&lt;=$B$4,12,5))</f>
        <v>5</v>
      </c>
      <c r="K943">
        <f>IF(INDEX(tblCleanData[OverTime],935)="Yes",25,0)</f>
        <v>0</v>
      </c>
      <c r="L943">
        <f>(5-INDEX(tblCleanData[JobSatisfaction],935))*6.25</f>
        <v>18.75</v>
      </c>
      <c r="M943">
        <f>IF(INDEX(tblCleanData[YearsAtCompany],935)&lt;=2,25,IF(INDEX(tblCleanData[YearsAtCompany],935)&lt;=5,15,IF(INDEX(tblCleanData[YearsAtCompany],935)&lt;=10,8,3)))</f>
        <v>25</v>
      </c>
      <c r="N943">
        <f t="shared" si="28"/>
        <v>79</v>
      </c>
      <c r="O943" t="str">
        <f t="shared" si="29"/>
        <v>High Risk</v>
      </c>
    </row>
    <row r="944" spans="1:15" x14ac:dyDescent="0.25">
      <c r="A944">
        <f>INDEX(tblCleanData[EmployeeNumber],936)</f>
        <v>1304</v>
      </c>
      <c r="B944" t="str">
        <f>IF(INDEX(tblCleanData[Age],936)&lt;30,"Under 30",IF(INDEX(tblCleanData[Age],936)&lt;40,"30-39",IF(INDEX(tblCleanData[Age],936)&lt;50,"40-49","50+")))</f>
        <v>30-39</v>
      </c>
      <c r="C944" t="str">
        <f>IF(INDEX(tblCleanData[MonthlyIncome],936)&lt;=$B$3,"Low Income",IF(INDEX(tblCleanData[MonthlyIncome],936)&lt;=$B$4,"Medium Income","High Income"))</f>
        <v>High Income</v>
      </c>
      <c r="D944">
        <f>IF(INDEX(tblCleanData[Attrition],936)="Yes",1,0)</f>
        <v>0</v>
      </c>
      <c r="E944">
        <f>IF(INDEX(tblCleanData[OverTime],936)="Yes",1,0)</f>
        <v>0</v>
      </c>
      <c r="F944" t="str">
        <f>CHOOSE(INDEX(tblCleanData[Education],936),"Below College","College","Bachelor","Master","Doctor")</f>
        <v>Bachelor</v>
      </c>
      <c r="G944" t="str">
        <f>IF(INDEX(tblCleanData[YearsAtCompany],936)&lt;=2,"0-2 Years",IF(INDEX(tblCleanData[YearsAtCompany],936)&lt;=5,"3-5 Years",IF(INDEX(tblCleanData[YearsAtCompany],936)&lt;=10,"6-10 Years","10+ Years")))</f>
        <v>6-10 Years</v>
      </c>
      <c r="H944" t="str">
        <f>IF(INDEX(tblCleanData[WorkLifeBalance],936)&lt;=2,"Elevated","Normal")</f>
        <v>Normal</v>
      </c>
      <c r="I944">
        <f>IF(INDEX(tblCleanData[Age],936)&lt;30,30,IF(INDEX(tblCleanData[Age],936)&lt;40,20,IF(INDEX(tblCleanData[Age],936)&lt;50,10,15)))</f>
        <v>20</v>
      </c>
      <c r="J944">
        <f>IF(INDEX(tblCleanData[MonthlyIncome],936)&lt;=$B$3,25,IF(INDEX(tblCleanData[MonthlyIncome],936)&lt;=$B$4,12,5))</f>
        <v>5</v>
      </c>
      <c r="K944">
        <f>IF(INDEX(tblCleanData[OverTime],936)="Yes",25,0)</f>
        <v>0</v>
      </c>
      <c r="L944">
        <f>(5-INDEX(tblCleanData[JobSatisfaction],936))*6.25</f>
        <v>6.25</v>
      </c>
      <c r="M944">
        <f>IF(INDEX(tblCleanData[YearsAtCompany],936)&lt;=2,25,IF(INDEX(tblCleanData[YearsAtCompany],936)&lt;=5,15,IF(INDEX(tblCleanData[YearsAtCompany],936)&lt;=10,8,3)))</f>
        <v>8</v>
      </c>
      <c r="N944">
        <f t="shared" si="28"/>
        <v>39</v>
      </c>
      <c r="O944" t="str">
        <f t="shared" si="29"/>
        <v>Medium Risk</v>
      </c>
    </row>
    <row r="945" spans="1:15" x14ac:dyDescent="0.25">
      <c r="A945">
        <f>INDEX(tblCleanData[EmployeeNumber],937)</f>
        <v>1306</v>
      </c>
      <c r="B945" t="str">
        <f>IF(INDEX(tblCleanData[Age],937)&lt;30,"Under 30",IF(INDEX(tblCleanData[Age],937)&lt;40,"30-39",IF(INDEX(tblCleanData[Age],937)&lt;50,"40-49","50+")))</f>
        <v>40-49</v>
      </c>
      <c r="C945" t="str">
        <f>IF(INDEX(tblCleanData[MonthlyIncome],937)&lt;=$B$3,"Low Income",IF(INDEX(tblCleanData[MonthlyIncome],937)&lt;=$B$4,"Medium Income","High Income"))</f>
        <v>High Income</v>
      </c>
      <c r="D945">
        <f>IF(INDEX(tblCleanData[Attrition],937)="Yes",1,0)</f>
        <v>0</v>
      </c>
      <c r="E945">
        <f>IF(INDEX(tblCleanData[OverTime],937)="Yes",1,0)</f>
        <v>0</v>
      </c>
      <c r="F945" t="str">
        <f>CHOOSE(INDEX(tblCleanData[Education],937),"Below College","College","Bachelor","Master","Doctor")</f>
        <v>Bachelor</v>
      </c>
      <c r="G945" t="str">
        <f>IF(INDEX(tblCleanData[YearsAtCompany],937)&lt;=2,"0-2 Years",IF(INDEX(tblCleanData[YearsAtCompany],937)&lt;=5,"3-5 Years",IF(INDEX(tblCleanData[YearsAtCompany],937)&lt;=10,"6-10 Years","10+ Years")))</f>
        <v>0-2 Years</v>
      </c>
      <c r="H945" t="str">
        <f>IF(INDEX(tblCleanData[WorkLifeBalance],937)&lt;=2,"Elevated","Normal")</f>
        <v>Normal</v>
      </c>
      <c r="I945">
        <f>IF(INDEX(tblCleanData[Age],937)&lt;30,30,IF(INDEX(tblCleanData[Age],937)&lt;40,20,IF(INDEX(tblCleanData[Age],937)&lt;50,10,15)))</f>
        <v>10</v>
      </c>
      <c r="J945">
        <f>IF(INDEX(tblCleanData[MonthlyIncome],937)&lt;=$B$3,25,IF(INDEX(tblCleanData[MonthlyIncome],937)&lt;=$B$4,12,5))</f>
        <v>5</v>
      </c>
      <c r="K945">
        <f>IF(INDEX(tblCleanData[OverTime],937)="Yes",25,0)</f>
        <v>0</v>
      </c>
      <c r="L945">
        <f>(5-INDEX(tblCleanData[JobSatisfaction],937))*6.25</f>
        <v>18.75</v>
      </c>
      <c r="M945">
        <f>IF(INDEX(tblCleanData[YearsAtCompany],937)&lt;=2,25,IF(INDEX(tblCleanData[YearsAtCompany],937)&lt;=5,15,IF(INDEX(tblCleanData[YearsAtCompany],937)&lt;=10,8,3)))</f>
        <v>25</v>
      </c>
      <c r="N945">
        <f t="shared" si="28"/>
        <v>59</v>
      </c>
      <c r="O945" t="str">
        <f t="shared" si="29"/>
        <v>High Risk</v>
      </c>
    </row>
    <row r="946" spans="1:15" x14ac:dyDescent="0.25">
      <c r="A946">
        <f>INDEX(tblCleanData[EmployeeNumber],938)</f>
        <v>1307</v>
      </c>
      <c r="B946" t="str">
        <f>IF(INDEX(tblCleanData[Age],938)&lt;30,"Under 30",IF(INDEX(tblCleanData[Age],938)&lt;40,"30-39",IF(INDEX(tblCleanData[Age],938)&lt;50,"40-49","50+")))</f>
        <v>30-39</v>
      </c>
      <c r="C946" t="str">
        <f>IF(INDEX(tblCleanData[MonthlyIncome],938)&lt;=$B$3,"Low Income",IF(INDEX(tblCleanData[MonthlyIncome],938)&lt;=$B$4,"Medium Income","High Income"))</f>
        <v>High Income</v>
      </c>
      <c r="D946">
        <f>IF(INDEX(tblCleanData[Attrition],938)="Yes",1,0)</f>
        <v>0</v>
      </c>
      <c r="E946">
        <f>IF(INDEX(tblCleanData[OverTime],938)="Yes",1,0)</f>
        <v>1</v>
      </c>
      <c r="F946" t="str">
        <f>CHOOSE(INDEX(tblCleanData[Education],938),"Below College","College","Bachelor","Master","Doctor")</f>
        <v>Master</v>
      </c>
      <c r="G946" t="str">
        <f>IF(INDEX(tblCleanData[YearsAtCompany],938)&lt;=2,"0-2 Years",IF(INDEX(tblCleanData[YearsAtCompany],938)&lt;=5,"3-5 Years",IF(INDEX(tblCleanData[YearsAtCompany],938)&lt;=10,"6-10 Years","10+ Years")))</f>
        <v>10+ Years</v>
      </c>
      <c r="H946" t="str">
        <f>IF(INDEX(tblCleanData[WorkLifeBalance],938)&lt;=2,"Elevated","Normal")</f>
        <v>Normal</v>
      </c>
      <c r="I946">
        <f>IF(INDEX(tblCleanData[Age],938)&lt;30,30,IF(INDEX(tblCleanData[Age],938)&lt;40,20,IF(INDEX(tblCleanData[Age],938)&lt;50,10,15)))</f>
        <v>20</v>
      </c>
      <c r="J946">
        <f>IF(INDEX(tblCleanData[MonthlyIncome],938)&lt;=$B$3,25,IF(INDEX(tblCleanData[MonthlyIncome],938)&lt;=$B$4,12,5))</f>
        <v>5</v>
      </c>
      <c r="K946">
        <f>IF(INDEX(tblCleanData[OverTime],938)="Yes",25,0)</f>
        <v>25</v>
      </c>
      <c r="L946">
        <f>(5-INDEX(tblCleanData[JobSatisfaction],938))*6.25</f>
        <v>18.75</v>
      </c>
      <c r="M946">
        <f>IF(INDEX(tblCleanData[YearsAtCompany],938)&lt;=2,25,IF(INDEX(tblCleanData[YearsAtCompany],938)&lt;=5,15,IF(INDEX(tblCleanData[YearsAtCompany],938)&lt;=10,8,3)))</f>
        <v>3</v>
      </c>
      <c r="N946">
        <f t="shared" si="28"/>
        <v>72</v>
      </c>
      <c r="O946" t="str">
        <f t="shared" si="29"/>
        <v>High Risk</v>
      </c>
    </row>
    <row r="947" spans="1:15" x14ac:dyDescent="0.25">
      <c r="A947">
        <f>INDEX(tblCleanData[EmployeeNumber],939)</f>
        <v>1308</v>
      </c>
      <c r="B947" t="str">
        <f>IF(INDEX(tblCleanData[Age],939)&lt;30,"Under 30",IF(INDEX(tblCleanData[Age],939)&lt;40,"30-39",IF(INDEX(tblCleanData[Age],939)&lt;50,"40-49","50+")))</f>
        <v>50+</v>
      </c>
      <c r="C947" t="str">
        <f>IF(INDEX(tblCleanData[MonthlyIncome],939)&lt;=$B$3,"Low Income",IF(INDEX(tblCleanData[MonthlyIncome],939)&lt;=$B$4,"Medium Income","High Income"))</f>
        <v>High Income</v>
      </c>
      <c r="D947">
        <f>IF(INDEX(tblCleanData[Attrition],939)="Yes",1,0)</f>
        <v>0</v>
      </c>
      <c r="E947">
        <f>IF(INDEX(tblCleanData[OverTime],939)="Yes",1,0)</f>
        <v>0</v>
      </c>
      <c r="F947" t="str">
        <f>CHOOSE(INDEX(tblCleanData[Education],939),"Below College","College","Bachelor","Master","Doctor")</f>
        <v>Master</v>
      </c>
      <c r="G947" t="str">
        <f>IF(INDEX(tblCleanData[YearsAtCompany],939)&lt;=2,"0-2 Years",IF(INDEX(tblCleanData[YearsAtCompany],939)&lt;=5,"3-5 Years",IF(INDEX(tblCleanData[YearsAtCompany],939)&lt;=10,"6-10 Years","10+ Years")))</f>
        <v>0-2 Years</v>
      </c>
      <c r="H947" t="str">
        <f>IF(INDEX(tblCleanData[WorkLifeBalance],939)&lt;=2,"Elevated","Normal")</f>
        <v>Normal</v>
      </c>
      <c r="I947">
        <f>IF(INDEX(tblCleanData[Age],939)&lt;30,30,IF(INDEX(tblCleanData[Age],939)&lt;40,20,IF(INDEX(tblCleanData[Age],939)&lt;50,10,15)))</f>
        <v>15</v>
      </c>
      <c r="J947">
        <f>IF(INDEX(tblCleanData[MonthlyIncome],939)&lt;=$B$3,25,IF(INDEX(tblCleanData[MonthlyIncome],939)&lt;=$B$4,12,5))</f>
        <v>5</v>
      </c>
      <c r="K947">
        <f>IF(INDEX(tblCleanData[OverTime],939)="Yes",25,0)</f>
        <v>0</v>
      </c>
      <c r="L947">
        <f>(5-INDEX(tblCleanData[JobSatisfaction],939))*6.25</f>
        <v>12.5</v>
      </c>
      <c r="M947">
        <f>IF(INDEX(tblCleanData[YearsAtCompany],939)&lt;=2,25,IF(INDEX(tblCleanData[YearsAtCompany],939)&lt;=5,15,IF(INDEX(tblCleanData[YearsAtCompany],939)&lt;=10,8,3)))</f>
        <v>25</v>
      </c>
      <c r="N947">
        <f t="shared" si="28"/>
        <v>58</v>
      </c>
      <c r="O947" t="str">
        <f t="shared" si="29"/>
        <v>High Risk</v>
      </c>
    </row>
    <row r="948" spans="1:15" x14ac:dyDescent="0.25">
      <c r="A948">
        <f>INDEX(tblCleanData[EmployeeNumber],940)</f>
        <v>1309</v>
      </c>
      <c r="B948" t="str">
        <f>IF(INDEX(tblCleanData[Age],940)&lt;30,"Under 30",IF(INDEX(tblCleanData[Age],940)&lt;40,"30-39",IF(INDEX(tblCleanData[Age],940)&lt;50,"40-49","50+")))</f>
        <v>30-39</v>
      </c>
      <c r="C948" t="str">
        <f>IF(INDEX(tblCleanData[MonthlyIncome],940)&lt;=$B$3,"Low Income",IF(INDEX(tblCleanData[MonthlyIncome],940)&lt;=$B$4,"Medium Income","High Income"))</f>
        <v>High Income</v>
      </c>
      <c r="D948">
        <f>IF(INDEX(tblCleanData[Attrition],940)="Yes",1,0)</f>
        <v>1</v>
      </c>
      <c r="E948">
        <f>IF(INDEX(tblCleanData[OverTime],940)="Yes",1,0)</f>
        <v>0</v>
      </c>
      <c r="F948" t="str">
        <f>CHOOSE(INDEX(tblCleanData[Education],940),"Below College","College","Bachelor","Master","Doctor")</f>
        <v>College</v>
      </c>
      <c r="G948" t="str">
        <f>IF(INDEX(tblCleanData[YearsAtCompany],940)&lt;=2,"0-2 Years",IF(INDEX(tblCleanData[YearsAtCompany],940)&lt;=5,"3-5 Years",IF(INDEX(tblCleanData[YearsAtCompany],940)&lt;=10,"6-10 Years","10+ Years")))</f>
        <v>6-10 Years</v>
      </c>
      <c r="H948" t="str">
        <f>IF(INDEX(tblCleanData[WorkLifeBalance],940)&lt;=2,"Elevated","Normal")</f>
        <v>Normal</v>
      </c>
      <c r="I948">
        <f>IF(INDEX(tblCleanData[Age],940)&lt;30,30,IF(INDEX(tblCleanData[Age],940)&lt;40,20,IF(INDEX(tblCleanData[Age],940)&lt;50,10,15)))</f>
        <v>20</v>
      </c>
      <c r="J948">
        <f>IF(INDEX(tblCleanData[MonthlyIncome],940)&lt;=$B$3,25,IF(INDEX(tblCleanData[MonthlyIncome],940)&lt;=$B$4,12,5))</f>
        <v>5</v>
      </c>
      <c r="K948">
        <f>IF(INDEX(tblCleanData[OverTime],940)="Yes",25,0)</f>
        <v>0</v>
      </c>
      <c r="L948">
        <f>(5-INDEX(tblCleanData[JobSatisfaction],940))*6.25</f>
        <v>12.5</v>
      </c>
      <c r="M948">
        <f>IF(INDEX(tblCleanData[YearsAtCompany],940)&lt;=2,25,IF(INDEX(tblCleanData[YearsAtCompany],940)&lt;=5,15,IF(INDEX(tblCleanData[YearsAtCompany],940)&lt;=10,8,3)))</f>
        <v>8</v>
      </c>
      <c r="N948">
        <f t="shared" si="28"/>
        <v>46</v>
      </c>
      <c r="O948" t="str">
        <f t="shared" si="29"/>
        <v>Medium Risk</v>
      </c>
    </row>
    <row r="949" spans="1:15" x14ac:dyDescent="0.25">
      <c r="A949">
        <f>INDEX(tblCleanData[EmployeeNumber],941)</f>
        <v>1310</v>
      </c>
      <c r="B949" t="str">
        <f>IF(INDEX(tblCleanData[Age],941)&lt;30,"Under 30",IF(INDEX(tblCleanData[Age],941)&lt;40,"30-39",IF(INDEX(tblCleanData[Age],941)&lt;50,"40-49","50+")))</f>
        <v>30-39</v>
      </c>
      <c r="C949" t="str">
        <f>IF(INDEX(tblCleanData[MonthlyIncome],941)&lt;=$B$3,"Low Income",IF(INDEX(tblCleanData[MonthlyIncome],941)&lt;=$B$4,"Medium Income","High Income"))</f>
        <v>High Income</v>
      </c>
      <c r="D949">
        <f>IF(INDEX(tblCleanData[Attrition],941)="Yes",1,0)</f>
        <v>1</v>
      </c>
      <c r="E949">
        <f>IF(INDEX(tblCleanData[OverTime],941)="Yes",1,0)</f>
        <v>0</v>
      </c>
      <c r="F949" t="str">
        <f>CHOOSE(INDEX(tblCleanData[Education],941),"Below College","College","Bachelor","Master","Doctor")</f>
        <v>Bachelor</v>
      </c>
      <c r="G949" t="str">
        <f>IF(INDEX(tblCleanData[YearsAtCompany],941)&lt;=2,"0-2 Years",IF(INDEX(tblCleanData[YearsAtCompany],941)&lt;=5,"3-5 Years",IF(INDEX(tblCleanData[YearsAtCompany],941)&lt;=10,"6-10 Years","10+ Years")))</f>
        <v>3-5 Years</v>
      </c>
      <c r="H949" t="str">
        <f>IF(INDEX(tblCleanData[WorkLifeBalance],941)&lt;=2,"Elevated","Normal")</f>
        <v>Normal</v>
      </c>
      <c r="I949">
        <f>IF(INDEX(tblCleanData[Age],941)&lt;30,30,IF(INDEX(tblCleanData[Age],941)&lt;40,20,IF(INDEX(tblCleanData[Age],941)&lt;50,10,15)))</f>
        <v>20</v>
      </c>
      <c r="J949">
        <f>IF(INDEX(tblCleanData[MonthlyIncome],941)&lt;=$B$3,25,IF(INDEX(tblCleanData[MonthlyIncome],941)&lt;=$B$4,12,5))</f>
        <v>5</v>
      </c>
      <c r="K949">
        <f>IF(INDEX(tblCleanData[OverTime],941)="Yes",25,0)</f>
        <v>0</v>
      </c>
      <c r="L949">
        <f>(5-INDEX(tblCleanData[JobSatisfaction],941))*6.25</f>
        <v>25</v>
      </c>
      <c r="M949">
        <f>IF(INDEX(tblCleanData[YearsAtCompany],941)&lt;=2,25,IF(INDEX(tblCleanData[YearsAtCompany],941)&lt;=5,15,IF(INDEX(tblCleanData[YearsAtCompany],941)&lt;=10,8,3)))</f>
        <v>15</v>
      </c>
      <c r="N949">
        <f t="shared" si="28"/>
        <v>65</v>
      </c>
      <c r="O949" t="str">
        <f t="shared" si="29"/>
        <v>High Risk</v>
      </c>
    </row>
    <row r="950" spans="1:15" x14ac:dyDescent="0.25">
      <c r="A950">
        <f>INDEX(tblCleanData[EmployeeNumber],942)</f>
        <v>1311</v>
      </c>
      <c r="B950" t="str">
        <f>IF(INDEX(tblCleanData[Age],942)&lt;30,"Under 30",IF(INDEX(tblCleanData[Age],942)&lt;40,"30-39",IF(INDEX(tblCleanData[Age],942)&lt;50,"40-49","50+")))</f>
        <v>30-39</v>
      </c>
      <c r="C950" t="str">
        <f>IF(INDEX(tblCleanData[MonthlyIncome],942)&lt;=$B$3,"Low Income",IF(INDEX(tblCleanData[MonthlyIncome],942)&lt;=$B$4,"Medium Income","High Income"))</f>
        <v>High Income</v>
      </c>
      <c r="D950">
        <f>IF(INDEX(tblCleanData[Attrition],942)="Yes",1,0)</f>
        <v>0</v>
      </c>
      <c r="E950">
        <f>IF(INDEX(tblCleanData[OverTime],942)="Yes",1,0)</f>
        <v>0</v>
      </c>
      <c r="F950" t="str">
        <f>CHOOSE(INDEX(tblCleanData[Education],942),"Below College","College","Bachelor","Master","Doctor")</f>
        <v>Bachelor</v>
      </c>
      <c r="G950" t="str">
        <f>IF(INDEX(tblCleanData[YearsAtCompany],942)&lt;=2,"0-2 Years",IF(INDEX(tblCleanData[YearsAtCompany],942)&lt;=5,"3-5 Years",IF(INDEX(tblCleanData[YearsAtCompany],942)&lt;=10,"6-10 Years","10+ Years")))</f>
        <v>6-10 Years</v>
      </c>
      <c r="H950" t="str">
        <f>IF(INDEX(tblCleanData[WorkLifeBalance],942)&lt;=2,"Elevated","Normal")</f>
        <v>Normal</v>
      </c>
      <c r="I950">
        <f>IF(INDEX(tblCleanData[Age],942)&lt;30,30,IF(INDEX(tblCleanData[Age],942)&lt;40,20,IF(INDEX(tblCleanData[Age],942)&lt;50,10,15)))</f>
        <v>20</v>
      </c>
      <c r="J950">
        <f>IF(INDEX(tblCleanData[MonthlyIncome],942)&lt;=$B$3,25,IF(INDEX(tblCleanData[MonthlyIncome],942)&lt;=$B$4,12,5))</f>
        <v>5</v>
      </c>
      <c r="K950">
        <f>IF(INDEX(tblCleanData[OverTime],942)="Yes",25,0)</f>
        <v>0</v>
      </c>
      <c r="L950">
        <f>(5-INDEX(tblCleanData[JobSatisfaction],942))*6.25</f>
        <v>6.25</v>
      </c>
      <c r="M950">
        <f>IF(INDEX(tblCleanData[YearsAtCompany],942)&lt;=2,25,IF(INDEX(tblCleanData[YearsAtCompany],942)&lt;=5,15,IF(INDEX(tblCleanData[YearsAtCompany],942)&lt;=10,8,3)))</f>
        <v>8</v>
      </c>
      <c r="N950">
        <f t="shared" si="28"/>
        <v>39</v>
      </c>
      <c r="O950" t="str">
        <f t="shared" si="29"/>
        <v>Medium Risk</v>
      </c>
    </row>
    <row r="951" spans="1:15" x14ac:dyDescent="0.25">
      <c r="A951">
        <f>INDEX(tblCleanData[EmployeeNumber],943)</f>
        <v>1312</v>
      </c>
      <c r="B951" t="str">
        <f>IF(INDEX(tblCleanData[Age],943)&lt;30,"Under 30",IF(INDEX(tblCleanData[Age],943)&lt;40,"30-39",IF(INDEX(tblCleanData[Age],943)&lt;50,"40-49","50+")))</f>
        <v>30-39</v>
      </c>
      <c r="C951" t="str">
        <f>IF(INDEX(tblCleanData[MonthlyIncome],943)&lt;=$B$3,"Low Income",IF(INDEX(tblCleanData[MonthlyIncome],943)&lt;=$B$4,"Medium Income","High Income"))</f>
        <v>High Income</v>
      </c>
      <c r="D951">
        <f>IF(INDEX(tblCleanData[Attrition],943)="Yes",1,0)</f>
        <v>0</v>
      </c>
      <c r="E951">
        <f>IF(INDEX(tblCleanData[OverTime],943)="Yes",1,0)</f>
        <v>0</v>
      </c>
      <c r="F951" t="str">
        <f>CHOOSE(INDEX(tblCleanData[Education],943),"Below College","College","Bachelor","Master","Doctor")</f>
        <v>Master</v>
      </c>
      <c r="G951" t="str">
        <f>IF(INDEX(tblCleanData[YearsAtCompany],943)&lt;=2,"0-2 Years",IF(INDEX(tblCleanData[YearsAtCompany],943)&lt;=5,"3-5 Years",IF(INDEX(tblCleanData[YearsAtCompany],943)&lt;=10,"6-10 Years","10+ Years")))</f>
        <v>6-10 Years</v>
      </c>
      <c r="H951" t="str">
        <f>IF(INDEX(tblCleanData[WorkLifeBalance],943)&lt;=2,"Elevated","Normal")</f>
        <v>Normal</v>
      </c>
      <c r="I951">
        <f>IF(INDEX(tblCleanData[Age],943)&lt;30,30,IF(INDEX(tblCleanData[Age],943)&lt;40,20,IF(INDEX(tblCleanData[Age],943)&lt;50,10,15)))</f>
        <v>20</v>
      </c>
      <c r="J951">
        <f>IF(INDEX(tblCleanData[MonthlyIncome],943)&lt;=$B$3,25,IF(INDEX(tblCleanData[MonthlyIncome],943)&lt;=$B$4,12,5))</f>
        <v>5</v>
      </c>
      <c r="K951">
        <f>IF(INDEX(tblCleanData[OverTime],943)="Yes",25,0)</f>
        <v>0</v>
      </c>
      <c r="L951">
        <f>(5-INDEX(tblCleanData[JobSatisfaction],943))*6.25</f>
        <v>12.5</v>
      </c>
      <c r="M951">
        <f>IF(INDEX(tblCleanData[YearsAtCompany],943)&lt;=2,25,IF(INDEX(tblCleanData[YearsAtCompany],943)&lt;=5,15,IF(INDEX(tblCleanData[YearsAtCompany],943)&lt;=10,8,3)))</f>
        <v>8</v>
      </c>
      <c r="N951">
        <f t="shared" si="28"/>
        <v>46</v>
      </c>
      <c r="O951" t="str">
        <f t="shared" si="29"/>
        <v>Medium Risk</v>
      </c>
    </row>
    <row r="952" spans="1:15" x14ac:dyDescent="0.25">
      <c r="A952">
        <f>INDEX(tblCleanData[EmployeeNumber],944)</f>
        <v>1314</v>
      </c>
      <c r="B952" t="str">
        <f>IF(INDEX(tblCleanData[Age],944)&lt;30,"Under 30",IF(INDEX(tblCleanData[Age],944)&lt;40,"30-39",IF(INDEX(tblCleanData[Age],944)&lt;50,"40-49","50+")))</f>
        <v>40-49</v>
      </c>
      <c r="C952" t="str">
        <f>IF(INDEX(tblCleanData[MonthlyIncome],944)&lt;=$B$3,"Low Income",IF(INDEX(tblCleanData[MonthlyIncome],944)&lt;=$B$4,"Medium Income","High Income"))</f>
        <v>High Income</v>
      </c>
      <c r="D952">
        <f>IF(INDEX(tblCleanData[Attrition],944)="Yes",1,0)</f>
        <v>0</v>
      </c>
      <c r="E952">
        <f>IF(INDEX(tblCleanData[OverTime],944)="Yes",1,0)</f>
        <v>0</v>
      </c>
      <c r="F952" t="str">
        <f>CHOOSE(INDEX(tblCleanData[Education],944),"Below College","College","Bachelor","Master","Doctor")</f>
        <v>College</v>
      </c>
      <c r="G952" t="str">
        <f>IF(INDEX(tblCleanData[YearsAtCompany],944)&lt;=2,"0-2 Years",IF(INDEX(tblCleanData[YearsAtCompany],944)&lt;=5,"3-5 Years",IF(INDEX(tblCleanData[YearsAtCompany],944)&lt;=10,"6-10 Years","10+ Years")))</f>
        <v>6-10 Years</v>
      </c>
      <c r="H952" t="str">
        <f>IF(INDEX(tblCleanData[WorkLifeBalance],944)&lt;=2,"Elevated","Normal")</f>
        <v>Normal</v>
      </c>
      <c r="I952">
        <f>IF(INDEX(tblCleanData[Age],944)&lt;30,30,IF(INDEX(tblCleanData[Age],944)&lt;40,20,IF(INDEX(tblCleanData[Age],944)&lt;50,10,15)))</f>
        <v>10</v>
      </c>
      <c r="J952">
        <f>IF(INDEX(tblCleanData[MonthlyIncome],944)&lt;=$B$3,25,IF(INDEX(tblCleanData[MonthlyIncome],944)&lt;=$B$4,12,5))</f>
        <v>5</v>
      </c>
      <c r="K952">
        <f>IF(INDEX(tblCleanData[OverTime],944)="Yes",25,0)</f>
        <v>0</v>
      </c>
      <c r="L952">
        <f>(5-INDEX(tblCleanData[JobSatisfaction],944))*6.25</f>
        <v>25</v>
      </c>
      <c r="M952">
        <f>IF(INDEX(tblCleanData[YearsAtCompany],944)&lt;=2,25,IF(INDEX(tblCleanData[YearsAtCompany],944)&lt;=5,15,IF(INDEX(tblCleanData[YearsAtCompany],944)&lt;=10,8,3)))</f>
        <v>8</v>
      </c>
      <c r="N952">
        <f t="shared" si="28"/>
        <v>48</v>
      </c>
      <c r="O952" t="str">
        <f t="shared" si="29"/>
        <v>Medium Risk</v>
      </c>
    </row>
    <row r="953" spans="1:15" x14ac:dyDescent="0.25">
      <c r="A953">
        <f>INDEX(tblCleanData[EmployeeNumber],945)</f>
        <v>1315</v>
      </c>
      <c r="B953" t="str">
        <f>IF(INDEX(tblCleanData[Age],945)&lt;30,"Under 30",IF(INDEX(tblCleanData[Age],945)&lt;40,"30-39",IF(INDEX(tblCleanData[Age],945)&lt;50,"40-49","50+")))</f>
        <v>Under 30</v>
      </c>
      <c r="C953" t="str">
        <f>IF(INDEX(tblCleanData[MonthlyIncome],945)&lt;=$B$3,"Low Income",IF(INDEX(tblCleanData[MonthlyIncome],945)&lt;=$B$4,"Medium Income","High Income"))</f>
        <v>High Income</v>
      </c>
      <c r="D953">
        <f>IF(INDEX(tblCleanData[Attrition],945)="Yes",1,0)</f>
        <v>0</v>
      </c>
      <c r="E953">
        <f>IF(INDEX(tblCleanData[OverTime],945)="Yes",1,0)</f>
        <v>0</v>
      </c>
      <c r="F953" t="str">
        <f>CHOOSE(INDEX(tblCleanData[Education],945),"Below College","College","Bachelor","Master","Doctor")</f>
        <v>Bachelor</v>
      </c>
      <c r="G953" t="str">
        <f>IF(INDEX(tblCleanData[YearsAtCompany],945)&lt;=2,"0-2 Years",IF(INDEX(tblCleanData[YearsAtCompany],945)&lt;=5,"3-5 Years",IF(INDEX(tblCleanData[YearsAtCompany],945)&lt;=10,"6-10 Years","10+ Years")))</f>
        <v>6-10 Years</v>
      </c>
      <c r="H953" t="str">
        <f>IF(INDEX(tblCleanData[WorkLifeBalance],945)&lt;=2,"Elevated","Normal")</f>
        <v>Normal</v>
      </c>
      <c r="I953">
        <f>IF(INDEX(tblCleanData[Age],945)&lt;30,30,IF(INDEX(tblCleanData[Age],945)&lt;40,20,IF(INDEX(tblCleanData[Age],945)&lt;50,10,15)))</f>
        <v>30</v>
      </c>
      <c r="J953">
        <f>IF(INDEX(tblCleanData[MonthlyIncome],945)&lt;=$B$3,25,IF(INDEX(tblCleanData[MonthlyIncome],945)&lt;=$B$4,12,5))</f>
        <v>5</v>
      </c>
      <c r="K953">
        <f>IF(INDEX(tblCleanData[OverTime],945)="Yes",25,0)</f>
        <v>0</v>
      </c>
      <c r="L953">
        <f>(5-INDEX(tblCleanData[JobSatisfaction],945))*6.25</f>
        <v>6.25</v>
      </c>
      <c r="M953">
        <f>IF(INDEX(tblCleanData[YearsAtCompany],945)&lt;=2,25,IF(INDEX(tblCleanData[YearsAtCompany],945)&lt;=5,15,IF(INDEX(tblCleanData[YearsAtCompany],945)&lt;=10,8,3)))</f>
        <v>8</v>
      </c>
      <c r="N953">
        <f t="shared" si="28"/>
        <v>49</v>
      </c>
      <c r="O953" t="str">
        <f t="shared" si="29"/>
        <v>Medium Risk</v>
      </c>
    </row>
    <row r="954" spans="1:15" x14ac:dyDescent="0.25">
      <c r="A954">
        <f>INDEX(tblCleanData[EmployeeNumber],946)</f>
        <v>1317</v>
      </c>
      <c r="B954" t="str">
        <f>IF(INDEX(tblCleanData[Age],946)&lt;30,"Under 30",IF(INDEX(tblCleanData[Age],946)&lt;40,"30-39",IF(INDEX(tblCleanData[Age],946)&lt;50,"40-49","50+")))</f>
        <v>50+</v>
      </c>
      <c r="C954" t="str">
        <f>IF(INDEX(tblCleanData[MonthlyIncome],946)&lt;=$B$3,"Low Income",IF(INDEX(tblCleanData[MonthlyIncome],946)&lt;=$B$4,"Medium Income","High Income"))</f>
        <v>High Income</v>
      </c>
      <c r="D954">
        <f>IF(INDEX(tblCleanData[Attrition],946)="Yes",1,0)</f>
        <v>0</v>
      </c>
      <c r="E954">
        <f>IF(INDEX(tblCleanData[OverTime],946)="Yes",1,0)</f>
        <v>1</v>
      </c>
      <c r="F954" t="str">
        <f>CHOOSE(INDEX(tblCleanData[Education],946),"Below College","College","Bachelor","Master","Doctor")</f>
        <v>Bachelor</v>
      </c>
      <c r="G954" t="str">
        <f>IF(INDEX(tblCleanData[YearsAtCompany],946)&lt;=2,"0-2 Years",IF(INDEX(tblCleanData[YearsAtCompany],946)&lt;=5,"3-5 Years",IF(INDEX(tblCleanData[YearsAtCompany],946)&lt;=10,"6-10 Years","10+ Years")))</f>
        <v>3-5 Years</v>
      </c>
      <c r="H954" t="str">
        <f>IF(INDEX(tblCleanData[WorkLifeBalance],946)&lt;=2,"Elevated","Normal")</f>
        <v>Normal</v>
      </c>
      <c r="I954">
        <f>IF(INDEX(tblCleanData[Age],946)&lt;30,30,IF(INDEX(tblCleanData[Age],946)&lt;40,20,IF(INDEX(tblCleanData[Age],946)&lt;50,10,15)))</f>
        <v>15</v>
      </c>
      <c r="J954">
        <f>IF(INDEX(tblCleanData[MonthlyIncome],946)&lt;=$B$3,25,IF(INDEX(tblCleanData[MonthlyIncome],946)&lt;=$B$4,12,5))</f>
        <v>5</v>
      </c>
      <c r="K954">
        <f>IF(INDEX(tblCleanData[OverTime],946)="Yes",25,0)</f>
        <v>25</v>
      </c>
      <c r="L954">
        <f>(5-INDEX(tblCleanData[JobSatisfaction],946))*6.25</f>
        <v>25</v>
      </c>
      <c r="M954">
        <f>IF(INDEX(tblCleanData[YearsAtCompany],946)&lt;=2,25,IF(INDEX(tblCleanData[YearsAtCompany],946)&lt;=5,15,IF(INDEX(tblCleanData[YearsAtCompany],946)&lt;=10,8,3)))</f>
        <v>15</v>
      </c>
      <c r="N954">
        <f t="shared" si="28"/>
        <v>85</v>
      </c>
      <c r="O954" t="str">
        <f t="shared" si="29"/>
        <v>High Risk</v>
      </c>
    </row>
    <row r="955" spans="1:15" x14ac:dyDescent="0.25">
      <c r="A955">
        <f>INDEX(tblCleanData[EmployeeNumber],947)</f>
        <v>1318</v>
      </c>
      <c r="B955" t="str">
        <f>IF(INDEX(tblCleanData[Age],947)&lt;30,"Under 30",IF(INDEX(tblCleanData[Age],947)&lt;40,"30-39",IF(INDEX(tblCleanData[Age],947)&lt;50,"40-49","50+")))</f>
        <v>40-49</v>
      </c>
      <c r="C955" t="str">
        <f>IF(INDEX(tblCleanData[MonthlyIncome],947)&lt;=$B$3,"Low Income",IF(INDEX(tblCleanData[MonthlyIncome],947)&lt;=$B$4,"Medium Income","High Income"))</f>
        <v>High Income</v>
      </c>
      <c r="D955">
        <f>IF(INDEX(tblCleanData[Attrition],947)="Yes",1,0)</f>
        <v>1</v>
      </c>
      <c r="E955">
        <f>IF(INDEX(tblCleanData[OverTime],947)="Yes",1,0)</f>
        <v>1</v>
      </c>
      <c r="F955" t="str">
        <f>CHOOSE(INDEX(tblCleanData[Education],947),"Below College","College","Bachelor","Master","Doctor")</f>
        <v>Master</v>
      </c>
      <c r="G955" t="str">
        <f>IF(INDEX(tblCleanData[YearsAtCompany],947)&lt;=2,"0-2 Years",IF(INDEX(tblCleanData[YearsAtCompany],947)&lt;=5,"3-5 Years",IF(INDEX(tblCleanData[YearsAtCompany],947)&lt;=10,"6-10 Years","10+ Years")))</f>
        <v>3-5 Years</v>
      </c>
      <c r="H955" t="str">
        <f>IF(INDEX(tblCleanData[WorkLifeBalance],947)&lt;=2,"Elevated","Normal")</f>
        <v>Normal</v>
      </c>
      <c r="I955">
        <f>IF(INDEX(tblCleanData[Age],947)&lt;30,30,IF(INDEX(tblCleanData[Age],947)&lt;40,20,IF(INDEX(tblCleanData[Age],947)&lt;50,10,15)))</f>
        <v>10</v>
      </c>
      <c r="J955">
        <f>IF(INDEX(tblCleanData[MonthlyIncome],947)&lt;=$B$3,25,IF(INDEX(tblCleanData[MonthlyIncome],947)&lt;=$B$4,12,5))</f>
        <v>5</v>
      </c>
      <c r="K955">
        <f>IF(INDEX(tblCleanData[OverTime],947)="Yes",25,0)</f>
        <v>25</v>
      </c>
      <c r="L955">
        <f>(5-INDEX(tblCleanData[JobSatisfaction],947))*6.25</f>
        <v>18.75</v>
      </c>
      <c r="M955">
        <f>IF(INDEX(tblCleanData[YearsAtCompany],947)&lt;=2,25,IF(INDEX(tblCleanData[YearsAtCompany],947)&lt;=5,15,IF(INDEX(tblCleanData[YearsAtCompany],947)&lt;=10,8,3)))</f>
        <v>15</v>
      </c>
      <c r="N955">
        <f t="shared" si="28"/>
        <v>74</v>
      </c>
      <c r="O955" t="str">
        <f t="shared" si="29"/>
        <v>High Risk</v>
      </c>
    </row>
    <row r="956" spans="1:15" x14ac:dyDescent="0.25">
      <c r="A956">
        <f>INDEX(tblCleanData[EmployeeNumber],948)</f>
        <v>1319</v>
      </c>
      <c r="B956" t="str">
        <f>IF(INDEX(tblCleanData[Age],948)&lt;30,"Under 30",IF(INDEX(tblCleanData[Age],948)&lt;40,"30-39",IF(INDEX(tblCleanData[Age],948)&lt;50,"40-49","50+")))</f>
        <v>50+</v>
      </c>
      <c r="C956" t="str">
        <f>IF(INDEX(tblCleanData[MonthlyIncome],948)&lt;=$B$3,"Low Income",IF(INDEX(tblCleanData[MonthlyIncome],948)&lt;=$B$4,"Medium Income","High Income"))</f>
        <v>High Income</v>
      </c>
      <c r="D956">
        <f>IF(INDEX(tblCleanData[Attrition],948)="Yes",1,0)</f>
        <v>1</v>
      </c>
      <c r="E956">
        <f>IF(INDEX(tblCleanData[OverTime],948)="Yes",1,0)</f>
        <v>1</v>
      </c>
      <c r="F956" t="str">
        <f>CHOOSE(INDEX(tblCleanData[Education],948),"Below College","College","Bachelor","Master","Doctor")</f>
        <v>Bachelor</v>
      </c>
      <c r="G956" t="str">
        <f>IF(INDEX(tblCleanData[YearsAtCompany],948)&lt;=2,"0-2 Years",IF(INDEX(tblCleanData[YearsAtCompany],948)&lt;=5,"3-5 Years",IF(INDEX(tblCleanData[YearsAtCompany],948)&lt;=10,"6-10 Years","10+ Years")))</f>
        <v>6-10 Years</v>
      </c>
      <c r="H956" t="str">
        <f>IF(INDEX(tblCleanData[WorkLifeBalance],948)&lt;=2,"Elevated","Normal")</f>
        <v>Elevated</v>
      </c>
      <c r="I956">
        <f>IF(INDEX(tblCleanData[Age],948)&lt;30,30,IF(INDEX(tblCleanData[Age],948)&lt;40,20,IF(INDEX(tblCleanData[Age],948)&lt;50,10,15)))</f>
        <v>15</v>
      </c>
      <c r="J956">
        <f>IF(INDEX(tblCleanData[MonthlyIncome],948)&lt;=$B$3,25,IF(INDEX(tblCleanData[MonthlyIncome],948)&lt;=$B$4,12,5))</f>
        <v>5</v>
      </c>
      <c r="K956">
        <f>IF(INDEX(tblCleanData[OverTime],948)="Yes",25,0)</f>
        <v>25</v>
      </c>
      <c r="L956">
        <f>(5-INDEX(tblCleanData[JobSatisfaction],948))*6.25</f>
        <v>18.75</v>
      </c>
      <c r="M956">
        <f>IF(INDEX(tblCleanData[YearsAtCompany],948)&lt;=2,25,IF(INDEX(tblCleanData[YearsAtCompany],948)&lt;=5,15,IF(INDEX(tblCleanData[YearsAtCompany],948)&lt;=10,8,3)))</f>
        <v>8</v>
      </c>
      <c r="N956">
        <f t="shared" si="28"/>
        <v>72</v>
      </c>
      <c r="O956" t="str">
        <f t="shared" si="29"/>
        <v>High Risk</v>
      </c>
    </row>
    <row r="957" spans="1:15" x14ac:dyDescent="0.25">
      <c r="A957">
        <f>INDEX(tblCleanData[EmployeeNumber],949)</f>
        <v>1321</v>
      </c>
      <c r="B957" t="str">
        <f>IF(INDEX(tblCleanData[Age],949)&lt;30,"Under 30",IF(INDEX(tblCleanData[Age],949)&lt;40,"30-39",IF(INDEX(tblCleanData[Age],949)&lt;50,"40-49","50+")))</f>
        <v>30-39</v>
      </c>
      <c r="C957" t="str">
        <f>IF(INDEX(tblCleanData[MonthlyIncome],949)&lt;=$B$3,"Low Income",IF(INDEX(tblCleanData[MonthlyIncome],949)&lt;=$B$4,"Medium Income","High Income"))</f>
        <v>High Income</v>
      </c>
      <c r="D957">
        <f>IF(INDEX(tblCleanData[Attrition],949)="Yes",1,0)</f>
        <v>0</v>
      </c>
      <c r="E957">
        <f>IF(INDEX(tblCleanData[OverTime],949)="Yes",1,0)</f>
        <v>1</v>
      </c>
      <c r="F957" t="str">
        <f>CHOOSE(INDEX(tblCleanData[Education],949),"Below College","College","Bachelor","Master","Doctor")</f>
        <v>Master</v>
      </c>
      <c r="G957" t="str">
        <f>IF(INDEX(tblCleanData[YearsAtCompany],949)&lt;=2,"0-2 Years",IF(INDEX(tblCleanData[YearsAtCompany],949)&lt;=5,"3-5 Years",IF(INDEX(tblCleanData[YearsAtCompany],949)&lt;=10,"6-10 Years","10+ Years")))</f>
        <v>6-10 Years</v>
      </c>
      <c r="H957" t="str">
        <f>IF(INDEX(tblCleanData[WorkLifeBalance],949)&lt;=2,"Elevated","Normal")</f>
        <v>Normal</v>
      </c>
      <c r="I957">
        <f>IF(INDEX(tblCleanData[Age],949)&lt;30,30,IF(INDEX(tblCleanData[Age],949)&lt;40,20,IF(INDEX(tblCleanData[Age],949)&lt;50,10,15)))</f>
        <v>20</v>
      </c>
      <c r="J957">
        <f>IF(INDEX(tblCleanData[MonthlyIncome],949)&lt;=$B$3,25,IF(INDEX(tblCleanData[MonthlyIncome],949)&lt;=$B$4,12,5))</f>
        <v>5</v>
      </c>
      <c r="K957">
        <f>IF(INDEX(tblCleanData[OverTime],949)="Yes",25,0)</f>
        <v>25</v>
      </c>
      <c r="L957">
        <f>(5-INDEX(tblCleanData[JobSatisfaction],949))*6.25</f>
        <v>25</v>
      </c>
      <c r="M957">
        <f>IF(INDEX(tblCleanData[YearsAtCompany],949)&lt;=2,25,IF(INDEX(tblCleanData[YearsAtCompany],949)&lt;=5,15,IF(INDEX(tblCleanData[YearsAtCompany],949)&lt;=10,8,3)))</f>
        <v>8</v>
      </c>
      <c r="N957">
        <f t="shared" si="28"/>
        <v>83</v>
      </c>
      <c r="O957" t="str">
        <f t="shared" si="29"/>
        <v>High Risk</v>
      </c>
    </row>
    <row r="958" spans="1:15" x14ac:dyDescent="0.25">
      <c r="A958">
        <f>INDEX(tblCleanData[EmployeeNumber],950)</f>
        <v>1322</v>
      </c>
      <c r="B958" t="str">
        <f>IF(INDEX(tblCleanData[Age],950)&lt;30,"Under 30",IF(INDEX(tblCleanData[Age],950)&lt;40,"30-39",IF(INDEX(tblCleanData[Age],950)&lt;50,"40-49","50+")))</f>
        <v>30-39</v>
      </c>
      <c r="C958" t="str">
        <f>IF(INDEX(tblCleanData[MonthlyIncome],950)&lt;=$B$3,"Low Income",IF(INDEX(tblCleanData[MonthlyIncome],950)&lt;=$B$4,"Medium Income","High Income"))</f>
        <v>High Income</v>
      </c>
      <c r="D958">
        <f>IF(INDEX(tblCleanData[Attrition],950)="Yes",1,0)</f>
        <v>0</v>
      </c>
      <c r="E958">
        <f>IF(INDEX(tblCleanData[OverTime],950)="Yes",1,0)</f>
        <v>0</v>
      </c>
      <c r="F958" t="str">
        <f>CHOOSE(INDEX(tblCleanData[Education],950),"Below College","College","Bachelor","Master","Doctor")</f>
        <v>College</v>
      </c>
      <c r="G958" t="str">
        <f>IF(INDEX(tblCleanData[YearsAtCompany],950)&lt;=2,"0-2 Years",IF(INDEX(tblCleanData[YearsAtCompany],950)&lt;=5,"3-5 Years",IF(INDEX(tblCleanData[YearsAtCompany],950)&lt;=10,"6-10 Years","10+ Years")))</f>
        <v>6-10 Years</v>
      </c>
      <c r="H958" t="str">
        <f>IF(INDEX(tblCleanData[WorkLifeBalance],950)&lt;=2,"Elevated","Normal")</f>
        <v>Normal</v>
      </c>
      <c r="I958">
        <f>IF(INDEX(tblCleanData[Age],950)&lt;30,30,IF(INDEX(tblCleanData[Age],950)&lt;40,20,IF(INDEX(tblCleanData[Age],950)&lt;50,10,15)))</f>
        <v>20</v>
      </c>
      <c r="J958">
        <f>IF(INDEX(tblCleanData[MonthlyIncome],950)&lt;=$B$3,25,IF(INDEX(tblCleanData[MonthlyIncome],950)&lt;=$B$4,12,5))</f>
        <v>5</v>
      </c>
      <c r="K958">
        <f>IF(INDEX(tblCleanData[OverTime],950)="Yes",25,0)</f>
        <v>0</v>
      </c>
      <c r="L958">
        <f>(5-INDEX(tblCleanData[JobSatisfaction],950))*6.25</f>
        <v>12.5</v>
      </c>
      <c r="M958">
        <f>IF(INDEX(tblCleanData[YearsAtCompany],950)&lt;=2,25,IF(INDEX(tblCleanData[YearsAtCompany],950)&lt;=5,15,IF(INDEX(tblCleanData[YearsAtCompany],950)&lt;=10,8,3)))</f>
        <v>8</v>
      </c>
      <c r="N958">
        <f t="shared" si="28"/>
        <v>46</v>
      </c>
      <c r="O958" t="str">
        <f t="shared" si="29"/>
        <v>Medium Risk</v>
      </c>
    </row>
    <row r="959" spans="1:15" x14ac:dyDescent="0.25">
      <c r="A959">
        <f>INDEX(tblCleanData[EmployeeNumber],951)</f>
        <v>1324</v>
      </c>
      <c r="B959" t="str">
        <f>IF(INDEX(tblCleanData[Age],951)&lt;30,"Under 30",IF(INDEX(tblCleanData[Age],951)&lt;40,"30-39",IF(INDEX(tblCleanData[Age],951)&lt;50,"40-49","50+")))</f>
        <v>30-39</v>
      </c>
      <c r="C959" t="str">
        <f>IF(INDEX(tblCleanData[MonthlyIncome],951)&lt;=$B$3,"Low Income",IF(INDEX(tblCleanData[MonthlyIncome],951)&lt;=$B$4,"Medium Income","High Income"))</f>
        <v>High Income</v>
      </c>
      <c r="D959">
        <f>IF(INDEX(tblCleanData[Attrition],951)="Yes",1,0)</f>
        <v>0</v>
      </c>
      <c r="E959">
        <f>IF(INDEX(tblCleanData[OverTime],951)="Yes",1,0)</f>
        <v>1</v>
      </c>
      <c r="F959" t="str">
        <f>CHOOSE(INDEX(tblCleanData[Education],951),"Below College","College","Bachelor","Master","Doctor")</f>
        <v>Master</v>
      </c>
      <c r="G959" t="str">
        <f>IF(INDEX(tblCleanData[YearsAtCompany],951)&lt;=2,"0-2 Years",IF(INDEX(tblCleanData[YearsAtCompany],951)&lt;=5,"3-5 Years",IF(INDEX(tblCleanData[YearsAtCompany],951)&lt;=10,"6-10 Years","10+ Years")))</f>
        <v>6-10 Years</v>
      </c>
      <c r="H959" t="str">
        <f>IF(INDEX(tblCleanData[WorkLifeBalance],951)&lt;=2,"Elevated","Normal")</f>
        <v>Elevated</v>
      </c>
      <c r="I959">
        <f>IF(INDEX(tblCleanData[Age],951)&lt;30,30,IF(INDEX(tblCleanData[Age],951)&lt;40,20,IF(INDEX(tblCleanData[Age],951)&lt;50,10,15)))</f>
        <v>20</v>
      </c>
      <c r="J959">
        <f>IF(INDEX(tblCleanData[MonthlyIncome],951)&lt;=$B$3,25,IF(INDEX(tblCleanData[MonthlyIncome],951)&lt;=$B$4,12,5))</f>
        <v>5</v>
      </c>
      <c r="K959">
        <f>IF(INDEX(tblCleanData[OverTime],951)="Yes",25,0)</f>
        <v>25</v>
      </c>
      <c r="L959">
        <f>(5-INDEX(tblCleanData[JobSatisfaction],951))*6.25</f>
        <v>12.5</v>
      </c>
      <c r="M959">
        <f>IF(INDEX(tblCleanData[YearsAtCompany],951)&lt;=2,25,IF(INDEX(tblCleanData[YearsAtCompany],951)&lt;=5,15,IF(INDEX(tblCleanData[YearsAtCompany],951)&lt;=10,8,3)))</f>
        <v>8</v>
      </c>
      <c r="N959">
        <f t="shared" si="28"/>
        <v>71</v>
      </c>
      <c r="O959" t="str">
        <f t="shared" si="29"/>
        <v>High Risk</v>
      </c>
    </row>
    <row r="960" spans="1:15" x14ac:dyDescent="0.25">
      <c r="A960">
        <f>INDEX(tblCleanData[EmployeeNumber],952)</f>
        <v>1329</v>
      </c>
      <c r="B960" t="str">
        <f>IF(INDEX(tblCleanData[Age],952)&lt;30,"Under 30",IF(INDEX(tblCleanData[Age],952)&lt;40,"30-39",IF(INDEX(tblCleanData[Age],952)&lt;50,"40-49","50+")))</f>
        <v>40-49</v>
      </c>
      <c r="C960" t="str">
        <f>IF(INDEX(tblCleanData[MonthlyIncome],952)&lt;=$B$3,"Low Income",IF(INDEX(tblCleanData[MonthlyIncome],952)&lt;=$B$4,"Medium Income","High Income"))</f>
        <v>High Income</v>
      </c>
      <c r="D960">
        <f>IF(INDEX(tblCleanData[Attrition],952)="Yes",1,0)</f>
        <v>0</v>
      </c>
      <c r="E960">
        <f>IF(INDEX(tblCleanData[OverTime],952)="Yes",1,0)</f>
        <v>0</v>
      </c>
      <c r="F960" t="str">
        <f>CHOOSE(INDEX(tblCleanData[Education],952),"Below College","College","Bachelor","Master","Doctor")</f>
        <v>College</v>
      </c>
      <c r="G960" t="str">
        <f>IF(INDEX(tblCleanData[YearsAtCompany],952)&lt;=2,"0-2 Years",IF(INDEX(tblCleanData[YearsAtCompany],952)&lt;=5,"3-5 Years",IF(INDEX(tblCleanData[YearsAtCompany],952)&lt;=10,"6-10 Years","10+ Years")))</f>
        <v>10+ Years</v>
      </c>
      <c r="H960" t="str">
        <f>IF(INDEX(tblCleanData[WorkLifeBalance],952)&lt;=2,"Elevated","Normal")</f>
        <v>Normal</v>
      </c>
      <c r="I960">
        <f>IF(INDEX(tblCleanData[Age],952)&lt;30,30,IF(INDEX(tblCleanData[Age],952)&lt;40,20,IF(INDEX(tblCleanData[Age],952)&lt;50,10,15)))</f>
        <v>10</v>
      </c>
      <c r="J960">
        <f>IF(INDEX(tblCleanData[MonthlyIncome],952)&lt;=$B$3,25,IF(INDEX(tblCleanData[MonthlyIncome],952)&lt;=$B$4,12,5))</f>
        <v>5</v>
      </c>
      <c r="K960">
        <f>IF(INDEX(tblCleanData[OverTime],952)="Yes",25,0)</f>
        <v>0</v>
      </c>
      <c r="L960">
        <f>(5-INDEX(tblCleanData[JobSatisfaction],952))*6.25</f>
        <v>18.75</v>
      </c>
      <c r="M960">
        <f>IF(INDEX(tblCleanData[YearsAtCompany],952)&lt;=2,25,IF(INDEX(tblCleanData[YearsAtCompany],952)&lt;=5,15,IF(INDEX(tblCleanData[YearsAtCompany],952)&lt;=10,8,3)))</f>
        <v>3</v>
      </c>
      <c r="N960">
        <f t="shared" si="28"/>
        <v>37</v>
      </c>
      <c r="O960" t="str">
        <f t="shared" si="29"/>
        <v>Medium Risk</v>
      </c>
    </row>
    <row r="961" spans="1:15" x14ac:dyDescent="0.25">
      <c r="A961">
        <f>INDEX(tblCleanData[EmployeeNumber],953)</f>
        <v>1331</v>
      </c>
      <c r="B961" t="str">
        <f>IF(INDEX(tblCleanData[Age],953)&lt;30,"Under 30",IF(INDEX(tblCleanData[Age],953)&lt;40,"30-39",IF(INDEX(tblCleanData[Age],953)&lt;50,"40-49","50+")))</f>
        <v>30-39</v>
      </c>
      <c r="C961" t="str">
        <f>IF(INDEX(tblCleanData[MonthlyIncome],953)&lt;=$B$3,"Low Income",IF(INDEX(tblCleanData[MonthlyIncome],953)&lt;=$B$4,"Medium Income","High Income"))</f>
        <v>High Income</v>
      </c>
      <c r="D961">
        <f>IF(INDEX(tblCleanData[Attrition],953)="Yes",1,0)</f>
        <v>1</v>
      </c>
      <c r="E961">
        <f>IF(INDEX(tblCleanData[OverTime],953)="Yes",1,0)</f>
        <v>1</v>
      </c>
      <c r="F961" t="str">
        <f>CHOOSE(INDEX(tblCleanData[Education],953),"Below College","College","Bachelor","Master","Doctor")</f>
        <v>Bachelor</v>
      </c>
      <c r="G961" t="str">
        <f>IF(INDEX(tblCleanData[YearsAtCompany],953)&lt;=2,"0-2 Years",IF(INDEX(tblCleanData[YearsAtCompany],953)&lt;=5,"3-5 Years",IF(INDEX(tblCleanData[YearsAtCompany],953)&lt;=10,"6-10 Years","10+ Years")))</f>
        <v>3-5 Years</v>
      </c>
      <c r="H961" t="str">
        <f>IF(INDEX(tblCleanData[WorkLifeBalance],953)&lt;=2,"Elevated","Normal")</f>
        <v>Normal</v>
      </c>
      <c r="I961">
        <f>IF(INDEX(tblCleanData[Age],953)&lt;30,30,IF(INDEX(tblCleanData[Age],953)&lt;40,20,IF(INDEX(tblCleanData[Age],953)&lt;50,10,15)))</f>
        <v>20</v>
      </c>
      <c r="J961">
        <f>IF(INDEX(tblCleanData[MonthlyIncome],953)&lt;=$B$3,25,IF(INDEX(tblCleanData[MonthlyIncome],953)&lt;=$B$4,12,5))</f>
        <v>5</v>
      </c>
      <c r="K961">
        <f>IF(INDEX(tblCleanData[OverTime],953)="Yes",25,0)</f>
        <v>25</v>
      </c>
      <c r="L961">
        <f>(5-INDEX(tblCleanData[JobSatisfaction],953))*6.25</f>
        <v>18.75</v>
      </c>
      <c r="M961">
        <f>IF(INDEX(tblCleanData[YearsAtCompany],953)&lt;=2,25,IF(INDEX(tblCleanData[YearsAtCompany],953)&lt;=5,15,IF(INDEX(tblCleanData[YearsAtCompany],953)&lt;=10,8,3)))</f>
        <v>15</v>
      </c>
      <c r="N961">
        <f t="shared" si="28"/>
        <v>84</v>
      </c>
      <c r="O961" t="str">
        <f t="shared" si="29"/>
        <v>High Risk</v>
      </c>
    </row>
    <row r="962" spans="1:15" x14ac:dyDescent="0.25">
      <c r="A962">
        <f>INDEX(tblCleanData[EmployeeNumber],954)</f>
        <v>1333</v>
      </c>
      <c r="B962" t="str">
        <f>IF(INDEX(tblCleanData[Age],954)&lt;30,"Under 30",IF(INDEX(tblCleanData[Age],954)&lt;40,"30-39",IF(INDEX(tblCleanData[Age],954)&lt;50,"40-49","50+")))</f>
        <v>40-49</v>
      </c>
      <c r="C962" t="str">
        <f>IF(INDEX(tblCleanData[MonthlyIncome],954)&lt;=$B$3,"Low Income",IF(INDEX(tblCleanData[MonthlyIncome],954)&lt;=$B$4,"Medium Income","High Income"))</f>
        <v>High Income</v>
      </c>
      <c r="D962">
        <f>IF(INDEX(tblCleanData[Attrition],954)="Yes",1,0)</f>
        <v>1</v>
      </c>
      <c r="E962">
        <f>IF(INDEX(tblCleanData[OverTime],954)="Yes",1,0)</f>
        <v>0</v>
      </c>
      <c r="F962" t="str">
        <f>CHOOSE(INDEX(tblCleanData[Education],954),"Below College","College","Bachelor","Master","Doctor")</f>
        <v>Bachelor</v>
      </c>
      <c r="G962" t="str">
        <f>IF(INDEX(tblCleanData[YearsAtCompany],954)&lt;=2,"0-2 Years",IF(INDEX(tblCleanData[YearsAtCompany],954)&lt;=5,"3-5 Years",IF(INDEX(tblCleanData[YearsAtCompany],954)&lt;=10,"6-10 Years","10+ Years")))</f>
        <v>3-5 Years</v>
      </c>
      <c r="H962" t="str">
        <f>IF(INDEX(tblCleanData[WorkLifeBalance],954)&lt;=2,"Elevated","Normal")</f>
        <v>Normal</v>
      </c>
      <c r="I962">
        <f>IF(INDEX(tblCleanData[Age],954)&lt;30,30,IF(INDEX(tblCleanData[Age],954)&lt;40,20,IF(INDEX(tblCleanData[Age],954)&lt;50,10,15)))</f>
        <v>10</v>
      </c>
      <c r="J962">
        <f>IF(INDEX(tblCleanData[MonthlyIncome],954)&lt;=$B$3,25,IF(INDEX(tblCleanData[MonthlyIncome],954)&lt;=$B$4,12,5))</f>
        <v>5</v>
      </c>
      <c r="K962">
        <f>IF(INDEX(tblCleanData[OverTime],954)="Yes",25,0)</f>
        <v>0</v>
      </c>
      <c r="L962">
        <f>(5-INDEX(tblCleanData[JobSatisfaction],954))*6.25</f>
        <v>25</v>
      </c>
      <c r="M962">
        <f>IF(INDEX(tblCleanData[YearsAtCompany],954)&lt;=2,25,IF(INDEX(tblCleanData[YearsAtCompany],954)&lt;=5,15,IF(INDEX(tblCleanData[YearsAtCompany],954)&lt;=10,8,3)))</f>
        <v>15</v>
      </c>
      <c r="N962">
        <f t="shared" si="28"/>
        <v>55</v>
      </c>
      <c r="O962" t="str">
        <f t="shared" si="29"/>
        <v>High Risk</v>
      </c>
    </row>
    <row r="963" spans="1:15" x14ac:dyDescent="0.25">
      <c r="A963">
        <f>INDEX(tblCleanData[EmployeeNumber],955)</f>
        <v>1334</v>
      </c>
      <c r="B963" t="str">
        <f>IF(INDEX(tblCleanData[Age],955)&lt;30,"Under 30",IF(INDEX(tblCleanData[Age],955)&lt;40,"30-39",IF(INDEX(tblCleanData[Age],955)&lt;50,"40-49","50+")))</f>
        <v>40-49</v>
      </c>
      <c r="C963" t="str">
        <f>IF(INDEX(tblCleanData[MonthlyIncome],955)&lt;=$B$3,"Low Income",IF(INDEX(tblCleanData[MonthlyIncome],955)&lt;=$B$4,"Medium Income","High Income"))</f>
        <v>High Income</v>
      </c>
      <c r="D963">
        <f>IF(INDEX(tblCleanData[Attrition],955)="Yes",1,0)</f>
        <v>0</v>
      </c>
      <c r="E963">
        <f>IF(INDEX(tblCleanData[OverTime],955)="Yes",1,0)</f>
        <v>1</v>
      </c>
      <c r="F963" t="str">
        <f>CHOOSE(INDEX(tblCleanData[Education],955),"Below College","College","Bachelor","Master","Doctor")</f>
        <v>Below College</v>
      </c>
      <c r="G963" t="str">
        <f>IF(INDEX(tblCleanData[YearsAtCompany],955)&lt;=2,"0-2 Years",IF(INDEX(tblCleanData[YearsAtCompany],955)&lt;=5,"3-5 Years",IF(INDEX(tblCleanData[YearsAtCompany],955)&lt;=10,"6-10 Years","10+ Years")))</f>
        <v>10+ Years</v>
      </c>
      <c r="H963" t="str">
        <f>IF(INDEX(tblCleanData[WorkLifeBalance],955)&lt;=2,"Elevated","Normal")</f>
        <v>Elevated</v>
      </c>
      <c r="I963">
        <f>IF(INDEX(tblCleanData[Age],955)&lt;30,30,IF(INDEX(tblCleanData[Age],955)&lt;40,20,IF(INDEX(tblCleanData[Age],955)&lt;50,10,15)))</f>
        <v>10</v>
      </c>
      <c r="J963">
        <f>IF(INDEX(tblCleanData[MonthlyIncome],955)&lt;=$B$3,25,IF(INDEX(tblCleanData[MonthlyIncome],955)&lt;=$B$4,12,5))</f>
        <v>5</v>
      </c>
      <c r="K963">
        <f>IF(INDEX(tblCleanData[OverTime],955)="Yes",25,0)</f>
        <v>25</v>
      </c>
      <c r="L963">
        <f>(5-INDEX(tblCleanData[JobSatisfaction],955))*6.25</f>
        <v>12.5</v>
      </c>
      <c r="M963">
        <f>IF(INDEX(tblCleanData[YearsAtCompany],955)&lt;=2,25,IF(INDEX(tblCleanData[YearsAtCompany],955)&lt;=5,15,IF(INDEX(tblCleanData[YearsAtCompany],955)&lt;=10,8,3)))</f>
        <v>3</v>
      </c>
      <c r="N963">
        <f t="shared" si="28"/>
        <v>56</v>
      </c>
      <c r="O963" t="str">
        <f t="shared" si="29"/>
        <v>High Risk</v>
      </c>
    </row>
    <row r="964" spans="1:15" x14ac:dyDescent="0.25">
      <c r="A964">
        <f>INDEX(tblCleanData[EmployeeNumber],956)</f>
        <v>1336</v>
      </c>
      <c r="B964" t="str">
        <f>IF(INDEX(tblCleanData[Age],956)&lt;30,"Under 30",IF(INDEX(tblCleanData[Age],956)&lt;40,"30-39",IF(INDEX(tblCleanData[Age],956)&lt;50,"40-49","50+")))</f>
        <v>50+</v>
      </c>
      <c r="C964" t="str">
        <f>IF(INDEX(tblCleanData[MonthlyIncome],956)&lt;=$B$3,"Low Income",IF(INDEX(tblCleanData[MonthlyIncome],956)&lt;=$B$4,"Medium Income","High Income"))</f>
        <v>High Income</v>
      </c>
      <c r="D964">
        <f>IF(INDEX(tblCleanData[Attrition],956)="Yes",1,0)</f>
        <v>0</v>
      </c>
      <c r="E964">
        <f>IF(INDEX(tblCleanData[OverTime],956)="Yes",1,0)</f>
        <v>0</v>
      </c>
      <c r="F964" t="str">
        <f>CHOOSE(INDEX(tblCleanData[Education],956),"Below College","College","Bachelor","Master","Doctor")</f>
        <v>College</v>
      </c>
      <c r="G964" t="str">
        <f>IF(INDEX(tblCleanData[YearsAtCompany],956)&lt;=2,"0-2 Years",IF(INDEX(tblCleanData[YearsAtCompany],956)&lt;=5,"3-5 Years",IF(INDEX(tblCleanData[YearsAtCompany],956)&lt;=10,"6-10 Years","10+ Years")))</f>
        <v>10+ Years</v>
      </c>
      <c r="H964" t="str">
        <f>IF(INDEX(tblCleanData[WorkLifeBalance],956)&lt;=2,"Elevated","Normal")</f>
        <v>Normal</v>
      </c>
      <c r="I964">
        <f>IF(INDEX(tblCleanData[Age],956)&lt;30,30,IF(INDEX(tblCleanData[Age],956)&lt;40,20,IF(INDEX(tblCleanData[Age],956)&lt;50,10,15)))</f>
        <v>15</v>
      </c>
      <c r="J964">
        <f>IF(INDEX(tblCleanData[MonthlyIncome],956)&lt;=$B$3,25,IF(INDEX(tblCleanData[MonthlyIncome],956)&lt;=$B$4,12,5))</f>
        <v>5</v>
      </c>
      <c r="K964">
        <f>IF(INDEX(tblCleanData[OverTime],956)="Yes",25,0)</f>
        <v>0</v>
      </c>
      <c r="L964">
        <f>(5-INDEX(tblCleanData[JobSatisfaction],956))*6.25</f>
        <v>12.5</v>
      </c>
      <c r="M964">
        <f>IF(INDEX(tblCleanData[YearsAtCompany],956)&lt;=2,25,IF(INDEX(tblCleanData[YearsAtCompany],956)&lt;=5,15,IF(INDEX(tblCleanData[YearsAtCompany],956)&lt;=10,8,3)))</f>
        <v>3</v>
      </c>
      <c r="N964">
        <f t="shared" si="28"/>
        <v>36</v>
      </c>
      <c r="O964" t="str">
        <f t="shared" si="29"/>
        <v>Medium Risk</v>
      </c>
    </row>
    <row r="965" spans="1:15" x14ac:dyDescent="0.25">
      <c r="A965">
        <f>INDEX(tblCleanData[EmployeeNumber],957)</f>
        <v>1338</v>
      </c>
      <c r="B965" t="str">
        <f>IF(INDEX(tblCleanData[Age],957)&lt;30,"Under 30",IF(INDEX(tblCleanData[Age],957)&lt;40,"30-39",IF(INDEX(tblCleanData[Age],957)&lt;50,"40-49","50+")))</f>
        <v>50+</v>
      </c>
      <c r="C965" t="str">
        <f>IF(INDEX(tblCleanData[MonthlyIncome],957)&lt;=$B$3,"Low Income",IF(INDEX(tblCleanData[MonthlyIncome],957)&lt;=$B$4,"Medium Income","High Income"))</f>
        <v>High Income</v>
      </c>
      <c r="D965">
        <f>IF(INDEX(tblCleanData[Attrition],957)="Yes",1,0)</f>
        <v>0</v>
      </c>
      <c r="E965">
        <f>IF(INDEX(tblCleanData[OverTime],957)="Yes",1,0)</f>
        <v>0</v>
      </c>
      <c r="F965" t="str">
        <f>CHOOSE(INDEX(tblCleanData[Education],957),"Below College","College","Bachelor","Master","Doctor")</f>
        <v>Master</v>
      </c>
      <c r="G965" t="str">
        <f>IF(INDEX(tblCleanData[YearsAtCompany],957)&lt;=2,"0-2 Years",IF(INDEX(tblCleanData[YearsAtCompany],957)&lt;=5,"3-5 Years",IF(INDEX(tblCleanData[YearsAtCompany],957)&lt;=10,"6-10 Years","10+ Years")))</f>
        <v>6-10 Years</v>
      </c>
      <c r="H965" t="str">
        <f>IF(INDEX(tblCleanData[WorkLifeBalance],957)&lt;=2,"Elevated","Normal")</f>
        <v>Normal</v>
      </c>
      <c r="I965">
        <f>IF(INDEX(tblCleanData[Age],957)&lt;30,30,IF(INDEX(tblCleanData[Age],957)&lt;40,20,IF(INDEX(tblCleanData[Age],957)&lt;50,10,15)))</f>
        <v>15</v>
      </c>
      <c r="J965">
        <f>IF(INDEX(tblCleanData[MonthlyIncome],957)&lt;=$B$3,25,IF(INDEX(tblCleanData[MonthlyIncome],957)&lt;=$B$4,12,5))</f>
        <v>5</v>
      </c>
      <c r="K965">
        <f>IF(INDEX(tblCleanData[OverTime],957)="Yes",25,0)</f>
        <v>0</v>
      </c>
      <c r="L965">
        <f>(5-INDEX(tblCleanData[JobSatisfaction],957))*6.25</f>
        <v>18.75</v>
      </c>
      <c r="M965">
        <f>IF(INDEX(tblCleanData[YearsAtCompany],957)&lt;=2,25,IF(INDEX(tblCleanData[YearsAtCompany],957)&lt;=5,15,IF(INDEX(tblCleanData[YearsAtCompany],957)&lt;=10,8,3)))</f>
        <v>8</v>
      </c>
      <c r="N965">
        <f t="shared" si="28"/>
        <v>47</v>
      </c>
      <c r="O965" t="str">
        <f t="shared" si="29"/>
        <v>Medium Risk</v>
      </c>
    </row>
    <row r="966" spans="1:15" x14ac:dyDescent="0.25">
      <c r="A966">
        <f>INDEX(tblCleanData[EmployeeNumber],958)</f>
        <v>1340</v>
      </c>
      <c r="B966" t="str">
        <f>IF(INDEX(tblCleanData[Age],958)&lt;30,"Under 30",IF(INDEX(tblCleanData[Age],958)&lt;40,"30-39",IF(INDEX(tblCleanData[Age],958)&lt;50,"40-49","50+")))</f>
        <v>40-49</v>
      </c>
      <c r="C966" t="str">
        <f>IF(INDEX(tblCleanData[MonthlyIncome],958)&lt;=$B$3,"Low Income",IF(INDEX(tblCleanData[MonthlyIncome],958)&lt;=$B$4,"Medium Income","High Income"))</f>
        <v>High Income</v>
      </c>
      <c r="D966">
        <f>IF(INDEX(tblCleanData[Attrition],958)="Yes",1,0)</f>
        <v>0</v>
      </c>
      <c r="E966">
        <f>IF(INDEX(tblCleanData[OverTime],958)="Yes",1,0)</f>
        <v>0</v>
      </c>
      <c r="F966" t="str">
        <f>CHOOSE(INDEX(tblCleanData[Education],958),"Below College","College","Bachelor","Master","Doctor")</f>
        <v>College</v>
      </c>
      <c r="G966" t="str">
        <f>IF(INDEX(tblCleanData[YearsAtCompany],958)&lt;=2,"0-2 Years",IF(INDEX(tblCleanData[YearsAtCompany],958)&lt;=5,"3-5 Years",IF(INDEX(tblCleanData[YearsAtCompany],958)&lt;=10,"6-10 Years","10+ Years")))</f>
        <v>3-5 Years</v>
      </c>
      <c r="H966" t="str">
        <f>IF(INDEX(tblCleanData[WorkLifeBalance],958)&lt;=2,"Elevated","Normal")</f>
        <v>Normal</v>
      </c>
      <c r="I966">
        <f>IF(INDEX(tblCleanData[Age],958)&lt;30,30,IF(INDEX(tblCleanData[Age],958)&lt;40,20,IF(INDEX(tblCleanData[Age],958)&lt;50,10,15)))</f>
        <v>10</v>
      </c>
      <c r="J966">
        <f>IF(INDEX(tblCleanData[MonthlyIncome],958)&lt;=$B$3,25,IF(INDEX(tblCleanData[MonthlyIncome],958)&lt;=$B$4,12,5))</f>
        <v>5</v>
      </c>
      <c r="K966">
        <f>IF(INDEX(tblCleanData[OverTime],958)="Yes",25,0)</f>
        <v>0</v>
      </c>
      <c r="L966">
        <f>(5-INDEX(tblCleanData[JobSatisfaction],958))*6.25</f>
        <v>12.5</v>
      </c>
      <c r="M966">
        <f>IF(INDEX(tblCleanData[YearsAtCompany],958)&lt;=2,25,IF(INDEX(tblCleanData[YearsAtCompany],958)&lt;=5,15,IF(INDEX(tblCleanData[YearsAtCompany],958)&lt;=10,8,3)))</f>
        <v>15</v>
      </c>
      <c r="N966">
        <f t="shared" si="28"/>
        <v>43</v>
      </c>
      <c r="O966" t="str">
        <f t="shared" si="29"/>
        <v>Medium Risk</v>
      </c>
    </row>
    <row r="967" spans="1:15" x14ac:dyDescent="0.25">
      <c r="A967">
        <f>INDEX(tblCleanData[EmployeeNumber],959)</f>
        <v>1344</v>
      </c>
      <c r="B967" t="str">
        <f>IF(INDEX(tblCleanData[Age],959)&lt;30,"Under 30",IF(INDEX(tblCleanData[Age],959)&lt;40,"30-39",IF(INDEX(tblCleanData[Age],959)&lt;50,"40-49","50+")))</f>
        <v>30-39</v>
      </c>
      <c r="C967" t="str">
        <f>IF(INDEX(tblCleanData[MonthlyIncome],959)&lt;=$B$3,"Low Income",IF(INDEX(tblCleanData[MonthlyIncome],959)&lt;=$B$4,"Medium Income","High Income"))</f>
        <v>High Income</v>
      </c>
      <c r="D967">
        <f>IF(INDEX(tblCleanData[Attrition],959)="Yes",1,0)</f>
        <v>0</v>
      </c>
      <c r="E967">
        <f>IF(INDEX(tblCleanData[OverTime],959)="Yes",1,0)</f>
        <v>0</v>
      </c>
      <c r="F967" t="str">
        <f>CHOOSE(INDEX(tblCleanData[Education],959),"Below College","College","Bachelor","Master","Doctor")</f>
        <v>Bachelor</v>
      </c>
      <c r="G967" t="str">
        <f>IF(INDEX(tblCleanData[YearsAtCompany],959)&lt;=2,"0-2 Years",IF(INDEX(tblCleanData[YearsAtCompany],959)&lt;=5,"3-5 Years",IF(INDEX(tblCleanData[YearsAtCompany],959)&lt;=10,"6-10 Years","10+ Years")))</f>
        <v>6-10 Years</v>
      </c>
      <c r="H967" t="str">
        <f>IF(INDEX(tblCleanData[WorkLifeBalance],959)&lt;=2,"Elevated","Normal")</f>
        <v>Elevated</v>
      </c>
      <c r="I967">
        <f>IF(INDEX(tblCleanData[Age],959)&lt;30,30,IF(INDEX(tblCleanData[Age],959)&lt;40,20,IF(INDEX(tblCleanData[Age],959)&lt;50,10,15)))</f>
        <v>20</v>
      </c>
      <c r="J967">
        <f>IF(INDEX(tblCleanData[MonthlyIncome],959)&lt;=$B$3,25,IF(INDEX(tblCleanData[MonthlyIncome],959)&lt;=$B$4,12,5))</f>
        <v>5</v>
      </c>
      <c r="K967">
        <f>IF(INDEX(tblCleanData[OverTime],959)="Yes",25,0)</f>
        <v>0</v>
      </c>
      <c r="L967">
        <f>(5-INDEX(tblCleanData[JobSatisfaction],959))*6.25</f>
        <v>6.25</v>
      </c>
      <c r="M967">
        <f>IF(INDEX(tblCleanData[YearsAtCompany],959)&lt;=2,25,IF(INDEX(tblCleanData[YearsAtCompany],959)&lt;=5,15,IF(INDEX(tblCleanData[YearsAtCompany],959)&lt;=10,8,3)))</f>
        <v>8</v>
      </c>
      <c r="N967">
        <f t="shared" si="28"/>
        <v>39</v>
      </c>
      <c r="O967" t="str">
        <f t="shared" si="29"/>
        <v>Medium Risk</v>
      </c>
    </row>
    <row r="968" spans="1:15" x14ac:dyDescent="0.25">
      <c r="A968">
        <f>INDEX(tblCleanData[EmployeeNumber],960)</f>
        <v>1346</v>
      </c>
      <c r="B968" t="str">
        <f>IF(INDEX(tblCleanData[Age],960)&lt;30,"Under 30",IF(INDEX(tblCleanData[Age],960)&lt;40,"30-39",IF(INDEX(tblCleanData[Age],960)&lt;50,"40-49","50+")))</f>
        <v>40-49</v>
      </c>
      <c r="C968" t="str">
        <f>IF(INDEX(tblCleanData[MonthlyIncome],960)&lt;=$B$3,"Low Income",IF(INDEX(tblCleanData[MonthlyIncome],960)&lt;=$B$4,"Medium Income","High Income"))</f>
        <v>High Income</v>
      </c>
      <c r="D968">
        <f>IF(INDEX(tblCleanData[Attrition],960)="Yes",1,0)</f>
        <v>0</v>
      </c>
      <c r="E968">
        <f>IF(INDEX(tblCleanData[OverTime],960)="Yes",1,0)</f>
        <v>0</v>
      </c>
      <c r="F968" t="str">
        <f>CHOOSE(INDEX(tblCleanData[Education],960),"Below College","College","Bachelor","Master","Doctor")</f>
        <v>Bachelor</v>
      </c>
      <c r="G968" t="str">
        <f>IF(INDEX(tblCleanData[YearsAtCompany],960)&lt;=2,"0-2 Years",IF(INDEX(tblCleanData[YearsAtCompany],960)&lt;=5,"3-5 Years",IF(INDEX(tblCleanData[YearsAtCompany],960)&lt;=10,"6-10 Years","10+ Years")))</f>
        <v>6-10 Years</v>
      </c>
      <c r="H968" t="str">
        <f>IF(INDEX(tblCleanData[WorkLifeBalance],960)&lt;=2,"Elevated","Normal")</f>
        <v>Normal</v>
      </c>
      <c r="I968">
        <f>IF(INDEX(tblCleanData[Age],960)&lt;30,30,IF(INDEX(tblCleanData[Age],960)&lt;40,20,IF(INDEX(tblCleanData[Age],960)&lt;50,10,15)))</f>
        <v>10</v>
      </c>
      <c r="J968">
        <f>IF(INDEX(tblCleanData[MonthlyIncome],960)&lt;=$B$3,25,IF(INDEX(tblCleanData[MonthlyIncome],960)&lt;=$B$4,12,5))</f>
        <v>5</v>
      </c>
      <c r="K968">
        <f>IF(INDEX(tblCleanData[OverTime],960)="Yes",25,0)</f>
        <v>0</v>
      </c>
      <c r="L968">
        <f>(5-INDEX(tblCleanData[JobSatisfaction],960))*6.25</f>
        <v>6.25</v>
      </c>
      <c r="M968">
        <f>IF(INDEX(tblCleanData[YearsAtCompany],960)&lt;=2,25,IF(INDEX(tblCleanData[YearsAtCompany],960)&lt;=5,15,IF(INDEX(tblCleanData[YearsAtCompany],960)&lt;=10,8,3)))</f>
        <v>8</v>
      </c>
      <c r="N968">
        <f t="shared" si="28"/>
        <v>29</v>
      </c>
      <c r="O968" t="str">
        <f t="shared" si="29"/>
        <v>Low Risk</v>
      </c>
    </row>
    <row r="969" spans="1:15" x14ac:dyDescent="0.25">
      <c r="A969">
        <f>INDEX(tblCleanData[EmployeeNumber],961)</f>
        <v>1349</v>
      </c>
      <c r="B969" t="str">
        <f>IF(INDEX(tblCleanData[Age],961)&lt;30,"Under 30",IF(INDEX(tblCleanData[Age],961)&lt;40,"30-39",IF(INDEX(tblCleanData[Age],961)&lt;50,"40-49","50+")))</f>
        <v>40-49</v>
      </c>
      <c r="C969" t="str">
        <f>IF(INDEX(tblCleanData[MonthlyIncome],961)&lt;=$B$3,"Low Income",IF(INDEX(tblCleanData[MonthlyIncome],961)&lt;=$B$4,"Medium Income","High Income"))</f>
        <v>High Income</v>
      </c>
      <c r="D969">
        <f>IF(INDEX(tblCleanData[Attrition],961)="Yes",1,0)</f>
        <v>0</v>
      </c>
      <c r="E969">
        <f>IF(INDEX(tblCleanData[OverTime],961)="Yes",1,0)</f>
        <v>0</v>
      </c>
      <c r="F969" t="str">
        <f>CHOOSE(INDEX(tblCleanData[Education],961),"Below College","College","Bachelor","Master","Doctor")</f>
        <v>Bachelor</v>
      </c>
      <c r="G969" t="str">
        <f>IF(INDEX(tblCleanData[YearsAtCompany],961)&lt;=2,"0-2 Years",IF(INDEX(tblCleanData[YearsAtCompany],961)&lt;=5,"3-5 Years",IF(INDEX(tblCleanData[YearsAtCompany],961)&lt;=10,"6-10 Years","10+ Years")))</f>
        <v>6-10 Years</v>
      </c>
      <c r="H969" t="str">
        <f>IF(INDEX(tblCleanData[WorkLifeBalance],961)&lt;=2,"Elevated","Normal")</f>
        <v>Normal</v>
      </c>
      <c r="I969">
        <f>IF(INDEX(tblCleanData[Age],961)&lt;30,30,IF(INDEX(tblCleanData[Age],961)&lt;40,20,IF(INDEX(tblCleanData[Age],961)&lt;50,10,15)))</f>
        <v>10</v>
      </c>
      <c r="J969">
        <f>IF(INDEX(tblCleanData[MonthlyIncome],961)&lt;=$B$3,25,IF(INDEX(tblCleanData[MonthlyIncome],961)&lt;=$B$4,12,5))</f>
        <v>5</v>
      </c>
      <c r="K969">
        <f>IF(INDEX(tblCleanData[OverTime],961)="Yes",25,0)</f>
        <v>0</v>
      </c>
      <c r="L969">
        <f>(5-INDEX(tblCleanData[JobSatisfaction],961))*6.25</f>
        <v>25</v>
      </c>
      <c r="M969">
        <f>IF(INDEX(tblCleanData[YearsAtCompany],961)&lt;=2,25,IF(INDEX(tblCleanData[YearsAtCompany],961)&lt;=5,15,IF(INDEX(tblCleanData[YearsAtCompany],961)&lt;=10,8,3)))</f>
        <v>8</v>
      </c>
      <c r="N969">
        <f t="shared" ref="N969:N1032" si="30">ROUND(I969+J969+K969+L969+M969,0)</f>
        <v>48</v>
      </c>
      <c r="O969" t="str">
        <f t="shared" ref="O969:O1032" si="31">IF(N969&gt;=55,"High Risk",IF(N969&gt;=35,"Medium Risk","Low Risk"))</f>
        <v>Medium Risk</v>
      </c>
    </row>
    <row r="970" spans="1:15" x14ac:dyDescent="0.25">
      <c r="A970">
        <f>INDEX(tblCleanData[EmployeeNumber],962)</f>
        <v>1350</v>
      </c>
      <c r="B970" t="str">
        <f>IF(INDEX(tblCleanData[Age],962)&lt;30,"Under 30",IF(INDEX(tblCleanData[Age],962)&lt;40,"30-39",IF(INDEX(tblCleanData[Age],962)&lt;50,"40-49","50+")))</f>
        <v>30-39</v>
      </c>
      <c r="C970" t="str">
        <f>IF(INDEX(tblCleanData[MonthlyIncome],962)&lt;=$B$3,"Low Income",IF(INDEX(tblCleanData[MonthlyIncome],962)&lt;=$B$4,"Medium Income","High Income"))</f>
        <v>High Income</v>
      </c>
      <c r="D970">
        <f>IF(INDEX(tblCleanData[Attrition],962)="Yes",1,0)</f>
        <v>0</v>
      </c>
      <c r="E970">
        <f>IF(INDEX(tblCleanData[OverTime],962)="Yes",1,0)</f>
        <v>1</v>
      </c>
      <c r="F970" t="str">
        <f>CHOOSE(INDEX(tblCleanData[Education],962),"Below College","College","Bachelor","Master","Doctor")</f>
        <v>Master</v>
      </c>
      <c r="G970" t="str">
        <f>IF(INDEX(tblCleanData[YearsAtCompany],962)&lt;=2,"0-2 Years",IF(INDEX(tblCleanData[YearsAtCompany],962)&lt;=5,"3-5 Years",IF(INDEX(tblCleanData[YearsAtCompany],962)&lt;=10,"6-10 Years","10+ Years")))</f>
        <v>6-10 Years</v>
      </c>
      <c r="H970" t="str">
        <f>IF(INDEX(tblCleanData[WorkLifeBalance],962)&lt;=2,"Elevated","Normal")</f>
        <v>Normal</v>
      </c>
      <c r="I970">
        <f>IF(INDEX(tblCleanData[Age],962)&lt;30,30,IF(INDEX(tblCleanData[Age],962)&lt;40,20,IF(INDEX(tblCleanData[Age],962)&lt;50,10,15)))</f>
        <v>20</v>
      </c>
      <c r="J970">
        <f>IF(INDEX(tblCleanData[MonthlyIncome],962)&lt;=$B$3,25,IF(INDEX(tblCleanData[MonthlyIncome],962)&lt;=$B$4,12,5))</f>
        <v>5</v>
      </c>
      <c r="K970">
        <f>IF(INDEX(tblCleanData[OverTime],962)="Yes",25,0)</f>
        <v>25</v>
      </c>
      <c r="L970">
        <f>(5-INDEX(tblCleanData[JobSatisfaction],962))*6.25</f>
        <v>12.5</v>
      </c>
      <c r="M970">
        <f>IF(INDEX(tblCleanData[YearsAtCompany],962)&lt;=2,25,IF(INDEX(tblCleanData[YearsAtCompany],962)&lt;=5,15,IF(INDEX(tblCleanData[YearsAtCompany],962)&lt;=10,8,3)))</f>
        <v>8</v>
      </c>
      <c r="N970">
        <f t="shared" si="30"/>
        <v>71</v>
      </c>
      <c r="O970" t="str">
        <f t="shared" si="31"/>
        <v>High Risk</v>
      </c>
    </row>
    <row r="971" spans="1:15" x14ac:dyDescent="0.25">
      <c r="A971">
        <f>INDEX(tblCleanData[EmployeeNumber],963)</f>
        <v>1352</v>
      </c>
      <c r="B971" t="str">
        <f>IF(INDEX(tblCleanData[Age],963)&lt;30,"Under 30",IF(INDEX(tblCleanData[Age],963)&lt;40,"30-39",IF(INDEX(tblCleanData[Age],963)&lt;50,"40-49","50+")))</f>
        <v>50+</v>
      </c>
      <c r="C971" t="str">
        <f>IF(INDEX(tblCleanData[MonthlyIncome],963)&lt;=$B$3,"Low Income",IF(INDEX(tblCleanData[MonthlyIncome],963)&lt;=$B$4,"Medium Income","High Income"))</f>
        <v>High Income</v>
      </c>
      <c r="D971">
        <f>IF(INDEX(tblCleanData[Attrition],963)="Yes",1,0)</f>
        <v>0</v>
      </c>
      <c r="E971">
        <f>IF(INDEX(tblCleanData[OverTime],963)="Yes",1,0)</f>
        <v>1</v>
      </c>
      <c r="F971" t="str">
        <f>CHOOSE(INDEX(tblCleanData[Education],963),"Below College","College","Bachelor","Master","Doctor")</f>
        <v>Bachelor</v>
      </c>
      <c r="G971" t="str">
        <f>IF(INDEX(tblCleanData[YearsAtCompany],963)&lt;=2,"0-2 Years",IF(INDEX(tblCleanData[YearsAtCompany],963)&lt;=5,"3-5 Years",IF(INDEX(tblCleanData[YearsAtCompany],963)&lt;=10,"6-10 Years","10+ Years")))</f>
        <v>10+ Years</v>
      </c>
      <c r="H971" t="str">
        <f>IF(INDEX(tblCleanData[WorkLifeBalance],963)&lt;=2,"Elevated","Normal")</f>
        <v>Normal</v>
      </c>
      <c r="I971">
        <f>IF(INDEX(tblCleanData[Age],963)&lt;30,30,IF(INDEX(tblCleanData[Age],963)&lt;40,20,IF(INDEX(tblCleanData[Age],963)&lt;50,10,15)))</f>
        <v>15</v>
      </c>
      <c r="J971">
        <f>IF(INDEX(tblCleanData[MonthlyIncome],963)&lt;=$B$3,25,IF(INDEX(tblCleanData[MonthlyIncome],963)&lt;=$B$4,12,5))</f>
        <v>5</v>
      </c>
      <c r="K971">
        <f>IF(INDEX(tblCleanData[OverTime],963)="Yes",25,0)</f>
        <v>25</v>
      </c>
      <c r="L971">
        <f>(5-INDEX(tblCleanData[JobSatisfaction],963))*6.25</f>
        <v>18.75</v>
      </c>
      <c r="M971">
        <f>IF(INDEX(tblCleanData[YearsAtCompany],963)&lt;=2,25,IF(INDEX(tblCleanData[YearsAtCompany],963)&lt;=5,15,IF(INDEX(tblCleanData[YearsAtCompany],963)&lt;=10,8,3)))</f>
        <v>3</v>
      </c>
      <c r="N971">
        <f t="shared" si="30"/>
        <v>67</v>
      </c>
      <c r="O971" t="str">
        <f t="shared" si="31"/>
        <v>High Risk</v>
      </c>
    </row>
    <row r="972" spans="1:15" x14ac:dyDescent="0.25">
      <c r="A972">
        <f>INDEX(tblCleanData[EmployeeNumber],964)</f>
        <v>1355</v>
      </c>
      <c r="B972" t="str">
        <f>IF(INDEX(tblCleanData[Age],964)&lt;30,"Under 30",IF(INDEX(tblCleanData[Age],964)&lt;40,"30-39",IF(INDEX(tblCleanData[Age],964)&lt;50,"40-49","50+")))</f>
        <v>30-39</v>
      </c>
      <c r="C972" t="str">
        <f>IF(INDEX(tblCleanData[MonthlyIncome],964)&lt;=$B$3,"Low Income",IF(INDEX(tblCleanData[MonthlyIncome],964)&lt;=$B$4,"Medium Income","High Income"))</f>
        <v>High Income</v>
      </c>
      <c r="D972">
        <f>IF(INDEX(tblCleanData[Attrition],964)="Yes",1,0)</f>
        <v>0</v>
      </c>
      <c r="E972">
        <f>IF(INDEX(tblCleanData[OverTime],964)="Yes",1,0)</f>
        <v>0</v>
      </c>
      <c r="F972" t="str">
        <f>CHOOSE(INDEX(tblCleanData[Education],964),"Below College","College","Bachelor","Master","Doctor")</f>
        <v>College</v>
      </c>
      <c r="G972" t="str">
        <f>IF(INDEX(tblCleanData[YearsAtCompany],964)&lt;=2,"0-2 Years",IF(INDEX(tblCleanData[YearsAtCompany],964)&lt;=5,"3-5 Years",IF(INDEX(tblCleanData[YearsAtCompany],964)&lt;=10,"6-10 Years","10+ Years")))</f>
        <v>6-10 Years</v>
      </c>
      <c r="H972" t="str">
        <f>IF(INDEX(tblCleanData[WorkLifeBalance],964)&lt;=2,"Elevated","Normal")</f>
        <v>Normal</v>
      </c>
      <c r="I972">
        <f>IF(INDEX(tblCleanData[Age],964)&lt;30,30,IF(INDEX(tblCleanData[Age],964)&lt;40,20,IF(INDEX(tblCleanData[Age],964)&lt;50,10,15)))</f>
        <v>20</v>
      </c>
      <c r="J972">
        <f>IF(INDEX(tblCleanData[MonthlyIncome],964)&lt;=$B$3,25,IF(INDEX(tblCleanData[MonthlyIncome],964)&lt;=$B$4,12,5))</f>
        <v>5</v>
      </c>
      <c r="K972">
        <f>IF(INDEX(tblCleanData[OverTime],964)="Yes",25,0)</f>
        <v>0</v>
      </c>
      <c r="L972">
        <f>(5-INDEX(tblCleanData[JobSatisfaction],964))*6.25</f>
        <v>25</v>
      </c>
      <c r="M972">
        <f>IF(INDEX(tblCleanData[YearsAtCompany],964)&lt;=2,25,IF(INDEX(tblCleanData[YearsAtCompany],964)&lt;=5,15,IF(INDEX(tblCleanData[YearsAtCompany],964)&lt;=10,8,3)))</f>
        <v>8</v>
      </c>
      <c r="N972">
        <f t="shared" si="30"/>
        <v>58</v>
      </c>
      <c r="O972" t="str">
        <f t="shared" si="31"/>
        <v>High Risk</v>
      </c>
    </row>
    <row r="973" spans="1:15" x14ac:dyDescent="0.25">
      <c r="A973">
        <f>INDEX(tblCleanData[EmployeeNumber],965)</f>
        <v>1356</v>
      </c>
      <c r="B973" t="str">
        <f>IF(INDEX(tblCleanData[Age],965)&lt;30,"Under 30",IF(INDEX(tblCleanData[Age],965)&lt;40,"30-39",IF(INDEX(tblCleanData[Age],965)&lt;50,"40-49","50+")))</f>
        <v>30-39</v>
      </c>
      <c r="C973" t="str">
        <f>IF(INDEX(tblCleanData[MonthlyIncome],965)&lt;=$B$3,"Low Income",IF(INDEX(tblCleanData[MonthlyIncome],965)&lt;=$B$4,"Medium Income","High Income"))</f>
        <v>High Income</v>
      </c>
      <c r="D973">
        <f>IF(INDEX(tblCleanData[Attrition],965)="Yes",1,0)</f>
        <v>0</v>
      </c>
      <c r="E973">
        <f>IF(INDEX(tblCleanData[OverTime],965)="Yes",1,0)</f>
        <v>0</v>
      </c>
      <c r="F973" t="str">
        <f>CHOOSE(INDEX(tblCleanData[Education],965),"Below College","College","Bachelor","Master","Doctor")</f>
        <v>College</v>
      </c>
      <c r="G973" t="str">
        <f>IF(INDEX(tblCleanData[YearsAtCompany],965)&lt;=2,"0-2 Years",IF(INDEX(tblCleanData[YearsAtCompany],965)&lt;=5,"3-5 Years",IF(INDEX(tblCleanData[YearsAtCompany],965)&lt;=10,"6-10 Years","10+ Years")))</f>
        <v>6-10 Years</v>
      </c>
      <c r="H973" t="str">
        <f>IF(INDEX(tblCleanData[WorkLifeBalance],965)&lt;=2,"Elevated","Normal")</f>
        <v>Normal</v>
      </c>
      <c r="I973">
        <f>IF(INDEX(tblCleanData[Age],965)&lt;30,30,IF(INDEX(tblCleanData[Age],965)&lt;40,20,IF(INDEX(tblCleanData[Age],965)&lt;50,10,15)))</f>
        <v>20</v>
      </c>
      <c r="J973">
        <f>IF(INDEX(tblCleanData[MonthlyIncome],965)&lt;=$B$3,25,IF(INDEX(tblCleanData[MonthlyIncome],965)&lt;=$B$4,12,5))</f>
        <v>5</v>
      </c>
      <c r="K973">
        <f>IF(INDEX(tblCleanData[OverTime],965)="Yes",25,0)</f>
        <v>0</v>
      </c>
      <c r="L973">
        <f>(5-INDEX(tblCleanData[JobSatisfaction],965))*6.25</f>
        <v>25</v>
      </c>
      <c r="M973">
        <f>IF(INDEX(tblCleanData[YearsAtCompany],965)&lt;=2,25,IF(INDEX(tblCleanData[YearsAtCompany],965)&lt;=5,15,IF(INDEX(tblCleanData[YearsAtCompany],965)&lt;=10,8,3)))</f>
        <v>8</v>
      </c>
      <c r="N973">
        <f t="shared" si="30"/>
        <v>58</v>
      </c>
      <c r="O973" t="str">
        <f t="shared" si="31"/>
        <v>High Risk</v>
      </c>
    </row>
    <row r="974" spans="1:15" x14ac:dyDescent="0.25">
      <c r="A974">
        <f>INDEX(tblCleanData[EmployeeNumber],966)</f>
        <v>1358</v>
      </c>
      <c r="B974" t="str">
        <f>IF(INDEX(tblCleanData[Age],966)&lt;30,"Under 30",IF(INDEX(tblCleanData[Age],966)&lt;40,"30-39",IF(INDEX(tblCleanData[Age],966)&lt;50,"40-49","50+")))</f>
        <v>Under 30</v>
      </c>
      <c r="C974" t="str">
        <f>IF(INDEX(tblCleanData[MonthlyIncome],966)&lt;=$B$3,"Low Income",IF(INDEX(tblCleanData[MonthlyIncome],966)&lt;=$B$4,"Medium Income","High Income"))</f>
        <v>High Income</v>
      </c>
      <c r="D974">
        <f>IF(INDEX(tblCleanData[Attrition],966)="Yes",1,0)</f>
        <v>0</v>
      </c>
      <c r="E974">
        <f>IF(INDEX(tblCleanData[OverTime],966)="Yes",1,0)</f>
        <v>0</v>
      </c>
      <c r="F974" t="str">
        <f>CHOOSE(INDEX(tblCleanData[Education],966),"Below College","College","Bachelor","Master","Doctor")</f>
        <v>Below College</v>
      </c>
      <c r="G974" t="str">
        <f>IF(INDEX(tblCleanData[YearsAtCompany],966)&lt;=2,"0-2 Years",IF(INDEX(tblCleanData[YearsAtCompany],966)&lt;=5,"3-5 Years",IF(INDEX(tblCleanData[YearsAtCompany],966)&lt;=10,"6-10 Years","10+ Years")))</f>
        <v>3-5 Years</v>
      </c>
      <c r="H974" t="str">
        <f>IF(INDEX(tblCleanData[WorkLifeBalance],966)&lt;=2,"Elevated","Normal")</f>
        <v>Elevated</v>
      </c>
      <c r="I974">
        <f>IF(INDEX(tblCleanData[Age],966)&lt;30,30,IF(INDEX(tblCleanData[Age],966)&lt;40,20,IF(INDEX(tblCleanData[Age],966)&lt;50,10,15)))</f>
        <v>30</v>
      </c>
      <c r="J974">
        <f>IF(INDEX(tblCleanData[MonthlyIncome],966)&lt;=$B$3,25,IF(INDEX(tblCleanData[MonthlyIncome],966)&lt;=$B$4,12,5))</f>
        <v>5</v>
      </c>
      <c r="K974">
        <f>IF(INDEX(tblCleanData[OverTime],966)="Yes",25,0)</f>
        <v>0</v>
      </c>
      <c r="L974">
        <f>(5-INDEX(tblCleanData[JobSatisfaction],966))*6.25</f>
        <v>6.25</v>
      </c>
      <c r="M974">
        <f>IF(INDEX(tblCleanData[YearsAtCompany],966)&lt;=2,25,IF(INDEX(tblCleanData[YearsAtCompany],966)&lt;=5,15,IF(INDEX(tblCleanData[YearsAtCompany],966)&lt;=10,8,3)))</f>
        <v>15</v>
      </c>
      <c r="N974">
        <f t="shared" si="30"/>
        <v>56</v>
      </c>
      <c r="O974" t="str">
        <f t="shared" si="31"/>
        <v>High Risk</v>
      </c>
    </row>
    <row r="975" spans="1:15" x14ac:dyDescent="0.25">
      <c r="A975">
        <f>INDEX(tblCleanData[EmployeeNumber],967)</f>
        <v>1360</v>
      </c>
      <c r="B975" t="str">
        <f>IF(INDEX(tblCleanData[Age],967)&lt;30,"Under 30",IF(INDEX(tblCleanData[Age],967)&lt;40,"30-39",IF(INDEX(tblCleanData[Age],967)&lt;50,"40-49","50+")))</f>
        <v>50+</v>
      </c>
      <c r="C975" t="str">
        <f>IF(INDEX(tblCleanData[MonthlyIncome],967)&lt;=$B$3,"Low Income",IF(INDEX(tblCleanData[MonthlyIncome],967)&lt;=$B$4,"Medium Income","High Income"))</f>
        <v>High Income</v>
      </c>
      <c r="D975">
        <f>IF(INDEX(tblCleanData[Attrition],967)="Yes",1,0)</f>
        <v>1</v>
      </c>
      <c r="E975">
        <f>IF(INDEX(tblCleanData[OverTime],967)="Yes",1,0)</f>
        <v>1</v>
      </c>
      <c r="F975" t="str">
        <f>CHOOSE(INDEX(tblCleanData[Education],967),"Below College","College","Bachelor","Master","Doctor")</f>
        <v>Master</v>
      </c>
      <c r="G975" t="str">
        <f>IF(INDEX(tblCleanData[YearsAtCompany],967)&lt;=2,"0-2 Years",IF(INDEX(tblCleanData[YearsAtCompany],967)&lt;=5,"3-5 Years",IF(INDEX(tblCleanData[YearsAtCompany],967)&lt;=10,"6-10 Years","10+ Years")))</f>
        <v>6-10 Years</v>
      </c>
      <c r="H975" t="str">
        <f>IF(INDEX(tblCleanData[WorkLifeBalance],967)&lt;=2,"Elevated","Normal")</f>
        <v>Elevated</v>
      </c>
      <c r="I975">
        <f>IF(INDEX(tblCleanData[Age],967)&lt;30,30,IF(INDEX(tblCleanData[Age],967)&lt;40,20,IF(INDEX(tblCleanData[Age],967)&lt;50,10,15)))</f>
        <v>15</v>
      </c>
      <c r="J975">
        <f>IF(INDEX(tblCleanData[MonthlyIncome],967)&lt;=$B$3,25,IF(INDEX(tblCleanData[MonthlyIncome],967)&lt;=$B$4,12,5))</f>
        <v>5</v>
      </c>
      <c r="K975">
        <f>IF(INDEX(tblCleanData[OverTime],967)="Yes",25,0)</f>
        <v>25</v>
      </c>
      <c r="L975">
        <f>(5-INDEX(tblCleanData[JobSatisfaction],967))*6.25</f>
        <v>25</v>
      </c>
      <c r="M975">
        <f>IF(INDEX(tblCleanData[YearsAtCompany],967)&lt;=2,25,IF(INDEX(tblCleanData[YearsAtCompany],967)&lt;=5,15,IF(INDEX(tblCleanData[YearsAtCompany],967)&lt;=10,8,3)))</f>
        <v>8</v>
      </c>
      <c r="N975">
        <f t="shared" si="30"/>
        <v>78</v>
      </c>
      <c r="O975" t="str">
        <f t="shared" si="31"/>
        <v>High Risk</v>
      </c>
    </row>
    <row r="976" spans="1:15" x14ac:dyDescent="0.25">
      <c r="A976">
        <f>INDEX(tblCleanData[EmployeeNumber],968)</f>
        <v>1361</v>
      </c>
      <c r="B976" t="str">
        <f>IF(INDEX(tblCleanData[Age],968)&lt;30,"Under 30",IF(INDEX(tblCleanData[Age],968)&lt;40,"30-39",IF(INDEX(tblCleanData[Age],968)&lt;50,"40-49","50+")))</f>
        <v>40-49</v>
      </c>
      <c r="C976" t="str">
        <f>IF(INDEX(tblCleanData[MonthlyIncome],968)&lt;=$B$3,"Low Income",IF(INDEX(tblCleanData[MonthlyIncome],968)&lt;=$B$4,"Medium Income","High Income"))</f>
        <v>High Income</v>
      </c>
      <c r="D976">
        <f>IF(INDEX(tblCleanData[Attrition],968)="Yes",1,0)</f>
        <v>0</v>
      </c>
      <c r="E976">
        <f>IF(INDEX(tblCleanData[OverTime],968)="Yes",1,0)</f>
        <v>0</v>
      </c>
      <c r="F976" t="str">
        <f>CHOOSE(INDEX(tblCleanData[Education],968),"Below College","College","Bachelor","Master","Doctor")</f>
        <v>Master</v>
      </c>
      <c r="G976" t="str">
        <f>IF(INDEX(tblCleanData[YearsAtCompany],968)&lt;=2,"0-2 Years",IF(INDEX(tblCleanData[YearsAtCompany],968)&lt;=5,"3-5 Years",IF(INDEX(tblCleanData[YearsAtCompany],968)&lt;=10,"6-10 Years","10+ Years")))</f>
        <v>3-5 Years</v>
      </c>
      <c r="H976" t="str">
        <f>IF(INDEX(tblCleanData[WorkLifeBalance],968)&lt;=2,"Elevated","Normal")</f>
        <v>Normal</v>
      </c>
      <c r="I976">
        <f>IF(INDEX(tblCleanData[Age],968)&lt;30,30,IF(INDEX(tblCleanData[Age],968)&lt;40,20,IF(INDEX(tblCleanData[Age],968)&lt;50,10,15)))</f>
        <v>10</v>
      </c>
      <c r="J976">
        <f>IF(INDEX(tblCleanData[MonthlyIncome],968)&lt;=$B$3,25,IF(INDEX(tblCleanData[MonthlyIncome],968)&lt;=$B$4,12,5))</f>
        <v>5</v>
      </c>
      <c r="K976">
        <f>IF(INDEX(tblCleanData[OverTime],968)="Yes",25,0)</f>
        <v>0</v>
      </c>
      <c r="L976">
        <f>(5-INDEX(tblCleanData[JobSatisfaction],968))*6.25</f>
        <v>18.75</v>
      </c>
      <c r="M976">
        <f>IF(INDEX(tblCleanData[YearsAtCompany],968)&lt;=2,25,IF(INDEX(tblCleanData[YearsAtCompany],968)&lt;=5,15,IF(INDEX(tblCleanData[YearsAtCompany],968)&lt;=10,8,3)))</f>
        <v>15</v>
      </c>
      <c r="N976">
        <f t="shared" si="30"/>
        <v>49</v>
      </c>
      <c r="O976" t="str">
        <f t="shared" si="31"/>
        <v>Medium Risk</v>
      </c>
    </row>
    <row r="977" spans="1:15" x14ac:dyDescent="0.25">
      <c r="A977">
        <f>INDEX(tblCleanData[EmployeeNumber],969)</f>
        <v>1362</v>
      </c>
      <c r="B977" t="str">
        <f>IF(INDEX(tblCleanData[Age],969)&lt;30,"Under 30",IF(INDEX(tblCleanData[Age],969)&lt;40,"30-39",IF(INDEX(tblCleanData[Age],969)&lt;50,"40-49","50+")))</f>
        <v>30-39</v>
      </c>
      <c r="C977" t="str">
        <f>IF(INDEX(tblCleanData[MonthlyIncome],969)&lt;=$B$3,"Low Income",IF(INDEX(tblCleanData[MonthlyIncome],969)&lt;=$B$4,"Medium Income","High Income"))</f>
        <v>High Income</v>
      </c>
      <c r="D977">
        <f>IF(INDEX(tblCleanData[Attrition],969)="Yes",1,0)</f>
        <v>0</v>
      </c>
      <c r="E977">
        <f>IF(INDEX(tblCleanData[OverTime],969)="Yes",1,0)</f>
        <v>0</v>
      </c>
      <c r="F977" t="str">
        <f>CHOOSE(INDEX(tblCleanData[Education],969),"Below College","College","Bachelor","Master","Doctor")</f>
        <v>Bachelor</v>
      </c>
      <c r="G977" t="str">
        <f>IF(INDEX(tblCleanData[YearsAtCompany],969)&lt;=2,"0-2 Years",IF(INDEX(tblCleanData[YearsAtCompany],969)&lt;=5,"3-5 Years",IF(INDEX(tblCleanData[YearsAtCompany],969)&lt;=10,"6-10 Years","10+ Years")))</f>
        <v>10+ Years</v>
      </c>
      <c r="H977" t="str">
        <f>IF(INDEX(tblCleanData[WorkLifeBalance],969)&lt;=2,"Elevated","Normal")</f>
        <v>Elevated</v>
      </c>
      <c r="I977">
        <f>IF(INDEX(tblCleanData[Age],969)&lt;30,30,IF(INDEX(tblCleanData[Age],969)&lt;40,20,IF(INDEX(tblCleanData[Age],969)&lt;50,10,15)))</f>
        <v>20</v>
      </c>
      <c r="J977">
        <f>IF(INDEX(tblCleanData[MonthlyIncome],969)&lt;=$B$3,25,IF(INDEX(tblCleanData[MonthlyIncome],969)&lt;=$B$4,12,5))</f>
        <v>5</v>
      </c>
      <c r="K977">
        <f>IF(INDEX(tblCleanData[OverTime],969)="Yes",25,0)</f>
        <v>0</v>
      </c>
      <c r="L977">
        <f>(5-INDEX(tblCleanData[JobSatisfaction],969))*6.25</f>
        <v>25</v>
      </c>
      <c r="M977">
        <f>IF(INDEX(tblCleanData[YearsAtCompany],969)&lt;=2,25,IF(INDEX(tblCleanData[YearsAtCompany],969)&lt;=5,15,IF(INDEX(tblCleanData[YearsAtCompany],969)&lt;=10,8,3)))</f>
        <v>3</v>
      </c>
      <c r="N977">
        <f t="shared" si="30"/>
        <v>53</v>
      </c>
      <c r="O977" t="str">
        <f t="shared" si="31"/>
        <v>Medium Risk</v>
      </c>
    </row>
    <row r="978" spans="1:15" x14ac:dyDescent="0.25">
      <c r="A978">
        <f>INDEX(tblCleanData[EmployeeNumber],970)</f>
        <v>1363</v>
      </c>
      <c r="B978" t="str">
        <f>IF(INDEX(tblCleanData[Age],970)&lt;30,"Under 30",IF(INDEX(tblCleanData[Age],970)&lt;40,"30-39",IF(INDEX(tblCleanData[Age],970)&lt;50,"40-49","50+")))</f>
        <v>40-49</v>
      </c>
      <c r="C978" t="str">
        <f>IF(INDEX(tblCleanData[MonthlyIncome],970)&lt;=$B$3,"Low Income",IF(INDEX(tblCleanData[MonthlyIncome],970)&lt;=$B$4,"Medium Income","High Income"))</f>
        <v>High Income</v>
      </c>
      <c r="D978">
        <f>IF(INDEX(tblCleanData[Attrition],970)="Yes",1,0)</f>
        <v>0</v>
      </c>
      <c r="E978">
        <f>IF(INDEX(tblCleanData[OverTime],970)="Yes",1,0)</f>
        <v>0</v>
      </c>
      <c r="F978" t="str">
        <f>CHOOSE(INDEX(tblCleanData[Education],970),"Below College","College","Bachelor","Master","Doctor")</f>
        <v>Bachelor</v>
      </c>
      <c r="G978" t="str">
        <f>IF(INDEX(tblCleanData[YearsAtCompany],970)&lt;=2,"0-2 Years",IF(INDEX(tblCleanData[YearsAtCompany],970)&lt;=5,"3-5 Years",IF(INDEX(tblCleanData[YearsAtCompany],970)&lt;=10,"6-10 Years","10+ Years")))</f>
        <v>6-10 Years</v>
      </c>
      <c r="H978" t="str">
        <f>IF(INDEX(tblCleanData[WorkLifeBalance],970)&lt;=2,"Elevated","Normal")</f>
        <v>Normal</v>
      </c>
      <c r="I978">
        <f>IF(INDEX(tblCleanData[Age],970)&lt;30,30,IF(INDEX(tblCleanData[Age],970)&lt;40,20,IF(INDEX(tblCleanData[Age],970)&lt;50,10,15)))</f>
        <v>10</v>
      </c>
      <c r="J978">
        <f>IF(INDEX(tblCleanData[MonthlyIncome],970)&lt;=$B$3,25,IF(INDEX(tblCleanData[MonthlyIncome],970)&lt;=$B$4,12,5))</f>
        <v>5</v>
      </c>
      <c r="K978">
        <f>IF(INDEX(tblCleanData[OverTime],970)="Yes",25,0)</f>
        <v>0</v>
      </c>
      <c r="L978">
        <f>(5-INDEX(tblCleanData[JobSatisfaction],970))*6.25</f>
        <v>6.25</v>
      </c>
      <c r="M978">
        <f>IF(INDEX(tblCleanData[YearsAtCompany],970)&lt;=2,25,IF(INDEX(tblCleanData[YearsAtCompany],970)&lt;=5,15,IF(INDEX(tblCleanData[YearsAtCompany],970)&lt;=10,8,3)))</f>
        <v>8</v>
      </c>
      <c r="N978">
        <f t="shared" si="30"/>
        <v>29</v>
      </c>
      <c r="O978" t="str">
        <f t="shared" si="31"/>
        <v>Low Risk</v>
      </c>
    </row>
    <row r="979" spans="1:15" x14ac:dyDescent="0.25">
      <c r="A979">
        <f>INDEX(tblCleanData[EmployeeNumber],971)</f>
        <v>1364</v>
      </c>
      <c r="B979" t="str">
        <f>IF(INDEX(tblCleanData[Age],971)&lt;30,"Under 30",IF(INDEX(tblCleanData[Age],971)&lt;40,"30-39",IF(INDEX(tblCleanData[Age],971)&lt;50,"40-49","50+")))</f>
        <v>Under 30</v>
      </c>
      <c r="C979" t="str">
        <f>IF(INDEX(tblCleanData[MonthlyIncome],971)&lt;=$B$3,"Low Income",IF(INDEX(tblCleanData[MonthlyIncome],971)&lt;=$B$4,"Medium Income","High Income"))</f>
        <v>High Income</v>
      </c>
      <c r="D979">
        <f>IF(INDEX(tblCleanData[Attrition],971)="Yes",1,0)</f>
        <v>0</v>
      </c>
      <c r="E979">
        <f>IF(INDEX(tblCleanData[OverTime],971)="Yes",1,0)</f>
        <v>0</v>
      </c>
      <c r="F979" t="str">
        <f>CHOOSE(INDEX(tblCleanData[Education],971),"Below College","College","Bachelor","Master","Doctor")</f>
        <v>Bachelor</v>
      </c>
      <c r="G979" t="str">
        <f>IF(INDEX(tblCleanData[YearsAtCompany],971)&lt;=2,"0-2 Years",IF(INDEX(tblCleanData[YearsAtCompany],971)&lt;=5,"3-5 Years",IF(INDEX(tblCleanData[YearsAtCompany],971)&lt;=10,"6-10 Years","10+ Years")))</f>
        <v>0-2 Years</v>
      </c>
      <c r="H979" t="str">
        <f>IF(INDEX(tblCleanData[WorkLifeBalance],971)&lt;=2,"Elevated","Normal")</f>
        <v>Normal</v>
      </c>
      <c r="I979">
        <f>IF(INDEX(tblCleanData[Age],971)&lt;30,30,IF(INDEX(tblCleanData[Age],971)&lt;40,20,IF(INDEX(tblCleanData[Age],971)&lt;50,10,15)))</f>
        <v>30</v>
      </c>
      <c r="J979">
        <f>IF(INDEX(tblCleanData[MonthlyIncome],971)&lt;=$B$3,25,IF(INDEX(tblCleanData[MonthlyIncome],971)&lt;=$B$4,12,5))</f>
        <v>5</v>
      </c>
      <c r="K979">
        <f>IF(INDEX(tblCleanData[OverTime],971)="Yes",25,0)</f>
        <v>0</v>
      </c>
      <c r="L979">
        <f>(5-INDEX(tblCleanData[JobSatisfaction],971))*6.25</f>
        <v>6.25</v>
      </c>
      <c r="M979">
        <f>IF(INDEX(tblCleanData[YearsAtCompany],971)&lt;=2,25,IF(INDEX(tblCleanData[YearsAtCompany],971)&lt;=5,15,IF(INDEX(tblCleanData[YearsAtCompany],971)&lt;=10,8,3)))</f>
        <v>25</v>
      </c>
      <c r="N979">
        <f t="shared" si="30"/>
        <v>66</v>
      </c>
      <c r="O979" t="str">
        <f t="shared" si="31"/>
        <v>High Risk</v>
      </c>
    </row>
    <row r="980" spans="1:15" x14ac:dyDescent="0.25">
      <c r="A980">
        <f>INDEX(tblCleanData[EmployeeNumber],972)</f>
        <v>1367</v>
      </c>
      <c r="B980" t="str">
        <f>IF(INDEX(tblCleanData[Age],972)&lt;30,"Under 30",IF(INDEX(tblCleanData[Age],972)&lt;40,"30-39",IF(INDEX(tblCleanData[Age],972)&lt;50,"40-49","50+")))</f>
        <v>50+</v>
      </c>
      <c r="C980" t="str">
        <f>IF(INDEX(tblCleanData[MonthlyIncome],972)&lt;=$B$3,"Low Income",IF(INDEX(tblCleanData[MonthlyIncome],972)&lt;=$B$4,"Medium Income","High Income"))</f>
        <v>High Income</v>
      </c>
      <c r="D980">
        <f>IF(INDEX(tblCleanData[Attrition],972)="Yes",1,0)</f>
        <v>0</v>
      </c>
      <c r="E980">
        <f>IF(INDEX(tblCleanData[OverTime],972)="Yes",1,0)</f>
        <v>0</v>
      </c>
      <c r="F980" t="str">
        <f>CHOOSE(INDEX(tblCleanData[Education],972),"Below College","College","Bachelor","Master","Doctor")</f>
        <v>College</v>
      </c>
      <c r="G980" t="str">
        <f>IF(INDEX(tblCleanData[YearsAtCompany],972)&lt;=2,"0-2 Years",IF(INDEX(tblCleanData[YearsAtCompany],972)&lt;=5,"3-5 Years",IF(INDEX(tblCleanData[YearsAtCompany],972)&lt;=10,"6-10 Years","10+ Years")))</f>
        <v>3-5 Years</v>
      </c>
      <c r="H980" t="str">
        <f>IF(INDEX(tblCleanData[WorkLifeBalance],972)&lt;=2,"Elevated","Normal")</f>
        <v>Elevated</v>
      </c>
      <c r="I980">
        <f>IF(INDEX(tblCleanData[Age],972)&lt;30,30,IF(INDEX(tblCleanData[Age],972)&lt;40,20,IF(INDEX(tblCleanData[Age],972)&lt;50,10,15)))</f>
        <v>15</v>
      </c>
      <c r="J980">
        <f>IF(INDEX(tblCleanData[MonthlyIncome],972)&lt;=$B$3,25,IF(INDEX(tblCleanData[MonthlyIncome],972)&lt;=$B$4,12,5))</f>
        <v>5</v>
      </c>
      <c r="K980">
        <f>IF(INDEX(tblCleanData[OverTime],972)="Yes",25,0)</f>
        <v>0</v>
      </c>
      <c r="L980">
        <f>(5-INDEX(tblCleanData[JobSatisfaction],972))*6.25</f>
        <v>18.75</v>
      </c>
      <c r="M980">
        <f>IF(INDEX(tblCleanData[YearsAtCompany],972)&lt;=2,25,IF(INDEX(tblCleanData[YearsAtCompany],972)&lt;=5,15,IF(INDEX(tblCleanData[YearsAtCompany],972)&lt;=10,8,3)))</f>
        <v>15</v>
      </c>
      <c r="N980">
        <f t="shared" si="30"/>
        <v>54</v>
      </c>
      <c r="O980" t="str">
        <f t="shared" si="31"/>
        <v>Medium Risk</v>
      </c>
    </row>
    <row r="981" spans="1:15" x14ac:dyDescent="0.25">
      <c r="A981">
        <f>INDEX(tblCleanData[EmployeeNumber],973)</f>
        <v>1368</v>
      </c>
      <c r="B981" t="str">
        <f>IF(INDEX(tblCleanData[Age],973)&lt;30,"Under 30",IF(INDEX(tblCleanData[Age],973)&lt;40,"30-39",IF(INDEX(tblCleanData[Age],973)&lt;50,"40-49","50+")))</f>
        <v>Under 30</v>
      </c>
      <c r="C981" t="str">
        <f>IF(INDEX(tblCleanData[MonthlyIncome],973)&lt;=$B$3,"Low Income",IF(INDEX(tblCleanData[MonthlyIncome],973)&lt;=$B$4,"Medium Income","High Income"))</f>
        <v>High Income</v>
      </c>
      <c r="D981">
        <f>IF(INDEX(tblCleanData[Attrition],973)="Yes",1,0)</f>
        <v>0</v>
      </c>
      <c r="E981">
        <f>IF(INDEX(tblCleanData[OverTime],973)="Yes",1,0)</f>
        <v>0</v>
      </c>
      <c r="F981" t="str">
        <f>CHOOSE(INDEX(tblCleanData[Education],973),"Below College","College","Bachelor","Master","Doctor")</f>
        <v>Bachelor</v>
      </c>
      <c r="G981" t="str">
        <f>IF(INDEX(tblCleanData[YearsAtCompany],973)&lt;=2,"0-2 Years",IF(INDEX(tblCleanData[YearsAtCompany],973)&lt;=5,"3-5 Years",IF(INDEX(tblCleanData[YearsAtCompany],973)&lt;=10,"6-10 Years","10+ Years")))</f>
        <v>0-2 Years</v>
      </c>
      <c r="H981" t="str">
        <f>IF(INDEX(tblCleanData[WorkLifeBalance],973)&lt;=2,"Elevated","Normal")</f>
        <v>Normal</v>
      </c>
      <c r="I981">
        <f>IF(INDEX(tblCleanData[Age],973)&lt;30,30,IF(INDEX(tblCleanData[Age],973)&lt;40,20,IF(INDEX(tblCleanData[Age],973)&lt;50,10,15)))</f>
        <v>30</v>
      </c>
      <c r="J981">
        <f>IF(INDEX(tblCleanData[MonthlyIncome],973)&lt;=$B$3,25,IF(INDEX(tblCleanData[MonthlyIncome],973)&lt;=$B$4,12,5))</f>
        <v>5</v>
      </c>
      <c r="K981">
        <f>IF(INDEX(tblCleanData[OverTime],973)="Yes",25,0)</f>
        <v>0</v>
      </c>
      <c r="L981">
        <f>(5-INDEX(tblCleanData[JobSatisfaction],973))*6.25</f>
        <v>6.25</v>
      </c>
      <c r="M981">
        <f>IF(INDEX(tblCleanData[YearsAtCompany],973)&lt;=2,25,IF(INDEX(tblCleanData[YearsAtCompany],973)&lt;=5,15,IF(INDEX(tblCleanData[YearsAtCompany],973)&lt;=10,8,3)))</f>
        <v>25</v>
      </c>
      <c r="N981">
        <f t="shared" si="30"/>
        <v>66</v>
      </c>
      <c r="O981" t="str">
        <f t="shared" si="31"/>
        <v>High Risk</v>
      </c>
    </row>
    <row r="982" spans="1:15" x14ac:dyDescent="0.25">
      <c r="A982">
        <f>INDEX(tblCleanData[EmployeeNumber],974)</f>
        <v>1369</v>
      </c>
      <c r="B982" t="str">
        <f>IF(INDEX(tblCleanData[Age],974)&lt;30,"Under 30",IF(INDEX(tblCleanData[Age],974)&lt;40,"30-39",IF(INDEX(tblCleanData[Age],974)&lt;50,"40-49","50+")))</f>
        <v>30-39</v>
      </c>
      <c r="C982" t="str">
        <f>IF(INDEX(tblCleanData[MonthlyIncome],974)&lt;=$B$3,"Low Income",IF(INDEX(tblCleanData[MonthlyIncome],974)&lt;=$B$4,"Medium Income","High Income"))</f>
        <v>High Income</v>
      </c>
      <c r="D982">
        <f>IF(INDEX(tblCleanData[Attrition],974)="Yes",1,0)</f>
        <v>0</v>
      </c>
      <c r="E982">
        <f>IF(INDEX(tblCleanData[OverTime],974)="Yes",1,0)</f>
        <v>0</v>
      </c>
      <c r="F982" t="str">
        <f>CHOOSE(INDEX(tblCleanData[Education],974),"Below College","College","Bachelor","Master","Doctor")</f>
        <v>Bachelor</v>
      </c>
      <c r="G982" t="str">
        <f>IF(INDEX(tblCleanData[YearsAtCompany],974)&lt;=2,"0-2 Years",IF(INDEX(tblCleanData[YearsAtCompany],974)&lt;=5,"3-5 Years",IF(INDEX(tblCleanData[YearsAtCompany],974)&lt;=10,"6-10 Years","10+ Years")))</f>
        <v>6-10 Years</v>
      </c>
      <c r="H982" t="str">
        <f>IF(INDEX(tblCleanData[WorkLifeBalance],974)&lt;=2,"Elevated","Normal")</f>
        <v>Normal</v>
      </c>
      <c r="I982">
        <f>IF(INDEX(tblCleanData[Age],974)&lt;30,30,IF(INDEX(tblCleanData[Age],974)&lt;40,20,IF(INDEX(tblCleanData[Age],974)&lt;50,10,15)))</f>
        <v>20</v>
      </c>
      <c r="J982">
        <f>IF(INDEX(tblCleanData[MonthlyIncome],974)&lt;=$B$3,25,IF(INDEX(tblCleanData[MonthlyIncome],974)&lt;=$B$4,12,5))</f>
        <v>5</v>
      </c>
      <c r="K982">
        <f>IF(INDEX(tblCleanData[OverTime],974)="Yes",25,0)</f>
        <v>0</v>
      </c>
      <c r="L982">
        <f>(5-INDEX(tblCleanData[JobSatisfaction],974))*6.25</f>
        <v>6.25</v>
      </c>
      <c r="M982">
        <f>IF(INDEX(tblCleanData[YearsAtCompany],974)&lt;=2,25,IF(INDEX(tblCleanData[YearsAtCompany],974)&lt;=5,15,IF(INDEX(tblCleanData[YearsAtCompany],974)&lt;=10,8,3)))</f>
        <v>8</v>
      </c>
      <c r="N982">
        <f t="shared" si="30"/>
        <v>39</v>
      </c>
      <c r="O982" t="str">
        <f t="shared" si="31"/>
        <v>Medium Risk</v>
      </c>
    </row>
    <row r="983" spans="1:15" x14ac:dyDescent="0.25">
      <c r="A983">
        <f>INDEX(tblCleanData[EmployeeNumber],975)</f>
        <v>1371</v>
      </c>
      <c r="B983" t="str">
        <f>IF(INDEX(tblCleanData[Age],975)&lt;30,"Under 30",IF(INDEX(tblCleanData[Age],975)&lt;40,"30-39",IF(INDEX(tblCleanData[Age],975)&lt;50,"40-49","50+")))</f>
        <v>Under 30</v>
      </c>
      <c r="C983" t="str">
        <f>IF(INDEX(tblCleanData[MonthlyIncome],975)&lt;=$B$3,"Low Income",IF(INDEX(tblCleanData[MonthlyIncome],975)&lt;=$B$4,"Medium Income","High Income"))</f>
        <v>High Income</v>
      </c>
      <c r="D983">
        <f>IF(INDEX(tblCleanData[Attrition],975)="Yes",1,0)</f>
        <v>0</v>
      </c>
      <c r="E983">
        <f>IF(INDEX(tblCleanData[OverTime],975)="Yes",1,0)</f>
        <v>0</v>
      </c>
      <c r="F983" t="str">
        <f>CHOOSE(INDEX(tblCleanData[Education],975),"Below College","College","Bachelor","Master","Doctor")</f>
        <v>Below College</v>
      </c>
      <c r="G983" t="str">
        <f>IF(INDEX(tblCleanData[YearsAtCompany],975)&lt;=2,"0-2 Years",IF(INDEX(tblCleanData[YearsAtCompany],975)&lt;=5,"3-5 Years",IF(INDEX(tblCleanData[YearsAtCompany],975)&lt;=10,"6-10 Years","10+ Years")))</f>
        <v>6-10 Years</v>
      </c>
      <c r="H983" t="str">
        <f>IF(INDEX(tblCleanData[WorkLifeBalance],975)&lt;=2,"Elevated","Normal")</f>
        <v>Normal</v>
      </c>
      <c r="I983">
        <f>IF(INDEX(tblCleanData[Age],975)&lt;30,30,IF(INDEX(tblCleanData[Age],975)&lt;40,20,IF(INDEX(tblCleanData[Age],975)&lt;50,10,15)))</f>
        <v>30</v>
      </c>
      <c r="J983">
        <f>IF(INDEX(tblCleanData[MonthlyIncome],975)&lt;=$B$3,25,IF(INDEX(tblCleanData[MonthlyIncome],975)&lt;=$B$4,12,5))</f>
        <v>5</v>
      </c>
      <c r="K983">
        <f>IF(INDEX(tblCleanData[OverTime],975)="Yes",25,0)</f>
        <v>0</v>
      </c>
      <c r="L983">
        <f>(5-INDEX(tblCleanData[JobSatisfaction],975))*6.25</f>
        <v>6.25</v>
      </c>
      <c r="M983">
        <f>IF(INDEX(tblCleanData[YearsAtCompany],975)&lt;=2,25,IF(INDEX(tblCleanData[YearsAtCompany],975)&lt;=5,15,IF(INDEX(tblCleanData[YearsAtCompany],975)&lt;=10,8,3)))</f>
        <v>8</v>
      </c>
      <c r="N983">
        <f t="shared" si="30"/>
        <v>49</v>
      </c>
      <c r="O983" t="str">
        <f t="shared" si="31"/>
        <v>Medium Risk</v>
      </c>
    </row>
    <row r="984" spans="1:15" x14ac:dyDescent="0.25">
      <c r="A984">
        <f>INDEX(tblCleanData[EmployeeNumber],976)</f>
        <v>1372</v>
      </c>
      <c r="B984" t="str">
        <f>IF(INDEX(tblCleanData[Age],976)&lt;30,"Under 30",IF(INDEX(tblCleanData[Age],976)&lt;40,"30-39",IF(INDEX(tblCleanData[Age],976)&lt;50,"40-49","50+")))</f>
        <v>50+</v>
      </c>
      <c r="C984" t="str">
        <f>IF(INDEX(tblCleanData[MonthlyIncome],976)&lt;=$B$3,"Low Income",IF(INDEX(tblCleanData[MonthlyIncome],976)&lt;=$B$4,"Medium Income","High Income"))</f>
        <v>High Income</v>
      </c>
      <c r="D984">
        <f>IF(INDEX(tblCleanData[Attrition],976)="Yes",1,0)</f>
        <v>1</v>
      </c>
      <c r="E984">
        <f>IF(INDEX(tblCleanData[OverTime],976)="Yes",1,0)</f>
        <v>1</v>
      </c>
      <c r="F984" t="str">
        <f>CHOOSE(INDEX(tblCleanData[Education],976),"Below College","College","Bachelor","Master","Doctor")</f>
        <v>Master</v>
      </c>
      <c r="G984" t="str">
        <f>IF(INDEX(tblCleanData[YearsAtCompany],976)&lt;=2,"0-2 Years",IF(INDEX(tblCleanData[YearsAtCompany],976)&lt;=5,"3-5 Years",IF(INDEX(tblCleanData[YearsAtCompany],976)&lt;=10,"6-10 Years","10+ Years")))</f>
        <v>10+ Years</v>
      </c>
      <c r="H984" t="str">
        <f>IF(INDEX(tblCleanData[WorkLifeBalance],976)&lt;=2,"Elevated","Normal")</f>
        <v>Elevated</v>
      </c>
      <c r="I984">
        <f>IF(INDEX(tblCleanData[Age],976)&lt;30,30,IF(INDEX(tblCleanData[Age],976)&lt;40,20,IF(INDEX(tblCleanData[Age],976)&lt;50,10,15)))</f>
        <v>15</v>
      </c>
      <c r="J984">
        <f>IF(INDEX(tblCleanData[MonthlyIncome],976)&lt;=$B$3,25,IF(INDEX(tblCleanData[MonthlyIncome],976)&lt;=$B$4,12,5))</f>
        <v>5</v>
      </c>
      <c r="K984">
        <f>IF(INDEX(tblCleanData[OverTime],976)="Yes",25,0)</f>
        <v>25</v>
      </c>
      <c r="L984">
        <f>(5-INDEX(tblCleanData[JobSatisfaction],976))*6.25</f>
        <v>12.5</v>
      </c>
      <c r="M984">
        <f>IF(INDEX(tblCleanData[YearsAtCompany],976)&lt;=2,25,IF(INDEX(tblCleanData[YearsAtCompany],976)&lt;=5,15,IF(INDEX(tblCleanData[YearsAtCompany],976)&lt;=10,8,3)))</f>
        <v>3</v>
      </c>
      <c r="N984">
        <f t="shared" si="30"/>
        <v>61</v>
      </c>
      <c r="O984" t="str">
        <f t="shared" si="31"/>
        <v>High Risk</v>
      </c>
    </row>
    <row r="985" spans="1:15" x14ac:dyDescent="0.25">
      <c r="A985">
        <f>INDEX(tblCleanData[EmployeeNumber],977)</f>
        <v>1373</v>
      </c>
      <c r="B985" t="str">
        <f>IF(INDEX(tblCleanData[Age],977)&lt;30,"Under 30",IF(INDEX(tblCleanData[Age],977)&lt;40,"30-39",IF(INDEX(tblCleanData[Age],977)&lt;50,"40-49","50+")))</f>
        <v>50+</v>
      </c>
      <c r="C985" t="str">
        <f>IF(INDEX(tblCleanData[MonthlyIncome],977)&lt;=$B$3,"Low Income",IF(INDEX(tblCleanData[MonthlyIncome],977)&lt;=$B$4,"Medium Income","High Income"))</f>
        <v>High Income</v>
      </c>
      <c r="D985">
        <f>IF(INDEX(tblCleanData[Attrition],977)="Yes",1,0)</f>
        <v>0</v>
      </c>
      <c r="E985">
        <f>IF(INDEX(tblCleanData[OverTime],977)="Yes",1,0)</f>
        <v>1</v>
      </c>
      <c r="F985" t="str">
        <f>CHOOSE(INDEX(tblCleanData[Education],977),"Below College","College","Bachelor","Master","Doctor")</f>
        <v>Bachelor</v>
      </c>
      <c r="G985" t="str">
        <f>IF(INDEX(tblCleanData[YearsAtCompany],977)&lt;=2,"0-2 Years",IF(INDEX(tblCleanData[YearsAtCompany],977)&lt;=5,"3-5 Years",IF(INDEX(tblCleanData[YearsAtCompany],977)&lt;=10,"6-10 Years","10+ Years")))</f>
        <v>10+ Years</v>
      </c>
      <c r="H985" t="str">
        <f>IF(INDEX(tblCleanData[WorkLifeBalance],977)&lt;=2,"Elevated","Normal")</f>
        <v>Normal</v>
      </c>
      <c r="I985">
        <f>IF(INDEX(tblCleanData[Age],977)&lt;30,30,IF(INDEX(tblCleanData[Age],977)&lt;40,20,IF(INDEX(tblCleanData[Age],977)&lt;50,10,15)))</f>
        <v>15</v>
      </c>
      <c r="J985">
        <f>IF(INDEX(tblCleanData[MonthlyIncome],977)&lt;=$B$3,25,IF(INDEX(tblCleanData[MonthlyIncome],977)&lt;=$B$4,12,5))</f>
        <v>5</v>
      </c>
      <c r="K985">
        <f>IF(INDEX(tblCleanData[OverTime],977)="Yes",25,0)</f>
        <v>25</v>
      </c>
      <c r="L985">
        <f>(5-INDEX(tblCleanData[JobSatisfaction],977))*6.25</f>
        <v>18.75</v>
      </c>
      <c r="M985">
        <f>IF(INDEX(tblCleanData[YearsAtCompany],977)&lt;=2,25,IF(INDEX(tblCleanData[YearsAtCompany],977)&lt;=5,15,IF(INDEX(tblCleanData[YearsAtCompany],977)&lt;=10,8,3)))</f>
        <v>3</v>
      </c>
      <c r="N985">
        <f t="shared" si="30"/>
        <v>67</v>
      </c>
      <c r="O985" t="str">
        <f t="shared" si="31"/>
        <v>High Risk</v>
      </c>
    </row>
    <row r="986" spans="1:15" x14ac:dyDescent="0.25">
      <c r="A986">
        <f>INDEX(tblCleanData[EmployeeNumber],978)</f>
        <v>1374</v>
      </c>
      <c r="B986" t="str">
        <f>IF(INDEX(tblCleanData[Age],978)&lt;30,"Under 30",IF(INDEX(tblCleanData[Age],978)&lt;40,"30-39",IF(INDEX(tblCleanData[Age],978)&lt;50,"40-49","50+")))</f>
        <v>30-39</v>
      </c>
      <c r="C986" t="str">
        <f>IF(INDEX(tblCleanData[MonthlyIncome],978)&lt;=$B$3,"Low Income",IF(INDEX(tblCleanData[MonthlyIncome],978)&lt;=$B$4,"Medium Income","High Income"))</f>
        <v>High Income</v>
      </c>
      <c r="D986">
        <f>IF(INDEX(tblCleanData[Attrition],978)="Yes",1,0)</f>
        <v>0</v>
      </c>
      <c r="E986">
        <f>IF(INDEX(tblCleanData[OverTime],978)="Yes",1,0)</f>
        <v>0</v>
      </c>
      <c r="F986" t="str">
        <f>CHOOSE(INDEX(tblCleanData[Education],978),"Below College","College","Bachelor","Master","Doctor")</f>
        <v>Below College</v>
      </c>
      <c r="G986" t="str">
        <f>IF(INDEX(tblCleanData[YearsAtCompany],978)&lt;=2,"0-2 Years",IF(INDEX(tblCleanData[YearsAtCompany],978)&lt;=5,"3-5 Years",IF(INDEX(tblCleanData[YearsAtCompany],978)&lt;=10,"6-10 Years","10+ Years")))</f>
        <v>3-5 Years</v>
      </c>
      <c r="H986" t="str">
        <f>IF(INDEX(tblCleanData[WorkLifeBalance],978)&lt;=2,"Elevated","Normal")</f>
        <v>Normal</v>
      </c>
      <c r="I986">
        <f>IF(INDEX(tblCleanData[Age],978)&lt;30,30,IF(INDEX(tblCleanData[Age],978)&lt;40,20,IF(INDEX(tblCleanData[Age],978)&lt;50,10,15)))</f>
        <v>20</v>
      </c>
      <c r="J986">
        <f>IF(INDEX(tblCleanData[MonthlyIncome],978)&lt;=$B$3,25,IF(INDEX(tblCleanData[MonthlyIncome],978)&lt;=$B$4,12,5))</f>
        <v>5</v>
      </c>
      <c r="K986">
        <f>IF(INDEX(tblCleanData[OverTime],978)="Yes",25,0)</f>
        <v>0</v>
      </c>
      <c r="L986">
        <f>(5-INDEX(tblCleanData[JobSatisfaction],978))*6.25</f>
        <v>12.5</v>
      </c>
      <c r="M986">
        <f>IF(INDEX(tblCleanData[YearsAtCompany],978)&lt;=2,25,IF(INDEX(tblCleanData[YearsAtCompany],978)&lt;=5,15,IF(INDEX(tblCleanData[YearsAtCompany],978)&lt;=10,8,3)))</f>
        <v>15</v>
      </c>
      <c r="N986">
        <f t="shared" si="30"/>
        <v>53</v>
      </c>
      <c r="O986" t="str">
        <f t="shared" si="31"/>
        <v>Medium Risk</v>
      </c>
    </row>
    <row r="987" spans="1:15" x14ac:dyDescent="0.25">
      <c r="A987">
        <f>INDEX(tblCleanData[EmployeeNumber],979)</f>
        <v>1375</v>
      </c>
      <c r="B987" t="str">
        <f>IF(INDEX(tblCleanData[Age],979)&lt;30,"Under 30",IF(INDEX(tblCleanData[Age],979)&lt;40,"30-39",IF(INDEX(tblCleanData[Age],979)&lt;50,"40-49","50+")))</f>
        <v>40-49</v>
      </c>
      <c r="C987" t="str">
        <f>IF(INDEX(tblCleanData[MonthlyIncome],979)&lt;=$B$3,"Low Income",IF(INDEX(tblCleanData[MonthlyIncome],979)&lt;=$B$4,"Medium Income","High Income"))</f>
        <v>High Income</v>
      </c>
      <c r="D987">
        <f>IF(INDEX(tblCleanData[Attrition],979)="Yes",1,0)</f>
        <v>0</v>
      </c>
      <c r="E987">
        <f>IF(INDEX(tblCleanData[OverTime],979)="Yes",1,0)</f>
        <v>0</v>
      </c>
      <c r="F987" t="str">
        <f>CHOOSE(INDEX(tblCleanData[Education],979),"Below College","College","Bachelor","Master","Doctor")</f>
        <v>Below College</v>
      </c>
      <c r="G987" t="str">
        <f>IF(INDEX(tblCleanData[YearsAtCompany],979)&lt;=2,"0-2 Years",IF(INDEX(tblCleanData[YearsAtCompany],979)&lt;=5,"3-5 Years",IF(INDEX(tblCleanData[YearsAtCompany],979)&lt;=10,"6-10 Years","10+ Years")))</f>
        <v>10+ Years</v>
      </c>
      <c r="H987" t="str">
        <f>IF(INDEX(tblCleanData[WorkLifeBalance],979)&lt;=2,"Elevated","Normal")</f>
        <v>Normal</v>
      </c>
      <c r="I987">
        <f>IF(INDEX(tblCleanData[Age],979)&lt;30,30,IF(INDEX(tblCleanData[Age],979)&lt;40,20,IF(INDEX(tblCleanData[Age],979)&lt;50,10,15)))</f>
        <v>10</v>
      </c>
      <c r="J987">
        <f>IF(INDEX(tblCleanData[MonthlyIncome],979)&lt;=$B$3,25,IF(INDEX(tblCleanData[MonthlyIncome],979)&lt;=$B$4,12,5))</f>
        <v>5</v>
      </c>
      <c r="K987">
        <f>IF(INDEX(tblCleanData[OverTime],979)="Yes",25,0)</f>
        <v>0</v>
      </c>
      <c r="L987">
        <f>(5-INDEX(tblCleanData[JobSatisfaction],979))*6.25</f>
        <v>12.5</v>
      </c>
      <c r="M987">
        <f>IF(INDEX(tblCleanData[YearsAtCompany],979)&lt;=2,25,IF(INDEX(tblCleanData[YearsAtCompany],979)&lt;=5,15,IF(INDEX(tblCleanData[YearsAtCompany],979)&lt;=10,8,3)))</f>
        <v>3</v>
      </c>
      <c r="N987">
        <f t="shared" si="30"/>
        <v>31</v>
      </c>
      <c r="O987" t="str">
        <f t="shared" si="31"/>
        <v>Low Risk</v>
      </c>
    </row>
    <row r="988" spans="1:15" x14ac:dyDescent="0.25">
      <c r="A988">
        <f>INDEX(tblCleanData[EmployeeNumber],980)</f>
        <v>1377</v>
      </c>
      <c r="B988" t="str">
        <f>IF(INDEX(tblCleanData[Age],980)&lt;30,"Under 30",IF(INDEX(tblCleanData[Age],980)&lt;40,"30-39",IF(INDEX(tblCleanData[Age],980)&lt;50,"40-49","50+")))</f>
        <v>30-39</v>
      </c>
      <c r="C988" t="str">
        <f>IF(INDEX(tblCleanData[MonthlyIncome],980)&lt;=$B$3,"Low Income",IF(INDEX(tblCleanData[MonthlyIncome],980)&lt;=$B$4,"Medium Income","High Income"))</f>
        <v>High Income</v>
      </c>
      <c r="D988">
        <f>IF(INDEX(tblCleanData[Attrition],980)="Yes",1,0)</f>
        <v>0</v>
      </c>
      <c r="E988">
        <f>IF(INDEX(tblCleanData[OverTime],980)="Yes",1,0)</f>
        <v>0</v>
      </c>
      <c r="F988" t="str">
        <f>CHOOSE(INDEX(tblCleanData[Education],980),"Below College","College","Bachelor","Master","Doctor")</f>
        <v>Bachelor</v>
      </c>
      <c r="G988" t="str">
        <f>IF(INDEX(tblCleanData[YearsAtCompany],980)&lt;=2,"0-2 Years",IF(INDEX(tblCleanData[YearsAtCompany],980)&lt;=5,"3-5 Years",IF(INDEX(tblCleanData[YearsAtCompany],980)&lt;=10,"6-10 Years","10+ Years")))</f>
        <v>6-10 Years</v>
      </c>
      <c r="H988" t="str">
        <f>IF(INDEX(tblCleanData[WorkLifeBalance],980)&lt;=2,"Elevated","Normal")</f>
        <v>Normal</v>
      </c>
      <c r="I988">
        <f>IF(INDEX(tblCleanData[Age],980)&lt;30,30,IF(INDEX(tblCleanData[Age],980)&lt;40,20,IF(INDEX(tblCleanData[Age],980)&lt;50,10,15)))</f>
        <v>20</v>
      </c>
      <c r="J988">
        <f>IF(INDEX(tblCleanData[MonthlyIncome],980)&lt;=$B$3,25,IF(INDEX(tblCleanData[MonthlyIncome],980)&lt;=$B$4,12,5))</f>
        <v>5</v>
      </c>
      <c r="K988">
        <f>IF(INDEX(tblCleanData[OverTime],980)="Yes",25,0)</f>
        <v>0</v>
      </c>
      <c r="L988">
        <f>(5-INDEX(tblCleanData[JobSatisfaction],980))*6.25</f>
        <v>12.5</v>
      </c>
      <c r="M988">
        <f>IF(INDEX(tblCleanData[YearsAtCompany],980)&lt;=2,25,IF(INDEX(tblCleanData[YearsAtCompany],980)&lt;=5,15,IF(INDEX(tblCleanData[YearsAtCompany],980)&lt;=10,8,3)))</f>
        <v>8</v>
      </c>
      <c r="N988">
        <f t="shared" si="30"/>
        <v>46</v>
      </c>
      <c r="O988" t="str">
        <f t="shared" si="31"/>
        <v>Medium Risk</v>
      </c>
    </row>
    <row r="989" spans="1:15" x14ac:dyDescent="0.25">
      <c r="A989">
        <f>INDEX(tblCleanData[EmployeeNumber],981)</f>
        <v>1379</v>
      </c>
      <c r="B989" t="str">
        <f>IF(INDEX(tblCleanData[Age],981)&lt;30,"Under 30",IF(INDEX(tblCleanData[Age],981)&lt;40,"30-39",IF(INDEX(tblCleanData[Age],981)&lt;50,"40-49","50+")))</f>
        <v>30-39</v>
      </c>
      <c r="C989" t="str">
        <f>IF(INDEX(tblCleanData[MonthlyIncome],981)&lt;=$B$3,"Low Income",IF(INDEX(tblCleanData[MonthlyIncome],981)&lt;=$B$4,"Medium Income","High Income"))</f>
        <v>High Income</v>
      </c>
      <c r="D989">
        <f>IF(INDEX(tblCleanData[Attrition],981)="Yes",1,0)</f>
        <v>1</v>
      </c>
      <c r="E989">
        <f>IF(INDEX(tblCleanData[OverTime],981)="Yes",1,0)</f>
        <v>0</v>
      </c>
      <c r="F989" t="str">
        <f>CHOOSE(INDEX(tblCleanData[Education],981),"Below College","College","Bachelor","Master","Doctor")</f>
        <v>Bachelor</v>
      </c>
      <c r="G989" t="str">
        <f>IF(INDEX(tblCleanData[YearsAtCompany],981)&lt;=2,"0-2 Years",IF(INDEX(tblCleanData[YearsAtCompany],981)&lt;=5,"3-5 Years",IF(INDEX(tblCleanData[YearsAtCompany],981)&lt;=10,"6-10 Years","10+ Years")))</f>
        <v>0-2 Years</v>
      </c>
      <c r="H989" t="str">
        <f>IF(INDEX(tblCleanData[WorkLifeBalance],981)&lt;=2,"Elevated","Normal")</f>
        <v>Normal</v>
      </c>
      <c r="I989">
        <f>IF(INDEX(tblCleanData[Age],981)&lt;30,30,IF(INDEX(tblCleanData[Age],981)&lt;40,20,IF(INDEX(tblCleanData[Age],981)&lt;50,10,15)))</f>
        <v>20</v>
      </c>
      <c r="J989">
        <f>IF(INDEX(tblCleanData[MonthlyIncome],981)&lt;=$B$3,25,IF(INDEX(tblCleanData[MonthlyIncome],981)&lt;=$B$4,12,5))</f>
        <v>5</v>
      </c>
      <c r="K989">
        <f>IF(INDEX(tblCleanData[OverTime],981)="Yes",25,0)</f>
        <v>0</v>
      </c>
      <c r="L989">
        <f>(5-INDEX(tblCleanData[JobSatisfaction],981))*6.25</f>
        <v>6.25</v>
      </c>
      <c r="M989">
        <f>IF(INDEX(tblCleanData[YearsAtCompany],981)&lt;=2,25,IF(INDEX(tblCleanData[YearsAtCompany],981)&lt;=5,15,IF(INDEX(tblCleanData[YearsAtCompany],981)&lt;=10,8,3)))</f>
        <v>25</v>
      </c>
      <c r="N989">
        <f t="shared" si="30"/>
        <v>56</v>
      </c>
      <c r="O989" t="str">
        <f t="shared" si="31"/>
        <v>High Risk</v>
      </c>
    </row>
    <row r="990" spans="1:15" x14ac:dyDescent="0.25">
      <c r="A990">
        <f>INDEX(tblCleanData[EmployeeNumber],982)</f>
        <v>1380</v>
      </c>
      <c r="B990" t="str">
        <f>IF(INDEX(tblCleanData[Age],982)&lt;30,"Under 30",IF(INDEX(tblCleanData[Age],982)&lt;40,"30-39",IF(INDEX(tblCleanData[Age],982)&lt;50,"40-49","50+")))</f>
        <v>30-39</v>
      </c>
      <c r="C990" t="str">
        <f>IF(INDEX(tblCleanData[MonthlyIncome],982)&lt;=$B$3,"Low Income",IF(INDEX(tblCleanData[MonthlyIncome],982)&lt;=$B$4,"Medium Income","High Income"))</f>
        <v>High Income</v>
      </c>
      <c r="D990">
        <f>IF(INDEX(tblCleanData[Attrition],982)="Yes",1,0)</f>
        <v>1</v>
      </c>
      <c r="E990">
        <f>IF(INDEX(tblCleanData[OverTime],982)="Yes",1,0)</f>
        <v>1</v>
      </c>
      <c r="F990" t="str">
        <f>CHOOSE(INDEX(tblCleanData[Education],982),"Below College","College","Bachelor","Master","Doctor")</f>
        <v>Master</v>
      </c>
      <c r="G990" t="str">
        <f>IF(INDEX(tblCleanData[YearsAtCompany],982)&lt;=2,"0-2 Years",IF(INDEX(tblCleanData[YearsAtCompany],982)&lt;=5,"3-5 Years",IF(INDEX(tblCleanData[YearsAtCompany],982)&lt;=10,"6-10 Years","10+ Years")))</f>
        <v>3-5 Years</v>
      </c>
      <c r="H990" t="str">
        <f>IF(INDEX(tblCleanData[WorkLifeBalance],982)&lt;=2,"Elevated","Normal")</f>
        <v>Elevated</v>
      </c>
      <c r="I990">
        <f>IF(INDEX(tblCleanData[Age],982)&lt;30,30,IF(INDEX(tblCleanData[Age],982)&lt;40,20,IF(INDEX(tblCleanData[Age],982)&lt;50,10,15)))</f>
        <v>20</v>
      </c>
      <c r="J990">
        <f>IF(INDEX(tblCleanData[MonthlyIncome],982)&lt;=$B$3,25,IF(INDEX(tblCleanData[MonthlyIncome],982)&lt;=$B$4,12,5))</f>
        <v>5</v>
      </c>
      <c r="K990">
        <f>IF(INDEX(tblCleanData[OverTime],982)="Yes",25,0)</f>
        <v>25</v>
      </c>
      <c r="L990">
        <f>(5-INDEX(tblCleanData[JobSatisfaction],982))*6.25</f>
        <v>12.5</v>
      </c>
      <c r="M990">
        <f>IF(INDEX(tblCleanData[YearsAtCompany],982)&lt;=2,25,IF(INDEX(tblCleanData[YearsAtCompany],982)&lt;=5,15,IF(INDEX(tblCleanData[YearsAtCompany],982)&lt;=10,8,3)))</f>
        <v>15</v>
      </c>
      <c r="N990">
        <f t="shared" si="30"/>
        <v>78</v>
      </c>
      <c r="O990" t="str">
        <f t="shared" si="31"/>
        <v>High Risk</v>
      </c>
    </row>
    <row r="991" spans="1:15" x14ac:dyDescent="0.25">
      <c r="A991">
        <f>INDEX(tblCleanData[EmployeeNumber],983)</f>
        <v>1382</v>
      </c>
      <c r="B991" t="str">
        <f>IF(INDEX(tblCleanData[Age],983)&lt;30,"Under 30",IF(INDEX(tblCleanData[Age],983)&lt;40,"30-39",IF(INDEX(tblCleanData[Age],983)&lt;50,"40-49","50+")))</f>
        <v>30-39</v>
      </c>
      <c r="C991" t="str">
        <f>IF(INDEX(tblCleanData[MonthlyIncome],983)&lt;=$B$3,"Low Income",IF(INDEX(tblCleanData[MonthlyIncome],983)&lt;=$B$4,"Medium Income","High Income"))</f>
        <v>High Income</v>
      </c>
      <c r="D991">
        <f>IF(INDEX(tblCleanData[Attrition],983)="Yes",1,0)</f>
        <v>0</v>
      </c>
      <c r="E991">
        <f>IF(INDEX(tblCleanData[OverTime],983)="Yes",1,0)</f>
        <v>0</v>
      </c>
      <c r="F991" t="str">
        <f>CHOOSE(INDEX(tblCleanData[Education],983),"Below College","College","Bachelor","Master","Doctor")</f>
        <v>Bachelor</v>
      </c>
      <c r="G991" t="str">
        <f>IF(INDEX(tblCleanData[YearsAtCompany],983)&lt;=2,"0-2 Years",IF(INDEX(tblCleanData[YearsAtCompany],983)&lt;=5,"3-5 Years",IF(INDEX(tblCleanData[YearsAtCompany],983)&lt;=10,"6-10 Years","10+ Years")))</f>
        <v>3-5 Years</v>
      </c>
      <c r="H991" t="str">
        <f>IF(INDEX(tblCleanData[WorkLifeBalance],983)&lt;=2,"Elevated","Normal")</f>
        <v>Normal</v>
      </c>
      <c r="I991">
        <f>IF(INDEX(tblCleanData[Age],983)&lt;30,30,IF(INDEX(tblCleanData[Age],983)&lt;40,20,IF(INDEX(tblCleanData[Age],983)&lt;50,10,15)))</f>
        <v>20</v>
      </c>
      <c r="J991">
        <f>IF(INDEX(tblCleanData[MonthlyIncome],983)&lt;=$B$3,25,IF(INDEX(tblCleanData[MonthlyIncome],983)&lt;=$B$4,12,5))</f>
        <v>5</v>
      </c>
      <c r="K991">
        <f>IF(INDEX(tblCleanData[OverTime],983)="Yes",25,0)</f>
        <v>0</v>
      </c>
      <c r="L991">
        <f>(5-INDEX(tblCleanData[JobSatisfaction],983))*6.25</f>
        <v>12.5</v>
      </c>
      <c r="M991">
        <f>IF(INDEX(tblCleanData[YearsAtCompany],983)&lt;=2,25,IF(INDEX(tblCleanData[YearsAtCompany],983)&lt;=5,15,IF(INDEX(tblCleanData[YearsAtCompany],983)&lt;=10,8,3)))</f>
        <v>15</v>
      </c>
      <c r="N991">
        <f t="shared" si="30"/>
        <v>53</v>
      </c>
      <c r="O991" t="str">
        <f t="shared" si="31"/>
        <v>Medium Risk</v>
      </c>
    </row>
    <row r="992" spans="1:15" x14ac:dyDescent="0.25">
      <c r="A992">
        <f>INDEX(tblCleanData[EmployeeNumber],984)</f>
        <v>1383</v>
      </c>
      <c r="B992" t="str">
        <f>IF(INDEX(tblCleanData[Age],984)&lt;30,"Under 30",IF(INDEX(tblCleanData[Age],984)&lt;40,"30-39",IF(INDEX(tblCleanData[Age],984)&lt;50,"40-49","50+")))</f>
        <v>30-39</v>
      </c>
      <c r="C992" t="str">
        <f>IF(INDEX(tblCleanData[MonthlyIncome],984)&lt;=$B$3,"Low Income",IF(INDEX(tblCleanData[MonthlyIncome],984)&lt;=$B$4,"Medium Income","High Income"))</f>
        <v>High Income</v>
      </c>
      <c r="D992">
        <f>IF(INDEX(tblCleanData[Attrition],984)="Yes",1,0)</f>
        <v>0</v>
      </c>
      <c r="E992">
        <f>IF(INDEX(tblCleanData[OverTime],984)="Yes",1,0)</f>
        <v>0</v>
      </c>
      <c r="F992" t="str">
        <f>CHOOSE(INDEX(tblCleanData[Education],984),"Below College","College","Bachelor","Master","Doctor")</f>
        <v>Master</v>
      </c>
      <c r="G992" t="str">
        <f>IF(INDEX(tblCleanData[YearsAtCompany],984)&lt;=2,"0-2 Years",IF(INDEX(tblCleanData[YearsAtCompany],984)&lt;=5,"3-5 Years",IF(INDEX(tblCleanData[YearsAtCompany],984)&lt;=10,"6-10 Years","10+ Years")))</f>
        <v>10+ Years</v>
      </c>
      <c r="H992" t="str">
        <f>IF(INDEX(tblCleanData[WorkLifeBalance],984)&lt;=2,"Elevated","Normal")</f>
        <v>Normal</v>
      </c>
      <c r="I992">
        <f>IF(INDEX(tblCleanData[Age],984)&lt;30,30,IF(INDEX(tblCleanData[Age],984)&lt;40,20,IF(INDEX(tblCleanData[Age],984)&lt;50,10,15)))</f>
        <v>20</v>
      </c>
      <c r="J992">
        <f>IF(INDEX(tblCleanData[MonthlyIncome],984)&lt;=$B$3,25,IF(INDEX(tblCleanData[MonthlyIncome],984)&lt;=$B$4,12,5))</f>
        <v>5</v>
      </c>
      <c r="K992">
        <f>IF(INDEX(tblCleanData[OverTime],984)="Yes",25,0)</f>
        <v>0</v>
      </c>
      <c r="L992">
        <f>(5-INDEX(tblCleanData[JobSatisfaction],984))*6.25</f>
        <v>6.25</v>
      </c>
      <c r="M992">
        <f>IF(INDEX(tblCleanData[YearsAtCompany],984)&lt;=2,25,IF(INDEX(tblCleanData[YearsAtCompany],984)&lt;=5,15,IF(INDEX(tblCleanData[YearsAtCompany],984)&lt;=10,8,3)))</f>
        <v>3</v>
      </c>
      <c r="N992">
        <f t="shared" si="30"/>
        <v>34</v>
      </c>
      <c r="O992" t="str">
        <f t="shared" si="31"/>
        <v>Low Risk</v>
      </c>
    </row>
    <row r="993" spans="1:15" x14ac:dyDescent="0.25">
      <c r="A993">
        <f>INDEX(tblCleanData[EmployeeNumber],985)</f>
        <v>1387</v>
      </c>
      <c r="B993" t="str">
        <f>IF(INDEX(tblCleanData[Age],985)&lt;30,"Under 30",IF(INDEX(tblCleanData[Age],985)&lt;40,"30-39",IF(INDEX(tblCleanData[Age],985)&lt;50,"40-49","50+")))</f>
        <v>Under 30</v>
      </c>
      <c r="C993" t="str">
        <f>IF(INDEX(tblCleanData[MonthlyIncome],985)&lt;=$B$3,"Low Income",IF(INDEX(tblCleanData[MonthlyIncome],985)&lt;=$B$4,"Medium Income","High Income"))</f>
        <v>High Income</v>
      </c>
      <c r="D993">
        <f>IF(INDEX(tblCleanData[Attrition],985)="Yes",1,0)</f>
        <v>0</v>
      </c>
      <c r="E993">
        <f>IF(INDEX(tblCleanData[OverTime],985)="Yes",1,0)</f>
        <v>0</v>
      </c>
      <c r="F993" t="str">
        <f>CHOOSE(INDEX(tblCleanData[Education],985),"Below College","College","Bachelor","Master","Doctor")</f>
        <v>Bachelor</v>
      </c>
      <c r="G993" t="str">
        <f>IF(INDEX(tblCleanData[YearsAtCompany],985)&lt;=2,"0-2 Years",IF(INDEX(tblCleanData[YearsAtCompany],985)&lt;=5,"3-5 Years",IF(INDEX(tblCleanData[YearsAtCompany],985)&lt;=10,"6-10 Years","10+ Years")))</f>
        <v>3-5 Years</v>
      </c>
      <c r="H993" t="str">
        <f>IF(INDEX(tblCleanData[WorkLifeBalance],985)&lt;=2,"Elevated","Normal")</f>
        <v>Normal</v>
      </c>
      <c r="I993">
        <f>IF(INDEX(tblCleanData[Age],985)&lt;30,30,IF(INDEX(tblCleanData[Age],985)&lt;40,20,IF(INDEX(tblCleanData[Age],985)&lt;50,10,15)))</f>
        <v>30</v>
      </c>
      <c r="J993">
        <f>IF(INDEX(tblCleanData[MonthlyIncome],985)&lt;=$B$3,25,IF(INDEX(tblCleanData[MonthlyIncome],985)&lt;=$B$4,12,5))</f>
        <v>5</v>
      </c>
      <c r="K993">
        <f>IF(INDEX(tblCleanData[OverTime],985)="Yes",25,0)</f>
        <v>0</v>
      </c>
      <c r="L993">
        <f>(5-INDEX(tblCleanData[JobSatisfaction],985))*6.25</f>
        <v>25</v>
      </c>
      <c r="M993">
        <f>IF(INDEX(tblCleanData[YearsAtCompany],985)&lt;=2,25,IF(INDEX(tblCleanData[YearsAtCompany],985)&lt;=5,15,IF(INDEX(tblCleanData[YearsAtCompany],985)&lt;=10,8,3)))</f>
        <v>15</v>
      </c>
      <c r="N993">
        <f t="shared" si="30"/>
        <v>75</v>
      </c>
      <c r="O993" t="str">
        <f t="shared" si="31"/>
        <v>High Risk</v>
      </c>
    </row>
    <row r="994" spans="1:15" x14ac:dyDescent="0.25">
      <c r="A994">
        <f>INDEX(tblCleanData[EmployeeNumber],986)</f>
        <v>1389</v>
      </c>
      <c r="B994" t="str">
        <f>IF(INDEX(tblCleanData[Age],986)&lt;30,"Under 30",IF(INDEX(tblCleanData[Age],986)&lt;40,"30-39",IF(INDEX(tblCleanData[Age],986)&lt;50,"40-49","50+")))</f>
        <v>30-39</v>
      </c>
      <c r="C994" t="str">
        <f>IF(INDEX(tblCleanData[MonthlyIncome],986)&lt;=$B$3,"Low Income",IF(INDEX(tblCleanData[MonthlyIncome],986)&lt;=$B$4,"Medium Income","High Income"))</f>
        <v>High Income</v>
      </c>
      <c r="D994">
        <f>IF(INDEX(tblCleanData[Attrition],986)="Yes",1,0)</f>
        <v>1</v>
      </c>
      <c r="E994">
        <f>IF(INDEX(tblCleanData[OverTime],986)="Yes",1,0)</f>
        <v>1</v>
      </c>
      <c r="F994" t="str">
        <f>CHOOSE(INDEX(tblCleanData[Education],986),"Below College","College","Bachelor","Master","Doctor")</f>
        <v>Master</v>
      </c>
      <c r="G994" t="str">
        <f>IF(INDEX(tblCleanData[YearsAtCompany],986)&lt;=2,"0-2 Years",IF(INDEX(tblCleanData[YearsAtCompany],986)&lt;=5,"3-5 Years",IF(INDEX(tblCleanData[YearsAtCompany],986)&lt;=10,"6-10 Years","10+ Years")))</f>
        <v>6-10 Years</v>
      </c>
      <c r="H994" t="str">
        <f>IF(INDEX(tblCleanData[WorkLifeBalance],986)&lt;=2,"Elevated","Normal")</f>
        <v>Elevated</v>
      </c>
      <c r="I994">
        <f>IF(INDEX(tblCleanData[Age],986)&lt;30,30,IF(INDEX(tblCleanData[Age],986)&lt;40,20,IF(INDEX(tblCleanData[Age],986)&lt;50,10,15)))</f>
        <v>20</v>
      </c>
      <c r="J994">
        <f>IF(INDEX(tblCleanData[MonthlyIncome],986)&lt;=$B$3,25,IF(INDEX(tblCleanData[MonthlyIncome],986)&lt;=$B$4,12,5))</f>
        <v>5</v>
      </c>
      <c r="K994">
        <f>IF(INDEX(tblCleanData[OverTime],986)="Yes",25,0)</f>
        <v>25</v>
      </c>
      <c r="L994">
        <f>(5-INDEX(tblCleanData[JobSatisfaction],986))*6.25</f>
        <v>12.5</v>
      </c>
      <c r="M994">
        <f>IF(INDEX(tblCleanData[YearsAtCompany],986)&lt;=2,25,IF(INDEX(tblCleanData[YearsAtCompany],986)&lt;=5,15,IF(INDEX(tblCleanData[YearsAtCompany],986)&lt;=10,8,3)))</f>
        <v>8</v>
      </c>
      <c r="N994">
        <f t="shared" si="30"/>
        <v>71</v>
      </c>
      <c r="O994" t="str">
        <f t="shared" si="31"/>
        <v>High Risk</v>
      </c>
    </row>
    <row r="995" spans="1:15" x14ac:dyDescent="0.25">
      <c r="A995">
        <f>INDEX(tblCleanData[EmployeeNumber],987)</f>
        <v>1390</v>
      </c>
      <c r="B995" t="str">
        <f>IF(INDEX(tblCleanData[Age],987)&lt;30,"Under 30",IF(INDEX(tblCleanData[Age],987)&lt;40,"30-39",IF(INDEX(tblCleanData[Age],987)&lt;50,"40-49","50+")))</f>
        <v>30-39</v>
      </c>
      <c r="C995" t="str">
        <f>IF(INDEX(tblCleanData[MonthlyIncome],987)&lt;=$B$3,"Low Income",IF(INDEX(tblCleanData[MonthlyIncome],987)&lt;=$B$4,"Medium Income","High Income"))</f>
        <v>High Income</v>
      </c>
      <c r="D995">
        <f>IF(INDEX(tblCleanData[Attrition],987)="Yes",1,0)</f>
        <v>0</v>
      </c>
      <c r="E995">
        <f>IF(INDEX(tblCleanData[OverTime],987)="Yes",1,0)</f>
        <v>1</v>
      </c>
      <c r="F995" t="str">
        <f>CHOOSE(INDEX(tblCleanData[Education],987),"Below College","College","Bachelor","Master","Doctor")</f>
        <v>Master</v>
      </c>
      <c r="G995" t="str">
        <f>IF(INDEX(tblCleanData[YearsAtCompany],987)&lt;=2,"0-2 Years",IF(INDEX(tblCleanData[YearsAtCompany],987)&lt;=5,"3-5 Years",IF(INDEX(tblCleanData[YearsAtCompany],987)&lt;=10,"6-10 Years","10+ Years")))</f>
        <v>3-5 Years</v>
      </c>
      <c r="H995" t="str">
        <f>IF(INDEX(tblCleanData[WorkLifeBalance],987)&lt;=2,"Elevated","Normal")</f>
        <v>Normal</v>
      </c>
      <c r="I995">
        <f>IF(INDEX(tblCleanData[Age],987)&lt;30,30,IF(INDEX(tblCleanData[Age],987)&lt;40,20,IF(INDEX(tblCleanData[Age],987)&lt;50,10,15)))</f>
        <v>20</v>
      </c>
      <c r="J995">
        <f>IF(INDEX(tblCleanData[MonthlyIncome],987)&lt;=$B$3,25,IF(INDEX(tblCleanData[MonthlyIncome],987)&lt;=$B$4,12,5))</f>
        <v>5</v>
      </c>
      <c r="K995">
        <f>IF(INDEX(tblCleanData[OverTime],987)="Yes",25,0)</f>
        <v>25</v>
      </c>
      <c r="L995">
        <f>(5-INDEX(tblCleanData[JobSatisfaction],987))*6.25</f>
        <v>6.25</v>
      </c>
      <c r="M995">
        <f>IF(INDEX(tblCleanData[YearsAtCompany],987)&lt;=2,25,IF(INDEX(tblCleanData[YearsAtCompany],987)&lt;=5,15,IF(INDEX(tblCleanData[YearsAtCompany],987)&lt;=10,8,3)))</f>
        <v>15</v>
      </c>
      <c r="N995">
        <f t="shared" si="30"/>
        <v>71</v>
      </c>
      <c r="O995" t="str">
        <f t="shared" si="31"/>
        <v>High Risk</v>
      </c>
    </row>
    <row r="996" spans="1:15" x14ac:dyDescent="0.25">
      <c r="A996">
        <f>INDEX(tblCleanData[EmployeeNumber],988)</f>
        <v>1391</v>
      </c>
      <c r="B996" t="str">
        <f>IF(INDEX(tblCleanData[Age],988)&lt;30,"Under 30",IF(INDEX(tblCleanData[Age],988)&lt;40,"30-39",IF(INDEX(tblCleanData[Age],988)&lt;50,"40-49","50+")))</f>
        <v>50+</v>
      </c>
      <c r="C996" t="str">
        <f>IF(INDEX(tblCleanData[MonthlyIncome],988)&lt;=$B$3,"Low Income",IF(INDEX(tblCleanData[MonthlyIncome],988)&lt;=$B$4,"Medium Income","High Income"))</f>
        <v>High Income</v>
      </c>
      <c r="D996">
        <f>IF(INDEX(tblCleanData[Attrition],988)="Yes",1,0)</f>
        <v>0</v>
      </c>
      <c r="E996">
        <f>IF(INDEX(tblCleanData[OverTime],988)="Yes",1,0)</f>
        <v>0</v>
      </c>
      <c r="F996" t="str">
        <f>CHOOSE(INDEX(tblCleanData[Education],988),"Below College","College","Bachelor","Master","Doctor")</f>
        <v>Bachelor</v>
      </c>
      <c r="G996" t="str">
        <f>IF(INDEX(tblCleanData[YearsAtCompany],988)&lt;=2,"0-2 Years",IF(INDEX(tblCleanData[YearsAtCompany],988)&lt;=5,"3-5 Years",IF(INDEX(tblCleanData[YearsAtCompany],988)&lt;=10,"6-10 Years","10+ Years")))</f>
        <v>3-5 Years</v>
      </c>
      <c r="H996" t="str">
        <f>IF(INDEX(tblCleanData[WorkLifeBalance],988)&lt;=2,"Elevated","Normal")</f>
        <v>Normal</v>
      </c>
      <c r="I996">
        <f>IF(INDEX(tblCleanData[Age],988)&lt;30,30,IF(INDEX(tblCleanData[Age],988)&lt;40,20,IF(INDEX(tblCleanData[Age],988)&lt;50,10,15)))</f>
        <v>15</v>
      </c>
      <c r="J996">
        <f>IF(INDEX(tblCleanData[MonthlyIncome],988)&lt;=$B$3,25,IF(INDEX(tblCleanData[MonthlyIncome],988)&lt;=$B$4,12,5))</f>
        <v>5</v>
      </c>
      <c r="K996">
        <f>IF(INDEX(tblCleanData[OverTime],988)="Yes",25,0)</f>
        <v>0</v>
      </c>
      <c r="L996">
        <f>(5-INDEX(tblCleanData[JobSatisfaction],988))*6.25</f>
        <v>18.75</v>
      </c>
      <c r="M996">
        <f>IF(INDEX(tblCleanData[YearsAtCompany],988)&lt;=2,25,IF(INDEX(tblCleanData[YearsAtCompany],988)&lt;=5,15,IF(INDEX(tblCleanData[YearsAtCompany],988)&lt;=10,8,3)))</f>
        <v>15</v>
      </c>
      <c r="N996">
        <f t="shared" si="30"/>
        <v>54</v>
      </c>
      <c r="O996" t="str">
        <f t="shared" si="31"/>
        <v>Medium Risk</v>
      </c>
    </row>
    <row r="997" spans="1:15" x14ac:dyDescent="0.25">
      <c r="A997">
        <f>INDEX(tblCleanData[EmployeeNumber],989)</f>
        <v>1392</v>
      </c>
      <c r="B997" t="str">
        <f>IF(INDEX(tblCleanData[Age],989)&lt;30,"Under 30",IF(INDEX(tblCleanData[Age],989)&lt;40,"30-39",IF(INDEX(tblCleanData[Age],989)&lt;50,"40-49","50+")))</f>
        <v>40-49</v>
      </c>
      <c r="C997" t="str">
        <f>IF(INDEX(tblCleanData[MonthlyIncome],989)&lt;=$B$3,"Low Income",IF(INDEX(tblCleanData[MonthlyIncome],989)&lt;=$B$4,"Medium Income","High Income"))</f>
        <v>High Income</v>
      </c>
      <c r="D997">
        <f>IF(INDEX(tblCleanData[Attrition],989)="Yes",1,0)</f>
        <v>0</v>
      </c>
      <c r="E997">
        <f>IF(INDEX(tblCleanData[OverTime],989)="Yes",1,0)</f>
        <v>1</v>
      </c>
      <c r="F997" t="str">
        <f>CHOOSE(INDEX(tblCleanData[Education],989),"Below College","College","Bachelor","Master","Doctor")</f>
        <v>Bachelor</v>
      </c>
      <c r="G997" t="str">
        <f>IF(INDEX(tblCleanData[YearsAtCompany],989)&lt;=2,"0-2 Years",IF(INDEX(tblCleanData[YearsAtCompany],989)&lt;=5,"3-5 Years",IF(INDEX(tblCleanData[YearsAtCompany],989)&lt;=10,"6-10 Years","10+ Years")))</f>
        <v>6-10 Years</v>
      </c>
      <c r="H997" t="str">
        <f>IF(INDEX(tblCleanData[WorkLifeBalance],989)&lt;=2,"Elevated","Normal")</f>
        <v>Elevated</v>
      </c>
      <c r="I997">
        <f>IF(INDEX(tblCleanData[Age],989)&lt;30,30,IF(INDEX(tblCleanData[Age],989)&lt;40,20,IF(INDEX(tblCleanData[Age],989)&lt;50,10,15)))</f>
        <v>10</v>
      </c>
      <c r="J997">
        <f>IF(INDEX(tblCleanData[MonthlyIncome],989)&lt;=$B$3,25,IF(INDEX(tblCleanData[MonthlyIncome],989)&lt;=$B$4,12,5))</f>
        <v>5</v>
      </c>
      <c r="K997">
        <f>IF(INDEX(tblCleanData[OverTime],989)="Yes",25,0)</f>
        <v>25</v>
      </c>
      <c r="L997">
        <f>(5-INDEX(tblCleanData[JobSatisfaction],989))*6.25</f>
        <v>6.25</v>
      </c>
      <c r="M997">
        <f>IF(INDEX(tblCleanData[YearsAtCompany],989)&lt;=2,25,IF(INDEX(tblCleanData[YearsAtCompany],989)&lt;=5,15,IF(INDEX(tblCleanData[YearsAtCompany],989)&lt;=10,8,3)))</f>
        <v>8</v>
      </c>
      <c r="N997">
        <f t="shared" si="30"/>
        <v>54</v>
      </c>
      <c r="O997" t="str">
        <f t="shared" si="31"/>
        <v>Medium Risk</v>
      </c>
    </row>
    <row r="998" spans="1:15" x14ac:dyDescent="0.25">
      <c r="A998">
        <f>INDEX(tblCleanData[EmployeeNumber],990)</f>
        <v>1394</v>
      </c>
      <c r="B998" t="str">
        <f>IF(INDEX(tblCleanData[Age],990)&lt;30,"Under 30",IF(INDEX(tblCleanData[Age],990)&lt;40,"30-39",IF(INDEX(tblCleanData[Age],990)&lt;50,"40-49","50+")))</f>
        <v>30-39</v>
      </c>
      <c r="C998" t="str">
        <f>IF(INDEX(tblCleanData[MonthlyIncome],990)&lt;=$B$3,"Low Income",IF(INDEX(tblCleanData[MonthlyIncome],990)&lt;=$B$4,"Medium Income","High Income"))</f>
        <v>High Income</v>
      </c>
      <c r="D998">
        <f>IF(INDEX(tblCleanData[Attrition],990)="Yes",1,0)</f>
        <v>0</v>
      </c>
      <c r="E998">
        <f>IF(INDEX(tblCleanData[OverTime],990)="Yes",1,0)</f>
        <v>1</v>
      </c>
      <c r="F998" t="str">
        <f>CHOOSE(INDEX(tblCleanData[Education],990),"Below College","College","Bachelor","Master","Doctor")</f>
        <v>Below College</v>
      </c>
      <c r="G998" t="str">
        <f>IF(INDEX(tblCleanData[YearsAtCompany],990)&lt;=2,"0-2 Years",IF(INDEX(tblCleanData[YearsAtCompany],990)&lt;=5,"3-5 Years",IF(INDEX(tblCleanData[YearsAtCompany],990)&lt;=10,"6-10 Years","10+ Years")))</f>
        <v>6-10 Years</v>
      </c>
      <c r="H998" t="str">
        <f>IF(INDEX(tblCleanData[WorkLifeBalance],990)&lt;=2,"Elevated","Normal")</f>
        <v>Normal</v>
      </c>
      <c r="I998">
        <f>IF(INDEX(tblCleanData[Age],990)&lt;30,30,IF(INDEX(tblCleanData[Age],990)&lt;40,20,IF(INDEX(tblCleanData[Age],990)&lt;50,10,15)))</f>
        <v>20</v>
      </c>
      <c r="J998">
        <f>IF(INDEX(tblCleanData[MonthlyIncome],990)&lt;=$B$3,25,IF(INDEX(tblCleanData[MonthlyIncome],990)&lt;=$B$4,12,5))</f>
        <v>5</v>
      </c>
      <c r="K998">
        <f>IF(INDEX(tblCleanData[OverTime],990)="Yes",25,0)</f>
        <v>25</v>
      </c>
      <c r="L998">
        <f>(5-INDEX(tblCleanData[JobSatisfaction],990))*6.25</f>
        <v>12.5</v>
      </c>
      <c r="M998">
        <f>IF(INDEX(tblCleanData[YearsAtCompany],990)&lt;=2,25,IF(INDEX(tblCleanData[YearsAtCompany],990)&lt;=5,15,IF(INDEX(tblCleanData[YearsAtCompany],990)&lt;=10,8,3)))</f>
        <v>8</v>
      </c>
      <c r="N998">
        <f t="shared" si="30"/>
        <v>71</v>
      </c>
      <c r="O998" t="str">
        <f t="shared" si="31"/>
        <v>High Risk</v>
      </c>
    </row>
    <row r="999" spans="1:15" x14ac:dyDescent="0.25">
      <c r="A999">
        <f>INDEX(tblCleanData[EmployeeNumber],991)</f>
        <v>1395</v>
      </c>
      <c r="B999" t="str">
        <f>IF(INDEX(tblCleanData[Age],991)&lt;30,"Under 30",IF(INDEX(tblCleanData[Age],991)&lt;40,"30-39",IF(INDEX(tblCleanData[Age],991)&lt;50,"40-49","50+")))</f>
        <v>30-39</v>
      </c>
      <c r="C999" t="str">
        <f>IF(INDEX(tblCleanData[MonthlyIncome],991)&lt;=$B$3,"Low Income",IF(INDEX(tblCleanData[MonthlyIncome],991)&lt;=$B$4,"Medium Income","High Income"))</f>
        <v>High Income</v>
      </c>
      <c r="D999">
        <f>IF(INDEX(tblCleanData[Attrition],991)="Yes",1,0)</f>
        <v>0</v>
      </c>
      <c r="E999">
        <f>IF(INDEX(tblCleanData[OverTime],991)="Yes",1,0)</f>
        <v>0</v>
      </c>
      <c r="F999" t="str">
        <f>CHOOSE(INDEX(tblCleanData[Education],991),"Below College","College","Bachelor","Master","Doctor")</f>
        <v>Below College</v>
      </c>
      <c r="G999" t="str">
        <f>IF(INDEX(tblCleanData[YearsAtCompany],991)&lt;=2,"0-2 Years",IF(INDEX(tblCleanData[YearsAtCompany],991)&lt;=5,"3-5 Years",IF(INDEX(tblCleanData[YearsAtCompany],991)&lt;=10,"6-10 Years","10+ Years")))</f>
        <v>3-5 Years</v>
      </c>
      <c r="H999" t="str">
        <f>IF(INDEX(tblCleanData[WorkLifeBalance],991)&lt;=2,"Elevated","Normal")</f>
        <v>Normal</v>
      </c>
      <c r="I999">
        <f>IF(INDEX(tblCleanData[Age],991)&lt;30,30,IF(INDEX(tblCleanData[Age],991)&lt;40,20,IF(INDEX(tblCleanData[Age],991)&lt;50,10,15)))</f>
        <v>20</v>
      </c>
      <c r="J999">
        <f>IF(INDEX(tblCleanData[MonthlyIncome],991)&lt;=$B$3,25,IF(INDEX(tblCleanData[MonthlyIncome],991)&lt;=$B$4,12,5))</f>
        <v>5</v>
      </c>
      <c r="K999">
        <f>IF(INDEX(tblCleanData[OverTime],991)="Yes",25,0)</f>
        <v>0</v>
      </c>
      <c r="L999">
        <f>(5-INDEX(tblCleanData[JobSatisfaction],991))*6.25</f>
        <v>6.25</v>
      </c>
      <c r="M999">
        <f>IF(INDEX(tblCleanData[YearsAtCompany],991)&lt;=2,25,IF(INDEX(tblCleanData[YearsAtCompany],991)&lt;=5,15,IF(INDEX(tblCleanData[YearsAtCompany],991)&lt;=10,8,3)))</f>
        <v>15</v>
      </c>
      <c r="N999">
        <f t="shared" si="30"/>
        <v>46</v>
      </c>
      <c r="O999" t="str">
        <f t="shared" si="31"/>
        <v>Medium Risk</v>
      </c>
    </row>
    <row r="1000" spans="1:15" x14ac:dyDescent="0.25">
      <c r="A1000">
        <f>INDEX(tblCleanData[EmployeeNumber],992)</f>
        <v>1396</v>
      </c>
      <c r="B1000" t="str">
        <f>IF(INDEX(tblCleanData[Age],992)&lt;30,"Under 30",IF(INDEX(tblCleanData[Age],992)&lt;40,"30-39",IF(INDEX(tblCleanData[Age],992)&lt;50,"40-49","50+")))</f>
        <v>30-39</v>
      </c>
      <c r="C1000" t="str">
        <f>IF(INDEX(tblCleanData[MonthlyIncome],992)&lt;=$B$3,"Low Income",IF(INDEX(tblCleanData[MonthlyIncome],992)&lt;=$B$4,"Medium Income","High Income"))</f>
        <v>High Income</v>
      </c>
      <c r="D1000">
        <f>IF(INDEX(tblCleanData[Attrition],992)="Yes",1,0)</f>
        <v>0</v>
      </c>
      <c r="E1000">
        <f>IF(INDEX(tblCleanData[OverTime],992)="Yes",1,0)</f>
        <v>1</v>
      </c>
      <c r="F1000" t="str">
        <f>CHOOSE(INDEX(tblCleanData[Education],992),"Below College","College","Bachelor","Master","Doctor")</f>
        <v>Below College</v>
      </c>
      <c r="G1000" t="str">
        <f>IF(INDEX(tblCleanData[YearsAtCompany],992)&lt;=2,"0-2 Years",IF(INDEX(tblCleanData[YearsAtCompany],992)&lt;=5,"3-5 Years",IF(INDEX(tblCleanData[YearsAtCompany],992)&lt;=10,"6-10 Years","10+ Years")))</f>
        <v>3-5 Years</v>
      </c>
      <c r="H1000" t="str">
        <f>IF(INDEX(tblCleanData[WorkLifeBalance],992)&lt;=2,"Elevated","Normal")</f>
        <v>Elevated</v>
      </c>
      <c r="I1000">
        <f>IF(INDEX(tblCleanData[Age],992)&lt;30,30,IF(INDEX(tblCleanData[Age],992)&lt;40,20,IF(INDEX(tblCleanData[Age],992)&lt;50,10,15)))</f>
        <v>20</v>
      </c>
      <c r="J1000">
        <f>IF(INDEX(tblCleanData[MonthlyIncome],992)&lt;=$B$3,25,IF(INDEX(tblCleanData[MonthlyIncome],992)&lt;=$B$4,12,5))</f>
        <v>5</v>
      </c>
      <c r="K1000">
        <f>IF(INDEX(tblCleanData[OverTime],992)="Yes",25,0)</f>
        <v>25</v>
      </c>
      <c r="L1000">
        <f>(5-INDEX(tblCleanData[JobSatisfaction],992))*6.25</f>
        <v>18.75</v>
      </c>
      <c r="M1000">
        <f>IF(INDEX(tblCleanData[YearsAtCompany],992)&lt;=2,25,IF(INDEX(tblCleanData[YearsAtCompany],992)&lt;=5,15,IF(INDEX(tblCleanData[YearsAtCompany],992)&lt;=10,8,3)))</f>
        <v>15</v>
      </c>
      <c r="N1000">
        <f t="shared" si="30"/>
        <v>84</v>
      </c>
      <c r="O1000" t="str">
        <f t="shared" si="31"/>
        <v>High Risk</v>
      </c>
    </row>
    <row r="1001" spans="1:15" x14ac:dyDescent="0.25">
      <c r="A1001">
        <f>INDEX(tblCleanData[EmployeeNumber],993)</f>
        <v>1397</v>
      </c>
      <c r="B1001" t="str">
        <f>IF(INDEX(tblCleanData[Age],993)&lt;30,"Under 30",IF(INDEX(tblCleanData[Age],993)&lt;40,"30-39",IF(INDEX(tblCleanData[Age],993)&lt;50,"40-49","50+")))</f>
        <v>30-39</v>
      </c>
      <c r="C1001" t="str">
        <f>IF(INDEX(tblCleanData[MonthlyIncome],993)&lt;=$B$3,"Low Income",IF(INDEX(tblCleanData[MonthlyIncome],993)&lt;=$B$4,"Medium Income","High Income"))</f>
        <v>High Income</v>
      </c>
      <c r="D1001">
        <f>IF(INDEX(tblCleanData[Attrition],993)="Yes",1,0)</f>
        <v>0</v>
      </c>
      <c r="E1001">
        <f>IF(INDEX(tblCleanData[OverTime],993)="Yes",1,0)</f>
        <v>0</v>
      </c>
      <c r="F1001" t="str">
        <f>CHOOSE(INDEX(tblCleanData[Education],993),"Below College","College","Bachelor","Master","Doctor")</f>
        <v>College</v>
      </c>
      <c r="G1001" t="str">
        <f>IF(INDEX(tblCleanData[YearsAtCompany],993)&lt;=2,"0-2 Years",IF(INDEX(tblCleanData[YearsAtCompany],993)&lt;=5,"3-5 Years",IF(INDEX(tblCleanData[YearsAtCompany],993)&lt;=10,"6-10 Years","10+ Years")))</f>
        <v>6-10 Years</v>
      </c>
      <c r="H1001" t="str">
        <f>IF(INDEX(tblCleanData[WorkLifeBalance],993)&lt;=2,"Elevated","Normal")</f>
        <v>Normal</v>
      </c>
      <c r="I1001">
        <f>IF(INDEX(tblCleanData[Age],993)&lt;30,30,IF(INDEX(tblCleanData[Age],993)&lt;40,20,IF(INDEX(tblCleanData[Age],993)&lt;50,10,15)))</f>
        <v>20</v>
      </c>
      <c r="J1001">
        <f>IF(INDEX(tblCleanData[MonthlyIncome],993)&lt;=$B$3,25,IF(INDEX(tblCleanData[MonthlyIncome],993)&lt;=$B$4,12,5))</f>
        <v>5</v>
      </c>
      <c r="K1001">
        <f>IF(INDEX(tblCleanData[OverTime],993)="Yes",25,0)</f>
        <v>0</v>
      </c>
      <c r="L1001">
        <f>(5-INDEX(tblCleanData[JobSatisfaction],993))*6.25</f>
        <v>12.5</v>
      </c>
      <c r="M1001">
        <f>IF(INDEX(tblCleanData[YearsAtCompany],993)&lt;=2,25,IF(INDEX(tblCleanData[YearsAtCompany],993)&lt;=5,15,IF(INDEX(tblCleanData[YearsAtCompany],993)&lt;=10,8,3)))</f>
        <v>8</v>
      </c>
      <c r="N1001">
        <f t="shared" si="30"/>
        <v>46</v>
      </c>
      <c r="O1001" t="str">
        <f t="shared" si="31"/>
        <v>Medium Risk</v>
      </c>
    </row>
    <row r="1002" spans="1:15" x14ac:dyDescent="0.25">
      <c r="A1002">
        <f>INDEX(tblCleanData[EmployeeNumber],994)</f>
        <v>1399</v>
      </c>
      <c r="B1002" t="str">
        <f>IF(INDEX(tblCleanData[Age],994)&lt;30,"Under 30",IF(INDEX(tblCleanData[Age],994)&lt;40,"30-39",IF(INDEX(tblCleanData[Age],994)&lt;50,"40-49","50+")))</f>
        <v>Under 30</v>
      </c>
      <c r="C1002" t="str">
        <f>IF(INDEX(tblCleanData[MonthlyIncome],994)&lt;=$B$3,"Low Income",IF(INDEX(tblCleanData[MonthlyIncome],994)&lt;=$B$4,"Medium Income","High Income"))</f>
        <v>High Income</v>
      </c>
      <c r="D1002">
        <f>IF(INDEX(tblCleanData[Attrition],994)="Yes",1,0)</f>
        <v>0</v>
      </c>
      <c r="E1002">
        <f>IF(INDEX(tblCleanData[OverTime],994)="Yes",1,0)</f>
        <v>0</v>
      </c>
      <c r="F1002" t="str">
        <f>CHOOSE(INDEX(tblCleanData[Education],994),"Below College","College","Bachelor","Master","Doctor")</f>
        <v>Below College</v>
      </c>
      <c r="G1002" t="str">
        <f>IF(INDEX(tblCleanData[YearsAtCompany],994)&lt;=2,"0-2 Years",IF(INDEX(tblCleanData[YearsAtCompany],994)&lt;=5,"3-5 Years",IF(INDEX(tblCleanData[YearsAtCompany],994)&lt;=10,"6-10 Years","10+ Years")))</f>
        <v>3-5 Years</v>
      </c>
      <c r="H1002" t="str">
        <f>IF(INDEX(tblCleanData[WorkLifeBalance],994)&lt;=2,"Elevated","Normal")</f>
        <v>Elevated</v>
      </c>
      <c r="I1002">
        <f>IF(INDEX(tblCleanData[Age],994)&lt;30,30,IF(INDEX(tblCleanData[Age],994)&lt;40,20,IF(INDEX(tblCleanData[Age],994)&lt;50,10,15)))</f>
        <v>30</v>
      </c>
      <c r="J1002">
        <f>IF(INDEX(tblCleanData[MonthlyIncome],994)&lt;=$B$3,25,IF(INDEX(tblCleanData[MonthlyIncome],994)&lt;=$B$4,12,5))</f>
        <v>5</v>
      </c>
      <c r="K1002">
        <f>IF(INDEX(tblCleanData[OverTime],994)="Yes",25,0)</f>
        <v>0</v>
      </c>
      <c r="L1002">
        <f>(5-INDEX(tblCleanData[JobSatisfaction],994))*6.25</f>
        <v>12.5</v>
      </c>
      <c r="M1002">
        <f>IF(INDEX(tblCleanData[YearsAtCompany],994)&lt;=2,25,IF(INDEX(tblCleanData[YearsAtCompany],994)&lt;=5,15,IF(INDEX(tblCleanData[YearsAtCompany],994)&lt;=10,8,3)))</f>
        <v>15</v>
      </c>
      <c r="N1002">
        <f t="shared" si="30"/>
        <v>63</v>
      </c>
      <c r="O1002" t="str">
        <f t="shared" si="31"/>
        <v>High Risk</v>
      </c>
    </row>
    <row r="1003" spans="1:15" x14ac:dyDescent="0.25">
      <c r="A1003">
        <f>INDEX(tblCleanData[EmployeeNumber],995)</f>
        <v>1401</v>
      </c>
      <c r="B1003" t="str">
        <f>IF(INDEX(tblCleanData[Age],995)&lt;30,"Under 30",IF(INDEX(tblCleanData[Age],995)&lt;40,"30-39",IF(INDEX(tblCleanData[Age],995)&lt;50,"40-49","50+")))</f>
        <v>50+</v>
      </c>
      <c r="C1003" t="str">
        <f>IF(INDEX(tblCleanData[MonthlyIncome],995)&lt;=$B$3,"Low Income",IF(INDEX(tblCleanData[MonthlyIncome],995)&lt;=$B$4,"Medium Income","High Income"))</f>
        <v>High Income</v>
      </c>
      <c r="D1003">
        <f>IF(INDEX(tblCleanData[Attrition],995)="Yes",1,0)</f>
        <v>0</v>
      </c>
      <c r="E1003">
        <f>IF(INDEX(tblCleanData[OverTime],995)="Yes",1,0)</f>
        <v>1</v>
      </c>
      <c r="F1003" t="str">
        <f>CHOOSE(INDEX(tblCleanData[Education],995),"Below College","College","Bachelor","Master","Doctor")</f>
        <v>College</v>
      </c>
      <c r="G1003" t="str">
        <f>IF(INDEX(tblCleanData[YearsAtCompany],995)&lt;=2,"0-2 Years",IF(INDEX(tblCleanData[YearsAtCompany],995)&lt;=5,"3-5 Years",IF(INDEX(tblCleanData[YearsAtCompany],995)&lt;=10,"6-10 Years","10+ Years")))</f>
        <v>3-5 Years</v>
      </c>
      <c r="H1003" t="str">
        <f>IF(INDEX(tblCleanData[WorkLifeBalance],995)&lt;=2,"Elevated","Normal")</f>
        <v>Elevated</v>
      </c>
      <c r="I1003">
        <f>IF(INDEX(tblCleanData[Age],995)&lt;30,30,IF(INDEX(tblCleanData[Age],995)&lt;40,20,IF(INDEX(tblCleanData[Age],995)&lt;50,10,15)))</f>
        <v>15</v>
      </c>
      <c r="J1003">
        <f>IF(INDEX(tblCleanData[MonthlyIncome],995)&lt;=$B$3,25,IF(INDEX(tblCleanData[MonthlyIncome],995)&lt;=$B$4,12,5))</f>
        <v>5</v>
      </c>
      <c r="K1003">
        <f>IF(INDEX(tblCleanData[OverTime],995)="Yes",25,0)</f>
        <v>25</v>
      </c>
      <c r="L1003">
        <f>(5-INDEX(tblCleanData[JobSatisfaction],995))*6.25</f>
        <v>12.5</v>
      </c>
      <c r="M1003">
        <f>IF(INDEX(tblCleanData[YearsAtCompany],995)&lt;=2,25,IF(INDEX(tblCleanData[YearsAtCompany],995)&lt;=5,15,IF(INDEX(tblCleanData[YearsAtCompany],995)&lt;=10,8,3)))</f>
        <v>15</v>
      </c>
      <c r="N1003">
        <f t="shared" si="30"/>
        <v>73</v>
      </c>
      <c r="O1003" t="str">
        <f t="shared" si="31"/>
        <v>High Risk</v>
      </c>
    </row>
    <row r="1004" spans="1:15" x14ac:dyDescent="0.25">
      <c r="A1004">
        <f>INDEX(tblCleanData[EmployeeNumber],996)</f>
        <v>1402</v>
      </c>
      <c r="B1004" t="str">
        <f>IF(INDEX(tblCleanData[Age],996)&lt;30,"Under 30",IF(INDEX(tblCleanData[Age],996)&lt;40,"30-39",IF(INDEX(tblCleanData[Age],996)&lt;50,"40-49","50+")))</f>
        <v>40-49</v>
      </c>
      <c r="C1004" t="str">
        <f>IF(INDEX(tblCleanData[MonthlyIncome],996)&lt;=$B$3,"Low Income",IF(INDEX(tblCleanData[MonthlyIncome],996)&lt;=$B$4,"Medium Income","High Income"))</f>
        <v>High Income</v>
      </c>
      <c r="D1004">
        <f>IF(INDEX(tblCleanData[Attrition],996)="Yes",1,0)</f>
        <v>0</v>
      </c>
      <c r="E1004">
        <f>IF(INDEX(tblCleanData[OverTime],996)="Yes",1,0)</f>
        <v>1</v>
      </c>
      <c r="F1004" t="str">
        <f>CHOOSE(INDEX(tblCleanData[Education],996),"Below College","College","Bachelor","Master","Doctor")</f>
        <v>Bachelor</v>
      </c>
      <c r="G1004" t="str">
        <f>IF(INDEX(tblCleanData[YearsAtCompany],996)&lt;=2,"0-2 Years",IF(INDEX(tblCleanData[YearsAtCompany],996)&lt;=5,"3-5 Years",IF(INDEX(tblCleanData[YearsAtCompany],996)&lt;=10,"6-10 Years","10+ Years")))</f>
        <v>10+ Years</v>
      </c>
      <c r="H1004" t="str">
        <f>IF(INDEX(tblCleanData[WorkLifeBalance],996)&lt;=2,"Elevated","Normal")</f>
        <v>Elevated</v>
      </c>
      <c r="I1004">
        <f>IF(INDEX(tblCleanData[Age],996)&lt;30,30,IF(INDEX(tblCleanData[Age],996)&lt;40,20,IF(INDEX(tblCleanData[Age],996)&lt;50,10,15)))</f>
        <v>10</v>
      </c>
      <c r="J1004">
        <f>IF(INDEX(tblCleanData[MonthlyIncome],996)&lt;=$B$3,25,IF(INDEX(tblCleanData[MonthlyIncome],996)&lt;=$B$4,12,5))</f>
        <v>5</v>
      </c>
      <c r="K1004">
        <f>IF(INDEX(tblCleanData[OverTime],996)="Yes",25,0)</f>
        <v>25</v>
      </c>
      <c r="L1004">
        <f>(5-INDEX(tblCleanData[JobSatisfaction],996))*6.25</f>
        <v>12.5</v>
      </c>
      <c r="M1004">
        <f>IF(INDEX(tblCleanData[YearsAtCompany],996)&lt;=2,25,IF(INDEX(tblCleanData[YearsAtCompany],996)&lt;=5,15,IF(INDEX(tblCleanData[YearsAtCompany],996)&lt;=10,8,3)))</f>
        <v>3</v>
      </c>
      <c r="N1004">
        <f t="shared" si="30"/>
        <v>56</v>
      </c>
      <c r="O1004" t="str">
        <f t="shared" si="31"/>
        <v>High Risk</v>
      </c>
    </row>
    <row r="1005" spans="1:15" x14ac:dyDescent="0.25">
      <c r="A1005">
        <f>INDEX(tblCleanData[EmployeeNumber],997)</f>
        <v>1403</v>
      </c>
      <c r="B1005" t="str">
        <f>IF(INDEX(tblCleanData[Age],997)&lt;30,"Under 30",IF(INDEX(tblCleanData[Age],997)&lt;40,"30-39",IF(INDEX(tblCleanData[Age],997)&lt;50,"40-49","50+")))</f>
        <v>Under 30</v>
      </c>
      <c r="C1005" t="str">
        <f>IF(INDEX(tblCleanData[MonthlyIncome],997)&lt;=$B$3,"Low Income",IF(INDEX(tblCleanData[MonthlyIncome],997)&lt;=$B$4,"Medium Income","High Income"))</f>
        <v>High Income</v>
      </c>
      <c r="D1005">
        <f>IF(INDEX(tblCleanData[Attrition],997)="Yes",1,0)</f>
        <v>0</v>
      </c>
      <c r="E1005">
        <f>IF(INDEX(tblCleanData[OverTime],997)="Yes",1,0)</f>
        <v>1</v>
      </c>
      <c r="F1005" t="str">
        <f>CHOOSE(INDEX(tblCleanData[Education],997),"Below College","College","Bachelor","Master","Doctor")</f>
        <v>Bachelor</v>
      </c>
      <c r="G1005" t="str">
        <f>IF(INDEX(tblCleanData[YearsAtCompany],997)&lt;=2,"0-2 Years",IF(INDEX(tblCleanData[YearsAtCompany],997)&lt;=5,"3-5 Years",IF(INDEX(tblCleanData[YearsAtCompany],997)&lt;=10,"6-10 Years","10+ Years")))</f>
        <v>6-10 Years</v>
      </c>
      <c r="H1005" t="str">
        <f>IF(INDEX(tblCleanData[WorkLifeBalance],997)&lt;=2,"Elevated","Normal")</f>
        <v>Normal</v>
      </c>
      <c r="I1005">
        <f>IF(INDEX(tblCleanData[Age],997)&lt;30,30,IF(INDEX(tblCleanData[Age],997)&lt;40,20,IF(INDEX(tblCleanData[Age],997)&lt;50,10,15)))</f>
        <v>30</v>
      </c>
      <c r="J1005">
        <f>IF(INDEX(tblCleanData[MonthlyIncome],997)&lt;=$B$3,25,IF(INDEX(tblCleanData[MonthlyIncome],997)&lt;=$B$4,12,5))</f>
        <v>5</v>
      </c>
      <c r="K1005">
        <f>IF(INDEX(tblCleanData[OverTime],997)="Yes",25,0)</f>
        <v>25</v>
      </c>
      <c r="L1005">
        <f>(5-INDEX(tblCleanData[JobSatisfaction],997))*6.25</f>
        <v>6.25</v>
      </c>
      <c r="M1005">
        <f>IF(INDEX(tblCleanData[YearsAtCompany],997)&lt;=2,25,IF(INDEX(tblCleanData[YearsAtCompany],997)&lt;=5,15,IF(INDEX(tblCleanData[YearsAtCompany],997)&lt;=10,8,3)))</f>
        <v>8</v>
      </c>
      <c r="N1005">
        <f t="shared" si="30"/>
        <v>74</v>
      </c>
      <c r="O1005" t="str">
        <f t="shared" si="31"/>
        <v>High Risk</v>
      </c>
    </row>
    <row r="1006" spans="1:15" x14ac:dyDescent="0.25">
      <c r="A1006">
        <f>INDEX(tblCleanData[EmployeeNumber],998)</f>
        <v>1405</v>
      </c>
      <c r="B1006" t="str">
        <f>IF(INDEX(tblCleanData[Age],998)&lt;30,"Under 30",IF(INDEX(tblCleanData[Age],998)&lt;40,"30-39",IF(INDEX(tblCleanData[Age],998)&lt;50,"40-49","50+")))</f>
        <v>Under 30</v>
      </c>
      <c r="C1006" t="str">
        <f>IF(INDEX(tblCleanData[MonthlyIncome],998)&lt;=$B$3,"Low Income",IF(INDEX(tblCleanData[MonthlyIncome],998)&lt;=$B$4,"Medium Income","High Income"))</f>
        <v>High Income</v>
      </c>
      <c r="D1006">
        <f>IF(INDEX(tblCleanData[Attrition],998)="Yes",1,0)</f>
        <v>1</v>
      </c>
      <c r="E1006">
        <f>IF(INDEX(tblCleanData[OverTime],998)="Yes",1,0)</f>
        <v>1</v>
      </c>
      <c r="F1006" t="str">
        <f>CHOOSE(INDEX(tblCleanData[Education],998),"Below College","College","Bachelor","Master","Doctor")</f>
        <v>Master</v>
      </c>
      <c r="G1006" t="str">
        <f>IF(INDEX(tblCleanData[YearsAtCompany],998)&lt;=2,"0-2 Years",IF(INDEX(tblCleanData[YearsAtCompany],998)&lt;=5,"3-5 Years",IF(INDEX(tblCleanData[YearsAtCompany],998)&lt;=10,"6-10 Years","10+ Years")))</f>
        <v>6-10 Years</v>
      </c>
      <c r="H1006" t="str">
        <f>IF(INDEX(tblCleanData[WorkLifeBalance],998)&lt;=2,"Elevated","Normal")</f>
        <v>Normal</v>
      </c>
      <c r="I1006">
        <f>IF(INDEX(tblCleanData[Age],998)&lt;30,30,IF(INDEX(tblCleanData[Age],998)&lt;40,20,IF(INDEX(tblCleanData[Age],998)&lt;50,10,15)))</f>
        <v>30</v>
      </c>
      <c r="J1006">
        <f>IF(INDEX(tblCleanData[MonthlyIncome],998)&lt;=$B$3,25,IF(INDEX(tblCleanData[MonthlyIncome],998)&lt;=$B$4,12,5))</f>
        <v>5</v>
      </c>
      <c r="K1006">
        <f>IF(INDEX(tblCleanData[OverTime],998)="Yes",25,0)</f>
        <v>25</v>
      </c>
      <c r="L1006">
        <f>(5-INDEX(tblCleanData[JobSatisfaction],998))*6.25</f>
        <v>12.5</v>
      </c>
      <c r="M1006">
        <f>IF(INDEX(tblCleanData[YearsAtCompany],998)&lt;=2,25,IF(INDEX(tblCleanData[YearsAtCompany],998)&lt;=5,15,IF(INDEX(tblCleanData[YearsAtCompany],998)&lt;=10,8,3)))</f>
        <v>8</v>
      </c>
      <c r="N1006">
        <f t="shared" si="30"/>
        <v>81</v>
      </c>
      <c r="O1006" t="str">
        <f t="shared" si="31"/>
        <v>High Risk</v>
      </c>
    </row>
    <row r="1007" spans="1:15" x14ac:dyDescent="0.25">
      <c r="A1007">
        <f>INDEX(tblCleanData[EmployeeNumber],999)</f>
        <v>1407</v>
      </c>
      <c r="B1007" t="str">
        <f>IF(INDEX(tblCleanData[Age],999)&lt;30,"Under 30",IF(INDEX(tblCleanData[Age],999)&lt;40,"30-39",IF(INDEX(tblCleanData[Age],999)&lt;50,"40-49","50+")))</f>
        <v>Under 30</v>
      </c>
      <c r="C1007" t="str">
        <f>IF(INDEX(tblCleanData[MonthlyIncome],999)&lt;=$B$3,"Low Income",IF(INDEX(tblCleanData[MonthlyIncome],999)&lt;=$B$4,"Medium Income","High Income"))</f>
        <v>High Income</v>
      </c>
      <c r="D1007">
        <f>IF(INDEX(tblCleanData[Attrition],999)="Yes",1,0)</f>
        <v>0</v>
      </c>
      <c r="E1007">
        <f>IF(INDEX(tblCleanData[OverTime],999)="Yes",1,0)</f>
        <v>0</v>
      </c>
      <c r="F1007" t="str">
        <f>CHOOSE(INDEX(tblCleanData[Education],999),"Below College","College","Bachelor","Master","Doctor")</f>
        <v>Below College</v>
      </c>
      <c r="G1007" t="str">
        <f>IF(INDEX(tblCleanData[YearsAtCompany],999)&lt;=2,"0-2 Years",IF(INDEX(tblCleanData[YearsAtCompany],999)&lt;=5,"3-5 Years",IF(INDEX(tblCleanData[YearsAtCompany],999)&lt;=10,"6-10 Years","10+ Years")))</f>
        <v>3-5 Years</v>
      </c>
      <c r="H1007" t="str">
        <f>IF(INDEX(tblCleanData[WorkLifeBalance],999)&lt;=2,"Elevated","Normal")</f>
        <v>Normal</v>
      </c>
      <c r="I1007">
        <f>IF(INDEX(tblCleanData[Age],999)&lt;30,30,IF(INDEX(tblCleanData[Age],999)&lt;40,20,IF(INDEX(tblCleanData[Age],999)&lt;50,10,15)))</f>
        <v>30</v>
      </c>
      <c r="J1007">
        <f>IF(INDEX(tblCleanData[MonthlyIncome],999)&lt;=$B$3,25,IF(INDEX(tblCleanData[MonthlyIncome],999)&lt;=$B$4,12,5))</f>
        <v>5</v>
      </c>
      <c r="K1007">
        <f>IF(INDEX(tblCleanData[OverTime],999)="Yes",25,0)</f>
        <v>0</v>
      </c>
      <c r="L1007">
        <f>(5-INDEX(tblCleanData[JobSatisfaction],999))*6.25</f>
        <v>6.25</v>
      </c>
      <c r="M1007">
        <f>IF(INDEX(tblCleanData[YearsAtCompany],999)&lt;=2,25,IF(INDEX(tblCleanData[YearsAtCompany],999)&lt;=5,15,IF(INDEX(tblCleanData[YearsAtCompany],999)&lt;=10,8,3)))</f>
        <v>15</v>
      </c>
      <c r="N1007">
        <f t="shared" si="30"/>
        <v>56</v>
      </c>
      <c r="O1007" t="str">
        <f t="shared" si="31"/>
        <v>High Risk</v>
      </c>
    </row>
    <row r="1008" spans="1:15" x14ac:dyDescent="0.25">
      <c r="A1008">
        <f>INDEX(tblCleanData[EmployeeNumber],1000)</f>
        <v>1408</v>
      </c>
      <c r="B1008" t="str">
        <f>IF(INDEX(tblCleanData[Age],1000)&lt;30,"Under 30",IF(INDEX(tblCleanData[Age],1000)&lt;40,"30-39",IF(INDEX(tblCleanData[Age],1000)&lt;50,"40-49","50+")))</f>
        <v>40-49</v>
      </c>
      <c r="C1008" t="str">
        <f>IF(INDEX(tblCleanData[MonthlyIncome],1000)&lt;=$B$3,"Low Income",IF(INDEX(tblCleanData[MonthlyIncome],1000)&lt;=$B$4,"Medium Income","High Income"))</f>
        <v>High Income</v>
      </c>
      <c r="D1008">
        <f>IF(INDEX(tblCleanData[Attrition],1000)="Yes",1,0)</f>
        <v>0</v>
      </c>
      <c r="E1008">
        <f>IF(INDEX(tblCleanData[OverTime],1000)="Yes",1,0)</f>
        <v>0</v>
      </c>
      <c r="F1008" t="str">
        <f>CHOOSE(INDEX(tblCleanData[Education],1000),"Below College","College","Bachelor","Master","Doctor")</f>
        <v>Bachelor</v>
      </c>
      <c r="G1008" t="str">
        <f>IF(INDEX(tblCleanData[YearsAtCompany],1000)&lt;=2,"0-2 Years",IF(INDEX(tblCleanData[YearsAtCompany],1000)&lt;=5,"3-5 Years",IF(INDEX(tblCleanData[YearsAtCompany],1000)&lt;=10,"6-10 Years","10+ Years")))</f>
        <v>10+ Years</v>
      </c>
      <c r="H1008" t="str">
        <f>IF(INDEX(tblCleanData[WorkLifeBalance],1000)&lt;=2,"Elevated","Normal")</f>
        <v>Normal</v>
      </c>
      <c r="I1008">
        <f>IF(INDEX(tblCleanData[Age],1000)&lt;30,30,IF(INDEX(tblCleanData[Age],1000)&lt;40,20,IF(INDEX(tblCleanData[Age],1000)&lt;50,10,15)))</f>
        <v>10</v>
      </c>
      <c r="J1008">
        <f>IF(INDEX(tblCleanData[MonthlyIncome],1000)&lt;=$B$3,25,IF(INDEX(tblCleanData[MonthlyIncome],1000)&lt;=$B$4,12,5))</f>
        <v>5</v>
      </c>
      <c r="K1008">
        <f>IF(INDEX(tblCleanData[OverTime],1000)="Yes",25,0)</f>
        <v>0</v>
      </c>
      <c r="L1008">
        <f>(5-INDEX(tblCleanData[JobSatisfaction],1000))*6.25</f>
        <v>25</v>
      </c>
      <c r="M1008">
        <f>IF(INDEX(tblCleanData[YearsAtCompany],1000)&lt;=2,25,IF(INDEX(tblCleanData[YearsAtCompany],1000)&lt;=5,15,IF(INDEX(tblCleanData[YearsAtCompany],1000)&lt;=10,8,3)))</f>
        <v>3</v>
      </c>
      <c r="N1008">
        <f t="shared" si="30"/>
        <v>43</v>
      </c>
      <c r="O1008" t="str">
        <f t="shared" si="31"/>
        <v>Medium Risk</v>
      </c>
    </row>
    <row r="1009" spans="1:15" x14ac:dyDescent="0.25">
      <c r="A1009">
        <f>INDEX(tblCleanData[EmployeeNumber],1001)</f>
        <v>1409</v>
      </c>
      <c r="B1009" t="str">
        <f>IF(INDEX(tblCleanData[Age],1001)&lt;30,"Under 30",IF(INDEX(tblCleanData[Age],1001)&lt;40,"30-39",IF(INDEX(tblCleanData[Age],1001)&lt;50,"40-49","50+")))</f>
        <v>50+</v>
      </c>
      <c r="C1009" t="str">
        <f>IF(INDEX(tblCleanData[MonthlyIncome],1001)&lt;=$B$3,"Low Income",IF(INDEX(tblCleanData[MonthlyIncome],1001)&lt;=$B$4,"Medium Income","High Income"))</f>
        <v>High Income</v>
      </c>
      <c r="D1009">
        <f>IF(INDEX(tblCleanData[Attrition],1001)="Yes",1,0)</f>
        <v>0</v>
      </c>
      <c r="E1009">
        <f>IF(INDEX(tblCleanData[OverTime],1001)="Yes",1,0)</f>
        <v>0</v>
      </c>
      <c r="F1009" t="str">
        <f>CHOOSE(INDEX(tblCleanData[Education],1001),"Below College","College","Bachelor","Master","Doctor")</f>
        <v>Master</v>
      </c>
      <c r="G1009" t="str">
        <f>IF(INDEX(tblCleanData[YearsAtCompany],1001)&lt;=2,"0-2 Years",IF(INDEX(tblCleanData[YearsAtCompany],1001)&lt;=5,"3-5 Years",IF(INDEX(tblCleanData[YearsAtCompany],1001)&lt;=10,"6-10 Years","10+ Years")))</f>
        <v>3-5 Years</v>
      </c>
      <c r="H1009" t="str">
        <f>IF(INDEX(tblCleanData[WorkLifeBalance],1001)&lt;=2,"Elevated","Normal")</f>
        <v>Elevated</v>
      </c>
      <c r="I1009">
        <f>IF(INDEX(tblCleanData[Age],1001)&lt;30,30,IF(INDEX(tblCleanData[Age],1001)&lt;40,20,IF(INDEX(tblCleanData[Age],1001)&lt;50,10,15)))</f>
        <v>15</v>
      </c>
      <c r="J1009">
        <f>IF(INDEX(tblCleanData[MonthlyIncome],1001)&lt;=$B$3,25,IF(INDEX(tblCleanData[MonthlyIncome],1001)&lt;=$B$4,12,5))</f>
        <v>5</v>
      </c>
      <c r="K1009">
        <f>IF(INDEX(tblCleanData[OverTime],1001)="Yes",25,0)</f>
        <v>0</v>
      </c>
      <c r="L1009">
        <f>(5-INDEX(tblCleanData[JobSatisfaction],1001))*6.25</f>
        <v>25</v>
      </c>
      <c r="M1009">
        <f>IF(INDEX(tblCleanData[YearsAtCompany],1001)&lt;=2,25,IF(INDEX(tblCleanData[YearsAtCompany],1001)&lt;=5,15,IF(INDEX(tblCleanData[YearsAtCompany],1001)&lt;=10,8,3)))</f>
        <v>15</v>
      </c>
      <c r="N1009">
        <f t="shared" si="30"/>
        <v>60</v>
      </c>
      <c r="O1009" t="str">
        <f t="shared" si="31"/>
        <v>High Risk</v>
      </c>
    </row>
    <row r="1010" spans="1:15" x14ac:dyDescent="0.25">
      <c r="A1010">
        <f>INDEX(tblCleanData[EmployeeNumber],1002)</f>
        <v>1411</v>
      </c>
      <c r="B1010" t="str">
        <f>IF(INDEX(tblCleanData[Age],1002)&lt;30,"Under 30",IF(INDEX(tblCleanData[Age],1002)&lt;40,"30-39",IF(INDEX(tblCleanData[Age],1002)&lt;50,"40-49","50+")))</f>
        <v>30-39</v>
      </c>
      <c r="C1010" t="str">
        <f>IF(INDEX(tblCleanData[MonthlyIncome],1002)&lt;=$B$3,"Low Income",IF(INDEX(tblCleanData[MonthlyIncome],1002)&lt;=$B$4,"Medium Income","High Income"))</f>
        <v>High Income</v>
      </c>
      <c r="D1010">
        <f>IF(INDEX(tblCleanData[Attrition],1002)="Yes",1,0)</f>
        <v>0</v>
      </c>
      <c r="E1010">
        <f>IF(INDEX(tblCleanData[OverTime],1002)="Yes",1,0)</f>
        <v>0</v>
      </c>
      <c r="F1010" t="str">
        <f>CHOOSE(INDEX(tblCleanData[Education],1002),"Below College","College","Bachelor","Master","Doctor")</f>
        <v>Bachelor</v>
      </c>
      <c r="G1010" t="str">
        <f>IF(INDEX(tblCleanData[YearsAtCompany],1002)&lt;=2,"0-2 Years",IF(INDEX(tblCleanData[YearsAtCompany],1002)&lt;=5,"3-5 Years",IF(INDEX(tblCleanData[YearsAtCompany],1002)&lt;=10,"6-10 Years","10+ Years")))</f>
        <v>3-5 Years</v>
      </c>
      <c r="H1010" t="str">
        <f>IF(INDEX(tblCleanData[WorkLifeBalance],1002)&lt;=2,"Elevated","Normal")</f>
        <v>Normal</v>
      </c>
      <c r="I1010">
        <f>IF(INDEX(tblCleanData[Age],1002)&lt;30,30,IF(INDEX(tblCleanData[Age],1002)&lt;40,20,IF(INDEX(tblCleanData[Age],1002)&lt;50,10,15)))</f>
        <v>20</v>
      </c>
      <c r="J1010">
        <f>IF(INDEX(tblCleanData[MonthlyIncome],1002)&lt;=$B$3,25,IF(INDEX(tblCleanData[MonthlyIncome],1002)&lt;=$B$4,12,5))</f>
        <v>5</v>
      </c>
      <c r="K1010">
        <f>IF(INDEX(tblCleanData[OverTime],1002)="Yes",25,0)</f>
        <v>0</v>
      </c>
      <c r="L1010">
        <f>(5-INDEX(tblCleanData[JobSatisfaction],1002))*6.25</f>
        <v>12.5</v>
      </c>
      <c r="M1010">
        <f>IF(INDEX(tblCleanData[YearsAtCompany],1002)&lt;=2,25,IF(INDEX(tblCleanData[YearsAtCompany],1002)&lt;=5,15,IF(INDEX(tblCleanData[YearsAtCompany],1002)&lt;=10,8,3)))</f>
        <v>15</v>
      </c>
      <c r="N1010">
        <f t="shared" si="30"/>
        <v>53</v>
      </c>
      <c r="O1010" t="str">
        <f t="shared" si="31"/>
        <v>Medium Risk</v>
      </c>
    </row>
    <row r="1011" spans="1:15" x14ac:dyDescent="0.25">
      <c r="A1011">
        <f>INDEX(tblCleanData[EmployeeNumber],1003)</f>
        <v>1412</v>
      </c>
      <c r="B1011" t="str">
        <f>IF(INDEX(tblCleanData[Age],1003)&lt;30,"Under 30",IF(INDEX(tblCleanData[Age],1003)&lt;40,"30-39",IF(INDEX(tblCleanData[Age],1003)&lt;50,"40-49","50+")))</f>
        <v>30-39</v>
      </c>
      <c r="C1011" t="str">
        <f>IF(INDEX(tblCleanData[MonthlyIncome],1003)&lt;=$B$3,"Low Income",IF(INDEX(tblCleanData[MonthlyIncome],1003)&lt;=$B$4,"Medium Income","High Income"))</f>
        <v>High Income</v>
      </c>
      <c r="D1011">
        <f>IF(INDEX(tblCleanData[Attrition],1003)="Yes",1,0)</f>
        <v>0</v>
      </c>
      <c r="E1011">
        <f>IF(INDEX(tblCleanData[OverTime],1003)="Yes",1,0)</f>
        <v>0</v>
      </c>
      <c r="F1011" t="str">
        <f>CHOOSE(INDEX(tblCleanData[Education],1003),"Below College","College","Bachelor","Master","Doctor")</f>
        <v>College</v>
      </c>
      <c r="G1011" t="str">
        <f>IF(INDEX(tblCleanData[YearsAtCompany],1003)&lt;=2,"0-2 Years",IF(INDEX(tblCleanData[YearsAtCompany],1003)&lt;=5,"3-5 Years",IF(INDEX(tblCleanData[YearsAtCompany],1003)&lt;=10,"6-10 Years","10+ Years")))</f>
        <v>0-2 Years</v>
      </c>
      <c r="H1011" t="str">
        <f>IF(INDEX(tblCleanData[WorkLifeBalance],1003)&lt;=2,"Elevated","Normal")</f>
        <v>Normal</v>
      </c>
      <c r="I1011">
        <f>IF(INDEX(tblCleanData[Age],1003)&lt;30,30,IF(INDEX(tblCleanData[Age],1003)&lt;40,20,IF(INDEX(tblCleanData[Age],1003)&lt;50,10,15)))</f>
        <v>20</v>
      </c>
      <c r="J1011">
        <f>IF(INDEX(tblCleanData[MonthlyIncome],1003)&lt;=$B$3,25,IF(INDEX(tblCleanData[MonthlyIncome],1003)&lt;=$B$4,12,5))</f>
        <v>5</v>
      </c>
      <c r="K1011">
        <f>IF(INDEX(tblCleanData[OverTime],1003)="Yes",25,0)</f>
        <v>0</v>
      </c>
      <c r="L1011">
        <f>(5-INDEX(tblCleanData[JobSatisfaction],1003))*6.25</f>
        <v>6.25</v>
      </c>
      <c r="M1011">
        <f>IF(INDEX(tblCleanData[YearsAtCompany],1003)&lt;=2,25,IF(INDEX(tblCleanData[YearsAtCompany],1003)&lt;=5,15,IF(INDEX(tblCleanData[YearsAtCompany],1003)&lt;=10,8,3)))</f>
        <v>25</v>
      </c>
      <c r="N1011">
        <f t="shared" si="30"/>
        <v>56</v>
      </c>
      <c r="O1011" t="str">
        <f t="shared" si="31"/>
        <v>High Risk</v>
      </c>
    </row>
    <row r="1012" spans="1:15" x14ac:dyDescent="0.25">
      <c r="A1012">
        <f>INDEX(tblCleanData[EmployeeNumber],1004)</f>
        <v>1415</v>
      </c>
      <c r="B1012" t="str">
        <f>IF(INDEX(tblCleanData[Age],1004)&lt;30,"Under 30",IF(INDEX(tblCleanData[Age],1004)&lt;40,"30-39",IF(INDEX(tblCleanData[Age],1004)&lt;50,"40-49","50+")))</f>
        <v>Under 30</v>
      </c>
      <c r="C1012" t="str">
        <f>IF(INDEX(tblCleanData[MonthlyIncome],1004)&lt;=$B$3,"Low Income",IF(INDEX(tblCleanData[MonthlyIncome],1004)&lt;=$B$4,"Medium Income","High Income"))</f>
        <v>High Income</v>
      </c>
      <c r="D1012">
        <f>IF(INDEX(tblCleanData[Attrition],1004)="Yes",1,0)</f>
        <v>0</v>
      </c>
      <c r="E1012">
        <f>IF(INDEX(tblCleanData[OverTime],1004)="Yes",1,0)</f>
        <v>0</v>
      </c>
      <c r="F1012" t="str">
        <f>CHOOSE(INDEX(tblCleanData[Education],1004),"Below College","College","Bachelor","Master","Doctor")</f>
        <v>Bachelor</v>
      </c>
      <c r="G1012" t="str">
        <f>IF(INDEX(tblCleanData[YearsAtCompany],1004)&lt;=2,"0-2 Years",IF(INDEX(tblCleanData[YearsAtCompany],1004)&lt;=5,"3-5 Years",IF(INDEX(tblCleanData[YearsAtCompany],1004)&lt;=10,"6-10 Years","10+ Years")))</f>
        <v>3-5 Years</v>
      </c>
      <c r="H1012" t="str">
        <f>IF(INDEX(tblCleanData[WorkLifeBalance],1004)&lt;=2,"Elevated","Normal")</f>
        <v>Elevated</v>
      </c>
      <c r="I1012">
        <f>IF(INDEX(tblCleanData[Age],1004)&lt;30,30,IF(INDEX(tblCleanData[Age],1004)&lt;40,20,IF(INDEX(tblCleanData[Age],1004)&lt;50,10,15)))</f>
        <v>30</v>
      </c>
      <c r="J1012">
        <f>IF(INDEX(tblCleanData[MonthlyIncome],1004)&lt;=$B$3,25,IF(INDEX(tblCleanData[MonthlyIncome],1004)&lt;=$B$4,12,5))</f>
        <v>5</v>
      </c>
      <c r="K1012">
        <f>IF(INDEX(tblCleanData[OverTime],1004)="Yes",25,0)</f>
        <v>0</v>
      </c>
      <c r="L1012">
        <f>(5-INDEX(tblCleanData[JobSatisfaction],1004))*6.25</f>
        <v>6.25</v>
      </c>
      <c r="M1012">
        <f>IF(INDEX(tblCleanData[YearsAtCompany],1004)&lt;=2,25,IF(INDEX(tblCleanData[YearsAtCompany],1004)&lt;=5,15,IF(INDEX(tblCleanData[YearsAtCompany],1004)&lt;=10,8,3)))</f>
        <v>15</v>
      </c>
      <c r="N1012">
        <f t="shared" si="30"/>
        <v>56</v>
      </c>
      <c r="O1012" t="str">
        <f t="shared" si="31"/>
        <v>High Risk</v>
      </c>
    </row>
    <row r="1013" spans="1:15" x14ac:dyDescent="0.25">
      <c r="A1013">
        <f>INDEX(tblCleanData[EmployeeNumber],1005)</f>
        <v>1417</v>
      </c>
      <c r="B1013" t="str">
        <f>IF(INDEX(tblCleanData[Age],1005)&lt;30,"Under 30",IF(INDEX(tblCleanData[Age],1005)&lt;40,"30-39",IF(INDEX(tblCleanData[Age],1005)&lt;50,"40-49","50+")))</f>
        <v>Under 30</v>
      </c>
      <c r="C1013" t="str">
        <f>IF(INDEX(tblCleanData[MonthlyIncome],1005)&lt;=$B$3,"Low Income",IF(INDEX(tblCleanData[MonthlyIncome],1005)&lt;=$B$4,"Medium Income","High Income"))</f>
        <v>High Income</v>
      </c>
      <c r="D1013">
        <f>IF(INDEX(tblCleanData[Attrition],1005)="Yes",1,0)</f>
        <v>0</v>
      </c>
      <c r="E1013">
        <f>IF(INDEX(tblCleanData[OverTime],1005)="Yes",1,0)</f>
        <v>0</v>
      </c>
      <c r="F1013" t="str">
        <f>CHOOSE(INDEX(tblCleanData[Education],1005),"Below College","College","Bachelor","Master","Doctor")</f>
        <v>Bachelor</v>
      </c>
      <c r="G1013" t="str">
        <f>IF(INDEX(tblCleanData[YearsAtCompany],1005)&lt;=2,"0-2 Years",IF(INDEX(tblCleanData[YearsAtCompany],1005)&lt;=5,"3-5 Years",IF(INDEX(tblCleanData[YearsAtCompany],1005)&lt;=10,"6-10 Years","10+ Years")))</f>
        <v>6-10 Years</v>
      </c>
      <c r="H1013" t="str">
        <f>IF(INDEX(tblCleanData[WorkLifeBalance],1005)&lt;=2,"Elevated","Normal")</f>
        <v>Normal</v>
      </c>
      <c r="I1013">
        <f>IF(INDEX(tblCleanData[Age],1005)&lt;30,30,IF(INDEX(tblCleanData[Age],1005)&lt;40,20,IF(INDEX(tblCleanData[Age],1005)&lt;50,10,15)))</f>
        <v>30</v>
      </c>
      <c r="J1013">
        <f>IF(INDEX(tblCleanData[MonthlyIncome],1005)&lt;=$B$3,25,IF(INDEX(tblCleanData[MonthlyIncome],1005)&lt;=$B$4,12,5))</f>
        <v>5</v>
      </c>
      <c r="K1013">
        <f>IF(INDEX(tblCleanData[OverTime],1005)="Yes",25,0)</f>
        <v>0</v>
      </c>
      <c r="L1013">
        <f>(5-INDEX(tblCleanData[JobSatisfaction],1005))*6.25</f>
        <v>25</v>
      </c>
      <c r="M1013">
        <f>IF(INDEX(tblCleanData[YearsAtCompany],1005)&lt;=2,25,IF(INDEX(tblCleanData[YearsAtCompany],1005)&lt;=5,15,IF(INDEX(tblCleanData[YearsAtCompany],1005)&lt;=10,8,3)))</f>
        <v>8</v>
      </c>
      <c r="N1013">
        <f t="shared" si="30"/>
        <v>68</v>
      </c>
      <c r="O1013" t="str">
        <f t="shared" si="31"/>
        <v>High Risk</v>
      </c>
    </row>
    <row r="1014" spans="1:15" x14ac:dyDescent="0.25">
      <c r="A1014">
        <f>INDEX(tblCleanData[EmployeeNumber],1006)</f>
        <v>1419</v>
      </c>
      <c r="B1014" t="str">
        <f>IF(INDEX(tblCleanData[Age],1006)&lt;30,"Under 30",IF(INDEX(tblCleanData[Age],1006)&lt;40,"30-39",IF(INDEX(tblCleanData[Age],1006)&lt;50,"40-49","50+")))</f>
        <v>Under 30</v>
      </c>
      <c r="C1014" t="str">
        <f>IF(INDEX(tblCleanData[MonthlyIncome],1006)&lt;=$B$3,"Low Income",IF(INDEX(tblCleanData[MonthlyIncome],1006)&lt;=$B$4,"Medium Income","High Income"))</f>
        <v>High Income</v>
      </c>
      <c r="D1014">
        <f>IF(INDEX(tblCleanData[Attrition],1006)="Yes",1,0)</f>
        <v>0</v>
      </c>
      <c r="E1014">
        <f>IF(INDEX(tblCleanData[OverTime],1006)="Yes",1,0)</f>
        <v>0</v>
      </c>
      <c r="F1014" t="str">
        <f>CHOOSE(INDEX(tblCleanData[Education],1006),"Below College","College","Bachelor","Master","Doctor")</f>
        <v>Bachelor</v>
      </c>
      <c r="G1014" t="str">
        <f>IF(INDEX(tblCleanData[YearsAtCompany],1006)&lt;=2,"0-2 Years",IF(INDEX(tblCleanData[YearsAtCompany],1006)&lt;=5,"3-5 Years",IF(INDEX(tblCleanData[YearsAtCompany],1006)&lt;=10,"6-10 Years","10+ Years")))</f>
        <v>6-10 Years</v>
      </c>
      <c r="H1014" t="str">
        <f>IF(INDEX(tblCleanData[WorkLifeBalance],1006)&lt;=2,"Elevated","Normal")</f>
        <v>Elevated</v>
      </c>
      <c r="I1014">
        <f>IF(INDEX(tblCleanData[Age],1006)&lt;30,30,IF(INDEX(tblCleanData[Age],1006)&lt;40,20,IF(INDEX(tblCleanData[Age],1006)&lt;50,10,15)))</f>
        <v>30</v>
      </c>
      <c r="J1014">
        <f>IF(INDEX(tblCleanData[MonthlyIncome],1006)&lt;=$B$3,25,IF(INDEX(tblCleanData[MonthlyIncome],1006)&lt;=$B$4,12,5))</f>
        <v>5</v>
      </c>
      <c r="K1014">
        <f>IF(INDEX(tblCleanData[OverTime],1006)="Yes",25,0)</f>
        <v>0</v>
      </c>
      <c r="L1014">
        <f>(5-INDEX(tblCleanData[JobSatisfaction],1006))*6.25</f>
        <v>25</v>
      </c>
      <c r="M1014">
        <f>IF(INDEX(tblCleanData[YearsAtCompany],1006)&lt;=2,25,IF(INDEX(tblCleanData[YearsAtCompany],1006)&lt;=5,15,IF(INDEX(tblCleanData[YearsAtCompany],1006)&lt;=10,8,3)))</f>
        <v>8</v>
      </c>
      <c r="N1014">
        <f t="shared" si="30"/>
        <v>68</v>
      </c>
      <c r="O1014" t="str">
        <f t="shared" si="31"/>
        <v>High Risk</v>
      </c>
    </row>
    <row r="1015" spans="1:15" x14ac:dyDescent="0.25">
      <c r="A1015">
        <f>INDEX(tblCleanData[EmployeeNumber],1007)</f>
        <v>1420</v>
      </c>
      <c r="B1015" t="str">
        <f>IF(INDEX(tblCleanData[Age],1007)&lt;30,"Under 30",IF(INDEX(tblCleanData[Age],1007)&lt;40,"30-39",IF(INDEX(tblCleanData[Age],1007)&lt;50,"40-49","50+")))</f>
        <v>40-49</v>
      </c>
      <c r="C1015" t="str">
        <f>IF(INDEX(tblCleanData[MonthlyIncome],1007)&lt;=$B$3,"Low Income",IF(INDEX(tblCleanData[MonthlyIncome],1007)&lt;=$B$4,"Medium Income","High Income"))</f>
        <v>High Income</v>
      </c>
      <c r="D1015">
        <f>IF(INDEX(tblCleanData[Attrition],1007)="Yes",1,0)</f>
        <v>1</v>
      </c>
      <c r="E1015">
        <f>IF(INDEX(tblCleanData[OverTime],1007)="Yes",1,0)</f>
        <v>0</v>
      </c>
      <c r="F1015" t="str">
        <f>CHOOSE(INDEX(tblCleanData[Education],1007),"Below College","College","Bachelor","Master","Doctor")</f>
        <v>College</v>
      </c>
      <c r="G1015" t="str">
        <f>IF(INDEX(tblCleanData[YearsAtCompany],1007)&lt;=2,"0-2 Years",IF(INDEX(tblCleanData[YearsAtCompany],1007)&lt;=5,"3-5 Years",IF(INDEX(tblCleanData[YearsAtCompany],1007)&lt;=10,"6-10 Years","10+ Years")))</f>
        <v>3-5 Years</v>
      </c>
      <c r="H1015" t="str">
        <f>IF(INDEX(tblCleanData[WorkLifeBalance],1007)&lt;=2,"Elevated","Normal")</f>
        <v>Normal</v>
      </c>
      <c r="I1015">
        <f>IF(INDEX(tblCleanData[Age],1007)&lt;30,30,IF(INDEX(tblCleanData[Age],1007)&lt;40,20,IF(INDEX(tblCleanData[Age],1007)&lt;50,10,15)))</f>
        <v>10</v>
      </c>
      <c r="J1015">
        <f>IF(INDEX(tblCleanData[MonthlyIncome],1007)&lt;=$B$3,25,IF(INDEX(tblCleanData[MonthlyIncome],1007)&lt;=$B$4,12,5))</f>
        <v>5</v>
      </c>
      <c r="K1015">
        <f>IF(INDEX(tblCleanData[OverTime],1007)="Yes",25,0)</f>
        <v>0</v>
      </c>
      <c r="L1015">
        <f>(5-INDEX(tblCleanData[JobSatisfaction],1007))*6.25</f>
        <v>25</v>
      </c>
      <c r="M1015">
        <f>IF(INDEX(tblCleanData[YearsAtCompany],1007)&lt;=2,25,IF(INDEX(tblCleanData[YearsAtCompany],1007)&lt;=5,15,IF(INDEX(tblCleanData[YearsAtCompany],1007)&lt;=10,8,3)))</f>
        <v>15</v>
      </c>
      <c r="N1015">
        <f t="shared" si="30"/>
        <v>55</v>
      </c>
      <c r="O1015" t="str">
        <f t="shared" si="31"/>
        <v>High Risk</v>
      </c>
    </row>
    <row r="1016" spans="1:15" x14ac:dyDescent="0.25">
      <c r="A1016">
        <f>INDEX(tblCleanData[EmployeeNumber],1008)</f>
        <v>1421</v>
      </c>
      <c r="B1016" t="str">
        <f>IF(INDEX(tblCleanData[Age],1008)&lt;30,"Under 30",IF(INDEX(tblCleanData[Age],1008)&lt;40,"30-39",IF(INDEX(tblCleanData[Age],1008)&lt;50,"40-49","50+")))</f>
        <v>Under 30</v>
      </c>
      <c r="C1016" t="str">
        <f>IF(INDEX(tblCleanData[MonthlyIncome],1008)&lt;=$B$3,"Low Income",IF(INDEX(tblCleanData[MonthlyIncome],1008)&lt;=$B$4,"Medium Income","High Income"))</f>
        <v>High Income</v>
      </c>
      <c r="D1016">
        <f>IF(INDEX(tblCleanData[Attrition],1008)="Yes",1,0)</f>
        <v>1</v>
      </c>
      <c r="E1016">
        <f>IF(INDEX(tblCleanData[OverTime],1008)="Yes",1,0)</f>
        <v>1</v>
      </c>
      <c r="F1016" t="str">
        <f>CHOOSE(INDEX(tblCleanData[Education],1008),"Below College","College","Bachelor","Master","Doctor")</f>
        <v>Below College</v>
      </c>
      <c r="G1016" t="str">
        <f>IF(INDEX(tblCleanData[YearsAtCompany],1008)&lt;=2,"0-2 Years",IF(INDEX(tblCleanData[YearsAtCompany],1008)&lt;=5,"3-5 Years",IF(INDEX(tblCleanData[YearsAtCompany],1008)&lt;=10,"6-10 Years","10+ Years")))</f>
        <v>6-10 Years</v>
      </c>
      <c r="H1016" t="str">
        <f>IF(INDEX(tblCleanData[WorkLifeBalance],1008)&lt;=2,"Elevated","Normal")</f>
        <v>Normal</v>
      </c>
      <c r="I1016">
        <f>IF(INDEX(tblCleanData[Age],1008)&lt;30,30,IF(INDEX(tblCleanData[Age],1008)&lt;40,20,IF(INDEX(tblCleanData[Age],1008)&lt;50,10,15)))</f>
        <v>30</v>
      </c>
      <c r="J1016">
        <f>IF(INDEX(tblCleanData[MonthlyIncome],1008)&lt;=$B$3,25,IF(INDEX(tblCleanData[MonthlyIncome],1008)&lt;=$B$4,12,5))</f>
        <v>5</v>
      </c>
      <c r="K1016">
        <f>IF(INDEX(tblCleanData[OverTime],1008)="Yes",25,0)</f>
        <v>25</v>
      </c>
      <c r="L1016">
        <f>(5-INDEX(tblCleanData[JobSatisfaction],1008))*6.25</f>
        <v>6.25</v>
      </c>
      <c r="M1016">
        <f>IF(INDEX(tblCleanData[YearsAtCompany],1008)&lt;=2,25,IF(INDEX(tblCleanData[YearsAtCompany],1008)&lt;=5,15,IF(INDEX(tblCleanData[YearsAtCompany],1008)&lt;=10,8,3)))</f>
        <v>8</v>
      </c>
      <c r="N1016">
        <f t="shared" si="30"/>
        <v>74</v>
      </c>
      <c r="O1016" t="str">
        <f t="shared" si="31"/>
        <v>High Risk</v>
      </c>
    </row>
    <row r="1017" spans="1:15" x14ac:dyDescent="0.25">
      <c r="A1017">
        <f>INDEX(tblCleanData[EmployeeNumber],1009)</f>
        <v>1422</v>
      </c>
      <c r="B1017" t="str">
        <f>IF(INDEX(tblCleanData[Age],1009)&lt;30,"Under 30",IF(INDEX(tblCleanData[Age],1009)&lt;40,"30-39",IF(INDEX(tblCleanData[Age],1009)&lt;50,"40-49","50+")))</f>
        <v>50+</v>
      </c>
      <c r="C1017" t="str">
        <f>IF(INDEX(tblCleanData[MonthlyIncome],1009)&lt;=$B$3,"Low Income",IF(INDEX(tblCleanData[MonthlyIncome],1009)&lt;=$B$4,"Medium Income","High Income"))</f>
        <v>High Income</v>
      </c>
      <c r="D1017">
        <f>IF(INDEX(tblCleanData[Attrition],1009)="Yes",1,0)</f>
        <v>0</v>
      </c>
      <c r="E1017">
        <f>IF(INDEX(tblCleanData[OverTime],1009)="Yes",1,0)</f>
        <v>0</v>
      </c>
      <c r="F1017" t="str">
        <f>CHOOSE(INDEX(tblCleanData[Education],1009),"Below College","College","Bachelor","Master","Doctor")</f>
        <v>Bachelor</v>
      </c>
      <c r="G1017" t="str">
        <f>IF(INDEX(tblCleanData[YearsAtCompany],1009)&lt;=2,"0-2 Years",IF(INDEX(tblCleanData[YearsAtCompany],1009)&lt;=5,"3-5 Years",IF(INDEX(tblCleanData[YearsAtCompany],1009)&lt;=10,"6-10 Years","10+ Years")))</f>
        <v>10+ Years</v>
      </c>
      <c r="H1017" t="str">
        <f>IF(INDEX(tblCleanData[WorkLifeBalance],1009)&lt;=2,"Elevated","Normal")</f>
        <v>Elevated</v>
      </c>
      <c r="I1017">
        <f>IF(INDEX(tblCleanData[Age],1009)&lt;30,30,IF(INDEX(tblCleanData[Age],1009)&lt;40,20,IF(INDEX(tblCleanData[Age],1009)&lt;50,10,15)))</f>
        <v>15</v>
      </c>
      <c r="J1017">
        <f>IF(INDEX(tblCleanData[MonthlyIncome],1009)&lt;=$B$3,25,IF(INDEX(tblCleanData[MonthlyIncome],1009)&lt;=$B$4,12,5))</f>
        <v>5</v>
      </c>
      <c r="K1017">
        <f>IF(INDEX(tblCleanData[OverTime],1009)="Yes",25,0)</f>
        <v>0</v>
      </c>
      <c r="L1017">
        <f>(5-INDEX(tblCleanData[JobSatisfaction],1009))*6.25</f>
        <v>6.25</v>
      </c>
      <c r="M1017">
        <f>IF(INDEX(tblCleanData[YearsAtCompany],1009)&lt;=2,25,IF(INDEX(tblCleanData[YearsAtCompany],1009)&lt;=5,15,IF(INDEX(tblCleanData[YearsAtCompany],1009)&lt;=10,8,3)))</f>
        <v>3</v>
      </c>
      <c r="N1017">
        <f t="shared" si="30"/>
        <v>29</v>
      </c>
      <c r="O1017" t="str">
        <f t="shared" si="31"/>
        <v>Low Risk</v>
      </c>
    </row>
    <row r="1018" spans="1:15" x14ac:dyDescent="0.25">
      <c r="A1018">
        <f>INDEX(tblCleanData[EmployeeNumber],1010)</f>
        <v>1423</v>
      </c>
      <c r="B1018" t="str">
        <f>IF(INDEX(tblCleanData[Age],1010)&lt;30,"Under 30",IF(INDEX(tblCleanData[Age],1010)&lt;40,"30-39",IF(INDEX(tblCleanData[Age],1010)&lt;50,"40-49","50+")))</f>
        <v>50+</v>
      </c>
      <c r="C1018" t="str">
        <f>IF(INDEX(tblCleanData[MonthlyIncome],1010)&lt;=$B$3,"Low Income",IF(INDEX(tblCleanData[MonthlyIncome],1010)&lt;=$B$4,"Medium Income","High Income"))</f>
        <v>High Income</v>
      </c>
      <c r="D1018">
        <f>IF(INDEX(tblCleanData[Attrition],1010)="Yes",1,0)</f>
        <v>0</v>
      </c>
      <c r="E1018">
        <f>IF(INDEX(tblCleanData[OverTime],1010)="Yes",1,0)</f>
        <v>1</v>
      </c>
      <c r="F1018" t="str">
        <f>CHOOSE(INDEX(tblCleanData[Education],1010),"Below College","College","Bachelor","Master","Doctor")</f>
        <v>Bachelor</v>
      </c>
      <c r="G1018" t="str">
        <f>IF(INDEX(tblCleanData[YearsAtCompany],1010)&lt;=2,"0-2 Years",IF(INDEX(tblCleanData[YearsAtCompany],1010)&lt;=5,"3-5 Years",IF(INDEX(tblCleanData[YearsAtCompany],1010)&lt;=10,"6-10 Years","10+ Years")))</f>
        <v>6-10 Years</v>
      </c>
      <c r="H1018" t="str">
        <f>IF(INDEX(tblCleanData[WorkLifeBalance],1010)&lt;=2,"Elevated","Normal")</f>
        <v>Normal</v>
      </c>
      <c r="I1018">
        <f>IF(INDEX(tblCleanData[Age],1010)&lt;30,30,IF(INDEX(tblCleanData[Age],1010)&lt;40,20,IF(INDEX(tblCleanData[Age],1010)&lt;50,10,15)))</f>
        <v>15</v>
      </c>
      <c r="J1018">
        <f>IF(INDEX(tblCleanData[MonthlyIncome],1010)&lt;=$B$3,25,IF(INDEX(tblCleanData[MonthlyIncome],1010)&lt;=$B$4,12,5))</f>
        <v>5</v>
      </c>
      <c r="K1018">
        <f>IF(INDEX(tblCleanData[OverTime],1010)="Yes",25,0)</f>
        <v>25</v>
      </c>
      <c r="L1018">
        <f>(5-INDEX(tblCleanData[JobSatisfaction],1010))*6.25</f>
        <v>25</v>
      </c>
      <c r="M1018">
        <f>IF(INDEX(tblCleanData[YearsAtCompany],1010)&lt;=2,25,IF(INDEX(tblCleanData[YearsAtCompany],1010)&lt;=5,15,IF(INDEX(tblCleanData[YearsAtCompany],1010)&lt;=10,8,3)))</f>
        <v>8</v>
      </c>
      <c r="N1018">
        <f t="shared" si="30"/>
        <v>78</v>
      </c>
      <c r="O1018" t="str">
        <f t="shared" si="31"/>
        <v>High Risk</v>
      </c>
    </row>
    <row r="1019" spans="1:15" x14ac:dyDescent="0.25">
      <c r="A1019">
        <f>INDEX(tblCleanData[EmployeeNumber],1011)</f>
        <v>1424</v>
      </c>
      <c r="B1019" t="str">
        <f>IF(INDEX(tblCleanData[Age],1011)&lt;30,"Under 30",IF(INDEX(tblCleanData[Age],1011)&lt;40,"30-39",IF(INDEX(tblCleanData[Age],1011)&lt;50,"40-49","50+")))</f>
        <v>50+</v>
      </c>
      <c r="C1019" t="str">
        <f>IF(INDEX(tblCleanData[MonthlyIncome],1011)&lt;=$B$3,"Low Income",IF(INDEX(tblCleanData[MonthlyIncome],1011)&lt;=$B$4,"Medium Income","High Income"))</f>
        <v>High Income</v>
      </c>
      <c r="D1019">
        <f>IF(INDEX(tblCleanData[Attrition],1011)="Yes",1,0)</f>
        <v>0</v>
      </c>
      <c r="E1019">
        <f>IF(INDEX(tblCleanData[OverTime],1011)="Yes",1,0)</f>
        <v>0</v>
      </c>
      <c r="F1019" t="str">
        <f>CHOOSE(INDEX(tblCleanData[Education],1011),"Below College","College","Bachelor","Master","Doctor")</f>
        <v>Master</v>
      </c>
      <c r="G1019" t="str">
        <f>IF(INDEX(tblCleanData[YearsAtCompany],1011)&lt;=2,"0-2 Years",IF(INDEX(tblCleanData[YearsAtCompany],1011)&lt;=5,"3-5 Years",IF(INDEX(tblCleanData[YearsAtCompany],1011)&lt;=10,"6-10 Years","10+ Years")))</f>
        <v>6-10 Years</v>
      </c>
      <c r="H1019" t="str">
        <f>IF(INDEX(tblCleanData[WorkLifeBalance],1011)&lt;=2,"Elevated","Normal")</f>
        <v>Normal</v>
      </c>
      <c r="I1019">
        <f>IF(INDEX(tblCleanData[Age],1011)&lt;30,30,IF(INDEX(tblCleanData[Age],1011)&lt;40,20,IF(INDEX(tblCleanData[Age],1011)&lt;50,10,15)))</f>
        <v>15</v>
      </c>
      <c r="J1019">
        <f>IF(INDEX(tblCleanData[MonthlyIncome],1011)&lt;=$B$3,25,IF(INDEX(tblCleanData[MonthlyIncome],1011)&lt;=$B$4,12,5))</f>
        <v>5</v>
      </c>
      <c r="K1019">
        <f>IF(INDEX(tblCleanData[OverTime],1011)="Yes",25,0)</f>
        <v>0</v>
      </c>
      <c r="L1019">
        <f>(5-INDEX(tblCleanData[JobSatisfaction],1011))*6.25</f>
        <v>6.25</v>
      </c>
      <c r="M1019">
        <f>IF(INDEX(tblCleanData[YearsAtCompany],1011)&lt;=2,25,IF(INDEX(tblCleanData[YearsAtCompany],1011)&lt;=5,15,IF(INDEX(tblCleanData[YearsAtCompany],1011)&lt;=10,8,3)))</f>
        <v>8</v>
      </c>
      <c r="N1019">
        <f t="shared" si="30"/>
        <v>34</v>
      </c>
      <c r="O1019" t="str">
        <f t="shared" si="31"/>
        <v>Low Risk</v>
      </c>
    </row>
    <row r="1020" spans="1:15" x14ac:dyDescent="0.25">
      <c r="A1020">
        <f>INDEX(tblCleanData[EmployeeNumber],1012)</f>
        <v>1425</v>
      </c>
      <c r="B1020" t="str">
        <f>IF(INDEX(tblCleanData[Age],1012)&lt;30,"Under 30",IF(INDEX(tblCleanData[Age],1012)&lt;40,"30-39",IF(INDEX(tblCleanData[Age],1012)&lt;50,"40-49","50+")))</f>
        <v>30-39</v>
      </c>
      <c r="C1020" t="str">
        <f>IF(INDEX(tblCleanData[MonthlyIncome],1012)&lt;=$B$3,"Low Income",IF(INDEX(tblCleanData[MonthlyIncome],1012)&lt;=$B$4,"Medium Income","High Income"))</f>
        <v>High Income</v>
      </c>
      <c r="D1020">
        <f>IF(INDEX(tblCleanData[Attrition],1012)="Yes",1,0)</f>
        <v>0</v>
      </c>
      <c r="E1020">
        <f>IF(INDEX(tblCleanData[OverTime],1012)="Yes",1,0)</f>
        <v>1</v>
      </c>
      <c r="F1020" t="str">
        <f>CHOOSE(INDEX(tblCleanData[Education],1012),"Below College","College","Bachelor","Master","Doctor")</f>
        <v>Master</v>
      </c>
      <c r="G1020" t="str">
        <f>IF(INDEX(tblCleanData[YearsAtCompany],1012)&lt;=2,"0-2 Years",IF(INDEX(tblCleanData[YearsAtCompany],1012)&lt;=5,"3-5 Years",IF(INDEX(tblCleanData[YearsAtCompany],1012)&lt;=10,"6-10 Years","10+ Years")))</f>
        <v>3-5 Years</v>
      </c>
      <c r="H1020" t="str">
        <f>IF(INDEX(tblCleanData[WorkLifeBalance],1012)&lt;=2,"Elevated","Normal")</f>
        <v>Normal</v>
      </c>
      <c r="I1020">
        <f>IF(INDEX(tblCleanData[Age],1012)&lt;30,30,IF(INDEX(tblCleanData[Age],1012)&lt;40,20,IF(INDEX(tblCleanData[Age],1012)&lt;50,10,15)))</f>
        <v>20</v>
      </c>
      <c r="J1020">
        <f>IF(INDEX(tblCleanData[MonthlyIncome],1012)&lt;=$B$3,25,IF(INDEX(tblCleanData[MonthlyIncome],1012)&lt;=$B$4,12,5))</f>
        <v>5</v>
      </c>
      <c r="K1020">
        <f>IF(INDEX(tblCleanData[OverTime],1012)="Yes",25,0)</f>
        <v>25</v>
      </c>
      <c r="L1020">
        <f>(5-INDEX(tblCleanData[JobSatisfaction],1012))*6.25</f>
        <v>18.75</v>
      </c>
      <c r="M1020">
        <f>IF(INDEX(tblCleanData[YearsAtCompany],1012)&lt;=2,25,IF(INDEX(tblCleanData[YearsAtCompany],1012)&lt;=5,15,IF(INDEX(tblCleanData[YearsAtCompany],1012)&lt;=10,8,3)))</f>
        <v>15</v>
      </c>
      <c r="N1020">
        <f t="shared" si="30"/>
        <v>84</v>
      </c>
      <c r="O1020" t="str">
        <f t="shared" si="31"/>
        <v>High Risk</v>
      </c>
    </row>
    <row r="1021" spans="1:15" x14ac:dyDescent="0.25">
      <c r="A1021">
        <f>INDEX(tblCleanData[EmployeeNumber],1013)</f>
        <v>1427</v>
      </c>
      <c r="B1021" t="str">
        <f>IF(INDEX(tblCleanData[Age],1013)&lt;30,"Under 30",IF(INDEX(tblCleanData[Age],1013)&lt;40,"30-39",IF(INDEX(tblCleanData[Age],1013)&lt;50,"40-49","50+")))</f>
        <v>30-39</v>
      </c>
      <c r="C1021" t="str">
        <f>IF(INDEX(tblCleanData[MonthlyIncome],1013)&lt;=$B$3,"Low Income",IF(INDEX(tblCleanData[MonthlyIncome],1013)&lt;=$B$4,"Medium Income","High Income"))</f>
        <v>High Income</v>
      </c>
      <c r="D1021">
        <f>IF(INDEX(tblCleanData[Attrition],1013)="Yes",1,0)</f>
        <v>1</v>
      </c>
      <c r="E1021">
        <f>IF(INDEX(tblCleanData[OverTime],1013)="Yes",1,0)</f>
        <v>0</v>
      </c>
      <c r="F1021" t="str">
        <f>CHOOSE(INDEX(tblCleanData[Education],1013),"Below College","College","Bachelor","Master","Doctor")</f>
        <v>Master</v>
      </c>
      <c r="G1021" t="str">
        <f>IF(INDEX(tblCleanData[YearsAtCompany],1013)&lt;=2,"0-2 Years",IF(INDEX(tblCleanData[YearsAtCompany],1013)&lt;=5,"3-5 Years",IF(INDEX(tblCleanData[YearsAtCompany],1013)&lt;=10,"6-10 Years","10+ Years")))</f>
        <v>0-2 Years</v>
      </c>
      <c r="H1021" t="str">
        <f>IF(INDEX(tblCleanData[WorkLifeBalance],1013)&lt;=2,"Elevated","Normal")</f>
        <v>Normal</v>
      </c>
      <c r="I1021">
        <f>IF(INDEX(tblCleanData[Age],1013)&lt;30,30,IF(INDEX(tblCleanData[Age],1013)&lt;40,20,IF(INDEX(tblCleanData[Age],1013)&lt;50,10,15)))</f>
        <v>20</v>
      </c>
      <c r="J1021">
        <f>IF(INDEX(tblCleanData[MonthlyIncome],1013)&lt;=$B$3,25,IF(INDEX(tblCleanData[MonthlyIncome],1013)&lt;=$B$4,12,5))</f>
        <v>5</v>
      </c>
      <c r="K1021">
        <f>IF(INDEX(tblCleanData[OverTime],1013)="Yes",25,0)</f>
        <v>0</v>
      </c>
      <c r="L1021">
        <f>(5-INDEX(tblCleanData[JobSatisfaction],1013))*6.25</f>
        <v>12.5</v>
      </c>
      <c r="M1021">
        <f>IF(INDEX(tblCleanData[YearsAtCompany],1013)&lt;=2,25,IF(INDEX(tblCleanData[YearsAtCompany],1013)&lt;=5,15,IF(INDEX(tblCleanData[YearsAtCompany],1013)&lt;=10,8,3)))</f>
        <v>25</v>
      </c>
      <c r="N1021">
        <f t="shared" si="30"/>
        <v>63</v>
      </c>
      <c r="O1021" t="str">
        <f t="shared" si="31"/>
        <v>High Risk</v>
      </c>
    </row>
    <row r="1022" spans="1:15" x14ac:dyDescent="0.25">
      <c r="A1022">
        <f>INDEX(tblCleanData[EmployeeNumber],1014)</f>
        <v>1428</v>
      </c>
      <c r="B1022" t="str">
        <f>IF(INDEX(tblCleanData[Age],1014)&lt;30,"Under 30",IF(INDEX(tblCleanData[Age],1014)&lt;40,"30-39",IF(INDEX(tblCleanData[Age],1014)&lt;50,"40-49","50+")))</f>
        <v>30-39</v>
      </c>
      <c r="C1022" t="str">
        <f>IF(INDEX(tblCleanData[MonthlyIncome],1014)&lt;=$B$3,"Low Income",IF(INDEX(tblCleanData[MonthlyIncome],1014)&lt;=$B$4,"Medium Income","High Income"))</f>
        <v>High Income</v>
      </c>
      <c r="D1022">
        <f>IF(INDEX(tblCleanData[Attrition],1014)="Yes",1,0)</f>
        <v>0</v>
      </c>
      <c r="E1022">
        <f>IF(INDEX(tblCleanData[OverTime],1014)="Yes",1,0)</f>
        <v>0</v>
      </c>
      <c r="F1022" t="str">
        <f>CHOOSE(INDEX(tblCleanData[Education],1014),"Below College","College","Bachelor","Master","Doctor")</f>
        <v>Master</v>
      </c>
      <c r="G1022" t="str">
        <f>IF(INDEX(tblCleanData[YearsAtCompany],1014)&lt;=2,"0-2 Years",IF(INDEX(tblCleanData[YearsAtCompany],1014)&lt;=5,"3-5 Years",IF(INDEX(tblCleanData[YearsAtCompany],1014)&lt;=10,"6-10 Years","10+ Years")))</f>
        <v>3-5 Years</v>
      </c>
      <c r="H1022" t="str">
        <f>IF(INDEX(tblCleanData[WorkLifeBalance],1014)&lt;=2,"Elevated","Normal")</f>
        <v>Normal</v>
      </c>
      <c r="I1022">
        <f>IF(INDEX(tblCleanData[Age],1014)&lt;30,30,IF(INDEX(tblCleanData[Age],1014)&lt;40,20,IF(INDEX(tblCleanData[Age],1014)&lt;50,10,15)))</f>
        <v>20</v>
      </c>
      <c r="J1022">
        <f>IF(INDEX(tblCleanData[MonthlyIncome],1014)&lt;=$B$3,25,IF(INDEX(tblCleanData[MonthlyIncome],1014)&lt;=$B$4,12,5))</f>
        <v>5</v>
      </c>
      <c r="K1022">
        <f>IF(INDEX(tblCleanData[OverTime],1014)="Yes",25,0)</f>
        <v>0</v>
      </c>
      <c r="L1022">
        <f>(5-INDEX(tblCleanData[JobSatisfaction],1014))*6.25</f>
        <v>25</v>
      </c>
      <c r="M1022">
        <f>IF(INDEX(tblCleanData[YearsAtCompany],1014)&lt;=2,25,IF(INDEX(tblCleanData[YearsAtCompany],1014)&lt;=5,15,IF(INDEX(tblCleanData[YearsAtCompany],1014)&lt;=10,8,3)))</f>
        <v>15</v>
      </c>
      <c r="N1022">
        <f t="shared" si="30"/>
        <v>65</v>
      </c>
      <c r="O1022" t="str">
        <f t="shared" si="31"/>
        <v>High Risk</v>
      </c>
    </row>
    <row r="1023" spans="1:15" x14ac:dyDescent="0.25">
      <c r="A1023">
        <f>INDEX(tblCleanData[EmployeeNumber],1015)</f>
        <v>1430</v>
      </c>
      <c r="B1023" t="str">
        <f>IF(INDEX(tblCleanData[Age],1015)&lt;30,"Under 30",IF(INDEX(tblCleanData[Age],1015)&lt;40,"30-39",IF(INDEX(tblCleanData[Age],1015)&lt;50,"40-49","50+")))</f>
        <v>30-39</v>
      </c>
      <c r="C1023" t="str">
        <f>IF(INDEX(tblCleanData[MonthlyIncome],1015)&lt;=$B$3,"Low Income",IF(INDEX(tblCleanData[MonthlyIncome],1015)&lt;=$B$4,"Medium Income","High Income"))</f>
        <v>High Income</v>
      </c>
      <c r="D1023">
        <f>IF(INDEX(tblCleanData[Attrition],1015)="Yes",1,0)</f>
        <v>0</v>
      </c>
      <c r="E1023">
        <f>IF(INDEX(tblCleanData[OverTime],1015)="Yes",1,0)</f>
        <v>0</v>
      </c>
      <c r="F1023" t="str">
        <f>CHOOSE(INDEX(tblCleanData[Education],1015),"Below College","College","Bachelor","Master","Doctor")</f>
        <v>Doctor</v>
      </c>
      <c r="G1023" t="str">
        <f>IF(INDEX(tblCleanData[YearsAtCompany],1015)&lt;=2,"0-2 Years",IF(INDEX(tblCleanData[YearsAtCompany],1015)&lt;=5,"3-5 Years",IF(INDEX(tblCleanData[YearsAtCompany],1015)&lt;=10,"6-10 Years","10+ Years")))</f>
        <v>3-5 Years</v>
      </c>
      <c r="H1023" t="str">
        <f>IF(INDEX(tblCleanData[WorkLifeBalance],1015)&lt;=2,"Elevated","Normal")</f>
        <v>Normal</v>
      </c>
      <c r="I1023">
        <f>IF(INDEX(tblCleanData[Age],1015)&lt;30,30,IF(INDEX(tblCleanData[Age],1015)&lt;40,20,IF(INDEX(tblCleanData[Age],1015)&lt;50,10,15)))</f>
        <v>20</v>
      </c>
      <c r="J1023">
        <f>IF(INDEX(tblCleanData[MonthlyIncome],1015)&lt;=$B$3,25,IF(INDEX(tblCleanData[MonthlyIncome],1015)&lt;=$B$4,12,5))</f>
        <v>5</v>
      </c>
      <c r="K1023">
        <f>IF(INDEX(tblCleanData[OverTime],1015)="Yes",25,0)</f>
        <v>0</v>
      </c>
      <c r="L1023">
        <f>(5-INDEX(tblCleanData[JobSatisfaction],1015))*6.25</f>
        <v>18.75</v>
      </c>
      <c r="M1023">
        <f>IF(INDEX(tblCleanData[YearsAtCompany],1015)&lt;=2,25,IF(INDEX(tblCleanData[YearsAtCompany],1015)&lt;=5,15,IF(INDEX(tblCleanData[YearsAtCompany],1015)&lt;=10,8,3)))</f>
        <v>15</v>
      </c>
      <c r="N1023">
        <f t="shared" si="30"/>
        <v>59</v>
      </c>
      <c r="O1023" t="str">
        <f t="shared" si="31"/>
        <v>High Risk</v>
      </c>
    </row>
    <row r="1024" spans="1:15" x14ac:dyDescent="0.25">
      <c r="A1024">
        <f>INDEX(tblCleanData[EmployeeNumber],1016)</f>
        <v>1431</v>
      </c>
      <c r="B1024" t="str">
        <f>IF(INDEX(tblCleanData[Age],1016)&lt;30,"Under 30",IF(INDEX(tblCleanData[Age],1016)&lt;40,"30-39",IF(INDEX(tblCleanData[Age],1016)&lt;50,"40-49","50+")))</f>
        <v>30-39</v>
      </c>
      <c r="C1024" t="str">
        <f>IF(INDEX(tblCleanData[MonthlyIncome],1016)&lt;=$B$3,"Low Income",IF(INDEX(tblCleanData[MonthlyIncome],1016)&lt;=$B$4,"Medium Income","High Income"))</f>
        <v>High Income</v>
      </c>
      <c r="D1024">
        <f>IF(INDEX(tblCleanData[Attrition],1016)="Yes",1,0)</f>
        <v>0</v>
      </c>
      <c r="E1024">
        <f>IF(INDEX(tblCleanData[OverTime],1016)="Yes",1,0)</f>
        <v>0</v>
      </c>
      <c r="F1024" t="str">
        <f>CHOOSE(INDEX(tblCleanData[Education],1016),"Below College","College","Bachelor","Master","Doctor")</f>
        <v>Master</v>
      </c>
      <c r="G1024" t="str">
        <f>IF(INDEX(tblCleanData[YearsAtCompany],1016)&lt;=2,"0-2 Years",IF(INDEX(tblCleanData[YearsAtCompany],1016)&lt;=5,"3-5 Years",IF(INDEX(tblCleanData[YearsAtCompany],1016)&lt;=10,"6-10 Years","10+ Years")))</f>
        <v>3-5 Years</v>
      </c>
      <c r="H1024" t="str">
        <f>IF(INDEX(tblCleanData[WorkLifeBalance],1016)&lt;=2,"Elevated","Normal")</f>
        <v>Normal</v>
      </c>
      <c r="I1024">
        <f>IF(INDEX(tblCleanData[Age],1016)&lt;30,30,IF(INDEX(tblCleanData[Age],1016)&lt;40,20,IF(INDEX(tblCleanData[Age],1016)&lt;50,10,15)))</f>
        <v>20</v>
      </c>
      <c r="J1024">
        <f>IF(INDEX(tblCleanData[MonthlyIncome],1016)&lt;=$B$3,25,IF(INDEX(tblCleanData[MonthlyIncome],1016)&lt;=$B$4,12,5))</f>
        <v>5</v>
      </c>
      <c r="K1024">
        <f>IF(INDEX(tblCleanData[OverTime],1016)="Yes",25,0)</f>
        <v>0</v>
      </c>
      <c r="L1024">
        <f>(5-INDEX(tblCleanData[JobSatisfaction],1016))*6.25</f>
        <v>25</v>
      </c>
      <c r="M1024">
        <f>IF(INDEX(tblCleanData[YearsAtCompany],1016)&lt;=2,25,IF(INDEX(tblCleanData[YearsAtCompany],1016)&lt;=5,15,IF(INDEX(tblCleanData[YearsAtCompany],1016)&lt;=10,8,3)))</f>
        <v>15</v>
      </c>
      <c r="N1024">
        <f t="shared" si="30"/>
        <v>65</v>
      </c>
      <c r="O1024" t="str">
        <f t="shared" si="31"/>
        <v>High Risk</v>
      </c>
    </row>
    <row r="1025" spans="1:15" x14ac:dyDescent="0.25">
      <c r="A1025">
        <f>INDEX(tblCleanData[EmployeeNumber],1017)</f>
        <v>1433</v>
      </c>
      <c r="B1025" t="str">
        <f>IF(INDEX(tblCleanData[Age],1017)&lt;30,"Under 30",IF(INDEX(tblCleanData[Age],1017)&lt;40,"30-39",IF(INDEX(tblCleanData[Age],1017)&lt;50,"40-49","50+")))</f>
        <v>30-39</v>
      </c>
      <c r="C1025" t="str">
        <f>IF(INDEX(tblCleanData[MonthlyIncome],1017)&lt;=$B$3,"Low Income",IF(INDEX(tblCleanData[MonthlyIncome],1017)&lt;=$B$4,"Medium Income","High Income"))</f>
        <v>High Income</v>
      </c>
      <c r="D1025">
        <f>IF(INDEX(tblCleanData[Attrition],1017)="Yes",1,0)</f>
        <v>1</v>
      </c>
      <c r="E1025">
        <f>IF(INDEX(tblCleanData[OverTime],1017)="Yes",1,0)</f>
        <v>0</v>
      </c>
      <c r="F1025" t="str">
        <f>CHOOSE(INDEX(tblCleanData[Education],1017),"Below College","College","Bachelor","Master","Doctor")</f>
        <v>Bachelor</v>
      </c>
      <c r="G1025" t="str">
        <f>IF(INDEX(tblCleanData[YearsAtCompany],1017)&lt;=2,"0-2 Years",IF(INDEX(tblCleanData[YearsAtCompany],1017)&lt;=5,"3-5 Years",IF(INDEX(tblCleanData[YearsAtCompany],1017)&lt;=10,"6-10 Years","10+ Years")))</f>
        <v>0-2 Years</v>
      </c>
      <c r="H1025" t="str">
        <f>IF(INDEX(tblCleanData[WorkLifeBalance],1017)&lt;=2,"Elevated","Normal")</f>
        <v>Normal</v>
      </c>
      <c r="I1025">
        <f>IF(INDEX(tblCleanData[Age],1017)&lt;30,30,IF(INDEX(tblCleanData[Age],1017)&lt;40,20,IF(INDEX(tblCleanData[Age],1017)&lt;50,10,15)))</f>
        <v>20</v>
      </c>
      <c r="J1025">
        <f>IF(INDEX(tblCleanData[MonthlyIncome],1017)&lt;=$B$3,25,IF(INDEX(tblCleanData[MonthlyIncome],1017)&lt;=$B$4,12,5))</f>
        <v>5</v>
      </c>
      <c r="K1025">
        <f>IF(INDEX(tblCleanData[OverTime],1017)="Yes",25,0)</f>
        <v>0</v>
      </c>
      <c r="L1025">
        <f>(5-INDEX(tblCleanData[JobSatisfaction],1017))*6.25</f>
        <v>18.75</v>
      </c>
      <c r="M1025">
        <f>IF(INDEX(tblCleanData[YearsAtCompany],1017)&lt;=2,25,IF(INDEX(tblCleanData[YearsAtCompany],1017)&lt;=5,15,IF(INDEX(tblCleanData[YearsAtCompany],1017)&lt;=10,8,3)))</f>
        <v>25</v>
      </c>
      <c r="N1025">
        <f t="shared" si="30"/>
        <v>69</v>
      </c>
      <c r="O1025" t="str">
        <f t="shared" si="31"/>
        <v>High Risk</v>
      </c>
    </row>
    <row r="1026" spans="1:15" x14ac:dyDescent="0.25">
      <c r="A1026">
        <f>INDEX(tblCleanData[EmployeeNumber],1018)</f>
        <v>1434</v>
      </c>
      <c r="B1026" t="str">
        <f>IF(INDEX(tblCleanData[Age],1018)&lt;30,"Under 30",IF(INDEX(tblCleanData[Age],1018)&lt;40,"30-39",IF(INDEX(tblCleanData[Age],1018)&lt;50,"40-49","50+")))</f>
        <v>Under 30</v>
      </c>
      <c r="C1026" t="str">
        <f>IF(INDEX(tblCleanData[MonthlyIncome],1018)&lt;=$B$3,"Low Income",IF(INDEX(tblCleanData[MonthlyIncome],1018)&lt;=$B$4,"Medium Income","High Income"))</f>
        <v>High Income</v>
      </c>
      <c r="D1026">
        <f>IF(INDEX(tblCleanData[Attrition],1018)="Yes",1,0)</f>
        <v>0</v>
      </c>
      <c r="E1026">
        <f>IF(INDEX(tblCleanData[OverTime],1018)="Yes",1,0)</f>
        <v>0</v>
      </c>
      <c r="F1026" t="str">
        <f>CHOOSE(INDEX(tblCleanData[Education],1018),"Below College","College","Bachelor","Master","Doctor")</f>
        <v>Below College</v>
      </c>
      <c r="G1026" t="str">
        <f>IF(INDEX(tblCleanData[YearsAtCompany],1018)&lt;=2,"0-2 Years",IF(INDEX(tblCleanData[YearsAtCompany],1018)&lt;=5,"3-5 Years",IF(INDEX(tblCleanData[YearsAtCompany],1018)&lt;=10,"6-10 Years","10+ Years")))</f>
        <v>3-5 Years</v>
      </c>
      <c r="H1026" t="str">
        <f>IF(INDEX(tblCleanData[WorkLifeBalance],1018)&lt;=2,"Elevated","Normal")</f>
        <v>Normal</v>
      </c>
      <c r="I1026">
        <f>IF(INDEX(tblCleanData[Age],1018)&lt;30,30,IF(INDEX(tblCleanData[Age],1018)&lt;40,20,IF(INDEX(tblCleanData[Age],1018)&lt;50,10,15)))</f>
        <v>30</v>
      </c>
      <c r="J1026">
        <f>IF(INDEX(tblCleanData[MonthlyIncome],1018)&lt;=$B$3,25,IF(INDEX(tblCleanData[MonthlyIncome],1018)&lt;=$B$4,12,5))</f>
        <v>5</v>
      </c>
      <c r="K1026">
        <f>IF(INDEX(tblCleanData[OverTime],1018)="Yes",25,0)</f>
        <v>0</v>
      </c>
      <c r="L1026">
        <f>(5-INDEX(tblCleanData[JobSatisfaction],1018))*6.25</f>
        <v>25</v>
      </c>
      <c r="M1026">
        <f>IF(INDEX(tblCleanData[YearsAtCompany],1018)&lt;=2,25,IF(INDEX(tblCleanData[YearsAtCompany],1018)&lt;=5,15,IF(INDEX(tblCleanData[YearsAtCompany],1018)&lt;=10,8,3)))</f>
        <v>15</v>
      </c>
      <c r="N1026">
        <f t="shared" si="30"/>
        <v>75</v>
      </c>
      <c r="O1026" t="str">
        <f t="shared" si="31"/>
        <v>High Risk</v>
      </c>
    </row>
    <row r="1027" spans="1:15" x14ac:dyDescent="0.25">
      <c r="A1027">
        <f>INDEX(tblCleanData[EmployeeNumber],1019)</f>
        <v>1435</v>
      </c>
      <c r="B1027" t="str">
        <f>IF(INDEX(tblCleanData[Age],1019)&lt;30,"Under 30",IF(INDEX(tblCleanData[Age],1019)&lt;40,"30-39",IF(INDEX(tblCleanData[Age],1019)&lt;50,"40-49","50+")))</f>
        <v>30-39</v>
      </c>
      <c r="C1027" t="str">
        <f>IF(INDEX(tblCleanData[MonthlyIncome],1019)&lt;=$B$3,"Low Income",IF(INDEX(tblCleanData[MonthlyIncome],1019)&lt;=$B$4,"Medium Income","High Income"))</f>
        <v>High Income</v>
      </c>
      <c r="D1027">
        <f>IF(INDEX(tblCleanData[Attrition],1019)="Yes",1,0)</f>
        <v>0</v>
      </c>
      <c r="E1027">
        <f>IF(INDEX(tblCleanData[OverTime],1019)="Yes",1,0)</f>
        <v>0</v>
      </c>
      <c r="F1027" t="str">
        <f>CHOOSE(INDEX(tblCleanData[Education],1019),"Below College","College","Bachelor","Master","Doctor")</f>
        <v>Master</v>
      </c>
      <c r="G1027" t="str">
        <f>IF(INDEX(tblCleanData[YearsAtCompany],1019)&lt;=2,"0-2 Years",IF(INDEX(tblCleanData[YearsAtCompany],1019)&lt;=5,"3-5 Years",IF(INDEX(tblCleanData[YearsAtCompany],1019)&lt;=10,"6-10 Years","10+ Years")))</f>
        <v>6-10 Years</v>
      </c>
      <c r="H1027" t="str">
        <f>IF(INDEX(tblCleanData[WorkLifeBalance],1019)&lt;=2,"Elevated","Normal")</f>
        <v>Elevated</v>
      </c>
      <c r="I1027">
        <f>IF(INDEX(tblCleanData[Age],1019)&lt;30,30,IF(INDEX(tblCleanData[Age],1019)&lt;40,20,IF(INDEX(tblCleanData[Age],1019)&lt;50,10,15)))</f>
        <v>20</v>
      </c>
      <c r="J1027">
        <f>IF(INDEX(tblCleanData[MonthlyIncome],1019)&lt;=$B$3,25,IF(INDEX(tblCleanData[MonthlyIncome],1019)&lt;=$B$4,12,5))</f>
        <v>5</v>
      </c>
      <c r="K1027">
        <f>IF(INDEX(tblCleanData[OverTime],1019)="Yes",25,0)</f>
        <v>0</v>
      </c>
      <c r="L1027">
        <f>(5-INDEX(tblCleanData[JobSatisfaction],1019))*6.25</f>
        <v>6.25</v>
      </c>
      <c r="M1027">
        <f>IF(INDEX(tblCleanData[YearsAtCompany],1019)&lt;=2,25,IF(INDEX(tblCleanData[YearsAtCompany],1019)&lt;=5,15,IF(INDEX(tblCleanData[YearsAtCompany],1019)&lt;=10,8,3)))</f>
        <v>8</v>
      </c>
      <c r="N1027">
        <f t="shared" si="30"/>
        <v>39</v>
      </c>
      <c r="O1027" t="str">
        <f t="shared" si="31"/>
        <v>Medium Risk</v>
      </c>
    </row>
    <row r="1028" spans="1:15" x14ac:dyDescent="0.25">
      <c r="A1028">
        <f>INDEX(tblCleanData[EmployeeNumber],1020)</f>
        <v>1436</v>
      </c>
      <c r="B1028" t="str">
        <f>IF(INDEX(tblCleanData[Age],1020)&lt;30,"Under 30",IF(INDEX(tblCleanData[Age],1020)&lt;40,"30-39",IF(INDEX(tblCleanData[Age],1020)&lt;50,"40-49","50+")))</f>
        <v>30-39</v>
      </c>
      <c r="C1028" t="str">
        <f>IF(INDEX(tblCleanData[MonthlyIncome],1020)&lt;=$B$3,"Low Income",IF(INDEX(tblCleanData[MonthlyIncome],1020)&lt;=$B$4,"Medium Income","High Income"))</f>
        <v>High Income</v>
      </c>
      <c r="D1028">
        <f>IF(INDEX(tblCleanData[Attrition],1020)="Yes",1,0)</f>
        <v>0</v>
      </c>
      <c r="E1028">
        <f>IF(INDEX(tblCleanData[OverTime],1020)="Yes",1,0)</f>
        <v>0</v>
      </c>
      <c r="F1028" t="str">
        <f>CHOOSE(INDEX(tblCleanData[Education],1020),"Below College","College","Bachelor","Master","Doctor")</f>
        <v>Master</v>
      </c>
      <c r="G1028" t="str">
        <f>IF(INDEX(tblCleanData[YearsAtCompany],1020)&lt;=2,"0-2 Years",IF(INDEX(tblCleanData[YearsAtCompany],1020)&lt;=5,"3-5 Years",IF(INDEX(tblCleanData[YearsAtCompany],1020)&lt;=10,"6-10 Years","10+ Years")))</f>
        <v>3-5 Years</v>
      </c>
      <c r="H1028" t="str">
        <f>IF(INDEX(tblCleanData[WorkLifeBalance],1020)&lt;=2,"Elevated","Normal")</f>
        <v>Elevated</v>
      </c>
      <c r="I1028">
        <f>IF(INDEX(tblCleanData[Age],1020)&lt;30,30,IF(INDEX(tblCleanData[Age],1020)&lt;40,20,IF(INDEX(tblCleanData[Age],1020)&lt;50,10,15)))</f>
        <v>20</v>
      </c>
      <c r="J1028">
        <f>IF(INDEX(tblCleanData[MonthlyIncome],1020)&lt;=$B$3,25,IF(INDEX(tblCleanData[MonthlyIncome],1020)&lt;=$B$4,12,5))</f>
        <v>5</v>
      </c>
      <c r="K1028">
        <f>IF(INDEX(tblCleanData[OverTime],1020)="Yes",25,0)</f>
        <v>0</v>
      </c>
      <c r="L1028">
        <f>(5-INDEX(tblCleanData[JobSatisfaction],1020))*6.25</f>
        <v>25</v>
      </c>
      <c r="M1028">
        <f>IF(INDEX(tblCleanData[YearsAtCompany],1020)&lt;=2,25,IF(INDEX(tblCleanData[YearsAtCompany],1020)&lt;=5,15,IF(INDEX(tblCleanData[YearsAtCompany],1020)&lt;=10,8,3)))</f>
        <v>15</v>
      </c>
      <c r="N1028">
        <f t="shared" si="30"/>
        <v>65</v>
      </c>
      <c r="O1028" t="str">
        <f t="shared" si="31"/>
        <v>High Risk</v>
      </c>
    </row>
    <row r="1029" spans="1:15" x14ac:dyDescent="0.25">
      <c r="A1029">
        <f>INDEX(tblCleanData[EmployeeNumber],1021)</f>
        <v>1438</v>
      </c>
      <c r="B1029" t="str">
        <f>IF(INDEX(tblCleanData[Age],1021)&lt;30,"Under 30",IF(INDEX(tblCleanData[Age],1021)&lt;40,"30-39",IF(INDEX(tblCleanData[Age],1021)&lt;50,"40-49","50+")))</f>
        <v>40-49</v>
      </c>
      <c r="C1029" t="str">
        <f>IF(INDEX(tblCleanData[MonthlyIncome],1021)&lt;=$B$3,"Low Income",IF(INDEX(tblCleanData[MonthlyIncome],1021)&lt;=$B$4,"Medium Income","High Income"))</f>
        <v>High Income</v>
      </c>
      <c r="D1029">
        <f>IF(INDEX(tblCleanData[Attrition],1021)="Yes",1,0)</f>
        <v>0</v>
      </c>
      <c r="E1029">
        <f>IF(INDEX(tblCleanData[OverTime],1021)="Yes",1,0)</f>
        <v>0</v>
      </c>
      <c r="F1029" t="str">
        <f>CHOOSE(INDEX(tblCleanData[Education],1021),"Below College","College","Bachelor","Master","Doctor")</f>
        <v>Bachelor</v>
      </c>
      <c r="G1029" t="str">
        <f>IF(INDEX(tblCleanData[YearsAtCompany],1021)&lt;=2,"0-2 Years",IF(INDEX(tblCleanData[YearsAtCompany],1021)&lt;=5,"3-5 Years",IF(INDEX(tblCleanData[YearsAtCompany],1021)&lt;=10,"6-10 Years","10+ Years")))</f>
        <v>6-10 Years</v>
      </c>
      <c r="H1029" t="str">
        <f>IF(INDEX(tblCleanData[WorkLifeBalance],1021)&lt;=2,"Elevated","Normal")</f>
        <v>Elevated</v>
      </c>
      <c r="I1029">
        <f>IF(INDEX(tblCleanData[Age],1021)&lt;30,30,IF(INDEX(tblCleanData[Age],1021)&lt;40,20,IF(INDEX(tblCleanData[Age],1021)&lt;50,10,15)))</f>
        <v>10</v>
      </c>
      <c r="J1029">
        <f>IF(INDEX(tblCleanData[MonthlyIncome],1021)&lt;=$B$3,25,IF(INDEX(tblCleanData[MonthlyIncome],1021)&lt;=$B$4,12,5))</f>
        <v>5</v>
      </c>
      <c r="K1029">
        <f>IF(INDEX(tblCleanData[OverTime],1021)="Yes",25,0)</f>
        <v>0</v>
      </c>
      <c r="L1029">
        <f>(5-INDEX(tblCleanData[JobSatisfaction],1021))*6.25</f>
        <v>6.25</v>
      </c>
      <c r="M1029">
        <f>IF(INDEX(tblCleanData[YearsAtCompany],1021)&lt;=2,25,IF(INDEX(tblCleanData[YearsAtCompany],1021)&lt;=5,15,IF(INDEX(tblCleanData[YearsAtCompany],1021)&lt;=10,8,3)))</f>
        <v>8</v>
      </c>
      <c r="N1029">
        <f t="shared" si="30"/>
        <v>29</v>
      </c>
      <c r="O1029" t="str">
        <f t="shared" si="31"/>
        <v>Low Risk</v>
      </c>
    </row>
    <row r="1030" spans="1:15" x14ac:dyDescent="0.25">
      <c r="A1030">
        <f>INDEX(tblCleanData[EmployeeNumber],1022)</f>
        <v>1439</v>
      </c>
      <c r="B1030" t="str">
        <f>IF(INDEX(tblCleanData[Age],1022)&lt;30,"Under 30",IF(INDEX(tblCleanData[Age],1022)&lt;40,"30-39",IF(INDEX(tblCleanData[Age],1022)&lt;50,"40-49","50+")))</f>
        <v>Under 30</v>
      </c>
      <c r="C1030" t="str">
        <f>IF(INDEX(tblCleanData[MonthlyIncome],1022)&lt;=$B$3,"Low Income",IF(INDEX(tblCleanData[MonthlyIncome],1022)&lt;=$B$4,"Medium Income","High Income"))</f>
        <v>High Income</v>
      </c>
      <c r="D1030">
        <f>IF(INDEX(tblCleanData[Attrition],1022)="Yes",1,0)</f>
        <v>1</v>
      </c>
      <c r="E1030">
        <f>IF(INDEX(tblCleanData[OverTime],1022)="Yes",1,0)</f>
        <v>0</v>
      </c>
      <c r="F1030" t="str">
        <f>CHOOSE(INDEX(tblCleanData[Education],1022),"Below College","College","Bachelor","Master","Doctor")</f>
        <v>College</v>
      </c>
      <c r="G1030" t="str">
        <f>IF(INDEX(tblCleanData[YearsAtCompany],1022)&lt;=2,"0-2 Years",IF(INDEX(tblCleanData[YearsAtCompany],1022)&lt;=5,"3-5 Years",IF(INDEX(tblCleanData[YearsAtCompany],1022)&lt;=10,"6-10 Years","10+ Years")))</f>
        <v>3-5 Years</v>
      </c>
      <c r="H1030" t="str">
        <f>IF(INDEX(tblCleanData[WorkLifeBalance],1022)&lt;=2,"Elevated","Normal")</f>
        <v>Normal</v>
      </c>
      <c r="I1030">
        <f>IF(INDEX(tblCleanData[Age],1022)&lt;30,30,IF(INDEX(tblCleanData[Age],1022)&lt;40,20,IF(INDEX(tblCleanData[Age],1022)&lt;50,10,15)))</f>
        <v>30</v>
      </c>
      <c r="J1030">
        <f>IF(INDEX(tblCleanData[MonthlyIncome],1022)&lt;=$B$3,25,IF(INDEX(tblCleanData[MonthlyIncome],1022)&lt;=$B$4,12,5))</f>
        <v>5</v>
      </c>
      <c r="K1030">
        <f>IF(INDEX(tblCleanData[OverTime],1022)="Yes",25,0)</f>
        <v>0</v>
      </c>
      <c r="L1030">
        <f>(5-INDEX(tblCleanData[JobSatisfaction],1022))*6.25</f>
        <v>25</v>
      </c>
      <c r="M1030">
        <f>IF(INDEX(tblCleanData[YearsAtCompany],1022)&lt;=2,25,IF(INDEX(tblCleanData[YearsAtCompany],1022)&lt;=5,15,IF(INDEX(tblCleanData[YearsAtCompany],1022)&lt;=10,8,3)))</f>
        <v>15</v>
      </c>
      <c r="N1030">
        <f t="shared" si="30"/>
        <v>75</v>
      </c>
      <c r="O1030" t="str">
        <f t="shared" si="31"/>
        <v>High Risk</v>
      </c>
    </row>
    <row r="1031" spans="1:15" x14ac:dyDescent="0.25">
      <c r="A1031">
        <f>INDEX(tblCleanData[EmployeeNumber],1023)</f>
        <v>1440</v>
      </c>
      <c r="B1031" t="str">
        <f>IF(INDEX(tblCleanData[Age],1023)&lt;30,"Under 30",IF(INDEX(tblCleanData[Age],1023)&lt;40,"30-39",IF(INDEX(tblCleanData[Age],1023)&lt;50,"40-49","50+")))</f>
        <v>30-39</v>
      </c>
      <c r="C1031" t="str">
        <f>IF(INDEX(tblCleanData[MonthlyIncome],1023)&lt;=$B$3,"Low Income",IF(INDEX(tblCleanData[MonthlyIncome],1023)&lt;=$B$4,"Medium Income","High Income"))</f>
        <v>High Income</v>
      </c>
      <c r="D1031">
        <f>IF(INDEX(tblCleanData[Attrition],1023)="Yes",1,0)</f>
        <v>0</v>
      </c>
      <c r="E1031">
        <f>IF(INDEX(tblCleanData[OverTime],1023)="Yes",1,0)</f>
        <v>0</v>
      </c>
      <c r="F1031" t="str">
        <f>CHOOSE(INDEX(tblCleanData[Education],1023),"Below College","College","Bachelor","Master","Doctor")</f>
        <v>College</v>
      </c>
      <c r="G1031" t="str">
        <f>IF(INDEX(tblCleanData[YearsAtCompany],1023)&lt;=2,"0-2 Years",IF(INDEX(tblCleanData[YearsAtCompany],1023)&lt;=5,"3-5 Years",IF(INDEX(tblCleanData[YearsAtCompany],1023)&lt;=10,"6-10 Years","10+ Years")))</f>
        <v>6-10 Years</v>
      </c>
      <c r="H1031" t="str">
        <f>IF(INDEX(tblCleanData[WorkLifeBalance],1023)&lt;=2,"Elevated","Normal")</f>
        <v>Elevated</v>
      </c>
      <c r="I1031">
        <f>IF(INDEX(tblCleanData[Age],1023)&lt;30,30,IF(INDEX(tblCleanData[Age],1023)&lt;40,20,IF(INDEX(tblCleanData[Age],1023)&lt;50,10,15)))</f>
        <v>20</v>
      </c>
      <c r="J1031">
        <f>IF(INDEX(tblCleanData[MonthlyIncome],1023)&lt;=$B$3,25,IF(INDEX(tblCleanData[MonthlyIncome],1023)&lt;=$B$4,12,5))</f>
        <v>5</v>
      </c>
      <c r="K1031">
        <f>IF(INDEX(tblCleanData[OverTime],1023)="Yes",25,0)</f>
        <v>0</v>
      </c>
      <c r="L1031">
        <f>(5-INDEX(tblCleanData[JobSatisfaction],1023))*6.25</f>
        <v>12.5</v>
      </c>
      <c r="M1031">
        <f>IF(INDEX(tblCleanData[YearsAtCompany],1023)&lt;=2,25,IF(INDEX(tblCleanData[YearsAtCompany],1023)&lt;=5,15,IF(INDEX(tblCleanData[YearsAtCompany],1023)&lt;=10,8,3)))</f>
        <v>8</v>
      </c>
      <c r="N1031">
        <f t="shared" si="30"/>
        <v>46</v>
      </c>
      <c r="O1031" t="str">
        <f t="shared" si="31"/>
        <v>Medium Risk</v>
      </c>
    </row>
    <row r="1032" spans="1:15" x14ac:dyDescent="0.25">
      <c r="A1032">
        <f>INDEX(tblCleanData[EmployeeNumber],1024)</f>
        <v>1441</v>
      </c>
      <c r="B1032" t="str">
        <f>IF(INDEX(tblCleanData[Age],1024)&lt;30,"Under 30",IF(INDEX(tblCleanData[Age],1024)&lt;40,"30-39",IF(INDEX(tblCleanData[Age],1024)&lt;50,"40-49","50+")))</f>
        <v>50+</v>
      </c>
      <c r="C1032" t="str">
        <f>IF(INDEX(tblCleanData[MonthlyIncome],1024)&lt;=$B$3,"Low Income",IF(INDEX(tblCleanData[MonthlyIncome],1024)&lt;=$B$4,"Medium Income","High Income"))</f>
        <v>High Income</v>
      </c>
      <c r="D1032">
        <f>IF(INDEX(tblCleanData[Attrition],1024)="Yes",1,0)</f>
        <v>0</v>
      </c>
      <c r="E1032">
        <f>IF(INDEX(tblCleanData[OverTime],1024)="Yes",1,0)</f>
        <v>0</v>
      </c>
      <c r="F1032" t="str">
        <f>CHOOSE(INDEX(tblCleanData[Education],1024),"Below College","College","Bachelor","Master","Doctor")</f>
        <v>College</v>
      </c>
      <c r="G1032" t="str">
        <f>IF(INDEX(tblCleanData[YearsAtCompany],1024)&lt;=2,"0-2 Years",IF(INDEX(tblCleanData[YearsAtCompany],1024)&lt;=5,"3-5 Years",IF(INDEX(tblCleanData[YearsAtCompany],1024)&lt;=10,"6-10 Years","10+ Years")))</f>
        <v>3-5 Years</v>
      </c>
      <c r="H1032" t="str">
        <f>IF(INDEX(tblCleanData[WorkLifeBalance],1024)&lt;=2,"Elevated","Normal")</f>
        <v>Normal</v>
      </c>
      <c r="I1032">
        <f>IF(INDEX(tblCleanData[Age],1024)&lt;30,30,IF(INDEX(tblCleanData[Age],1024)&lt;40,20,IF(INDEX(tblCleanData[Age],1024)&lt;50,10,15)))</f>
        <v>15</v>
      </c>
      <c r="J1032">
        <f>IF(INDEX(tblCleanData[MonthlyIncome],1024)&lt;=$B$3,25,IF(INDEX(tblCleanData[MonthlyIncome],1024)&lt;=$B$4,12,5))</f>
        <v>5</v>
      </c>
      <c r="K1032">
        <f>IF(INDEX(tblCleanData[OverTime],1024)="Yes",25,0)</f>
        <v>0</v>
      </c>
      <c r="L1032">
        <f>(5-INDEX(tblCleanData[JobSatisfaction],1024))*6.25</f>
        <v>25</v>
      </c>
      <c r="M1032">
        <f>IF(INDEX(tblCleanData[YearsAtCompany],1024)&lt;=2,25,IF(INDEX(tblCleanData[YearsAtCompany],1024)&lt;=5,15,IF(INDEX(tblCleanData[YearsAtCompany],1024)&lt;=10,8,3)))</f>
        <v>15</v>
      </c>
      <c r="N1032">
        <f t="shared" si="30"/>
        <v>60</v>
      </c>
      <c r="O1032" t="str">
        <f t="shared" si="31"/>
        <v>High Risk</v>
      </c>
    </row>
    <row r="1033" spans="1:15" x14ac:dyDescent="0.25">
      <c r="A1033">
        <f>INDEX(tblCleanData[EmployeeNumber],1025)</f>
        <v>1443</v>
      </c>
      <c r="B1033" t="str">
        <f>IF(INDEX(tblCleanData[Age],1025)&lt;30,"Under 30",IF(INDEX(tblCleanData[Age],1025)&lt;40,"30-39",IF(INDEX(tblCleanData[Age],1025)&lt;50,"40-49","50+")))</f>
        <v>40-49</v>
      </c>
      <c r="C1033" t="str">
        <f>IF(INDEX(tblCleanData[MonthlyIncome],1025)&lt;=$B$3,"Low Income",IF(INDEX(tblCleanData[MonthlyIncome],1025)&lt;=$B$4,"Medium Income","High Income"))</f>
        <v>High Income</v>
      </c>
      <c r="D1033">
        <f>IF(INDEX(tblCleanData[Attrition],1025)="Yes",1,0)</f>
        <v>0</v>
      </c>
      <c r="E1033">
        <f>IF(INDEX(tblCleanData[OverTime],1025)="Yes",1,0)</f>
        <v>0</v>
      </c>
      <c r="F1033" t="str">
        <f>CHOOSE(INDEX(tblCleanData[Education],1025),"Below College","College","Bachelor","Master","Doctor")</f>
        <v>Master</v>
      </c>
      <c r="G1033" t="str">
        <f>IF(INDEX(tblCleanData[YearsAtCompany],1025)&lt;=2,"0-2 Years",IF(INDEX(tblCleanData[YearsAtCompany],1025)&lt;=5,"3-5 Years",IF(INDEX(tblCleanData[YearsAtCompany],1025)&lt;=10,"6-10 Years","10+ Years")))</f>
        <v>10+ Years</v>
      </c>
      <c r="H1033" t="str">
        <f>IF(INDEX(tblCleanData[WorkLifeBalance],1025)&lt;=2,"Elevated","Normal")</f>
        <v>Normal</v>
      </c>
      <c r="I1033">
        <f>IF(INDEX(tblCleanData[Age],1025)&lt;30,30,IF(INDEX(tblCleanData[Age],1025)&lt;40,20,IF(INDEX(tblCleanData[Age],1025)&lt;50,10,15)))</f>
        <v>10</v>
      </c>
      <c r="J1033">
        <f>IF(INDEX(tblCleanData[MonthlyIncome],1025)&lt;=$B$3,25,IF(INDEX(tblCleanData[MonthlyIncome],1025)&lt;=$B$4,12,5))</f>
        <v>5</v>
      </c>
      <c r="K1033">
        <f>IF(INDEX(tblCleanData[OverTime],1025)="Yes",25,0)</f>
        <v>0</v>
      </c>
      <c r="L1033">
        <f>(5-INDEX(tblCleanData[JobSatisfaction],1025))*6.25</f>
        <v>12.5</v>
      </c>
      <c r="M1033">
        <f>IF(INDEX(tblCleanData[YearsAtCompany],1025)&lt;=2,25,IF(INDEX(tblCleanData[YearsAtCompany],1025)&lt;=5,15,IF(INDEX(tblCleanData[YearsAtCompany],1025)&lt;=10,8,3)))</f>
        <v>3</v>
      </c>
      <c r="N1033">
        <f t="shared" ref="N1033:N1096" si="32">ROUND(I1033+J1033+K1033+L1033+M1033,0)</f>
        <v>31</v>
      </c>
      <c r="O1033" t="str">
        <f t="shared" ref="O1033:O1096" si="33">IF(N1033&gt;=55,"High Risk",IF(N1033&gt;=35,"Medium Risk","Low Risk"))</f>
        <v>Low Risk</v>
      </c>
    </row>
    <row r="1034" spans="1:15" x14ac:dyDescent="0.25">
      <c r="A1034">
        <f>INDEX(tblCleanData[EmployeeNumber],1026)</f>
        <v>1445</v>
      </c>
      <c r="B1034" t="str">
        <f>IF(INDEX(tblCleanData[Age],1026)&lt;30,"Under 30",IF(INDEX(tblCleanData[Age],1026)&lt;40,"30-39",IF(INDEX(tblCleanData[Age],1026)&lt;50,"40-49","50+")))</f>
        <v>Under 30</v>
      </c>
      <c r="C1034" t="str">
        <f>IF(INDEX(tblCleanData[MonthlyIncome],1026)&lt;=$B$3,"Low Income",IF(INDEX(tblCleanData[MonthlyIncome],1026)&lt;=$B$4,"Medium Income","High Income"))</f>
        <v>High Income</v>
      </c>
      <c r="D1034">
        <f>IF(INDEX(tblCleanData[Attrition],1026)="Yes",1,0)</f>
        <v>0</v>
      </c>
      <c r="E1034">
        <f>IF(INDEX(tblCleanData[OverTime],1026)="Yes",1,0)</f>
        <v>1</v>
      </c>
      <c r="F1034" t="str">
        <f>CHOOSE(INDEX(tblCleanData[Education],1026),"Below College","College","Bachelor","Master","Doctor")</f>
        <v>Below College</v>
      </c>
      <c r="G1034" t="str">
        <f>IF(INDEX(tblCleanData[YearsAtCompany],1026)&lt;=2,"0-2 Years",IF(INDEX(tblCleanData[YearsAtCompany],1026)&lt;=5,"3-5 Years",IF(INDEX(tblCleanData[YearsAtCompany],1026)&lt;=10,"6-10 Years","10+ Years")))</f>
        <v>3-5 Years</v>
      </c>
      <c r="H1034" t="str">
        <f>IF(INDEX(tblCleanData[WorkLifeBalance],1026)&lt;=2,"Elevated","Normal")</f>
        <v>Normal</v>
      </c>
      <c r="I1034">
        <f>IF(INDEX(tblCleanData[Age],1026)&lt;30,30,IF(INDEX(tblCleanData[Age],1026)&lt;40,20,IF(INDEX(tblCleanData[Age],1026)&lt;50,10,15)))</f>
        <v>30</v>
      </c>
      <c r="J1034">
        <f>IF(INDEX(tblCleanData[MonthlyIncome],1026)&lt;=$B$3,25,IF(INDEX(tblCleanData[MonthlyIncome],1026)&lt;=$B$4,12,5))</f>
        <v>5</v>
      </c>
      <c r="K1034">
        <f>IF(INDEX(tblCleanData[OverTime],1026)="Yes",25,0)</f>
        <v>25</v>
      </c>
      <c r="L1034">
        <f>(5-INDEX(tblCleanData[JobSatisfaction],1026))*6.25</f>
        <v>12.5</v>
      </c>
      <c r="M1034">
        <f>IF(INDEX(tblCleanData[YearsAtCompany],1026)&lt;=2,25,IF(INDEX(tblCleanData[YearsAtCompany],1026)&lt;=5,15,IF(INDEX(tblCleanData[YearsAtCompany],1026)&lt;=10,8,3)))</f>
        <v>15</v>
      </c>
      <c r="N1034">
        <f t="shared" si="32"/>
        <v>88</v>
      </c>
      <c r="O1034" t="str">
        <f t="shared" si="33"/>
        <v>High Risk</v>
      </c>
    </row>
    <row r="1035" spans="1:15" x14ac:dyDescent="0.25">
      <c r="A1035">
        <f>INDEX(tblCleanData[EmployeeNumber],1027)</f>
        <v>1446</v>
      </c>
      <c r="B1035" t="str">
        <f>IF(INDEX(tblCleanData[Age],1027)&lt;30,"Under 30",IF(INDEX(tblCleanData[Age],1027)&lt;40,"30-39",IF(INDEX(tblCleanData[Age],1027)&lt;50,"40-49","50+")))</f>
        <v>30-39</v>
      </c>
      <c r="C1035" t="str">
        <f>IF(INDEX(tblCleanData[MonthlyIncome],1027)&lt;=$B$3,"Low Income",IF(INDEX(tblCleanData[MonthlyIncome],1027)&lt;=$B$4,"Medium Income","High Income"))</f>
        <v>High Income</v>
      </c>
      <c r="D1035">
        <f>IF(INDEX(tblCleanData[Attrition],1027)="Yes",1,0)</f>
        <v>0</v>
      </c>
      <c r="E1035">
        <f>IF(INDEX(tblCleanData[OverTime],1027)="Yes",1,0)</f>
        <v>0</v>
      </c>
      <c r="F1035" t="str">
        <f>CHOOSE(INDEX(tblCleanData[Education],1027),"Below College","College","Bachelor","Master","Doctor")</f>
        <v>Doctor</v>
      </c>
      <c r="G1035" t="str">
        <f>IF(INDEX(tblCleanData[YearsAtCompany],1027)&lt;=2,"0-2 Years",IF(INDEX(tblCleanData[YearsAtCompany],1027)&lt;=5,"3-5 Years",IF(INDEX(tblCleanData[YearsAtCompany],1027)&lt;=10,"6-10 Years","10+ Years")))</f>
        <v>3-5 Years</v>
      </c>
      <c r="H1035" t="str">
        <f>IF(INDEX(tblCleanData[WorkLifeBalance],1027)&lt;=2,"Elevated","Normal")</f>
        <v>Elevated</v>
      </c>
      <c r="I1035">
        <f>IF(INDEX(tblCleanData[Age],1027)&lt;30,30,IF(INDEX(tblCleanData[Age],1027)&lt;40,20,IF(INDEX(tblCleanData[Age],1027)&lt;50,10,15)))</f>
        <v>20</v>
      </c>
      <c r="J1035">
        <f>IF(INDEX(tblCleanData[MonthlyIncome],1027)&lt;=$B$3,25,IF(INDEX(tblCleanData[MonthlyIncome],1027)&lt;=$B$4,12,5))</f>
        <v>5</v>
      </c>
      <c r="K1035">
        <f>IF(INDEX(tblCleanData[OverTime],1027)="Yes",25,0)</f>
        <v>0</v>
      </c>
      <c r="L1035">
        <f>(5-INDEX(tblCleanData[JobSatisfaction],1027))*6.25</f>
        <v>6.25</v>
      </c>
      <c r="M1035">
        <f>IF(INDEX(tblCleanData[YearsAtCompany],1027)&lt;=2,25,IF(INDEX(tblCleanData[YearsAtCompany],1027)&lt;=5,15,IF(INDEX(tblCleanData[YearsAtCompany],1027)&lt;=10,8,3)))</f>
        <v>15</v>
      </c>
      <c r="N1035">
        <f t="shared" si="32"/>
        <v>46</v>
      </c>
      <c r="O1035" t="str">
        <f t="shared" si="33"/>
        <v>Medium Risk</v>
      </c>
    </row>
    <row r="1036" spans="1:15" x14ac:dyDescent="0.25">
      <c r="A1036">
        <f>INDEX(tblCleanData[EmployeeNumber],1028)</f>
        <v>1447</v>
      </c>
      <c r="B1036" t="str">
        <f>IF(INDEX(tblCleanData[Age],1028)&lt;30,"Under 30",IF(INDEX(tblCleanData[Age],1028)&lt;40,"30-39",IF(INDEX(tblCleanData[Age],1028)&lt;50,"40-49","50+")))</f>
        <v>30-39</v>
      </c>
      <c r="C1036" t="str">
        <f>IF(INDEX(tblCleanData[MonthlyIncome],1028)&lt;=$B$3,"Low Income",IF(INDEX(tblCleanData[MonthlyIncome],1028)&lt;=$B$4,"Medium Income","High Income"))</f>
        <v>High Income</v>
      </c>
      <c r="D1036">
        <f>IF(INDEX(tblCleanData[Attrition],1028)="Yes",1,0)</f>
        <v>0</v>
      </c>
      <c r="E1036">
        <f>IF(INDEX(tblCleanData[OverTime],1028)="Yes",1,0)</f>
        <v>0</v>
      </c>
      <c r="F1036" t="str">
        <f>CHOOSE(INDEX(tblCleanData[Education],1028),"Below College","College","Bachelor","Master","Doctor")</f>
        <v>Bachelor</v>
      </c>
      <c r="G1036" t="str">
        <f>IF(INDEX(tblCleanData[YearsAtCompany],1028)&lt;=2,"0-2 Years",IF(INDEX(tblCleanData[YearsAtCompany],1028)&lt;=5,"3-5 Years",IF(INDEX(tblCleanData[YearsAtCompany],1028)&lt;=10,"6-10 Years","10+ Years")))</f>
        <v>3-5 Years</v>
      </c>
      <c r="H1036" t="str">
        <f>IF(INDEX(tblCleanData[WorkLifeBalance],1028)&lt;=2,"Elevated","Normal")</f>
        <v>Elevated</v>
      </c>
      <c r="I1036">
        <f>IF(INDEX(tblCleanData[Age],1028)&lt;30,30,IF(INDEX(tblCleanData[Age],1028)&lt;40,20,IF(INDEX(tblCleanData[Age],1028)&lt;50,10,15)))</f>
        <v>20</v>
      </c>
      <c r="J1036">
        <f>IF(INDEX(tblCleanData[MonthlyIncome],1028)&lt;=$B$3,25,IF(INDEX(tblCleanData[MonthlyIncome],1028)&lt;=$B$4,12,5))</f>
        <v>5</v>
      </c>
      <c r="K1036">
        <f>IF(INDEX(tblCleanData[OverTime],1028)="Yes",25,0)</f>
        <v>0</v>
      </c>
      <c r="L1036">
        <f>(5-INDEX(tblCleanData[JobSatisfaction],1028))*6.25</f>
        <v>18.75</v>
      </c>
      <c r="M1036">
        <f>IF(INDEX(tblCleanData[YearsAtCompany],1028)&lt;=2,25,IF(INDEX(tblCleanData[YearsAtCompany],1028)&lt;=5,15,IF(INDEX(tblCleanData[YearsAtCompany],1028)&lt;=10,8,3)))</f>
        <v>15</v>
      </c>
      <c r="N1036">
        <f t="shared" si="32"/>
        <v>59</v>
      </c>
      <c r="O1036" t="str">
        <f t="shared" si="33"/>
        <v>High Risk</v>
      </c>
    </row>
    <row r="1037" spans="1:15" x14ac:dyDescent="0.25">
      <c r="A1037">
        <f>INDEX(tblCleanData[EmployeeNumber],1029)</f>
        <v>1448</v>
      </c>
      <c r="B1037" t="str">
        <f>IF(INDEX(tblCleanData[Age],1029)&lt;30,"Under 30",IF(INDEX(tblCleanData[Age],1029)&lt;40,"30-39",IF(INDEX(tblCleanData[Age],1029)&lt;50,"40-49","50+")))</f>
        <v>40-49</v>
      </c>
      <c r="C1037" t="str">
        <f>IF(INDEX(tblCleanData[MonthlyIncome],1029)&lt;=$B$3,"Low Income",IF(INDEX(tblCleanData[MonthlyIncome],1029)&lt;=$B$4,"Medium Income","High Income"))</f>
        <v>High Income</v>
      </c>
      <c r="D1037">
        <f>IF(INDEX(tblCleanData[Attrition],1029)="Yes",1,0)</f>
        <v>0</v>
      </c>
      <c r="E1037">
        <f>IF(INDEX(tblCleanData[OverTime],1029)="Yes",1,0)</f>
        <v>1</v>
      </c>
      <c r="F1037" t="str">
        <f>CHOOSE(INDEX(tblCleanData[Education],1029),"Below College","College","Bachelor","Master","Doctor")</f>
        <v>Doctor</v>
      </c>
      <c r="G1037" t="str">
        <f>IF(INDEX(tblCleanData[YearsAtCompany],1029)&lt;=2,"0-2 Years",IF(INDEX(tblCleanData[YearsAtCompany],1029)&lt;=5,"3-5 Years",IF(INDEX(tblCleanData[YearsAtCompany],1029)&lt;=10,"6-10 Years","10+ Years")))</f>
        <v>3-5 Years</v>
      </c>
      <c r="H1037" t="str">
        <f>IF(INDEX(tblCleanData[WorkLifeBalance],1029)&lt;=2,"Elevated","Normal")</f>
        <v>Elevated</v>
      </c>
      <c r="I1037">
        <f>IF(INDEX(tblCleanData[Age],1029)&lt;30,30,IF(INDEX(tblCleanData[Age],1029)&lt;40,20,IF(INDEX(tblCleanData[Age],1029)&lt;50,10,15)))</f>
        <v>10</v>
      </c>
      <c r="J1037">
        <f>IF(INDEX(tblCleanData[MonthlyIncome],1029)&lt;=$B$3,25,IF(INDEX(tblCleanData[MonthlyIncome],1029)&lt;=$B$4,12,5))</f>
        <v>5</v>
      </c>
      <c r="K1037">
        <f>IF(INDEX(tblCleanData[OverTime],1029)="Yes",25,0)</f>
        <v>25</v>
      </c>
      <c r="L1037">
        <f>(5-INDEX(tblCleanData[JobSatisfaction],1029))*6.25</f>
        <v>12.5</v>
      </c>
      <c r="M1037">
        <f>IF(INDEX(tblCleanData[YearsAtCompany],1029)&lt;=2,25,IF(INDEX(tblCleanData[YearsAtCompany],1029)&lt;=5,15,IF(INDEX(tblCleanData[YearsAtCompany],1029)&lt;=10,8,3)))</f>
        <v>15</v>
      </c>
      <c r="N1037">
        <f t="shared" si="32"/>
        <v>68</v>
      </c>
      <c r="O1037" t="str">
        <f t="shared" si="33"/>
        <v>High Risk</v>
      </c>
    </row>
    <row r="1038" spans="1:15" x14ac:dyDescent="0.25">
      <c r="A1038">
        <f>INDEX(tblCleanData[EmployeeNumber],1030)</f>
        <v>1449</v>
      </c>
      <c r="B1038" t="str">
        <f>IF(INDEX(tblCleanData[Age],1030)&lt;30,"Under 30",IF(INDEX(tblCleanData[Age],1030)&lt;40,"30-39",IF(INDEX(tblCleanData[Age],1030)&lt;50,"40-49","50+")))</f>
        <v>40-49</v>
      </c>
      <c r="C1038" t="str">
        <f>IF(INDEX(tblCleanData[MonthlyIncome],1030)&lt;=$B$3,"Low Income",IF(INDEX(tblCleanData[MonthlyIncome],1030)&lt;=$B$4,"Medium Income","High Income"))</f>
        <v>High Income</v>
      </c>
      <c r="D1038">
        <f>IF(INDEX(tblCleanData[Attrition],1030)="Yes",1,0)</f>
        <v>0</v>
      </c>
      <c r="E1038">
        <f>IF(INDEX(tblCleanData[OverTime],1030)="Yes",1,0)</f>
        <v>0</v>
      </c>
      <c r="F1038" t="str">
        <f>CHOOSE(INDEX(tblCleanData[Education],1030),"Below College","College","Bachelor","Master","Doctor")</f>
        <v>Master</v>
      </c>
      <c r="G1038" t="str">
        <f>IF(INDEX(tblCleanData[YearsAtCompany],1030)&lt;=2,"0-2 Years",IF(INDEX(tblCleanData[YearsAtCompany],1030)&lt;=5,"3-5 Years",IF(INDEX(tblCleanData[YearsAtCompany],1030)&lt;=10,"6-10 Years","10+ Years")))</f>
        <v>6-10 Years</v>
      </c>
      <c r="H1038" t="str">
        <f>IF(INDEX(tblCleanData[WorkLifeBalance],1030)&lt;=2,"Elevated","Normal")</f>
        <v>Normal</v>
      </c>
      <c r="I1038">
        <f>IF(INDEX(tblCleanData[Age],1030)&lt;30,30,IF(INDEX(tblCleanData[Age],1030)&lt;40,20,IF(INDEX(tblCleanData[Age],1030)&lt;50,10,15)))</f>
        <v>10</v>
      </c>
      <c r="J1038">
        <f>IF(INDEX(tblCleanData[MonthlyIncome],1030)&lt;=$B$3,25,IF(INDEX(tblCleanData[MonthlyIncome],1030)&lt;=$B$4,12,5))</f>
        <v>5</v>
      </c>
      <c r="K1038">
        <f>IF(INDEX(tblCleanData[OverTime],1030)="Yes",25,0)</f>
        <v>0</v>
      </c>
      <c r="L1038">
        <f>(5-INDEX(tblCleanData[JobSatisfaction],1030))*6.25</f>
        <v>12.5</v>
      </c>
      <c r="M1038">
        <f>IF(INDEX(tblCleanData[YearsAtCompany],1030)&lt;=2,25,IF(INDEX(tblCleanData[YearsAtCompany],1030)&lt;=5,15,IF(INDEX(tblCleanData[YearsAtCompany],1030)&lt;=10,8,3)))</f>
        <v>8</v>
      </c>
      <c r="N1038">
        <f t="shared" si="32"/>
        <v>36</v>
      </c>
      <c r="O1038" t="str">
        <f t="shared" si="33"/>
        <v>Medium Risk</v>
      </c>
    </row>
    <row r="1039" spans="1:15" x14ac:dyDescent="0.25">
      <c r="A1039">
        <f>INDEX(tblCleanData[EmployeeNumber],1031)</f>
        <v>1453</v>
      </c>
      <c r="B1039" t="str">
        <f>IF(INDEX(tblCleanData[Age],1031)&lt;30,"Under 30",IF(INDEX(tblCleanData[Age],1031)&lt;40,"30-39",IF(INDEX(tblCleanData[Age],1031)&lt;50,"40-49","50+")))</f>
        <v>30-39</v>
      </c>
      <c r="C1039" t="str">
        <f>IF(INDEX(tblCleanData[MonthlyIncome],1031)&lt;=$B$3,"Low Income",IF(INDEX(tblCleanData[MonthlyIncome],1031)&lt;=$B$4,"Medium Income","High Income"))</f>
        <v>High Income</v>
      </c>
      <c r="D1039">
        <f>IF(INDEX(tblCleanData[Attrition],1031)="Yes",1,0)</f>
        <v>0</v>
      </c>
      <c r="E1039">
        <f>IF(INDEX(tblCleanData[OverTime],1031)="Yes",1,0)</f>
        <v>0</v>
      </c>
      <c r="F1039" t="str">
        <f>CHOOSE(INDEX(tblCleanData[Education],1031),"Below College","College","Bachelor","Master","Doctor")</f>
        <v>College</v>
      </c>
      <c r="G1039" t="str">
        <f>IF(INDEX(tblCleanData[YearsAtCompany],1031)&lt;=2,"0-2 Years",IF(INDEX(tblCleanData[YearsAtCompany],1031)&lt;=5,"3-5 Years",IF(INDEX(tblCleanData[YearsAtCompany],1031)&lt;=10,"6-10 Years","10+ Years")))</f>
        <v>10+ Years</v>
      </c>
      <c r="H1039" t="str">
        <f>IF(INDEX(tblCleanData[WorkLifeBalance],1031)&lt;=2,"Elevated","Normal")</f>
        <v>Normal</v>
      </c>
      <c r="I1039">
        <f>IF(INDEX(tblCleanData[Age],1031)&lt;30,30,IF(INDEX(tblCleanData[Age],1031)&lt;40,20,IF(INDEX(tblCleanData[Age],1031)&lt;50,10,15)))</f>
        <v>20</v>
      </c>
      <c r="J1039">
        <f>IF(INDEX(tblCleanData[MonthlyIncome],1031)&lt;=$B$3,25,IF(INDEX(tblCleanData[MonthlyIncome],1031)&lt;=$B$4,12,5))</f>
        <v>5</v>
      </c>
      <c r="K1039">
        <f>IF(INDEX(tblCleanData[OverTime],1031)="Yes",25,0)</f>
        <v>0</v>
      </c>
      <c r="L1039">
        <f>(5-INDEX(tblCleanData[JobSatisfaction],1031))*6.25</f>
        <v>6.25</v>
      </c>
      <c r="M1039">
        <f>IF(INDEX(tblCleanData[YearsAtCompany],1031)&lt;=2,25,IF(INDEX(tblCleanData[YearsAtCompany],1031)&lt;=5,15,IF(INDEX(tblCleanData[YearsAtCompany],1031)&lt;=10,8,3)))</f>
        <v>3</v>
      </c>
      <c r="N1039">
        <f t="shared" si="32"/>
        <v>34</v>
      </c>
      <c r="O1039" t="str">
        <f t="shared" si="33"/>
        <v>Low Risk</v>
      </c>
    </row>
    <row r="1040" spans="1:15" x14ac:dyDescent="0.25">
      <c r="A1040">
        <f>INDEX(tblCleanData[EmployeeNumber],1032)</f>
        <v>1457</v>
      </c>
      <c r="B1040" t="str">
        <f>IF(INDEX(tblCleanData[Age],1032)&lt;30,"Under 30",IF(INDEX(tblCleanData[Age],1032)&lt;40,"30-39",IF(INDEX(tblCleanData[Age],1032)&lt;50,"40-49","50+")))</f>
        <v>40-49</v>
      </c>
      <c r="C1040" t="str">
        <f>IF(INDEX(tblCleanData[MonthlyIncome],1032)&lt;=$B$3,"Low Income",IF(INDEX(tblCleanData[MonthlyIncome],1032)&lt;=$B$4,"Medium Income","High Income"))</f>
        <v>High Income</v>
      </c>
      <c r="D1040">
        <f>IF(INDEX(tblCleanData[Attrition],1032)="Yes",1,0)</f>
        <v>1</v>
      </c>
      <c r="E1040">
        <f>IF(INDEX(tblCleanData[OverTime],1032)="Yes",1,0)</f>
        <v>0</v>
      </c>
      <c r="F1040" t="str">
        <f>CHOOSE(INDEX(tblCleanData[Education],1032),"Below College","College","Bachelor","Master","Doctor")</f>
        <v>Bachelor</v>
      </c>
      <c r="G1040" t="str">
        <f>IF(INDEX(tblCleanData[YearsAtCompany],1032)&lt;=2,"0-2 Years",IF(INDEX(tblCleanData[YearsAtCompany],1032)&lt;=5,"3-5 Years",IF(INDEX(tblCleanData[YearsAtCompany],1032)&lt;=10,"6-10 Years","10+ Years")))</f>
        <v>6-10 Years</v>
      </c>
      <c r="H1040" t="str">
        <f>IF(INDEX(tblCleanData[WorkLifeBalance],1032)&lt;=2,"Elevated","Normal")</f>
        <v>Normal</v>
      </c>
      <c r="I1040">
        <f>IF(INDEX(tblCleanData[Age],1032)&lt;30,30,IF(INDEX(tblCleanData[Age],1032)&lt;40,20,IF(INDEX(tblCleanData[Age],1032)&lt;50,10,15)))</f>
        <v>10</v>
      </c>
      <c r="J1040">
        <f>IF(INDEX(tblCleanData[MonthlyIncome],1032)&lt;=$B$3,25,IF(INDEX(tblCleanData[MonthlyIncome],1032)&lt;=$B$4,12,5))</f>
        <v>5</v>
      </c>
      <c r="K1040">
        <f>IF(INDEX(tblCleanData[OverTime],1032)="Yes",25,0)</f>
        <v>0</v>
      </c>
      <c r="L1040">
        <f>(5-INDEX(tblCleanData[JobSatisfaction],1032))*6.25</f>
        <v>6.25</v>
      </c>
      <c r="M1040">
        <f>IF(INDEX(tblCleanData[YearsAtCompany],1032)&lt;=2,25,IF(INDEX(tblCleanData[YearsAtCompany],1032)&lt;=5,15,IF(INDEX(tblCleanData[YearsAtCompany],1032)&lt;=10,8,3)))</f>
        <v>8</v>
      </c>
      <c r="N1040">
        <f t="shared" si="32"/>
        <v>29</v>
      </c>
      <c r="O1040" t="str">
        <f t="shared" si="33"/>
        <v>Low Risk</v>
      </c>
    </row>
    <row r="1041" spans="1:15" x14ac:dyDescent="0.25">
      <c r="A1041">
        <f>INDEX(tblCleanData[EmployeeNumber],1033)</f>
        <v>1458</v>
      </c>
      <c r="B1041" t="str">
        <f>IF(INDEX(tblCleanData[Age],1033)&lt;30,"Under 30",IF(INDEX(tblCleanData[Age],1033)&lt;40,"30-39",IF(INDEX(tblCleanData[Age],1033)&lt;50,"40-49","50+")))</f>
        <v>30-39</v>
      </c>
      <c r="C1041" t="str">
        <f>IF(INDEX(tblCleanData[MonthlyIncome],1033)&lt;=$B$3,"Low Income",IF(INDEX(tblCleanData[MonthlyIncome],1033)&lt;=$B$4,"Medium Income","High Income"))</f>
        <v>High Income</v>
      </c>
      <c r="D1041">
        <f>IF(INDEX(tblCleanData[Attrition],1033)="Yes",1,0)</f>
        <v>1</v>
      </c>
      <c r="E1041">
        <f>IF(INDEX(tblCleanData[OverTime],1033)="Yes",1,0)</f>
        <v>1</v>
      </c>
      <c r="F1041" t="str">
        <f>CHOOSE(INDEX(tblCleanData[Education],1033),"Below College","College","Bachelor","Master","Doctor")</f>
        <v>Bachelor</v>
      </c>
      <c r="G1041" t="str">
        <f>IF(INDEX(tblCleanData[YearsAtCompany],1033)&lt;=2,"0-2 Years",IF(INDEX(tblCleanData[YearsAtCompany],1033)&lt;=5,"3-5 Years",IF(INDEX(tblCleanData[YearsAtCompany],1033)&lt;=10,"6-10 Years","10+ Years")))</f>
        <v>0-2 Years</v>
      </c>
      <c r="H1041" t="str">
        <f>IF(INDEX(tblCleanData[WorkLifeBalance],1033)&lt;=2,"Elevated","Normal")</f>
        <v>Normal</v>
      </c>
      <c r="I1041">
        <f>IF(INDEX(tblCleanData[Age],1033)&lt;30,30,IF(INDEX(tblCleanData[Age],1033)&lt;40,20,IF(INDEX(tblCleanData[Age],1033)&lt;50,10,15)))</f>
        <v>20</v>
      </c>
      <c r="J1041">
        <f>IF(INDEX(tblCleanData[MonthlyIncome],1033)&lt;=$B$3,25,IF(INDEX(tblCleanData[MonthlyIncome],1033)&lt;=$B$4,12,5))</f>
        <v>5</v>
      </c>
      <c r="K1041">
        <f>IF(INDEX(tblCleanData[OverTime],1033)="Yes",25,0)</f>
        <v>25</v>
      </c>
      <c r="L1041">
        <f>(5-INDEX(tblCleanData[JobSatisfaction],1033))*6.25</f>
        <v>25</v>
      </c>
      <c r="M1041">
        <f>IF(INDEX(tblCleanData[YearsAtCompany],1033)&lt;=2,25,IF(INDEX(tblCleanData[YearsAtCompany],1033)&lt;=5,15,IF(INDEX(tblCleanData[YearsAtCompany],1033)&lt;=10,8,3)))</f>
        <v>25</v>
      </c>
      <c r="N1041">
        <f t="shared" si="32"/>
        <v>100</v>
      </c>
      <c r="O1041" t="str">
        <f t="shared" si="33"/>
        <v>High Risk</v>
      </c>
    </row>
    <row r="1042" spans="1:15" x14ac:dyDescent="0.25">
      <c r="A1042">
        <f>INDEX(tblCleanData[EmployeeNumber],1034)</f>
        <v>1459</v>
      </c>
      <c r="B1042" t="str">
        <f>IF(INDEX(tblCleanData[Age],1034)&lt;30,"Under 30",IF(INDEX(tblCleanData[Age],1034)&lt;40,"30-39",IF(INDEX(tblCleanData[Age],1034)&lt;50,"40-49","50+")))</f>
        <v>30-39</v>
      </c>
      <c r="C1042" t="str">
        <f>IF(INDEX(tblCleanData[MonthlyIncome],1034)&lt;=$B$3,"Low Income",IF(INDEX(tblCleanData[MonthlyIncome],1034)&lt;=$B$4,"Medium Income","High Income"))</f>
        <v>High Income</v>
      </c>
      <c r="D1042">
        <f>IF(INDEX(tblCleanData[Attrition],1034)="Yes",1,0)</f>
        <v>1</v>
      </c>
      <c r="E1042">
        <f>IF(INDEX(tblCleanData[OverTime],1034)="Yes",1,0)</f>
        <v>0</v>
      </c>
      <c r="F1042" t="str">
        <f>CHOOSE(INDEX(tblCleanData[Education],1034),"Below College","College","Bachelor","Master","Doctor")</f>
        <v>Doctor</v>
      </c>
      <c r="G1042" t="str">
        <f>IF(INDEX(tblCleanData[YearsAtCompany],1034)&lt;=2,"0-2 Years",IF(INDEX(tblCleanData[YearsAtCompany],1034)&lt;=5,"3-5 Years",IF(INDEX(tblCleanData[YearsAtCompany],1034)&lt;=10,"6-10 Years","10+ Years")))</f>
        <v>6-10 Years</v>
      </c>
      <c r="H1042" t="str">
        <f>IF(INDEX(tblCleanData[WorkLifeBalance],1034)&lt;=2,"Elevated","Normal")</f>
        <v>Normal</v>
      </c>
      <c r="I1042">
        <f>IF(INDEX(tblCleanData[Age],1034)&lt;30,30,IF(INDEX(tblCleanData[Age],1034)&lt;40,20,IF(INDEX(tblCleanData[Age],1034)&lt;50,10,15)))</f>
        <v>20</v>
      </c>
      <c r="J1042">
        <f>IF(INDEX(tblCleanData[MonthlyIncome],1034)&lt;=$B$3,25,IF(INDEX(tblCleanData[MonthlyIncome],1034)&lt;=$B$4,12,5))</f>
        <v>5</v>
      </c>
      <c r="K1042">
        <f>IF(INDEX(tblCleanData[OverTime],1034)="Yes",25,0)</f>
        <v>0</v>
      </c>
      <c r="L1042">
        <f>(5-INDEX(tblCleanData[JobSatisfaction],1034))*6.25</f>
        <v>18.75</v>
      </c>
      <c r="M1042">
        <f>IF(INDEX(tblCleanData[YearsAtCompany],1034)&lt;=2,25,IF(INDEX(tblCleanData[YearsAtCompany],1034)&lt;=5,15,IF(INDEX(tblCleanData[YearsAtCompany],1034)&lt;=10,8,3)))</f>
        <v>8</v>
      </c>
      <c r="N1042">
        <f t="shared" si="32"/>
        <v>52</v>
      </c>
      <c r="O1042" t="str">
        <f t="shared" si="33"/>
        <v>Medium Risk</v>
      </c>
    </row>
    <row r="1043" spans="1:15" x14ac:dyDescent="0.25">
      <c r="A1043">
        <f>INDEX(tblCleanData[EmployeeNumber],1035)</f>
        <v>1460</v>
      </c>
      <c r="B1043" t="str">
        <f>IF(INDEX(tblCleanData[Age],1035)&lt;30,"Under 30",IF(INDEX(tblCleanData[Age],1035)&lt;40,"30-39",IF(INDEX(tblCleanData[Age],1035)&lt;50,"40-49","50+")))</f>
        <v>40-49</v>
      </c>
      <c r="C1043" t="str">
        <f>IF(INDEX(tblCleanData[MonthlyIncome],1035)&lt;=$B$3,"Low Income",IF(INDEX(tblCleanData[MonthlyIncome],1035)&lt;=$B$4,"Medium Income","High Income"))</f>
        <v>High Income</v>
      </c>
      <c r="D1043">
        <f>IF(INDEX(tblCleanData[Attrition],1035)="Yes",1,0)</f>
        <v>0</v>
      </c>
      <c r="E1043">
        <f>IF(INDEX(tblCleanData[OverTime],1035)="Yes",1,0)</f>
        <v>1</v>
      </c>
      <c r="F1043" t="str">
        <f>CHOOSE(INDEX(tblCleanData[Education],1035),"Below College","College","Bachelor","Master","Doctor")</f>
        <v>Bachelor</v>
      </c>
      <c r="G1043" t="str">
        <f>IF(INDEX(tblCleanData[YearsAtCompany],1035)&lt;=2,"0-2 Years",IF(INDEX(tblCleanData[YearsAtCompany],1035)&lt;=5,"3-5 Years",IF(INDEX(tblCleanData[YearsAtCompany],1035)&lt;=10,"6-10 Years","10+ Years")))</f>
        <v>6-10 Years</v>
      </c>
      <c r="H1043" t="str">
        <f>IF(INDEX(tblCleanData[WorkLifeBalance],1035)&lt;=2,"Elevated","Normal")</f>
        <v>Normal</v>
      </c>
      <c r="I1043">
        <f>IF(INDEX(tblCleanData[Age],1035)&lt;30,30,IF(INDEX(tblCleanData[Age],1035)&lt;40,20,IF(INDEX(tblCleanData[Age],1035)&lt;50,10,15)))</f>
        <v>10</v>
      </c>
      <c r="J1043">
        <f>IF(INDEX(tblCleanData[MonthlyIncome],1035)&lt;=$B$3,25,IF(INDEX(tblCleanData[MonthlyIncome],1035)&lt;=$B$4,12,5))</f>
        <v>5</v>
      </c>
      <c r="K1043">
        <f>IF(INDEX(tblCleanData[OverTime],1035)="Yes",25,0)</f>
        <v>25</v>
      </c>
      <c r="L1043">
        <f>(5-INDEX(tblCleanData[JobSatisfaction],1035))*6.25</f>
        <v>25</v>
      </c>
      <c r="M1043">
        <f>IF(INDEX(tblCleanData[YearsAtCompany],1035)&lt;=2,25,IF(INDEX(tblCleanData[YearsAtCompany],1035)&lt;=5,15,IF(INDEX(tblCleanData[YearsAtCompany],1035)&lt;=10,8,3)))</f>
        <v>8</v>
      </c>
      <c r="N1043">
        <f t="shared" si="32"/>
        <v>73</v>
      </c>
      <c r="O1043" t="str">
        <f t="shared" si="33"/>
        <v>High Risk</v>
      </c>
    </row>
    <row r="1044" spans="1:15" x14ac:dyDescent="0.25">
      <c r="A1044">
        <f>INDEX(tblCleanData[EmployeeNumber],1036)</f>
        <v>1461</v>
      </c>
      <c r="B1044" t="str">
        <f>IF(INDEX(tblCleanData[Age],1036)&lt;30,"Under 30",IF(INDEX(tblCleanData[Age],1036)&lt;40,"30-39",IF(INDEX(tblCleanData[Age],1036)&lt;50,"40-49","50+")))</f>
        <v>30-39</v>
      </c>
      <c r="C1044" t="str">
        <f>IF(INDEX(tblCleanData[MonthlyIncome],1036)&lt;=$B$3,"Low Income",IF(INDEX(tblCleanData[MonthlyIncome],1036)&lt;=$B$4,"Medium Income","High Income"))</f>
        <v>High Income</v>
      </c>
      <c r="D1044">
        <f>IF(INDEX(tblCleanData[Attrition],1036)="Yes",1,0)</f>
        <v>0</v>
      </c>
      <c r="E1044">
        <f>IF(INDEX(tblCleanData[OverTime],1036)="Yes",1,0)</f>
        <v>0</v>
      </c>
      <c r="F1044" t="str">
        <f>CHOOSE(INDEX(tblCleanData[Education],1036),"Below College","College","Bachelor","Master","Doctor")</f>
        <v>College</v>
      </c>
      <c r="G1044" t="str">
        <f>IF(INDEX(tblCleanData[YearsAtCompany],1036)&lt;=2,"0-2 Years",IF(INDEX(tblCleanData[YearsAtCompany],1036)&lt;=5,"3-5 Years",IF(INDEX(tblCleanData[YearsAtCompany],1036)&lt;=10,"6-10 Years","10+ Years")))</f>
        <v>3-5 Years</v>
      </c>
      <c r="H1044" t="str">
        <f>IF(INDEX(tblCleanData[WorkLifeBalance],1036)&lt;=2,"Elevated","Normal")</f>
        <v>Normal</v>
      </c>
      <c r="I1044">
        <f>IF(INDEX(tblCleanData[Age],1036)&lt;30,30,IF(INDEX(tblCleanData[Age],1036)&lt;40,20,IF(INDEX(tblCleanData[Age],1036)&lt;50,10,15)))</f>
        <v>20</v>
      </c>
      <c r="J1044">
        <f>IF(INDEX(tblCleanData[MonthlyIncome],1036)&lt;=$B$3,25,IF(INDEX(tblCleanData[MonthlyIncome],1036)&lt;=$B$4,12,5))</f>
        <v>5</v>
      </c>
      <c r="K1044">
        <f>IF(INDEX(tblCleanData[OverTime],1036)="Yes",25,0)</f>
        <v>0</v>
      </c>
      <c r="L1044">
        <f>(5-INDEX(tblCleanData[JobSatisfaction],1036))*6.25</f>
        <v>18.75</v>
      </c>
      <c r="M1044">
        <f>IF(INDEX(tblCleanData[YearsAtCompany],1036)&lt;=2,25,IF(INDEX(tblCleanData[YearsAtCompany],1036)&lt;=5,15,IF(INDEX(tblCleanData[YearsAtCompany],1036)&lt;=10,8,3)))</f>
        <v>15</v>
      </c>
      <c r="N1044">
        <f t="shared" si="32"/>
        <v>59</v>
      </c>
      <c r="O1044" t="str">
        <f t="shared" si="33"/>
        <v>High Risk</v>
      </c>
    </row>
    <row r="1045" spans="1:15" x14ac:dyDescent="0.25">
      <c r="A1045">
        <f>INDEX(tblCleanData[EmployeeNumber],1037)</f>
        <v>1464</v>
      </c>
      <c r="B1045" t="str">
        <f>IF(INDEX(tblCleanData[Age],1037)&lt;30,"Under 30",IF(INDEX(tblCleanData[Age],1037)&lt;40,"30-39",IF(INDEX(tblCleanData[Age],1037)&lt;50,"40-49","50+")))</f>
        <v>30-39</v>
      </c>
      <c r="C1045" t="str">
        <f>IF(INDEX(tblCleanData[MonthlyIncome],1037)&lt;=$B$3,"Low Income",IF(INDEX(tblCleanData[MonthlyIncome],1037)&lt;=$B$4,"Medium Income","High Income"))</f>
        <v>High Income</v>
      </c>
      <c r="D1045">
        <f>IF(INDEX(tblCleanData[Attrition],1037)="Yes",1,0)</f>
        <v>1</v>
      </c>
      <c r="E1045">
        <f>IF(INDEX(tblCleanData[OverTime],1037)="Yes",1,0)</f>
        <v>1</v>
      </c>
      <c r="F1045" t="str">
        <f>CHOOSE(INDEX(tblCleanData[Education],1037),"Below College","College","Bachelor","Master","Doctor")</f>
        <v>Bachelor</v>
      </c>
      <c r="G1045" t="str">
        <f>IF(INDEX(tblCleanData[YearsAtCompany],1037)&lt;=2,"0-2 Years",IF(INDEX(tblCleanData[YearsAtCompany],1037)&lt;=5,"3-5 Years",IF(INDEX(tblCleanData[YearsAtCompany],1037)&lt;=10,"6-10 Years","10+ Years")))</f>
        <v>0-2 Years</v>
      </c>
      <c r="H1045" t="str">
        <f>IF(INDEX(tblCleanData[WorkLifeBalance],1037)&lt;=2,"Elevated","Normal")</f>
        <v>Elevated</v>
      </c>
      <c r="I1045">
        <f>IF(INDEX(tblCleanData[Age],1037)&lt;30,30,IF(INDEX(tblCleanData[Age],1037)&lt;40,20,IF(INDEX(tblCleanData[Age],1037)&lt;50,10,15)))</f>
        <v>20</v>
      </c>
      <c r="J1045">
        <f>IF(INDEX(tblCleanData[MonthlyIncome],1037)&lt;=$B$3,25,IF(INDEX(tblCleanData[MonthlyIncome],1037)&lt;=$B$4,12,5))</f>
        <v>5</v>
      </c>
      <c r="K1045">
        <f>IF(INDEX(tblCleanData[OverTime],1037)="Yes",25,0)</f>
        <v>25</v>
      </c>
      <c r="L1045">
        <f>(5-INDEX(tblCleanData[JobSatisfaction],1037))*6.25</f>
        <v>6.25</v>
      </c>
      <c r="M1045">
        <f>IF(INDEX(tblCleanData[YearsAtCompany],1037)&lt;=2,25,IF(INDEX(tblCleanData[YearsAtCompany],1037)&lt;=5,15,IF(INDEX(tblCleanData[YearsAtCompany],1037)&lt;=10,8,3)))</f>
        <v>25</v>
      </c>
      <c r="N1045">
        <f t="shared" si="32"/>
        <v>81</v>
      </c>
      <c r="O1045" t="str">
        <f t="shared" si="33"/>
        <v>High Risk</v>
      </c>
    </row>
    <row r="1046" spans="1:15" x14ac:dyDescent="0.25">
      <c r="A1046">
        <f>INDEX(tblCleanData[EmployeeNumber],1038)</f>
        <v>1465</v>
      </c>
      <c r="B1046" t="str">
        <f>IF(INDEX(tblCleanData[Age],1038)&lt;30,"Under 30",IF(INDEX(tblCleanData[Age],1038)&lt;40,"30-39",IF(INDEX(tblCleanData[Age],1038)&lt;50,"40-49","50+")))</f>
        <v>40-49</v>
      </c>
      <c r="C1046" t="str">
        <f>IF(INDEX(tblCleanData[MonthlyIncome],1038)&lt;=$B$3,"Low Income",IF(INDEX(tblCleanData[MonthlyIncome],1038)&lt;=$B$4,"Medium Income","High Income"))</f>
        <v>High Income</v>
      </c>
      <c r="D1046">
        <f>IF(INDEX(tblCleanData[Attrition],1038)="Yes",1,0)</f>
        <v>0</v>
      </c>
      <c r="E1046">
        <f>IF(INDEX(tblCleanData[OverTime],1038)="Yes",1,0)</f>
        <v>1</v>
      </c>
      <c r="F1046" t="str">
        <f>CHOOSE(INDEX(tblCleanData[Education],1038),"Below College","College","Bachelor","Master","Doctor")</f>
        <v>Bachelor</v>
      </c>
      <c r="G1046" t="str">
        <f>IF(INDEX(tblCleanData[YearsAtCompany],1038)&lt;=2,"0-2 Years",IF(INDEX(tblCleanData[YearsAtCompany],1038)&lt;=5,"3-5 Years",IF(INDEX(tblCleanData[YearsAtCompany],1038)&lt;=10,"6-10 Years","10+ Years")))</f>
        <v>3-5 Years</v>
      </c>
      <c r="H1046" t="str">
        <f>IF(INDEX(tblCleanData[WorkLifeBalance],1038)&lt;=2,"Elevated","Normal")</f>
        <v>Normal</v>
      </c>
      <c r="I1046">
        <f>IF(INDEX(tblCleanData[Age],1038)&lt;30,30,IF(INDEX(tblCleanData[Age],1038)&lt;40,20,IF(INDEX(tblCleanData[Age],1038)&lt;50,10,15)))</f>
        <v>10</v>
      </c>
      <c r="J1046">
        <f>IF(INDEX(tblCleanData[MonthlyIncome],1038)&lt;=$B$3,25,IF(INDEX(tblCleanData[MonthlyIncome],1038)&lt;=$B$4,12,5))</f>
        <v>5</v>
      </c>
      <c r="K1046">
        <f>IF(INDEX(tblCleanData[OverTime],1038)="Yes",25,0)</f>
        <v>25</v>
      </c>
      <c r="L1046">
        <f>(5-INDEX(tblCleanData[JobSatisfaction],1038))*6.25</f>
        <v>6.25</v>
      </c>
      <c r="M1046">
        <f>IF(INDEX(tblCleanData[YearsAtCompany],1038)&lt;=2,25,IF(INDEX(tblCleanData[YearsAtCompany],1038)&lt;=5,15,IF(INDEX(tblCleanData[YearsAtCompany],1038)&lt;=10,8,3)))</f>
        <v>15</v>
      </c>
      <c r="N1046">
        <f t="shared" si="32"/>
        <v>61</v>
      </c>
      <c r="O1046" t="str">
        <f t="shared" si="33"/>
        <v>High Risk</v>
      </c>
    </row>
    <row r="1047" spans="1:15" x14ac:dyDescent="0.25">
      <c r="A1047">
        <f>INDEX(tblCleanData[EmployeeNumber],1039)</f>
        <v>1466</v>
      </c>
      <c r="B1047" t="str">
        <f>IF(INDEX(tblCleanData[Age],1039)&lt;30,"Under 30",IF(INDEX(tblCleanData[Age],1039)&lt;40,"30-39",IF(INDEX(tblCleanData[Age],1039)&lt;50,"40-49","50+")))</f>
        <v>40-49</v>
      </c>
      <c r="C1047" t="str">
        <f>IF(INDEX(tblCleanData[MonthlyIncome],1039)&lt;=$B$3,"Low Income",IF(INDEX(tblCleanData[MonthlyIncome],1039)&lt;=$B$4,"Medium Income","High Income"))</f>
        <v>High Income</v>
      </c>
      <c r="D1047">
        <f>IF(INDEX(tblCleanData[Attrition],1039)="Yes",1,0)</f>
        <v>0</v>
      </c>
      <c r="E1047">
        <f>IF(INDEX(tblCleanData[OverTime],1039)="Yes",1,0)</f>
        <v>0</v>
      </c>
      <c r="F1047" t="str">
        <f>CHOOSE(INDEX(tblCleanData[Education],1039),"Below College","College","Bachelor","Master","Doctor")</f>
        <v>Bachelor</v>
      </c>
      <c r="G1047" t="str">
        <f>IF(INDEX(tblCleanData[YearsAtCompany],1039)&lt;=2,"0-2 Years",IF(INDEX(tblCleanData[YearsAtCompany],1039)&lt;=5,"3-5 Years",IF(INDEX(tblCleanData[YearsAtCompany],1039)&lt;=10,"6-10 Years","10+ Years")))</f>
        <v>0-2 Years</v>
      </c>
      <c r="H1047" t="str">
        <f>IF(INDEX(tblCleanData[WorkLifeBalance],1039)&lt;=2,"Elevated","Normal")</f>
        <v>Normal</v>
      </c>
      <c r="I1047">
        <f>IF(INDEX(tblCleanData[Age],1039)&lt;30,30,IF(INDEX(tblCleanData[Age],1039)&lt;40,20,IF(INDEX(tblCleanData[Age],1039)&lt;50,10,15)))</f>
        <v>10</v>
      </c>
      <c r="J1047">
        <f>IF(INDEX(tblCleanData[MonthlyIncome],1039)&lt;=$B$3,25,IF(INDEX(tblCleanData[MonthlyIncome],1039)&lt;=$B$4,12,5))</f>
        <v>5</v>
      </c>
      <c r="K1047">
        <f>IF(INDEX(tblCleanData[OverTime],1039)="Yes",25,0)</f>
        <v>0</v>
      </c>
      <c r="L1047">
        <f>(5-INDEX(tblCleanData[JobSatisfaction],1039))*6.25</f>
        <v>25</v>
      </c>
      <c r="M1047">
        <f>IF(INDEX(tblCleanData[YearsAtCompany],1039)&lt;=2,25,IF(INDEX(tblCleanData[YearsAtCompany],1039)&lt;=5,15,IF(INDEX(tblCleanData[YearsAtCompany],1039)&lt;=10,8,3)))</f>
        <v>25</v>
      </c>
      <c r="N1047">
        <f t="shared" si="32"/>
        <v>65</v>
      </c>
      <c r="O1047" t="str">
        <f t="shared" si="33"/>
        <v>High Risk</v>
      </c>
    </row>
    <row r="1048" spans="1:15" x14ac:dyDescent="0.25">
      <c r="A1048">
        <f>INDEX(tblCleanData[EmployeeNumber],1040)</f>
        <v>1467</v>
      </c>
      <c r="B1048" t="str">
        <f>IF(INDEX(tblCleanData[Age],1040)&lt;30,"Under 30",IF(INDEX(tblCleanData[Age],1040)&lt;40,"30-39",IF(INDEX(tblCleanData[Age],1040)&lt;50,"40-49","50+")))</f>
        <v>30-39</v>
      </c>
      <c r="C1048" t="str">
        <f>IF(INDEX(tblCleanData[MonthlyIncome],1040)&lt;=$B$3,"Low Income",IF(INDEX(tblCleanData[MonthlyIncome],1040)&lt;=$B$4,"Medium Income","High Income"))</f>
        <v>High Income</v>
      </c>
      <c r="D1048">
        <f>IF(INDEX(tblCleanData[Attrition],1040)="Yes",1,0)</f>
        <v>1</v>
      </c>
      <c r="E1048">
        <f>IF(INDEX(tblCleanData[OverTime],1040)="Yes",1,0)</f>
        <v>0</v>
      </c>
      <c r="F1048" t="str">
        <f>CHOOSE(INDEX(tblCleanData[Education],1040),"Below College","College","Bachelor","Master","Doctor")</f>
        <v>Master</v>
      </c>
      <c r="G1048" t="str">
        <f>IF(INDEX(tblCleanData[YearsAtCompany],1040)&lt;=2,"0-2 Years",IF(INDEX(tblCleanData[YearsAtCompany],1040)&lt;=5,"3-5 Years",IF(INDEX(tblCleanData[YearsAtCompany],1040)&lt;=10,"6-10 Years","10+ Years")))</f>
        <v>0-2 Years</v>
      </c>
      <c r="H1048" t="str">
        <f>IF(INDEX(tblCleanData[WorkLifeBalance],1040)&lt;=2,"Elevated","Normal")</f>
        <v>Normal</v>
      </c>
      <c r="I1048">
        <f>IF(INDEX(tblCleanData[Age],1040)&lt;30,30,IF(INDEX(tblCleanData[Age],1040)&lt;40,20,IF(INDEX(tblCleanData[Age],1040)&lt;50,10,15)))</f>
        <v>20</v>
      </c>
      <c r="J1048">
        <f>IF(INDEX(tblCleanData[MonthlyIncome],1040)&lt;=$B$3,25,IF(INDEX(tblCleanData[MonthlyIncome],1040)&lt;=$B$4,12,5))</f>
        <v>5</v>
      </c>
      <c r="K1048">
        <f>IF(INDEX(tblCleanData[OverTime],1040)="Yes",25,0)</f>
        <v>0</v>
      </c>
      <c r="L1048">
        <f>(5-INDEX(tblCleanData[JobSatisfaction],1040))*6.25</f>
        <v>12.5</v>
      </c>
      <c r="M1048">
        <f>IF(INDEX(tblCleanData[YearsAtCompany],1040)&lt;=2,25,IF(INDEX(tblCleanData[YearsAtCompany],1040)&lt;=5,15,IF(INDEX(tblCleanData[YearsAtCompany],1040)&lt;=10,8,3)))</f>
        <v>25</v>
      </c>
      <c r="N1048">
        <f t="shared" si="32"/>
        <v>63</v>
      </c>
      <c r="O1048" t="str">
        <f t="shared" si="33"/>
        <v>High Risk</v>
      </c>
    </row>
    <row r="1049" spans="1:15" x14ac:dyDescent="0.25">
      <c r="A1049">
        <f>INDEX(tblCleanData[EmployeeNumber],1041)</f>
        <v>1468</v>
      </c>
      <c r="B1049" t="str">
        <f>IF(INDEX(tblCleanData[Age],1041)&lt;30,"Under 30",IF(INDEX(tblCleanData[Age],1041)&lt;40,"30-39",IF(INDEX(tblCleanData[Age],1041)&lt;50,"40-49","50+")))</f>
        <v>40-49</v>
      </c>
      <c r="C1049" t="str">
        <f>IF(INDEX(tblCleanData[MonthlyIncome],1041)&lt;=$B$3,"Low Income",IF(INDEX(tblCleanData[MonthlyIncome],1041)&lt;=$B$4,"Medium Income","High Income"))</f>
        <v>High Income</v>
      </c>
      <c r="D1049">
        <f>IF(INDEX(tblCleanData[Attrition],1041)="Yes",1,0)</f>
        <v>0</v>
      </c>
      <c r="E1049">
        <f>IF(INDEX(tblCleanData[OverTime],1041)="Yes",1,0)</f>
        <v>0</v>
      </c>
      <c r="F1049" t="str">
        <f>CHOOSE(INDEX(tblCleanData[Education],1041),"Below College","College","Bachelor","Master","Doctor")</f>
        <v>Below College</v>
      </c>
      <c r="G1049" t="str">
        <f>IF(INDEX(tblCleanData[YearsAtCompany],1041)&lt;=2,"0-2 Years",IF(INDEX(tblCleanData[YearsAtCompany],1041)&lt;=5,"3-5 Years",IF(INDEX(tblCleanData[YearsAtCompany],1041)&lt;=10,"6-10 Years","10+ Years")))</f>
        <v>6-10 Years</v>
      </c>
      <c r="H1049" t="str">
        <f>IF(INDEX(tblCleanData[WorkLifeBalance],1041)&lt;=2,"Elevated","Normal")</f>
        <v>Normal</v>
      </c>
      <c r="I1049">
        <f>IF(INDEX(tblCleanData[Age],1041)&lt;30,30,IF(INDEX(tblCleanData[Age],1041)&lt;40,20,IF(INDEX(tblCleanData[Age],1041)&lt;50,10,15)))</f>
        <v>10</v>
      </c>
      <c r="J1049">
        <f>IF(INDEX(tblCleanData[MonthlyIncome],1041)&lt;=$B$3,25,IF(INDEX(tblCleanData[MonthlyIncome],1041)&lt;=$B$4,12,5))</f>
        <v>5</v>
      </c>
      <c r="K1049">
        <f>IF(INDEX(tblCleanData[OverTime],1041)="Yes",25,0)</f>
        <v>0</v>
      </c>
      <c r="L1049">
        <f>(5-INDEX(tblCleanData[JobSatisfaction],1041))*6.25</f>
        <v>18.75</v>
      </c>
      <c r="M1049">
        <f>IF(INDEX(tblCleanData[YearsAtCompany],1041)&lt;=2,25,IF(INDEX(tblCleanData[YearsAtCompany],1041)&lt;=5,15,IF(INDEX(tblCleanData[YearsAtCompany],1041)&lt;=10,8,3)))</f>
        <v>8</v>
      </c>
      <c r="N1049">
        <f t="shared" si="32"/>
        <v>42</v>
      </c>
      <c r="O1049" t="str">
        <f t="shared" si="33"/>
        <v>Medium Risk</v>
      </c>
    </row>
    <row r="1050" spans="1:15" x14ac:dyDescent="0.25">
      <c r="A1050">
        <f>INDEX(tblCleanData[EmployeeNumber],1042)</f>
        <v>1469</v>
      </c>
      <c r="B1050" t="str">
        <f>IF(INDEX(tblCleanData[Age],1042)&lt;30,"Under 30",IF(INDEX(tblCleanData[Age],1042)&lt;40,"30-39",IF(INDEX(tblCleanData[Age],1042)&lt;50,"40-49","50+")))</f>
        <v>Under 30</v>
      </c>
      <c r="C1050" t="str">
        <f>IF(INDEX(tblCleanData[MonthlyIncome],1042)&lt;=$B$3,"Low Income",IF(INDEX(tblCleanData[MonthlyIncome],1042)&lt;=$B$4,"Medium Income","High Income"))</f>
        <v>High Income</v>
      </c>
      <c r="D1050">
        <f>IF(INDEX(tblCleanData[Attrition],1042)="Yes",1,0)</f>
        <v>0</v>
      </c>
      <c r="E1050">
        <f>IF(INDEX(tblCleanData[OverTime],1042)="Yes",1,0)</f>
        <v>0</v>
      </c>
      <c r="F1050" t="str">
        <f>CHOOSE(INDEX(tblCleanData[Education],1042),"Below College","College","Bachelor","Master","Doctor")</f>
        <v>Bachelor</v>
      </c>
      <c r="G1050" t="str">
        <f>IF(INDEX(tblCleanData[YearsAtCompany],1042)&lt;=2,"0-2 Years",IF(INDEX(tblCleanData[YearsAtCompany],1042)&lt;=5,"3-5 Years",IF(INDEX(tblCleanData[YearsAtCompany],1042)&lt;=10,"6-10 Years","10+ Years")))</f>
        <v>3-5 Years</v>
      </c>
      <c r="H1050" t="str">
        <f>IF(INDEX(tblCleanData[WorkLifeBalance],1042)&lt;=2,"Elevated","Normal")</f>
        <v>Normal</v>
      </c>
      <c r="I1050">
        <f>IF(INDEX(tblCleanData[Age],1042)&lt;30,30,IF(INDEX(tblCleanData[Age],1042)&lt;40,20,IF(INDEX(tblCleanData[Age],1042)&lt;50,10,15)))</f>
        <v>30</v>
      </c>
      <c r="J1050">
        <f>IF(INDEX(tblCleanData[MonthlyIncome],1042)&lt;=$B$3,25,IF(INDEX(tblCleanData[MonthlyIncome],1042)&lt;=$B$4,12,5))</f>
        <v>5</v>
      </c>
      <c r="K1050">
        <f>IF(INDEX(tblCleanData[OverTime],1042)="Yes",25,0)</f>
        <v>0</v>
      </c>
      <c r="L1050">
        <f>(5-INDEX(tblCleanData[JobSatisfaction],1042))*6.25</f>
        <v>25</v>
      </c>
      <c r="M1050">
        <f>IF(INDEX(tblCleanData[YearsAtCompany],1042)&lt;=2,25,IF(INDEX(tblCleanData[YearsAtCompany],1042)&lt;=5,15,IF(INDEX(tblCleanData[YearsAtCompany],1042)&lt;=10,8,3)))</f>
        <v>15</v>
      </c>
      <c r="N1050">
        <f t="shared" si="32"/>
        <v>75</v>
      </c>
      <c r="O1050" t="str">
        <f t="shared" si="33"/>
        <v>High Risk</v>
      </c>
    </row>
    <row r="1051" spans="1:15" x14ac:dyDescent="0.25">
      <c r="A1051">
        <f>INDEX(tblCleanData[EmployeeNumber],1043)</f>
        <v>1471</v>
      </c>
      <c r="B1051" t="str">
        <f>IF(INDEX(tblCleanData[Age],1043)&lt;30,"Under 30",IF(INDEX(tblCleanData[Age],1043)&lt;40,"30-39",IF(INDEX(tblCleanData[Age],1043)&lt;50,"40-49","50+")))</f>
        <v>40-49</v>
      </c>
      <c r="C1051" t="str">
        <f>IF(INDEX(tblCleanData[MonthlyIncome],1043)&lt;=$B$3,"Low Income",IF(INDEX(tblCleanData[MonthlyIncome],1043)&lt;=$B$4,"Medium Income","High Income"))</f>
        <v>High Income</v>
      </c>
      <c r="D1051">
        <f>IF(INDEX(tblCleanData[Attrition],1043)="Yes",1,0)</f>
        <v>0</v>
      </c>
      <c r="E1051">
        <f>IF(INDEX(tblCleanData[OverTime],1043)="Yes",1,0)</f>
        <v>0</v>
      </c>
      <c r="F1051" t="str">
        <f>CHOOSE(INDEX(tblCleanData[Education],1043),"Below College","College","Bachelor","Master","Doctor")</f>
        <v>Bachelor</v>
      </c>
      <c r="G1051" t="str">
        <f>IF(INDEX(tblCleanData[YearsAtCompany],1043)&lt;=2,"0-2 Years",IF(INDEX(tblCleanData[YearsAtCompany],1043)&lt;=5,"3-5 Years",IF(INDEX(tblCleanData[YearsAtCompany],1043)&lt;=10,"6-10 Years","10+ Years")))</f>
        <v>3-5 Years</v>
      </c>
      <c r="H1051" t="str">
        <f>IF(INDEX(tblCleanData[WorkLifeBalance],1043)&lt;=2,"Elevated","Normal")</f>
        <v>Normal</v>
      </c>
      <c r="I1051">
        <f>IF(INDEX(tblCleanData[Age],1043)&lt;30,30,IF(INDEX(tblCleanData[Age],1043)&lt;40,20,IF(INDEX(tblCleanData[Age],1043)&lt;50,10,15)))</f>
        <v>10</v>
      </c>
      <c r="J1051">
        <f>IF(INDEX(tblCleanData[MonthlyIncome],1043)&lt;=$B$3,25,IF(INDEX(tblCleanData[MonthlyIncome],1043)&lt;=$B$4,12,5))</f>
        <v>5</v>
      </c>
      <c r="K1051">
        <f>IF(INDEX(tblCleanData[OverTime],1043)="Yes",25,0)</f>
        <v>0</v>
      </c>
      <c r="L1051">
        <f>(5-INDEX(tblCleanData[JobSatisfaction],1043))*6.25</f>
        <v>12.5</v>
      </c>
      <c r="M1051">
        <f>IF(INDEX(tblCleanData[YearsAtCompany],1043)&lt;=2,25,IF(INDEX(tblCleanData[YearsAtCompany],1043)&lt;=5,15,IF(INDEX(tblCleanData[YearsAtCompany],1043)&lt;=10,8,3)))</f>
        <v>15</v>
      </c>
      <c r="N1051">
        <f t="shared" si="32"/>
        <v>43</v>
      </c>
      <c r="O1051" t="str">
        <f t="shared" si="33"/>
        <v>Medium Risk</v>
      </c>
    </row>
    <row r="1052" spans="1:15" x14ac:dyDescent="0.25">
      <c r="A1052">
        <f>INDEX(tblCleanData[EmployeeNumber],1044)</f>
        <v>1472</v>
      </c>
      <c r="B1052" t="str">
        <f>IF(INDEX(tblCleanData[Age],1044)&lt;30,"Under 30",IF(INDEX(tblCleanData[Age],1044)&lt;40,"30-39",IF(INDEX(tblCleanData[Age],1044)&lt;50,"40-49","50+")))</f>
        <v>50+</v>
      </c>
      <c r="C1052" t="str">
        <f>IF(INDEX(tblCleanData[MonthlyIncome],1044)&lt;=$B$3,"Low Income",IF(INDEX(tblCleanData[MonthlyIncome],1044)&lt;=$B$4,"Medium Income","High Income"))</f>
        <v>High Income</v>
      </c>
      <c r="D1052">
        <f>IF(INDEX(tblCleanData[Attrition],1044)="Yes",1,0)</f>
        <v>0</v>
      </c>
      <c r="E1052">
        <f>IF(INDEX(tblCleanData[OverTime],1044)="Yes",1,0)</f>
        <v>0</v>
      </c>
      <c r="F1052" t="str">
        <f>CHOOSE(INDEX(tblCleanData[Education],1044),"Below College","College","Bachelor","Master","Doctor")</f>
        <v>Bachelor</v>
      </c>
      <c r="G1052" t="str">
        <f>IF(INDEX(tblCleanData[YearsAtCompany],1044)&lt;=2,"0-2 Years",IF(INDEX(tblCleanData[YearsAtCompany],1044)&lt;=5,"3-5 Years",IF(INDEX(tblCleanData[YearsAtCompany],1044)&lt;=10,"6-10 Years","10+ Years")))</f>
        <v>6-10 Years</v>
      </c>
      <c r="H1052" t="str">
        <f>IF(INDEX(tblCleanData[WorkLifeBalance],1044)&lt;=2,"Elevated","Normal")</f>
        <v>Elevated</v>
      </c>
      <c r="I1052">
        <f>IF(INDEX(tblCleanData[Age],1044)&lt;30,30,IF(INDEX(tblCleanData[Age],1044)&lt;40,20,IF(INDEX(tblCleanData[Age],1044)&lt;50,10,15)))</f>
        <v>15</v>
      </c>
      <c r="J1052">
        <f>IF(INDEX(tblCleanData[MonthlyIncome],1044)&lt;=$B$3,25,IF(INDEX(tblCleanData[MonthlyIncome],1044)&lt;=$B$4,12,5))</f>
        <v>5</v>
      </c>
      <c r="K1052">
        <f>IF(INDEX(tblCleanData[OverTime],1044)="Yes",25,0)</f>
        <v>0</v>
      </c>
      <c r="L1052">
        <f>(5-INDEX(tblCleanData[JobSatisfaction],1044))*6.25</f>
        <v>18.75</v>
      </c>
      <c r="M1052">
        <f>IF(INDEX(tblCleanData[YearsAtCompany],1044)&lt;=2,25,IF(INDEX(tblCleanData[YearsAtCompany],1044)&lt;=5,15,IF(INDEX(tblCleanData[YearsAtCompany],1044)&lt;=10,8,3)))</f>
        <v>8</v>
      </c>
      <c r="N1052">
        <f t="shared" si="32"/>
        <v>47</v>
      </c>
      <c r="O1052" t="str">
        <f t="shared" si="33"/>
        <v>Medium Risk</v>
      </c>
    </row>
    <row r="1053" spans="1:15" x14ac:dyDescent="0.25">
      <c r="A1053">
        <f>INDEX(tblCleanData[EmployeeNumber],1045)</f>
        <v>1473</v>
      </c>
      <c r="B1053" t="str">
        <f>IF(INDEX(tblCleanData[Age],1045)&lt;30,"Under 30",IF(INDEX(tblCleanData[Age],1045)&lt;40,"30-39",IF(INDEX(tblCleanData[Age],1045)&lt;50,"40-49","50+")))</f>
        <v>40-49</v>
      </c>
      <c r="C1053" t="str">
        <f>IF(INDEX(tblCleanData[MonthlyIncome],1045)&lt;=$B$3,"Low Income",IF(INDEX(tblCleanData[MonthlyIncome],1045)&lt;=$B$4,"Medium Income","High Income"))</f>
        <v>High Income</v>
      </c>
      <c r="D1053">
        <f>IF(INDEX(tblCleanData[Attrition],1045)="Yes",1,0)</f>
        <v>0</v>
      </c>
      <c r="E1053">
        <f>IF(INDEX(tblCleanData[OverTime],1045)="Yes",1,0)</f>
        <v>0</v>
      </c>
      <c r="F1053" t="str">
        <f>CHOOSE(INDEX(tblCleanData[Education],1045),"Below College","College","Bachelor","Master","Doctor")</f>
        <v>Master</v>
      </c>
      <c r="G1053" t="str">
        <f>IF(INDEX(tblCleanData[YearsAtCompany],1045)&lt;=2,"0-2 Years",IF(INDEX(tblCleanData[YearsAtCompany],1045)&lt;=5,"3-5 Years",IF(INDEX(tblCleanData[YearsAtCompany],1045)&lt;=10,"6-10 Years","10+ Years")))</f>
        <v>3-5 Years</v>
      </c>
      <c r="H1053" t="str">
        <f>IF(INDEX(tblCleanData[WorkLifeBalance],1045)&lt;=2,"Elevated","Normal")</f>
        <v>Elevated</v>
      </c>
      <c r="I1053">
        <f>IF(INDEX(tblCleanData[Age],1045)&lt;30,30,IF(INDEX(tblCleanData[Age],1045)&lt;40,20,IF(INDEX(tblCleanData[Age],1045)&lt;50,10,15)))</f>
        <v>10</v>
      </c>
      <c r="J1053">
        <f>IF(INDEX(tblCleanData[MonthlyIncome],1045)&lt;=$B$3,25,IF(INDEX(tblCleanData[MonthlyIncome],1045)&lt;=$B$4,12,5))</f>
        <v>5</v>
      </c>
      <c r="K1053">
        <f>IF(INDEX(tblCleanData[OverTime],1045)="Yes",25,0)</f>
        <v>0</v>
      </c>
      <c r="L1053">
        <f>(5-INDEX(tblCleanData[JobSatisfaction],1045))*6.25</f>
        <v>12.5</v>
      </c>
      <c r="M1053">
        <f>IF(INDEX(tblCleanData[YearsAtCompany],1045)&lt;=2,25,IF(INDEX(tblCleanData[YearsAtCompany],1045)&lt;=5,15,IF(INDEX(tblCleanData[YearsAtCompany],1045)&lt;=10,8,3)))</f>
        <v>15</v>
      </c>
      <c r="N1053">
        <f t="shared" si="32"/>
        <v>43</v>
      </c>
      <c r="O1053" t="str">
        <f t="shared" si="33"/>
        <v>Medium Risk</v>
      </c>
    </row>
    <row r="1054" spans="1:15" x14ac:dyDescent="0.25">
      <c r="A1054">
        <f>INDEX(tblCleanData[EmployeeNumber],1046)</f>
        <v>1474</v>
      </c>
      <c r="B1054" t="str">
        <f>IF(INDEX(tblCleanData[Age],1046)&lt;30,"Under 30",IF(INDEX(tblCleanData[Age],1046)&lt;40,"30-39",IF(INDEX(tblCleanData[Age],1046)&lt;50,"40-49","50+")))</f>
        <v>40-49</v>
      </c>
      <c r="C1054" t="str">
        <f>IF(INDEX(tblCleanData[MonthlyIncome],1046)&lt;=$B$3,"Low Income",IF(INDEX(tblCleanData[MonthlyIncome],1046)&lt;=$B$4,"Medium Income","High Income"))</f>
        <v>High Income</v>
      </c>
      <c r="D1054">
        <f>IF(INDEX(tblCleanData[Attrition],1046)="Yes",1,0)</f>
        <v>0</v>
      </c>
      <c r="E1054">
        <f>IF(INDEX(tblCleanData[OverTime],1046)="Yes",1,0)</f>
        <v>0</v>
      </c>
      <c r="F1054" t="str">
        <f>CHOOSE(INDEX(tblCleanData[Education],1046),"Below College","College","Bachelor","Master","Doctor")</f>
        <v>Bachelor</v>
      </c>
      <c r="G1054" t="str">
        <f>IF(INDEX(tblCleanData[YearsAtCompany],1046)&lt;=2,"0-2 Years",IF(INDEX(tblCleanData[YearsAtCompany],1046)&lt;=5,"3-5 Years",IF(INDEX(tblCleanData[YearsAtCompany],1046)&lt;=10,"6-10 Years","10+ Years")))</f>
        <v>3-5 Years</v>
      </c>
      <c r="H1054" t="str">
        <f>IF(INDEX(tblCleanData[WorkLifeBalance],1046)&lt;=2,"Elevated","Normal")</f>
        <v>Normal</v>
      </c>
      <c r="I1054">
        <f>IF(INDEX(tblCleanData[Age],1046)&lt;30,30,IF(INDEX(tblCleanData[Age],1046)&lt;40,20,IF(INDEX(tblCleanData[Age],1046)&lt;50,10,15)))</f>
        <v>10</v>
      </c>
      <c r="J1054">
        <f>IF(INDEX(tblCleanData[MonthlyIncome],1046)&lt;=$B$3,25,IF(INDEX(tblCleanData[MonthlyIncome],1046)&lt;=$B$4,12,5))</f>
        <v>5</v>
      </c>
      <c r="K1054">
        <f>IF(INDEX(tblCleanData[OverTime],1046)="Yes",25,0)</f>
        <v>0</v>
      </c>
      <c r="L1054">
        <f>(5-INDEX(tblCleanData[JobSatisfaction],1046))*6.25</f>
        <v>12.5</v>
      </c>
      <c r="M1054">
        <f>IF(INDEX(tblCleanData[YearsAtCompany],1046)&lt;=2,25,IF(INDEX(tblCleanData[YearsAtCompany],1046)&lt;=5,15,IF(INDEX(tblCleanData[YearsAtCompany],1046)&lt;=10,8,3)))</f>
        <v>15</v>
      </c>
      <c r="N1054">
        <f t="shared" si="32"/>
        <v>43</v>
      </c>
      <c r="O1054" t="str">
        <f t="shared" si="33"/>
        <v>Medium Risk</v>
      </c>
    </row>
    <row r="1055" spans="1:15" x14ac:dyDescent="0.25">
      <c r="A1055">
        <f>INDEX(tblCleanData[EmployeeNumber],1047)</f>
        <v>1475</v>
      </c>
      <c r="B1055" t="str">
        <f>IF(INDEX(tblCleanData[Age],1047)&lt;30,"Under 30",IF(INDEX(tblCleanData[Age],1047)&lt;40,"30-39",IF(INDEX(tblCleanData[Age],1047)&lt;50,"40-49","50+")))</f>
        <v>40-49</v>
      </c>
      <c r="C1055" t="str">
        <f>IF(INDEX(tblCleanData[MonthlyIncome],1047)&lt;=$B$3,"Low Income",IF(INDEX(tblCleanData[MonthlyIncome],1047)&lt;=$B$4,"Medium Income","High Income"))</f>
        <v>High Income</v>
      </c>
      <c r="D1055">
        <f>IF(INDEX(tblCleanData[Attrition],1047)="Yes",1,0)</f>
        <v>0</v>
      </c>
      <c r="E1055">
        <f>IF(INDEX(tblCleanData[OverTime],1047)="Yes",1,0)</f>
        <v>0</v>
      </c>
      <c r="F1055" t="str">
        <f>CHOOSE(INDEX(tblCleanData[Education],1047),"Below College","College","Bachelor","Master","Doctor")</f>
        <v>Bachelor</v>
      </c>
      <c r="G1055" t="str">
        <f>IF(INDEX(tblCleanData[YearsAtCompany],1047)&lt;=2,"0-2 Years",IF(INDEX(tblCleanData[YearsAtCompany],1047)&lt;=5,"3-5 Years",IF(INDEX(tblCleanData[YearsAtCompany],1047)&lt;=10,"6-10 Years","10+ Years")))</f>
        <v>3-5 Years</v>
      </c>
      <c r="H1055" t="str">
        <f>IF(INDEX(tblCleanData[WorkLifeBalance],1047)&lt;=2,"Elevated","Normal")</f>
        <v>Elevated</v>
      </c>
      <c r="I1055">
        <f>IF(INDEX(tblCleanData[Age],1047)&lt;30,30,IF(INDEX(tblCleanData[Age],1047)&lt;40,20,IF(INDEX(tblCleanData[Age],1047)&lt;50,10,15)))</f>
        <v>10</v>
      </c>
      <c r="J1055">
        <f>IF(INDEX(tblCleanData[MonthlyIncome],1047)&lt;=$B$3,25,IF(INDEX(tblCleanData[MonthlyIncome],1047)&lt;=$B$4,12,5))</f>
        <v>5</v>
      </c>
      <c r="K1055">
        <f>IF(INDEX(tblCleanData[OverTime],1047)="Yes",25,0)</f>
        <v>0</v>
      </c>
      <c r="L1055">
        <f>(5-INDEX(tblCleanData[JobSatisfaction],1047))*6.25</f>
        <v>18.75</v>
      </c>
      <c r="M1055">
        <f>IF(INDEX(tblCleanData[YearsAtCompany],1047)&lt;=2,25,IF(INDEX(tblCleanData[YearsAtCompany],1047)&lt;=5,15,IF(INDEX(tblCleanData[YearsAtCompany],1047)&lt;=10,8,3)))</f>
        <v>15</v>
      </c>
      <c r="N1055">
        <f t="shared" si="32"/>
        <v>49</v>
      </c>
      <c r="O1055" t="str">
        <f t="shared" si="33"/>
        <v>Medium Risk</v>
      </c>
    </row>
    <row r="1056" spans="1:15" x14ac:dyDescent="0.25">
      <c r="A1056">
        <f>INDEX(tblCleanData[EmployeeNumber],1048)</f>
        <v>1477</v>
      </c>
      <c r="B1056" t="str">
        <f>IF(INDEX(tblCleanData[Age],1048)&lt;30,"Under 30",IF(INDEX(tblCleanData[Age],1048)&lt;40,"30-39",IF(INDEX(tblCleanData[Age],1048)&lt;50,"40-49","50+")))</f>
        <v>30-39</v>
      </c>
      <c r="C1056" t="str">
        <f>IF(INDEX(tblCleanData[MonthlyIncome],1048)&lt;=$B$3,"Low Income",IF(INDEX(tblCleanData[MonthlyIncome],1048)&lt;=$B$4,"Medium Income","High Income"))</f>
        <v>High Income</v>
      </c>
      <c r="D1056">
        <f>IF(INDEX(tblCleanData[Attrition],1048)="Yes",1,0)</f>
        <v>0</v>
      </c>
      <c r="E1056">
        <f>IF(INDEX(tblCleanData[OverTime],1048)="Yes",1,0)</f>
        <v>0</v>
      </c>
      <c r="F1056" t="str">
        <f>CHOOSE(INDEX(tblCleanData[Education],1048),"Below College","College","Bachelor","Master","Doctor")</f>
        <v>Bachelor</v>
      </c>
      <c r="G1056" t="str">
        <f>IF(INDEX(tblCleanData[YearsAtCompany],1048)&lt;=2,"0-2 Years",IF(INDEX(tblCleanData[YearsAtCompany],1048)&lt;=5,"3-5 Years",IF(INDEX(tblCleanData[YearsAtCompany],1048)&lt;=10,"6-10 Years","10+ Years")))</f>
        <v>3-5 Years</v>
      </c>
      <c r="H1056" t="str">
        <f>IF(INDEX(tblCleanData[WorkLifeBalance],1048)&lt;=2,"Elevated","Normal")</f>
        <v>Normal</v>
      </c>
      <c r="I1056">
        <f>IF(INDEX(tblCleanData[Age],1048)&lt;30,30,IF(INDEX(tblCleanData[Age],1048)&lt;40,20,IF(INDEX(tblCleanData[Age],1048)&lt;50,10,15)))</f>
        <v>20</v>
      </c>
      <c r="J1056">
        <f>IF(INDEX(tblCleanData[MonthlyIncome],1048)&lt;=$B$3,25,IF(INDEX(tblCleanData[MonthlyIncome],1048)&lt;=$B$4,12,5))</f>
        <v>5</v>
      </c>
      <c r="K1056">
        <f>IF(INDEX(tblCleanData[OverTime],1048)="Yes",25,0)</f>
        <v>0</v>
      </c>
      <c r="L1056">
        <f>(5-INDEX(tblCleanData[JobSatisfaction],1048))*6.25</f>
        <v>25</v>
      </c>
      <c r="M1056">
        <f>IF(INDEX(tblCleanData[YearsAtCompany],1048)&lt;=2,25,IF(INDEX(tblCleanData[YearsAtCompany],1048)&lt;=5,15,IF(INDEX(tblCleanData[YearsAtCompany],1048)&lt;=10,8,3)))</f>
        <v>15</v>
      </c>
      <c r="N1056">
        <f t="shared" si="32"/>
        <v>65</v>
      </c>
      <c r="O1056" t="str">
        <f t="shared" si="33"/>
        <v>High Risk</v>
      </c>
    </row>
    <row r="1057" spans="1:15" x14ac:dyDescent="0.25">
      <c r="A1057">
        <f>INDEX(tblCleanData[EmployeeNumber],1049)</f>
        <v>1478</v>
      </c>
      <c r="B1057" t="str">
        <f>IF(INDEX(tblCleanData[Age],1049)&lt;30,"Under 30",IF(INDEX(tblCleanData[Age],1049)&lt;40,"30-39",IF(INDEX(tblCleanData[Age],1049)&lt;50,"40-49","50+")))</f>
        <v>30-39</v>
      </c>
      <c r="C1057" t="str">
        <f>IF(INDEX(tblCleanData[MonthlyIncome],1049)&lt;=$B$3,"Low Income",IF(INDEX(tblCleanData[MonthlyIncome],1049)&lt;=$B$4,"Medium Income","High Income"))</f>
        <v>High Income</v>
      </c>
      <c r="D1057">
        <f>IF(INDEX(tblCleanData[Attrition],1049)="Yes",1,0)</f>
        <v>0</v>
      </c>
      <c r="E1057">
        <f>IF(INDEX(tblCleanData[OverTime],1049)="Yes",1,0)</f>
        <v>0</v>
      </c>
      <c r="F1057" t="str">
        <f>CHOOSE(INDEX(tblCleanData[Education],1049),"Below College","College","Bachelor","Master","Doctor")</f>
        <v>Bachelor</v>
      </c>
      <c r="G1057" t="str">
        <f>IF(INDEX(tblCleanData[YearsAtCompany],1049)&lt;=2,"0-2 Years",IF(INDEX(tblCleanData[YearsAtCompany],1049)&lt;=5,"3-5 Years",IF(INDEX(tblCleanData[YearsAtCompany],1049)&lt;=10,"6-10 Years","10+ Years")))</f>
        <v>10+ Years</v>
      </c>
      <c r="H1057" t="str">
        <f>IF(INDEX(tblCleanData[WorkLifeBalance],1049)&lt;=2,"Elevated","Normal")</f>
        <v>Normal</v>
      </c>
      <c r="I1057">
        <f>IF(INDEX(tblCleanData[Age],1049)&lt;30,30,IF(INDEX(tblCleanData[Age],1049)&lt;40,20,IF(INDEX(tblCleanData[Age],1049)&lt;50,10,15)))</f>
        <v>20</v>
      </c>
      <c r="J1057">
        <f>IF(INDEX(tblCleanData[MonthlyIncome],1049)&lt;=$B$3,25,IF(INDEX(tblCleanData[MonthlyIncome],1049)&lt;=$B$4,12,5))</f>
        <v>5</v>
      </c>
      <c r="K1057">
        <f>IF(INDEX(tblCleanData[OverTime],1049)="Yes",25,0)</f>
        <v>0</v>
      </c>
      <c r="L1057">
        <f>(5-INDEX(tblCleanData[JobSatisfaction],1049))*6.25</f>
        <v>25</v>
      </c>
      <c r="M1057">
        <f>IF(INDEX(tblCleanData[YearsAtCompany],1049)&lt;=2,25,IF(INDEX(tblCleanData[YearsAtCompany],1049)&lt;=5,15,IF(INDEX(tblCleanData[YearsAtCompany],1049)&lt;=10,8,3)))</f>
        <v>3</v>
      </c>
      <c r="N1057">
        <f t="shared" si="32"/>
        <v>53</v>
      </c>
      <c r="O1057" t="str">
        <f t="shared" si="33"/>
        <v>Medium Risk</v>
      </c>
    </row>
    <row r="1058" spans="1:15" x14ac:dyDescent="0.25">
      <c r="A1058">
        <f>INDEX(tblCleanData[EmployeeNumber],1050)</f>
        <v>1479</v>
      </c>
      <c r="B1058" t="str">
        <f>IF(INDEX(tblCleanData[Age],1050)&lt;30,"Under 30",IF(INDEX(tblCleanData[Age],1050)&lt;40,"30-39",IF(INDEX(tblCleanData[Age],1050)&lt;50,"40-49","50+")))</f>
        <v>30-39</v>
      </c>
      <c r="C1058" t="str">
        <f>IF(INDEX(tblCleanData[MonthlyIncome],1050)&lt;=$B$3,"Low Income",IF(INDEX(tblCleanData[MonthlyIncome],1050)&lt;=$B$4,"Medium Income","High Income"))</f>
        <v>High Income</v>
      </c>
      <c r="D1058">
        <f>IF(INDEX(tblCleanData[Attrition],1050)="Yes",1,0)</f>
        <v>0</v>
      </c>
      <c r="E1058">
        <f>IF(INDEX(tblCleanData[OverTime],1050)="Yes",1,0)</f>
        <v>0</v>
      </c>
      <c r="F1058" t="str">
        <f>CHOOSE(INDEX(tblCleanData[Education],1050),"Below College","College","Bachelor","Master","Doctor")</f>
        <v>Below College</v>
      </c>
      <c r="G1058" t="str">
        <f>IF(INDEX(tblCleanData[YearsAtCompany],1050)&lt;=2,"0-2 Years",IF(INDEX(tblCleanData[YearsAtCompany],1050)&lt;=5,"3-5 Years",IF(INDEX(tblCleanData[YearsAtCompany],1050)&lt;=10,"6-10 Years","10+ Years")))</f>
        <v>0-2 Years</v>
      </c>
      <c r="H1058" t="str">
        <f>IF(INDEX(tblCleanData[WorkLifeBalance],1050)&lt;=2,"Elevated","Normal")</f>
        <v>Elevated</v>
      </c>
      <c r="I1058">
        <f>IF(INDEX(tblCleanData[Age],1050)&lt;30,30,IF(INDEX(tblCleanData[Age],1050)&lt;40,20,IF(INDEX(tblCleanData[Age],1050)&lt;50,10,15)))</f>
        <v>20</v>
      </c>
      <c r="J1058">
        <f>IF(INDEX(tblCleanData[MonthlyIncome],1050)&lt;=$B$3,25,IF(INDEX(tblCleanData[MonthlyIncome],1050)&lt;=$B$4,12,5))</f>
        <v>5</v>
      </c>
      <c r="K1058">
        <f>IF(INDEX(tblCleanData[OverTime],1050)="Yes",25,0)</f>
        <v>0</v>
      </c>
      <c r="L1058">
        <f>(5-INDEX(tblCleanData[JobSatisfaction],1050))*6.25</f>
        <v>12.5</v>
      </c>
      <c r="M1058">
        <f>IF(INDEX(tblCleanData[YearsAtCompany],1050)&lt;=2,25,IF(INDEX(tblCleanData[YearsAtCompany],1050)&lt;=5,15,IF(INDEX(tblCleanData[YearsAtCompany],1050)&lt;=10,8,3)))</f>
        <v>25</v>
      </c>
      <c r="N1058">
        <f t="shared" si="32"/>
        <v>63</v>
      </c>
      <c r="O1058" t="str">
        <f t="shared" si="33"/>
        <v>High Risk</v>
      </c>
    </row>
    <row r="1059" spans="1:15" x14ac:dyDescent="0.25">
      <c r="A1059">
        <f>INDEX(tblCleanData[EmployeeNumber],1051)</f>
        <v>1480</v>
      </c>
      <c r="B1059" t="str">
        <f>IF(INDEX(tblCleanData[Age],1051)&lt;30,"Under 30",IF(INDEX(tblCleanData[Age],1051)&lt;40,"30-39",IF(INDEX(tblCleanData[Age],1051)&lt;50,"40-49","50+")))</f>
        <v>40-49</v>
      </c>
      <c r="C1059" t="str">
        <f>IF(INDEX(tblCleanData[MonthlyIncome],1051)&lt;=$B$3,"Low Income",IF(INDEX(tblCleanData[MonthlyIncome],1051)&lt;=$B$4,"Medium Income","High Income"))</f>
        <v>High Income</v>
      </c>
      <c r="D1059">
        <f>IF(INDEX(tblCleanData[Attrition],1051)="Yes",1,0)</f>
        <v>0</v>
      </c>
      <c r="E1059">
        <f>IF(INDEX(tblCleanData[OverTime],1051)="Yes",1,0)</f>
        <v>0</v>
      </c>
      <c r="F1059" t="str">
        <f>CHOOSE(INDEX(tblCleanData[Education],1051),"Below College","College","Bachelor","Master","Doctor")</f>
        <v>College</v>
      </c>
      <c r="G1059" t="str">
        <f>IF(INDEX(tblCleanData[YearsAtCompany],1051)&lt;=2,"0-2 Years",IF(INDEX(tblCleanData[YearsAtCompany],1051)&lt;=5,"3-5 Years",IF(INDEX(tblCleanData[YearsAtCompany],1051)&lt;=10,"6-10 Years","10+ Years")))</f>
        <v>10+ Years</v>
      </c>
      <c r="H1059" t="str">
        <f>IF(INDEX(tblCleanData[WorkLifeBalance],1051)&lt;=2,"Elevated","Normal")</f>
        <v>Normal</v>
      </c>
      <c r="I1059">
        <f>IF(INDEX(tblCleanData[Age],1051)&lt;30,30,IF(INDEX(tblCleanData[Age],1051)&lt;40,20,IF(INDEX(tblCleanData[Age],1051)&lt;50,10,15)))</f>
        <v>10</v>
      </c>
      <c r="J1059">
        <f>IF(INDEX(tblCleanData[MonthlyIncome],1051)&lt;=$B$3,25,IF(INDEX(tblCleanData[MonthlyIncome],1051)&lt;=$B$4,12,5))</f>
        <v>5</v>
      </c>
      <c r="K1059">
        <f>IF(INDEX(tblCleanData[OverTime],1051)="Yes",25,0)</f>
        <v>0</v>
      </c>
      <c r="L1059">
        <f>(5-INDEX(tblCleanData[JobSatisfaction],1051))*6.25</f>
        <v>6.25</v>
      </c>
      <c r="M1059">
        <f>IF(INDEX(tblCleanData[YearsAtCompany],1051)&lt;=2,25,IF(INDEX(tblCleanData[YearsAtCompany],1051)&lt;=5,15,IF(INDEX(tblCleanData[YearsAtCompany],1051)&lt;=10,8,3)))</f>
        <v>3</v>
      </c>
      <c r="N1059">
        <f t="shared" si="32"/>
        <v>24</v>
      </c>
      <c r="O1059" t="str">
        <f t="shared" si="33"/>
        <v>Low Risk</v>
      </c>
    </row>
    <row r="1060" spans="1:15" x14ac:dyDescent="0.25">
      <c r="A1060">
        <f>INDEX(tblCleanData[EmployeeNumber],1052)</f>
        <v>1481</v>
      </c>
      <c r="B1060" t="str">
        <f>IF(INDEX(tblCleanData[Age],1052)&lt;30,"Under 30",IF(INDEX(tblCleanData[Age],1052)&lt;40,"30-39",IF(INDEX(tblCleanData[Age],1052)&lt;50,"40-49","50+")))</f>
        <v>40-49</v>
      </c>
      <c r="C1060" t="str">
        <f>IF(INDEX(tblCleanData[MonthlyIncome],1052)&lt;=$B$3,"Low Income",IF(INDEX(tblCleanData[MonthlyIncome],1052)&lt;=$B$4,"Medium Income","High Income"))</f>
        <v>High Income</v>
      </c>
      <c r="D1060">
        <f>IF(INDEX(tblCleanData[Attrition],1052)="Yes",1,0)</f>
        <v>0</v>
      </c>
      <c r="E1060">
        <f>IF(INDEX(tblCleanData[OverTime],1052)="Yes",1,0)</f>
        <v>0</v>
      </c>
      <c r="F1060" t="str">
        <f>CHOOSE(INDEX(tblCleanData[Education],1052),"Below College","College","Bachelor","Master","Doctor")</f>
        <v>Doctor</v>
      </c>
      <c r="G1060" t="str">
        <f>IF(INDEX(tblCleanData[YearsAtCompany],1052)&lt;=2,"0-2 Years",IF(INDEX(tblCleanData[YearsAtCompany],1052)&lt;=5,"3-5 Years",IF(INDEX(tblCleanData[YearsAtCompany],1052)&lt;=10,"6-10 Years","10+ Years")))</f>
        <v>0-2 Years</v>
      </c>
      <c r="H1060" t="str">
        <f>IF(INDEX(tblCleanData[WorkLifeBalance],1052)&lt;=2,"Elevated","Normal")</f>
        <v>Elevated</v>
      </c>
      <c r="I1060">
        <f>IF(INDEX(tblCleanData[Age],1052)&lt;30,30,IF(INDEX(tblCleanData[Age],1052)&lt;40,20,IF(INDEX(tblCleanData[Age],1052)&lt;50,10,15)))</f>
        <v>10</v>
      </c>
      <c r="J1060">
        <f>IF(INDEX(tblCleanData[MonthlyIncome],1052)&lt;=$B$3,25,IF(INDEX(tblCleanData[MonthlyIncome],1052)&lt;=$B$4,12,5))</f>
        <v>5</v>
      </c>
      <c r="K1060">
        <f>IF(INDEX(tblCleanData[OverTime],1052)="Yes",25,0)</f>
        <v>0</v>
      </c>
      <c r="L1060">
        <f>(5-INDEX(tblCleanData[JobSatisfaction],1052))*6.25</f>
        <v>12.5</v>
      </c>
      <c r="M1060">
        <f>IF(INDEX(tblCleanData[YearsAtCompany],1052)&lt;=2,25,IF(INDEX(tblCleanData[YearsAtCompany],1052)&lt;=5,15,IF(INDEX(tblCleanData[YearsAtCompany],1052)&lt;=10,8,3)))</f>
        <v>25</v>
      </c>
      <c r="N1060">
        <f t="shared" si="32"/>
        <v>53</v>
      </c>
      <c r="O1060" t="str">
        <f t="shared" si="33"/>
        <v>Medium Risk</v>
      </c>
    </row>
    <row r="1061" spans="1:15" x14ac:dyDescent="0.25">
      <c r="A1061">
        <f>INDEX(tblCleanData[EmployeeNumber],1053)</f>
        <v>1482</v>
      </c>
      <c r="B1061" t="str">
        <f>IF(INDEX(tblCleanData[Age],1053)&lt;30,"Under 30",IF(INDEX(tblCleanData[Age],1053)&lt;40,"30-39",IF(INDEX(tblCleanData[Age],1053)&lt;50,"40-49","50+")))</f>
        <v>30-39</v>
      </c>
      <c r="C1061" t="str">
        <f>IF(INDEX(tblCleanData[MonthlyIncome],1053)&lt;=$B$3,"Low Income",IF(INDEX(tblCleanData[MonthlyIncome],1053)&lt;=$B$4,"Medium Income","High Income"))</f>
        <v>High Income</v>
      </c>
      <c r="D1061">
        <f>IF(INDEX(tblCleanData[Attrition],1053)="Yes",1,0)</f>
        <v>0</v>
      </c>
      <c r="E1061">
        <f>IF(INDEX(tblCleanData[OverTime],1053)="Yes",1,0)</f>
        <v>0</v>
      </c>
      <c r="F1061" t="str">
        <f>CHOOSE(INDEX(tblCleanData[Education],1053),"Below College","College","Bachelor","Master","Doctor")</f>
        <v>Bachelor</v>
      </c>
      <c r="G1061" t="str">
        <f>IF(INDEX(tblCleanData[YearsAtCompany],1053)&lt;=2,"0-2 Years",IF(INDEX(tblCleanData[YearsAtCompany],1053)&lt;=5,"3-5 Years",IF(INDEX(tblCleanData[YearsAtCompany],1053)&lt;=10,"6-10 Years","10+ Years")))</f>
        <v>0-2 Years</v>
      </c>
      <c r="H1061" t="str">
        <f>IF(INDEX(tblCleanData[WorkLifeBalance],1053)&lt;=2,"Elevated","Normal")</f>
        <v>Elevated</v>
      </c>
      <c r="I1061">
        <f>IF(INDEX(tblCleanData[Age],1053)&lt;30,30,IF(INDEX(tblCleanData[Age],1053)&lt;40,20,IF(INDEX(tblCleanData[Age],1053)&lt;50,10,15)))</f>
        <v>20</v>
      </c>
      <c r="J1061">
        <f>IF(INDEX(tblCleanData[MonthlyIncome],1053)&lt;=$B$3,25,IF(INDEX(tblCleanData[MonthlyIncome],1053)&lt;=$B$4,12,5))</f>
        <v>5</v>
      </c>
      <c r="K1061">
        <f>IF(INDEX(tblCleanData[OverTime],1053)="Yes",25,0)</f>
        <v>0</v>
      </c>
      <c r="L1061">
        <f>(5-INDEX(tblCleanData[JobSatisfaction],1053))*6.25</f>
        <v>12.5</v>
      </c>
      <c r="M1061">
        <f>IF(INDEX(tblCleanData[YearsAtCompany],1053)&lt;=2,25,IF(INDEX(tblCleanData[YearsAtCompany],1053)&lt;=5,15,IF(INDEX(tblCleanData[YearsAtCompany],1053)&lt;=10,8,3)))</f>
        <v>25</v>
      </c>
      <c r="N1061">
        <f t="shared" si="32"/>
        <v>63</v>
      </c>
      <c r="O1061" t="str">
        <f t="shared" si="33"/>
        <v>High Risk</v>
      </c>
    </row>
    <row r="1062" spans="1:15" x14ac:dyDescent="0.25">
      <c r="A1062">
        <f>INDEX(tblCleanData[EmployeeNumber],1054)</f>
        <v>1483</v>
      </c>
      <c r="B1062" t="str">
        <f>IF(INDEX(tblCleanData[Age],1054)&lt;30,"Under 30",IF(INDEX(tblCleanData[Age],1054)&lt;40,"30-39",IF(INDEX(tblCleanData[Age],1054)&lt;50,"40-49","50+")))</f>
        <v>50+</v>
      </c>
      <c r="C1062" t="str">
        <f>IF(INDEX(tblCleanData[MonthlyIncome],1054)&lt;=$B$3,"Low Income",IF(INDEX(tblCleanData[MonthlyIncome],1054)&lt;=$B$4,"Medium Income","High Income"))</f>
        <v>High Income</v>
      </c>
      <c r="D1062">
        <f>IF(INDEX(tblCleanData[Attrition],1054)="Yes",1,0)</f>
        <v>0</v>
      </c>
      <c r="E1062">
        <f>IF(INDEX(tblCleanData[OverTime],1054)="Yes",1,0)</f>
        <v>0</v>
      </c>
      <c r="F1062" t="str">
        <f>CHOOSE(INDEX(tblCleanData[Education],1054),"Below College","College","Bachelor","Master","Doctor")</f>
        <v>College</v>
      </c>
      <c r="G1062" t="str">
        <f>IF(INDEX(tblCleanData[YearsAtCompany],1054)&lt;=2,"0-2 Years",IF(INDEX(tblCleanData[YearsAtCompany],1054)&lt;=5,"3-5 Years",IF(INDEX(tblCleanData[YearsAtCompany],1054)&lt;=10,"6-10 Years","10+ Years")))</f>
        <v>10+ Years</v>
      </c>
      <c r="H1062" t="str">
        <f>IF(INDEX(tblCleanData[WorkLifeBalance],1054)&lt;=2,"Elevated","Normal")</f>
        <v>Elevated</v>
      </c>
      <c r="I1062">
        <f>IF(INDEX(tblCleanData[Age],1054)&lt;30,30,IF(INDEX(tblCleanData[Age],1054)&lt;40,20,IF(INDEX(tblCleanData[Age],1054)&lt;50,10,15)))</f>
        <v>15</v>
      </c>
      <c r="J1062">
        <f>IF(INDEX(tblCleanData[MonthlyIncome],1054)&lt;=$B$3,25,IF(INDEX(tblCleanData[MonthlyIncome],1054)&lt;=$B$4,12,5))</f>
        <v>5</v>
      </c>
      <c r="K1062">
        <f>IF(INDEX(tblCleanData[OverTime],1054)="Yes",25,0)</f>
        <v>0</v>
      </c>
      <c r="L1062">
        <f>(5-INDEX(tblCleanData[JobSatisfaction],1054))*6.25</f>
        <v>12.5</v>
      </c>
      <c r="M1062">
        <f>IF(INDEX(tblCleanData[YearsAtCompany],1054)&lt;=2,25,IF(INDEX(tblCleanData[YearsAtCompany],1054)&lt;=5,15,IF(INDEX(tblCleanData[YearsAtCompany],1054)&lt;=10,8,3)))</f>
        <v>3</v>
      </c>
      <c r="N1062">
        <f t="shared" si="32"/>
        <v>36</v>
      </c>
      <c r="O1062" t="str">
        <f t="shared" si="33"/>
        <v>Medium Risk</v>
      </c>
    </row>
    <row r="1063" spans="1:15" x14ac:dyDescent="0.25">
      <c r="A1063">
        <f>INDEX(tblCleanData[EmployeeNumber],1055)</f>
        <v>1484</v>
      </c>
      <c r="B1063" t="str">
        <f>IF(INDEX(tblCleanData[Age],1055)&lt;30,"Under 30",IF(INDEX(tblCleanData[Age],1055)&lt;40,"30-39",IF(INDEX(tblCleanData[Age],1055)&lt;50,"40-49","50+")))</f>
        <v>40-49</v>
      </c>
      <c r="C1063" t="str">
        <f>IF(INDEX(tblCleanData[MonthlyIncome],1055)&lt;=$B$3,"Low Income",IF(INDEX(tblCleanData[MonthlyIncome],1055)&lt;=$B$4,"Medium Income","High Income"))</f>
        <v>High Income</v>
      </c>
      <c r="D1063">
        <f>IF(INDEX(tblCleanData[Attrition],1055)="Yes",1,0)</f>
        <v>0</v>
      </c>
      <c r="E1063">
        <f>IF(INDEX(tblCleanData[OverTime],1055)="Yes",1,0)</f>
        <v>0</v>
      </c>
      <c r="F1063" t="str">
        <f>CHOOSE(INDEX(tblCleanData[Education],1055),"Below College","College","Bachelor","Master","Doctor")</f>
        <v>Master</v>
      </c>
      <c r="G1063" t="str">
        <f>IF(INDEX(tblCleanData[YearsAtCompany],1055)&lt;=2,"0-2 Years",IF(INDEX(tblCleanData[YearsAtCompany],1055)&lt;=5,"3-5 Years",IF(INDEX(tblCleanData[YearsAtCompany],1055)&lt;=10,"6-10 Years","10+ Years")))</f>
        <v>6-10 Years</v>
      </c>
      <c r="H1063" t="str">
        <f>IF(INDEX(tblCleanData[WorkLifeBalance],1055)&lt;=2,"Elevated","Normal")</f>
        <v>Normal</v>
      </c>
      <c r="I1063">
        <f>IF(INDEX(tblCleanData[Age],1055)&lt;30,30,IF(INDEX(tblCleanData[Age],1055)&lt;40,20,IF(INDEX(tblCleanData[Age],1055)&lt;50,10,15)))</f>
        <v>10</v>
      </c>
      <c r="J1063">
        <f>IF(INDEX(tblCleanData[MonthlyIncome],1055)&lt;=$B$3,25,IF(INDEX(tblCleanData[MonthlyIncome],1055)&lt;=$B$4,12,5))</f>
        <v>5</v>
      </c>
      <c r="K1063">
        <f>IF(INDEX(tblCleanData[OverTime],1055)="Yes",25,0)</f>
        <v>0</v>
      </c>
      <c r="L1063">
        <f>(5-INDEX(tblCleanData[JobSatisfaction],1055))*6.25</f>
        <v>18.75</v>
      </c>
      <c r="M1063">
        <f>IF(INDEX(tblCleanData[YearsAtCompany],1055)&lt;=2,25,IF(INDEX(tblCleanData[YearsAtCompany],1055)&lt;=5,15,IF(INDEX(tblCleanData[YearsAtCompany],1055)&lt;=10,8,3)))</f>
        <v>8</v>
      </c>
      <c r="N1063">
        <f t="shared" si="32"/>
        <v>42</v>
      </c>
      <c r="O1063" t="str">
        <f t="shared" si="33"/>
        <v>Medium Risk</v>
      </c>
    </row>
    <row r="1064" spans="1:15" x14ac:dyDescent="0.25">
      <c r="A1064">
        <f>INDEX(tblCleanData[EmployeeNumber],1056)</f>
        <v>1485</v>
      </c>
      <c r="B1064" t="str">
        <f>IF(INDEX(tblCleanData[Age],1056)&lt;30,"Under 30",IF(INDEX(tblCleanData[Age],1056)&lt;40,"30-39",IF(INDEX(tblCleanData[Age],1056)&lt;50,"40-49","50+")))</f>
        <v>30-39</v>
      </c>
      <c r="C1064" t="str">
        <f>IF(INDEX(tblCleanData[MonthlyIncome],1056)&lt;=$B$3,"Low Income",IF(INDEX(tblCleanData[MonthlyIncome],1056)&lt;=$B$4,"Medium Income","High Income"))</f>
        <v>High Income</v>
      </c>
      <c r="D1064">
        <f>IF(INDEX(tblCleanData[Attrition],1056)="Yes",1,0)</f>
        <v>0</v>
      </c>
      <c r="E1064">
        <f>IF(INDEX(tblCleanData[OverTime],1056)="Yes",1,0)</f>
        <v>0</v>
      </c>
      <c r="F1064" t="str">
        <f>CHOOSE(INDEX(tblCleanData[Education],1056),"Below College","College","Bachelor","Master","Doctor")</f>
        <v>Bachelor</v>
      </c>
      <c r="G1064" t="str">
        <f>IF(INDEX(tblCleanData[YearsAtCompany],1056)&lt;=2,"0-2 Years",IF(INDEX(tblCleanData[YearsAtCompany],1056)&lt;=5,"3-5 Years",IF(INDEX(tblCleanData[YearsAtCompany],1056)&lt;=10,"6-10 Years","10+ Years")))</f>
        <v>10+ Years</v>
      </c>
      <c r="H1064" t="str">
        <f>IF(INDEX(tblCleanData[WorkLifeBalance],1056)&lt;=2,"Elevated","Normal")</f>
        <v>Elevated</v>
      </c>
      <c r="I1064">
        <f>IF(INDEX(tblCleanData[Age],1056)&lt;30,30,IF(INDEX(tblCleanData[Age],1056)&lt;40,20,IF(INDEX(tblCleanData[Age],1056)&lt;50,10,15)))</f>
        <v>20</v>
      </c>
      <c r="J1064">
        <f>IF(INDEX(tblCleanData[MonthlyIncome],1056)&lt;=$B$3,25,IF(INDEX(tblCleanData[MonthlyIncome],1056)&lt;=$B$4,12,5))</f>
        <v>5</v>
      </c>
      <c r="K1064">
        <f>IF(INDEX(tblCleanData[OverTime],1056)="Yes",25,0)</f>
        <v>0</v>
      </c>
      <c r="L1064">
        <f>(5-INDEX(tblCleanData[JobSatisfaction],1056))*6.25</f>
        <v>25</v>
      </c>
      <c r="M1064">
        <f>IF(INDEX(tblCleanData[YearsAtCompany],1056)&lt;=2,25,IF(INDEX(tblCleanData[YearsAtCompany],1056)&lt;=5,15,IF(INDEX(tblCleanData[YearsAtCompany],1056)&lt;=10,8,3)))</f>
        <v>3</v>
      </c>
      <c r="N1064">
        <f t="shared" si="32"/>
        <v>53</v>
      </c>
      <c r="O1064" t="str">
        <f t="shared" si="33"/>
        <v>Medium Risk</v>
      </c>
    </row>
    <row r="1065" spans="1:15" x14ac:dyDescent="0.25">
      <c r="A1065">
        <f>INDEX(tblCleanData[EmployeeNumber],1057)</f>
        <v>1486</v>
      </c>
      <c r="B1065" t="str">
        <f>IF(INDEX(tblCleanData[Age],1057)&lt;30,"Under 30",IF(INDEX(tblCleanData[Age],1057)&lt;40,"30-39",IF(INDEX(tblCleanData[Age],1057)&lt;50,"40-49","50+")))</f>
        <v>Under 30</v>
      </c>
      <c r="C1065" t="str">
        <f>IF(INDEX(tblCleanData[MonthlyIncome],1057)&lt;=$B$3,"Low Income",IF(INDEX(tblCleanData[MonthlyIncome],1057)&lt;=$B$4,"Medium Income","High Income"))</f>
        <v>High Income</v>
      </c>
      <c r="D1065">
        <f>IF(INDEX(tblCleanData[Attrition],1057)="Yes",1,0)</f>
        <v>1</v>
      </c>
      <c r="E1065">
        <f>IF(INDEX(tblCleanData[OverTime],1057)="Yes",1,0)</f>
        <v>0</v>
      </c>
      <c r="F1065" t="str">
        <f>CHOOSE(INDEX(tblCleanData[Education],1057),"Below College","College","Bachelor","Master","Doctor")</f>
        <v>Bachelor</v>
      </c>
      <c r="G1065" t="str">
        <f>IF(INDEX(tblCleanData[YearsAtCompany],1057)&lt;=2,"0-2 Years",IF(INDEX(tblCleanData[YearsAtCompany],1057)&lt;=5,"3-5 Years",IF(INDEX(tblCleanData[YearsAtCompany],1057)&lt;=10,"6-10 Years","10+ Years")))</f>
        <v>3-5 Years</v>
      </c>
      <c r="H1065" t="str">
        <f>IF(INDEX(tblCleanData[WorkLifeBalance],1057)&lt;=2,"Elevated","Normal")</f>
        <v>Normal</v>
      </c>
      <c r="I1065">
        <f>IF(INDEX(tblCleanData[Age],1057)&lt;30,30,IF(INDEX(tblCleanData[Age],1057)&lt;40,20,IF(INDEX(tblCleanData[Age],1057)&lt;50,10,15)))</f>
        <v>30</v>
      </c>
      <c r="J1065">
        <f>IF(INDEX(tblCleanData[MonthlyIncome],1057)&lt;=$B$3,25,IF(INDEX(tblCleanData[MonthlyIncome],1057)&lt;=$B$4,12,5))</f>
        <v>5</v>
      </c>
      <c r="K1065">
        <f>IF(INDEX(tblCleanData[OverTime],1057)="Yes",25,0)</f>
        <v>0</v>
      </c>
      <c r="L1065">
        <f>(5-INDEX(tblCleanData[JobSatisfaction],1057))*6.25</f>
        <v>12.5</v>
      </c>
      <c r="M1065">
        <f>IF(INDEX(tblCleanData[YearsAtCompany],1057)&lt;=2,25,IF(INDEX(tblCleanData[YearsAtCompany],1057)&lt;=5,15,IF(INDEX(tblCleanData[YearsAtCompany],1057)&lt;=10,8,3)))</f>
        <v>15</v>
      </c>
      <c r="N1065">
        <f t="shared" si="32"/>
        <v>63</v>
      </c>
      <c r="O1065" t="str">
        <f t="shared" si="33"/>
        <v>High Risk</v>
      </c>
    </row>
    <row r="1066" spans="1:15" x14ac:dyDescent="0.25">
      <c r="A1066">
        <f>INDEX(tblCleanData[EmployeeNumber],1058)</f>
        <v>1487</v>
      </c>
      <c r="B1066" t="str">
        <f>IF(INDEX(tblCleanData[Age],1058)&lt;30,"Under 30",IF(INDEX(tblCleanData[Age],1058)&lt;40,"30-39",IF(INDEX(tblCleanData[Age],1058)&lt;50,"40-49","50+")))</f>
        <v>Under 30</v>
      </c>
      <c r="C1066" t="str">
        <f>IF(INDEX(tblCleanData[MonthlyIncome],1058)&lt;=$B$3,"Low Income",IF(INDEX(tblCleanData[MonthlyIncome],1058)&lt;=$B$4,"Medium Income","High Income"))</f>
        <v>High Income</v>
      </c>
      <c r="D1066">
        <f>IF(INDEX(tblCleanData[Attrition],1058)="Yes",1,0)</f>
        <v>1</v>
      </c>
      <c r="E1066">
        <f>IF(INDEX(tblCleanData[OverTime],1058)="Yes",1,0)</f>
        <v>0</v>
      </c>
      <c r="F1066" t="str">
        <f>CHOOSE(INDEX(tblCleanData[Education],1058),"Below College","College","Bachelor","Master","Doctor")</f>
        <v>Bachelor</v>
      </c>
      <c r="G1066" t="str">
        <f>IF(INDEX(tblCleanData[YearsAtCompany],1058)&lt;=2,"0-2 Years",IF(INDEX(tblCleanData[YearsAtCompany],1058)&lt;=5,"3-5 Years",IF(INDEX(tblCleanData[YearsAtCompany],1058)&lt;=10,"6-10 Years","10+ Years")))</f>
        <v>3-5 Years</v>
      </c>
      <c r="H1066" t="str">
        <f>IF(INDEX(tblCleanData[WorkLifeBalance],1058)&lt;=2,"Elevated","Normal")</f>
        <v>Elevated</v>
      </c>
      <c r="I1066">
        <f>IF(INDEX(tblCleanData[Age],1058)&lt;30,30,IF(INDEX(tblCleanData[Age],1058)&lt;40,20,IF(INDEX(tblCleanData[Age],1058)&lt;50,10,15)))</f>
        <v>30</v>
      </c>
      <c r="J1066">
        <f>IF(INDEX(tblCleanData[MonthlyIncome],1058)&lt;=$B$3,25,IF(INDEX(tblCleanData[MonthlyIncome],1058)&lt;=$B$4,12,5))</f>
        <v>5</v>
      </c>
      <c r="K1066">
        <f>IF(INDEX(tblCleanData[OverTime],1058)="Yes",25,0)</f>
        <v>0</v>
      </c>
      <c r="L1066">
        <f>(5-INDEX(tblCleanData[JobSatisfaction],1058))*6.25</f>
        <v>18.75</v>
      </c>
      <c r="M1066">
        <f>IF(INDEX(tblCleanData[YearsAtCompany],1058)&lt;=2,25,IF(INDEX(tblCleanData[YearsAtCompany],1058)&lt;=5,15,IF(INDEX(tblCleanData[YearsAtCompany],1058)&lt;=10,8,3)))</f>
        <v>15</v>
      </c>
      <c r="N1066">
        <f t="shared" si="32"/>
        <v>69</v>
      </c>
      <c r="O1066" t="str">
        <f t="shared" si="33"/>
        <v>High Risk</v>
      </c>
    </row>
    <row r="1067" spans="1:15" x14ac:dyDescent="0.25">
      <c r="A1067">
        <f>INDEX(tblCleanData[EmployeeNumber],1059)</f>
        <v>1489</v>
      </c>
      <c r="B1067" t="str">
        <f>IF(INDEX(tblCleanData[Age],1059)&lt;30,"Under 30",IF(INDEX(tblCleanData[Age],1059)&lt;40,"30-39",IF(INDEX(tblCleanData[Age],1059)&lt;50,"40-49","50+")))</f>
        <v>30-39</v>
      </c>
      <c r="C1067" t="str">
        <f>IF(INDEX(tblCleanData[MonthlyIncome],1059)&lt;=$B$3,"Low Income",IF(INDEX(tblCleanData[MonthlyIncome],1059)&lt;=$B$4,"Medium Income","High Income"))</f>
        <v>High Income</v>
      </c>
      <c r="D1067">
        <f>IF(INDEX(tblCleanData[Attrition],1059)="Yes",1,0)</f>
        <v>1</v>
      </c>
      <c r="E1067">
        <f>IF(INDEX(tblCleanData[OverTime],1059)="Yes",1,0)</f>
        <v>1</v>
      </c>
      <c r="F1067" t="str">
        <f>CHOOSE(INDEX(tblCleanData[Education],1059),"Below College","College","Bachelor","Master","Doctor")</f>
        <v>Master</v>
      </c>
      <c r="G1067" t="str">
        <f>IF(INDEX(tblCleanData[YearsAtCompany],1059)&lt;=2,"0-2 Years",IF(INDEX(tblCleanData[YearsAtCompany],1059)&lt;=5,"3-5 Years",IF(INDEX(tblCleanData[YearsAtCompany],1059)&lt;=10,"6-10 Years","10+ Years")))</f>
        <v>10+ Years</v>
      </c>
      <c r="H1067" t="str">
        <f>IF(INDEX(tblCleanData[WorkLifeBalance],1059)&lt;=2,"Elevated","Normal")</f>
        <v>Normal</v>
      </c>
      <c r="I1067">
        <f>IF(INDEX(tblCleanData[Age],1059)&lt;30,30,IF(INDEX(tblCleanData[Age],1059)&lt;40,20,IF(INDEX(tblCleanData[Age],1059)&lt;50,10,15)))</f>
        <v>20</v>
      </c>
      <c r="J1067">
        <f>IF(INDEX(tblCleanData[MonthlyIncome],1059)&lt;=$B$3,25,IF(INDEX(tblCleanData[MonthlyIncome],1059)&lt;=$B$4,12,5))</f>
        <v>5</v>
      </c>
      <c r="K1067">
        <f>IF(INDEX(tblCleanData[OverTime],1059)="Yes",25,0)</f>
        <v>25</v>
      </c>
      <c r="L1067">
        <f>(5-INDEX(tblCleanData[JobSatisfaction],1059))*6.25</f>
        <v>18.75</v>
      </c>
      <c r="M1067">
        <f>IF(INDEX(tblCleanData[YearsAtCompany],1059)&lt;=2,25,IF(INDEX(tblCleanData[YearsAtCompany],1059)&lt;=5,15,IF(INDEX(tblCleanData[YearsAtCompany],1059)&lt;=10,8,3)))</f>
        <v>3</v>
      </c>
      <c r="N1067">
        <f t="shared" si="32"/>
        <v>72</v>
      </c>
      <c r="O1067" t="str">
        <f t="shared" si="33"/>
        <v>High Risk</v>
      </c>
    </row>
    <row r="1068" spans="1:15" x14ac:dyDescent="0.25">
      <c r="A1068">
        <f>INDEX(tblCleanData[EmployeeNumber],1060)</f>
        <v>1492</v>
      </c>
      <c r="B1068" t="str">
        <f>IF(INDEX(tblCleanData[Age],1060)&lt;30,"Under 30",IF(INDEX(tblCleanData[Age],1060)&lt;40,"30-39",IF(INDEX(tblCleanData[Age],1060)&lt;50,"40-49","50+")))</f>
        <v>30-39</v>
      </c>
      <c r="C1068" t="str">
        <f>IF(INDEX(tblCleanData[MonthlyIncome],1060)&lt;=$B$3,"Low Income",IF(INDEX(tblCleanData[MonthlyIncome],1060)&lt;=$B$4,"Medium Income","High Income"))</f>
        <v>High Income</v>
      </c>
      <c r="D1068">
        <f>IF(INDEX(tblCleanData[Attrition],1060)="Yes",1,0)</f>
        <v>0</v>
      </c>
      <c r="E1068">
        <f>IF(INDEX(tblCleanData[OverTime],1060)="Yes",1,0)</f>
        <v>0</v>
      </c>
      <c r="F1068" t="str">
        <f>CHOOSE(INDEX(tblCleanData[Education],1060),"Below College","College","Bachelor","Master","Doctor")</f>
        <v>Below College</v>
      </c>
      <c r="G1068" t="str">
        <f>IF(INDEX(tblCleanData[YearsAtCompany],1060)&lt;=2,"0-2 Years",IF(INDEX(tblCleanData[YearsAtCompany],1060)&lt;=5,"3-5 Years",IF(INDEX(tblCleanData[YearsAtCompany],1060)&lt;=10,"6-10 Years","10+ Years")))</f>
        <v>0-2 Years</v>
      </c>
      <c r="H1068" t="str">
        <f>IF(INDEX(tblCleanData[WorkLifeBalance],1060)&lt;=2,"Elevated","Normal")</f>
        <v>Normal</v>
      </c>
      <c r="I1068">
        <f>IF(INDEX(tblCleanData[Age],1060)&lt;30,30,IF(INDEX(tblCleanData[Age],1060)&lt;40,20,IF(INDEX(tblCleanData[Age],1060)&lt;50,10,15)))</f>
        <v>20</v>
      </c>
      <c r="J1068">
        <f>IF(INDEX(tblCleanData[MonthlyIncome],1060)&lt;=$B$3,25,IF(INDEX(tblCleanData[MonthlyIncome],1060)&lt;=$B$4,12,5))</f>
        <v>5</v>
      </c>
      <c r="K1068">
        <f>IF(INDEX(tblCleanData[OverTime],1060)="Yes",25,0)</f>
        <v>0</v>
      </c>
      <c r="L1068">
        <f>(5-INDEX(tblCleanData[JobSatisfaction],1060))*6.25</f>
        <v>12.5</v>
      </c>
      <c r="M1068">
        <f>IF(INDEX(tblCleanData[YearsAtCompany],1060)&lt;=2,25,IF(INDEX(tblCleanData[YearsAtCompany],1060)&lt;=5,15,IF(INDEX(tblCleanData[YearsAtCompany],1060)&lt;=10,8,3)))</f>
        <v>25</v>
      </c>
      <c r="N1068">
        <f t="shared" si="32"/>
        <v>63</v>
      </c>
      <c r="O1068" t="str">
        <f t="shared" si="33"/>
        <v>High Risk</v>
      </c>
    </row>
    <row r="1069" spans="1:15" x14ac:dyDescent="0.25">
      <c r="A1069">
        <f>INDEX(tblCleanData[EmployeeNumber],1061)</f>
        <v>1494</v>
      </c>
      <c r="B1069" t="str">
        <f>IF(INDEX(tblCleanData[Age],1061)&lt;30,"Under 30",IF(INDEX(tblCleanData[Age],1061)&lt;40,"30-39",IF(INDEX(tblCleanData[Age],1061)&lt;50,"40-49","50+")))</f>
        <v>Under 30</v>
      </c>
      <c r="C1069" t="str">
        <f>IF(INDEX(tblCleanData[MonthlyIncome],1061)&lt;=$B$3,"Low Income",IF(INDEX(tblCleanData[MonthlyIncome],1061)&lt;=$B$4,"Medium Income","High Income"))</f>
        <v>High Income</v>
      </c>
      <c r="D1069">
        <f>IF(INDEX(tblCleanData[Attrition],1061)="Yes",1,0)</f>
        <v>1</v>
      </c>
      <c r="E1069">
        <f>IF(INDEX(tblCleanData[OverTime],1061)="Yes",1,0)</f>
        <v>1</v>
      </c>
      <c r="F1069" t="str">
        <f>CHOOSE(INDEX(tblCleanData[Education],1061),"Below College","College","Bachelor","Master","Doctor")</f>
        <v>Bachelor</v>
      </c>
      <c r="G1069" t="str">
        <f>IF(INDEX(tblCleanData[YearsAtCompany],1061)&lt;=2,"0-2 Years",IF(INDEX(tblCleanData[YearsAtCompany],1061)&lt;=5,"3-5 Years",IF(INDEX(tblCleanData[YearsAtCompany],1061)&lt;=10,"6-10 Years","10+ Years")))</f>
        <v>0-2 Years</v>
      </c>
      <c r="H1069" t="str">
        <f>IF(INDEX(tblCleanData[WorkLifeBalance],1061)&lt;=2,"Elevated","Normal")</f>
        <v>Elevated</v>
      </c>
      <c r="I1069">
        <f>IF(INDEX(tblCleanData[Age],1061)&lt;30,30,IF(INDEX(tblCleanData[Age],1061)&lt;40,20,IF(INDEX(tblCleanData[Age],1061)&lt;50,10,15)))</f>
        <v>30</v>
      </c>
      <c r="J1069">
        <f>IF(INDEX(tblCleanData[MonthlyIncome],1061)&lt;=$B$3,25,IF(INDEX(tblCleanData[MonthlyIncome],1061)&lt;=$B$4,12,5))</f>
        <v>5</v>
      </c>
      <c r="K1069">
        <f>IF(INDEX(tblCleanData[OverTime],1061)="Yes",25,0)</f>
        <v>25</v>
      </c>
      <c r="L1069">
        <f>(5-INDEX(tblCleanData[JobSatisfaction],1061))*6.25</f>
        <v>25</v>
      </c>
      <c r="M1069">
        <f>IF(INDEX(tblCleanData[YearsAtCompany],1061)&lt;=2,25,IF(INDEX(tblCleanData[YearsAtCompany],1061)&lt;=5,15,IF(INDEX(tblCleanData[YearsAtCompany],1061)&lt;=10,8,3)))</f>
        <v>25</v>
      </c>
      <c r="N1069">
        <f t="shared" si="32"/>
        <v>110</v>
      </c>
      <c r="O1069" t="str">
        <f t="shared" si="33"/>
        <v>High Risk</v>
      </c>
    </row>
    <row r="1070" spans="1:15" x14ac:dyDescent="0.25">
      <c r="A1070">
        <f>INDEX(tblCleanData[EmployeeNumber],1062)</f>
        <v>1495</v>
      </c>
      <c r="B1070" t="str">
        <f>IF(INDEX(tblCleanData[Age],1062)&lt;30,"Under 30",IF(INDEX(tblCleanData[Age],1062)&lt;40,"30-39",IF(INDEX(tblCleanData[Age],1062)&lt;50,"40-49","50+")))</f>
        <v>Under 30</v>
      </c>
      <c r="C1070" t="str">
        <f>IF(INDEX(tblCleanData[MonthlyIncome],1062)&lt;=$B$3,"Low Income",IF(INDEX(tblCleanData[MonthlyIncome],1062)&lt;=$B$4,"Medium Income","High Income"))</f>
        <v>High Income</v>
      </c>
      <c r="D1070">
        <f>IF(INDEX(tblCleanData[Attrition],1062)="Yes",1,0)</f>
        <v>0</v>
      </c>
      <c r="E1070">
        <f>IF(INDEX(tblCleanData[OverTime],1062)="Yes",1,0)</f>
        <v>0</v>
      </c>
      <c r="F1070" t="str">
        <f>CHOOSE(INDEX(tblCleanData[Education],1062),"Below College","College","Bachelor","Master","Doctor")</f>
        <v>College</v>
      </c>
      <c r="G1070" t="str">
        <f>IF(INDEX(tblCleanData[YearsAtCompany],1062)&lt;=2,"0-2 Years",IF(INDEX(tblCleanData[YearsAtCompany],1062)&lt;=5,"3-5 Years",IF(INDEX(tblCleanData[YearsAtCompany],1062)&lt;=10,"6-10 Years","10+ Years")))</f>
        <v>0-2 Years</v>
      </c>
      <c r="H1070" t="str">
        <f>IF(INDEX(tblCleanData[WorkLifeBalance],1062)&lt;=2,"Elevated","Normal")</f>
        <v>Normal</v>
      </c>
      <c r="I1070">
        <f>IF(INDEX(tblCleanData[Age],1062)&lt;30,30,IF(INDEX(tblCleanData[Age],1062)&lt;40,20,IF(INDEX(tblCleanData[Age],1062)&lt;50,10,15)))</f>
        <v>30</v>
      </c>
      <c r="J1070">
        <f>IF(INDEX(tblCleanData[MonthlyIncome],1062)&lt;=$B$3,25,IF(INDEX(tblCleanData[MonthlyIncome],1062)&lt;=$B$4,12,5))</f>
        <v>5</v>
      </c>
      <c r="K1070">
        <f>IF(INDEX(tblCleanData[OverTime],1062)="Yes",25,0)</f>
        <v>0</v>
      </c>
      <c r="L1070">
        <f>(5-INDEX(tblCleanData[JobSatisfaction],1062))*6.25</f>
        <v>18.75</v>
      </c>
      <c r="M1070">
        <f>IF(INDEX(tblCleanData[YearsAtCompany],1062)&lt;=2,25,IF(INDEX(tblCleanData[YearsAtCompany],1062)&lt;=5,15,IF(INDEX(tblCleanData[YearsAtCompany],1062)&lt;=10,8,3)))</f>
        <v>25</v>
      </c>
      <c r="N1070">
        <f t="shared" si="32"/>
        <v>79</v>
      </c>
      <c r="O1070" t="str">
        <f t="shared" si="33"/>
        <v>High Risk</v>
      </c>
    </row>
    <row r="1071" spans="1:15" x14ac:dyDescent="0.25">
      <c r="A1071">
        <f>INDEX(tblCleanData[EmployeeNumber],1063)</f>
        <v>1496</v>
      </c>
      <c r="B1071" t="str">
        <f>IF(INDEX(tblCleanData[Age],1063)&lt;30,"Under 30",IF(INDEX(tblCleanData[Age],1063)&lt;40,"30-39",IF(INDEX(tblCleanData[Age],1063)&lt;50,"40-49","50+")))</f>
        <v>40-49</v>
      </c>
      <c r="C1071" t="str">
        <f>IF(INDEX(tblCleanData[MonthlyIncome],1063)&lt;=$B$3,"Low Income",IF(INDEX(tblCleanData[MonthlyIncome],1063)&lt;=$B$4,"Medium Income","High Income"))</f>
        <v>High Income</v>
      </c>
      <c r="D1071">
        <f>IF(INDEX(tblCleanData[Attrition],1063)="Yes",1,0)</f>
        <v>0</v>
      </c>
      <c r="E1071">
        <f>IF(INDEX(tblCleanData[OverTime],1063)="Yes",1,0)</f>
        <v>1</v>
      </c>
      <c r="F1071" t="str">
        <f>CHOOSE(INDEX(tblCleanData[Education],1063),"Below College","College","Bachelor","Master","Doctor")</f>
        <v>Below College</v>
      </c>
      <c r="G1071" t="str">
        <f>IF(INDEX(tblCleanData[YearsAtCompany],1063)&lt;=2,"0-2 Years",IF(INDEX(tblCleanData[YearsAtCompany],1063)&lt;=5,"3-5 Years",IF(INDEX(tblCleanData[YearsAtCompany],1063)&lt;=10,"6-10 Years","10+ Years")))</f>
        <v>0-2 Years</v>
      </c>
      <c r="H1071" t="str">
        <f>IF(INDEX(tblCleanData[WorkLifeBalance],1063)&lt;=2,"Elevated","Normal")</f>
        <v>Elevated</v>
      </c>
      <c r="I1071">
        <f>IF(INDEX(tblCleanData[Age],1063)&lt;30,30,IF(INDEX(tblCleanData[Age],1063)&lt;40,20,IF(INDEX(tblCleanData[Age],1063)&lt;50,10,15)))</f>
        <v>10</v>
      </c>
      <c r="J1071">
        <f>IF(INDEX(tblCleanData[MonthlyIncome],1063)&lt;=$B$3,25,IF(INDEX(tblCleanData[MonthlyIncome],1063)&lt;=$B$4,12,5))</f>
        <v>5</v>
      </c>
      <c r="K1071">
        <f>IF(INDEX(tblCleanData[OverTime],1063)="Yes",25,0)</f>
        <v>25</v>
      </c>
      <c r="L1071">
        <f>(5-INDEX(tblCleanData[JobSatisfaction],1063))*6.25</f>
        <v>12.5</v>
      </c>
      <c r="M1071">
        <f>IF(INDEX(tblCleanData[YearsAtCompany],1063)&lt;=2,25,IF(INDEX(tblCleanData[YearsAtCompany],1063)&lt;=5,15,IF(INDEX(tblCleanData[YearsAtCompany],1063)&lt;=10,8,3)))</f>
        <v>25</v>
      </c>
      <c r="N1071">
        <f t="shared" si="32"/>
        <v>78</v>
      </c>
      <c r="O1071" t="str">
        <f t="shared" si="33"/>
        <v>High Risk</v>
      </c>
    </row>
    <row r="1072" spans="1:15" x14ac:dyDescent="0.25">
      <c r="A1072">
        <f>INDEX(tblCleanData[EmployeeNumber],1064)</f>
        <v>1497</v>
      </c>
      <c r="B1072" t="str">
        <f>IF(INDEX(tblCleanData[Age],1064)&lt;30,"Under 30",IF(INDEX(tblCleanData[Age],1064)&lt;40,"30-39",IF(INDEX(tblCleanData[Age],1064)&lt;50,"40-49","50+")))</f>
        <v>Under 30</v>
      </c>
      <c r="C1072" t="str">
        <f>IF(INDEX(tblCleanData[MonthlyIncome],1064)&lt;=$B$3,"Low Income",IF(INDEX(tblCleanData[MonthlyIncome],1064)&lt;=$B$4,"Medium Income","High Income"))</f>
        <v>High Income</v>
      </c>
      <c r="D1072">
        <f>IF(INDEX(tblCleanData[Attrition],1064)="Yes",1,0)</f>
        <v>0</v>
      </c>
      <c r="E1072">
        <f>IF(INDEX(tblCleanData[OverTime],1064)="Yes",1,0)</f>
        <v>0</v>
      </c>
      <c r="F1072" t="str">
        <f>CHOOSE(INDEX(tblCleanData[Education],1064),"Below College","College","Bachelor","Master","Doctor")</f>
        <v>Bachelor</v>
      </c>
      <c r="G1072" t="str">
        <f>IF(INDEX(tblCleanData[YearsAtCompany],1064)&lt;=2,"0-2 Years",IF(INDEX(tblCleanData[YearsAtCompany],1064)&lt;=5,"3-5 Years",IF(INDEX(tblCleanData[YearsAtCompany],1064)&lt;=10,"6-10 Years","10+ Years")))</f>
        <v>6-10 Years</v>
      </c>
      <c r="H1072" t="str">
        <f>IF(INDEX(tblCleanData[WorkLifeBalance],1064)&lt;=2,"Elevated","Normal")</f>
        <v>Normal</v>
      </c>
      <c r="I1072">
        <f>IF(INDEX(tblCleanData[Age],1064)&lt;30,30,IF(INDEX(tblCleanData[Age],1064)&lt;40,20,IF(INDEX(tblCleanData[Age],1064)&lt;50,10,15)))</f>
        <v>30</v>
      </c>
      <c r="J1072">
        <f>IF(INDEX(tblCleanData[MonthlyIncome],1064)&lt;=$B$3,25,IF(INDEX(tblCleanData[MonthlyIncome],1064)&lt;=$B$4,12,5))</f>
        <v>5</v>
      </c>
      <c r="K1072">
        <f>IF(INDEX(tblCleanData[OverTime],1064)="Yes",25,0)</f>
        <v>0</v>
      </c>
      <c r="L1072">
        <f>(5-INDEX(tblCleanData[JobSatisfaction],1064))*6.25</f>
        <v>12.5</v>
      </c>
      <c r="M1072">
        <f>IF(INDEX(tblCleanData[YearsAtCompany],1064)&lt;=2,25,IF(INDEX(tblCleanData[YearsAtCompany],1064)&lt;=5,15,IF(INDEX(tblCleanData[YearsAtCompany],1064)&lt;=10,8,3)))</f>
        <v>8</v>
      </c>
      <c r="N1072">
        <f t="shared" si="32"/>
        <v>56</v>
      </c>
      <c r="O1072" t="str">
        <f t="shared" si="33"/>
        <v>High Risk</v>
      </c>
    </row>
    <row r="1073" spans="1:15" x14ac:dyDescent="0.25">
      <c r="A1073">
        <f>INDEX(tblCleanData[EmployeeNumber],1065)</f>
        <v>1499</v>
      </c>
      <c r="B1073" t="str">
        <f>IF(INDEX(tblCleanData[Age],1065)&lt;30,"Under 30",IF(INDEX(tblCleanData[Age],1065)&lt;40,"30-39",IF(INDEX(tblCleanData[Age],1065)&lt;50,"40-49","50+")))</f>
        <v>30-39</v>
      </c>
      <c r="C1073" t="str">
        <f>IF(INDEX(tblCleanData[MonthlyIncome],1065)&lt;=$B$3,"Low Income",IF(INDEX(tblCleanData[MonthlyIncome],1065)&lt;=$B$4,"Medium Income","High Income"))</f>
        <v>High Income</v>
      </c>
      <c r="D1073">
        <f>IF(INDEX(tblCleanData[Attrition],1065)="Yes",1,0)</f>
        <v>0</v>
      </c>
      <c r="E1073">
        <f>IF(INDEX(tblCleanData[OverTime],1065)="Yes",1,0)</f>
        <v>0</v>
      </c>
      <c r="F1073" t="str">
        <f>CHOOSE(INDEX(tblCleanData[Education],1065),"Below College","College","Bachelor","Master","Doctor")</f>
        <v>Bachelor</v>
      </c>
      <c r="G1073" t="str">
        <f>IF(INDEX(tblCleanData[YearsAtCompany],1065)&lt;=2,"0-2 Years",IF(INDEX(tblCleanData[YearsAtCompany],1065)&lt;=5,"3-5 Years",IF(INDEX(tblCleanData[YearsAtCompany],1065)&lt;=10,"6-10 Years","10+ Years")))</f>
        <v>3-5 Years</v>
      </c>
      <c r="H1073" t="str">
        <f>IF(INDEX(tblCleanData[WorkLifeBalance],1065)&lt;=2,"Elevated","Normal")</f>
        <v>Normal</v>
      </c>
      <c r="I1073">
        <f>IF(INDEX(tblCleanData[Age],1065)&lt;30,30,IF(INDEX(tblCleanData[Age],1065)&lt;40,20,IF(INDEX(tblCleanData[Age],1065)&lt;50,10,15)))</f>
        <v>20</v>
      </c>
      <c r="J1073">
        <f>IF(INDEX(tblCleanData[MonthlyIncome],1065)&lt;=$B$3,25,IF(INDEX(tblCleanData[MonthlyIncome],1065)&lt;=$B$4,12,5))</f>
        <v>5</v>
      </c>
      <c r="K1073">
        <f>IF(INDEX(tblCleanData[OverTime],1065)="Yes",25,0)</f>
        <v>0</v>
      </c>
      <c r="L1073">
        <f>(5-INDEX(tblCleanData[JobSatisfaction],1065))*6.25</f>
        <v>12.5</v>
      </c>
      <c r="M1073">
        <f>IF(INDEX(tblCleanData[YearsAtCompany],1065)&lt;=2,25,IF(INDEX(tblCleanData[YearsAtCompany],1065)&lt;=5,15,IF(INDEX(tblCleanData[YearsAtCompany],1065)&lt;=10,8,3)))</f>
        <v>15</v>
      </c>
      <c r="N1073">
        <f t="shared" si="32"/>
        <v>53</v>
      </c>
      <c r="O1073" t="str">
        <f t="shared" si="33"/>
        <v>Medium Risk</v>
      </c>
    </row>
    <row r="1074" spans="1:15" x14ac:dyDescent="0.25">
      <c r="A1074">
        <f>INDEX(tblCleanData[EmployeeNumber],1066)</f>
        <v>1501</v>
      </c>
      <c r="B1074" t="str">
        <f>IF(INDEX(tblCleanData[Age],1066)&lt;30,"Under 30",IF(INDEX(tblCleanData[Age],1066)&lt;40,"30-39",IF(INDEX(tblCleanData[Age],1066)&lt;50,"40-49","50+")))</f>
        <v>50+</v>
      </c>
      <c r="C1074" t="str">
        <f>IF(INDEX(tblCleanData[MonthlyIncome],1066)&lt;=$B$3,"Low Income",IF(INDEX(tblCleanData[MonthlyIncome],1066)&lt;=$B$4,"Medium Income","High Income"))</f>
        <v>High Income</v>
      </c>
      <c r="D1074">
        <f>IF(INDEX(tblCleanData[Attrition],1066)="Yes",1,0)</f>
        <v>0</v>
      </c>
      <c r="E1074">
        <f>IF(INDEX(tblCleanData[OverTime],1066)="Yes",1,0)</f>
        <v>1</v>
      </c>
      <c r="F1074" t="str">
        <f>CHOOSE(INDEX(tblCleanData[Education],1066),"Below College","College","Bachelor","Master","Doctor")</f>
        <v>Master</v>
      </c>
      <c r="G1074" t="str">
        <f>IF(INDEX(tblCleanData[YearsAtCompany],1066)&lt;=2,"0-2 Years",IF(INDEX(tblCleanData[YearsAtCompany],1066)&lt;=5,"3-5 Years",IF(INDEX(tblCleanData[YearsAtCompany],1066)&lt;=10,"6-10 Years","10+ Years")))</f>
        <v>3-5 Years</v>
      </c>
      <c r="H1074" t="str">
        <f>IF(INDEX(tblCleanData[WorkLifeBalance],1066)&lt;=2,"Elevated","Normal")</f>
        <v>Normal</v>
      </c>
      <c r="I1074">
        <f>IF(INDEX(tblCleanData[Age],1066)&lt;30,30,IF(INDEX(tblCleanData[Age],1066)&lt;40,20,IF(INDEX(tblCleanData[Age],1066)&lt;50,10,15)))</f>
        <v>15</v>
      </c>
      <c r="J1074">
        <f>IF(INDEX(tblCleanData[MonthlyIncome],1066)&lt;=$B$3,25,IF(INDEX(tblCleanData[MonthlyIncome],1066)&lt;=$B$4,12,5))</f>
        <v>5</v>
      </c>
      <c r="K1074">
        <f>IF(INDEX(tblCleanData[OverTime],1066)="Yes",25,0)</f>
        <v>25</v>
      </c>
      <c r="L1074">
        <f>(5-INDEX(tblCleanData[JobSatisfaction],1066))*6.25</f>
        <v>12.5</v>
      </c>
      <c r="M1074">
        <f>IF(INDEX(tblCleanData[YearsAtCompany],1066)&lt;=2,25,IF(INDEX(tblCleanData[YearsAtCompany],1066)&lt;=5,15,IF(INDEX(tblCleanData[YearsAtCompany],1066)&lt;=10,8,3)))</f>
        <v>15</v>
      </c>
      <c r="N1074">
        <f t="shared" si="32"/>
        <v>73</v>
      </c>
      <c r="O1074" t="str">
        <f t="shared" si="33"/>
        <v>High Risk</v>
      </c>
    </row>
    <row r="1075" spans="1:15" x14ac:dyDescent="0.25">
      <c r="A1075">
        <f>INDEX(tblCleanData[EmployeeNumber],1067)</f>
        <v>1502</v>
      </c>
      <c r="B1075" t="str">
        <f>IF(INDEX(tblCleanData[Age],1067)&lt;30,"Under 30",IF(INDEX(tblCleanData[Age],1067)&lt;40,"30-39",IF(INDEX(tblCleanData[Age],1067)&lt;50,"40-49","50+")))</f>
        <v>30-39</v>
      </c>
      <c r="C1075" t="str">
        <f>IF(INDEX(tblCleanData[MonthlyIncome],1067)&lt;=$B$3,"Low Income",IF(INDEX(tblCleanData[MonthlyIncome],1067)&lt;=$B$4,"Medium Income","High Income"))</f>
        <v>High Income</v>
      </c>
      <c r="D1075">
        <f>IF(INDEX(tblCleanData[Attrition],1067)="Yes",1,0)</f>
        <v>0</v>
      </c>
      <c r="E1075">
        <f>IF(INDEX(tblCleanData[OverTime],1067)="Yes",1,0)</f>
        <v>0</v>
      </c>
      <c r="F1075" t="str">
        <f>CHOOSE(INDEX(tblCleanData[Education],1067),"Below College","College","Bachelor","Master","Doctor")</f>
        <v>Master</v>
      </c>
      <c r="G1075" t="str">
        <f>IF(INDEX(tblCleanData[YearsAtCompany],1067)&lt;=2,"0-2 Years",IF(INDEX(tblCleanData[YearsAtCompany],1067)&lt;=5,"3-5 Years",IF(INDEX(tblCleanData[YearsAtCompany],1067)&lt;=10,"6-10 Years","10+ Years")))</f>
        <v>3-5 Years</v>
      </c>
      <c r="H1075" t="str">
        <f>IF(INDEX(tblCleanData[WorkLifeBalance],1067)&lt;=2,"Elevated","Normal")</f>
        <v>Normal</v>
      </c>
      <c r="I1075">
        <f>IF(INDEX(tblCleanData[Age],1067)&lt;30,30,IF(INDEX(tblCleanData[Age],1067)&lt;40,20,IF(INDEX(tblCleanData[Age],1067)&lt;50,10,15)))</f>
        <v>20</v>
      </c>
      <c r="J1075">
        <f>IF(INDEX(tblCleanData[MonthlyIncome],1067)&lt;=$B$3,25,IF(INDEX(tblCleanData[MonthlyIncome],1067)&lt;=$B$4,12,5))</f>
        <v>5</v>
      </c>
      <c r="K1075">
        <f>IF(INDEX(tblCleanData[OverTime],1067)="Yes",25,0)</f>
        <v>0</v>
      </c>
      <c r="L1075">
        <f>(5-INDEX(tblCleanData[JobSatisfaction],1067))*6.25</f>
        <v>18.75</v>
      </c>
      <c r="M1075">
        <f>IF(INDEX(tblCleanData[YearsAtCompany],1067)&lt;=2,25,IF(INDEX(tblCleanData[YearsAtCompany],1067)&lt;=5,15,IF(INDEX(tblCleanData[YearsAtCompany],1067)&lt;=10,8,3)))</f>
        <v>15</v>
      </c>
      <c r="N1075">
        <f t="shared" si="32"/>
        <v>59</v>
      </c>
      <c r="O1075" t="str">
        <f t="shared" si="33"/>
        <v>High Risk</v>
      </c>
    </row>
    <row r="1076" spans="1:15" x14ac:dyDescent="0.25">
      <c r="A1076">
        <f>INDEX(tblCleanData[EmployeeNumber],1068)</f>
        <v>1503</v>
      </c>
      <c r="B1076" t="str">
        <f>IF(INDEX(tblCleanData[Age],1068)&lt;30,"Under 30",IF(INDEX(tblCleanData[Age],1068)&lt;40,"30-39",IF(INDEX(tblCleanData[Age],1068)&lt;50,"40-49","50+")))</f>
        <v>40-49</v>
      </c>
      <c r="C1076" t="str">
        <f>IF(INDEX(tblCleanData[MonthlyIncome],1068)&lt;=$B$3,"Low Income",IF(INDEX(tblCleanData[MonthlyIncome],1068)&lt;=$B$4,"Medium Income","High Income"))</f>
        <v>High Income</v>
      </c>
      <c r="D1076">
        <f>IF(INDEX(tblCleanData[Attrition],1068)="Yes",1,0)</f>
        <v>0</v>
      </c>
      <c r="E1076">
        <f>IF(INDEX(tblCleanData[OverTime],1068)="Yes",1,0)</f>
        <v>1</v>
      </c>
      <c r="F1076" t="str">
        <f>CHOOSE(INDEX(tblCleanData[Education],1068),"Below College","College","Bachelor","Master","Doctor")</f>
        <v>Bachelor</v>
      </c>
      <c r="G1076" t="str">
        <f>IF(INDEX(tblCleanData[YearsAtCompany],1068)&lt;=2,"0-2 Years",IF(INDEX(tblCleanData[YearsAtCompany],1068)&lt;=5,"3-5 Years",IF(INDEX(tblCleanData[YearsAtCompany],1068)&lt;=10,"6-10 Years","10+ Years")))</f>
        <v>3-5 Years</v>
      </c>
      <c r="H1076" t="str">
        <f>IF(INDEX(tblCleanData[WorkLifeBalance],1068)&lt;=2,"Elevated","Normal")</f>
        <v>Elevated</v>
      </c>
      <c r="I1076">
        <f>IF(INDEX(tblCleanData[Age],1068)&lt;30,30,IF(INDEX(tblCleanData[Age],1068)&lt;40,20,IF(INDEX(tblCleanData[Age],1068)&lt;50,10,15)))</f>
        <v>10</v>
      </c>
      <c r="J1076">
        <f>IF(INDEX(tblCleanData[MonthlyIncome],1068)&lt;=$B$3,25,IF(INDEX(tblCleanData[MonthlyIncome],1068)&lt;=$B$4,12,5))</f>
        <v>5</v>
      </c>
      <c r="K1076">
        <f>IF(INDEX(tblCleanData[OverTime],1068)="Yes",25,0)</f>
        <v>25</v>
      </c>
      <c r="L1076">
        <f>(5-INDEX(tblCleanData[JobSatisfaction],1068))*6.25</f>
        <v>12.5</v>
      </c>
      <c r="M1076">
        <f>IF(INDEX(tblCleanData[YearsAtCompany],1068)&lt;=2,25,IF(INDEX(tblCleanData[YearsAtCompany],1068)&lt;=5,15,IF(INDEX(tblCleanData[YearsAtCompany],1068)&lt;=10,8,3)))</f>
        <v>15</v>
      </c>
      <c r="N1076">
        <f t="shared" si="32"/>
        <v>68</v>
      </c>
      <c r="O1076" t="str">
        <f t="shared" si="33"/>
        <v>High Risk</v>
      </c>
    </row>
    <row r="1077" spans="1:15" x14ac:dyDescent="0.25">
      <c r="A1077">
        <f>INDEX(tblCleanData[EmployeeNumber],1069)</f>
        <v>1504</v>
      </c>
      <c r="B1077" t="str">
        <f>IF(INDEX(tblCleanData[Age],1069)&lt;30,"Under 30",IF(INDEX(tblCleanData[Age],1069)&lt;40,"30-39",IF(INDEX(tblCleanData[Age],1069)&lt;50,"40-49","50+")))</f>
        <v>Under 30</v>
      </c>
      <c r="C1077" t="str">
        <f>IF(INDEX(tblCleanData[MonthlyIncome],1069)&lt;=$B$3,"Low Income",IF(INDEX(tblCleanData[MonthlyIncome],1069)&lt;=$B$4,"Medium Income","High Income"))</f>
        <v>High Income</v>
      </c>
      <c r="D1077">
        <f>IF(INDEX(tblCleanData[Attrition],1069)="Yes",1,0)</f>
        <v>1</v>
      </c>
      <c r="E1077">
        <f>IF(INDEX(tblCleanData[OverTime],1069)="Yes",1,0)</f>
        <v>0</v>
      </c>
      <c r="F1077" t="str">
        <f>CHOOSE(INDEX(tblCleanData[Education],1069),"Below College","College","Bachelor","Master","Doctor")</f>
        <v>College</v>
      </c>
      <c r="G1077" t="str">
        <f>IF(INDEX(tblCleanData[YearsAtCompany],1069)&lt;=2,"0-2 Years",IF(INDEX(tblCleanData[YearsAtCompany],1069)&lt;=5,"3-5 Years",IF(INDEX(tblCleanData[YearsAtCompany],1069)&lt;=10,"6-10 Years","10+ Years")))</f>
        <v>0-2 Years</v>
      </c>
      <c r="H1077" t="str">
        <f>IF(INDEX(tblCleanData[WorkLifeBalance],1069)&lt;=2,"Elevated","Normal")</f>
        <v>Elevated</v>
      </c>
      <c r="I1077">
        <f>IF(INDEX(tblCleanData[Age],1069)&lt;30,30,IF(INDEX(tblCleanData[Age],1069)&lt;40,20,IF(INDEX(tblCleanData[Age],1069)&lt;50,10,15)))</f>
        <v>30</v>
      </c>
      <c r="J1077">
        <f>IF(INDEX(tblCleanData[MonthlyIncome],1069)&lt;=$B$3,25,IF(INDEX(tblCleanData[MonthlyIncome],1069)&lt;=$B$4,12,5))</f>
        <v>5</v>
      </c>
      <c r="K1077">
        <f>IF(INDEX(tblCleanData[OverTime],1069)="Yes",25,0)</f>
        <v>0</v>
      </c>
      <c r="L1077">
        <f>(5-INDEX(tblCleanData[JobSatisfaction],1069))*6.25</f>
        <v>25</v>
      </c>
      <c r="M1077">
        <f>IF(INDEX(tblCleanData[YearsAtCompany],1069)&lt;=2,25,IF(INDEX(tblCleanData[YearsAtCompany],1069)&lt;=5,15,IF(INDEX(tblCleanData[YearsAtCompany],1069)&lt;=10,8,3)))</f>
        <v>25</v>
      </c>
      <c r="N1077">
        <f t="shared" si="32"/>
        <v>85</v>
      </c>
      <c r="O1077" t="str">
        <f t="shared" si="33"/>
        <v>High Risk</v>
      </c>
    </row>
    <row r="1078" spans="1:15" x14ac:dyDescent="0.25">
      <c r="A1078">
        <f>INDEX(tblCleanData[EmployeeNumber],1070)</f>
        <v>1506</v>
      </c>
      <c r="B1078" t="str">
        <f>IF(INDEX(tblCleanData[Age],1070)&lt;30,"Under 30",IF(INDEX(tblCleanData[Age],1070)&lt;40,"30-39",IF(INDEX(tblCleanData[Age],1070)&lt;50,"40-49","50+")))</f>
        <v>Under 30</v>
      </c>
      <c r="C1078" t="str">
        <f>IF(INDEX(tblCleanData[MonthlyIncome],1070)&lt;=$B$3,"Low Income",IF(INDEX(tblCleanData[MonthlyIncome],1070)&lt;=$B$4,"Medium Income","High Income"))</f>
        <v>High Income</v>
      </c>
      <c r="D1078">
        <f>IF(INDEX(tblCleanData[Attrition],1070)="Yes",1,0)</f>
        <v>0</v>
      </c>
      <c r="E1078">
        <f>IF(INDEX(tblCleanData[OverTime],1070)="Yes",1,0)</f>
        <v>0</v>
      </c>
      <c r="F1078" t="str">
        <f>CHOOSE(INDEX(tblCleanData[Education],1070),"Below College","College","Bachelor","Master","Doctor")</f>
        <v>Bachelor</v>
      </c>
      <c r="G1078" t="str">
        <f>IF(INDEX(tblCleanData[YearsAtCompany],1070)&lt;=2,"0-2 Years",IF(INDEX(tblCleanData[YearsAtCompany],1070)&lt;=5,"3-5 Years",IF(INDEX(tblCleanData[YearsAtCompany],1070)&lt;=10,"6-10 Years","10+ Years")))</f>
        <v>0-2 Years</v>
      </c>
      <c r="H1078" t="str">
        <f>IF(INDEX(tblCleanData[WorkLifeBalance],1070)&lt;=2,"Elevated","Normal")</f>
        <v>Elevated</v>
      </c>
      <c r="I1078">
        <f>IF(INDEX(tblCleanData[Age],1070)&lt;30,30,IF(INDEX(tblCleanData[Age],1070)&lt;40,20,IF(INDEX(tblCleanData[Age],1070)&lt;50,10,15)))</f>
        <v>30</v>
      </c>
      <c r="J1078">
        <f>IF(INDEX(tblCleanData[MonthlyIncome],1070)&lt;=$B$3,25,IF(INDEX(tblCleanData[MonthlyIncome],1070)&lt;=$B$4,12,5))</f>
        <v>5</v>
      </c>
      <c r="K1078">
        <f>IF(INDEX(tblCleanData[OverTime],1070)="Yes",25,0)</f>
        <v>0</v>
      </c>
      <c r="L1078">
        <f>(5-INDEX(tblCleanData[JobSatisfaction],1070))*6.25</f>
        <v>12.5</v>
      </c>
      <c r="M1078">
        <f>IF(INDEX(tblCleanData[YearsAtCompany],1070)&lt;=2,25,IF(INDEX(tblCleanData[YearsAtCompany],1070)&lt;=5,15,IF(INDEX(tblCleanData[YearsAtCompany],1070)&lt;=10,8,3)))</f>
        <v>25</v>
      </c>
      <c r="N1078">
        <f t="shared" si="32"/>
        <v>73</v>
      </c>
      <c r="O1078" t="str">
        <f t="shared" si="33"/>
        <v>High Risk</v>
      </c>
    </row>
    <row r="1079" spans="1:15" x14ac:dyDescent="0.25">
      <c r="A1079">
        <f>INDEX(tblCleanData[EmployeeNumber],1071)</f>
        <v>1507</v>
      </c>
      <c r="B1079" t="str">
        <f>IF(INDEX(tblCleanData[Age],1071)&lt;30,"Under 30",IF(INDEX(tblCleanData[Age],1071)&lt;40,"30-39",IF(INDEX(tblCleanData[Age],1071)&lt;50,"40-49","50+")))</f>
        <v>Under 30</v>
      </c>
      <c r="C1079" t="str">
        <f>IF(INDEX(tblCleanData[MonthlyIncome],1071)&lt;=$B$3,"Low Income",IF(INDEX(tblCleanData[MonthlyIncome],1071)&lt;=$B$4,"Medium Income","High Income"))</f>
        <v>High Income</v>
      </c>
      <c r="D1079">
        <f>IF(INDEX(tblCleanData[Attrition],1071)="Yes",1,0)</f>
        <v>0</v>
      </c>
      <c r="E1079">
        <f>IF(INDEX(tblCleanData[OverTime],1071)="Yes",1,0)</f>
        <v>0</v>
      </c>
      <c r="F1079" t="str">
        <f>CHOOSE(INDEX(tblCleanData[Education],1071),"Below College","College","Bachelor","Master","Doctor")</f>
        <v>Bachelor</v>
      </c>
      <c r="G1079" t="str">
        <f>IF(INDEX(tblCleanData[YearsAtCompany],1071)&lt;=2,"0-2 Years",IF(INDEX(tblCleanData[YearsAtCompany],1071)&lt;=5,"3-5 Years",IF(INDEX(tblCleanData[YearsAtCompany],1071)&lt;=10,"6-10 Years","10+ Years")))</f>
        <v>3-5 Years</v>
      </c>
      <c r="H1079" t="str">
        <f>IF(INDEX(tblCleanData[WorkLifeBalance],1071)&lt;=2,"Elevated","Normal")</f>
        <v>Normal</v>
      </c>
      <c r="I1079">
        <f>IF(INDEX(tblCleanData[Age],1071)&lt;30,30,IF(INDEX(tblCleanData[Age],1071)&lt;40,20,IF(INDEX(tblCleanData[Age],1071)&lt;50,10,15)))</f>
        <v>30</v>
      </c>
      <c r="J1079">
        <f>IF(INDEX(tblCleanData[MonthlyIncome],1071)&lt;=$B$3,25,IF(INDEX(tblCleanData[MonthlyIncome],1071)&lt;=$B$4,12,5))</f>
        <v>5</v>
      </c>
      <c r="K1079">
        <f>IF(INDEX(tblCleanData[OverTime],1071)="Yes",25,0)</f>
        <v>0</v>
      </c>
      <c r="L1079">
        <f>(5-INDEX(tblCleanData[JobSatisfaction],1071))*6.25</f>
        <v>25</v>
      </c>
      <c r="M1079">
        <f>IF(INDEX(tblCleanData[YearsAtCompany],1071)&lt;=2,25,IF(INDEX(tblCleanData[YearsAtCompany],1071)&lt;=5,15,IF(INDEX(tblCleanData[YearsAtCompany],1071)&lt;=10,8,3)))</f>
        <v>15</v>
      </c>
      <c r="N1079">
        <f t="shared" si="32"/>
        <v>75</v>
      </c>
      <c r="O1079" t="str">
        <f t="shared" si="33"/>
        <v>High Risk</v>
      </c>
    </row>
    <row r="1080" spans="1:15" x14ac:dyDescent="0.25">
      <c r="A1080">
        <f>INDEX(tblCleanData[EmployeeNumber],1072)</f>
        <v>1509</v>
      </c>
      <c r="B1080" t="str">
        <f>IF(INDEX(tblCleanData[Age],1072)&lt;30,"Under 30",IF(INDEX(tblCleanData[Age],1072)&lt;40,"30-39",IF(INDEX(tblCleanData[Age],1072)&lt;50,"40-49","50+")))</f>
        <v>40-49</v>
      </c>
      <c r="C1080" t="str">
        <f>IF(INDEX(tblCleanData[MonthlyIncome],1072)&lt;=$B$3,"Low Income",IF(INDEX(tblCleanData[MonthlyIncome],1072)&lt;=$B$4,"Medium Income","High Income"))</f>
        <v>High Income</v>
      </c>
      <c r="D1080">
        <f>IF(INDEX(tblCleanData[Attrition],1072)="Yes",1,0)</f>
        <v>0</v>
      </c>
      <c r="E1080">
        <f>IF(INDEX(tblCleanData[OverTime],1072)="Yes",1,0)</f>
        <v>0</v>
      </c>
      <c r="F1080" t="str">
        <f>CHOOSE(INDEX(tblCleanData[Education],1072),"Below College","College","Bachelor","Master","Doctor")</f>
        <v>College</v>
      </c>
      <c r="G1080" t="str">
        <f>IF(INDEX(tblCleanData[YearsAtCompany],1072)&lt;=2,"0-2 Years",IF(INDEX(tblCleanData[YearsAtCompany],1072)&lt;=5,"3-5 Years",IF(INDEX(tblCleanData[YearsAtCompany],1072)&lt;=10,"6-10 Years","10+ Years")))</f>
        <v>3-5 Years</v>
      </c>
      <c r="H1080" t="str">
        <f>IF(INDEX(tblCleanData[WorkLifeBalance],1072)&lt;=2,"Elevated","Normal")</f>
        <v>Normal</v>
      </c>
      <c r="I1080">
        <f>IF(INDEX(tblCleanData[Age],1072)&lt;30,30,IF(INDEX(tblCleanData[Age],1072)&lt;40,20,IF(INDEX(tblCleanData[Age],1072)&lt;50,10,15)))</f>
        <v>10</v>
      </c>
      <c r="J1080">
        <f>IF(INDEX(tblCleanData[MonthlyIncome],1072)&lt;=$B$3,25,IF(INDEX(tblCleanData[MonthlyIncome],1072)&lt;=$B$4,12,5))</f>
        <v>5</v>
      </c>
      <c r="K1080">
        <f>IF(INDEX(tblCleanData[OverTime],1072)="Yes",25,0)</f>
        <v>0</v>
      </c>
      <c r="L1080">
        <f>(5-INDEX(tblCleanData[JobSatisfaction],1072))*6.25</f>
        <v>25</v>
      </c>
      <c r="M1080">
        <f>IF(INDEX(tblCleanData[YearsAtCompany],1072)&lt;=2,25,IF(INDEX(tblCleanData[YearsAtCompany],1072)&lt;=5,15,IF(INDEX(tblCleanData[YearsAtCompany],1072)&lt;=10,8,3)))</f>
        <v>15</v>
      </c>
      <c r="N1080">
        <f t="shared" si="32"/>
        <v>55</v>
      </c>
      <c r="O1080" t="str">
        <f t="shared" si="33"/>
        <v>High Risk</v>
      </c>
    </row>
    <row r="1081" spans="1:15" x14ac:dyDescent="0.25">
      <c r="A1081">
        <f>INDEX(tblCleanData[EmployeeNumber],1073)</f>
        <v>1513</v>
      </c>
      <c r="B1081" t="str">
        <f>IF(INDEX(tblCleanData[Age],1073)&lt;30,"Under 30",IF(INDEX(tblCleanData[Age],1073)&lt;40,"30-39",IF(INDEX(tblCleanData[Age],1073)&lt;50,"40-49","50+")))</f>
        <v>Under 30</v>
      </c>
      <c r="C1081" t="str">
        <f>IF(INDEX(tblCleanData[MonthlyIncome],1073)&lt;=$B$3,"Low Income",IF(INDEX(tblCleanData[MonthlyIncome],1073)&lt;=$B$4,"Medium Income","High Income"))</f>
        <v>High Income</v>
      </c>
      <c r="D1081">
        <f>IF(INDEX(tblCleanData[Attrition],1073)="Yes",1,0)</f>
        <v>0</v>
      </c>
      <c r="E1081">
        <f>IF(INDEX(tblCleanData[OverTime],1073)="Yes",1,0)</f>
        <v>0</v>
      </c>
      <c r="F1081" t="str">
        <f>CHOOSE(INDEX(tblCleanData[Education],1073),"Below College","College","Bachelor","Master","Doctor")</f>
        <v>Below College</v>
      </c>
      <c r="G1081" t="str">
        <f>IF(INDEX(tblCleanData[YearsAtCompany],1073)&lt;=2,"0-2 Years",IF(INDEX(tblCleanData[YearsAtCompany],1073)&lt;=5,"3-5 Years",IF(INDEX(tblCleanData[YearsAtCompany],1073)&lt;=10,"6-10 Years","10+ Years")))</f>
        <v>3-5 Years</v>
      </c>
      <c r="H1081" t="str">
        <f>IF(INDEX(tblCleanData[WorkLifeBalance],1073)&lt;=2,"Elevated","Normal")</f>
        <v>Normal</v>
      </c>
      <c r="I1081">
        <f>IF(INDEX(tblCleanData[Age],1073)&lt;30,30,IF(INDEX(tblCleanData[Age],1073)&lt;40,20,IF(INDEX(tblCleanData[Age],1073)&lt;50,10,15)))</f>
        <v>30</v>
      </c>
      <c r="J1081">
        <f>IF(INDEX(tblCleanData[MonthlyIncome],1073)&lt;=$B$3,25,IF(INDEX(tblCleanData[MonthlyIncome],1073)&lt;=$B$4,12,5))</f>
        <v>5</v>
      </c>
      <c r="K1081">
        <f>IF(INDEX(tblCleanData[OverTime],1073)="Yes",25,0)</f>
        <v>0</v>
      </c>
      <c r="L1081">
        <f>(5-INDEX(tblCleanData[JobSatisfaction],1073))*6.25</f>
        <v>18.75</v>
      </c>
      <c r="M1081">
        <f>IF(INDEX(tblCleanData[YearsAtCompany],1073)&lt;=2,25,IF(INDEX(tblCleanData[YearsAtCompany],1073)&lt;=5,15,IF(INDEX(tblCleanData[YearsAtCompany],1073)&lt;=10,8,3)))</f>
        <v>15</v>
      </c>
      <c r="N1081">
        <f t="shared" si="32"/>
        <v>69</v>
      </c>
      <c r="O1081" t="str">
        <f t="shared" si="33"/>
        <v>High Risk</v>
      </c>
    </row>
    <row r="1082" spans="1:15" x14ac:dyDescent="0.25">
      <c r="A1082">
        <f>INDEX(tblCleanData[EmployeeNumber],1074)</f>
        <v>1514</v>
      </c>
      <c r="B1082" t="str">
        <f>IF(INDEX(tblCleanData[Age],1074)&lt;30,"Under 30",IF(INDEX(tblCleanData[Age],1074)&lt;40,"30-39",IF(INDEX(tblCleanData[Age],1074)&lt;50,"40-49","50+")))</f>
        <v>Under 30</v>
      </c>
      <c r="C1082" t="str">
        <f>IF(INDEX(tblCleanData[MonthlyIncome],1074)&lt;=$B$3,"Low Income",IF(INDEX(tblCleanData[MonthlyIncome],1074)&lt;=$B$4,"Medium Income","High Income"))</f>
        <v>High Income</v>
      </c>
      <c r="D1082">
        <f>IF(INDEX(tblCleanData[Attrition],1074)="Yes",1,0)</f>
        <v>0</v>
      </c>
      <c r="E1082">
        <f>IF(INDEX(tblCleanData[OverTime],1074)="Yes",1,0)</f>
        <v>0</v>
      </c>
      <c r="F1082" t="str">
        <f>CHOOSE(INDEX(tblCleanData[Education],1074),"Below College","College","Bachelor","Master","Doctor")</f>
        <v>Below College</v>
      </c>
      <c r="G1082" t="str">
        <f>IF(INDEX(tblCleanData[YearsAtCompany],1074)&lt;=2,"0-2 Years",IF(INDEX(tblCleanData[YearsAtCompany],1074)&lt;=5,"3-5 Years",IF(INDEX(tblCleanData[YearsAtCompany],1074)&lt;=10,"6-10 Years","10+ Years")))</f>
        <v>6-10 Years</v>
      </c>
      <c r="H1082" t="str">
        <f>IF(INDEX(tblCleanData[WorkLifeBalance],1074)&lt;=2,"Elevated","Normal")</f>
        <v>Elevated</v>
      </c>
      <c r="I1082">
        <f>IF(INDEX(tblCleanData[Age],1074)&lt;30,30,IF(INDEX(tblCleanData[Age],1074)&lt;40,20,IF(INDEX(tblCleanData[Age],1074)&lt;50,10,15)))</f>
        <v>30</v>
      </c>
      <c r="J1082">
        <f>IF(INDEX(tblCleanData[MonthlyIncome],1074)&lt;=$B$3,25,IF(INDEX(tblCleanData[MonthlyIncome],1074)&lt;=$B$4,12,5))</f>
        <v>5</v>
      </c>
      <c r="K1082">
        <f>IF(INDEX(tblCleanData[OverTime],1074)="Yes",25,0)</f>
        <v>0</v>
      </c>
      <c r="L1082">
        <f>(5-INDEX(tblCleanData[JobSatisfaction],1074))*6.25</f>
        <v>18.75</v>
      </c>
      <c r="M1082">
        <f>IF(INDEX(tblCleanData[YearsAtCompany],1074)&lt;=2,25,IF(INDEX(tblCleanData[YearsAtCompany],1074)&lt;=5,15,IF(INDEX(tblCleanData[YearsAtCompany],1074)&lt;=10,8,3)))</f>
        <v>8</v>
      </c>
      <c r="N1082">
        <f t="shared" si="32"/>
        <v>62</v>
      </c>
      <c r="O1082" t="str">
        <f t="shared" si="33"/>
        <v>High Risk</v>
      </c>
    </row>
    <row r="1083" spans="1:15" x14ac:dyDescent="0.25">
      <c r="A1083">
        <f>INDEX(tblCleanData[EmployeeNumber],1075)</f>
        <v>1515</v>
      </c>
      <c r="B1083" t="str">
        <f>IF(INDEX(tblCleanData[Age],1075)&lt;30,"Under 30",IF(INDEX(tblCleanData[Age],1075)&lt;40,"30-39",IF(INDEX(tblCleanData[Age],1075)&lt;50,"40-49","50+")))</f>
        <v>30-39</v>
      </c>
      <c r="C1083" t="str">
        <f>IF(INDEX(tblCleanData[MonthlyIncome],1075)&lt;=$B$3,"Low Income",IF(INDEX(tblCleanData[MonthlyIncome],1075)&lt;=$B$4,"Medium Income","High Income"))</f>
        <v>High Income</v>
      </c>
      <c r="D1083">
        <f>IF(INDEX(tblCleanData[Attrition],1075)="Yes",1,0)</f>
        <v>0</v>
      </c>
      <c r="E1083">
        <f>IF(INDEX(tblCleanData[OverTime],1075)="Yes",1,0)</f>
        <v>1</v>
      </c>
      <c r="F1083" t="str">
        <f>CHOOSE(INDEX(tblCleanData[Education],1075),"Below College","College","Bachelor","Master","Doctor")</f>
        <v>Doctor</v>
      </c>
      <c r="G1083" t="str">
        <f>IF(INDEX(tblCleanData[YearsAtCompany],1075)&lt;=2,"0-2 Years",IF(INDEX(tblCleanData[YearsAtCompany],1075)&lt;=5,"3-5 Years",IF(INDEX(tblCleanData[YearsAtCompany],1075)&lt;=10,"6-10 Years","10+ Years")))</f>
        <v>0-2 Years</v>
      </c>
      <c r="H1083" t="str">
        <f>IF(INDEX(tblCleanData[WorkLifeBalance],1075)&lt;=2,"Elevated","Normal")</f>
        <v>Normal</v>
      </c>
      <c r="I1083">
        <f>IF(INDEX(tblCleanData[Age],1075)&lt;30,30,IF(INDEX(tblCleanData[Age],1075)&lt;40,20,IF(INDEX(tblCleanData[Age],1075)&lt;50,10,15)))</f>
        <v>20</v>
      </c>
      <c r="J1083">
        <f>IF(INDEX(tblCleanData[MonthlyIncome],1075)&lt;=$B$3,25,IF(INDEX(tblCleanData[MonthlyIncome],1075)&lt;=$B$4,12,5))</f>
        <v>5</v>
      </c>
      <c r="K1083">
        <f>IF(INDEX(tblCleanData[OverTime],1075)="Yes",25,0)</f>
        <v>25</v>
      </c>
      <c r="L1083">
        <f>(5-INDEX(tblCleanData[JobSatisfaction],1075))*6.25</f>
        <v>12.5</v>
      </c>
      <c r="M1083">
        <f>IF(INDEX(tblCleanData[YearsAtCompany],1075)&lt;=2,25,IF(INDEX(tblCleanData[YearsAtCompany],1075)&lt;=5,15,IF(INDEX(tblCleanData[YearsAtCompany],1075)&lt;=10,8,3)))</f>
        <v>25</v>
      </c>
      <c r="N1083">
        <f t="shared" si="32"/>
        <v>88</v>
      </c>
      <c r="O1083" t="str">
        <f t="shared" si="33"/>
        <v>High Risk</v>
      </c>
    </row>
    <row r="1084" spans="1:15" x14ac:dyDescent="0.25">
      <c r="A1084">
        <f>INDEX(tblCleanData[EmployeeNumber],1076)</f>
        <v>1516</v>
      </c>
      <c r="B1084" t="str">
        <f>IF(INDEX(tblCleanData[Age],1076)&lt;30,"Under 30",IF(INDEX(tblCleanData[Age],1076)&lt;40,"30-39",IF(INDEX(tblCleanData[Age],1076)&lt;50,"40-49","50+")))</f>
        <v>30-39</v>
      </c>
      <c r="C1084" t="str">
        <f>IF(INDEX(tblCleanData[MonthlyIncome],1076)&lt;=$B$3,"Low Income",IF(INDEX(tblCleanData[MonthlyIncome],1076)&lt;=$B$4,"Medium Income","High Income"))</f>
        <v>High Income</v>
      </c>
      <c r="D1084">
        <f>IF(INDEX(tblCleanData[Attrition],1076)="Yes",1,0)</f>
        <v>0</v>
      </c>
      <c r="E1084">
        <f>IF(INDEX(tblCleanData[OverTime],1076)="Yes",1,0)</f>
        <v>0</v>
      </c>
      <c r="F1084" t="str">
        <f>CHOOSE(INDEX(tblCleanData[Education],1076),"Below College","College","Bachelor","Master","Doctor")</f>
        <v>Bachelor</v>
      </c>
      <c r="G1084" t="str">
        <f>IF(INDEX(tblCleanData[YearsAtCompany],1076)&lt;=2,"0-2 Years",IF(INDEX(tblCleanData[YearsAtCompany],1076)&lt;=5,"3-5 Years",IF(INDEX(tblCleanData[YearsAtCompany],1076)&lt;=10,"6-10 Years","10+ Years")))</f>
        <v>3-5 Years</v>
      </c>
      <c r="H1084" t="str">
        <f>IF(INDEX(tblCleanData[WorkLifeBalance],1076)&lt;=2,"Elevated","Normal")</f>
        <v>Normal</v>
      </c>
      <c r="I1084">
        <f>IF(INDEX(tblCleanData[Age],1076)&lt;30,30,IF(INDEX(tblCleanData[Age],1076)&lt;40,20,IF(INDEX(tblCleanData[Age],1076)&lt;50,10,15)))</f>
        <v>20</v>
      </c>
      <c r="J1084">
        <f>IF(INDEX(tblCleanData[MonthlyIncome],1076)&lt;=$B$3,25,IF(INDEX(tblCleanData[MonthlyIncome],1076)&lt;=$B$4,12,5))</f>
        <v>5</v>
      </c>
      <c r="K1084">
        <f>IF(INDEX(tblCleanData[OverTime],1076)="Yes",25,0)</f>
        <v>0</v>
      </c>
      <c r="L1084">
        <f>(5-INDEX(tblCleanData[JobSatisfaction],1076))*6.25</f>
        <v>6.25</v>
      </c>
      <c r="M1084">
        <f>IF(INDEX(tblCleanData[YearsAtCompany],1076)&lt;=2,25,IF(INDEX(tblCleanData[YearsAtCompany],1076)&lt;=5,15,IF(INDEX(tblCleanData[YearsAtCompany],1076)&lt;=10,8,3)))</f>
        <v>15</v>
      </c>
      <c r="N1084">
        <f t="shared" si="32"/>
        <v>46</v>
      </c>
      <c r="O1084" t="str">
        <f t="shared" si="33"/>
        <v>Medium Risk</v>
      </c>
    </row>
    <row r="1085" spans="1:15" x14ac:dyDescent="0.25">
      <c r="A1085">
        <f>INDEX(tblCleanData[EmployeeNumber],1077)</f>
        <v>1520</v>
      </c>
      <c r="B1085" t="str">
        <f>IF(INDEX(tblCleanData[Age],1077)&lt;30,"Under 30",IF(INDEX(tblCleanData[Age],1077)&lt;40,"30-39",IF(INDEX(tblCleanData[Age],1077)&lt;50,"40-49","50+")))</f>
        <v>50+</v>
      </c>
      <c r="C1085" t="str">
        <f>IF(INDEX(tblCleanData[MonthlyIncome],1077)&lt;=$B$3,"Low Income",IF(INDEX(tblCleanData[MonthlyIncome],1077)&lt;=$B$4,"Medium Income","High Income"))</f>
        <v>High Income</v>
      </c>
      <c r="D1085">
        <f>IF(INDEX(tblCleanData[Attrition],1077)="Yes",1,0)</f>
        <v>0</v>
      </c>
      <c r="E1085">
        <f>IF(INDEX(tblCleanData[OverTime],1077)="Yes",1,0)</f>
        <v>0</v>
      </c>
      <c r="F1085" t="str">
        <f>CHOOSE(INDEX(tblCleanData[Education],1077),"Below College","College","Bachelor","Master","Doctor")</f>
        <v>Master</v>
      </c>
      <c r="G1085" t="str">
        <f>IF(INDEX(tblCleanData[YearsAtCompany],1077)&lt;=2,"0-2 Years",IF(INDEX(tblCleanData[YearsAtCompany],1077)&lt;=5,"3-5 Years",IF(INDEX(tblCleanData[YearsAtCompany],1077)&lt;=10,"6-10 Years","10+ Years")))</f>
        <v>10+ Years</v>
      </c>
      <c r="H1085" t="str">
        <f>IF(INDEX(tblCleanData[WorkLifeBalance],1077)&lt;=2,"Elevated","Normal")</f>
        <v>Normal</v>
      </c>
      <c r="I1085">
        <f>IF(INDEX(tblCleanData[Age],1077)&lt;30,30,IF(INDEX(tblCleanData[Age],1077)&lt;40,20,IF(INDEX(tblCleanData[Age],1077)&lt;50,10,15)))</f>
        <v>15</v>
      </c>
      <c r="J1085">
        <f>IF(INDEX(tblCleanData[MonthlyIncome],1077)&lt;=$B$3,25,IF(INDEX(tblCleanData[MonthlyIncome],1077)&lt;=$B$4,12,5))</f>
        <v>5</v>
      </c>
      <c r="K1085">
        <f>IF(INDEX(tblCleanData[OverTime],1077)="Yes",25,0)</f>
        <v>0</v>
      </c>
      <c r="L1085">
        <f>(5-INDEX(tblCleanData[JobSatisfaction],1077))*6.25</f>
        <v>6.25</v>
      </c>
      <c r="M1085">
        <f>IF(INDEX(tblCleanData[YearsAtCompany],1077)&lt;=2,25,IF(INDEX(tblCleanData[YearsAtCompany],1077)&lt;=5,15,IF(INDEX(tblCleanData[YearsAtCompany],1077)&lt;=10,8,3)))</f>
        <v>3</v>
      </c>
      <c r="N1085">
        <f t="shared" si="32"/>
        <v>29</v>
      </c>
      <c r="O1085" t="str">
        <f t="shared" si="33"/>
        <v>Low Risk</v>
      </c>
    </row>
    <row r="1086" spans="1:15" x14ac:dyDescent="0.25">
      <c r="A1086">
        <f>INDEX(tblCleanData[EmployeeNumber],1078)</f>
        <v>1522</v>
      </c>
      <c r="B1086" t="str">
        <f>IF(INDEX(tblCleanData[Age],1078)&lt;30,"Under 30",IF(INDEX(tblCleanData[Age],1078)&lt;40,"30-39",IF(INDEX(tblCleanData[Age],1078)&lt;50,"40-49","50+")))</f>
        <v>Under 30</v>
      </c>
      <c r="C1086" t="str">
        <f>IF(INDEX(tblCleanData[MonthlyIncome],1078)&lt;=$B$3,"Low Income",IF(INDEX(tblCleanData[MonthlyIncome],1078)&lt;=$B$4,"Medium Income","High Income"))</f>
        <v>High Income</v>
      </c>
      <c r="D1086">
        <f>IF(INDEX(tblCleanData[Attrition],1078)="Yes",1,0)</f>
        <v>1</v>
      </c>
      <c r="E1086">
        <f>IF(INDEX(tblCleanData[OverTime],1078)="Yes",1,0)</f>
        <v>0</v>
      </c>
      <c r="F1086" t="str">
        <f>CHOOSE(INDEX(tblCleanData[Education],1078),"Below College","College","Bachelor","Master","Doctor")</f>
        <v>Master</v>
      </c>
      <c r="G1086" t="str">
        <f>IF(INDEX(tblCleanData[YearsAtCompany],1078)&lt;=2,"0-2 Years",IF(INDEX(tblCleanData[YearsAtCompany],1078)&lt;=5,"3-5 Years",IF(INDEX(tblCleanData[YearsAtCompany],1078)&lt;=10,"6-10 Years","10+ Years")))</f>
        <v>6-10 Years</v>
      </c>
      <c r="H1086" t="str">
        <f>IF(INDEX(tblCleanData[WorkLifeBalance],1078)&lt;=2,"Elevated","Normal")</f>
        <v>Elevated</v>
      </c>
      <c r="I1086">
        <f>IF(INDEX(tblCleanData[Age],1078)&lt;30,30,IF(INDEX(tblCleanData[Age],1078)&lt;40,20,IF(INDEX(tblCleanData[Age],1078)&lt;50,10,15)))</f>
        <v>30</v>
      </c>
      <c r="J1086">
        <f>IF(INDEX(tblCleanData[MonthlyIncome],1078)&lt;=$B$3,25,IF(INDEX(tblCleanData[MonthlyIncome],1078)&lt;=$B$4,12,5))</f>
        <v>5</v>
      </c>
      <c r="K1086">
        <f>IF(INDEX(tblCleanData[OverTime],1078)="Yes",25,0)</f>
        <v>0</v>
      </c>
      <c r="L1086">
        <f>(5-INDEX(tblCleanData[JobSatisfaction],1078))*6.25</f>
        <v>25</v>
      </c>
      <c r="M1086">
        <f>IF(INDEX(tblCleanData[YearsAtCompany],1078)&lt;=2,25,IF(INDEX(tblCleanData[YearsAtCompany],1078)&lt;=5,15,IF(INDEX(tblCleanData[YearsAtCompany],1078)&lt;=10,8,3)))</f>
        <v>8</v>
      </c>
      <c r="N1086">
        <f t="shared" si="32"/>
        <v>68</v>
      </c>
      <c r="O1086" t="str">
        <f t="shared" si="33"/>
        <v>High Risk</v>
      </c>
    </row>
    <row r="1087" spans="1:15" x14ac:dyDescent="0.25">
      <c r="A1087">
        <f>INDEX(tblCleanData[EmployeeNumber],1079)</f>
        <v>1523</v>
      </c>
      <c r="B1087" t="str">
        <f>IF(INDEX(tblCleanData[Age],1079)&lt;30,"Under 30",IF(INDEX(tblCleanData[Age],1079)&lt;40,"30-39",IF(INDEX(tblCleanData[Age],1079)&lt;50,"40-49","50+")))</f>
        <v>40-49</v>
      </c>
      <c r="C1087" t="str">
        <f>IF(INDEX(tblCleanData[MonthlyIncome],1079)&lt;=$B$3,"Low Income",IF(INDEX(tblCleanData[MonthlyIncome],1079)&lt;=$B$4,"Medium Income","High Income"))</f>
        <v>High Income</v>
      </c>
      <c r="D1087">
        <f>IF(INDEX(tblCleanData[Attrition],1079)="Yes",1,0)</f>
        <v>0</v>
      </c>
      <c r="E1087">
        <f>IF(INDEX(tblCleanData[OverTime],1079)="Yes",1,0)</f>
        <v>0</v>
      </c>
      <c r="F1087" t="str">
        <f>CHOOSE(INDEX(tblCleanData[Education],1079),"Below College","College","Bachelor","Master","Doctor")</f>
        <v>Bachelor</v>
      </c>
      <c r="G1087" t="str">
        <f>IF(INDEX(tblCleanData[YearsAtCompany],1079)&lt;=2,"0-2 Years",IF(INDEX(tblCleanData[YearsAtCompany],1079)&lt;=5,"3-5 Years",IF(INDEX(tblCleanData[YearsAtCompany],1079)&lt;=10,"6-10 Years","10+ Years")))</f>
        <v>10+ Years</v>
      </c>
      <c r="H1087" t="str">
        <f>IF(INDEX(tblCleanData[WorkLifeBalance],1079)&lt;=2,"Elevated","Normal")</f>
        <v>Normal</v>
      </c>
      <c r="I1087">
        <f>IF(INDEX(tblCleanData[Age],1079)&lt;30,30,IF(INDEX(tblCleanData[Age],1079)&lt;40,20,IF(INDEX(tblCleanData[Age],1079)&lt;50,10,15)))</f>
        <v>10</v>
      </c>
      <c r="J1087">
        <f>IF(INDEX(tblCleanData[MonthlyIncome],1079)&lt;=$B$3,25,IF(INDEX(tblCleanData[MonthlyIncome],1079)&lt;=$B$4,12,5))</f>
        <v>5</v>
      </c>
      <c r="K1087">
        <f>IF(INDEX(tblCleanData[OverTime],1079)="Yes",25,0)</f>
        <v>0</v>
      </c>
      <c r="L1087">
        <f>(5-INDEX(tblCleanData[JobSatisfaction],1079))*6.25</f>
        <v>25</v>
      </c>
      <c r="M1087">
        <f>IF(INDEX(tblCleanData[YearsAtCompany],1079)&lt;=2,25,IF(INDEX(tblCleanData[YearsAtCompany],1079)&lt;=5,15,IF(INDEX(tblCleanData[YearsAtCompany],1079)&lt;=10,8,3)))</f>
        <v>3</v>
      </c>
      <c r="N1087">
        <f t="shared" si="32"/>
        <v>43</v>
      </c>
      <c r="O1087" t="str">
        <f t="shared" si="33"/>
        <v>Medium Risk</v>
      </c>
    </row>
    <row r="1088" spans="1:15" x14ac:dyDescent="0.25">
      <c r="A1088">
        <f>INDEX(tblCleanData[EmployeeNumber],1080)</f>
        <v>1525</v>
      </c>
      <c r="B1088" t="str">
        <f>IF(INDEX(tblCleanData[Age],1080)&lt;30,"Under 30",IF(INDEX(tblCleanData[Age],1080)&lt;40,"30-39",IF(INDEX(tblCleanData[Age],1080)&lt;50,"40-49","50+")))</f>
        <v>30-39</v>
      </c>
      <c r="C1088" t="str">
        <f>IF(INDEX(tblCleanData[MonthlyIncome],1080)&lt;=$B$3,"Low Income",IF(INDEX(tblCleanData[MonthlyIncome],1080)&lt;=$B$4,"Medium Income","High Income"))</f>
        <v>High Income</v>
      </c>
      <c r="D1088">
        <f>IF(INDEX(tblCleanData[Attrition],1080)="Yes",1,0)</f>
        <v>0</v>
      </c>
      <c r="E1088">
        <f>IF(INDEX(tblCleanData[OverTime],1080)="Yes",1,0)</f>
        <v>0</v>
      </c>
      <c r="F1088" t="str">
        <f>CHOOSE(INDEX(tblCleanData[Education],1080),"Below College","College","Bachelor","Master","Doctor")</f>
        <v>Bachelor</v>
      </c>
      <c r="G1088" t="str">
        <f>IF(INDEX(tblCleanData[YearsAtCompany],1080)&lt;=2,"0-2 Years",IF(INDEX(tblCleanData[YearsAtCompany],1080)&lt;=5,"3-5 Years",IF(INDEX(tblCleanData[YearsAtCompany],1080)&lt;=10,"6-10 Years","10+ Years")))</f>
        <v>0-2 Years</v>
      </c>
      <c r="H1088" t="str">
        <f>IF(INDEX(tblCleanData[WorkLifeBalance],1080)&lt;=2,"Elevated","Normal")</f>
        <v>Normal</v>
      </c>
      <c r="I1088">
        <f>IF(INDEX(tblCleanData[Age],1080)&lt;30,30,IF(INDEX(tblCleanData[Age],1080)&lt;40,20,IF(INDEX(tblCleanData[Age],1080)&lt;50,10,15)))</f>
        <v>20</v>
      </c>
      <c r="J1088">
        <f>IF(INDEX(tblCleanData[MonthlyIncome],1080)&lt;=$B$3,25,IF(INDEX(tblCleanData[MonthlyIncome],1080)&lt;=$B$4,12,5))</f>
        <v>5</v>
      </c>
      <c r="K1088">
        <f>IF(INDEX(tblCleanData[OverTime],1080)="Yes",25,0)</f>
        <v>0</v>
      </c>
      <c r="L1088">
        <f>(5-INDEX(tblCleanData[JobSatisfaction],1080))*6.25</f>
        <v>18.75</v>
      </c>
      <c r="M1088">
        <f>IF(INDEX(tblCleanData[YearsAtCompany],1080)&lt;=2,25,IF(INDEX(tblCleanData[YearsAtCompany],1080)&lt;=5,15,IF(INDEX(tblCleanData[YearsAtCompany],1080)&lt;=10,8,3)))</f>
        <v>25</v>
      </c>
      <c r="N1088">
        <f t="shared" si="32"/>
        <v>69</v>
      </c>
      <c r="O1088" t="str">
        <f t="shared" si="33"/>
        <v>High Risk</v>
      </c>
    </row>
    <row r="1089" spans="1:15" x14ac:dyDescent="0.25">
      <c r="A1089">
        <f>INDEX(tblCleanData[EmployeeNumber],1081)</f>
        <v>1527</v>
      </c>
      <c r="B1089" t="str">
        <f>IF(INDEX(tblCleanData[Age],1081)&lt;30,"Under 30",IF(INDEX(tblCleanData[Age],1081)&lt;40,"30-39",IF(INDEX(tblCleanData[Age],1081)&lt;50,"40-49","50+")))</f>
        <v>40-49</v>
      </c>
      <c r="C1089" t="str">
        <f>IF(INDEX(tblCleanData[MonthlyIncome],1081)&lt;=$B$3,"Low Income",IF(INDEX(tblCleanData[MonthlyIncome],1081)&lt;=$B$4,"Medium Income","High Income"))</f>
        <v>High Income</v>
      </c>
      <c r="D1089">
        <f>IF(INDEX(tblCleanData[Attrition],1081)="Yes",1,0)</f>
        <v>0</v>
      </c>
      <c r="E1089">
        <f>IF(INDEX(tblCleanData[OverTime],1081)="Yes",1,0)</f>
        <v>0</v>
      </c>
      <c r="F1089" t="str">
        <f>CHOOSE(INDEX(tblCleanData[Education],1081),"Below College","College","Bachelor","Master","Doctor")</f>
        <v>Bachelor</v>
      </c>
      <c r="G1089" t="str">
        <f>IF(INDEX(tblCleanData[YearsAtCompany],1081)&lt;=2,"0-2 Years",IF(INDEX(tblCleanData[YearsAtCompany],1081)&lt;=5,"3-5 Years",IF(INDEX(tblCleanData[YearsAtCompany],1081)&lt;=10,"6-10 Years","10+ Years")))</f>
        <v>10+ Years</v>
      </c>
      <c r="H1089" t="str">
        <f>IF(INDEX(tblCleanData[WorkLifeBalance],1081)&lt;=2,"Elevated","Normal")</f>
        <v>Normal</v>
      </c>
      <c r="I1089">
        <f>IF(INDEX(tblCleanData[Age],1081)&lt;30,30,IF(INDEX(tblCleanData[Age],1081)&lt;40,20,IF(INDEX(tblCleanData[Age],1081)&lt;50,10,15)))</f>
        <v>10</v>
      </c>
      <c r="J1089">
        <f>IF(INDEX(tblCleanData[MonthlyIncome],1081)&lt;=$B$3,25,IF(INDEX(tblCleanData[MonthlyIncome],1081)&lt;=$B$4,12,5))</f>
        <v>5</v>
      </c>
      <c r="K1089">
        <f>IF(INDEX(tblCleanData[OverTime],1081)="Yes",25,0)</f>
        <v>0</v>
      </c>
      <c r="L1089">
        <f>(5-INDEX(tblCleanData[JobSatisfaction],1081))*6.25</f>
        <v>18.75</v>
      </c>
      <c r="M1089">
        <f>IF(INDEX(tblCleanData[YearsAtCompany],1081)&lt;=2,25,IF(INDEX(tblCleanData[YearsAtCompany],1081)&lt;=5,15,IF(INDEX(tblCleanData[YearsAtCompany],1081)&lt;=10,8,3)))</f>
        <v>3</v>
      </c>
      <c r="N1089">
        <f t="shared" si="32"/>
        <v>37</v>
      </c>
      <c r="O1089" t="str">
        <f t="shared" si="33"/>
        <v>Medium Risk</v>
      </c>
    </row>
    <row r="1090" spans="1:15" x14ac:dyDescent="0.25">
      <c r="A1090">
        <f>INDEX(tblCleanData[EmployeeNumber],1082)</f>
        <v>1529</v>
      </c>
      <c r="B1090" t="str">
        <f>IF(INDEX(tblCleanData[Age],1082)&lt;30,"Under 30",IF(INDEX(tblCleanData[Age],1082)&lt;40,"30-39",IF(INDEX(tblCleanData[Age],1082)&lt;50,"40-49","50+")))</f>
        <v>30-39</v>
      </c>
      <c r="C1090" t="str">
        <f>IF(INDEX(tblCleanData[MonthlyIncome],1082)&lt;=$B$3,"Low Income",IF(INDEX(tblCleanData[MonthlyIncome],1082)&lt;=$B$4,"Medium Income","High Income"))</f>
        <v>High Income</v>
      </c>
      <c r="D1090">
        <f>IF(INDEX(tblCleanData[Attrition],1082)="Yes",1,0)</f>
        <v>0</v>
      </c>
      <c r="E1090">
        <f>IF(INDEX(tblCleanData[OverTime],1082)="Yes",1,0)</f>
        <v>0</v>
      </c>
      <c r="F1090" t="str">
        <f>CHOOSE(INDEX(tblCleanData[Education],1082),"Below College","College","Bachelor","Master","Doctor")</f>
        <v>Bachelor</v>
      </c>
      <c r="G1090" t="str">
        <f>IF(INDEX(tblCleanData[YearsAtCompany],1082)&lt;=2,"0-2 Years",IF(INDEX(tblCleanData[YearsAtCompany],1082)&lt;=5,"3-5 Years",IF(INDEX(tblCleanData[YearsAtCompany],1082)&lt;=10,"6-10 Years","10+ Years")))</f>
        <v>10+ Years</v>
      </c>
      <c r="H1090" t="str">
        <f>IF(INDEX(tblCleanData[WorkLifeBalance],1082)&lt;=2,"Elevated","Normal")</f>
        <v>Elevated</v>
      </c>
      <c r="I1090">
        <f>IF(INDEX(tblCleanData[Age],1082)&lt;30,30,IF(INDEX(tblCleanData[Age],1082)&lt;40,20,IF(INDEX(tblCleanData[Age],1082)&lt;50,10,15)))</f>
        <v>20</v>
      </c>
      <c r="J1090">
        <f>IF(INDEX(tblCleanData[MonthlyIncome],1082)&lt;=$B$3,25,IF(INDEX(tblCleanData[MonthlyIncome],1082)&lt;=$B$4,12,5))</f>
        <v>5</v>
      </c>
      <c r="K1090">
        <f>IF(INDEX(tblCleanData[OverTime],1082)="Yes",25,0)</f>
        <v>0</v>
      </c>
      <c r="L1090">
        <f>(5-INDEX(tblCleanData[JobSatisfaction],1082))*6.25</f>
        <v>18.75</v>
      </c>
      <c r="M1090">
        <f>IF(INDEX(tblCleanData[YearsAtCompany],1082)&lt;=2,25,IF(INDEX(tblCleanData[YearsAtCompany],1082)&lt;=5,15,IF(INDEX(tblCleanData[YearsAtCompany],1082)&lt;=10,8,3)))</f>
        <v>3</v>
      </c>
      <c r="N1090">
        <f t="shared" si="32"/>
        <v>47</v>
      </c>
      <c r="O1090" t="str">
        <f t="shared" si="33"/>
        <v>Medium Risk</v>
      </c>
    </row>
    <row r="1091" spans="1:15" x14ac:dyDescent="0.25">
      <c r="A1091">
        <f>INDEX(tblCleanData[EmployeeNumber],1083)</f>
        <v>1533</v>
      </c>
      <c r="B1091" t="str">
        <f>IF(INDEX(tblCleanData[Age],1083)&lt;30,"Under 30",IF(INDEX(tblCleanData[Age],1083)&lt;40,"30-39",IF(INDEX(tblCleanData[Age],1083)&lt;50,"40-49","50+")))</f>
        <v>Under 30</v>
      </c>
      <c r="C1091" t="str">
        <f>IF(INDEX(tblCleanData[MonthlyIncome],1083)&lt;=$B$3,"Low Income",IF(INDEX(tblCleanData[MonthlyIncome],1083)&lt;=$B$4,"Medium Income","High Income"))</f>
        <v>High Income</v>
      </c>
      <c r="D1091">
        <f>IF(INDEX(tblCleanData[Attrition],1083)="Yes",1,0)</f>
        <v>0</v>
      </c>
      <c r="E1091">
        <f>IF(INDEX(tblCleanData[OverTime],1083)="Yes",1,0)</f>
        <v>0</v>
      </c>
      <c r="F1091" t="str">
        <f>CHOOSE(INDEX(tblCleanData[Education],1083),"Below College","College","Bachelor","Master","Doctor")</f>
        <v>Below College</v>
      </c>
      <c r="G1091" t="str">
        <f>IF(INDEX(tblCleanData[YearsAtCompany],1083)&lt;=2,"0-2 Years",IF(INDEX(tblCleanData[YearsAtCompany],1083)&lt;=5,"3-5 Years",IF(INDEX(tblCleanData[YearsAtCompany],1083)&lt;=10,"6-10 Years","10+ Years")))</f>
        <v>3-5 Years</v>
      </c>
      <c r="H1091" t="str">
        <f>IF(INDEX(tblCleanData[WorkLifeBalance],1083)&lt;=2,"Elevated","Normal")</f>
        <v>Normal</v>
      </c>
      <c r="I1091">
        <f>IF(INDEX(tblCleanData[Age],1083)&lt;30,30,IF(INDEX(tblCleanData[Age],1083)&lt;40,20,IF(INDEX(tblCleanData[Age],1083)&lt;50,10,15)))</f>
        <v>30</v>
      </c>
      <c r="J1091">
        <f>IF(INDEX(tblCleanData[MonthlyIncome],1083)&lt;=$B$3,25,IF(INDEX(tblCleanData[MonthlyIncome],1083)&lt;=$B$4,12,5))</f>
        <v>5</v>
      </c>
      <c r="K1091">
        <f>IF(INDEX(tblCleanData[OverTime],1083)="Yes",25,0)</f>
        <v>0</v>
      </c>
      <c r="L1091">
        <f>(5-INDEX(tblCleanData[JobSatisfaction],1083))*6.25</f>
        <v>12.5</v>
      </c>
      <c r="M1091">
        <f>IF(INDEX(tblCleanData[YearsAtCompany],1083)&lt;=2,25,IF(INDEX(tblCleanData[YearsAtCompany],1083)&lt;=5,15,IF(INDEX(tblCleanData[YearsAtCompany],1083)&lt;=10,8,3)))</f>
        <v>15</v>
      </c>
      <c r="N1091">
        <f t="shared" si="32"/>
        <v>63</v>
      </c>
      <c r="O1091" t="str">
        <f t="shared" si="33"/>
        <v>High Risk</v>
      </c>
    </row>
    <row r="1092" spans="1:15" x14ac:dyDescent="0.25">
      <c r="A1092">
        <f>INDEX(tblCleanData[EmployeeNumber],1084)</f>
        <v>1534</v>
      </c>
      <c r="B1092" t="str">
        <f>IF(INDEX(tblCleanData[Age],1084)&lt;30,"Under 30",IF(INDEX(tblCleanData[Age],1084)&lt;40,"30-39",IF(INDEX(tblCleanData[Age],1084)&lt;50,"40-49","50+")))</f>
        <v>40-49</v>
      </c>
      <c r="C1092" t="str">
        <f>IF(INDEX(tblCleanData[MonthlyIncome],1084)&lt;=$B$3,"Low Income",IF(INDEX(tblCleanData[MonthlyIncome],1084)&lt;=$B$4,"Medium Income","High Income"))</f>
        <v>High Income</v>
      </c>
      <c r="D1092">
        <f>IF(INDEX(tblCleanData[Attrition],1084)="Yes",1,0)</f>
        <v>1</v>
      </c>
      <c r="E1092">
        <f>IF(INDEX(tblCleanData[OverTime],1084)="Yes",1,0)</f>
        <v>0</v>
      </c>
      <c r="F1092" t="str">
        <f>CHOOSE(INDEX(tblCleanData[Education],1084),"Below College","College","Bachelor","Master","Doctor")</f>
        <v>Master</v>
      </c>
      <c r="G1092" t="str">
        <f>IF(INDEX(tblCleanData[YearsAtCompany],1084)&lt;=2,"0-2 Years",IF(INDEX(tblCleanData[YearsAtCompany],1084)&lt;=5,"3-5 Years",IF(INDEX(tblCleanData[YearsAtCompany],1084)&lt;=10,"6-10 Years","10+ Years")))</f>
        <v>3-5 Years</v>
      </c>
      <c r="H1092" t="str">
        <f>IF(INDEX(tblCleanData[WorkLifeBalance],1084)&lt;=2,"Elevated","Normal")</f>
        <v>Elevated</v>
      </c>
      <c r="I1092">
        <f>IF(INDEX(tblCleanData[Age],1084)&lt;30,30,IF(INDEX(tblCleanData[Age],1084)&lt;40,20,IF(INDEX(tblCleanData[Age],1084)&lt;50,10,15)))</f>
        <v>10</v>
      </c>
      <c r="J1092">
        <f>IF(INDEX(tblCleanData[MonthlyIncome],1084)&lt;=$B$3,25,IF(INDEX(tblCleanData[MonthlyIncome],1084)&lt;=$B$4,12,5))</f>
        <v>5</v>
      </c>
      <c r="K1092">
        <f>IF(INDEX(tblCleanData[OverTime],1084)="Yes",25,0)</f>
        <v>0</v>
      </c>
      <c r="L1092">
        <f>(5-INDEX(tblCleanData[JobSatisfaction],1084))*6.25</f>
        <v>25</v>
      </c>
      <c r="M1092">
        <f>IF(INDEX(tblCleanData[YearsAtCompany],1084)&lt;=2,25,IF(INDEX(tblCleanData[YearsAtCompany],1084)&lt;=5,15,IF(INDEX(tblCleanData[YearsAtCompany],1084)&lt;=10,8,3)))</f>
        <v>15</v>
      </c>
      <c r="N1092">
        <f t="shared" si="32"/>
        <v>55</v>
      </c>
      <c r="O1092" t="str">
        <f t="shared" si="33"/>
        <v>High Risk</v>
      </c>
    </row>
    <row r="1093" spans="1:15" x14ac:dyDescent="0.25">
      <c r="A1093">
        <f>INDEX(tblCleanData[EmployeeNumber],1085)</f>
        <v>1535</v>
      </c>
      <c r="B1093" t="str">
        <f>IF(INDEX(tblCleanData[Age],1085)&lt;30,"Under 30",IF(INDEX(tblCleanData[Age],1085)&lt;40,"30-39",IF(INDEX(tblCleanData[Age],1085)&lt;50,"40-49","50+")))</f>
        <v>30-39</v>
      </c>
      <c r="C1093" t="str">
        <f>IF(INDEX(tblCleanData[MonthlyIncome],1085)&lt;=$B$3,"Low Income",IF(INDEX(tblCleanData[MonthlyIncome],1085)&lt;=$B$4,"Medium Income","High Income"))</f>
        <v>High Income</v>
      </c>
      <c r="D1093">
        <f>IF(INDEX(tblCleanData[Attrition],1085)="Yes",1,0)</f>
        <v>0</v>
      </c>
      <c r="E1093">
        <f>IF(INDEX(tblCleanData[OverTime],1085)="Yes",1,0)</f>
        <v>1</v>
      </c>
      <c r="F1093" t="str">
        <f>CHOOSE(INDEX(tblCleanData[Education],1085),"Below College","College","Bachelor","Master","Doctor")</f>
        <v>Bachelor</v>
      </c>
      <c r="G1093" t="str">
        <f>IF(INDEX(tblCleanData[YearsAtCompany],1085)&lt;=2,"0-2 Years",IF(INDEX(tblCleanData[YearsAtCompany],1085)&lt;=5,"3-5 Years",IF(INDEX(tblCleanData[YearsAtCompany],1085)&lt;=10,"6-10 Years","10+ Years")))</f>
        <v>6-10 Years</v>
      </c>
      <c r="H1093" t="str">
        <f>IF(INDEX(tblCleanData[WorkLifeBalance],1085)&lt;=2,"Elevated","Normal")</f>
        <v>Normal</v>
      </c>
      <c r="I1093">
        <f>IF(INDEX(tblCleanData[Age],1085)&lt;30,30,IF(INDEX(tblCleanData[Age],1085)&lt;40,20,IF(INDEX(tblCleanData[Age],1085)&lt;50,10,15)))</f>
        <v>20</v>
      </c>
      <c r="J1093">
        <f>IF(INDEX(tblCleanData[MonthlyIncome],1085)&lt;=$B$3,25,IF(INDEX(tblCleanData[MonthlyIncome],1085)&lt;=$B$4,12,5))</f>
        <v>5</v>
      </c>
      <c r="K1093">
        <f>IF(INDEX(tblCleanData[OverTime],1085)="Yes",25,0)</f>
        <v>25</v>
      </c>
      <c r="L1093">
        <f>(5-INDEX(tblCleanData[JobSatisfaction],1085))*6.25</f>
        <v>12.5</v>
      </c>
      <c r="M1093">
        <f>IF(INDEX(tblCleanData[YearsAtCompany],1085)&lt;=2,25,IF(INDEX(tblCleanData[YearsAtCompany],1085)&lt;=5,15,IF(INDEX(tblCleanData[YearsAtCompany],1085)&lt;=10,8,3)))</f>
        <v>8</v>
      </c>
      <c r="N1093">
        <f t="shared" si="32"/>
        <v>71</v>
      </c>
      <c r="O1093" t="str">
        <f t="shared" si="33"/>
        <v>High Risk</v>
      </c>
    </row>
    <row r="1094" spans="1:15" x14ac:dyDescent="0.25">
      <c r="A1094">
        <f>INDEX(tblCleanData[EmployeeNumber],1086)</f>
        <v>1537</v>
      </c>
      <c r="B1094" t="str">
        <f>IF(INDEX(tblCleanData[Age],1086)&lt;30,"Under 30",IF(INDEX(tblCleanData[Age],1086)&lt;40,"30-39",IF(INDEX(tblCleanData[Age],1086)&lt;50,"40-49","50+")))</f>
        <v>30-39</v>
      </c>
      <c r="C1094" t="str">
        <f>IF(INDEX(tblCleanData[MonthlyIncome],1086)&lt;=$B$3,"Low Income",IF(INDEX(tblCleanData[MonthlyIncome],1086)&lt;=$B$4,"Medium Income","High Income"))</f>
        <v>High Income</v>
      </c>
      <c r="D1094">
        <f>IF(INDEX(tblCleanData[Attrition],1086)="Yes",1,0)</f>
        <v>1</v>
      </c>
      <c r="E1094">
        <f>IF(INDEX(tblCleanData[OverTime],1086)="Yes",1,0)</f>
        <v>0</v>
      </c>
      <c r="F1094" t="str">
        <f>CHOOSE(INDEX(tblCleanData[Education],1086),"Below College","College","Bachelor","Master","Doctor")</f>
        <v>Bachelor</v>
      </c>
      <c r="G1094" t="str">
        <f>IF(INDEX(tblCleanData[YearsAtCompany],1086)&lt;=2,"0-2 Years",IF(INDEX(tblCleanData[YearsAtCompany],1086)&lt;=5,"3-5 Years",IF(INDEX(tblCleanData[YearsAtCompany],1086)&lt;=10,"6-10 Years","10+ Years")))</f>
        <v>6-10 Years</v>
      </c>
      <c r="H1094" t="str">
        <f>IF(INDEX(tblCleanData[WorkLifeBalance],1086)&lt;=2,"Elevated","Normal")</f>
        <v>Elevated</v>
      </c>
      <c r="I1094">
        <f>IF(INDEX(tblCleanData[Age],1086)&lt;30,30,IF(INDEX(tblCleanData[Age],1086)&lt;40,20,IF(INDEX(tblCleanData[Age],1086)&lt;50,10,15)))</f>
        <v>20</v>
      </c>
      <c r="J1094">
        <f>IF(INDEX(tblCleanData[MonthlyIncome],1086)&lt;=$B$3,25,IF(INDEX(tblCleanData[MonthlyIncome],1086)&lt;=$B$4,12,5))</f>
        <v>5</v>
      </c>
      <c r="K1094">
        <f>IF(INDEX(tblCleanData[OverTime],1086)="Yes",25,0)</f>
        <v>0</v>
      </c>
      <c r="L1094">
        <f>(5-INDEX(tblCleanData[JobSatisfaction],1086))*6.25</f>
        <v>12.5</v>
      </c>
      <c r="M1094">
        <f>IF(INDEX(tblCleanData[YearsAtCompany],1086)&lt;=2,25,IF(INDEX(tblCleanData[YearsAtCompany],1086)&lt;=5,15,IF(INDEX(tblCleanData[YearsAtCompany],1086)&lt;=10,8,3)))</f>
        <v>8</v>
      </c>
      <c r="N1094">
        <f t="shared" si="32"/>
        <v>46</v>
      </c>
      <c r="O1094" t="str">
        <f t="shared" si="33"/>
        <v>Medium Risk</v>
      </c>
    </row>
    <row r="1095" spans="1:15" x14ac:dyDescent="0.25">
      <c r="A1095">
        <f>INDEX(tblCleanData[EmployeeNumber],1087)</f>
        <v>1539</v>
      </c>
      <c r="B1095" t="str">
        <f>IF(INDEX(tblCleanData[Age],1087)&lt;30,"Under 30",IF(INDEX(tblCleanData[Age],1087)&lt;40,"30-39",IF(INDEX(tblCleanData[Age],1087)&lt;50,"40-49","50+")))</f>
        <v>50+</v>
      </c>
      <c r="C1095" t="str">
        <f>IF(INDEX(tblCleanData[MonthlyIncome],1087)&lt;=$B$3,"Low Income",IF(INDEX(tblCleanData[MonthlyIncome],1087)&lt;=$B$4,"Medium Income","High Income"))</f>
        <v>High Income</v>
      </c>
      <c r="D1095">
        <f>IF(INDEX(tblCleanData[Attrition],1087)="Yes",1,0)</f>
        <v>0</v>
      </c>
      <c r="E1095">
        <f>IF(INDEX(tblCleanData[OverTime],1087)="Yes",1,0)</f>
        <v>1</v>
      </c>
      <c r="F1095" t="str">
        <f>CHOOSE(INDEX(tblCleanData[Education],1087),"Below College","College","Bachelor","Master","Doctor")</f>
        <v>Doctor</v>
      </c>
      <c r="G1095" t="str">
        <f>IF(INDEX(tblCleanData[YearsAtCompany],1087)&lt;=2,"0-2 Years",IF(INDEX(tblCleanData[YearsAtCompany],1087)&lt;=5,"3-5 Years",IF(INDEX(tblCleanData[YearsAtCompany],1087)&lt;=10,"6-10 Years","10+ Years")))</f>
        <v>10+ Years</v>
      </c>
      <c r="H1095" t="str">
        <f>IF(INDEX(tblCleanData[WorkLifeBalance],1087)&lt;=2,"Elevated","Normal")</f>
        <v>Normal</v>
      </c>
      <c r="I1095">
        <f>IF(INDEX(tblCleanData[Age],1087)&lt;30,30,IF(INDEX(tblCleanData[Age],1087)&lt;40,20,IF(INDEX(tblCleanData[Age],1087)&lt;50,10,15)))</f>
        <v>15</v>
      </c>
      <c r="J1095">
        <f>IF(INDEX(tblCleanData[MonthlyIncome],1087)&lt;=$B$3,25,IF(INDEX(tblCleanData[MonthlyIncome],1087)&lt;=$B$4,12,5))</f>
        <v>5</v>
      </c>
      <c r="K1095">
        <f>IF(INDEX(tblCleanData[OverTime],1087)="Yes",25,0)</f>
        <v>25</v>
      </c>
      <c r="L1095">
        <f>(5-INDEX(tblCleanData[JobSatisfaction],1087))*6.25</f>
        <v>6.25</v>
      </c>
      <c r="M1095">
        <f>IF(INDEX(tblCleanData[YearsAtCompany],1087)&lt;=2,25,IF(INDEX(tblCleanData[YearsAtCompany],1087)&lt;=5,15,IF(INDEX(tblCleanData[YearsAtCompany],1087)&lt;=10,8,3)))</f>
        <v>3</v>
      </c>
      <c r="N1095">
        <f t="shared" si="32"/>
        <v>54</v>
      </c>
      <c r="O1095" t="str">
        <f t="shared" si="33"/>
        <v>Medium Risk</v>
      </c>
    </row>
    <row r="1096" spans="1:15" x14ac:dyDescent="0.25">
      <c r="A1096">
        <f>INDEX(tblCleanData[EmployeeNumber],1088)</f>
        <v>1541</v>
      </c>
      <c r="B1096" t="str">
        <f>IF(INDEX(tblCleanData[Age],1088)&lt;30,"Under 30",IF(INDEX(tblCleanData[Age],1088)&lt;40,"30-39",IF(INDEX(tblCleanData[Age],1088)&lt;50,"40-49","50+")))</f>
        <v>30-39</v>
      </c>
      <c r="C1096" t="str">
        <f>IF(INDEX(tblCleanData[MonthlyIncome],1088)&lt;=$B$3,"Low Income",IF(INDEX(tblCleanData[MonthlyIncome],1088)&lt;=$B$4,"Medium Income","High Income"))</f>
        <v>High Income</v>
      </c>
      <c r="D1096">
        <f>IF(INDEX(tblCleanData[Attrition],1088)="Yes",1,0)</f>
        <v>0</v>
      </c>
      <c r="E1096">
        <f>IF(INDEX(tblCleanData[OverTime],1088)="Yes",1,0)</f>
        <v>1</v>
      </c>
      <c r="F1096" t="str">
        <f>CHOOSE(INDEX(tblCleanData[Education],1088),"Below College","College","Bachelor","Master","Doctor")</f>
        <v>College</v>
      </c>
      <c r="G1096" t="str">
        <f>IF(INDEX(tblCleanData[YearsAtCompany],1088)&lt;=2,"0-2 Years",IF(INDEX(tblCleanData[YearsAtCompany],1088)&lt;=5,"3-5 Years",IF(INDEX(tblCleanData[YearsAtCompany],1088)&lt;=10,"6-10 Years","10+ Years")))</f>
        <v>10+ Years</v>
      </c>
      <c r="H1096" t="str">
        <f>IF(INDEX(tblCleanData[WorkLifeBalance],1088)&lt;=2,"Elevated","Normal")</f>
        <v>Normal</v>
      </c>
      <c r="I1096">
        <f>IF(INDEX(tblCleanData[Age],1088)&lt;30,30,IF(INDEX(tblCleanData[Age],1088)&lt;40,20,IF(INDEX(tblCleanData[Age],1088)&lt;50,10,15)))</f>
        <v>20</v>
      </c>
      <c r="J1096">
        <f>IF(INDEX(tblCleanData[MonthlyIncome],1088)&lt;=$B$3,25,IF(INDEX(tblCleanData[MonthlyIncome],1088)&lt;=$B$4,12,5))</f>
        <v>5</v>
      </c>
      <c r="K1096">
        <f>IF(INDEX(tblCleanData[OverTime],1088)="Yes",25,0)</f>
        <v>25</v>
      </c>
      <c r="L1096">
        <f>(5-INDEX(tblCleanData[JobSatisfaction],1088))*6.25</f>
        <v>12.5</v>
      </c>
      <c r="M1096">
        <f>IF(INDEX(tblCleanData[YearsAtCompany],1088)&lt;=2,25,IF(INDEX(tblCleanData[YearsAtCompany],1088)&lt;=5,15,IF(INDEX(tblCleanData[YearsAtCompany],1088)&lt;=10,8,3)))</f>
        <v>3</v>
      </c>
      <c r="N1096">
        <f t="shared" si="32"/>
        <v>66</v>
      </c>
      <c r="O1096" t="str">
        <f t="shared" si="33"/>
        <v>High Risk</v>
      </c>
    </row>
    <row r="1097" spans="1:15" x14ac:dyDescent="0.25">
      <c r="A1097">
        <f>INDEX(tblCleanData[EmployeeNumber],1089)</f>
        <v>1542</v>
      </c>
      <c r="B1097" t="str">
        <f>IF(INDEX(tblCleanData[Age],1089)&lt;30,"Under 30",IF(INDEX(tblCleanData[Age],1089)&lt;40,"30-39",IF(INDEX(tblCleanData[Age],1089)&lt;50,"40-49","50+")))</f>
        <v>40-49</v>
      </c>
      <c r="C1097" t="str">
        <f>IF(INDEX(tblCleanData[MonthlyIncome],1089)&lt;=$B$3,"Low Income",IF(INDEX(tblCleanData[MonthlyIncome],1089)&lt;=$B$4,"Medium Income","High Income"))</f>
        <v>High Income</v>
      </c>
      <c r="D1097">
        <f>IF(INDEX(tblCleanData[Attrition],1089)="Yes",1,0)</f>
        <v>0</v>
      </c>
      <c r="E1097">
        <f>IF(INDEX(tblCleanData[OverTime],1089)="Yes",1,0)</f>
        <v>0</v>
      </c>
      <c r="F1097" t="str">
        <f>CHOOSE(INDEX(tblCleanData[Education],1089),"Below College","College","Bachelor","Master","Doctor")</f>
        <v>Bachelor</v>
      </c>
      <c r="G1097" t="str">
        <f>IF(INDEX(tblCleanData[YearsAtCompany],1089)&lt;=2,"0-2 Years",IF(INDEX(tblCleanData[YearsAtCompany],1089)&lt;=5,"3-5 Years",IF(INDEX(tblCleanData[YearsAtCompany],1089)&lt;=10,"6-10 Years","10+ Years")))</f>
        <v>0-2 Years</v>
      </c>
      <c r="H1097" t="str">
        <f>IF(INDEX(tblCleanData[WorkLifeBalance],1089)&lt;=2,"Elevated","Normal")</f>
        <v>Normal</v>
      </c>
      <c r="I1097">
        <f>IF(INDEX(tblCleanData[Age],1089)&lt;30,30,IF(INDEX(tblCleanData[Age],1089)&lt;40,20,IF(INDEX(tblCleanData[Age],1089)&lt;50,10,15)))</f>
        <v>10</v>
      </c>
      <c r="J1097">
        <f>IF(INDEX(tblCleanData[MonthlyIncome],1089)&lt;=$B$3,25,IF(INDEX(tblCleanData[MonthlyIncome],1089)&lt;=$B$4,12,5))</f>
        <v>5</v>
      </c>
      <c r="K1097">
        <f>IF(INDEX(tblCleanData[OverTime],1089)="Yes",25,0)</f>
        <v>0</v>
      </c>
      <c r="L1097">
        <f>(5-INDEX(tblCleanData[JobSatisfaction],1089))*6.25</f>
        <v>18.75</v>
      </c>
      <c r="M1097">
        <f>IF(INDEX(tblCleanData[YearsAtCompany],1089)&lt;=2,25,IF(INDEX(tblCleanData[YearsAtCompany],1089)&lt;=5,15,IF(INDEX(tblCleanData[YearsAtCompany],1089)&lt;=10,8,3)))</f>
        <v>25</v>
      </c>
      <c r="N1097">
        <f t="shared" ref="N1097:N1160" si="34">ROUND(I1097+J1097+K1097+L1097+M1097,0)</f>
        <v>59</v>
      </c>
      <c r="O1097" t="str">
        <f t="shared" ref="O1097:O1160" si="35">IF(N1097&gt;=55,"High Risk",IF(N1097&gt;=35,"Medium Risk","Low Risk"))</f>
        <v>High Risk</v>
      </c>
    </row>
    <row r="1098" spans="1:15" x14ac:dyDescent="0.25">
      <c r="A1098">
        <f>INDEX(tblCleanData[EmployeeNumber],1090)</f>
        <v>1543</v>
      </c>
      <c r="B1098" t="str">
        <f>IF(INDEX(tblCleanData[Age],1090)&lt;30,"Under 30",IF(INDEX(tblCleanData[Age],1090)&lt;40,"30-39",IF(INDEX(tblCleanData[Age],1090)&lt;50,"40-49","50+")))</f>
        <v>30-39</v>
      </c>
      <c r="C1098" t="str">
        <f>IF(INDEX(tblCleanData[MonthlyIncome],1090)&lt;=$B$3,"Low Income",IF(INDEX(tblCleanData[MonthlyIncome],1090)&lt;=$B$4,"Medium Income","High Income"))</f>
        <v>High Income</v>
      </c>
      <c r="D1098">
        <f>IF(INDEX(tblCleanData[Attrition],1090)="Yes",1,0)</f>
        <v>0</v>
      </c>
      <c r="E1098">
        <f>IF(INDEX(tblCleanData[OverTime],1090)="Yes",1,0)</f>
        <v>0</v>
      </c>
      <c r="F1098" t="str">
        <f>CHOOSE(INDEX(tblCleanData[Education],1090),"Below College","College","Bachelor","Master","Doctor")</f>
        <v>Bachelor</v>
      </c>
      <c r="G1098" t="str">
        <f>IF(INDEX(tblCleanData[YearsAtCompany],1090)&lt;=2,"0-2 Years",IF(INDEX(tblCleanData[YearsAtCompany],1090)&lt;=5,"3-5 Years",IF(INDEX(tblCleanData[YearsAtCompany],1090)&lt;=10,"6-10 Years","10+ Years")))</f>
        <v>6-10 Years</v>
      </c>
      <c r="H1098" t="str">
        <f>IF(INDEX(tblCleanData[WorkLifeBalance],1090)&lt;=2,"Elevated","Normal")</f>
        <v>Normal</v>
      </c>
      <c r="I1098">
        <f>IF(INDEX(tblCleanData[Age],1090)&lt;30,30,IF(INDEX(tblCleanData[Age],1090)&lt;40,20,IF(INDEX(tblCleanData[Age],1090)&lt;50,10,15)))</f>
        <v>20</v>
      </c>
      <c r="J1098">
        <f>IF(INDEX(tblCleanData[MonthlyIncome],1090)&lt;=$B$3,25,IF(INDEX(tblCleanData[MonthlyIncome],1090)&lt;=$B$4,12,5))</f>
        <v>5</v>
      </c>
      <c r="K1098">
        <f>IF(INDEX(tblCleanData[OverTime],1090)="Yes",25,0)</f>
        <v>0</v>
      </c>
      <c r="L1098">
        <f>(5-INDEX(tblCleanData[JobSatisfaction],1090))*6.25</f>
        <v>6.25</v>
      </c>
      <c r="M1098">
        <f>IF(INDEX(tblCleanData[YearsAtCompany],1090)&lt;=2,25,IF(INDEX(tblCleanData[YearsAtCompany],1090)&lt;=5,15,IF(INDEX(tblCleanData[YearsAtCompany],1090)&lt;=10,8,3)))</f>
        <v>8</v>
      </c>
      <c r="N1098">
        <f t="shared" si="34"/>
        <v>39</v>
      </c>
      <c r="O1098" t="str">
        <f t="shared" si="35"/>
        <v>Medium Risk</v>
      </c>
    </row>
    <row r="1099" spans="1:15" x14ac:dyDescent="0.25">
      <c r="A1099">
        <f>INDEX(tblCleanData[EmployeeNumber],1091)</f>
        <v>1544</v>
      </c>
      <c r="B1099" t="str">
        <f>IF(INDEX(tblCleanData[Age],1091)&lt;30,"Under 30",IF(INDEX(tblCleanData[Age],1091)&lt;40,"30-39",IF(INDEX(tblCleanData[Age],1091)&lt;50,"40-49","50+")))</f>
        <v>Under 30</v>
      </c>
      <c r="C1099" t="str">
        <f>IF(INDEX(tblCleanData[MonthlyIncome],1091)&lt;=$B$3,"Low Income",IF(INDEX(tblCleanData[MonthlyIncome],1091)&lt;=$B$4,"Medium Income","High Income"))</f>
        <v>High Income</v>
      </c>
      <c r="D1099">
        <f>IF(INDEX(tblCleanData[Attrition],1091)="Yes",1,0)</f>
        <v>0</v>
      </c>
      <c r="E1099">
        <f>IF(INDEX(tblCleanData[OverTime],1091)="Yes",1,0)</f>
        <v>0</v>
      </c>
      <c r="F1099" t="str">
        <f>CHOOSE(INDEX(tblCleanData[Education],1091),"Below College","College","Bachelor","Master","Doctor")</f>
        <v>Below College</v>
      </c>
      <c r="G1099" t="str">
        <f>IF(INDEX(tblCleanData[YearsAtCompany],1091)&lt;=2,"0-2 Years",IF(INDEX(tblCleanData[YearsAtCompany],1091)&lt;=5,"3-5 Years",IF(INDEX(tblCleanData[YearsAtCompany],1091)&lt;=10,"6-10 Years","10+ Years")))</f>
        <v>6-10 Years</v>
      </c>
      <c r="H1099" t="str">
        <f>IF(INDEX(tblCleanData[WorkLifeBalance],1091)&lt;=2,"Elevated","Normal")</f>
        <v>Normal</v>
      </c>
      <c r="I1099">
        <f>IF(INDEX(tblCleanData[Age],1091)&lt;30,30,IF(INDEX(tblCleanData[Age],1091)&lt;40,20,IF(INDEX(tblCleanData[Age],1091)&lt;50,10,15)))</f>
        <v>30</v>
      </c>
      <c r="J1099">
        <f>IF(INDEX(tblCleanData[MonthlyIncome],1091)&lt;=$B$3,25,IF(INDEX(tblCleanData[MonthlyIncome],1091)&lt;=$B$4,12,5))</f>
        <v>5</v>
      </c>
      <c r="K1099">
        <f>IF(INDEX(tblCleanData[OverTime],1091)="Yes",25,0)</f>
        <v>0</v>
      </c>
      <c r="L1099">
        <f>(5-INDEX(tblCleanData[JobSatisfaction],1091))*6.25</f>
        <v>25</v>
      </c>
      <c r="M1099">
        <f>IF(INDEX(tblCleanData[YearsAtCompany],1091)&lt;=2,25,IF(INDEX(tblCleanData[YearsAtCompany],1091)&lt;=5,15,IF(INDEX(tblCleanData[YearsAtCompany],1091)&lt;=10,8,3)))</f>
        <v>8</v>
      </c>
      <c r="N1099">
        <f t="shared" si="34"/>
        <v>68</v>
      </c>
      <c r="O1099" t="str">
        <f t="shared" si="35"/>
        <v>High Risk</v>
      </c>
    </row>
    <row r="1100" spans="1:15" x14ac:dyDescent="0.25">
      <c r="A1100">
        <f>INDEX(tblCleanData[EmployeeNumber],1092)</f>
        <v>1545</v>
      </c>
      <c r="B1100" t="str">
        <f>IF(INDEX(tblCleanData[Age],1092)&lt;30,"Under 30",IF(INDEX(tblCleanData[Age],1092)&lt;40,"30-39",IF(INDEX(tblCleanData[Age],1092)&lt;50,"40-49","50+")))</f>
        <v>30-39</v>
      </c>
      <c r="C1100" t="str">
        <f>IF(INDEX(tblCleanData[MonthlyIncome],1092)&lt;=$B$3,"Low Income",IF(INDEX(tblCleanData[MonthlyIncome],1092)&lt;=$B$4,"Medium Income","High Income"))</f>
        <v>High Income</v>
      </c>
      <c r="D1100">
        <f>IF(INDEX(tblCleanData[Attrition],1092)="Yes",1,0)</f>
        <v>0</v>
      </c>
      <c r="E1100">
        <f>IF(INDEX(tblCleanData[OverTime],1092)="Yes",1,0)</f>
        <v>0</v>
      </c>
      <c r="F1100" t="str">
        <f>CHOOSE(INDEX(tblCleanData[Education],1092),"Below College","College","Bachelor","Master","Doctor")</f>
        <v>Bachelor</v>
      </c>
      <c r="G1100" t="str">
        <f>IF(INDEX(tblCleanData[YearsAtCompany],1092)&lt;=2,"0-2 Years",IF(INDEX(tblCleanData[YearsAtCompany],1092)&lt;=5,"3-5 Years",IF(INDEX(tblCleanData[YearsAtCompany],1092)&lt;=10,"6-10 Years","10+ Years")))</f>
        <v>3-5 Years</v>
      </c>
      <c r="H1100" t="str">
        <f>IF(INDEX(tblCleanData[WorkLifeBalance],1092)&lt;=2,"Elevated","Normal")</f>
        <v>Normal</v>
      </c>
      <c r="I1100">
        <f>IF(INDEX(tblCleanData[Age],1092)&lt;30,30,IF(INDEX(tblCleanData[Age],1092)&lt;40,20,IF(INDEX(tblCleanData[Age],1092)&lt;50,10,15)))</f>
        <v>20</v>
      </c>
      <c r="J1100">
        <f>IF(INDEX(tblCleanData[MonthlyIncome],1092)&lt;=$B$3,25,IF(INDEX(tblCleanData[MonthlyIncome],1092)&lt;=$B$4,12,5))</f>
        <v>5</v>
      </c>
      <c r="K1100">
        <f>IF(INDEX(tblCleanData[OverTime],1092)="Yes",25,0)</f>
        <v>0</v>
      </c>
      <c r="L1100">
        <f>(5-INDEX(tblCleanData[JobSatisfaction],1092))*6.25</f>
        <v>18.75</v>
      </c>
      <c r="M1100">
        <f>IF(INDEX(tblCleanData[YearsAtCompany],1092)&lt;=2,25,IF(INDEX(tblCleanData[YearsAtCompany],1092)&lt;=5,15,IF(INDEX(tblCleanData[YearsAtCompany],1092)&lt;=10,8,3)))</f>
        <v>15</v>
      </c>
      <c r="N1100">
        <f t="shared" si="34"/>
        <v>59</v>
      </c>
      <c r="O1100" t="str">
        <f t="shared" si="35"/>
        <v>High Risk</v>
      </c>
    </row>
    <row r="1101" spans="1:15" x14ac:dyDescent="0.25">
      <c r="A1101">
        <f>INDEX(tblCleanData[EmployeeNumber],1093)</f>
        <v>1546</v>
      </c>
      <c r="B1101" t="str">
        <f>IF(INDEX(tblCleanData[Age],1093)&lt;30,"Under 30",IF(INDEX(tblCleanData[Age],1093)&lt;40,"30-39",IF(INDEX(tblCleanData[Age],1093)&lt;50,"40-49","50+")))</f>
        <v>40-49</v>
      </c>
      <c r="C1101" t="str">
        <f>IF(INDEX(tblCleanData[MonthlyIncome],1093)&lt;=$B$3,"Low Income",IF(INDEX(tblCleanData[MonthlyIncome],1093)&lt;=$B$4,"Medium Income","High Income"))</f>
        <v>High Income</v>
      </c>
      <c r="D1101">
        <f>IF(INDEX(tblCleanData[Attrition],1093)="Yes",1,0)</f>
        <v>0</v>
      </c>
      <c r="E1101">
        <f>IF(INDEX(tblCleanData[OverTime],1093)="Yes",1,0)</f>
        <v>0</v>
      </c>
      <c r="F1101" t="str">
        <f>CHOOSE(INDEX(tblCleanData[Education],1093),"Below College","College","Bachelor","Master","Doctor")</f>
        <v>Bachelor</v>
      </c>
      <c r="G1101" t="str">
        <f>IF(INDEX(tblCleanData[YearsAtCompany],1093)&lt;=2,"0-2 Years",IF(INDEX(tblCleanData[YearsAtCompany],1093)&lt;=5,"3-5 Years",IF(INDEX(tblCleanData[YearsAtCompany],1093)&lt;=10,"6-10 Years","10+ Years")))</f>
        <v>3-5 Years</v>
      </c>
      <c r="H1101" t="str">
        <f>IF(INDEX(tblCleanData[WorkLifeBalance],1093)&lt;=2,"Elevated","Normal")</f>
        <v>Normal</v>
      </c>
      <c r="I1101">
        <f>IF(INDEX(tblCleanData[Age],1093)&lt;30,30,IF(INDEX(tblCleanData[Age],1093)&lt;40,20,IF(INDEX(tblCleanData[Age],1093)&lt;50,10,15)))</f>
        <v>10</v>
      </c>
      <c r="J1101">
        <f>IF(INDEX(tblCleanData[MonthlyIncome],1093)&lt;=$B$3,25,IF(INDEX(tblCleanData[MonthlyIncome],1093)&lt;=$B$4,12,5))</f>
        <v>5</v>
      </c>
      <c r="K1101">
        <f>IF(INDEX(tblCleanData[OverTime],1093)="Yes",25,0)</f>
        <v>0</v>
      </c>
      <c r="L1101">
        <f>(5-INDEX(tblCleanData[JobSatisfaction],1093))*6.25</f>
        <v>6.25</v>
      </c>
      <c r="M1101">
        <f>IF(INDEX(tblCleanData[YearsAtCompany],1093)&lt;=2,25,IF(INDEX(tblCleanData[YearsAtCompany],1093)&lt;=5,15,IF(INDEX(tblCleanData[YearsAtCompany],1093)&lt;=10,8,3)))</f>
        <v>15</v>
      </c>
      <c r="N1101">
        <f t="shared" si="34"/>
        <v>36</v>
      </c>
      <c r="O1101" t="str">
        <f t="shared" si="35"/>
        <v>Medium Risk</v>
      </c>
    </row>
    <row r="1102" spans="1:15" x14ac:dyDescent="0.25">
      <c r="A1102">
        <f>INDEX(tblCleanData[EmployeeNumber],1094)</f>
        <v>1547</v>
      </c>
      <c r="B1102" t="str">
        <f>IF(INDEX(tblCleanData[Age],1094)&lt;30,"Under 30",IF(INDEX(tblCleanData[Age],1094)&lt;40,"30-39",IF(INDEX(tblCleanData[Age],1094)&lt;50,"40-49","50+")))</f>
        <v>40-49</v>
      </c>
      <c r="C1102" t="str">
        <f>IF(INDEX(tblCleanData[MonthlyIncome],1094)&lt;=$B$3,"Low Income",IF(INDEX(tblCleanData[MonthlyIncome],1094)&lt;=$B$4,"Medium Income","High Income"))</f>
        <v>High Income</v>
      </c>
      <c r="D1102">
        <f>IF(INDEX(tblCleanData[Attrition],1094)="Yes",1,0)</f>
        <v>0</v>
      </c>
      <c r="E1102">
        <f>IF(INDEX(tblCleanData[OverTime],1094)="Yes",1,0)</f>
        <v>1</v>
      </c>
      <c r="F1102" t="str">
        <f>CHOOSE(INDEX(tblCleanData[Education],1094),"Below College","College","Bachelor","Master","Doctor")</f>
        <v>Bachelor</v>
      </c>
      <c r="G1102" t="str">
        <f>IF(INDEX(tblCleanData[YearsAtCompany],1094)&lt;=2,"0-2 Years",IF(INDEX(tblCleanData[YearsAtCompany],1094)&lt;=5,"3-5 Years",IF(INDEX(tblCleanData[YearsAtCompany],1094)&lt;=10,"6-10 Years","10+ Years")))</f>
        <v>10+ Years</v>
      </c>
      <c r="H1102" t="str">
        <f>IF(INDEX(tblCleanData[WorkLifeBalance],1094)&lt;=2,"Elevated","Normal")</f>
        <v>Elevated</v>
      </c>
      <c r="I1102">
        <f>IF(INDEX(tblCleanData[Age],1094)&lt;30,30,IF(INDEX(tblCleanData[Age],1094)&lt;40,20,IF(INDEX(tblCleanData[Age],1094)&lt;50,10,15)))</f>
        <v>10</v>
      </c>
      <c r="J1102">
        <f>IF(INDEX(tblCleanData[MonthlyIncome],1094)&lt;=$B$3,25,IF(INDEX(tblCleanData[MonthlyIncome],1094)&lt;=$B$4,12,5))</f>
        <v>5</v>
      </c>
      <c r="K1102">
        <f>IF(INDEX(tblCleanData[OverTime],1094)="Yes",25,0)</f>
        <v>25</v>
      </c>
      <c r="L1102">
        <f>(5-INDEX(tblCleanData[JobSatisfaction],1094))*6.25</f>
        <v>6.25</v>
      </c>
      <c r="M1102">
        <f>IF(INDEX(tblCleanData[YearsAtCompany],1094)&lt;=2,25,IF(INDEX(tblCleanData[YearsAtCompany],1094)&lt;=5,15,IF(INDEX(tblCleanData[YearsAtCompany],1094)&lt;=10,8,3)))</f>
        <v>3</v>
      </c>
      <c r="N1102">
        <f t="shared" si="34"/>
        <v>49</v>
      </c>
      <c r="O1102" t="str">
        <f t="shared" si="35"/>
        <v>Medium Risk</v>
      </c>
    </row>
    <row r="1103" spans="1:15" x14ac:dyDescent="0.25">
      <c r="A1103">
        <f>INDEX(tblCleanData[EmployeeNumber],1095)</f>
        <v>1548</v>
      </c>
      <c r="B1103" t="str">
        <f>IF(INDEX(tblCleanData[Age],1095)&lt;30,"Under 30",IF(INDEX(tblCleanData[Age],1095)&lt;40,"30-39",IF(INDEX(tblCleanData[Age],1095)&lt;50,"40-49","50+")))</f>
        <v>40-49</v>
      </c>
      <c r="C1103" t="str">
        <f>IF(INDEX(tblCleanData[MonthlyIncome],1095)&lt;=$B$3,"Low Income",IF(INDEX(tblCleanData[MonthlyIncome],1095)&lt;=$B$4,"Medium Income","High Income"))</f>
        <v>High Income</v>
      </c>
      <c r="D1103">
        <f>IF(INDEX(tblCleanData[Attrition],1095)="Yes",1,0)</f>
        <v>0</v>
      </c>
      <c r="E1103">
        <f>IF(INDEX(tblCleanData[OverTime],1095)="Yes",1,0)</f>
        <v>0</v>
      </c>
      <c r="F1103" t="str">
        <f>CHOOSE(INDEX(tblCleanData[Education],1095),"Below College","College","Bachelor","Master","Doctor")</f>
        <v>College</v>
      </c>
      <c r="G1103" t="str">
        <f>IF(INDEX(tblCleanData[YearsAtCompany],1095)&lt;=2,"0-2 Years",IF(INDEX(tblCleanData[YearsAtCompany],1095)&lt;=5,"3-5 Years",IF(INDEX(tblCleanData[YearsAtCompany],1095)&lt;=10,"6-10 Years","10+ Years")))</f>
        <v>6-10 Years</v>
      </c>
      <c r="H1103" t="str">
        <f>IF(INDEX(tblCleanData[WorkLifeBalance],1095)&lt;=2,"Elevated","Normal")</f>
        <v>Normal</v>
      </c>
      <c r="I1103">
        <f>IF(INDEX(tblCleanData[Age],1095)&lt;30,30,IF(INDEX(tblCleanData[Age],1095)&lt;40,20,IF(INDEX(tblCleanData[Age],1095)&lt;50,10,15)))</f>
        <v>10</v>
      </c>
      <c r="J1103">
        <f>IF(INDEX(tblCleanData[MonthlyIncome],1095)&lt;=$B$3,25,IF(INDEX(tblCleanData[MonthlyIncome],1095)&lt;=$B$4,12,5))</f>
        <v>5</v>
      </c>
      <c r="K1103">
        <f>IF(INDEX(tblCleanData[OverTime],1095)="Yes",25,0)</f>
        <v>0</v>
      </c>
      <c r="L1103">
        <f>(5-INDEX(tblCleanData[JobSatisfaction],1095))*6.25</f>
        <v>25</v>
      </c>
      <c r="M1103">
        <f>IF(INDEX(tblCleanData[YearsAtCompany],1095)&lt;=2,25,IF(INDEX(tblCleanData[YearsAtCompany],1095)&lt;=5,15,IF(INDEX(tblCleanData[YearsAtCompany],1095)&lt;=10,8,3)))</f>
        <v>8</v>
      </c>
      <c r="N1103">
        <f t="shared" si="34"/>
        <v>48</v>
      </c>
      <c r="O1103" t="str">
        <f t="shared" si="35"/>
        <v>Medium Risk</v>
      </c>
    </row>
    <row r="1104" spans="1:15" x14ac:dyDescent="0.25">
      <c r="A1104">
        <f>INDEX(tblCleanData[EmployeeNumber],1096)</f>
        <v>1549</v>
      </c>
      <c r="B1104" t="str">
        <f>IF(INDEX(tblCleanData[Age],1096)&lt;30,"Under 30",IF(INDEX(tblCleanData[Age],1096)&lt;40,"30-39",IF(INDEX(tblCleanData[Age],1096)&lt;50,"40-49","50+")))</f>
        <v>30-39</v>
      </c>
      <c r="C1104" t="str">
        <f>IF(INDEX(tblCleanData[MonthlyIncome],1096)&lt;=$B$3,"Low Income",IF(INDEX(tblCleanData[MonthlyIncome],1096)&lt;=$B$4,"Medium Income","High Income"))</f>
        <v>High Income</v>
      </c>
      <c r="D1104">
        <f>IF(INDEX(tblCleanData[Attrition],1096)="Yes",1,0)</f>
        <v>0</v>
      </c>
      <c r="E1104">
        <f>IF(INDEX(tblCleanData[OverTime],1096)="Yes",1,0)</f>
        <v>1</v>
      </c>
      <c r="F1104" t="str">
        <f>CHOOSE(INDEX(tblCleanData[Education],1096),"Below College","College","Bachelor","Master","Doctor")</f>
        <v>Master</v>
      </c>
      <c r="G1104" t="str">
        <f>IF(INDEX(tblCleanData[YearsAtCompany],1096)&lt;=2,"0-2 Years",IF(INDEX(tblCleanData[YearsAtCompany],1096)&lt;=5,"3-5 Years",IF(INDEX(tblCleanData[YearsAtCompany],1096)&lt;=10,"6-10 Years","10+ Years")))</f>
        <v>10+ Years</v>
      </c>
      <c r="H1104" t="str">
        <f>IF(INDEX(tblCleanData[WorkLifeBalance],1096)&lt;=2,"Elevated","Normal")</f>
        <v>Normal</v>
      </c>
      <c r="I1104">
        <f>IF(INDEX(tblCleanData[Age],1096)&lt;30,30,IF(INDEX(tblCleanData[Age],1096)&lt;40,20,IF(INDEX(tblCleanData[Age],1096)&lt;50,10,15)))</f>
        <v>20</v>
      </c>
      <c r="J1104">
        <f>IF(INDEX(tblCleanData[MonthlyIncome],1096)&lt;=$B$3,25,IF(INDEX(tblCleanData[MonthlyIncome],1096)&lt;=$B$4,12,5))</f>
        <v>5</v>
      </c>
      <c r="K1104">
        <f>IF(INDEX(tblCleanData[OverTime],1096)="Yes",25,0)</f>
        <v>25</v>
      </c>
      <c r="L1104">
        <f>(5-INDEX(tblCleanData[JobSatisfaction],1096))*6.25</f>
        <v>12.5</v>
      </c>
      <c r="M1104">
        <f>IF(INDEX(tblCleanData[YearsAtCompany],1096)&lt;=2,25,IF(INDEX(tblCleanData[YearsAtCompany],1096)&lt;=5,15,IF(INDEX(tblCleanData[YearsAtCompany],1096)&lt;=10,8,3)))</f>
        <v>3</v>
      </c>
      <c r="N1104">
        <f t="shared" si="34"/>
        <v>66</v>
      </c>
      <c r="O1104" t="str">
        <f t="shared" si="35"/>
        <v>High Risk</v>
      </c>
    </row>
    <row r="1105" spans="1:15" x14ac:dyDescent="0.25">
      <c r="A1105">
        <f>INDEX(tblCleanData[EmployeeNumber],1097)</f>
        <v>1550</v>
      </c>
      <c r="B1105" t="str">
        <f>IF(INDEX(tblCleanData[Age],1097)&lt;30,"Under 30",IF(INDEX(tblCleanData[Age],1097)&lt;40,"30-39",IF(INDEX(tblCleanData[Age],1097)&lt;50,"40-49","50+")))</f>
        <v>40-49</v>
      </c>
      <c r="C1105" t="str">
        <f>IF(INDEX(tblCleanData[MonthlyIncome],1097)&lt;=$B$3,"Low Income",IF(INDEX(tblCleanData[MonthlyIncome],1097)&lt;=$B$4,"Medium Income","High Income"))</f>
        <v>High Income</v>
      </c>
      <c r="D1105">
        <f>IF(INDEX(tblCleanData[Attrition],1097)="Yes",1,0)</f>
        <v>0</v>
      </c>
      <c r="E1105">
        <f>IF(INDEX(tblCleanData[OverTime],1097)="Yes",1,0)</f>
        <v>1</v>
      </c>
      <c r="F1105" t="str">
        <f>CHOOSE(INDEX(tblCleanData[Education],1097),"Below College","College","Bachelor","Master","Doctor")</f>
        <v>College</v>
      </c>
      <c r="G1105" t="str">
        <f>IF(INDEX(tblCleanData[YearsAtCompany],1097)&lt;=2,"0-2 Years",IF(INDEX(tblCleanData[YearsAtCompany],1097)&lt;=5,"3-5 Years",IF(INDEX(tblCleanData[YearsAtCompany],1097)&lt;=10,"6-10 Years","10+ Years")))</f>
        <v>10+ Years</v>
      </c>
      <c r="H1105" t="str">
        <f>IF(INDEX(tblCleanData[WorkLifeBalance],1097)&lt;=2,"Elevated","Normal")</f>
        <v>Normal</v>
      </c>
      <c r="I1105">
        <f>IF(INDEX(tblCleanData[Age],1097)&lt;30,30,IF(INDEX(tblCleanData[Age],1097)&lt;40,20,IF(INDEX(tblCleanData[Age],1097)&lt;50,10,15)))</f>
        <v>10</v>
      </c>
      <c r="J1105">
        <f>IF(INDEX(tblCleanData[MonthlyIncome],1097)&lt;=$B$3,25,IF(INDEX(tblCleanData[MonthlyIncome],1097)&lt;=$B$4,12,5))</f>
        <v>5</v>
      </c>
      <c r="K1105">
        <f>IF(INDEX(tblCleanData[OverTime],1097)="Yes",25,0)</f>
        <v>25</v>
      </c>
      <c r="L1105">
        <f>(5-INDEX(tblCleanData[JobSatisfaction],1097))*6.25</f>
        <v>6.25</v>
      </c>
      <c r="M1105">
        <f>IF(INDEX(tblCleanData[YearsAtCompany],1097)&lt;=2,25,IF(INDEX(tblCleanData[YearsAtCompany],1097)&lt;=5,15,IF(INDEX(tblCleanData[YearsAtCompany],1097)&lt;=10,8,3)))</f>
        <v>3</v>
      </c>
      <c r="N1105">
        <f t="shared" si="34"/>
        <v>49</v>
      </c>
      <c r="O1105" t="str">
        <f t="shared" si="35"/>
        <v>Medium Risk</v>
      </c>
    </row>
    <row r="1106" spans="1:15" x14ac:dyDescent="0.25">
      <c r="A1106">
        <f>INDEX(tblCleanData[EmployeeNumber],1098)</f>
        <v>1551</v>
      </c>
      <c r="B1106" t="str">
        <f>IF(INDEX(tblCleanData[Age],1098)&lt;30,"Under 30",IF(INDEX(tblCleanData[Age],1098)&lt;40,"30-39",IF(INDEX(tblCleanData[Age],1098)&lt;50,"40-49","50+")))</f>
        <v>Under 30</v>
      </c>
      <c r="C1106" t="str">
        <f>IF(INDEX(tblCleanData[MonthlyIncome],1098)&lt;=$B$3,"Low Income",IF(INDEX(tblCleanData[MonthlyIncome],1098)&lt;=$B$4,"Medium Income","High Income"))</f>
        <v>High Income</v>
      </c>
      <c r="D1106">
        <f>IF(INDEX(tblCleanData[Attrition],1098)="Yes",1,0)</f>
        <v>0</v>
      </c>
      <c r="E1106">
        <f>IF(INDEX(tblCleanData[OverTime],1098)="Yes",1,0)</f>
        <v>0</v>
      </c>
      <c r="F1106" t="str">
        <f>CHOOSE(INDEX(tblCleanData[Education],1098),"Below College","College","Bachelor","Master","Doctor")</f>
        <v>College</v>
      </c>
      <c r="G1106" t="str">
        <f>IF(INDEX(tblCleanData[YearsAtCompany],1098)&lt;=2,"0-2 Years",IF(INDEX(tblCleanData[YearsAtCompany],1098)&lt;=5,"3-5 Years",IF(INDEX(tblCleanData[YearsAtCompany],1098)&lt;=10,"6-10 Years","10+ Years")))</f>
        <v>0-2 Years</v>
      </c>
      <c r="H1106" t="str">
        <f>IF(INDEX(tblCleanData[WorkLifeBalance],1098)&lt;=2,"Elevated","Normal")</f>
        <v>Normal</v>
      </c>
      <c r="I1106">
        <f>IF(INDEX(tblCleanData[Age],1098)&lt;30,30,IF(INDEX(tblCleanData[Age],1098)&lt;40,20,IF(INDEX(tblCleanData[Age],1098)&lt;50,10,15)))</f>
        <v>30</v>
      </c>
      <c r="J1106">
        <f>IF(INDEX(tblCleanData[MonthlyIncome],1098)&lt;=$B$3,25,IF(INDEX(tblCleanData[MonthlyIncome],1098)&lt;=$B$4,12,5))</f>
        <v>5</v>
      </c>
      <c r="K1106">
        <f>IF(INDEX(tblCleanData[OverTime],1098)="Yes",25,0)</f>
        <v>0</v>
      </c>
      <c r="L1106">
        <f>(5-INDEX(tblCleanData[JobSatisfaction],1098))*6.25</f>
        <v>25</v>
      </c>
      <c r="M1106">
        <f>IF(INDEX(tblCleanData[YearsAtCompany],1098)&lt;=2,25,IF(INDEX(tblCleanData[YearsAtCompany],1098)&lt;=5,15,IF(INDEX(tblCleanData[YearsAtCompany],1098)&lt;=10,8,3)))</f>
        <v>25</v>
      </c>
      <c r="N1106">
        <f t="shared" si="34"/>
        <v>85</v>
      </c>
      <c r="O1106" t="str">
        <f t="shared" si="35"/>
        <v>High Risk</v>
      </c>
    </row>
    <row r="1107" spans="1:15" x14ac:dyDescent="0.25">
      <c r="A1107">
        <f>INDEX(tblCleanData[EmployeeNumber],1099)</f>
        <v>1552</v>
      </c>
      <c r="B1107" t="str">
        <f>IF(INDEX(tblCleanData[Age],1099)&lt;30,"Under 30",IF(INDEX(tblCleanData[Age],1099)&lt;40,"30-39",IF(INDEX(tblCleanData[Age],1099)&lt;50,"40-49","50+")))</f>
        <v>40-49</v>
      </c>
      <c r="C1107" t="str">
        <f>IF(INDEX(tblCleanData[MonthlyIncome],1099)&lt;=$B$3,"Low Income",IF(INDEX(tblCleanData[MonthlyIncome],1099)&lt;=$B$4,"Medium Income","High Income"))</f>
        <v>High Income</v>
      </c>
      <c r="D1107">
        <f>IF(INDEX(tblCleanData[Attrition],1099)="Yes",1,0)</f>
        <v>0</v>
      </c>
      <c r="E1107">
        <f>IF(INDEX(tblCleanData[OverTime],1099)="Yes",1,0)</f>
        <v>1</v>
      </c>
      <c r="F1107" t="str">
        <f>CHOOSE(INDEX(tblCleanData[Education],1099),"Below College","College","Bachelor","Master","Doctor")</f>
        <v>College</v>
      </c>
      <c r="G1107" t="str">
        <f>IF(INDEX(tblCleanData[YearsAtCompany],1099)&lt;=2,"0-2 Years",IF(INDEX(tblCleanData[YearsAtCompany],1099)&lt;=5,"3-5 Years",IF(INDEX(tblCleanData[YearsAtCompany],1099)&lt;=10,"6-10 Years","10+ Years")))</f>
        <v>0-2 Years</v>
      </c>
      <c r="H1107" t="str">
        <f>IF(INDEX(tblCleanData[WorkLifeBalance],1099)&lt;=2,"Elevated","Normal")</f>
        <v>Normal</v>
      </c>
      <c r="I1107">
        <f>IF(INDEX(tblCleanData[Age],1099)&lt;30,30,IF(INDEX(tblCleanData[Age],1099)&lt;40,20,IF(INDEX(tblCleanData[Age],1099)&lt;50,10,15)))</f>
        <v>10</v>
      </c>
      <c r="J1107">
        <f>IF(INDEX(tblCleanData[MonthlyIncome],1099)&lt;=$B$3,25,IF(INDEX(tblCleanData[MonthlyIncome],1099)&lt;=$B$4,12,5))</f>
        <v>5</v>
      </c>
      <c r="K1107">
        <f>IF(INDEX(tblCleanData[OverTime],1099)="Yes",25,0)</f>
        <v>25</v>
      </c>
      <c r="L1107">
        <f>(5-INDEX(tblCleanData[JobSatisfaction],1099))*6.25</f>
        <v>6.25</v>
      </c>
      <c r="M1107">
        <f>IF(INDEX(tblCleanData[YearsAtCompany],1099)&lt;=2,25,IF(INDEX(tblCleanData[YearsAtCompany],1099)&lt;=5,15,IF(INDEX(tblCleanData[YearsAtCompany],1099)&lt;=10,8,3)))</f>
        <v>25</v>
      </c>
      <c r="N1107">
        <f t="shared" si="34"/>
        <v>71</v>
      </c>
      <c r="O1107" t="str">
        <f t="shared" si="35"/>
        <v>High Risk</v>
      </c>
    </row>
    <row r="1108" spans="1:15" x14ac:dyDescent="0.25">
      <c r="A1108">
        <f>INDEX(tblCleanData[EmployeeNumber],1100)</f>
        <v>1553</v>
      </c>
      <c r="B1108" t="str">
        <f>IF(INDEX(tblCleanData[Age],1100)&lt;30,"Under 30",IF(INDEX(tblCleanData[Age],1100)&lt;40,"30-39",IF(INDEX(tblCleanData[Age],1100)&lt;50,"40-49","50+")))</f>
        <v>40-49</v>
      </c>
      <c r="C1108" t="str">
        <f>IF(INDEX(tblCleanData[MonthlyIncome],1100)&lt;=$B$3,"Low Income",IF(INDEX(tblCleanData[MonthlyIncome],1100)&lt;=$B$4,"Medium Income","High Income"))</f>
        <v>High Income</v>
      </c>
      <c r="D1108">
        <f>IF(INDEX(tblCleanData[Attrition],1100)="Yes",1,0)</f>
        <v>0</v>
      </c>
      <c r="E1108">
        <f>IF(INDEX(tblCleanData[OverTime],1100)="Yes",1,0)</f>
        <v>0</v>
      </c>
      <c r="F1108" t="str">
        <f>CHOOSE(INDEX(tblCleanData[Education],1100),"Below College","College","Bachelor","Master","Doctor")</f>
        <v>Master</v>
      </c>
      <c r="G1108" t="str">
        <f>IF(INDEX(tblCleanData[YearsAtCompany],1100)&lt;=2,"0-2 Years",IF(INDEX(tblCleanData[YearsAtCompany],1100)&lt;=5,"3-5 Years",IF(INDEX(tblCleanData[YearsAtCompany],1100)&lt;=10,"6-10 Years","10+ Years")))</f>
        <v>6-10 Years</v>
      </c>
      <c r="H1108" t="str">
        <f>IF(INDEX(tblCleanData[WorkLifeBalance],1100)&lt;=2,"Elevated","Normal")</f>
        <v>Normal</v>
      </c>
      <c r="I1108">
        <f>IF(INDEX(tblCleanData[Age],1100)&lt;30,30,IF(INDEX(tblCleanData[Age],1100)&lt;40,20,IF(INDEX(tblCleanData[Age],1100)&lt;50,10,15)))</f>
        <v>10</v>
      </c>
      <c r="J1108">
        <f>IF(INDEX(tblCleanData[MonthlyIncome],1100)&lt;=$B$3,25,IF(INDEX(tblCleanData[MonthlyIncome],1100)&lt;=$B$4,12,5))</f>
        <v>5</v>
      </c>
      <c r="K1108">
        <f>IF(INDEX(tblCleanData[OverTime],1100)="Yes",25,0)</f>
        <v>0</v>
      </c>
      <c r="L1108">
        <f>(5-INDEX(tblCleanData[JobSatisfaction],1100))*6.25</f>
        <v>18.75</v>
      </c>
      <c r="M1108">
        <f>IF(INDEX(tblCleanData[YearsAtCompany],1100)&lt;=2,25,IF(INDEX(tblCleanData[YearsAtCompany],1100)&lt;=5,15,IF(INDEX(tblCleanData[YearsAtCompany],1100)&lt;=10,8,3)))</f>
        <v>8</v>
      </c>
      <c r="N1108">
        <f t="shared" si="34"/>
        <v>42</v>
      </c>
      <c r="O1108" t="str">
        <f t="shared" si="35"/>
        <v>Medium Risk</v>
      </c>
    </row>
    <row r="1109" spans="1:15" x14ac:dyDescent="0.25">
      <c r="A1109">
        <f>INDEX(tblCleanData[EmployeeNumber],1101)</f>
        <v>1554</v>
      </c>
      <c r="B1109" t="str">
        <f>IF(INDEX(tblCleanData[Age],1101)&lt;30,"Under 30",IF(INDEX(tblCleanData[Age],1101)&lt;40,"30-39",IF(INDEX(tblCleanData[Age],1101)&lt;50,"40-49","50+")))</f>
        <v>30-39</v>
      </c>
      <c r="C1109" t="str">
        <f>IF(INDEX(tblCleanData[MonthlyIncome],1101)&lt;=$B$3,"Low Income",IF(INDEX(tblCleanData[MonthlyIncome],1101)&lt;=$B$4,"Medium Income","High Income"))</f>
        <v>High Income</v>
      </c>
      <c r="D1109">
        <f>IF(INDEX(tblCleanData[Attrition],1101)="Yes",1,0)</f>
        <v>0</v>
      </c>
      <c r="E1109">
        <f>IF(INDEX(tblCleanData[OverTime],1101)="Yes",1,0)</f>
        <v>0</v>
      </c>
      <c r="F1109" t="str">
        <f>CHOOSE(INDEX(tblCleanData[Education],1101),"Below College","College","Bachelor","Master","Doctor")</f>
        <v>Master</v>
      </c>
      <c r="G1109" t="str">
        <f>IF(INDEX(tblCleanData[YearsAtCompany],1101)&lt;=2,"0-2 Years",IF(INDEX(tblCleanData[YearsAtCompany],1101)&lt;=5,"3-5 Years",IF(INDEX(tblCleanData[YearsAtCompany],1101)&lt;=10,"6-10 Years","10+ Years")))</f>
        <v>3-5 Years</v>
      </c>
      <c r="H1109" t="str">
        <f>IF(INDEX(tblCleanData[WorkLifeBalance],1101)&lt;=2,"Elevated","Normal")</f>
        <v>Normal</v>
      </c>
      <c r="I1109">
        <f>IF(INDEX(tblCleanData[Age],1101)&lt;30,30,IF(INDEX(tblCleanData[Age],1101)&lt;40,20,IF(INDEX(tblCleanData[Age],1101)&lt;50,10,15)))</f>
        <v>20</v>
      </c>
      <c r="J1109">
        <f>IF(INDEX(tblCleanData[MonthlyIncome],1101)&lt;=$B$3,25,IF(INDEX(tblCleanData[MonthlyIncome],1101)&lt;=$B$4,12,5))</f>
        <v>5</v>
      </c>
      <c r="K1109">
        <f>IF(INDEX(tblCleanData[OverTime],1101)="Yes",25,0)</f>
        <v>0</v>
      </c>
      <c r="L1109">
        <f>(5-INDEX(tblCleanData[JobSatisfaction],1101))*6.25</f>
        <v>12.5</v>
      </c>
      <c r="M1109">
        <f>IF(INDEX(tblCleanData[YearsAtCompany],1101)&lt;=2,25,IF(INDEX(tblCleanData[YearsAtCompany],1101)&lt;=5,15,IF(INDEX(tblCleanData[YearsAtCompany],1101)&lt;=10,8,3)))</f>
        <v>15</v>
      </c>
      <c r="N1109">
        <f t="shared" si="34"/>
        <v>53</v>
      </c>
      <c r="O1109" t="str">
        <f t="shared" si="35"/>
        <v>Medium Risk</v>
      </c>
    </row>
    <row r="1110" spans="1:15" x14ac:dyDescent="0.25">
      <c r="A1110">
        <f>INDEX(tblCleanData[EmployeeNumber],1102)</f>
        <v>1555</v>
      </c>
      <c r="B1110" t="str">
        <f>IF(INDEX(tblCleanData[Age],1102)&lt;30,"Under 30",IF(INDEX(tblCleanData[Age],1102)&lt;40,"30-39",IF(INDEX(tblCleanData[Age],1102)&lt;50,"40-49","50+")))</f>
        <v>30-39</v>
      </c>
      <c r="C1110" t="str">
        <f>IF(INDEX(tblCleanData[MonthlyIncome],1102)&lt;=$B$3,"Low Income",IF(INDEX(tblCleanData[MonthlyIncome],1102)&lt;=$B$4,"Medium Income","High Income"))</f>
        <v>High Income</v>
      </c>
      <c r="D1110">
        <f>IF(INDEX(tblCleanData[Attrition],1102)="Yes",1,0)</f>
        <v>0</v>
      </c>
      <c r="E1110">
        <f>IF(INDEX(tblCleanData[OverTime],1102)="Yes",1,0)</f>
        <v>0</v>
      </c>
      <c r="F1110" t="str">
        <f>CHOOSE(INDEX(tblCleanData[Education],1102),"Below College","College","Bachelor","Master","Doctor")</f>
        <v>College</v>
      </c>
      <c r="G1110" t="str">
        <f>IF(INDEX(tblCleanData[YearsAtCompany],1102)&lt;=2,"0-2 Years",IF(INDEX(tblCleanData[YearsAtCompany],1102)&lt;=5,"3-5 Years",IF(INDEX(tblCleanData[YearsAtCompany],1102)&lt;=10,"6-10 Years","10+ Years")))</f>
        <v>6-10 Years</v>
      </c>
      <c r="H1110" t="str">
        <f>IF(INDEX(tblCleanData[WorkLifeBalance],1102)&lt;=2,"Elevated","Normal")</f>
        <v>Normal</v>
      </c>
      <c r="I1110">
        <f>IF(INDEX(tblCleanData[Age],1102)&lt;30,30,IF(INDEX(tblCleanData[Age],1102)&lt;40,20,IF(INDEX(tblCleanData[Age],1102)&lt;50,10,15)))</f>
        <v>20</v>
      </c>
      <c r="J1110">
        <f>IF(INDEX(tblCleanData[MonthlyIncome],1102)&lt;=$B$3,25,IF(INDEX(tblCleanData[MonthlyIncome],1102)&lt;=$B$4,12,5))</f>
        <v>5</v>
      </c>
      <c r="K1110">
        <f>IF(INDEX(tblCleanData[OverTime],1102)="Yes",25,0)</f>
        <v>0</v>
      </c>
      <c r="L1110">
        <f>(5-INDEX(tblCleanData[JobSatisfaction],1102))*6.25</f>
        <v>18.75</v>
      </c>
      <c r="M1110">
        <f>IF(INDEX(tblCleanData[YearsAtCompany],1102)&lt;=2,25,IF(INDEX(tblCleanData[YearsAtCompany],1102)&lt;=5,15,IF(INDEX(tblCleanData[YearsAtCompany],1102)&lt;=10,8,3)))</f>
        <v>8</v>
      </c>
      <c r="N1110">
        <f t="shared" si="34"/>
        <v>52</v>
      </c>
      <c r="O1110" t="str">
        <f t="shared" si="35"/>
        <v>Medium Risk</v>
      </c>
    </row>
    <row r="1111" spans="1:15" x14ac:dyDescent="0.25">
      <c r="A1111">
        <f>INDEX(tblCleanData[EmployeeNumber],1103)</f>
        <v>1556</v>
      </c>
      <c r="B1111" t="str">
        <f>IF(INDEX(tblCleanData[Age],1103)&lt;30,"Under 30",IF(INDEX(tblCleanData[Age],1103)&lt;40,"30-39",IF(INDEX(tblCleanData[Age],1103)&lt;50,"40-49","50+")))</f>
        <v>30-39</v>
      </c>
      <c r="C1111" t="str">
        <f>IF(INDEX(tblCleanData[MonthlyIncome],1103)&lt;=$B$3,"Low Income",IF(INDEX(tblCleanData[MonthlyIncome],1103)&lt;=$B$4,"Medium Income","High Income"))</f>
        <v>High Income</v>
      </c>
      <c r="D1111">
        <f>IF(INDEX(tblCleanData[Attrition],1103)="Yes",1,0)</f>
        <v>0</v>
      </c>
      <c r="E1111">
        <f>IF(INDEX(tblCleanData[OverTime],1103)="Yes",1,0)</f>
        <v>1</v>
      </c>
      <c r="F1111" t="str">
        <f>CHOOSE(INDEX(tblCleanData[Education],1103),"Below College","College","Bachelor","Master","Doctor")</f>
        <v>Master</v>
      </c>
      <c r="G1111" t="str">
        <f>IF(INDEX(tblCleanData[YearsAtCompany],1103)&lt;=2,"0-2 Years",IF(INDEX(tblCleanData[YearsAtCompany],1103)&lt;=5,"3-5 Years",IF(INDEX(tblCleanData[YearsAtCompany],1103)&lt;=10,"6-10 Years","10+ Years")))</f>
        <v>3-5 Years</v>
      </c>
      <c r="H1111" t="str">
        <f>IF(INDEX(tblCleanData[WorkLifeBalance],1103)&lt;=2,"Elevated","Normal")</f>
        <v>Elevated</v>
      </c>
      <c r="I1111">
        <f>IF(INDEX(tblCleanData[Age],1103)&lt;30,30,IF(INDEX(tblCleanData[Age],1103)&lt;40,20,IF(INDEX(tblCleanData[Age],1103)&lt;50,10,15)))</f>
        <v>20</v>
      </c>
      <c r="J1111">
        <f>IF(INDEX(tblCleanData[MonthlyIncome],1103)&lt;=$B$3,25,IF(INDEX(tblCleanData[MonthlyIncome],1103)&lt;=$B$4,12,5))</f>
        <v>5</v>
      </c>
      <c r="K1111">
        <f>IF(INDEX(tblCleanData[OverTime],1103)="Yes",25,0)</f>
        <v>25</v>
      </c>
      <c r="L1111">
        <f>(5-INDEX(tblCleanData[JobSatisfaction],1103))*6.25</f>
        <v>6.25</v>
      </c>
      <c r="M1111">
        <f>IF(INDEX(tblCleanData[YearsAtCompany],1103)&lt;=2,25,IF(INDEX(tblCleanData[YearsAtCompany],1103)&lt;=5,15,IF(INDEX(tblCleanData[YearsAtCompany],1103)&lt;=10,8,3)))</f>
        <v>15</v>
      </c>
      <c r="N1111">
        <f t="shared" si="34"/>
        <v>71</v>
      </c>
      <c r="O1111" t="str">
        <f t="shared" si="35"/>
        <v>High Risk</v>
      </c>
    </row>
    <row r="1112" spans="1:15" x14ac:dyDescent="0.25">
      <c r="A1112">
        <f>INDEX(tblCleanData[EmployeeNumber],1104)</f>
        <v>1557</v>
      </c>
      <c r="B1112" t="str">
        <f>IF(INDEX(tblCleanData[Age],1104)&lt;30,"Under 30",IF(INDEX(tblCleanData[Age],1104)&lt;40,"30-39",IF(INDEX(tblCleanData[Age],1104)&lt;50,"40-49","50+")))</f>
        <v>40-49</v>
      </c>
      <c r="C1112" t="str">
        <f>IF(INDEX(tblCleanData[MonthlyIncome],1104)&lt;=$B$3,"Low Income",IF(INDEX(tblCleanData[MonthlyIncome],1104)&lt;=$B$4,"Medium Income","High Income"))</f>
        <v>High Income</v>
      </c>
      <c r="D1112">
        <f>IF(INDEX(tblCleanData[Attrition],1104)="Yes",1,0)</f>
        <v>0</v>
      </c>
      <c r="E1112">
        <f>IF(INDEX(tblCleanData[OverTime],1104)="Yes",1,0)</f>
        <v>0</v>
      </c>
      <c r="F1112" t="str">
        <f>CHOOSE(INDEX(tblCleanData[Education],1104),"Below College","College","Bachelor","Master","Doctor")</f>
        <v>Master</v>
      </c>
      <c r="G1112" t="str">
        <f>IF(INDEX(tblCleanData[YearsAtCompany],1104)&lt;=2,"0-2 Years",IF(INDEX(tblCleanData[YearsAtCompany],1104)&lt;=5,"3-5 Years",IF(INDEX(tblCleanData[YearsAtCompany],1104)&lt;=10,"6-10 Years","10+ Years")))</f>
        <v>6-10 Years</v>
      </c>
      <c r="H1112" t="str">
        <f>IF(INDEX(tblCleanData[WorkLifeBalance],1104)&lt;=2,"Elevated","Normal")</f>
        <v>Normal</v>
      </c>
      <c r="I1112">
        <f>IF(INDEX(tblCleanData[Age],1104)&lt;30,30,IF(INDEX(tblCleanData[Age],1104)&lt;40,20,IF(INDEX(tblCleanData[Age],1104)&lt;50,10,15)))</f>
        <v>10</v>
      </c>
      <c r="J1112">
        <f>IF(INDEX(tblCleanData[MonthlyIncome],1104)&lt;=$B$3,25,IF(INDEX(tblCleanData[MonthlyIncome],1104)&lt;=$B$4,12,5))</f>
        <v>5</v>
      </c>
      <c r="K1112">
        <f>IF(INDEX(tblCleanData[OverTime],1104)="Yes",25,0)</f>
        <v>0</v>
      </c>
      <c r="L1112">
        <f>(5-INDEX(tblCleanData[JobSatisfaction],1104))*6.25</f>
        <v>12.5</v>
      </c>
      <c r="M1112">
        <f>IF(INDEX(tblCleanData[YearsAtCompany],1104)&lt;=2,25,IF(INDEX(tblCleanData[YearsAtCompany],1104)&lt;=5,15,IF(INDEX(tblCleanData[YearsAtCompany],1104)&lt;=10,8,3)))</f>
        <v>8</v>
      </c>
      <c r="N1112">
        <f t="shared" si="34"/>
        <v>36</v>
      </c>
      <c r="O1112" t="str">
        <f t="shared" si="35"/>
        <v>Medium Risk</v>
      </c>
    </row>
    <row r="1113" spans="1:15" x14ac:dyDescent="0.25">
      <c r="A1113">
        <f>INDEX(tblCleanData[EmployeeNumber],1105)</f>
        <v>1558</v>
      </c>
      <c r="B1113" t="str">
        <f>IF(INDEX(tblCleanData[Age],1105)&lt;30,"Under 30",IF(INDEX(tblCleanData[Age],1105)&lt;40,"30-39",IF(INDEX(tblCleanData[Age],1105)&lt;50,"40-49","50+")))</f>
        <v>Under 30</v>
      </c>
      <c r="C1113" t="str">
        <f>IF(INDEX(tblCleanData[MonthlyIncome],1105)&lt;=$B$3,"Low Income",IF(INDEX(tblCleanData[MonthlyIncome],1105)&lt;=$B$4,"Medium Income","High Income"))</f>
        <v>High Income</v>
      </c>
      <c r="D1113">
        <f>IF(INDEX(tblCleanData[Attrition],1105)="Yes",1,0)</f>
        <v>0</v>
      </c>
      <c r="E1113">
        <f>IF(INDEX(tblCleanData[OverTime],1105)="Yes",1,0)</f>
        <v>0</v>
      </c>
      <c r="F1113" t="str">
        <f>CHOOSE(INDEX(tblCleanData[Education],1105),"Below College","College","Bachelor","Master","Doctor")</f>
        <v>Bachelor</v>
      </c>
      <c r="G1113" t="str">
        <f>IF(INDEX(tblCleanData[YearsAtCompany],1105)&lt;=2,"0-2 Years",IF(INDEX(tblCleanData[YearsAtCompany],1105)&lt;=5,"3-5 Years",IF(INDEX(tblCleanData[YearsAtCompany],1105)&lt;=10,"6-10 Years","10+ Years")))</f>
        <v>0-2 Years</v>
      </c>
      <c r="H1113" t="str">
        <f>IF(INDEX(tblCleanData[WorkLifeBalance],1105)&lt;=2,"Elevated","Normal")</f>
        <v>Elevated</v>
      </c>
      <c r="I1113">
        <f>IF(INDEX(tblCleanData[Age],1105)&lt;30,30,IF(INDEX(tblCleanData[Age],1105)&lt;40,20,IF(INDEX(tblCleanData[Age],1105)&lt;50,10,15)))</f>
        <v>30</v>
      </c>
      <c r="J1113">
        <f>IF(INDEX(tblCleanData[MonthlyIncome],1105)&lt;=$B$3,25,IF(INDEX(tblCleanData[MonthlyIncome],1105)&lt;=$B$4,12,5))</f>
        <v>5</v>
      </c>
      <c r="K1113">
        <f>IF(INDEX(tblCleanData[OverTime],1105)="Yes",25,0)</f>
        <v>0</v>
      </c>
      <c r="L1113">
        <f>(5-INDEX(tblCleanData[JobSatisfaction],1105))*6.25</f>
        <v>12.5</v>
      </c>
      <c r="M1113">
        <f>IF(INDEX(tblCleanData[YearsAtCompany],1105)&lt;=2,25,IF(INDEX(tblCleanData[YearsAtCompany],1105)&lt;=5,15,IF(INDEX(tblCleanData[YearsAtCompany],1105)&lt;=10,8,3)))</f>
        <v>25</v>
      </c>
      <c r="N1113">
        <f t="shared" si="34"/>
        <v>73</v>
      </c>
      <c r="O1113" t="str">
        <f t="shared" si="35"/>
        <v>High Risk</v>
      </c>
    </row>
    <row r="1114" spans="1:15" x14ac:dyDescent="0.25">
      <c r="A1114">
        <f>INDEX(tblCleanData[EmployeeNumber],1106)</f>
        <v>1560</v>
      </c>
      <c r="B1114" t="str">
        <f>IF(INDEX(tblCleanData[Age],1106)&lt;30,"Under 30",IF(INDEX(tblCleanData[Age],1106)&lt;40,"30-39",IF(INDEX(tblCleanData[Age],1106)&lt;50,"40-49","50+")))</f>
        <v>30-39</v>
      </c>
      <c r="C1114" t="str">
        <f>IF(INDEX(tblCleanData[MonthlyIncome],1106)&lt;=$B$3,"Low Income",IF(INDEX(tblCleanData[MonthlyIncome],1106)&lt;=$B$4,"Medium Income","High Income"))</f>
        <v>High Income</v>
      </c>
      <c r="D1114">
        <f>IF(INDEX(tblCleanData[Attrition],1106)="Yes",1,0)</f>
        <v>0</v>
      </c>
      <c r="E1114">
        <f>IF(INDEX(tblCleanData[OverTime],1106)="Yes",1,0)</f>
        <v>0</v>
      </c>
      <c r="F1114" t="str">
        <f>CHOOSE(INDEX(tblCleanData[Education],1106),"Below College","College","Bachelor","Master","Doctor")</f>
        <v>Master</v>
      </c>
      <c r="G1114" t="str">
        <f>IF(INDEX(tblCleanData[YearsAtCompany],1106)&lt;=2,"0-2 Years",IF(INDEX(tblCleanData[YearsAtCompany],1106)&lt;=5,"3-5 Years",IF(INDEX(tblCleanData[YearsAtCompany],1106)&lt;=10,"6-10 Years","10+ Years")))</f>
        <v>0-2 Years</v>
      </c>
      <c r="H1114" t="str">
        <f>IF(INDEX(tblCleanData[WorkLifeBalance],1106)&lt;=2,"Elevated","Normal")</f>
        <v>Elevated</v>
      </c>
      <c r="I1114">
        <f>IF(INDEX(tblCleanData[Age],1106)&lt;30,30,IF(INDEX(tblCleanData[Age],1106)&lt;40,20,IF(INDEX(tblCleanData[Age],1106)&lt;50,10,15)))</f>
        <v>20</v>
      </c>
      <c r="J1114">
        <f>IF(INDEX(tblCleanData[MonthlyIncome],1106)&lt;=$B$3,25,IF(INDEX(tblCleanData[MonthlyIncome],1106)&lt;=$B$4,12,5))</f>
        <v>5</v>
      </c>
      <c r="K1114">
        <f>IF(INDEX(tblCleanData[OverTime],1106)="Yes",25,0)</f>
        <v>0</v>
      </c>
      <c r="L1114">
        <f>(5-INDEX(tblCleanData[JobSatisfaction],1106))*6.25</f>
        <v>25</v>
      </c>
      <c r="M1114">
        <f>IF(INDEX(tblCleanData[YearsAtCompany],1106)&lt;=2,25,IF(INDEX(tblCleanData[YearsAtCompany],1106)&lt;=5,15,IF(INDEX(tblCleanData[YearsAtCompany],1106)&lt;=10,8,3)))</f>
        <v>25</v>
      </c>
      <c r="N1114">
        <f t="shared" si="34"/>
        <v>75</v>
      </c>
      <c r="O1114" t="str">
        <f t="shared" si="35"/>
        <v>High Risk</v>
      </c>
    </row>
    <row r="1115" spans="1:15" x14ac:dyDescent="0.25">
      <c r="A1115">
        <f>INDEX(tblCleanData[EmployeeNumber],1107)</f>
        <v>1562</v>
      </c>
      <c r="B1115" t="str">
        <f>IF(INDEX(tblCleanData[Age],1107)&lt;30,"Under 30",IF(INDEX(tblCleanData[Age],1107)&lt;40,"30-39",IF(INDEX(tblCleanData[Age],1107)&lt;50,"40-49","50+")))</f>
        <v>30-39</v>
      </c>
      <c r="C1115" t="str">
        <f>IF(INDEX(tblCleanData[MonthlyIncome],1107)&lt;=$B$3,"Low Income",IF(INDEX(tblCleanData[MonthlyIncome],1107)&lt;=$B$4,"Medium Income","High Income"))</f>
        <v>High Income</v>
      </c>
      <c r="D1115">
        <f>IF(INDEX(tblCleanData[Attrition],1107)="Yes",1,0)</f>
        <v>1</v>
      </c>
      <c r="E1115">
        <f>IF(INDEX(tblCleanData[OverTime],1107)="Yes",1,0)</f>
        <v>0</v>
      </c>
      <c r="F1115" t="str">
        <f>CHOOSE(INDEX(tblCleanData[Education],1107),"Below College","College","Bachelor","Master","Doctor")</f>
        <v>Bachelor</v>
      </c>
      <c r="G1115" t="str">
        <f>IF(INDEX(tblCleanData[YearsAtCompany],1107)&lt;=2,"0-2 Years",IF(INDEX(tblCleanData[YearsAtCompany],1107)&lt;=5,"3-5 Years",IF(INDEX(tblCleanData[YearsAtCompany],1107)&lt;=10,"6-10 Years","10+ Years")))</f>
        <v>6-10 Years</v>
      </c>
      <c r="H1115" t="str">
        <f>IF(INDEX(tblCleanData[WorkLifeBalance],1107)&lt;=2,"Elevated","Normal")</f>
        <v>Normal</v>
      </c>
      <c r="I1115">
        <f>IF(INDEX(tblCleanData[Age],1107)&lt;30,30,IF(INDEX(tblCleanData[Age],1107)&lt;40,20,IF(INDEX(tblCleanData[Age],1107)&lt;50,10,15)))</f>
        <v>20</v>
      </c>
      <c r="J1115">
        <f>IF(INDEX(tblCleanData[MonthlyIncome],1107)&lt;=$B$3,25,IF(INDEX(tblCleanData[MonthlyIncome],1107)&lt;=$B$4,12,5))</f>
        <v>5</v>
      </c>
      <c r="K1115">
        <f>IF(INDEX(tblCleanData[OverTime],1107)="Yes",25,0)</f>
        <v>0</v>
      </c>
      <c r="L1115">
        <f>(5-INDEX(tblCleanData[JobSatisfaction],1107))*6.25</f>
        <v>25</v>
      </c>
      <c r="M1115">
        <f>IF(INDEX(tblCleanData[YearsAtCompany],1107)&lt;=2,25,IF(INDEX(tblCleanData[YearsAtCompany],1107)&lt;=5,15,IF(INDEX(tblCleanData[YearsAtCompany],1107)&lt;=10,8,3)))</f>
        <v>8</v>
      </c>
      <c r="N1115">
        <f t="shared" si="34"/>
        <v>58</v>
      </c>
      <c r="O1115" t="str">
        <f t="shared" si="35"/>
        <v>High Risk</v>
      </c>
    </row>
    <row r="1116" spans="1:15" x14ac:dyDescent="0.25">
      <c r="A1116">
        <f>INDEX(tblCleanData[EmployeeNumber],1108)</f>
        <v>1563</v>
      </c>
      <c r="B1116" t="str">
        <f>IF(INDEX(tblCleanData[Age],1108)&lt;30,"Under 30",IF(INDEX(tblCleanData[Age],1108)&lt;40,"30-39",IF(INDEX(tblCleanData[Age],1108)&lt;50,"40-49","50+")))</f>
        <v>30-39</v>
      </c>
      <c r="C1116" t="str">
        <f>IF(INDEX(tblCleanData[MonthlyIncome],1108)&lt;=$B$3,"Low Income",IF(INDEX(tblCleanData[MonthlyIncome],1108)&lt;=$B$4,"Medium Income","High Income"))</f>
        <v>High Income</v>
      </c>
      <c r="D1116">
        <f>IF(INDEX(tblCleanData[Attrition],1108)="Yes",1,0)</f>
        <v>0</v>
      </c>
      <c r="E1116">
        <f>IF(INDEX(tblCleanData[OverTime],1108)="Yes",1,0)</f>
        <v>0</v>
      </c>
      <c r="F1116" t="str">
        <f>CHOOSE(INDEX(tblCleanData[Education],1108),"Below College","College","Bachelor","Master","Doctor")</f>
        <v>Master</v>
      </c>
      <c r="G1116" t="str">
        <f>IF(INDEX(tblCleanData[YearsAtCompany],1108)&lt;=2,"0-2 Years",IF(INDEX(tblCleanData[YearsAtCompany],1108)&lt;=5,"3-5 Years",IF(INDEX(tblCleanData[YearsAtCompany],1108)&lt;=10,"6-10 Years","10+ Years")))</f>
        <v>6-10 Years</v>
      </c>
      <c r="H1116" t="str">
        <f>IF(INDEX(tblCleanData[WorkLifeBalance],1108)&lt;=2,"Elevated","Normal")</f>
        <v>Normal</v>
      </c>
      <c r="I1116">
        <f>IF(INDEX(tblCleanData[Age],1108)&lt;30,30,IF(INDEX(tblCleanData[Age],1108)&lt;40,20,IF(INDEX(tblCleanData[Age],1108)&lt;50,10,15)))</f>
        <v>20</v>
      </c>
      <c r="J1116">
        <f>IF(INDEX(tblCleanData[MonthlyIncome],1108)&lt;=$B$3,25,IF(INDEX(tblCleanData[MonthlyIncome],1108)&lt;=$B$4,12,5))</f>
        <v>5</v>
      </c>
      <c r="K1116">
        <f>IF(INDEX(tblCleanData[OverTime],1108)="Yes",25,0)</f>
        <v>0</v>
      </c>
      <c r="L1116">
        <f>(5-INDEX(tblCleanData[JobSatisfaction],1108))*6.25</f>
        <v>12.5</v>
      </c>
      <c r="M1116">
        <f>IF(INDEX(tblCleanData[YearsAtCompany],1108)&lt;=2,25,IF(INDEX(tblCleanData[YearsAtCompany],1108)&lt;=5,15,IF(INDEX(tblCleanData[YearsAtCompany],1108)&lt;=10,8,3)))</f>
        <v>8</v>
      </c>
      <c r="N1116">
        <f t="shared" si="34"/>
        <v>46</v>
      </c>
      <c r="O1116" t="str">
        <f t="shared" si="35"/>
        <v>Medium Risk</v>
      </c>
    </row>
    <row r="1117" spans="1:15" x14ac:dyDescent="0.25">
      <c r="A1117">
        <f>INDEX(tblCleanData[EmployeeNumber],1109)</f>
        <v>1564</v>
      </c>
      <c r="B1117" t="str">
        <f>IF(INDEX(tblCleanData[Age],1109)&lt;30,"Under 30",IF(INDEX(tblCleanData[Age],1109)&lt;40,"30-39",IF(INDEX(tblCleanData[Age],1109)&lt;50,"40-49","50+")))</f>
        <v>30-39</v>
      </c>
      <c r="C1117" t="str">
        <f>IF(INDEX(tblCleanData[MonthlyIncome],1109)&lt;=$B$3,"Low Income",IF(INDEX(tblCleanData[MonthlyIncome],1109)&lt;=$B$4,"Medium Income","High Income"))</f>
        <v>High Income</v>
      </c>
      <c r="D1117">
        <f>IF(INDEX(tblCleanData[Attrition],1109)="Yes",1,0)</f>
        <v>0</v>
      </c>
      <c r="E1117">
        <f>IF(INDEX(tblCleanData[OverTime],1109)="Yes",1,0)</f>
        <v>0</v>
      </c>
      <c r="F1117" t="str">
        <f>CHOOSE(INDEX(tblCleanData[Education],1109),"Below College","College","Bachelor","Master","Doctor")</f>
        <v>Bachelor</v>
      </c>
      <c r="G1117" t="str">
        <f>IF(INDEX(tblCleanData[YearsAtCompany],1109)&lt;=2,"0-2 Years",IF(INDEX(tblCleanData[YearsAtCompany],1109)&lt;=5,"3-5 Years",IF(INDEX(tblCleanData[YearsAtCompany],1109)&lt;=10,"6-10 Years","10+ Years")))</f>
        <v>3-5 Years</v>
      </c>
      <c r="H1117" t="str">
        <f>IF(INDEX(tblCleanData[WorkLifeBalance],1109)&lt;=2,"Elevated","Normal")</f>
        <v>Normal</v>
      </c>
      <c r="I1117">
        <f>IF(INDEX(tblCleanData[Age],1109)&lt;30,30,IF(INDEX(tblCleanData[Age],1109)&lt;40,20,IF(INDEX(tblCleanData[Age],1109)&lt;50,10,15)))</f>
        <v>20</v>
      </c>
      <c r="J1117">
        <f>IF(INDEX(tblCleanData[MonthlyIncome],1109)&lt;=$B$3,25,IF(INDEX(tblCleanData[MonthlyIncome],1109)&lt;=$B$4,12,5))</f>
        <v>5</v>
      </c>
      <c r="K1117">
        <f>IF(INDEX(tblCleanData[OverTime],1109)="Yes",25,0)</f>
        <v>0</v>
      </c>
      <c r="L1117">
        <f>(5-INDEX(tblCleanData[JobSatisfaction],1109))*6.25</f>
        <v>25</v>
      </c>
      <c r="M1117">
        <f>IF(INDEX(tblCleanData[YearsAtCompany],1109)&lt;=2,25,IF(INDEX(tblCleanData[YearsAtCompany],1109)&lt;=5,15,IF(INDEX(tblCleanData[YearsAtCompany],1109)&lt;=10,8,3)))</f>
        <v>15</v>
      </c>
      <c r="N1117">
        <f t="shared" si="34"/>
        <v>65</v>
      </c>
      <c r="O1117" t="str">
        <f t="shared" si="35"/>
        <v>High Risk</v>
      </c>
    </row>
    <row r="1118" spans="1:15" x14ac:dyDescent="0.25">
      <c r="A1118">
        <f>INDEX(tblCleanData[EmployeeNumber],1110)</f>
        <v>1568</v>
      </c>
      <c r="B1118" t="str">
        <f>IF(INDEX(tblCleanData[Age],1110)&lt;30,"Under 30",IF(INDEX(tblCleanData[Age],1110)&lt;40,"30-39",IF(INDEX(tblCleanData[Age],1110)&lt;50,"40-49","50+")))</f>
        <v>30-39</v>
      </c>
      <c r="C1118" t="str">
        <f>IF(INDEX(tblCleanData[MonthlyIncome],1110)&lt;=$B$3,"Low Income",IF(INDEX(tblCleanData[MonthlyIncome],1110)&lt;=$B$4,"Medium Income","High Income"))</f>
        <v>High Income</v>
      </c>
      <c r="D1118">
        <f>IF(INDEX(tblCleanData[Attrition],1110)="Yes",1,0)</f>
        <v>0</v>
      </c>
      <c r="E1118">
        <f>IF(INDEX(tblCleanData[OverTime],1110)="Yes",1,0)</f>
        <v>0</v>
      </c>
      <c r="F1118" t="str">
        <f>CHOOSE(INDEX(tblCleanData[Education],1110),"Below College","College","Bachelor","Master","Doctor")</f>
        <v>Master</v>
      </c>
      <c r="G1118" t="str">
        <f>IF(INDEX(tblCleanData[YearsAtCompany],1110)&lt;=2,"0-2 Years",IF(INDEX(tblCleanData[YearsAtCompany],1110)&lt;=5,"3-5 Years",IF(INDEX(tblCleanData[YearsAtCompany],1110)&lt;=10,"6-10 Years","10+ Years")))</f>
        <v>3-5 Years</v>
      </c>
      <c r="H1118" t="str">
        <f>IF(INDEX(tblCleanData[WorkLifeBalance],1110)&lt;=2,"Elevated","Normal")</f>
        <v>Normal</v>
      </c>
      <c r="I1118">
        <f>IF(INDEX(tblCleanData[Age],1110)&lt;30,30,IF(INDEX(tblCleanData[Age],1110)&lt;40,20,IF(INDEX(tblCleanData[Age],1110)&lt;50,10,15)))</f>
        <v>20</v>
      </c>
      <c r="J1118">
        <f>IF(INDEX(tblCleanData[MonthlyIncome],1110)&lt;=$B$3,25,IF(INDEX(tblCleanData[MonthlyIncome],1110)&lt;=$B$4,12,5))</f>
        <v>5</v>
      </c>
      <c r="K1118">
        <f>IF(INDEX(tblCleanData[OverTime],1110)="Yes",25,0)</f>
        <v>0</v>
      </c>
      <c r="L1118">
        <f>(5-INDEX(tblCleanData[JobSatisfaction],1110))*6.25</f>
        <v>18.75</v>
      </c>
      <c r="M1118">
        <f>IF(INDEX(tblCleanData[YearsAtCompany],1110)&lt;=2,25,IF(INDEX(tblCleanData[YearsAtCompany],1110)&lt;=5,15,IF(INDEX(tblCleanData[YearsAtCompany],1110)&lt;=10,8,3)))</f>
        <v>15</v>
      </c>
      <c r="N1118">
        <f t="shared" si="34"/>
        <v>59</v>
      </c>
      <c r="O1118" t="str">
        <f t="shared" si="35"/>
        <v>High Risk</v>
      </c>
    </row>
    <row r="1119" spans="1:15" x14ac:dyDescent="0.25">
      <c r="A1119">
        <f>INDEX(tblCleanData[EmployeeNumber],1111)</f>
        <v>1569</v>
      </c>
      <c r="B1119" t="str">
        <f>IF(INDEX(tblCleanData[Age],1111)&lt;30,"Under 30",IF(INDEX(tblCleanData[Age],1111)&lt;40,"30-39",IF(INDEX(tblCleanData[Age],1111)&lt;50,"40-49","50+")))</f>
        <v>30-39</v>
      </c>
      <c r="C1119" t="str">
        <f>IF(INDEX(tblCleanData[MonthlyIncome],1111)&lt;=$B$3,"Low Income",IF(INDEX(tblCleanData[MonthlyIncome],1111)&lt;=$B$4,"Medium Income","High Income"))</f>
        <v>High Income</v>
      </c>
      <c r="D1119">
        <f>IF(INDEX(tblCleanData[Attrition],1111)="Yes",1,0)</f>
        <v>1</v>
      </c>
      <c r="E1119">
        <f>IF(INDEX(tblCleanData[OverTime],1111)="Yes",1,0)</f>
        <v>1</v>
      </c>
      <c r="F1119" t="str">
        <f>CHOOSE(INDEX(tblCleanData[Education],1111),"Below College","College","Bachelor","Master","Doctor")</f>
        <v>Bachelor</v>
      </c>
      <c r="G1119" t="str">
        <f>IF(INDEX(tblCleanData[YearsAtCompany],1111)&lt;=2,"0-2 Years",IF(INDEX(tblCleanData[YearsAtCompany],1111)&lt;=5,"3-5 Years",IF(INDEX(tblCleanData[YearsAtCompany],1111)&lt;=10,"6-10 Years","10+ Years")))</f>
        <v>0-2 Years</v>
      </c>
      <c r="H1119" t="str">
        <f>IF(INDEX(tblCleanData[WorkLifeBalance],1111)&lt;=2,"Elevated","Normal")</f>
        <v>Normal</v>
      </c>
      <c r="I1119">
        <f>IF(INDEX(tblCleanData[Age],1111)&lt;30,30,IF(INDEX(tblCleanData[Age],1111)&lt;40,20,IF(INDEX(tblCleanData[Age],1111)&lt;50,10,15)))</f>
        <v>20</v>
      </c>
      <c r="J1119">
        <f>IF(INDEX(tblCleanData[MonthlyIncome],1111)&lt;=$B$3,25,IF(INDEX(tblCleanData[MonthlyIncome],1111)&lt;=$B$4,12,5))</f>
        <v>5</v>
      </c>
      <c r="K1119">
        <f>IF(INDEX(tblCleanData[OverTime],1111)="Yes",25,0)</f>
        <v>25</v>
      </c>
      <c r="L1119">
        <f>(5-INDEX(tblCleanData[JobSatisfaction],1111))*6.25</f>
        <v>25</v>
      </c>
      <c r="M1119">
        <f>IF(INDEX(tblCleanData[YearsAtCompany],1111)&lt;=2,25,IF(INDEX(tblCleanData[YearsAtCompany],1111)&lt;=5,15,IF(INDEX(tblCleanData[YearsAtCompany],1111)&lt;=10,8,3)))</f>
        <v>25</v>
      </c>
      <c r="N1119">
        <f t="shared" si="34"/>
        <v>100</v>
      </c>
      <c r="O1119" t="str">
        <f t="shared" si="35"/>
        <v>High Risk</v>
      </c>
    </row>
    <row r="1120" spans="1:15" x14ac:dyDescent="0.25">
      <c r="A1120">
        <f>INDEX(tblCleanData[EmployeeNumber],1112)</f>
        <v>1572</v>
      </c>
      <c r="B1120" t="str">
        <f>IF(INDEX(tblCleanData[Age],1112)&lt;30,"Under 30",IF(INDEX(tblCleanData[Age],1112)&lt;40,"30-39",IF(INDEX(tblCleanData[Age],1112)&lt;50,"40-49","50+")))</f>
        <v>50+</v>
      </c>
      <c r="C1120" t="str">
        <f>IF(INDEX(tblCleanData[MonthlyIncome],1112)&lt;=$B$3,"Low Income",IF(INDEX(tblCleanData[MonthlyIncome],1112)&lt;=$B$4,"Medium Income","High Income"))</f>
        <v>High Income</v>
      </c>
      <c r="D1120">
        <f>IF(INDEX(tblCleanData[Attrition],1112)="Yes",1,0)</f>
        <v>1</v>
      </c>
      <c r="E1120">
        <f>IF(INDEX(tblCleanData[OverTime],1112)="Yes",1,0)</f>
        <v>0</v>
      </c>
      <c r="F1120" t="str">
        <f>CHOOSE(INDEX(tblCleanData[Education],1112),"Below College","College","Bachelor","Master","Doctor")</f>
        <v>Doctor</v>
      </c>
      <c r="G1120" t="str">
        <f>IF(INDEX(tblCleanData[YearsAtCompany],1112)&lt;=2,"0-2 Years",IF(INDEX(tblCleanData[YearsAtCompany],1112)&lt;=5,"3-5 Years",IF(INDEX(tblCleanData[YearsAtCompany],1112)&lt;=10,"6-10 Years","10+ Years")))</f>
        <v>10+ Years</v>
      </c>
      <c r="H1120" t="str">
        <f>IF(INDEX(tblCleanData[WorkLifeBalance],1112)&lt;=2,"Elevated","Normal")</f>
        <v>Normal</v>
      </c>
      <c r="I1120">
        <f>IF(INDEX(tblCleanData[Age],1112)&lt;30,30,IF(INDEX(tblCleanData[Age],1112)&lt;40,20,IF(INDEX(tblCleanData[Age],1112)&lt;50,10,15)))</f>
        <v>15</v>
      </c>
      <c r="J1120">
        <f>IF(INDEX(tblCleanData[MonthlyIncome],1112)&lt;=$B$3,25,IF(INDEX(tblCleanData[MonthlyIncome],1112)&lt;=$B$4,12,5))</f>
        <v>5</v>
      </c>
      <c r="K1120">
        <f>IF(INDEX(tblCleanData[OverTime],1112)="Yes",25,0)</f>
        <v>0</v>
      </c>
      <c r="L1120">
        <f>(5-INDEX(tblCleanData[JobSatisfaction],1112))*6.25</f>
        <v>6.25</v>
      </c>
      <c r="M1120">
        <f>IF(INDEX(tblCleanData[YearsAtCompany],1112)&lt;=2,25,IF(INDEX(tblCleanData[YearsAtCompany],1112)&lt;=5,15,IF(INDEX(tblCleanData[YearsAtCompany],1112)&lt;=10,8,3)))</f>
        <v>3</v>
      </c>
      <c r="N1120">
        <f t="shared" si="34"/>
        <v>29</v>
      </c>
      <c r="O1120" t="str">
        <f t="shared" si="35"/>
        <v>Low Risk</v>
      </c>
    </row>
    <row r="1121" spans="1:15" x14ac:dyDescent="0.25">
      <c r="A1121">
        <f>INDEX(tblCleanData[EmployeeNumber],1113)</f>
        <v>1573</v>
      </c>
      <c r="B1121" t="str">
        <f>IF(INDEX(tblCleanData[Age],1113)&lt;30,"Under 30",IF(INDEX(tblCleanData[Age],1113)&lt;40,"30-39",IF(INDEX(tblCleanData[Age],1113)&lt;50,"40-49","50+")))</f>
        <v>30-39</v>
      </c>
      <c r="C1121" t="str">
        <f>IF(INDEX(tblCleanData[MonthlyIncome],1113)&lt;=$B$3,"Low Income",IF(INDEX(tblCleanData[MonthlyIncome],1113)&lt;=$B$4,"Medium Income","High Income"))</f>
        <v>High Income</v>
      </c>
      <c r="D1121">
        <f>IF(INDEX(tblCleanData[Attrition],1113)="Yes",1,0)</f>
        <v>1</v>
      </c>
      <c r="E1121">
        <f>IF(INDEX(tblCleanData[OverTime],1113)="Yes",1,0)</f>
        <v>0</v>
      </c>
      <c r="F1121" t="str">
        <f>CHOOSE(INDEX(tblCleanData[Education],1113),"Below College","College","Bachelor","Master","Doctor")</f>
        <v>Bachelor</v>
      </c>
      <c r="G1121" t="str">
        <f>IF(INDEX(tblCleanData[YearsAtCompany],1113)&lt;=2,"0-2 Years",IF(INDEX(tblCleanData[YearsAtCompany],1113)&lt;=5,"3-5 Years",IF(INDEX(tblCleanData[YearsAtCompany],1113)&lt;=10,"6-10 Years","10+ Years")))</f>
        <v>3-5 Years</v>
      </c>
      <c r="H1121" t="str">
        <f>IF(INDEX(tblCleanData[WorkLifeBalance],1113)&lt;=2,"Elevated","Normal")</f>
        <v>Normal</v>
      </c>
      <c r="I1121">
        <f>IF(INDEX(tblCleanData[Age],1113)&lt;30,30,IF(INDEX(tblCleanData[Age],1113)&lt;40,20,IF(INDEX(tblCleanData[Age],1113)&lt;50,10,15)))</f>
        <v>20</v>
      </c>
      <c r="J1121">
        <f>IF(INDEX(tblCleanData[MonthlyIncome],1113)&lt;=$B$3,25,IF(INDEX(tblCleanData[MonthlyIncome],1113)&lt;=$B$4,12,5))</f>
        <v>5</v>
      </c>
      <c r="K1121">
        <f>IF(INDEX(tblCleanData[OverTime],1113)="Yes",25,0)</f>
        <v>0</v>
      </c>
      <c r="L1121">
        <f>(5-INDEX(tblCleanData[JobSatisfaction],1113))*6.25</f>
        <v>18.75</v>
      </c>
      <c r="M1121">
        <f>IF(INDEX(tblCleanData[YearsAtCompany],1113)&lt;=2,25,IF(INDEX(tblCleanData[YearsAtCompany],1113)&lt;=5,15,IF(INDEX(tblCleanData[YearsAtCompany],1113)&lt;=10,8,3)))</f>
        <v>15</v>
      </c>
      <c r="N1121">
        <f t="shared" si="34"/>
        <v>59</v>
      </c>
      <c r="O1121" t="str">
        <f t="shared" si="35"/>
        <v>High Risk</v>
      </c>
    </row>
    <row r="1122" spans="1:15" x14ac:dyDescent="0.25">
      <c r="A1122">
        <f>INDEX(tblCleanData[EmployeeNumber],1114)</f>
        <v>1574</v>
      </c>
      <c r="B1122" t="str">
        <f>IF(INDEX(tblCleanData[Age],1114)&lt;30,"Under 30",IF(INDEX(tblCleanData[Age],1114)&lt;40,"30-39",IF(INDEX(tblCleanData[Age],1114)&lt;50,"40-49","50+")))</f>
        <v>30-39</v>
      </c>
      <c r="C1122" t="str">
        <f>IF(INDEX(tblCleanData[MonthlyIncome],1114)&lt;=$B$3,"Low Income",IF(INDEX(tblCleanData[MonthlyIncome],1114)&lt;=$B$4,"Medium Income","High Income"))</f>
        <v>High Income</v>
      </c>
      <c r="D1122">
        <f>IF(INDEX(tblCleanData[Attrition],1114)="Yes",1,0)</f>
        <v>0</v>
      </c>
      <c r="E1122">
        <f>IF(INDEX(tblCleanData[OverTime],1114)="Yes",1,0)</f>
        <v>0</v>
      </c>
      <c r="F1122" t="str">
        <f>CHOOSE(INDEX(tblCleanData[Education],1114),"Below College","College","Bachelor","Master","Doctor")</f>
        <v>Master</v>
      </c>
      <c r="G1122" t="str">
        <f>IF(INDEX(tblCleanData[YearsAtCompany],1114)&lt;=2,"0-2 Years",IF(INDEX(tblCleanData[YearsAtCompany],1114)&lt;=5,"3-5 Years",IF(INDEX(tblCleanData[YearsAtCompany],1114)&lt;=10,"6-10 Years","10+ Years")))</f>
        <v>6-10 Years</v>
      </c>
      <c r="H1122" t="str">
        <f>IF(INDEX(tblCleanData[WorkLifeBalance],1114)&lt;=2,"Elevated","Normal")</f>
        <v>Elevated</v>
      </c>
      <c r="I1122">
        <f>IF(INDEX(tblCleanData[Age],1114)&lt;30,30,IF(INDEX(tblCleanData[Age],1114)&lt;40,20,IF(INDEX(tblCleanData[Age],1114)&lt;50,10,15)))</f>
        <v>20</v>
      </c>
      <c r="J1122">
        <f>IF(INDEX(tblCleanData[MonthlyIncome],1114)&lt;=$B$3,25,IF(INDEX(tblCleanData[MonthlyIncome],1114)&lt;=$B$4,12,5))</f>
        <v>5</v>
      </c>
      <c r="K1122">
        <f>IF(INDEX(tblCleanData[OverTime],1114)="Yes",25,0)</f>
        <v>0</v>
      </c>
      <c r="L1122">
        <f>(5-INDEX(tblCleanData[JobSatisfaction],1114))*6.25</f>
        <v>25</v>
      </c>
      <c r="M1122">
        <f>IF(INDEX(tblCleanData[YearsAtCompany],1114)&lt;=2,25,IF(INDEX(tblCleanData[YearsAtCompany],1114)&lt;=5,15,IF(INDEX(tblCleanData[YearsAtCompany],1114)&lt;=10,8,3)))</f>
        <v>8</v>
      </c>
      <c r="N1122">
        <f t="shared" si="34"/>
        <v>58</v>
      </c>
      <c r="O1122" t="str">
        <f t="shared" si="35"/>
        <v>High Risk</v>
      </c>
    </row>
    <row r="1123" spans="1:15" x14ac:dyDescent="0.25">
      <c r="A1123">
        <f>INDEX(tblCleanData[EmployeeNumber],1115)</f>
        <v>1576</v>
      </c>
      <c r="B1123" t="str">
        <f>IF(INDEX(tblCleanData[Age],1115)&lt;30,"Under 30",IF(INDEX(tblCleanData[Age],1115)&lt;40,"30-39",IF(INDEX(tblCleanData[Age],1115)&lt;50,"40-49","50+")))</f>
        <v>40-49</v>
      </c>
      <c r="C1123" t="str">
        <f>IF(INDEX(tblCleanData[MonthlyIncome],1115)&lt;=$B$3,"Low Income",IF(INDEX(tblCleanData[MonthlyIncome],1115)&lt;=$B$4,"Medium Income","High Income"))</f>
        <v>High Income</v>
      </c>
      <c r="D1123">
        <f>IF(INDEX(tblCleanData[Attrition],1115)="Yes",1,0)</f>
        <v>0</v>
      </c>
      <c r="E1123">
        <f>IF(INDEX(tblCleanData[OverTime],1115)="Yes",1,0)</f>
        <v>0</v>
      </c>
      <c r="F1123" t="str">
        <f>CHOOSE(INDEX(tblCleanData[Education],1115),"Below College","College","Bachelor","Master","Doctor")</f>
        <v>Master</v>
      </c>
      <c r="G1123" t="str">
        <f>IF(INDEX(tblCleanData[YearsAtCompany],1115)&lt;=2,"0-2 Years",IF(INDEX(tblCleanData[YearsAtCompany],1115)&lt;=5,"3-5 Years",IF(INDEX(tblCleanData[YearsAtCompany],1115)&lt;=10,"6-10 Years","10+ Years")))</f>
        <v>6-10 Years</v>
      </c>
      <c r="H1123" t="str">
        <f>IF(INDEX(tblCleanData[WorkLifeBalance],1115)&lt;=2,"Elevated","Normal")</f>
        <v>Elevated</v>
      </c>
      <c r="I1123">
        <f>IF(INDEX(tblCleanData[Age],1115)&lt;30,30,IF(INDEX(tblCleanData[Age],1115)&lt;40,20,IF(INDEX(tblCleanData[Age],1115)&lt;50,10,15)))</f>
        <v>10</v>
      </c>
      <c r="J1123">
        <f>IF(INDEX(tblCleanData[MonthlyIncome],1115)&lt;=$B$3,25,IF(INDEX(tblCleanData[MonthlyIncome],1115)&lt;=$B$4,12,5))</f>
        <v>5</v>
      </c>
      <c r="K1123">
        <f>IF(INDEX(tblCleanData[OverTime],1115)="Yes",25,0)</f>
        <v>0</v>
      </c>
      <c r="L1123">
        <f>(5-INDEX(tblCleanData[JobSatisfaction],1115))*6.25</f>
        <v>25</v>
      </c>
      <c r="M1123">
        <f>IF(INDEX(tblCleanData[YearsAtCompany],1115)&lt;=2,25,IF(INDEX(tblCleanData[YearsAtCompany],1115)&lt;=5,15,IF(INDEX(tblCleanData[YearsAtCompany],1115)&lt;=10,8,3)))</f>
        <v>8</v>
      </c>
      <c r="N1123">
        <f t="shared" si="34"/>
        <v>48</v>
      </c>
      <c r="O1123" t="str">
        <f t="shared" si="35"/>
        <v>Medium Risk</v>
      </c>
    </row>
    <row r="1124" spans="1:15" x14ac:dyDescent="0.25">
      <c r="A1124">
        <f>INDEX(tblCleanData[EmployeeNumber],1116)</f>
        <v>1577</v>
      </c>
      <c r="B1124" t="str">
        <f>IF(INDEX(tblCleanData[Age],1116)&lt;30,"Under 30",IF(INDEX(tblCleanData[Age],1116)&lt;40,"30-39",IF(INDEX(tblCleanData[Age],1116)&lt;50,"40-49","50+")))</f>
        <v>30-39</v>
      </c>
      <c r="C1124" t="str">
        <f>IF(INDEX(tblCleanData[MonthlyIncome],1116)&lt;=$B$3,"Low Income",IF(INDEX(tblCleanData[MonthlyIncome],1116)&lt;=$B$4,"Medium Income","High Income"))</f>
        <v>High Income</v>
      </c>
      <c r="D1124">
        <f>IF(INDEX(tblCleanData[Attrition],1116)="Yes",1,0)</f>
        <v>0</v>
      </c>
      <c r="E1124">
        <f>IF(INDEX(tblCleanData[OverTime],1116)="Yes",1,0)</f>
        <v>0</v>
      </c>
      <c r="F1124" t="str">
        <f>CHOOSE(INDEX(tblCleanData[Education],1116),"Below College","College","Bachelor","Master","Doctor")</f>
        <v>Master</v>
      </c>
      <c r="G1124" t="str">
        <f>IF(INDEX(tblCleanData[YearsAtCompany],1116)&lt;=2,"0-2 Years",IF(INDEX(tblCleanData[YearsAtCompany],1116)&lt;=5,"3-5 Years",IF(INDEX(tblCleanData[YearsAtCompany],1116)&lt;=10,"6-10 Years","10+ Years")))</f>
        <v>0-2 Years</v>
      </c>
      <c r="H1124" t="str">
        <f>IF(INDEX(tblCleanData[WorkLifeBalance],1116)&lt;=2,"Elevated","Normal")</f>
        <v>Elevated</v>
      </c>
      <c r="I1124">
        <f>IF(INDEX(tblCleanData[Age],1116)&lt;30,30,IF(INDEX(tblCleanData[Age],1116)&lt;40,20,IF(INDEX(tblCleanData[Age],1116)&lt;50,10,15)))</f>
        <v>20</v>
      </c>
      <c r="J1124">
        <f>IF(INDEX(tblCleanData[MonthlyIncome],1116)&lt;=$B$3,25,IF(INDEX(tblCleanData[MonthlyIncome],1116)&lt;=$B$4,12,5))</f>
        <v>5</v>
      </c>
      <c r="K1124">
        <f>IF(INDEX(tblCleanData[OverTime],1116)="Yes",25,0)</f>
        <v>0</v>
      </c>
      <c r="L1124">
        <f>(5-INDEX(tblCleanData[JobSatisfaction],1116))*6.25</f>
        <v>6.25</v>
      </c>
      <c r="M1124">
        <f>IF(INDEX(tblCleanData[YearsAtCompany],1116)&lt;=2,25,IF(INDEX(tblCleanData[YearsAtCompany],1116)&lt;=5,15,IF(INDEX(tblCleanData[YearsAtCompany],1116)&lt;=10,8,3)))</f>
        <v>25</v>
      </c>
      <c r="N1124">
        <f t="shared" si="34"/>
        <v>56</v>
      </c>
      <c r="O1124" t="str">
        <f t="shared" si="35"/>
        <v>High Risk</v>
      </c>
    </row>
    <row r="1125" spans="1:15" x14ac:dyDescent="0.25">
      <c r="A1125">
        <f>INDEX(tblCleanData[EmployeeNumber],1117)</f>
        <v>1578</v>
      </c>
      <c r="B1125" t="str">
        <f>IF(INDEX(tblCleanData[Age],1117)&lt;30,"Under 30",IF(INDEX(tblCleanData[Age],1117)&lt;40,"30-39",IF(INDEX(tblCleanData[Age],1117)&lt;50,"40-49","50+")))</f>
        <v>50+</v>
      </c>
      <c r="C1125" t="str">
        <f>IF(INDEX(tblCleanData[MonthlyIncome],1117)&lt;=$B$3,"Low Income",IF(INDEX(tblCleanData[MonthlyIncome],1117)&lt;=$B$4,"Medium Income","High Income"))</f>
        <v>High Income</v>
      </c>
      <c r="D1125">
        <f>IF(INDEX(tblCleanData[Attrition],1117)="Yes",1,0)</f>
        <v>0</v>
      </c>
      <c r="E1125">
        <f>IF(INDEX(tblCleanData[OverTime],1117)="Yes",1,0)</f>
        <v>0</v>
      </c>
      <c r="F1125" t="str">
        <f>CHOOSE(INDEX(tblCleanData[Education],1117),"Below College","College","Bachelor","Master","Doctor")</f>
        <v>Doctor</v>
      </c>
      <c r="G1125" t="str">
        <f>IF(INDEX(tblCleanData[YearsAtCompany],1117)&lt;=2,"0-2 Years",IF(INDEX(tblCleanData[YearsAtCompany],1117)&lt;=5,"3-5 Years",IF(INDEX(tblCleanData[YearsAtCompany],1117)&lt;=10,"6-10 Years","10+ Years")))</f>
        <v>10+ Years</v>
      </c>
      <c r="H1125" t="str">
        <f>IF(INDEX(tblCleanData[WorkLifeBalance],1117)&lt;=2,"Elevated","Normal")</f>
        <v>Normal</v>
      </c>
      <c r="I1125">
        <f>IF(INDEX(tblCleanData[Age],1117)&lt;30,30,IF(INDEX(tblCleanData[Age],1117)&lt;40,20,IF(INDEX(tblCleanData[Age],1117)&lt;50,10,15)))</f>
        <v>15</v>
      </c>
      <c r="J1125">
        <f>IF(INDEX(tblCleanData[MonthlyIncome],1117)&lt;=$B$3,25,IF(INDEX(tblCleanData[MonthlyIncome],1117)&lt;=$B$4,12,5))</f>
        <v>5</v>
      </c>
      <c r="K1125">
        <f>IF(INDEX(tblCleanData[OverTime],1117)="Yes",25,0)</f>
        <v>0</v>
      </c>
      <c r="L1125">
        <f>(5-INDEX(tblCleanData[JobSatisfaction],1117))*6.25</f>
        <v>6.25</v>
      </c>
      <c r="M1125">
        <f>IF(INDEX(tblCleanData[YearsAtCompany],1117)&lt;=2,25,IF(INDEX(tblCleanData[YearsAtCompany],1117)&lt;=5,15,IF(INDEX(tblCleanData[YearsAtCompany],1117)&lt;=10,8,3)))</f>
        <v>3</v>
      </c>
      <c r="N1125">
        <f t="shared" si="34"/>
        <v>29</v>
      </c>
      <c r="O1125" t="str">
        <f t="shared" si="35"/>
        <v>Low Risk</v>
      </c>
    </row>
    <row r="1126" spans="1:15" x14ac:dyDescent="0.25">
      <c r="A1126">
        <f>INDEX(tblCleanData[EmployeeNumber],1118)</f>
        <v>1580</v>
      </c>
      <c r="B1126" t="str">
        <f>IF(INDEX(tblCleanData[Age],1118)&lt;30,"Under 30",IF(INDEX(tblCleanData[Age],1118)&lt;40,"30-39",IF(INDEX(tblCleanData[Age],1118)&lt;50,"40-49","50+")))</f>
        <v>30-39</v>
      </c>
      <c r="C1126" t="str">
        <f>IF(INDEX(tblCleanData[MonthlyIncome],1118)&lt;=$B$3,"Low Income",IF(INDEX(tblCleanData[MonthlyIncome],1118)&lt;=$B$4,"Medium Income","High Income"))</f>
        <v>High Income</v>
      </c>
      <c r="D1126">
        <f>IF(INDEX(tblCleanData[Attrition],1118)="Yes",1,0)</f>
        <v>0</v>
      </c>
      <c r="E1126">
        <f>IF(INDEX(tblCleanData[OverTime],1118)="Yes",1,0)</f>
        <v>0</v>
      </c>
      <c r="F1126" t="str">
        <f>CHOOSE(INDEX(tblCleanData[Education],1118),"Below College","College","Bachelor","Master","Doctor")</f>
        <v>Master</v>
      </c>
      <c r="G1126" t="str">
        <f>IF(INDEX(tblCleanData[YearsAtCompany],1118)&lt;=2,"0-2 Years",IF(INDEX(tblCleanData[YearsAtCompany],1118)&lt;=5,"3-5 Years",IF(INDEX(tblCleanData[YearsAtCompany],1118)&lt;=10,"6-10 Years","10+ Years")))</f>
        <v>0-2 Years</v>
      </c>
      <c r="H1126" t="str">
        <f>IF(INDEX(tblCleanData[WorkLifeBalance],1118)&lt;=2,"Elevated","Normal")</f>
        <v>Elevated</v>
      </c>
      <c r="I1126">
        <f>IF(INDEX(tblCleanData[Age],1118)&lt;30,30,IF(INDEX(tblCleanData[Age],1118)&lt;40,20,IF(INDEX(tblCleanData[Age],1118)&lt;50,10,15)))</f>
        <v>20</v>
      </c>
      <c r="J1126">
        <f>IF(INDEX(tblCleanData[MonthlyIncome],1118)&lt;=$B$3,25,IF(INDEX(tblCleanData[MonthlyIncome],1118)&lt;=$B$4,12,5))</f>
        <v>5</v>
      </c>
      <c r="K1126">
        <f>IF(INDEX(tblCleanData[OverTime],1118)="Yes",25,0)</f>
        <v>0</v>
      </c>
      <c r="L1126">
        <f>(5-INDEX(tblCleanData[JobSatisfaction],1118))*6.25</f>
        <v>6.25</v>
      </c>
      <c r="M1126">
        <f>IF(INDEX(tblCleanData[YearsAtCompany],1118)&lt;=2,25,IF(INDEX(tblCleanData[YearsAtCompany],1118)&lt;=5,15,IF(INDEX(tblCleanData[YearsAtCompany],1118)&lt;=10,8,3)))</f>
        <v>25</v>
      </c>
      <c r="N1126">
        <f t="shared" si="34"/>
        <v>56</v>
      </c>
      <c r="O1126" t="str">
        <f t="shared" si="35"/>
        <v>High Risk</v>
      </c>
    </row>
    <row r="1127" spans="1:15" x14ac:dyDescent="0.25">
      <c r="A1127">
        <f>INDEX(tblCleanData[EmployeeNumber],1119)</f>
        <v>1581</v>
      </c>
      <c r="B1127" t="str">
        <f>IF(INDEX(tblCleanData[Age],1119)&lt;30,"Under 30",IF(INDEX(tblCleanData[Age],1119)&lt;40,"30-39",IF(INDEX(tblCleanData[Age],1119)&lt;50,"40-49","50+")))</f>
        <v>Under 30</v>
      </c>
      <c r="C1127" t="str">
        <f>IF(INDEX(tblCleanData[MonthlyIncome],1119)&lt;=$B$3,"Low Income",IF(INDEX(tblCleanData[MonthlyIncome],1119)&lt;=$B$4,"Medium Income","High Income"))</f>
        <v>High Income</v>
      </c>
      <c r="D1127">
        <f>IF(INDEX(tblCleanData[Attrition],1119)="Yes",1,0)</f>
        <v>0</v>
      </c>
      <c r="E1127">
        <f>IF(INDEX(tblCleanData[OverTime],1119)="Yes",1,0)</f>
        <v>0</v>
      </c>
      <c r="F1127" t="str">
        <f>CHOOSE(INDEX(tblCleanData[Education],1119),"Below College","College","Bachelor","Master","Doctor")</f>
        <v>Bachelor</v>
      </c>
      <c r="G1127" t="str">
        <f>IF(INDEX(tblCleanData[YearsAtCompany],1119)&lt;=2,"0-2 Years",IF(INDEX(tblCleanData[YearsAtCompany],1119)&lt;=5,"3-5 Years",IF(INDEX(tblCleanData[YearsAtCompany],1119)&lt;=10,"6-10 Years","10+ Years")))</f>
        <v>0-2 Years</v>
      </c>
      <c r="H1127" t="str">
        <f>IF(INDEX(tblCleanData[WorkLifeBalance],1119)&lt;=2,"Elevated","Normal")</f>
        <v>Normal</v>
      </c>
      <c r="I1127">
        <f>IF(INDEX(tblCleanData[Age],1119)&lt;30,30,IF(INDEX(tblCleanData[Age],1119)&lt;40,20,IF(INDEX(tblCleanData[Age],1119)&lt;50,10,15)))</f>
        <v>30</v>
      </c>
      <c r="J1127">
        <f>IF(INDEX(tblCleanData[MonthlyIncome],1119)&lt;=$B$3,25,IF(INDEX(tblCleanData[MonthlyIncome],1119)&lt;=$B$4,12,5))</f>
        <v>5</v>
      </c>
      <c r="K1127">
        <f>IF(INDEX(tblCleanData[OverTime],1119)="Yes",25,0)</f>
        <v>0</v>
      </c>
      <c r="L1127">
        <f>(5-INDEX(tblCleanData[JobSatisfaction],1119))*6.25</f>
        <v>6.25</v>
      </c>
      <c r="M1127">
        <f>IF(INDEX(tblCleanData[YearsAtCompany],1119)&lt;=2,25,IF(INDEX(tblCleanData[YearsAtCompany],1119)&lt;=5,15,IF(INDEX(tblCleanData[YearsAtCompany],1119)&lt;=10,8,3)))</f>
        <v>25</v>
      </c>
      <c r="N1127">
        <f t="shared" si="34"/>
        <v>66</v>
      </c>
      <c r="O1127" t="str">
        <f t="shared" si="35"/>
        <v>High Risk</v>
      </c>
    </row>
    <row r="1128" spans="1:15" x14ac:dyDescent="0.25">
      <c r="A1128">
        <f>INDEX(tblCleanData[EmployeeNumber],1120)</f>
        <v>1582</v>
      </c>
      <c r="B1128" t="str">
        <f>IF(INDEX(tblCleanData[Age],1120)&lt;30,"Under 30",IF(INDEX(tblCleanData[Age],1120)&lt;40,"30-39",IF(INDEX(tblCleanData[Age],1120)&lt;50,"40-49","50+")))</f>
        <v>30-39</v>
      </c>
      <c r="C1128" t="str">
        <f>IF(INDEX(tblCleanData[MonthlyIncome],1120)&lt;=$B$3,"Low Income",IF(INDEX(tblCleanData[MonthlyIncome],1120)&lt;=$B$4,"Medium Income","High Income"))</f>
        <v>High Income</v>
      </c>
      <c r="D1128">
        <f>IF(INDEX(tblCleanData[Attrition],1120)="Yes",1,0)</f>
        <v>0</v>
      </c>
      <c r="E1128">
        <f>IF(INDEX(tblCleanData[OverTime],1120)="Yes",1,0)</f>
        <v>0</v>
      </c>
      <c r="F1128" t="str">
        <f>CHOOSE(INDEX(tblCleanData[Education],1120),"Below College","College","Bachelor","Master","Doctor")</f>
        <v>Bachelor</v>
      </c>
      <c r="G1128" t="str">
        <f>IF(INDEX(tblCleanData[YearsAtCompany],1120)&lt;=2,"0-2 Years",IF(INDEX(tblCleanData[YearsAtCompany],1120)&lt;=5,"3-5 Years",IF(INDEX(tblCleanData[YearsAtCompany],1120)&lt;=10,"6-10 Years","10+ Years")))</f>
        <v>6-10 Years</v>
      </c>
      <c r="H1128" t="str">
        <f>IF(INDEX(tblCleanData[WorkLifeBalance],1120)&lt;=2,"Elevated","Normal")</f>
        <v>Normal</v>
      </c>
      <c r="I1128">
        <f>IF(INDEX(tblCleanData[Age],1120)&lt;30,30,IF(INDEX(tblCleanData[Age],1120)&lt;40,20,IF(INDEX(tblCleanData[Age],1120)&lt;50,10,15)))</f>
        <v>20</v>
      </c>
      <c r="J1128">
        <f>IF(INDEX(tblCleanData[MonthlyIncome],1120)&lt;=$B$3,25,IF(INDEX(tblCleanData[MonthlyIncome],1120)&lt;=$B$4,12,5))</f>
        <v>5</v>
      </c>
      <c r="K1128">
        <f>IF(INDEX(tblCleanData[OverTime],1120)="Yes",25,0)</f>
        <v>0</v>
      </c>
      <c r="L1128">
        <f>(5-INDEX(tblCleanData[JobSatisfaction],1120))*6.25</f>
        <v>18.75</v>
      </c>
      <c r="M1128">
        <f>IF(INDEX(tblCleanData[YearsAtCompany],1120)&lt;=2,25,IF(INDEX(tblCleanData[YearsAtCompany],1120)&lt;=5,15,IF(INDEX(tblCleanData[YearsAtCompany],1120)&lt;=10,8,3)))</f>
        <v>8</v>
      </c>
      <c r="N1128">
        <f t="shared" si="34"/>
        <v>52</v>
      </c>
      <c r="O1128" t="str">
        <f t="shared" si="35"/>
        <v>Medium Risk</v>
      </c>
    </row>
    <row r="1129" spans="1:15" x14ac:dyDescent="0.25">
      <c r="A1129">
        <f>INDEX(tblCleanData[EmployeeNumber],1121)</f>
        <v>1583</v>
      </c>
      <c r="B1129" t="str">
        <f>IF(INDEX(tblCleanData[Age],1121)&lt;30,"Under 30",IF(INDEX(tblCleanData[Age],1121)&lt;40,"30-39",IF(INDEX(tblCleanData[Age],1121)&lt;50,"40-49","50+")))</f>
        <v>30-39</v>
      </c>
      <c r="C1129" t="str">
        <f>IF(INDEX(tblCleanData[MonthlyIncome],1121)&lt;=$B$3,"Low Income",IF(INDEX(tblCleanData[MonthlyIncome],1121)&lt;=$B$4,"Medium Income","High Income"))</f>
        <v>High Income</v>
      </c>
      <c r="D1129">
        <f>IF(INDEX(tblCleanData[Attrition],1121)="Yes",1,0)</f>
        <v>0</v>
      </c>
      <c r="E1129">
        <f>IF(INDEX(tblCleanData[OverTime],1121)="Yes",1,0)</f>
        <v>0</v>
      </c>
      <c r="F1129" t="str">
        <f>CHOOSE(INDEX(tblCleanData[Education],1121),"Below College","College","Bachelor","Master","Doctor")</f>
        <v>Bachelor</v>
      </c>
      <c r="G1129" t="str">
        <f>IF(INDEX(tblCleanData[YearsAtCompany],1121)&lt;=2,"0-2 Years",IF(INDEX(tblCleanData[YearsAtCompany],1121)&lt;=5,"3-5 Years",IF(INDEX(tblCleanData[YearsAtCompany],1121)&lt;=10,"6-10 Years","10+ Years")))</f>
        <v>3-5 Years</v>
      </c>
      <c r="H1129" t="str">
        <f>IF(INDEX(tblCleanData[WorkLifeBalance],1121)&lt;=2,"Elevated","Normal")</f>
        <v>Normal</v>
      </c>
      <c r="I1129">
        <f>IF(INDEX(tblCleanData[Age],1121)&lt;30,30,IF(INDEX(tblCleanData[Age],1121)&lt;40,20,IF(INDEX(tblCleanData[Age],1121)&lt;50,10,15)))</f>
        <v>20</v>
      </c>
      <c r="J1129">
        <f>IF(INDEX(tblCleanData[MonthlyIncome],1121)&lt;=$B$3,25,IF(INDEX(tblCleanData[MonthlyIncome],1121)&lt;=$B$4,12,5))</f>
        <v>5</v>
      </c>
      <c r="K1129">
        <f>IF(INDEX(tblCleanData[OverTime],1121)="Yes",25,0)</f>
        <v>0</v>
      </c>
      <c r="L1129">
        <f>(5-INDEX(tblCleanData[JobSatisfaction],1121))*6.25</f>
        <v>18.75</v>
      </c>
      <c r="M1129">
        <f>IF(INDEX(tblCleanData[YearsAtCompany],1121)&lt;=2,25,IF(INDEX(tblCleanData[YearsAtCompany],1121)&lt;=5,15,IF(INDEX(tblCleanData[YearsAtCompany],1121)&lt;=10,8,3)))</f>
        <v>15</v>
      </c>
      <c r="N1129">
        <f t="shared" si="34"/>
        <v>59</v>
      </c>
      <c r="O1129" t="str">
        <f t="shared" si="35"/>
        <v>High Risk</v>
      </c>
    </row>
    <row r="1130" spans="1:15" x14ac:dyDescent="0.25">
      <c r="A1130">
        <f>INDEX(tblCleanData[EmployeeNumber],1122)</f>
        <v>1585</v>
      </c>
      <c r="B1130" t="str">
        <f>IF(INDEX(tblCleanData[Age],1122)&lt;30,"Under 30",IF(INDEX(tblCleanData[Age],1122)&lt;40,"30-39",IF(INDEX(tblCleanData[Age],1122)&lt;50,"40-49","50+")))</f>
        <v>30-39</v>
      </c>
      <c r="C1130" t="str">
        <f>IF(INDEX(tblCleanData[MonthlyIncome],1122)&lt;=$B$3,"Low Income",IF(INDEX(tblCleanData[MonthlyIncome],1122)&lt;=$B$4,"Medium Income","High Income"))</f>
        <v>High Income</v>
      </c>
      <c r="D1130">
        <f>IF(INDEX(tblCleanData[Attrition],1122)="Yes",1,0)</f>
        <v>0</v>
      </c>
      <c r="E1130">
        <f>IF(INDEX(tblCleanData[OverTime],1122)="Yes",1,0)</f>
        <v>0</v>
      </c>
      <c r="F1130" t="str">
        <f>CHOOSE(INDEX(tblCleanData[Education],1122),"Below College","College","Bachelor","Master","Doctor")</f>
        <v>Master</v>
      </c>
      <c r="G1130" t="str">
        <f>IF(INDEX(tblCleanData[YearsAtCompany],1122)&lt;=2,"0-2 Years",IF(INDEX(tblCleanData[YearsAtCompany],1122)&lt;=5,"3-5 Years",IF(INDEX(tblCleanData[YearsAtCompany],1122)&lt;=10,"6-10 Years","10+ Years")))</f>
        <v>0-2 Years</v>
      </c>
      <c r="H1130" t="str">
        <f>IF(INDEX(tblCleanData[WorkLifeBalance],1122)&lt;=2,"Elevated","Normal")</f>
        <v>Normal</v>
      </c>
      <c r="I1130">
        <f>IF(INDEX(tblCleanData[Age],1122)&lt;30,30,IF(INDEX(tblCleanData[Age],1122)&lt;40,20,IF(INDEX(tblCleanData[Age],1122)&lt;50,10,15)))</f>
        <v>20</v>
      </c>
      <c r="J1130">
        <f>IF(INDEX(tblCleanData[MonthlyIncome],1122)&lt;=$B$3,25,IF(INDEX(tblCleanData[MonthlyIncome],1122)&lt;=$B$4,12,5))</f>
        <v>5</v>
      </c>
      <c r="K1130">
        <f>IF(INDEX(tblCleanData[OverTime],1122)="Yes",25,0)</f>
        <v>0</v>
      </c>
      <c r="L1130">
        <f>(5-INDEX(tblCleanData[JobSatisfaction],1122))*6.25</f>
        <v>12.5</v>
      </c>
      <c r="M1130">
        <f>IF(INDEX(tblCleanData[YearsAtCompany],1122)&lt;=2,25,IF(INDEX(tblCleanData[YearsAtCompany],1122)&lt;=5,15,IF(INDEX(tblCleanData[YearsAtCompany],1122)&lt;=10,8,3)))</f>
        <v>25</v>
      </c>
      <c r="N1130">
        <f t="shared" si="34"/>
        <v>63</v>
      </c>
      <c r="O1130" t="str">
        <f t="shared" si="35"/>
        <v>High Risk</v>
      </c>
    </row>
    <row r="1131" spans="1:15" x14ac:dyDescent="0.25">
      <c r="A1131">
        <f>INDEX(tblCleanData[EmployeeNumber],1123)</f>
        <v>1586</v>
      </c>
      <c r="B1131" t="str">
        <f>IF(INDEX(tblCleanData[Age],1123)&lt;30,"Under 30",IF(INDEX(tblCleanData[Age],1123)&lt;40,"30-39",IF(INDEX(tblCleanData[Age],1123)&lt;50,"40-49","50+")))</f>
        <v>Under 30</v>
      </c>
      <c r="C1131" t="str">
        <f>IF(INDEX(tblCleanData[MonthlyIncome],1123)&lt;=$B$3,"Low Income",IF(INDEX(tblCleanData[MonthlyIncome],1123)&lt;=$B$4,"Medium Income","High Income"))</f>
        <v>High Income</v>
      </c>
      <c r="D1131">
        <f>IF(INDEX(tblCleanData[Attrition],1123)="Yes",1,0)</f>
        <v>0</v>
      </c>
      <c r="E1131">
        <f>IF(INDEX(tblCleanData[OverTime],1123)="Yes",1,0)</f>
        <v>1</v>
      </c>
      <c r="F1131" t="str">
        <f>CHOOSE(INDEX(tblCleanData[Education],1123),"Below College","College","Bachelor","Master","Doctor")</f>
        <v>Below College</v>
      </c>
      <c r="G1131" t="str">
        <f>IF(INDEX(tblCleanData[YearsAtCompany],1123)&lt;=2,"0-2 Years",IF(INDEX(tblCleanData[YearsAtCompany],1123)&lt;=5,"3-5 Years",IF(INDEX(tblCleanData[YearsAtCompany],1123)&lt;=10,"6-10 Years","10+ Years")))</f>
        <v>6-10 Years</v>
      </c>
      <c r="H1131" t="str">
        <f>IF(INDEX(tblCleanData[WorkLifeBalance],1123)&lt;=2,"Elevated","Normal")</f>
        <v>Normal</v>
      </c>
      <c r="I1131">
        <f>IF(INDEX(tblCleanData[Age],1123)&lt;30,30,IF(INDEX(tblCleanData[Age],1123)&lt;40,20,IF(INDEX(tblCleanData[Age],1123)&lt;50,10,15)))</f>
        <v>30</v>
      </c>
      <c r="J1131">
        <f>IF(INDEX(tblCleanData[MonthlyIncome],1123)&lt;=$B$3,25,IF(INDEX(tblCleanData[MonthlyIncome],1123)&lt;=$B$4,12,5))</f>
        <v>5</v>
      </c>
      <c r="K1131">
        <f>IF(INDEX(tblCleanData[OverTime],1123)="Yes",25,0)</f>
        <v>25</v>
      </c>
      <c r="L1131">
        <f>(5-INDEX(tblCleanData[JobSatisfaction],1123))*6.25</f>
        <v>25</v>
      </c>
      <c r="M1131">
        <f>IF(INDEX(tblCleanData[YearsAtCompany],1123)&lt;=2,25,IF(INDEX(tblCleanData[YearsAtCompany],1123)&lt;=5,15,IF(INDEX(tblCleanData[YearsAtCompany],1123)&lt;=10,8,3)))</f>
        <v>8</v>
      </c>
      <c r="N1131">
        <f t="shared" si="34"/>
        <v>93</v>
      </c>
      <c r="O1131" t="str">
        <f t="shared" si="35"/>
        <v>High Risk</v>
      </c>
    </row>
    <row r="1132" spans="1:15" x14ac:dyDescent="0.25">
      <c r="A1132">
        <f>INDEX(tblCleanData[EmployeeNumber],1124)</f>
        <v>1587</v>
      </c>
      <c r="B1132" t="str">
        <f>IF(INDEX(tblCleanData[Age],1124)&lt;30,"Under 30",IF(INDEX(tblCleanData[Age],1124)&lt;40,"30-39",IF(INDEX(tblCleanData[Age],1124)&lt;50,"40-49","50+")))</f>
        <v>30-39</v>
      </c>
      <c r="C1132" t="str">
        <f>IF(INDEX(tblCleanData[MonthlyIncome],1124)&lt;=$B$3,"Low Income",IF(INDEX(tblCleanData[MonthlyIncome],1124)&lt;=$B$4,"Medium Income","High Income"))</f>
        <v>High Income</v>
      </c>
      <c r="D1132">
        <f>IF(INDEX(tblCleanData[Attrition],1124)="Yes",1,0)</f>
        <v>0</v>
      </c>
      <c r="E1132">
        <f>IF(INDEX(tblCleanData[OverTime],1124)="Yes",1,0)</f>
        <v>1</v>
      </c>
      <c r="F1132" t="str">
        <f>CHOOSE(INDEX(tblCleanData[Education],1124),"Below College","College","Bachelor","Master","Doctor")</f>
        <v>Master</v>
      </c>
      <c r="G1132" t="str">
        <f>IF(INDEX(tblCleanData[YearsAtCompany],1124)&lt;=2,"0-2 Years",IF(INDEX(tblCleanData[YearsAtCompany],1124)&lt;=5,"3-5 Years",IF(INDEX(tblCleanData[YearsAtCompany],1124)&lt;=10,"6-10 Years","10+ Years")))</f>
        <v>3-5 Years</v>
      </c>
      <c r="H1132" t="str">
        <f>IF(INDEX(tblCleanData[WorkLifeBalance],1124)&lt;=2,"Elevated","Normal")</f>
        <v>Normal</v>
      </c>
      <c r="I1132">
        <f>IF(INDEX(tblCleanData[Age],1124)&lt;30,30,IF(INDEX(tblCleanData[Age],1124)&lt;40,20,IF(INDEX(tblCleanData[Age],1124)&lt;50,10,15)))</f>
        <v>20</v>
      </c>
      <c r="J1132">
        <f>IF(INDEX(tblCleanData[MonthlyIncome],1124)&lt;=$B$3,25,IF(INDEX(tblCleanData[MonthlyIncome],1124)&lt;=$B$4,12,5))</f>
        <v>5</v>
      </c>
      <c r="K1132">
        <f>IF(INDEX(tblCleanData[OverTime],1124)="Yes",25,0)</f>
        <v>25</v>
      </c>
      <c r="L1132">
        <f>(5-INDEX(tblCleanData[JobSatisfaction],1124))*6.25</f>
        <v>12.5</v>
      </c>
      <c r="M1132">
        <f>IF(INDEX(tblCleanData[YearsAtCompany],1124)&lt;=2,25,IF(INDEX(tblCleanData[YearsAtCompany],1124)&lt;=5,15,IF(INDEX(tblCleanData[YearsAtCompany],1124)&lt;=10,8,3)))</f>
        <v>15</v>
      </c>
      <c r="N1132">
        <f t="shared" si="34"/>
        <v>78</v>
      </c>
      <c r="O1132" t="str">
        <f t="shared" si="35"/>
        <v>High Risk</v>
      </c>
    </row>
    <row r="1133" spans="1:15" x14ac:dyDescent="0.25">
      <c r="A1133">
        <f>INDEX(tblCleanData[EmployeeNumber],1125)</f>
        <v>1588</v>
      </c>
      <c r="B1133" t="str">
        <f>IF(INDEX(tblCleanData[Age],1125)&lt;30,"Under 30",IF(INDEX(tblCleanData[Age],1125)&lt;40,"30-39",IF(INDEX(tblCleanData[Age],1125)&lt;50,"40-49","50+")))</f>
        <v>30-39</v>
      </c>
      <c r="C1133" t="str">
        <f>IF(INDEX(tblCleanData[MonthlyIncome],1125)&lt;=$B$3,"Low Income",IF(INDEX(tblCleanData[MonthlyIncome],1125)&lt;=$B$4,"Medium Income","High Income"))</f>
        <v>High Income</v>
      </c>
      <c r="D1133">
        <f>IF(INDEX(tblCleanData[Attrition],1125)="Yes",1,0)</f>
        <v>0</v>
      </c>
      <c r="E1133">
        <f>IF(INDEX(tblCleanData[OverTime],1125)="Yes",1,0)</f>
        <v>0</v>
      </c>
      <c r="F1133" t="str">
        <f>CHOOSE(INDEX(tblCleanData[Education],1125),"Below College","College","Bachelor","Master","Doctor")</f>
        <v>Bachelor</v>
      </c>
      <c r="G1133" t="str">
        <f>IF(INDEX(tblCleanData[YearsAtCompany],1125)&lt;=2,"0-2 Years",IF(INDEX(tblCleanData[YearsAtCompany],1125)&lt;=5,"3-5 Years",IF(INDEX(tblCleanData[YearsAtCompany],1125)&lt;=10,"6-10 Years","10+ Years")))</f>
        <v>6-10 Years</v>
      </c>
      <c r="H1133" t="str">
        <f>IF(INDEX(tblCleanData[WorkLifeBalance],1125)&lt;=2,"Elevated","Normal")</f>
        <v>Normal</v>
      </c>
      <c r="I1133">
        <f>IF(INDEX(tblCleanData[Age],1125)&lt;30,30,IF(INDEX(tblCleanData[Age],1125)&lt;40,20,IF(INDEX(tblCleanData[Age],1125)&lt;50,10,15)))</f>
        <v>20</v>
      </c>
      <c r="J1133">
        <f>IF(INDEX(tblCleanData[MonthlyIncome],1125)&lt;=$B$3,25,IF(INDEX(tblCleanData[MonthlyIncome],1125)&lt;=$B$4,12,5))</f>
        <v>5</v>
      </c>
      <c r="K1133">
        <f>IF(INDEX(tblCleanData[OverTime],1125)="Yes",25,0)</f>
        <v>0</v>
      </c>
      <c r="L1133">
        <f>(5-INDEX(tblCleanData[JobSatisfaction],1125))*6.25</f>
        <v>12.5</v>
      </c>
      <c r="M1133">
        <f>IF(INDEX(tblCleanData[YearsAtCompany],1125)&lt;=2,25,IF(INDEX(tblCleanData[YearsAtCompany],1125)&lt;=5,15,IF(INDEX(tblCleanData[YearsAtCompany],1125)&lt;=10,8,3)))</f>
        <v>8</v>
      </c>
      <c r="N1133">
        <f t="shared" si="34"/>
        <v>46</v>
      </c>
      <c r="O1133" t="str">
        <f t="shared" si="35"/>
        <v>Medium Risk</v>
      </c>
    </row>
    <row r="1134" spans="1:15" x14ac:dyDescent="0.25">
      <c r="A1134">
        <f>INDEX(tblCleanData[EmployeeNumber],1126)</f>
        <v>1590</v>
      </c>
      <c r="B1134" t="str">
        <f>IF(INDEX(tblCleanData[Age],1126)&lt;30,"Under 30",IF(INDEX(tblCleanData[Age],1126)&lt;40,"30-39",IF(INDEX(tblCleanData[Age],1126)&lt;50,"40-49","50+")))</f>
        <v>Under 30</v>
      </c>
      <c r="C1134" t="str">
        <f>IF(INDEX(tblCleanData[MonthlyIncome],1126)&lt;=$B$3,"Low Income",IF(INDEX(tblCleanData[MonthlyIncome],1126)&lt;=$B$4,"Medium Income","High Income"))</f>
        <v>High Income</v>
      </c>
      <c r="D1134">
        <f>IF(INDEX(tblCleanData[Attrition],1126)="Yes",1,0)</f>
        <v>0</v>
      </c>
      <c r="E1134">
        <f>IF(INDEX(tblCleanData[OverTime],1126)="Yes",1,0)</f>
        <v>0</v>
      </c>
      <c r="F1134" t="str">
        <f>CHOOSE(INDEX(tblCleanData[Education],1126),"Below College","College","Bachelor","Master","Doctor")</f>
        <v>Below College</v>
      </c>
      <c r="G1134" t="str">
        <f>IF(INDEX(tblCleanData[YearsAtCompany],1126)&lt;=2,"0-2 Years",IF(INDEX(tblCleanData[YearsAtCompany],1126)&lt;=5,"3-5 Years",IF(INDEX(tblCleanData[YearsAtCompany],1126)&lt;=10,"6-10 Years","10+ Years")))</f>
        <v>6-10 Years</v>
      </c>
      <c r="H1134" t="str">
        <f>IF(INDEX(tblCleanData[WorkLifeBalance],1126)&lt;=2,"Elevated","Normal")</f>
        <v>Normal</v>
      </c>
      <c r="I1134">
        <f>IF(INDEX(tblCleanData[Age],1126)&lt;30,30,IF(INDEX(tblCleanData[Age],1126)&lt;40,20,IF(INDEX(tblCleanData[Age],1126)&lt;50,10,15)))</f>
        <v>30</v>
      </c>
      <c r="J1134">
        <f>IF(INDEX(tblCleanData[MonthlyIncome],1126)&lt;=$B$3,25,IF(INDEX(tblCleanData[MonthlyIncome],1126)&lt;=$B$4,12,5))</f>
        <v>5</v>
      </c>
      <c r="K1134">
        <f>IF(INDEX(tblCleanData[OverTime],1126)="Yes",25,0)</f>
        <v>0</v>
      </c>
      <c r="L1134">
        <f>(5-INDEX(tblCleanData[JobSatisfaction],1126))*6.25</f>
        <v>6.25</v>
      </c>
      <c r="M1134">
        <f>IF(INDEX(tblCleanData[YearsAtCompany],1126)&lt;=2,25,IF(INDEX(tblCleanData[YearsAtCompany],1126)&lt;=5,15,IF(INDEX(tblCleanData[YearsAtCompany],1126)&lt;=10,8,3)))</f>
        <v>8</v>
      </c>
      <c r="N1134">
        <f t="shared" si="34"/>
        <v>49</v>
      </c>
      <c r="O1134" t="str">
        <f t="shared" si="35"/>
        <v>Medium Risk</v>
      </c>
    </row>
    <row r="1135" spans="1:15" x14ac:dyDescent="0.25">
      <c r="A1135">
        <f>INDEX(tblCleanData[EmployeeNumber],1127)</f>
        <v>1591</v>
      </c>
      <c r="B1135" t="str">
        <f>IF(INDEX(tblCleanData[Age],1127)&lt;30,"Under 30",IF(INDEX(tblCleanData[Age],1127)&lt;40,"30-39",IF(INDEX(tblCleanData[Age],1127)&lt;50,"40-49","50+")))</f>
        <v>50+</v>
      </c>
      <c r="C1135" t="str">
        <f>IF(INDEX(tblCleanData[MonthlyIncome],1127)&lt;=$B$3,"Low Income",IF(INDEX(tblCleanData[MonthlyIncome],1127)&lt;=$B$4,"Medium Income","High Income"))</f>
        <v>High Income</v>
      </c>
      <c r="D1135">
        <f>IF(INDEX(tblCleanData[Attrition],1127)="Yes",1,0)</f>
        <v>0</v>
      </c>
      <c r="E1135">
        <f>IF(INDEX(tblCleanData[OverTime],1127)="Yes",1,0)</f>
        <v>1</v>
      </c>
      <c r="F1135" t="str">
        <f>CHOOSE(INDEX(tblCleanData[Education],1127),"Below College","College","Bachelor","Master","Doctor")</f>
        <v>Bachelor</v>
      </c>
      <c r="G1135" t="str">
        <f>IF(INDEX(tblCleanData[YearsAtCompany],1127)&lt;=2,"0-2 Years",IF(INDEX(tblCleanData[YearsAtCompany],1127)&lt;=5,"3-5 Years",IF(INDEX(tblCleanData[YearsAtCompany],1127)&lt;=10,"6-10 Years","10+ Years")))</f>
        <v>0-2 Years</v>
      </c>
      <c r="H1135" t="str">
        <f>IF(INDEX(tblCleanData[WorkLifeBalance],1127)&lt;=2,"Elevated","Normal")</f>
        <v>Normal</v>
      </c>
      <c r="I1135">
        <f>IF(INDEX(tblCleanData[Age],1127)&lt;30,30,IF(INDEX(tblCleanData[Age],1127)&lt;40,20,IF(INDEX(tblCleanData[Age],1127)&lt;50,10,15)))</f>
        <v>15</v>
      </c>
      <c r="J1135">
        <f>IF(INDEX(tblCleanData[MonthlyIncome],1127)&lt;=$B$3,25,IF(INDEX(tblCleanData[MonthlyIncome],1127)&lt;=$B$4,12,5))</f>
        <v>5</v>
      </c>
      <c r="K1135">
        <f>IF(INDEX(tblCleanData[OverTime],1127)="Yes",25,0)</f>
        <v>25</v>
      </c>
      <c r="L1135">
        <f>(5-INDEX(tblCleanData[JobSatisfaction],1127))*6.25</f>
        <v>12.5</v>
      </c>
      <c r="M1135">
        <f>IF(INDEX(tblCleanData[YearsAtCompany],1127)&lt;=2,25,IF(INDEX(tblCleanData[YearsAtCompany],1127)&lt;=5,15,IF(INDEX(tblCleanData[YearsAtCompany],1127)&lt;=10,8,3)))</f>
        <v>25</v>
      </c>
      <c r="N1135">
        <f t="shared" si="34"/>
        <v>83</v>
      </c>
      <c r="O1135" t="str">
        <f t="shared" si="35"/>
        <v>High Risk</v>
      </c>
    </row>
    <row r="1136" spans="1:15" x14ac:dyDescent="0.25">
      <c r="A1136">
        <f>INDEX(tblCleanData[EmployeeNumber],1128)</f>
        <v>1592</v>
      </c>
      <c r="B1136" t="str">
        <f>IF(INDEX(tblCleanData[Age],1128)&lt;30,"Under 30",IF(INDEX(tblCleanData[Age],1128)&lt;40,"30-39",IF(INDEX(tblCleanData[Age],1128)&lt;50,"40-49","50+")))</f>
        <v>Under 30</v>
      </c>
      <c r="C1136" t="str">
        <f>IF(INDEX(tblCleanData[MonthlyIncome],1128)&lt;=$B$3,"Low Income",IF(INDEX(tblCleanData[MonthlyIncome],1128)&lt;=$B$4,"Medium Income","High Income"))</f>
        <v>High Income</v>
      </c>
      <c r="D1136">
        <f>IF(INDEX(tblCleanData[Attrition],1128)="Yes",1,0)</f>
        <v>0</v>
      </c>
      <c r="E1136">
        <f>IF(INDEX(tblCleanData[OverTime],1128)="Yes",1,0)</f>
        <v>0</v>
      </c>
      <c r="F1136" t="str">
        <f>CHOOSE(INDEX(tblCleanData[Education],1128),"Below College","College","Bachelor","Master","Doctor")</f>
        <v>Bachelor</v>
      </c>
      <c r="G1136" t="str">
        <f>IF(INDEX(tblCleanData[YearsAtCompany],1128)&lt;=2,"0-2 Years",IF(INDEX(tblCleanData[YearsAtCompany],1128)&lt;=5,"3-5 Years",IF(INDEX(tblCleanData[YearsAtCompany],1128)&lt;=10,"6-10 Years","10+ Years")))</f>
        <v>0-2 Years</v>
      </c>
      <c r="H1136" t="str">
        <f>IF(INDEX(tblCleanData[WorkLifeBalance],1128)&lt;=2,"Elevated","Normal")</f>
        <v>Normal</v>
      </c>
      <c r="I1136">
        <f>IF(INDEX(tblCleanData[Age],1128)&lt;30,30,IF(INDEX(tblCleanData[Age],1128)&lt;40,20,IF(INDEX(tblCleanData[Age],1128)&lt;50,10,15)))</f>
        <v>30</v>
      </c>
      <c r="J1136">
        <f>IF(INDEX(tblCleanData[MonthlyIncome],1128)&lt;=$B$3,25,IF(INDEX(tblCleanData[MonthlyIncome],1128)&lt;=$B$4,12,5))</f>
        <v>5</v>
      </c>
      <c r="K1136">
        <f>IF(INDEX(tblCleanData[OverTime],1128)="Yes",25,0)</f>
        <v>0</v>
      </c>
      <c r="L1136">
        <f>(5-INDEX(tblCleanData[JobSatisfaction],1128))*6.25</f>
        <v>12.5</v>
      </c>
      <c r="M1136">
        <f>IF(INDEX(tblCleanData[YearsAtCompany],1128)&lt;=2,25,IF(INDEX(tblCleanData[YearsAtCompany],1128)&lt;=5,15,IF(INDEX(tblCleanData[YearsAtCompany],1128)&lt;=10,8,3)))</f>
        <v>25</v>
      </c>
      <c r="N1136">
        <f t="shared" si="34"/>
        <v>73</v>
      </c>
      <c r="O1136" t="str">
        <f t="shared" si="35"/>
        <v>High Risk</v>
      </c>
    </row>
    <row r="1137" spans="1:15" x14ac:dyDescent="0.25">
      <c r="A1137">
        <f>INDEX(tblCleanData[EmployeeNumber],1129)</f>
        <v>1594</v>
      </c>
      <c r="B1137" t="str">
        <f>IF(INDEX(tblCleanData[Age],1129)&lt;30,"Under 30",IF(INDEX(tblCleanData[Age],1129)&lt;40,"30-39",IF(INDEX(tblCleanData[Age],1129)&lt;50,"40-49","50+")))</f>
        <v>30-39</v>
      </c>
      <c r="C1137" t="str">
        <f>IF(INDEX(tblCleanData[MonthlyIncome],1129)&lt;=$B$3,"Low Income",IF(INDEX(tblCleanData[MonthlyIncome],1129)&lt;=$B$4,"Medium Income","High Income"))</f>
        <v>High Income</v>
      </c>
      <c r="D1137">
        <f>IF(INDEX(tblCleanData[Attrition],1129)="Yes",1,0)</f>
        <v>0</v>
      </c>
      <c r="E1137">
        <f>IF(INDEX(tblCleanData[OverTime],1129)="Yes",1,0)</f>
        <v>1</v>
      </c>
      <c r="F1137" t="str">
        <f>CHOOSE(INDEX(tblCleanData[Education],1129),"Below College","College","Bachelor","Master","Doctor")</f>
        <v>Master</v>
      </c>
      <c r="G1137" t="str">
        <f>IF(INDEX(tblCleanData[YearsAtCompany],1129)&lt;=2,"0-2 Years",IF(INDEX(tblCleanData[YearsAtCompany],1129)&lt;=5,"3-5 Years",IF(INDEX(tblCleanData[YearsAtCompany],1129)&lt;=10,"6-10 Years","10+ Years")))</f>
        <v>3-5 Years</v>
      </c>
      <c r="H1137" t="str">
        <f>IF(INDEX(tblCleanData[WorkLifeBalance],1129)&lt;=2,"Elevated","Normal")</f>
        <v>Normal</v>
      </c>
      <c r="I1137">
        <f>IF(INDEX(tblCleanData[Age],1129)&lt;30,30,IF(INDEX(tblCleanData[Age],1129)&lt;40,20,IF(INDEX(tblCleanData[Age],1129)&lt;50,10,15)))</f>
        <v>20</v>
      </c>
      <c r="J1137">
        <f>IF(INDEX(tblCleanData[MonthlyIncome],1129)&lt;=$B$3,25,IF(INDEX(tblCleanData[MonthlyIncome],1129)&lt;=$B$4,12,5))</f>
        <v>5</v>
      </c>
      <c r="K1137">
        <f>IF(INDEX(tblCleanData[OverTime],1129)="Yes",25,0)</f>
        <v>25</v>
      </c>
      <c r="L1137">
        <f>(5-INDEX(tblCleanData[JobSatisfaction],1129))*6.25</f>
        <v>25</v>
      </c>
      <c r="M1137">
        <f>IF(INDEX(tblCleanData[YearsAtCompany],1129)&lt;=2,25,IF(INDEX(tblCleanData[YearsAtCompany],1129)&lt;=5,15,IF(INDEX(tblCleanData[YearsAtCompany],1129)&lt;=10,8,3)))</f>
        <v>15</v>
      </c>
      <c r="N1137">
        <f t="shared" si="34"/>
        <v>90</v>
      </c>
      <c r="O1137" t="str">
        <f t="shared" si="35"/>
        <v>High Risk</v>
      </c>
    </row>
    <row r="1138" spans="1:15" x14ac:dyDescent="0.25">
      <c r="A1138">
        <f>INDEX(tblCleanData[EmployeeNumber],1130)</f>
        <v>1595</v>
      </c>
      <c r="B1138" t="str">
        <f>IF(INDEX(tblCleanData[Age],1130)&lt;30,"Under 30",IF(INDEX(tblCleanData[Age],1130)&lt;40,"30-39",IF(INDEX(tblCleanData[Age],1130)&lt;50,"40-49","50+")))</f>
        <v>40-49</v>
      </c>
      <c r="C1138" t="str">
        <f>IF(INDEX(tblCleanData[MonthlyIncome],1130)&lt;=$B$3,"Low Income",IF(INDEX(tblCleanData[MonthlyIncome],1130)&lt;=$B$4,"Medium Income","High Income"))</f>
        <v>High Income</v>
      </c>
      <c r="D1138">
        <f>IF(INDEX(tblCleanData[Attrition],1130)="Yes",1,0)</f>
        <v>0</v>
      </c>
      <c r="E1138">
        <f>IF(INDEX(tblCleanData[OverTime],1130)="Yes",1,0)</f>
        <v>0</v>
      </c>
      <c r="F1138" t="str">
        <f>CHOOSE(INDEX(tblCleanData[Education],1130),"Below College","College","Bachelor","Master","Doctor")</f>
        <v>College</v>
      </c>
      <c r="G1138" t="str">
        <f>IF(INDEX(tblCleanData[YearsAtCompany],1130)&lt;=2,"0-2 Years",IF(INDEX(tblCleanData[YearsAtCompany],1130)&lt;=5,"3-5 Years",IF(INDEX(tblCleanData[YearsAtCompany],1130)&lt;=10,"6-10 Years","10+ Years")))</f>
        <v>0-2 Years</v>
      </c>
      <c r="H1138" t="str">
        <f>IF(INDEX(tblCleanData[WorkLifeBalance],1130)&lt;=2,"Elevated","Normal")</f>
        <v>Normal</v>
      </c>
      <c r="I1138">
        <f>IF(INDEX(tblCleanData[Age],1130)&lt;30,30,IF(INDEX(tblCleanData[Age],1130)&lt;40,20,IF(INDEX(tblCleanData[Age],1130)&lt;50,10,15)))</f>
        <v>10</v>
      </c>
      <c r="J1138">
        <f>IF(INDEX(tblCleanData[MonthlyIncome],1130)&lt;=$B$3,25,IF(INDEX(tblCleanData[MonthlyIncome],1130)&lt;=$B$4,12,5))</f>
        <v>5</v>
      </c>
      <c r="K1138">
        <f>IF(INDEX(tblCleanData[OverTime],1130)="Yes",25,0)</f>
        <v>0</v>
      </c>
      <c r="L1138">
        <f>(5-INDEX(tblCleanData[JobSatisfaction],1130))*6.25</f>
        <v>6.25</v>
      </c>
      <c r="M1138">
        <f>IF(INDEX(tblCleanData[YearsAtCompany],1130)&lt;=2,25,IF(INDEX(tblCleanData[YearsAtCompany],1130)&lt;=5,15,IF(INDEX(tblCleanData[YearsAtCompany],1130)&lt;=10,8,3)))</f>
        <v>25</v>
      </c>
      <c r="N1138">
        <f t="shared" si="34"/>
        <v>46</v>
      </c>
      <c r="O1138" t="str">
        <f t="shared" si="35"/>
        <v>Medium Risk</v>
      </c>
    </row>
    <row r="1139" spans="1:15" x14ac:dyDescent="0.25">
      <c r="A1139">
        <f>INDEX(tblCleanData[EmployeeNumber],1131)</f>
        <v>1596</v>
      </c>
      <c r="B1139" t="str">
        <f>IF(INDEX(tblCleanData[Age],1131)&lt;30,"Under 30",IF(INDEX(tblCleanData[Age],1131)&lt;40,"30-39",IF(INDEX(tblCleanData[Age],1131)&lt;50,"40-49","50+")))</f>
        <v>30-39</v>
      </c>
      <c r="C1139" t="str">
        <f>IF(INDEX(tblCleanData[MonthlyIncome],1131)&lt;=$B$3,"Low Income",IF(INDEX(tblCleanData[MonthlyIncome],1131)&lt;=$B$4,"Medium Income","High Income"))</f>
        <v>High Income</v>
      </c>
      <c r="D1139">
        <f>IF(INDEX(tblCleanData[Attrition],1131)="Yes",1,0)</f>
        <v>0</v>
      </c>
      <c r="E1139">
        <f>IF(INDEX(tblCleanData[OverTime],1131)="Yes",1,0)</f>
        <v>0</v>
      </c>
      <c r="F1139" t="str">
        <f>CHOOSE(INDEX(tblCleanData[Education],1131),"Below College","College","Bachelor","Master","Doctor")</f>
        <v>Bachelor</v>
      </c>
      <c r="G1139" t="str">
        <f>IF(INDEX(tblCleanData[YearsAtCompany],1131)&lt;=2,"0-2 Years",IF(INDEX(tblCleanData[YearsAtCompany],1131)&lt;=5,"3-5 Years",IF(INDEX(tblCleanData[YearsAtCompany],1131)&lt;=10,"6-10 Years","10+ Years")))</f>
        <v>6-10 Years</v>
      </c>
      <c r="H1139" t="str">
        <f>IF(INDEX(tblCleanData[WorkLifeBalance],1131)&lt;=2,"Elevated","Normal")</f>
        <v>Elevated</v>
      </c>
      <c r="I1139">
        <f>IF(INDEX(tblCleanData[Age],1131)&lt;30,30,IF(INDEX(tblCleanData[Age],1131)&lt;40,20,IF(INDEX(tblCleanData[Age],1131)&lt;50,10,15)))</f>
        <v>20</v>
      </c>
      <c r="J1139">
        <f>IF(INDEX(tblCleanData[MonthlyIncome],1131)&lt;=$B$3,25,IF(INDEX(tblCleanData[MonthlyIncome],1131)&lt;=$B$4,12,5))</f>
        <v>5</v>
      </c>
      <c r="K1139">
        <f>IF(INDEX(tblCleanData[OverTime],1131)="Yes",25,0)</f>
        <v>0</v>
      </c>
      <c r="L1139">
        <f>(5-INDEX(tblCleanData[JobSatisfaction],1131))*6.25</f>
        <v>12.5</v>
      </c>
      <c r="M1139">
        <f>IF(INDEX(tblCleanData[YearsAtCompany],1131)&lt;=2,25,IF(INDEX(tblCleanData[YearsAtCompany],1131)&lt;=5,15,IF(INDEX(tblCleanData[YearsAtCompany],1131)&lt;=10,8,3)))</f>
        <v>8</v>
      </c>
      <c r="N1139">
        <f t="shared" si="34"/>
        <v>46</v>
      </c>
      <c r="O1139" t="str">
        <f t="shared" si="35"/>
        <v>Medium Risk</v>
      </c>
    </row>
    <row r="1140" spans="1:15" x14ac:dyDescent="0.25">
      <c r="A1140">
        <f>INDEX(tblCleanData[EmployeeNumber],1132)</f>
        <v>1597</v>
      </c>
      <c r="B1140" t="str">
        <f>IF(INDEX(tblCleanData[Age],1132)&lt;30,"Under 30",IF(INDEX(tblCleanData[Age],1132)&lt;40,"30-39",IF(INDEX(tblCleanData[Age],1132)&lt;50,"40-49","50+")))</f>
        <v>30-39</v>
      </c>
      <c r="C1140" t="str">
        <f>IF(INDEX(tblCleanData[MonthlyIncome],1132)&lt;=$B$3,"Low Income",IF(INDEX(tblCleanData[MonthlyIncome],1132)&lt;=$B$4,"Medium Income","High Income"))</f>
        <v>High Income</v>
      </c>
      <c r="D1140">
        <f>IF(INDEX(tblCleanData[Attrition],1132)="Yes",1,0)</f>
        <v>0</v>
      </c>
      <c r="E1140">
        <f>IF(INDEX(tblCleanData[OverTime],1132)="Yes",1,0)</f>
        <v>0</v>
      </c>
      <c r="F1140" t="str">
        <f>CHOOSE(INDEX(tblCleanData[Education],1132),"Below College","College","Bachelor","Master","Doctor")</f>
        <v>Master</v>
      </c>
      <c r="G1140" t="str">
        <f>IF(INDEX(tblCleanData[YearsAtCompany],1132)&lt;=2,"0-2 Years",IF(INDEX(tblCleanData[YearsAtCompany],1132)&lt;=5,"3-5 Years",IF(INDEX(tblCleanData[YearsAtCompany],1132)&lt;=10,"6-10 Years","10+ Years")))</f>
        <v>6-10 Years</v>
      </c>
      <c r="H1140" t="str">
        <f>IF(INDEX(tblCleanData[WorkLifeBalance],1132)&lt;=2,"Elevated","Normal")</f>
        <v>Elevated</v>
      </c>
      <c r="I1140">
        <f>IF(INDEX(tblCleanData[Age],1132)&lt;30,30,IF(INDEX(tblCleanData[Age],1132)&lt;40,20,IF(INDEX(tblCleanData[Age],1132)&lt;50,10,15)))</f>
        <v>20</v>
      </c>
      <c r="J1140">
        <f>IF(INDEX(tblCleanData[MonthlyIncome],1132)&lt;=$B$3,25,IF(INDEX(tblCleanData[MonthlyIncome],1132)&lt;=$B$4,12,5))</f>
        <v>5</v>
      </c>
      <c r="K1140">
        <f>IF(INDEX(tblCleanData[OverTime],1132)="Yes",25,0)</f>
        <v>0</v>
      </c>
      <c r="L1140">
        <f>(5-INDEX(tblCleanData[JobSatisfaction],1132))*6.25</f>
        <v>12.5</v>
      </c>
      <c r="M1140">
        <f>IF(INDEX(tblCleanData[YearsAtCompany],1132)&lt;=2,25,IF(INDEX(tblCleanData[YearsAtCompany],1132)&lt;=5,15,IF(INDEX(tblCleanData[YearsAtCompany],1132)&lt;=10,8,3)))</f>
        <v>8</v>
      </c>
      <c r="N1140">
        <f t="shared" si="34"/>
        <v>46</v>
      </c>
      <c r="O1140" t="str">
        <f t="shared" si="35"/>
        <v>Medium Risk</v>
      </c>
    </row>
    <row r="1141" spans="1:15" x14ac:dyDescent="0.25">
      <c r="A1141">
        <f>INDEX(tblCleanData[EmployeeNumber],1133)</f>
        <v>1598</v>
      </c>
      <c r="B1141" t="str">
        <f>IF(INDEX(tblCleanData[Age],1133)&lt;30,"Under 30",IF(INDEX(tblCleanData[Age],1133)&lt;40,"30-39",IF(INDEX(tblCleanData[Age],1133)&lt;50,"40-49","50+")))</f>
        <v>40-49</v>
      </c>
      <c r="C1141" t="str">
        <f>IF(INDEX(tblCleanData[MonthlyIncome],1133)&lt;=$B$3,"Low Income",IF(INDEX(tblCleanData[MonthlyIncome],1133)&lt;=$B$4,"Medium Income","High Income"))</f>
        <v>High Income</v>
      </c>
      <c r="D1141">
        <f>IF(INDEX(tblCleanData[Attrition],1133)="Yes",1,0)</f>
        <v>0</v>
      </c>
      <c r="E1141">
        <f>IF(INDEX(tblCleanData[OverTime],1133)="Yes",1,0)</f>
        <v>0</v>
      </c>
      <c r="F1141" t="str">
        <f>CHOOSE(INDEX(tblCleanData[Education],1133),"Below College","College","Bachelor","Master","Doctor")</f>
        <v>College</v>
      </c>
      <c r="G1141" t="str">
        <f>IF(INDEX(tblCleanData[YearsAtCompany],1133)&lt;=2,"0-2 Years",IF(INDEX(tblCleanData[YearsAtCompany],1133)&lt;=5,"3-5 Years",IF(INDEX(tblCleanData[YearsAtCompany],1133)&lt;=10,"6-10 Years","10+ Years")))</f>
        <v>3-5 Years</v>
      </c>
      <c r="H1141" t="str">
        <f>IF(INDEX(tblCleanData[WorkLifeBalance],1133)&lt;=2,"Elevated","Normal")</f>
        <v>Normal</v>
      </c>
      <c r="I1141">
        <f>IF(INDEX(tblCleanData[Age],1133)&lt;30,30,IF(INDEX(tblCleanData[Age],1133)&lt;40,20,IF(INDEX(tblCleanData[Age],1133)&lt;50,10,15)))</f>
        <v>10</v>
      </c>
      <c r="J1141">
        <f>IF(INDEX(tblCleanData[MonthlyIncome],1133)&lt;=$B$3,25,IF(INDEX(tblCleanData[MonthlyIncome],1133)&lt;=$B$4,12,5))</f>
        <v>5</v>
      </c>
      <c r="K1141">
        <f>IF(INDEX(tblCleanData[OverTime],1133)="Yes",25,0)</f>
        <v>0</v>
      </c>
      <c r="L1141">
        <f>(5-INDEX(tblCleanData[JobSatisfaction],1133))*6.25</f>
        <v>25</v>
      </c>
      <c r="M1141">
        <f>IF(INDEX(tblCleanData[YearsAtCompany],1133)&lt;=2,25,IF(INDEX(tblCleanData[YearsAtCompany],1133)&lt;=5,15,IF(INDEX(tblCleanData[YearsAtCompany],1133)&lt;=10,8,3)))</f>
        <v>15</v>
      </c>
      <c r="N1141">
        <f t="shared" si="34"/>
        <v>55</v>
      </c>
      <c r="O1141" t="str">
        <f t="shared" si="35"/>
        <v>High Risk</v>
      </c>
    </row>
    <row r="1142" spans="1:15" x14ac:dyDescent="0.25">
      <c r="A1142">
        <f>INDEX(tblCleanData[EmployeeNumber],1134)</f>
        <v>1599</v>
      </c>
      <c r="B1142" t="str">
        <f>IF(INDEX(tblCleanData[Age],1134)&lt;30,"Under 30",IF(INDEX(tblCleanData[Age],1134)&lt;40,"30-39",IF(INDEX(tblCleanData[Age],1134)&lt;50,"40-49","50+")))</f>
        <v>40-49</v>
      </c>
      <c r="C1142" t="str">
        <f>IF(INDEX(tblCleanData[MonthlyIncome],1134)&lt;=$B$3,"Low Income",IF(INDEX(tblCleanData[MonthlyIncome],1134)&lt;=$B$4,"Medium Income","High Income"))</f>
        <v>High Income</v>
      </c>
      <c r="D1142">
        <f>IF(INDEX(tblCleanData[Attrition],1134)="Yes",1,0)</f>
        <v>0</v>
      </c>
      <c r="E1142">
        <f>IF(INDEX(tblCleanData[OverTime],1134)="Yes",1,0)</f>
        <v>0</v>
      </c>
      <c r="F1142" t="str">
        <f>CHOOSE(INDEX(tblCleanData[Education],1134),"Below College","College","Bachelor","Master","Doctor")</f>
        <v>Bachelor</v>
      </c>
      <c r="G1142" t="str">
        <f>IF(INDEX(tblCleanData[YearsAtCompany],1134)&lt;=2,"0-2 Years",IF(INDEX(tblCleanData[YearsAtCompany],1134)&lt;=5,"3-5 Years",IF(INDEX(tblCleanData[YearsAtCompany],1134)&lt;=10,"6-10 Years","10+ Years")))</f>
        <v>6-10 Years</v>
      </c>
      <c r="H1142" t="str">
        <f>IF(INDEX(tblCleanData[WorkLifeBalance],1134)&lt;=2,"Elevated","Normal")</f>
        <v>Normal</v>
      </c>
      <c r="I1142">
        <f>IF(INDEX(tblCleanData[Age],1134)&lt;30,30,IF(INDEX(tblCleanData[Age],1134)&lt;40,20,IF(INDEX(tblCleanData[Age],1134)&lt;50,10,15)))</f>
        <v>10</v>
      </c>
      <c r="J1142">
        <f>IF(INDEX(tblCleanData[MonthlyIncome],1134)&lt;=$B$3,25,IF(INDEX(tblCleanData[MonthlyIncome],1134)&lt;=$B$4,12,5))</f>
        <v>5</v>
      </c>
      <c r="K1142">
        <f>IF(INDEX(tblCleanData[OverTime],1134)="Yes",25,0)</f>
        <v>0</v>
      </c>
      <c r="L1142">
        <f>(5-INDEX(tblCleanData[JobSatisfaction],1134))*6.25</f>
        <v>18.75</v>
      </c>
      <c r="M1142">
        <f>IF(INDEX(tblCleanData[YearsAtCompany],1134)&lt;=2,25,IF(INDEX(tblCleanData[YearsAtCompany],1134)&lt;=5,15,IF(INDEX(tblCleanData[YearsAtCompany],1134)&lt;=10,8,3)))</f>
        <v>8</v>
      </c>
      <c r="N1142">
        <f t="shared" si="34"/>
        <v>42</v>
      </c>
      <c r="O1142" t="str">
        <f t="shared" si="35"/>
        <v>Medium Risk</v>
      </c>
    </row>
    <row r="1143" spans="1:15" x14ac:dyDescent="0.25">
      <c r="A1143">
        <f>INDEX(tblCleanData[EmployeeNumber],1135)</f>
        <v>1601</v>
      </c>
      <c r="B1143" t="str">
        <f>IF(INDEX(tblCleanData[Age],1135)&lt;30,"Under 30",IF(INDEX(tblCleanData[Age],1135)&lt;40,"30-39",IF(INDEX(tblCleanData[Age],1135)&lt;50,"40-49","50+")))</f>
        <v>30-39</v>
      </c>
      <c r="C1143" t="str">
        <f>IF(INDEX(tblCleanData[MonthlyIncome],1135)&lt;=$B$3,"Low Income",IF(INDEX(tblCleanData[MonthlyIncome],1135)&lt;=$B$4,"Medium Income","High Income"))</f>
        <v>High Income</v>
      </c>
      <c r="D1143">
        <f>IF(INDEX(tblCleanData[Attrition],1135)="Yes",1,0)</f>
        <v>0</v>
      </c>
      <c r="E1143">
        <f>IF(INDEX(tblCleanData[OverTime],1135)="Yes",1,0)</f>
        <v>0</v>
      </c>
      <c r="F1143" t="str">
        <f>CHOOSE(INDEX(tblCleanData[Education],1135),"Below College","College","Bachelor","Master","Doctor")</f>
        <v>College</v>
      </c>
      <c r="G1143" t="str">
        <f>IF(INDEX(tblCleanData[YearsAtCompany],1135)&lt;=2,"0-2 Years",IF(INDEX(tblCleanData[YearsAtCompany],1135)&lt;=5,"3-5 Years",IF(INDEX(tblCleanData[YearsAtCompany],1135)&lt;=10,"6-10 Years","10+ Years")))</f>
        <v>0-2 Years</v>
      </c>
      <c r="H1143" t="str">
        <f>IF(INDEX(tblCleanData[WorkLifeBalance],1135)&lt;=2,"Elevated","Normal")</f>
        <v>Elevated</v>
      </c>
      <c r="I1143">
        <f>IF(INDEX(tblCleanData[Age],1135)&lt;30,30,IF(INDEX(tblCleanData[Age],1135)&lt;40,20,IF(INDEX(tblCleanData[Age],1135)&lt;50,10,15)))</f>
        <v>20</v>
      </c>
      <c r="J1143">
        <f>IF(INDEX(tblCleanData[MonthlyIncome],1135)&lt;=$B$3,25,IF(INDEX(tblCleanData[MonthlyIncome],1135)&lt;=$B$4,12,5))</f>
        <v>5</v>
      </c>
      <c r="K1143">
        <f>IF(INDEX(tblCleanData[OverTime],1135)="Yes",25,0)</f>
        <v>0</v>
      </c>
      <c r="L1143">
        <f>(5-INDEX(tblCleanData[JobSatisfaction],1135))*6.25</f>
        <v>6.25</v>
      </c>
      <c r="M1143">
        <f>IF(INDEX(tblCleanData[YearsAtCompany],1135)&lt;=2,25,IF(INDEX(tblCleanData[YearsAtCompany],1135)&lt;=5,15,IF(INDEX(tblCleanData[YearsAtCompany],1135)&lt;=10,8,3)))</f>
        <v>25</v>
      </c>
      <c r="N1143">
        <f t="shared" si="34"/>
        <v>56</v>
      </c>
      <c r="O1143" t="str">
        <f t="shared" si="35"/>
        <v>High Risk</v>
      </c>
    </row>
    <row r="1144" spans="1:15" x14ac:dyDescent="0.25">
      <c r="A1144">
        <f>INDEX(tblCleanData[EmployeeNumber],1136)</f>
        <v>1602</v>
      </c>
      <c r="B1144" t="str">
        <f>IF(INDEX(tblCleanData[Age],1136)&lt;30,"Under 30",IF(INDEX(tblCleanData[Age],1136)&lt;40,"30-39",IF(INDEX(tblCleanData[Age],1136)&lt;50,"40-49","50+")))</f>
        <v>40-49</v>
      </c>
      <c r="C1144" t="str">
        <f>IF(INDEX(tblCleanData[MonthlyIncome],1136)&lt;=$B$3,"Low Income",IF(INDEX(tblCleanData[MonthlyIncome],1136)&lt;=$B$4,"Medium Income","High Income"))</f>
        <v>High Income</v>
      </c>
      <c r="D1144">
        <f>IF(INDEX(tblCleanData[Attrition],1136)="Yes",1,0)</f>
        <v>0</v>
      </c>
      <c r="E1144">
        <f>IF(INDEX(tblCleanData[OverTime],1136)="Yes",1,0)</f>
        <v>0</v>
      </c>
      <c r="F1144" t="str">
        <f>CHOOSE(INDEX(tblCleanData[Education],1136),"Below College","College","Bachelor","Master","Doctor")</f>
        <v>Master</v>
      </c>
      <c r="G1144" t="str">
        <f>IF(INDEX(tblCleanData[YearsAtCompany],1136)&lt;=2,"0-2 Years",IF(INDEX(tblCleanData[YearsAtCompany],1136)&lt;=5,"3-5 Years",IF(INDEX(tblCleanData[YearsAtCompany],1136)&lt;=10,"6-10 Years","10+ Years")))</f>
        <v>10+ Years</v>
      </c>
      <c r="H1144" t="str">
        <f>IF(INDEX(tblCleanData[WorkLifeBalance],1136)&lt;=2,"Elevated","Normal")</f>
        <v>Elevated</v>
      </c>
      <c r="I1144">
        <f>IF(INDEX(tblCleanData[Age],1136)&lt;30,30,IF(INDEX(tblCleanData[Age],1136)&lt;40,20,IF(INDEX(tblCleanData[Age],1136)&lt;50,10,15)))</f>
        <v>10</v>
      </c>
      <c r="J1144">
        <f>IF(INDEX(tblCleanData[MonthlyIncome],1136)&lt;=$B$3,25,IF(INDEX(tblCleanData[MonthlyIncome],1136)&lt;=$B$4,12,5))</f>
        <v>5</v>
      </c>
      <c r="K1144">
        <f>IF(INDEX(tblCleanData[OverTime],1136)="Yes",25,0)</f>
        <v>0</v>
      </c>
      <c r="L1144">
        <f>(5-INDEX(tblCleanData[JobSatisfaction],1136))*6.25</f>
        <v>25</v>
      </c>
      <c r="M1144">
        <f>IF(INDEX(tblCleanData[YearsAtCompany],1136)&lt;=2,25,IF(INDEX(tblCleanData[YearsAtCompany],1136)&lt;=5,15,IF(INDEX(tblCleanData[YearsAtCompany],1136)&lt;=10,8,3)))</f>
        <v>3</v>
      </c>
      <c r="N1144">
        <f t="shared" si="34"/>
        <v>43</v>
      </c>
      <c r="O1144" t="str">
        <f t="shared" si="35"/>
        <v>Medium Risk</v>
      </c>
    </row>
    <row r="1145" spans="1:15" x14ac:dyDescent="0.25">
      <c r="A1145">
        <f>INDEX(tblCleanData[EmployeeNumber],1137)</f>
        <v>1604</v>
      </c>
      <c r="B1145" t="str">
        <f>IF(INDEX(tblCleanData[Age],1137)&lt;30,"Under 30",IF(INDEX(tblCleanData[Age],1137)&lt;40,"30-39",IF(INDEX(tblCleanData[Age],1137)&lt;50,"40-49","50+")))</f>
        <v>Under 30</v>
      </c>
      <c r="C1145" t="str">
        <f>IF(INDEX(tblCleanData[MonthlyIncome],1137)&lt;=$B$3,"Low Income",IF(INDEX(tblCleanData[MonthlyIncome],1137)&lt;=$B$4,"Medium Income","High Income"))</f>
        <v>High Income</v>
      </c>
      <c r="D1145">
        <f>IF(INDEX(tblCleanData[Attrition],1137)="Yes",1,0)</f>
        <v>1</v>
      </c>
      <c r="E1145">
        <f>IF(INDEX(tblCleanData[OverTime],1137)="Yes",1,0)</f>
        <v>1</v>
      </c>
      <c r="F1145" t="str">
        <f>CHOOSE(INDEX(tblCleanData[Education],1137),"Below College","College","Bachelor","Master","Doctor")</f>
        <v>Bachelor</v>
      </c>
      <c r="G1145" t="str">
        <f>IF(INDEX(tblCleanData[YearsAtCompany],1137)&lt;=2,"0-2 Years",IF(INDEX(tblCleanData[YearsAtCompany],1137)&lt;=5,"3-5 Years",IF(INDEX(tblCleanData[YearsAtCompany],1137)&lt;=10,"6-10 Years","10+ Years")))</f>
        <v>0-2 Years</v>
      </c>
      <c r="H1145" t="str">
        <f>IF(INDEX(tblCleanData[WorkLifeBalance],1137)&lt;=2,"Elevated","Normal")</f>
        <v>Normal</v>
      </c>
      <c r="I1145">
        <f>IF(INDEX(tblCleanData[Age],1137)&lt;30,30,IF(INDEX(tblCleanData[Age],1137)&lt;40,20,IF(INDEX(tblCleanData[Age],1137)&lt;50,10,15)))</f>
        <v>30</v>
      </c>
      <c r="J1145">
        <f>IF(INDEX(tblCleanData[MonthlyIncome],1137)&lt;=$B$3,25,IF(INDEX(tblCleanData[MonthlyIncome],1137)&lt;=$B$4,12,5))</f>
        <v>5</v>
      </c>
      <c r="K1145">
        <f>IF(INDEX(tblCleanData[OverTime],1137)="Yes",25,0)</f>
        <v>25</v>
      </c>
      <c r="L1145">
        <f>(5-INDEX(tblCleanData[JobSatisfaction],1137))*6.25</f>
        <v>18.75</v>
      </c>
      <c r="M1145">
        <f>IF(INDEX(tblCleanData[YearsAtCompany],1137)&lt;=2,25,IF(INDEX(tblCleanData[YearsAtCompany],1137)&lt;=5,15,IF(INDEX(tblCleanData[YearsAtCompany],1137)&lt;=10,8,3)))</f>
        <v>25</v>
      </c>
      <c r="N1145">
        <f t="shared" si="34"/>
        <v>104</v>
      </c>
      <c r="O1145" t="str">
        <f t="shared" si="35"/>
        <v>High Risk</v>
      </c>
    </row>
    <row r="1146" spans="1:15" x14ac:dyDescent="0.25">
      <c r="A1146">
        <f>INDEX(tblCleanData[EmployeeNumber],1138)</f>
        <v>1605</v>
      </c>
      <c r="B1146" t="str">
        <f>IF(INDEX(tblCleanData[Age],1138)&lt;30,"Under 30",IF(INDEX(tblCleanData[Age],1138)&lt;40,"30-39",IF(INDEX(tblCleanData[Age],1138)&lt;50,"40-49","50+")))</f>
        <v>Under 30</v>
      </c>
      <c r="C1146" t="str">
        <f>IF(INDEX(tblCleanData[MonthlyIncome],1138)&lt;=$B$3,"Low Income",IF(INDEX(tblCleanData[MonthlyIncome],1138)&lt;=$B$4,"Medium Income","High Income"))</f>
        <v>High Income</v>
      </c>
      <c r="D1146">
        <f>IF(INDEX(tblCleanData[Attrition],1138)="Yes",1,0)</f>
        <v>0</v>
      </c>
      <c r="E1146">
        <f>IF(INDEX(tblCleanData[OverTime],1138)="Yes",1,0)</f>
        <v>1</v>
      </c>
      <c r="F1146" t="str">
        <f>CHOOSE(INDEX(tblCleanData[Education],1138),"Below College","College","Bachelor","Master","Doctor")</f>
        <v>College</v>
      </c>
      <c r="G1146" t="str">
        <f>IF(INDEX(tblCleanData[YearsAtCompany],1138)&lt;=2,"0-2 Years",IF(INDEX(tblCleanData[YearsAtCompany],1138)&lt;=5,"3-5 Years",IF(INDEX(tblCleanData[YearsAtCompany],1138)&lt;=10,"6-10 Years","10+ Years")))</f>
        <v>3-5 Years</v>
      </c>
      <c r="H1146" t="str">
        <f>IF(INDEX(tblCleanData[WorkLifeBalance],1138)&lt;=2,"Elevated","Normal")</f>
        <v>Elevated</v>
      </c>
      <c r="I1146">
        <f>IF(INDEX(tblCleanData[Age],1138)&lt;30,30,IF(INDEX(tblCleanData[Age],1138)&lt;40,20,IF(INDEX(tblCleanData[Age],1138)&lt;50,10,15)))</f>
        <v>30</v>
      </c>
      <c r="J1146">
        <f>IF(INDEX(tblCleanData[MonthlyIncome],1138)&lt;=$B$3,25,IF(INDEX(tblCleanData[MonthlyIncome],1138)&lt;=$B$4,12,5))</f>
        <v>5</v>
      </c>
      <c r="K1146">
        <f>IF(INDEX(tblCleanData[OverTime],1138)="Yes",25,0)</f>
        <v>25</v>
      </c>
      <c r="L1146">
        <f>(5-INDEX(tblCleanData[JobSatisfaction],1138))*6.25</f>
        <v>12.5</v>
      </c>
      <c r="M1146">
        <f>IF(INDEX(tblCleanData[YearsAtCompany],1138)&lt;=2,25,IF(INDEX(tblCleanData[YearsAtCompany],1138)&lt;=5,15,IF(INDEX(tblCleanData[YearsAtCompany],1138)&lt;=10,8,3)))</f>
        <v>15</v>
      </c>
      <c r="N1146">
        <f t="shared" si="34"/>
        <v>88</v>
      </c>
      <c r="O1146" t="str">
        <f t="shared" si="35"/>
        <v>High Risk</v>
      </c>
    </row>
    <row r="1147" spans="1:15" x14ac:dyDescent="0.25">
      <c r="A1147">
        <f>INDEX(tblCleanData[EmployeeNumber],1139)</f>
        <v>1606</v>
      </c>
      <c r="B1147" t="str">
        <f>IF(INDEX(tblCleanData[Age],1139)&lt;30,"Under 30",IF(INDEX(tblCleanData[Age],1139)&lt;40,"30-39",IF(INDEX(tblCleanData[Age],1139)&lt;50,"40-49","50+")))</f>
        <v>50+</v>
      </c>
      <c r="C1147" t="str">
        <f>IF(INDEX(tblCleanData[MonthlyIncome],1139)&lt;=$B$3,"Low Income",IF(INDEX(tblCleanData[MonthlyIncome],1139)&lt;=$B$4,"Medium Income","High Income"))</f>
        <v>High Income</v>
      </c>
      <c r="D1147">
        <f>IF(INDEX(tblCleanData[Attrition],1139)="Yes",1,0)</f>
        <v>0</v>
      </c>
      <c r="E1147">
        <f>IF(INDEX(tblCleanData[OverTime],1139)="Yes",1,0)</f>
        <v>1</v>
      </c>
      <c r="F1147" t="str">
        <f>CHOOSE(INDEX(tblCleanData[Education],1139),"Below College","College","Bachelor","Master","Doctor")</f>
        <v>Doctor</v>
      </c>
      <c r="G1147" t="str">
        <f>IF(INDEX(tblCleanData[YearsAtCompany],1139)&lt;=2,"0-2 Years",IF(INDEX(tblCleanData[YearsAtCompany],1139)&lt;=5,"3-5 Years",IF(INDEX(tblCleanData[YearsAtCompany],1139)&lt;=10,"6-10 Years","10+ Years")))</f>
        <v>10+ Years</v>
      </c>
      <c r="H1147" t="str">
        <f>IF(INDEX(tblCleanData[WorkLifeBalance],1139)&lt;=2,"Elevated","Normal")</f>
        <v>Normal</v>
      </c>
      <c r="I1147">
        <f>IF(INDEX(tblCleanData[Age],1139)&lt;30,30,IF(INDEX(tblCleanData[Age],1139)&lt;40,20,IF(INDEX(tblCleanData[Age],1139)&lt;50,10,15)))</f>
        <v>15</v>
      </c>
      <c r="J1147">
        <f>IF(INDEX(tblCleanData[MonthlyIncome],1139)&lt;=$B$3,25,IF(INDEX(tblCleanData[MonthlyIncome],1139)&lt;=$B$4,12,5))</f>
        <v>5</v>
      </c>
      <c r="K1147">
        <f>IF(INDEX(tblCleanData[OverTime],1139)="Yes",25,0)</f>
        <v>25</v>
      </c>
      <c r="L1147">
        <f>(5-INDEX(tblCleanData[JobSatisfaction],1139))*6.25</f>
        <v>12.5</v>
      </c>
      <c r="M1147">
        <f>IF(INDEX(tblCleanData[YearsAtCompany],1139)&lt;=2,25,IF(INDEX(tblCleanData[YearsAtCompany],1139)&lt;=5,15,IF(INDEX(tblCleanData[YearsAtCompany],1139)&lt;=10,8,3)))</f>
        <v>3</v>
      </c>
      <c r="N1147">
        <f t="shared" si="34"/>
        <v>61</v>
      </c>
      <c r="O1147" t="str">
        <f t="shared" si="35"/>
        <v>High Risk</v>
      </c>
    </row>
    <row r="1148" spans="1:15" x14ac:dyDescent="0.25">
      <c r="A1148">
        <f>INDEX(tblCleanData[EmployeeNumber],1140)</f>
        <v>1607</v>
      </c>
      <c r="B1148" t="str">
        <f>IF(INDEX(tblCleanData[Age],1140)&lt;30,"Under 30",IF(INDEX(tblCleanData[Age],1140)&lt;40,"30-39",IF(INDEX(tblCleanData[Age],1140)&lt;50,"40-49","50+")))</f>
        <v>30-39</v>
      </c>
      <c r="C1148" t="str">
        <f>IF(INDEX(tblCleanData[MonthlyIncome],1140)&lt;=$B$3,"Low Income",IF(INDEX(tblCleanData[MonthlyIncome],1140)&lt;=$B$4,"Medium Income","High Income"))</f>
        <v>High Income</v>
      </c>
      <c r="D1148">
        <f>IF(INDEX(tblCleanData[Attrition],1140)="Yes",1,0)</f>
        <v>0</v>
      </c>
      <c r="E1148">
        <f>IF(INDEX(tblCleanData[OverTime],1140)="Yes",1,0)</f>
        <v>0</v>
      </c>
      <c r="F1148" t="str">
        <f>CHOOSE(INDEX(tblCleanData[Education],1140),"Below College","College","Bachelor","Master","Doctor")</f>
        <v>Master</v>
      </c>
      <c r="G1148" t="str">
        <f>IF(INDEX(tblCleanData[YearsAtCompany],1140)&lt;=2,"0-2 Years",IF(INDEX(tblCleanData[YearsAtCompany],1140)&lt;=5,"3-5 Years",IF(INDEX(tblCleanData[YearsAtCompany],1140)&lt;=10,"6-10 Years","10+ Years")))</f>
        <v>3-5 Years</v>
      </c>
      <c r="H1148" t="str">
        <f>IF(INDEX(tblCleanData[WorkLifeBalance],1140)&lt;=2,"Elevated","Normal")</f>
        <v>Normal</v>
      </c>
      <c r="I1148">
        <f>IF(INDEX(tblCleanData[Age],1140)&lt;30,30,IF(INDEX(tblCleanData[Age],1140)&lt;40,20,IF(INDEX(tblCleanData[Age],1140)&lt;50,10,15)))</f>
        <v>20</v>
      </c>
      <c r="J1148">
        <f>IF(INDEX(tblCleanData[MonthlyIncome],1140)&lt;=$B$3,25,IF(INDEX(tblCleanData[MonthlyIncome],1140)&lt;=$B$4,12,5))</f>
        <v>5</v>
      </c>
      <c r="K1148">
        <f>IF(INDEX(tblCleanData[OverTime],1140)="Yes",25,0)</f>
        <v>0</v>
      </c>
      <c r="L1148">
        <f>(5-INDEX(tblCleanData[JobSatisfaction],1140))*6.25</f>
        <v>6.25</v>
      </c>
      <c r="M1148">
        <f>IF(INDEX(tblCleanData[YearsAtCompany],1140)&lt;=2,25,IF(INDEX(tblCleanData[YearsAtCompany],1140)&lt;=5,15,IF(INDEX(tblCleanData[YearsAtCompany],1140)&lt;=10,8,3)))</f>
        <v>15</v>
      </c>
      <c r="N1148">
        <f t="shared" si="34"/>
        <v>46</v>
      </c>
      <c r="O1148" t="str">
        <f t="shared" si="35"/>
        <v>Medium Risk</v>
      </c>
    </row>
    <row r="1149" spans="1:15" x14ac:dyDescent="0.25">
      <c r="A1149">
        <f>INDEX(tblCleanData[EmployeeNumber],1141)</f>
        <v>1608</v>
      </c>
      <c r="B1149" t="str">
        <f>IF(INDEX(tblCleanData[Age],1141)&lt;30,"Under 30",IF(INDEX(tblCleanData[Age],1141)&lt;40,"30-39",IF(INDEX(tblCleanData[Age],1141)&lt;50,"40-49","50+")))</f>
        <v>40-49</v>
      </c>
      <c r="C1149" t="str">
        <f>IF(INDEX(tblCleanData[MonthlyIncome],1141)&lt;=$B$3,"Low Income",IF(INDEX(tblCleanData[MonthlyIncome],1141)&lt;=$B$4,"Medium Income","High Income"))</f>
        <v>High Income</v>
      </c>
      <c r="D1149">
        <f>IF(INDEX(tblCleanData[Attrition],1141)="Yes",1,0)</f>
        <v>0</v>
      </c>
      <c r="E1149">
        <f>IF(INDEX(tblCleanData[OverTime],1141)="Yes",1,0)</f>
        <v>1</v>
      </c>
      <c r="F1149" t="str">
        <f>CHOOSE(INDEX(tblCleanData[Education],1141),"Below College","College","Bachelor","Master","Doctor")</f>
        <v>Bachelor</v>
      </c>
      <c r="G1149" t="str">
        <f>IF(INDEX(tblCleanData[YearsAtCompany],1141)&lt;=2,"0-2 Years",IF(INDEX(tblCleanData[YearsAtCompany],1141)&lt;=5,"3-5 Years",IF(INDEX(tblCleanData[YearsAtCompany],1141)&lt;=10,"6-10 Years","10+ Years")))</f>
        <v>10+ Years</v>
      </c>
      <c r="H1149" t="str">
        <f>IF(INDEX(tblCleanData[WorkLifeBalance],1141)&lt;=2,"Elevated","Normal")</f>
        <v>Elevated</v>
      </c>
      <c r="I1149">
        <f>IF(INDEX(tblCleanData[Age],1141)&lt;30,30,IF(INDEX(tblCleanData[Age],1141)&lt;40,20,IF(INDEX(tblCleanData[Age],1141)&lt;50,10,15)))</f>
        <v>10</v>
      </c>
      <c r="J1149">
        <f>IF(INDEX(tblCleanData[MonthlyIncome],1141)&lt;=$B$3,25,IF(INDEX(tblCleanData[MonthlyIncome],1141)&lt;=$B$4,12,5))</f>
        <v>5</v>
      </c>
      <c r="K1149">
        <f>IF(INDEX(tblCleanData[OverTime],1141)="Yes",25,0)</f>
        <v>25</v>
      </c>
      <c r="L1149">
        <f>(5-INDEX(tblCleanData[JobSatisfaction],1141))*6.25</f>
        <v>6.25</v>
      </c>
      <c r="M1149">
        <f>IF(INDEX(tblCleanData[YearsAtCompany],1141)&lt;=2,25,IF(INDEX(tblCleanData[YearsAtCompany],1141)&lt;=5,15,IF(INDEX(tblCleanData[YearsAtCompany],1141)&lt;=10,8,3)))</f>
        <v>3</v>
      </c>
      <c r="N1149">
        <f t="shared" si="34"/>
        <v>49</v>
      </c>
      <c r="O1149" t="str">
        <f t="shared" si="35"/>
        <v>Medium Risk</v>
      </c>
    </row>
    <row r="1150" spans="1:15" x14ac:dyDescent="0.25">
      <c r="A1150">
        <f>INDEX(tblCleanData[EmployeeNumber],1142)</f>
        <v>1609</v>
      </c>
      <c r="B1150" t="str">
        <f>IF(INDEX(tblCleanData[Age],1142)&lt;30,"Under 30",IF(INDEX(tblCleanData[Age],1142)&lt;40,"30-39",IF(INDEX(tblCleanData[Age],1142)&lt;50,"40-49","50+")))</f>
        <v>30-39</v>
      </c>
      <c r="C1150" t="str">
        <f>IF(INDEX(tblCleanData[MonthlyIncome],1142)&lt;=$B$3,"Low Income",IF(INDEX(tblCleanData[MonthlyIncome],1142)&lt;=$B$4,"Medium Income","High Income"))</f>
        <v>High Income</v>
      </c>
      <c r="D1150">
        <f>IF(INDEX(tblCleanData[Attrition],1142)="Yes",1,0)</f>
        <v>0</v>
      </c>
      <c r="E1150">
        <f>IF(INDEX(tblCleanData[OverTime],1142)="Yes",1,0)</f>
        <v>0</v>
      </c>
      <c r="F1150" t="str">
        <f>CHOOSE(INDEX(tblCleanData[Education],1142),"Below College","College","Bachelor","Master","Doctor")</f>
        <v>Bachelor</v>
      </c>
      <c r="G1150" t="str">
        <f>IF(INDEX(tblCleanData[YearsAtCompany],1142)&lt;=2,"0-2 Years",IF(INDEX(tblCleanData[YearsAtCompany],1142)&lt;=5,"3-5 Years",IF(INDEX(tblCleanData[YearsAtCompany],1142)&lt;=10,"6-10 Years","10+ Years")))</f>
        <v>6-10 Years</v>
      </c>
      <c r="H1150" t="str">
        <f>IF(INDEX(tblCleanData[WorkLifeBalance],1142)&lt;=2,"Elevated","Normal")</f>
        <v>Elevated</v>
      </c>
      <c r="I1150">
        <f>IF(INDEX(tblCleanData[Age],1142)&lt;30,30,IF(INDEX(tblCleanData[Age],1142)&lt;40,20,IF(INDEX(tblCleanData[Age],1142)&lt;50,10,15)))</f>
        <v>20</v>
      </c>
      <c r="J1150">
        <f>IF(INDEX(tblCleanData[MonthlyIncome],1142)&lt;=$B$3,25,IF(INDEX(tblCleanData[MonthlyIncome],1142)&lt;=$B$4,12,5))</f>
        <v>5</v>
      </c>
      <c r="K1150">
        <f>IF(INDEX(tblCleanData[OverTime],1142)="Yes",25,0)</f>
        <v>0</v>
      </c>
      <c r="L1150">
        <f>(5-INDEX(tblCleanData[JobSatisfaction],1142))*6.25</f>
        <v>18.75</v>
      </c>
      <c r="M1150">
        <f>IF(INDEX(tblCleanData[YearsAtCompany],1142)&lt;=2,25,IF(INDEX(tblCleanData[YearsAtCompany],1142)&lt;=5,15,IF(INDEX(tblCleanData[YearsAtCompany],1142)&lt;=10,8,3)))</f>
        <v>8</v>
      </c>
      <c r="N1150">
        <f t="shared" si="34"/>
        <v>52</v>
      </c>
      <c r="O1150" t="str">
        <f t="shared" si="35"/>
        <v>Medium Risk</v>
      </c>
    </row>
    <row r="1151" spans="1:15" x14ac:dyDescent="0.25">
      <c r="A1151">
        <f>INDEX(tblCleanData[EmployeeNumber],1143)</f>
        <v>1611</v>
      </c>
      <c r="B1151" t="str">
        <f>IF(INDEX(tblCleanData[Age],1143)&lt;30,"Under 30",IF(INDEX(tblCleanData[Age],1143)&lt;40,"30-39",IF(INDEX(tblCleanData[Age],1143)&lt;50,"40-49","50+")))</f>
        <v>40-49</v>
      </c>
      <c r="C1151" t="str">
        <f>IF(INDEX(tblCleanData[MonthlyIncome],1143)&lt;=$B$3,"Low Income",IF(INDEX(tblCleanData[MonthlyIncome],1143)&lt;=$B$4,"Medium Income","High Income"))</f>
        <v>High Income</v>
      </c>
      <c r="D1151">
        <f>IF(INDEX(tblCleanData[Attrition],1143)="Yes",1,0)</f>
        <v>0</v>
      </c>
      <c r="E1151">
        <f>IF(INDEX(tblCleanData[OverTime],1143)="Yes",1,0)</f>
        <v>1</v>
      </c>
      <c r="F1151" t="str">
        <f>CHOOSE(INDEX(tblCleanData[Education],1143),"Below College","College","Bachelor","Master","Doctor")</f>
        <v>Doctor</v>
      </c>
      <c r="G1151" t="str">
        <f>IF(INDEX(tblCleanData[YearsAtCompany],1143)&lt;=2,"0-2 Years",IF(INDEX(tblCleanData[YearsAtCompany],1143)&lt;=5,"3-5 Years",IF(INDEX(tblCleanData[YearsAtCompany],1143)&lt;=10,"6-10 Years","10+ Years")))</f>
        <v>6-10 Years</v>
      </c>
      <c r="H1151" t="str">
        <f>IF(INDEX(tblCleanData[WorkLifeBalance],1143)&lt;=2,"Elevated","Normal")</f>
        <v>Normal</v>
      </c>
      <c r="I1151">
        <f>IF(INDEX(tblCleanData[Age],1143)&lt;30,30,IF(INDEX(tblCleanData[Age],1143)&lt;40,20,IF(INDEX(tblCleanData[Age],1143)&lt;50,10,15)))</f>
        <v>10</v>
      </c>
      <c r="J1151">
        <f>IF(INDEX(tblCleanData[MonthlyIncome],1143)&lt;=$B$3,25,IF(INDEX(tblCleanData[MonthlyIncome],1143)&lt;=$B$4,12,5))</f>
        <v>5</v>
      </c>
      <c r="K1151">
        <f>IF(INDEX(tblCleanData[OverTime],1143)="Yes",25,0)</f>
        <v>25</v>
      </c>
      <c r="L1151">
        <f>(5-INDEX(tblCleanData[JobSatisfaction],1143))*6.25</f>
        <v>25</v>
      </c>
      <c r="M1151">
        <f>IF(INDEX(tblCleanData[YearsAtCompany],1143)&lt;=2,25,IF(INDEX(tblCleanData[YearsAtCompany],1143)&lt;=5,15,IF(INDEX(tblCleanData[YearsAtCompany],1143)&lt;=10,8,3)))</f>
        <v>8</v>
      </c>
      <c r="N1151">
        <f t="shared" si="34"/>
        <v>73</v>
      </c>
      <c r="O1151" t="str">
        <f t="shared" si="35"/>
        <v>High Risk</v>
      </c>
    </row>
    <row r="1152" spans="1:15" x14ac:dyDescent="0.25">
      <c r="A1152">
        <f>INDEX(tblCleanData[EmployeeNumber],1144)</f>
        <v>1612</v>
      </c>
      <c r="B1152" t="str">
        <f>IF(INDEX(tblCleanData[Age],1144)&lt;30,"Under 30",IF(INDEX(tblCleanData[Age],1144)&lt;40,"30-39",IF(INDEX(tblCleanData[Age],1144)&lt;50,"40-49","50+")))</f>
        <v>40-49</v>
      </c>
      <c r="C1152" t="str">
        <f>IF(INDEX(tblCleanData[MonthlyIncome],1144)&lt;=$B$3,"Low Income",IF(INDEX(tblCleanData[MonthlyIncome],1144)&lt;=$B$4,"Medium Income","High Income"))</f>
        <v>High Income</v>
      </c>
      <c r="D1152">
        <f>IF(INDEX(tblCleanData[Attrition],1144)="Yes",1,0)</f>
        <v>0</v>
      </c>
      <c r="E1152">
        <f>IF(INDEX(tblCleanData[OverTime],1144)="Yes",1,0)</f>
        <v>0</v>
      </c>
      <c r="F1152" t="str">
        <f>CHOOSE(INDEX(tblCleanData[Education],1144),"Below College","College","Bachelor","Master","Doctor")</f>
        <v>Bachelor</v>
      </c>
      <c r="G1152" t="str">
        <f>IF(INDEX(tblCleanData[YearsAtCompany],1144)&lt;=2,"0-2 Years",IF(INDEX(tblCleanData[YearsAtCompany],1144)&lt;=5,"3-5 Years",IF(INDEX(tblCleanData[YearsAtCompany],1144)&lt;=10,"6-10 Years","10+ Years")))</f>
        <v>6-10 Years</v>
      </c>
      <c r="H1152" t="str">
        <f>IF(INDEX(tblCleanData[WorkLifeBalance],1144)&lt;=2,"Elevated","Normal")</f>
        <v>Normal</v>
      </c>
      <c r="I1152">
        <f>IF(INDEX(tblCleanData[Age],1144)&lt;30,30,IF(INDEX(tblCleanData[Age],1144)&lt;40,20,IF(INDEX(tblCleanData[Age],1144)&lt;50,10,15)))</f>
        <v>10</v>
      </c>
      <c r="J1152">
        <f>IF(INDEX(tblCleanData[MonthlyIncome],1144)&lt;=$B$3,25,IF(INDEX(tblCleanData[MonthlyIncome],1144)&lt;=$B$4,12,5))</f>
        <v>5</v>
      </c>
      <c r="K1152">
        <f>IF(INDEX(tblCleanData[OverTime],1144)="Yes",25,0)</f>
        <v>0</v>
      </c>
      <c r="L1152">
        <f>(5-INDEX(tblCleanData[JobSatisfaction],1144))*6.25</f>
        <v>25</v>
      </c>
      <c r="M1152">
        <f>IF(INDEX(tblCleanData[YearsAtCompany],1144)&lt;=2,25,IF(INDEX(tblCleanData[YearsAtCompany],1144)&lt;=5,15,IF(INDEX(tblCleanData[YearsAtCompany],1144)&lt;=10,8,3)))</f>
        <v>8</v>
      </c>
      <c r="N1152">
        <f t="shared" si="34"/>
        <v>48</v>
      </c>
      <c r="O1152" t="str">
        <f t="shared" si="35"/>
        <v>Medium Risk</v>
      </c>
    </row>
    <row r="1153" spans="1:15" x14ac:dyDescent="0.25">
      <c r="A1153">
        <f>INDEX(tblCleanData[EmployeeNumber],1145)</f>
        <v>1613</v>
      </c>
      <c r="B1153" t="str">
        <f>IF(INDEX(tblCleanData[Age],1145)&lt;30,"Under 30",IF(INDEX(tblCleanData[Age],1145)&lt;40,"30-39",IF(INDEX(tblCleanData[Age],1145)&lt;50,"40-49","50+")))</f>
        <v>30-39</v>
      </c>
      <c r="C1153" t="str">
        <f>IF(INDEX(tblCleanData[MonthlyIncome],1145)&lt;=$B$3,"Low Income",IF(INDEX(tblCleanData[MonthlyIncome],1145)&lt;=$B$4,"Medium Income","High Income"))</f>
        <v>High Income</v>
      </c>
      <c r="D1153">
        <f>IF(INDEX(tblCleanData[Attrition],1145)="Yes",1,0)</f>
        <v>0</v>
      </c>
      <c r="E1153">
        <f>IF(INDEX(tblCleanData[OverTime],1145)="Yes",1,0)</f>
        <v>0</v>
      </c>
      <c r="F1153" t="str">
        <f>CHOOSE(INDEX(tblCleanData[Education],1145),"Below College","College","Bachelor","Master","Doctor")</f>
        <v>Master</v>
      </c>
      <c r="G1153" t="str">
        <f>IF(INDEX(tblCleanData[YearsAtCompany],1145)&lt;=2,"0-2 Years",IF(INDEX(tblCleanData[YearsAtCompany],1145)&lt;=5,"3-5 Years",IF(INDEX(tblCleanData[YearsAtCompany],1145)&lt;=10,"6-10 Years","10+ Years")))</f>
        <v>3-5 Years</v>
      </c>
      <c r="H1153" t="str">
        <f>IF(INDEX(tblCleanData[WorkLifeBalance],1145)&lt;=2,"Elevated","Normal")</f>
        <v>Normal</v>
      </c>
      <c r="I1153">
        <f>IF(INDEX(tblCleanData[Age],1145)&lt;30,30,IF(INDEX(tblCleanData[Age],1145)&lt;40,20,IF(INDEX(tblCleanData[Age],1145)&lt;50,10,15)))</f>
        <v>20</v>
      </c>
      <c r="J1153">
        <f>IF(INDEX(tblCleanData[MonthlyIncome],1145)&lt;=$B$3,25,IF(INDEX(tblCleanData[MonthlyIncome],1145)&lt;=$B$4,12,5))</f>
        <v>5</v>
      </c>
      <c r="K1153">
        <f>IF(INDEX(tblCleanData[OverTime],1145)="Yes",25,0)</f>
        <v>0</v>
      </c>
      <c r="L1153">
        <f>(5-INDEX(tblCleanData[JobSatisfaction],1145))*6.25</f>
        <v>25</v>
      </c>
      <c r="M1153">
        <f>IF(INDEX(tblCleanData[YearsAtCompany],1145)&lt;=2,25,IF(INDEX(tblCleanData[YearsAtCompany],1145)&lt;=5,15,IF(INDEX(tblCleanData[YearsAtCompany],1145)&lt;=10,8,3)))</f>
        <v>15</v>
      </c>
      <c r="N1153">
        <f t="shared" si="34"/>
        <v>65</v>
      </c>
      <c r="O1153" t="str">
        <f t="shared" si="35"/>
        <v>High Risk</v>
      </c>
    </row>
    <row r="1154" spans="1:15" x14ac:dyDescent="0.25">
      <c r="A1154">
        <f>INDEX(tblCleanData[EmployeeNumber],1146)</f>
        <v>1614</v>
      </c>
      <c r="B1154" t="str">
        <f>IF(INDEX(tblCleanData[Age],1146)&lt;30,"Under 30",IF(INDEX(tblCleanData[Age],1146)&lt;40,"30-39",IF(INDEX(tblCleanData[Age],1146)&lt;50,"40-49","50+")))</f>
        <v>30-39</v>
      </c>
      <c r="C1154" t="str">
        <f>IF(INDEX(tblCleanData[MonthlyIncome],1146)&lt;=$B$3,"Low Income",IF(INDEX(tblCleanData[MonthlyIncome],1146)&lt;=$B$4,"Medium Income","High Income"))</f>
        <v>High Income</v>
      </c>
      <c r="D1154">
        <f>IF(INDEX(tblCleanData[Attrition],1146)="Yes",1,0)</f>
        <v>0</v>
      </c>
      <c r="E1154">
        <f>IF(INDEX(tblCleanData[OverTime],1146)="Yes",1,0)</f>
        <v>1</v>
      </c>
      <c r="F1154" t="str">
        <f>CHOOSE(INDEX(tblCleanData[Education],1146),"Below College","College","Bachelor","Master","Doctor")</f>
        <v>Master</v>
      </c>
      <c r="G1154" t="str">
        <f>IF(INDEX(tblCleanData[YearsAtCompany],1146)&lt;=2,"0-2 Years",IF(INDEX(tblCleanData[YearsAtCompany],1146)&lt;=5,"3-5 Years",IF(INDEX(tblCleanData[YearsAtCompany],1146)&lt;=10,"6-10 Years","10+ Years")))</f>
        <v>3-5 Years</v>
      </c>
      <c r="H1154" t="str">
        <f>IF(INDEX(tblCleanData[WorkLifeBalance],1146)&lt;=2,"Elevated","Normal")</f>
        <v>Normal</v>
      </c>
      <c r="I1154">
        <f>IF(INDEX(tblCleanData[Age],1146)&lt;30,30,IF(INDEX(tblCleanData[Age],1146)&lt;40,20,IF(INDEX(tblCleanData[Age],1146)&lt;50,10,15)))</f>
        <v>20</v>
      </c>
      <c r="J1154">
        <f>IF(INDEX(tblCleanData[MonthlyIncome],1146)&lt;=$B$3,25,IF(INDEX(tblCleanData[MonthlyIncome],1146)&lt;=$B$4,12,5))</f>
        <v>5</v>
      </c>
      <c r="K1154">
        <f>IF(INDEX(tblCleanData[OverTime],1146)="Yes",25,0)</f>
        <v>25</v>
      </c>
      <c r="L1154">
        <f>(5-INDEX(tblCleanData[JobSatisfaction],1146))*6.25</f>
        <v>12.5</v>
      </c>
      <c r="M1154">
        <f>IF(INDEX(tblCleanData[YearsAtCompany],1146)&lt;=2,25,IF(INDEX(tblCleanData[YearsAtCompany],1146)&lt;=5,15,IF(INDEX(tblCleanData[YearsAtCompany],1146)&lt;=10,8,3)))</f>
        <v>15</v>
      </c>
      <c r="N1154">
        <f t="shared" si="34"/>
        <v>78</v>
      </c>
      <c r="O1154" t="str">
        <f t="shared" si="35"/>
        <v>High Risk</v>
      </c>
    </row>
    <row r="1155" spans="1:15" x14ac:dyDescent="0.25">
      <c r="A1155">
        <f>INDEX(tblCleanData[EmployeeNumber],1147)</f>
        <v>1615</v>
      </c>
      <c r="B1155" t="str">
        <f>IF(INDEX(tblCleanData[Age],1147)&lt;30,"Under 30",IF(INDEX(tblCleanData[Age],1147)&lt;40,"30-39",IF(INDEX(tblCleanData[Age],1147)&lt;50,"40-49","50+")))</f>
        <v>30-39</v>
      </c>
      <c r="C1155" t="str">
        <f>IF(INDEX(tblCleanData[MonthlyIncome],1147)&lt;=$B$3,"Low Income",IF(INDEX(tblCleanData[MonthlyIncome],1147)&lt;=$B$4,"Medium Income","High Income"))</f>
        <v>High Income</v>
      </c>
      <c r="D1155">
        <f>IF(INDEX(tblCleanData[Attrition],1147)="Yes",1,0)</f>
        <v>0</v>
      </c>
      <c r="E1155">
        <f>IF(INDEX(tblCleanData[OverTime],1147)="Yes",1,0)</f>
        <v>0</v>
      </c>
      <c r="F1155" t="str">
        <f>CHOOSE(INDEX(tblCleanData[Education],1147),"Below College","College","Bachelor","Master","Doctor")</f>
        <v>Master</v>
      </c>
      <c r="G1155" t="str">
        <f>IF(INDEX(tblCleanData[YearsAtCompany],1147)&lt;=2,"0-2 Years",IF(INDEX(tblCleanData[YearsAtCompany],1147)&lt;=5,"3-5 Years",IF(INDEX(tblCleanData[YearsAtCompany],1147)&lt;=10,"6-10 Years","10+ Years")))</f>
        <v>6-10 Years</v>
      </c>
      <c r="H1155" t="str">
        <f>IF(INDEX(tblCleanData[WorkLifeBalance],1147)&lt;=2,"Elevated","Normal")</f>
        <v>Normal</v>
      </c>
      <c r="I1155">
        <f>IF(INDEX(tblCleanData[Age],1147)&lt;30,30,IF(INDEX(tblCleanData[Age],1147)&lt;40,20,IF(INDEX(tblCleanData[Age],1147)&lt;50,10,15)))</f>
        <v>20</v>
      </c>
      <c r="J1155">
        <f>IF(INDEX(tblCleanData[MonthlyIncome],1147)&lt;=$B$3,25,IF(INDEX(tblCleanData[MonthlyIncome],1147)&lt;=$B$4,12,5))</f>
        <v>5</v>
      </c>
      <c r="K1155">
        <f>IF(INDEX(tblCleanData[OverTime],1147)="Yes",25,0)</f>
        <v>0</v>
      </c>
      <c r="L1155">
        <f>(5-INDEX(tblCleanData[JobSatisfaction],1147))*6.25</f>
        <v>6.25</v>
      </c>
      <c r="M1155">
        <f>IF(INDEX(tblCleanData[YearsAtCompany],1147)&lt;=2,25,IF(INDEX(tblCleanData[YearsAtCompany],1147)&lt;=5,15,IF(INDEX(tblCleanData[YearsAtCompany],1147)&lt;=10,8,3)))</f>
        <v>8</v>
      </c>
      <c r="N1155">
        <f t="shared" si="34"/>
        <v>39</v>
      </c>
      <c r="O1155" t="str">
        <f t="shared" si="35"/>
        <v>Medium Risk</v>
      </c>
    </row>
    <row r="1156" spans="1:15" x14ac:dyDescent="0.25">
      <c r="A1156">
        <f>INDEX(tblCleanData[EmployeeNumber],1148)</f>
        <v>1617</v>
      </c>
      <c r="B1156" t="str">
        <f>IF(INDEX(tblCleanData[Age],1148)&lt;30,"Under 30",IF(INDEX(tblCleanData[Age],1148)&lt;40,"30-39",IF(INDEX(tblCleanData[Age],1148)&lt;50,"40-49","50+")))</f>
        <v>40-49</v>
      </c>
      <c r="C1156" t="str">
        <f>IF(INDEX(tblCleanData[MonthlyIncome],1148)&lt;=$B$3,"Low Income",IF(INDEX(tblCleanData[MonthlyIncome],1148)&lt;=$B$4,"Medium Income","High Income"))</f>
        <v>High Income</v>
      </c>
      <c r="D1156">
        <f>IF(INDEX(tblCleanData[Attrition],1148)="Yes",1,0)</f>
        <v>0</v>
      </c>
      <c r="E1156">
        <f>IF(INDEX(tblCleanData[OverTime],1148)="Yes",1,0)</f>
        <v>0</v>
      </c>
      <c r="F1156" t="str">
        <f>CHOOSE(INDEX(tblCleanData[Education],1148),"Below College","College","Bachelor","Master","Doctor")</f>
        <v>Master</v>
      </c>
      <c r="G1156" t="str">
        <f>IF(INDEX(tblCleanData[YearsAtCompany],1148)&lt;=2,"0-2 Years",IF(INDEX(tblCleanData[YearsAtCompany],1148)&lt;=5,"3-5 Years",IF(INDEX(tblCleanData[YearsAtCompany],1148)&lt;=10,"6-10 Years","10+ Years")))</f>
        <v>6-10 Years</v>
      </c>
      <c r="H1156" t="str">
        <f>IF(INDEX(tblCleanData[WorkLifeBalance],1148)&lt;=2,"Elevated","Normal")</f>
        <v>Elevated</v>
      </c>
      <c r="I1156">
        <f>IF(INDEX(tblCleanData[Age],1148)&lt;30,30,IF(INDEX(tblCleanData[Age],1148)&lt;40,20,IF(INDEX(tblCleanData[Age],1148)&lt;50,10,15)))</f>
        <v>10</v>
      </c>
      <c r="J1156">
        <f>IF(INDEX(tblCleanData[MonthlyIncome],1148)&lt;=$B$3,25,IF(INDEX(tblCleanData[MonthlyIncome],1148)&lt;=$B$4,12,5))</f>
        <v>5</v>
      </c>
      <c r="K1156">
        <f>IF(INDEX(tblCleanData[OverTime],1148)="Yes",25,0)</f>
        <v>0</v>
      </c>
      <c r="L1156">
        <f>(5-INDEX(tblCleanData[JobSatisfaction],1148))*6.25</f>
        <v>25</v>
      </c>
      <c r="M1156">
        <f>IF(INDEX(tblCleanData[YearsAtCompany],1148)&lt;=2,25,IF(INDEX(tblCleanData[YearsAtCompany],1148)&lt;=5,15,IF(INDEX(tblCleanData[YearsAtCompany],1148)&lt;=10,8,3)))</f>
        <v>8</v>
      </c>
      <c r="N1156">
        <f t="shared" si="34"/>
        <v>48</v>
      </c>
      <c r="O1156" t="str">
        <f t="shared" si="35"/>
        <v>Medium Risk</v>
      </c>
    </row>
    <row r="1157" spans="1:15" x14ac:dyDescent="0.25">
      <c r="A1157">
        <f>INDEX(tblCleanData[EmployeeNumber],1149)</f>
        <v>1618</v>
      </c>
      <c r="B1157" t="str">
        <f>IF(INDEX(tblCleanData[Age],1149)&lt;30,"Under 30",IF(INDEX(tblCleanData[Age],1149)&lt;40,"30-39",IF(INDEX(tblCleanData[Age],1149)&lt;50,"40-49","50+")))</f>
        <v>30-39</v>
      </c>
      <c r="C1157" t="str">
        <f>IF(INDEX(tblCleanData[MonthlyIncome],1149)&lt;=$B$3,"Low Income",IF(INDEX(tblCleanData[MonthlyIncome],1149)&lt;=$B$4,"Medium Income","High Income"))</f>
        <v>High Income</v>
      </c>
      <c r="D1157">
        <f>IF(INDEX(tblCleanData[Attrition],1149)="Yes",1,0)</f>
        <v>0</v>
      </c>
      <c r="E1157">
        <f>IF(INDEX(tblCleanData[OverTime],1149)="Yes",1,0)</f>
        <v>0</v>
      </c>
      <c r="F1157" t="str">
        <f>CHOOSE(INDEX(tblCleanData[Education],1149),"Below College","College","Bachelor","Master","Doctor")</f>
        <v>Doctor</v>
      </c>
      <c r="G1157" t="str">
        <f>IF(INDEX(tblCleanData[YearsAtCompany],1149)&lt;=2,"0-2 Years",IF(INDEX(tblCleanData[YearsAtCompany],1149)&lt;=5,"3-5 Years",IF(INDEX(tblCleanData[YearsAtCompany],1149)&lt;=10,"6-10 Years","10+ Years")))</f>
        <v>6-10 Years</v>
      </c>
      <c r="H1157" t="str">
        <f>IF(INDEX(tblCleanData[WorkLifeBalance],1149)&lt;=2,"Elevated","Normal")</f>
        <v>Normal</v>
      </c>
      <c r="I1157">
        <f>IF(INDEX(tblCleanData[Age],1149)&lt;30,30,IF(INDEX(tblCleanData[Age],1149)&lt;40,20,IF(INDEX(tblCleanData[Age],1149)&lt;50,10,15)))</f>
        <v>20</v>
      </c>
      <c r="J1157">
        <f>IF(INDEX(tblCleanData[MonthlyIncome],1149)&lt;=$B$3,25,IF(INDEX(tblCleanData[MonthlyIncome],1149)&lt;=$B$4,12,5))</f>
        <v>5</v>
      </c>
      <c r="K1157">
        <f>IF(INDEX(tblCleanData[OverTime],1149)="Yes",25,0)</f>
        <v>0</v>
      </c>
      <c r="L1157">
        <f>(5-INDEX(tblCleanData[JobSatisfaction],1149))*6.25</f>
        <v>25</v>
      </c>
      <c r="M1157">
        <f>IF(INDEX(tblCleanData[YearsAtCompany],1149)&lt;=2,25,IF(INDEX(tblCleanData[YearsAtCompany],1149)&lt;=5,15,IF(INDEX(tblCleanData[YearsAtCompany],1149)&lt;=10,8,3)))</f>
        <v>8</v>
      </c>
      <c r="N1157">
        <f t="shared" si="34"/>
        <v>58</v>
      </c>
      <c r="O1157" t="str">
        <f t="shared" si="35"/>
        <v>High Risk</v>
      </c>
    </row>
    <row r="1158" spans="1:15" x14ac:dyDescent="0.25">
      <c r="A1158">
        <f>INDEX(tblCleanData[EmployeeNumber],1150)</f>
        <v>1619</v>
      </c>
      <c r="B1158" t="str">
        <f>IF(INDEX(tblCleanData[Age],1150)&lt;30,"Under 30",IF(INDEX(tblCleanData[Age],1150)&lt;40,"30-39",IF(INDEX(tblCleanData[Age],1150)&lt;50,"40-49","50+")))</f>
        <v>Under 30</v>
      </c>
      <c r="C1158" t="str">
        <f>IF(INDEX(tblCleanData[MonthlyIncome],1150)&lt;=$B$3,"Low Income",IF(INDEX(tblCleanData[MonthlyIncome],1150)&lt;=$B$4,"Medium Income","High Income"))</f>
        <v>High Income</v>
      </c>
      <c r="D1158">
        <f>IF(INDEX(tblCleanData[Attrition],1150)="Yes",1,0)</f>
        <v>0</v>
      </c>
      <c r="E1158">
        <f>IF(INDEX(tblCleanData[OverTime],1150)="Yes",1,0)</f>
        <v>0</v>
      </c>
      <c r="F1158" t="str">
        <f>CHOOSE(INDEX(tblCleanData[Education],1150),"Below College","College","Bachelor","Master","Doctor")</f>
        <v>Bachelor</v>
      </c>
      <c r="G1158" t="str">
        <f>IF(INDEX(tblCleanData[YearsAtCompany],1150)&lt;=2,"0-2 Years",IF(INDEX(tblCleanData[YearsAtCompany],1150)&lt;=5,"3-5 Years",IF(INDEX(tblCleanData[YearsAtCompany],1150)&lt;=10,"6-10 Years","10+ Years")))</f>
        <v>6-10 Years</v>
      </c>
      <c r="H1158" t="str">
        <f>IF(INDEX(tblCleanData[WorkLifeBalance],1150)&lt;=2,"Elevated","Normal")</f>
        <v>Normal</v>
      </c>
      <c r="I1158">
        <f>IF(INDEX(tblCleanData[Age],1150)&lt;30,30,IF(INDEX(tblCleanData[Age],1150)&lt;40,20,IF(INDEX(tblCleanData[Age],1150)&lt;50,10,15)))</f>
        <v>30</v>
      </c>
      <c r="J1158">
        <f>IF(INDEX(tblCleanData[MonthlyIncome],1150)&lt;=$B$3,25,IF(INDEX(tblCleanData[MonthlyIncome],1150)&lt;=$B$4,12,5))</f>
        <v>5</v>
      </c>
      <c r="K1158">
        <f>IF(INDEX(tblCleanData[OverTime],1150)="Yes",25,0)</f>
        <v>0</v>
      </c>
      <c r="L1158">
        <f>(5-INDEX(tblCleanData[JobSatisfaction],1150))*6.25</f>
        <v>25</v>
      </c>
      <c r="M1158">
        <f>IF(INDEX(tblCleanData[YearsAtCompany],1150)&lt;=2,25,IF(INDEX(tblCleanData[YearsAtCompany],1150)&lt;=5,15,IF(INDEX(tblCleanData[YearsAtCompany],1150)&lt;=10,8,3)))</f>
        <v>8</v>
      </c>
      <c r="N1158">
        <f t="shared" si="34"/>
        <v>68</v>
      </c>
      <c r="O1158" t="str">
        <f t="shared" si="35"/>
        <v>High Risk</v>
      </c>
    </row>
    <row r="1159" spans="1:15" x14ac:dyDescent="0.25">
      <c r="A1159">
        <f>INDEX(tblCleanData[EmployeeNumber],1151)</f>
        <v>1621</v>
      </c>
      <c r="B1159" t="str">
        <f>IF(INDEX(tblCleanData[Age],1151)&lt;30,"Under 30",IF(INDEX(tblCleanData[Age],1151)&lt;40,"30-39",IF(INDEX(tblCleanData[Age],1151)&lt;50,"40-49","50+")))</f>
        <v>30-39</v>
      </c>
      <c r="C1159" t="str">
        <f>IF(INDEX(tblCleanData[MonthlyIncome],1151)&lt;=$B$3,"Low Income",IF(INDEX(tblCleanData[MonthlyIncome],1151)&lt;=$B$4,"Medium Income","High Income"))</f>
        <v>High Income</v>
      </c>
      <c r="D1159">
        <f>IF(INDEX(tblCleanData[Attrition],1151)="Yes",1,0)</f>
        <v>0</v>
      </c>
      <c r="E1159">
        <f>IF(INDEX(tblCleanData[OverTime],1151)="Yes",1,0)</f>
        <v>0</v>
      </c>
      <c r="F1159" t="str">
        <f>CHOOSE(INDEX(tblCleanData[Education],1151),"Below College","College","Bachelor","Master","Doctor")</f>
        <v>Doctor</v>
      </c>
      <c r="G1159" t="str">
        <f>IF(INDEX(tblCleanData[YearsAtCompany],1151)&lt;=2,"0-2 Years",IF(INDEX(tblCleanData[YearsAtCompany],1151)&lt;=5,"3-5 Years",IF(INDEX(tblCleanData[YearsAtCompany],1151)&lt;=10,"6-10 Years","10+ Years")))</f>
        <v>10+ Years</v>
      </c>
      <c r="H1159" t="str">
        <f>IF(INDEX(tblCleanData[WorkLifeBalance],1151)&lt;=2,"Elevated","Normal")</f>
        <v>Normal</v>
      </c>
      <c r="I1159">
        <f>IF(INDEX(tblCleanData[Age],1151)&lt;30,30,IF(INDEX(tblCleanData[Age],1151)&lt;40,20,IF(INDEX(tblCleanData[Age],1151)&lt;50,10,15)))</f>
        <v>20</v>
      </c>
      <c r="J1159">
        <f>IF(INDEX(tblCleanData[MonthlyIncome],1151)&lt;=$B$3,25,IF(INDEX(tblCleanData[MonthlyIncome],1151)&lt;=$B$4,12,5))</f>
        <v>5</v>
      </c>
      <c r="K1159">
        <f>IF(INDEX(tblCleanData[OverTime],1151)="Yes",25,0)</f>
        <v>0</v>
      </c>
      <c r="L1159">
        <f>(5-INDEX(tblCleanData[JobSatisfaction],1151))*6.25</f>
        <v>25</v>
      </c>
      <c r="M1159">
        <f>IF(INDEX(tblCleanData[YearsAtCompany],1151)&lt;=2,25,IF(INDEX(tblCleanData[YearsAtCompany],1151)&lt;=5,15,IF(INDEX(tblCleanData[YearsAtCompany],1151)&lt;=10,8,3)))</f>
        <v>3</v>
      </c>
      <c r="N1159">
        <f t="shared" si="34"/>
        <v>53</v>
      </c>
      <c r="O1159" t="str">
        <f t="shared" si="35"/>
        <v>Medium Risk</v>
      </c>
    </row>
    <row r="1160" spans="1:15" x14ac:dyDescent="0.25">
      <c r="A1160">
        <f>INDEX(tblCleanData[EmployeeNumber],1152)</f>
        <v>1622</v>
      </c>
      <c r="B1160" t="str">
        <f>IF(INDEX(tblCleanData[Age],1152)&lt;30,"Under 30",IF(INDEX(tblCleanData[Age],1152)&lt;40,"30-39",IF(INDEX(tblCleanData[Age],1152)&lt;50,"40-49","50+")))</f>
        <v>Under 30</v>
      </c>
      <c r="C1160" t="str">
        <f>IF(INDEX(tblCleanData[MonthlyIncome],1152)&lt;=$B$3,"Low Income",IF(INDEX(tblCleanData[MonthlyIncome],1152)&lt;=$B$4,"Medium Income","High Income"))</f>
        <v>High Income</v>
      </c>
      <c r="D1160">
        <f>IF(INDEX(tblCleanData[Attrition],1152)="Yes",1,0)</f>
        <v>0</v>
      </c>
      <c r="E1160">
        <f>IF(INDEX(tblCleanData[OverTime],1152)="Yes",1,0)</f>
        <v>0</v>
      </c>
      <c r="F1160" t="str">
        <f>CHOOSE(INDEX(tblCleanData[Education],1152),"Below College","College","Bachelor","Master","Doctor")</f>
        <v>Bachelor</v>
      </c>
      <c r="G1160" t="str">
        <f>IF(INDEX(tblCleanData[YearsAtCompany],1152)&lt;=2,"0-2 Years",IF(INDEX(tblCleanData[YearsAtCompany],1152)&lt;=5,"3-5 Years",IF(INDEX(tblCleanData[YearsAtCompany],1152)&lt;=10,"6-10 Years","10+ Years")))</f>
        <v>3-5 Years</v>
      </c>
      <c r="H1160" t="str">
        <f>IF(INDEX(tblCleanData[WorkLifeBalance],1152)&lt;=2,"Elevated","Normal")</f>
        <v>Elevated</v>
      </c>
      <c r="I1160">
        <f>IF(INDEX(tblCleanData[Age],1152)&lt;30,30,IF(INDEX(tblCleanData[Age],1152)&lt;40,20,IF(INDEX(tblCleanData[Age],1152)&lt;50,10,15)))</f>
        <v>30</v>
      </c>
      <c r="J1160">
        <f>IF(INDEX(tblCleanData[MonthlyIncome],1152)&lt;=$B$3,25,IF(INDEX(tblCleanData[MonthlyIncome],1152)&lt;=$B$4,12,5))</f>
        <v>5</v>
      </c>
      <c r="K1160">
        <f>IF(INDEX(tblCleanData[OverTime],1152)="Yes",25,0)</f>
        <v>0</v>
      </c>
      <c r="L1160">
        <f>(5-INDEX(tblCleanData[JobSatisfaction],1152))*6.25</f>
        <v>25</v>
      </c>
      <c r="M1160">
        <f>IF(INDEX(tblCleanData[YearsAtCompany],1152)&lt;=2,25,IF(INDEX(tblCleanData[YearsAtCompany],1152)&lt;=5,15,IF(INDEX(tblCleanData[YearsAtCompany],1152)&lt;=10,8,3)))</f>
        <v>15</v>
      </c>
      <c r="N1160">
        <f t="shared" si="34"/>
        <v>75</v>
      </c>
      <c r="O1160" t="str">
        <f t="shared" si="35"/>
        <v>High Risk</v>
      </c>
    </row>
    <row r="1161" spans="1:15" x14ac:dyDescent="0.25">
      <c r="A1161">
        <f>INDEX(tblCleanData[EmployeeNumber],1153)</f>
        <v>1623</v>
      </c>
      <c r="B1161" t="str">
        <f>IF(INDEX(tblCleanData[Age],1153)&lt;30,"Under 30",IF(INDEX(tblCleanData[Age],1153)&lt;40,"30-39",IF(INDEX(tblCleanData[Age],1153)&lt;50,"40-49","50+")))</f>
        <v>Under 30</v>
      </c>
      <c r="C1161" t="str">
        <f>IF(INDEX(tblCleanData[MonthlyIncome],1153)&lt;=$B$3,"Low Income",IF(INDEX(tblCleanData[MonthlyIncome],1153)&lt;=$B$4,"Medium Income","High Income"))</f>
        <v>High Income</v>
      </c>
      <c r="D1161">
        <f>IF(INDEX(tblCleanData[Attrition],1153)="Yes",1,0)</f>
        <v>0</v>
      </c>
      <c r="E1161">
        <f>IF(INDEX(tblCleanData[OverTime],1153)="Yes",1,0)</f>
        <v>0</v>
      </c>
      <c r="F1161" t="str">
        <f>CHOOSE(INDEX(tblCleanData[Education],1153),"Below College","College","Bachelor","Master","Doctor")</f>
        <v>Below College</v>
      </c>
      <c r="G1161" t="str">
        <f>IF(INDEX(tblCleanData[YearsAtCompany],1153)&lt;=2,"0-2 Years",IF(INDEX(tblCleanData[YearsAtCompany],1153)&lt;=5,"3-5 Years",IF(INDEX(tblCleanData[YearsAtCompany],1153)&lt;=10,"6-10 Years","10+ Years")))</f>
        <v>0-2 Years</v>
      </c>
      <c r="H1161" t="str">
        <f>IF(INDEX(tblCleanData[WorkLifeBalance],1153)&lt;=2,"Elevated","Normal")</f>
        <v>Normal</v>
      </c>
      <c r="I1161">
        <f>IF(INDEX(tblCleanData[Age],1153)&lt;30,30,IF(INDEX(tblCleanData[Age],1153)&lt;40,20,IF(INDEX(tblCleanData[Age],1153)&lt;50,10,15)))</f>
        <v>30</v>
      </c>
      <c r="J1161">
        <f>IF(INDEX(tblCleanData[MonthlyIncome],1153)&lt;=$B$3,25,IF(INDEX(tblCleanData[MonthlyIncome],1153)&lt;=$B$4,12,5))</f>
        <v>5</v>
      </c>
      <c r="K1161">
        <f>IF(INDEX(tblCleanData[OverTime],1153)="Yes",25,0)</f>
        <v>0</v>
      </c>
      <c r="L1161">
        <f>(5-INDEX(tblCleanData[JobSatisfaction],1153))*6.25</f>
        <v>6.25</v>
      </c>
      <c r="M1161">
        <f>IF(INDEX(tblCleanData[YearsAtCompany],1153)&lt;=2,25,IF(INDEX(tblCleanData[YearsAtCompany],1153)&lt;=5,15,IF(INDEX(tblCleanData[YearsAtCompany],1153)&lt;=10,8,3)))</f>
        <v>25</v>
      </c>
      <c r="N1161">
        <f t="shared" ref="N1161:N1224" si="36">ROUND(I1161+J1161+K1161+L1161+M1161,0)</f>
        <v>66</v>
      </c>
      <c r="O1161" t="str">
        <f t="shared" ref="O1161:O1224" si="37">IF(N1161&gt;=55,"High Risk",IF(N1161&gt;=35,"Medium Risk","Low Risk"))</f>
        <v>High Risk</v>
      </c>
    </row>
    <row r="1162" spans="1:15" x14ac:dyDescent="0.25">
      <c r="A1162">
        <f>INDEX(tblCleanData[EmployeeNumber],1154)</f>
        <v>1624</v>
      </c>
      <c r="B1162" t="str">
        <f>IF(INDEX(tblCleanData[Age],1154)&lt;30,"Under 30",IF(INDEX(tblCleanData[Age],1154)&lt;40,"30-39",IF(INDEX(tblCleanData[Age],1154)&lt;50,"40-49","50+")))</f>
        <v>Under 30</v>
      </c>
      <c r="C1162" t="str">
        <f>IF(INDEX(tblCleanData[MonthlyIncome],1154)&lt;=$B$3,"Low Income",IF(INDEX(tblCleanData[MonthlyIncome],1154)&lt;=$B$4,"Medium Income","High Income"))</f>
        <v>High Income</v>
      </c>
      <c r="D1162">
        <f>IF(INDEX(tblCleanData[Attrition],1154)="Yes",1,0)</f>
        <v>1</v>
      </c>
      <c r="E1162">
        <f>IF(INDEX(tblCleanData[OverTime],1154)="Yes",1,0)</f>
        <v>1</v>
      </c>
      <c r="F1162" t="str">
        <f>CHOOSE(INDEX(tblCleanData[Education],1154),"Below College","College","Bachelor","Master","Doctor")</f>
        <v>College</v>
      </c>
      <c r="G1162" t="str">
        <f>IF(INDEX(tblCleanData[YearsAtCompany],1154)&lt;=2,"0-2 Years",IF(INDEX(tblCleanData[YearsAtCompany],1154)&lt;=5,"3-5 Years",IF(INDEX(tblCleanData[YearsAtCompany],1154)&lt;=10,"6-10 Years","10+ Years")))</f>
        <v>0-2 Years</v>
      </c>
      <c r="H1162" t="str">
        <f>IF(INDEX(tblCleanData[WorkLifeBalance],1154)&lt;=2,"Elevated","Normal")</f>
        <v>Normal</v>
      </c>
      <c r="I1162">
        <f>IF(INDEX(tblCleanData[Age],1154)&lt;30,30,IF(INDEX(tblCleanData[Age],1154)&lt;40,20,IF(INDEX(tblCleanData[Age],1154)&lt;50,10,15)))</f>
        <v>30</v>
      </c>
      <c r="J1162">
        <f>IF(INDEX(tblCleanData[MonthlyIncome],1154)&lt;=$B$3,25,IF(INDEX(tblCleanData[MonthlyIncome],1154)&lt;=$B$4,12,5))</f>
        <v>5</v>
      </c>
      <c r="K1162">
        <f>IF(INDEX(tblCleanData[OverTime],1154)="Yes",25,0)</f>
        <v>25</v>
      </c>
      <c r="L1162">
        <f>(5-INDEX(tblCleanData[JobSatisfaction],1154))*6.25</f>
        <v>6.25</v>
      </c>
      <c r="M1162">
        <f>IF(INDEX(tblCleanData[YearsAtCompany],1154)&lt;=2,25,IF(INDEX(tblCleanData[YearsAtCompany],1154)&lt;=5,15,IF(INDEX(tblCleanData[YearsAtCompany],1154)&lt;=10,8,3)))</f>
        <v>25</v>
      </c>
      <c r="N1162">
        <f t="shared" si="36"/>
        <v>91</v>
      </c>
      <c r="O1162" t="str">
        <f t="shared" si="37"/>
        <v>High Risk</v>
      </c>
    </row>
    <row r="1163" spans="1:15" x14ac:dyDescent="0.25">
      <c r="A1163">
        <f>INDEX(tblCleanData[EmployeeNumber],1155)</f>
        <v>1625</v>
      </c>
      <c r="B1163" t="str">
        <f>IF(INDEX(tblCleanData[Age],1155)&lt;30,"Under 30",IF(INDEX(tblCleanData[Age],1155)&lt;40,"30-39",IF(INDEX(tblCleanData[Age],1155)&lt;50,"40-49","50+")))</f>
        <v>40-49</v>
      </c>
      <c r="C1163" t="str">
        <f>IF(INDEX(tblCleanData[MonthlyIncome],1155)&lt;=$B$3,"Low Income",IF(INDEX(tblCleanData[MonthlyIncome],1155)&lt;=$B$4,"Medium Income","High Income"))</f>
        <v>High Income</v>
      </c>
      <c r="D1163">
        <f>IF(INDEX(tblCleanData[Attrition],1155)="Yes",1,0)</f>
        <v>0</v>
      </c>
      <c r="E1163">
        <f>IF(INDEX(tblCleanData[OverTime],1155)="Yes",1,0)</f>
        <v>0</v>
      </c>
      <c r="F1163" t="str">
        <f>CHOOSE(INDEX(tblCleanData[Education],1155),"Below College","College","Bachelor","Master","Doctor")</f>
        <v>Master</v>
      </c>
      <c r="G1163" t="str">
        <f>IF(INDEX(tblCleanData[YearsAtCompany],1155)&lt;=2,"0-2 Years",IF(INDEX(tblCleanData[YearsAtCompany],1155)&lt;=5,"3-5 Years",IF(INDEX(tblCleanData[YearsAtCompany],1155)&lt;=10,"6-10 Years","10+ Years")))</f>
        <v>3-5 Years</v>
      </c>
      <c r="H1163" t="str">
        <f>IF(INDEX(tblCleanData[WorkLifeBalance],1155)&lt;=2,"Elevated","Normal")</f>
        <v>Normal</v>
      </c>
      <c r="I1163">
        <f>IF(INDEX(tblCleanData[Age],1155)&lt;30,30,IF(INDEX(tblCleanData[Age],1155)&lt;40,20,IF(INDEX(tblCleanData[Age],1155)&lt;50,10,15)))</f>
        <v>10</v>
      </c>
      <c r="J1163">
        <f>IF(INDEX(tblCleanData[MonthlyIncome],1155)&lt;=$B$3,25,IF(INDEX(tblCleanData[MonthlyIncome],1155)&lt;=$B$4,12,5))</f>
        <v>5</v>
      </c>
      <c r="K1163">
        <f>IF(INDEX(tblCleanData[OverTime],1155)="Yes",25,0)</f>
        <v>0</v>
      </c>
      <c r="L1163">
        <f>(5-INDEX(tblCleanData[JobSatisfaction],1155))*6.25</f>
        <v>12.5</v>
      </c>
      <c r="M1163">
        <f>IF(INDEX(tblCleanData[YearsAtCompany],1155)&lt;=2,25,IF(INDEX(tblCleanData[YearsAtCompany],1155)&lt;=5,15,IF(INDEX(tblCleanData[YearsAtCompany],1155)&lt;=10,8,3)))</f>
        <v>15</v>
      </c>
      <c r="N1163">
        <f t="shared" si="36"/>
        <v>43</v>
      </c>
      <c r="O1163" t="str">
        <f t="shared" si="37"/>
        <v>Medium Risk</v>
      </c>
    </row>
    <row r="1164" spans="1:15" x14ac:dyDescent="0.25">
      <c r="A1164">
        <f>INDEX(tblCleanData[EmployeeNumber],1156)</f>
        <v>1627</v>
      </c>
      <c r="B1164" t="str">
        <f>IF(INDEX(tblCleanData[Age],1156)&lt;30,"Under 30",IF(INDEX(tblCleanData[Age],1156)&lt;40,"30-39",IF(INDEX(tblCleanData[Age],1156)&lt;50,"40-49","50+")))</f>
        <v>30-39</v>
      </c>
      <c r="C1164" t="str">
        <f>IF(INDEX(tblCleanData[MonthlyIncome],1156)&lt;=$B$3,"Low Income",IF(INDEX(tblCleanData[MonthlyIncome],1156)&lt;=$B$4,"Medium Income","High Income"))</f>
        <v>High Income</v>
      </c>
      <c r="D1164">
        <f>IF(INDEX(tblCleanData[Attrition],1156)="Yes",1,0)</f>
        <v>0</v>
      </c>
      <c r="E1164">
        <f>IF(INDEX(tblCleanData[OverTime],1156)="Yes",1,0)</f>
        <v>0</v>
      </c>
      <c r="F1164" t="str">
        <f>CHOOSE(INDEX(tblCleanData[Education],1156),"Below College","College","Bachelor","Master","Doctor")</f>
        <v>College</v>
      </c>
      <c r="G1164" t="str">
        <f>IF(INDEX(tblCleanData[YearsAtCompany],1156)&lt;=2,"0-2 Years",IF(INDEX(tblCleanData[YearsAtCompany],1156)&lt;=5,"3-5 Years",IF(INDEX(tblCleanData[YearsAtCompany],1156)&lt;=10,"6-10 Years","10+ Years")))</f>
        <v>6-10 Years</v>
      </c>
      <c r="H1164" t="str">
        <f>IF(INDEX(tblCleanData[WorkLifeBalance],1156)&lt;=2,"Elevated","Normal")</f>
        <v>Normal</v>
      </c>
      <c r="I1164">
        <f>IF(INDEX(tblCleanData[Age],1156)&lt;30,30,IF(INDEX(tblCleanData[Age],1156)&lt;40,20,IF(INDEX(tblCleanData[Age],1156)&lt;50,10,15)))</f>
        <v>20</v>
      </c>
      <c r="J1164">
        <f>IF(INDEX(tblCleanData[MonthlyIncome],1156)&lt;=$B$3,25,IF(INDEX(tblCleanData[MonthlyIncome],1156)&lt;=$B$4,12,5))</f>
        <v>5</v>
      </c>
      <c r="K1164">
        <f>IF(INDEX(tblCleanData[OverTime],1156)="Yes",25,0)</f>
        <v>0</v>
      </c>
      <c r="L1164">
        <f>(5-INDEX(tblCleanData[JobSatisfaction],1156))*6.25</f>
        <v>12.5</v>
      </c>
      <c r="M1164">
        <f>IF(INDEX(tblCleanData[YearsAtCompany],1156)&lt;=2,25,IF(INDEX(tblCleanData[YearsAtCompany],1156)&lt;=5,15,IF(INDEX(tblCleanData[YearsAtCompany],1156)&lt;=10,8,3)))</f>
        <v>8</v>
      </c>
      <c r="N1164">
        <f t="shared" si="36"/>
        <v>46</v>
      </c>
      <c r="O1164" t="str">
        <f t="shared" si="37"/>
        <v>Medium Risk</v>
      </c>
    </row>
    <row r="1165" spans="1:15" x14ac:dyDescent="0.25">
      <c r="A1165">
        <f>INDEX(tblCleanData[EmployeeNumber],1157)</f>
        <v>1628</v>
      </c>
      <c r="B1165" t="str">
        <f>IF(INDEX(tblCleanData[Age],1157)&lt;30,"Under 30",IF(INDEX(tblCleanData[Age],1157)&lt;40,"30-39",IF(INDEX(tblCleanData[Age],1157)&lt;50,"40-49","50+")))</f>
        <v>40-49</v>
      </c>
      <c r="C1165" t="str">
        <f>IF(INDEX(tblCleanData[MonthlyIncome],1157)&lt;=$B$3,"Low Income",IF(INDEX(tblCleanData[MonthlyIncome],1157)&lt;=$B$4,"Medium Income","High Income"))</f>
        <v>High Income</v>
      </c>
      <c r="D1165">
        <f>IF(INDEX(tblCleanData[Attrition],1157)="Yes",1,0)</f>
        <v>0</v>
      </c>
      <c r="E1165">
        <f>IF(INDEX(tblCleanData[OverTime],1157)="Yes",1,0)</f>
        <v>0</v>
      </c>
      <c r="F1165" t="str">
        <f>CHOOSE(INDEX(tblCleanData[Education],1157),"Below College","College","Bachelor","Master","Doctor")</f>
        <v>Bachelor</v>
      </c>
      <c r="G1165" t="str">
        <f>IF(INDEX(tblCleanData[YearsAtCompany],1157)&lt;=2,"0-2 Years",IF(INDEX(tblCleanData[YearsAtCompany],1157)&lt;=5,"3-5 Years",IF(INDEX(tblCleanData[YearsAtCompany],1157)&lt;=10,"6-10 Years","10+ Years")))</f>
        <v>10+ Years</v>
      </c>
      <c r="H1165" t="str">
        <f>IF(INDEX(tblCleanData[WorkLifeBalance],1157)&lt;=2,"Elevated","Normal")</f>
        <v>Normal</v>
      </c>
      <c r="I1165">
        <f>IF(INDEX(tblCleanData[Age],1157)&lt;30,30,IF(INDEX(tblCleanData[Age],1157)&lt;40,20,IF(INDEX(tblCleanData[Age],1157)&lt;50,10,15)))</f>
        <v>10</v>
      </c>
      <c r="J1165">
        <f>IF(INDEX(tblCleanData[MonthlyIncome],1157)&lt;=$B$3,25,IF(INDEX(tblCleanData[MonthlyIncome],1157)&lt;=$B$4,12,5))</f>
        <v>5</v>
      </c>
      <c r="K1165">
        <f>IF(INDEX(tblCleanData[OverTime],1157)="Yes",25,0)</f>
        <v>0</v>
      </c>
      <c r="L1165">
        <f>(5-INDEX(tblCleanData[JobSatisfaction],1157))*6.25</f>
        <v>12.5</v>
      </c>
      <c r="M1165">
        <f>IF(INDEX(tblCleanData[YearsAtCompany],1157)&lt;=2,25,IF(INDEX(tblCleanData[YearsAtCompany],1157)&lt;=5,15,IF(INDEX(tblCleanData[YearsAtCompany],1157)&lt;=10,8,3)))</f>
        <v>3</v>
      </c>
      <c r="N1165">
        <f t="shared" si="36"/>
        <v>31</v>
      </c>
      <c r="O1165" t="str">
        <f t="shared" si="37"/>
        <v>Low Risk</v>
      </c>
    </row>
    <row r="1166" spans="1:15" x14ac:dyDescent="0.25">
      <c r="A1166">
        <f>INDEX(tblCleanData[EmployeeNumber],1158)</f>
        <v>1630</v>
      </c>
      <c r="B1166" t="str">
        <f>IF(INDEX(tblCleanData[Age],1158)&lt;30,"Under 30",IF(INDEX(tblCleanData[Age],1158)&lt;40,"30-39",IF(INDEX(tblCleanData[Age],1158)&lt;50,"40-49","50+")))</f>
        <v>30-39</v>
      </c>
      <c r="C1166" t="str">
        <f>IF(INDEX(tblCleanData[MonthlyIncome],1158)&lt;=$B$3,"Low Income",IF(INDEX(tblCleanData[MonthlyIncome],1158)&lt;=$B$4,"Medium Income","High Income"))</f>
        <v>High Income</v>
      </c>
      <c r="D1166">
        <f>IF(INDEX(tblCleanData[Attrition],1158)="Yes",1,0)</f>
        <v>0</v>
      </c>
      <c r="E1166">
        <f>IF(INDEX(tblCleanData[OverTime],1158)="Yes",1,0)</f>
        <v>0</v>
      </c>
      <c r="F1166" t="str">
        <f>CHOOSE(INDEX(tblCleanData[Education],1158),"Below College","College","Bachelor","Master","Doctor")</f>
        <v>Master</v>
      </c>
      <c r="G1166" t="str">
        <f>IF(INDEX(tblCleanData[YearsAtCompany],1158)&lt;=2,"0-2 Years",IF(INDEX(tblCleanData[YearsAtCompany],1158)&lt;=5,"3-5 Years",IF(INDEX(tblCleanData[YearsAtCompany],1158)&lt;=10,"6-10 Years","10+ Years")))</f>
        <v>10+ Years</v>
      </c>
      <c r="H1166" t="str">
        <f>IF(INDEX(tblCleanData[WorkLifeBalance],1158)&lt;=2,"Elevated","Normal")</f>
        <v>Normal</v>
      </c>
      <c r="I1166">
        <f>IF(INDEX(tblCleanData[Age],1158)&lt;30,30,IF(INDEX(tblCleanData[Age],1158)&lt;40,20,IF(INDEX(tblCleanData[Age],1158)&lt;50,10,15)))</f>
        <v>20</v>
      </c>
      <c r="J1166">
        <f>IF(INDEX(tblCleanData[MonthlyIncome],1158)&lt;=$B$3,25,IF(INDEX(tblCleanData[MonthlyIncome],1158)&lt;=$B$4,12,5))</f>
        <v>5</v>
      </c>
      <c r="K1166">
        <f>IF(INDEX(tblCleanData[OverTime],1158)="Yes",25,0)</f>
        <v>0</v>
      </c>
      <c r="L1166">
        <f>(5-INDEX(tblCleanData[JobSatisfaction],1158))*6.25</f>
        <v>12.5</v>
      </c>
      <c r="M1166">
        <f>IF(INDEX(tblCleanData[YearsAtCompany],1158)&lt;=2,25,IF(INDEX(tblCleanData[YearsAtCompany],1158)&lt;=5,15,IF(INDEX(tblCleanData[YearsAtCompany],1158)&lt;=10,8,3)))</f>
        <v>3</v>
      </c>
      <c r="N1166">
        <f t="shared" si="36"/>
        <v>41</v>
      </c>
      <c r="O1166" t="str">
        <f t="shared" si="37"/>
        <v>Medium Risk</v>
      </c>
    </row>
    <row r="1167" spans="1:15" x14ac:dyDescent="0.25">
      <c r="A1167">
        <f>INDEX(tblCleanData[EmployeeNumber],1159)</f>
        <v>1631</v>
      </c>
      <c r="B1167" t="str">
        <f>IF(INDEX(tblCleanData[Age],1159)&lt;30,"Under 30",IF(INDEX(tblCleanData[Age],1159)&lt;40,"30-39",IF(INDEX(tblCleanData[Age],1159)&lt;50,"40-49","50+")))</f>
        <v>30-39</v>
      </c>
      <c r="C1167" t="str">
        <f>IF(INDEX(tblCleanData[MonthlyIncome],1159)&lt;=$B$3,"Low Income",IF(INDEX(tblCleanData[MonthlyIncome],1159)&lt;=$B$4,"Medium Income","High Income"))</f>
        <v>High Income</v>
      </c>
      <c r="D1167">
        <f>IF(INDEX(tblCleanData[Attrition],1159)="Yes",1,0)</f>
        <v>0</v>
      </c>
      <c r="E1167">
        <f>IF(INDEX(tblCleanData[OverTime],1159)="Yes",1,0)</f>
        <v>0</v>
      </c>
      <c r="F1167" t="str">
        <f>CHOOSE(INDEX(tblCleanData[Education],1159),"Below College","College","Bachelor","Master","Doctor")</f>
        <v>Bachelor</v>
      </c>
      <c r="G1167" t="str">
        <f>IF(INDEX(tblCleanData[YearsAtCompany],1159)&lt;=2,"0-2 Years",IF(INDEX(tblCleanData[YearsAtCompany],1159)&lt;=5,"3-5 Years",IF(INDEX(tblCleanData[YearsAtCompany],1159)&lt;=10,"6-10 Years","10+ Years")))</f>
        <v>3-5 Years</v>
      </c>
      <c r="H1167" t="str">
        <f>IF(INDEX(tblCleanData[WorkLifeBalance],1159)&lt;=2,"Elevated","Normal")</f>
        <v>Elevated</v>
      </c>
      <c r="I1167">
        <f>IF(INDEX(tblCleanData[Age],1159)&lt;30,30,IF(INDEX(tblCleanData[Age],1159)&lt;40,20,IF(INDEX(tblCleanData[Age],1159)&lt;50,10,15)))</f>
        <v>20</v>
      </c>
      <c r="J1167">
        <f>IF(INDEX(tblCleanData[MonthlyIncome],1159)&lt;=$B$3,25,IF(INDEX(tblCleanData[MonthlyIncome],1159)&lt;=$B$4,12,5))</f>
        <v>5</v>
      </c>
      <c r="K1167">
        <f>IF(INDEX(tblCleanData[OverTime],1159)="Yes",25,0)</f>
        <v>0</v>
      </c>
      <c r="L1167">
        <f>(5-INDEX(tblCleanData[JobSatisfaction],1159))*6.25</f>
        <v>12.5</v>
      </c>
      <c r="M1167">
        <f>IF(INDEX(tblCleanData[YearsAtCompany],1159)&lt;=2,25,IF(INDEX(tblCleanData[YearsAtCompany],1159)&lt;=5,15,IF(INDEX(tblCleanData[YearsAtCompany],1159)&lt;=10,8,3)))</f>
        <v>15</v>
      </c>
      <c r="N1167">
        <f t="shared" si="36"/>
        <v>53</v>
      </c>
      <c r="O1167" t="str">
        <f t="shared" si="37"/>
        <v>Medium Risk</v>
      </c>
    </row>
    <row r="1168" spans="1:15" x14ac:dyDescent="0.25">
      <c r="A1168">
        <f>INDEX(tblCleanData[EmployeeNumber],1160)</f>
        <v>1633</v>
      </c>
      <c r="B1168" t="str">
        <f>IF(INDEX(tblCleanData[Age],1160)&lt;30,"Under 30",IF(INDEX(tblCleanData[Age],1160)&lt;40,"30-39",IF(INDEX(tblCleanData[Age],1160)&lt;50,"40-49","50+")))</f>
        <v>30-39</v>
      </c>
      <c r="C1168" t="str">
        <f>IF(INDEX(tblCleanData[MonthlyIncome],1160)&lt;=$B$3,"Low Income",IF(INDEX(tblCleanData[MonthlyIncome],1160)&lt;=$B$4,"Medium Income","High Income"))</f>
        <v>High Income</v>
      </c>
      <c r="D1168">
        <f>IF(INDEX(tblCleanData[Attrition],1160)="Yes",1,0)</f>
        <v>0</v>
      </c>
      <c r="E1168">
        <f>IF(INDEX(tblCleanData[OverTime],1160)="Yes",1,0)</f>
        <v>0</v>
      </c>
      <c r="F1168" t="str">
        <f>CHOOSE(INDEX(tblCleanData[Education],1160),"Below College","College","Bachelor","Master","Doctor")</f>
        <v>Bachelor</v>
      </c>
      <c r="G1168" t="str">
        <f>IF(INDEX(tblCleanData[YearsAtCompany],1160)&lt;=2,"0-2 Years",IF(INDEX(tblCleanData[YearsAtCompany],1160)&lt;=5,"3-5 Years",IF(INDEX(tblCleanData[YearsAtCompany],1160)&lt;=10,"6-10 Years","10+ Years")))</f>
        <v>6-10 Years</v>
      </c>
      <c r="H1168" t="str">
        <f>IF(INDEX(tblCleanData[WorkLifeBalance],1160)&lt;=2,"Elevated","Normal")</f>
        <v>Elevated</v>
      </c>
      <c r="I1168">
        <f>IF(INDEX(tblCleanData[Age],1160)&lt;30,30,IF(INDEX(tblCleanData[Age],1160)&lt;40,20,IF(INDEX(tblCleanData[Age],1160)&lt;50,10,15)))</f>
        <v>20</v>
      </c>
      <c r="J1168">
        <f>IF(INDEX(tblCleanData[MonthlyIncome],1160)&lt;=$B$3,25,IF(INDEX(tblCleanData[MonthlyIncome],1160)&lt;=$B$4,12,5))</f>
        <v>5</v>
      </c>
      <c r="K1168">
        <f>IF(INDEX(tblCleanData[OverTime],1160)="Yes",25,0)</f>
        <v>0</v>
      </c>
      <c r="L1168">
        <f>(5-INDEX(tblCleanData[JobSatisfaction],1160))*6.25</f>
        <v>12.5</v>
      </c>
      <c r="M1168">
        <f>IF(INDEX(tblCleanData[YearsAtCompany],1160)&lt;=2,25,IF(INDEX(tblCleanData[YearsAtCompany],1160)&lt;=5,15,IF(INDEX(tblCleanData[YearsAtCompany],1160)&lt;=10,8,3)))</f>
        <v>8</v>
      </c>
      <c r="N1168">
        <f t="shared" si="36"/>
        <v>46</v>
      </c>
      <c r="O1168" t="str">
        <f t="shared" si="37"/>
        <v>Medium Risk</v>
      </c>
    </row>
    <row r="1169" spans="1:15" x14ac:dyDescent="0.25">
      <c r="A1169">
        <f>INDEX(tblCleanData[EmployeeNumber],1161)</f>
        <v>1635</v>
      </c>
      <c r="B1169" t="str">
        <f>IF(INDEX(tblCleanData[Age],1161)&lt;30,"Under 30",IF(INDEX(tblCleanData[Age],1161)&lt;40,"30-39",IF(INDEX(tblCleanData[Age],1161)&lt;50,"40-49","50+")))</f>
        <v>40-49</v>
      </c>
      <c r="C1169" t="str">
        <f>IF(INDEX(tblCleanData[MonthlyIncome],1161)&lt;=$B$3,"Low Income",IF(INDEX(tblCleanData[MonthlyIncome],1161)&lt;=$B$4,"Medium Income","High Income"))</f>
        <v>High Income</v>
      </c>
      <c r="D1169">
        <f>IF(INDEX(tblCleanData[Attrition],1161)="Yes",1,0)</f>
        <v>0</v>
      </c>
      <c r="E1169">
        <f>IF(INDEX(tblCleanData[OverTime],1161)="Yes",1,0)</f>
        <v>0</v>
      </c>
      <c r="F1169" t="str">
        <f>CHOOSE(INDEX(tblCleanData[Education],1161),"Below College","College","Bachelor","Master","Doctor")</f>
        <v>College</v>
      </c>
      <c r="G1169" t="str">
        <f>IF(INDEX(tblCleanData[YearsAtCompany],1161)&lt;=2,"0-2 Years",IF(INDEX(tblCleanData[YearsAtCompany],1161)&lt;=5,"3-5 Years",IF(INDEX(tblCleanData[YearsAtCompany],1161)&lt;=10,"6-10 Years","10+ Years")))</f>
        <v>6-10 Years</v>
      </c>
      <c r="H1169" t="str">
        <f>IF(INDEX(tblCleanData[WorkLifeBalance],1161)&lt;=2,"Elevated","Normal")</f>
        <v>Normal</v>
      </c>
      <c r="I1169">
        <f>IF(INDEX(tblCleanData[Age],1161)&lt;30,30,IF(INDEX(tblCleanData[Age],1161)&lt;40,20,IF(INDEX(tblCleanData[Age],1161)&lt;50,10,15)))</f>
        <v>10</v>
      </c>
      <c r="J1169">
        <f>IF(INDEX(tblCleanData[MonthlyIncome],1161)&lt;=$B$3,25,IF(INDEX(tblCleanData[MonthlyIncome],1161)&lt;=$B$4,12,5))</f>
        <v>5</v>
      </c>
      <c r="K1169">
        <f>IF(INDEX(tblCleanData[OverTime],1161)="Yes",25,0)</f>
        <v>0</v>
      </c>
      <c r="L1169">
        <f>(5-INDEX(tblCleanData[JobSatisfaction],1161))*6.25</f>
        <v>6.25</v>
      </c>
      <c r="M1169">
        <f>IF(INDEX(tblCleanData[YearsAtCompany],1161)&lt;=2,25,IF(INDEX(tblCleanData[YearsAtCompany],1161)&lt;=5,15,IF(INDEX(tblCleanData[YearsAtCompany],1161)&lt;=10,8,3)))</f>
        <v>8</v>
      </c>
      <c r="N1169">
        <f t="shared" si="36"/>
        <v>29</v>
      </c>
      <c r="O1169" t="str">
        <f t="shared" si="37"/>
        <v>Low Risk</v>
      </c>
    </row>
    <row r="1170" spans="1:15" x14ac:dyDescent="0.25">
      <c r="A1170">
        <f>INDEX(tblCleanData[EmployeeNumber],1162)</f>
        <v>1638</v>
      </c>
      <c r="B1170" t="str">
        <f>IF(INDEX(tblCleanData[Age],1162)&lt;30,"Under 30",IF(INDEX(tblCleanData[Age],1162)&lt;40,"30-39",IF(INDEX(tblCleanData[Age],1162)&lt;50,"40-49","50+")))</f>
        <v>30-39</v>
      </c>
      <c r="C1170" t="str">
        <f>IF(INDEX(tblCleanData[MonthlyIncome],1162)&lt;=$B$3,"Low Income",IF(INDEX(tblCleanData[MonthlyIncome],1162)&lt;=$B$4,"Medium Income","High Income"))</f>
        <v>High Income</v>
      </c>
      <c r="D1170">
        <f>IF(INDEX(tblCleanData[Attrition],1162)="Yes",1,0)</f>
        <v>0</v>
      </c>
      <c r="E1170">
        <f>IF(INDEX(tblCleanData[OverTime],1162)="Yes",1,0)</f>
        <v>1</v>
      </c>
      <c r="F1170" t="str">
        <f>CHOOSE(INDEX(tblCleanData[Education],1162),"Below College","College","Bachelor","Master","Doctor")</f>
        <v>College</v>
      </c>
      <c r="G1170" t="str">
        <f>IF(INDEX(tblCleanData[YearsAtCompany],1162)&lt;=2,"0-2 Years",IF(INDEX(tblCleanData[YearsAtCompany],1162)&lt;=5,"3-5 Years",IF(INDEX(tblCleanData[YearsAtCompany],1162)&lt;=10,"6-10 Years","10+ Years")))</f>
        <v>3-5 Years</v>
      </c>
      <c r="H1170" t="str">
        <f>IF(INDEX(tblCleanData[WorkLifeBalance],1162)&lt;=2,"Elevated","Normal")</f>
        <v>Normal</v>
      </c>
      <c r="I1170">
        <f>IF(INDEX(tblCleanData[Age],1162)&lt;30,30,IF(INDEX(tblCleanData[Age],1162)&lt;40,20,IF(INDEX(tblCleanData[Age],1162)&lt;50,10,15)))</f>
        <v>20</v>
      </c>
      <c r="J1170">
        <f>IF(INDEX(tblCleanData[MonthlyIncome],1162)&lt;=$B$3,25,IF(INDEX(tblCleanData[MonthlyIncome],1162)&lt;=$B$4,12,5))</f>
        <v>5</v>
      </c>
      <c r="K1170">
        <f>IF(INDEX(tblCleanData[OverTime],1162)="Yes",25,0)</f>
        <v>25</v>
      </c>
      <c r="L1170">
        <f>(5-INDEX(tblCleanData[JobSatisfaction],1162))*6.25</f>
        <v>12.5</v>
      </c>
      <c r="M1170">
        <f>IF(INDEX(tblCleanData[YearsAtCompany],1162)&lt;=2,25,IF(INDEX(tblCleanData[YearsAtCompany],1162)&lt;=5,15,IF(INDEX(tblCleanData[YearsAtCompany],1162)&lt;=10,8,3)))</f>
        <v>15</v>
      </c>
      <c r="N1170">
        <f t="shared" si="36"/>
        <v>78</v>
      </c>
      <c r="O1170" t="str">
        <f t="shared" si="37"/>
        <v>High Risk</v>
      </c>
    </row>
    <row r="1171" spans="1:15" x14ac:dyDescent="0.25">
      <c r="A1171">
        <f>INDEX(tblCleanData[EmployeeNumber],1163)</f>
        <v>1639</v>
      </c>
      <c r="B1171" t="str">
        <f>IF(INDEX(tblCleanData[Age],1163)&lt;30,"Under 30",IF(INDEX(tblCleanData[Age],1163)&lt;40,"30-39",IF(INDEX(tblCleanData[Age],1163)&lt;50,"40-49","50+")))</f>
        <v>30-39</v>
      </c>
      <c r="C1171" t="str">
        <f>IF(INDEX(tblCleanData[MonthlyIncome],1163)&lt;=$B$3,"Low Income",IF(INDEX(tblCleanData[MonthlyIncome],1163)&lt;=$B$4,"Medium Income","High Income"))</f>
        <v>High Income</v>
      </c>
      <c r="D1171">
        <f>IF(INDEX(tblCleanData[Attrition],1163)="Yes",1,0)</f>
        <v>1</v>
      </c>
      <c r="E1171">
        <f>IF(INDEX(tblCleanData[OverTime],1163)="Yes",1,0)</f>
        <v>0</v>
      </c>
      <c r="F1171" t="str">
        <f>CHOOSE(INDEX(tblCleanData[Education],1163),"Below College","College","Bachelor","Master","Doctor")</f>
        <v>Bachelor</v>
      </c>
      <c r="G1171" t="str">
        <f>IF(INDEX(tblCleanData[YearsAtCompany],1163)&lt;=2,"0-2 Years",IF(INDEX(tblCleanData[YearsAtCompany],1163)&lt;=5,"3-5 Years",IF(INDEX(tblCleanData[YearsAtCompany],1163)&lt;=10,"6-10 Years","10+ Years")))</f>
        <v>10+ Years</v>
      </c>
      <c r="H1171" t="str">
        <f>IF(INDEX(tblCleanData[WorkLifeBalance],1163)&lt;=2,"Elevated","Normal")</f>
        <v>Normal</v>
      </c>
      <c r="I1171">
        <f>IF(INDEX(tblCleanData[Age],1163)&lt;30,30,IF(INDEX(tblCleanData[Age],1163)&lt;40,20,IF(INDEX(tblCleanData[Age],1163)&lt;50,10,15)))</f>
        <v>20</v>
      </c>
      <c r="J1171">
        <f>IF(INDEX(tblCleanData[MonthlyIncome],1163)&lt;=$B$3,25,IF(INDEX(tblCleanData[MonthlyIncome],1163)&lt;=$B$4,12,5))</f>
        <v>5</v>
      </c>
      <c r="K1171">
        <f>IF(INDEX(tblCleanData[OverTime],1163)="Yes",25,0)</f>
        <v>0</v>
      </c>
      <c r="L1171">
        <f>(5-INDEX(tblCleanData[JobSatisfaction],1163))*6.25</f>
        <v>25</v>
      </c>
      <c r="M1171">
        <f>IF(INDEX(tblCleanData[YearsAtCompany],1163)&lt;=2,25,IF(INDEX(tblCleanData[YearsAtCompany],1163)&lt;=5,15,IF(INDEX(tblCleanData[YearsAtCompany],1163)&lt;=10,8,3)))</f>
        <v>3</v>
      </c>
      <c r="N1171">
        <f t="shared" si="36"/>
        <v>53</v>
      </c>
      <c r="O1171" t="str">
        <f t="shared" si="37"/>
        <v>Medium Risk</v>
      </c>
    </row>
    <row r="1172" spans="1:15" x14ac:dyDescent="0.25">
      <c r="A1172">
        <f>INDEX(tblCleanData[EmployeeNumber],1164)</f>
        <v>1640</v>
      </c>
      <c r="B1172" t="str">
        <f>IF(INDEX(tblCleanData[Age],1164)&lt;30,"Under 30",IF(INDEX(tblCleanData[Age],1164)&lt;40,"30-39",IF(INDEX(tblCleanData[Age],1164)&lt;50,"40-49","50+")))</f>
        <v>30-39</v>
      </c>
      <c r="C1172" t="str">
        <f>IF(INDEX(tblCleanData[MonthlyIncome],1164)&lt;=$B$3,"Low Income",IF(INDEX(tblCleanData[MonthlyIncome],1164)&lt;=$B$4,"Medium Income","High Income"))</f>
        <v>High Income</v>
      </c>
      <c r="D1172">
        <f>IF(INDEX(tblCleanData[Attrition],1164)="Yes",1,0)</f>
        <v>0</v>
      </c>
      <c r="E1172">
        <f>IF(INDEX(tblCleanData[OverTime],1164)="Yes",1,0)</f>
        <v>0</v>
      </c>
      <c r="F1172" t="str">
        <f>CHOOSE(INDEX(tblCleanData[Education],1164),"Below College","College","Bachelor","Master","Doctor")</f>
        <v>Bachelor</v>
      </c>
      <c r="G1172" t="str">
        <f>IF(INDEX(tblCleanData[YearsAtCompany],1164)&lt;=2,"0-2 Years",IF(INDEX(tblCleanData[YearsAtCompany],1164)&lt;=5,"3-5 Years",IF(INDEX(tblCleanData[YearsAtCompany],1164)&lt;=10,"6-10 Years","10+ Years")))</f>
        <v>6-10 Years</v>
      </c>
      <c r="H1172" t="str">
        <f>IF(INDEX(tblCleanData[WorkLifeBalance],1164)&lt;=2,"Elevated","Normal")</f>
        <v>Elevated</v>
      </c>
      <c r="I1172">
        <f>IF(INDEX(tblCleanData[Age],1164)&lt;30,30,IF(INDEX(tblCleanData[Age],1164)&lt;40,20,IF(INDEX(tblCleanData[Age],1164)&lt;50,10,15)))</f>
        <v>20</v>
      </c>
      <c r="J1172">
        <f>IF(INDEX(tblCleanData[MonthlyIncome],1164)&lt;=$B$3,25,IF(INDEX(tblCleanData[MonthlyIncome],1164)&lt;=$B$4,12,5))</f>
        <v>5</v>
      </c>
      <c r="K1172">
        <f>IF(INDEX(tblCleanData[OverTime],1164)="Yes",25,0)</f>
        <v>0</v>
      </c>
      <c r="L1172">
        <f>(5-INDEX(tblCleanData[JobSatisfaction],1164))*6.25</f>
        <v>18.75</v>
      </c>
      <c r="M1172">
        <f>IF(INDEX(tblCleanData[YearsAtCompany],1164)&lt;=2,25,IF(INDEX(tblCleanData[YearsAtCompany],1164)&lt;=5,15,IF(INDEX(tblCleanData[YearsAtCompany],1164)&lt;=10,8,3)))</f>
        <v>8</v>
      </c>
      <c r="N1172">
        <f t="shared" si="36"/>
        <v>52</v>
      </c>
      <c r="O1172" t="str">
        <f t="shared" si="37"/>
        <v>Medium Risk</v>
      </c>
    </row>
    <row r="1173" spans="1:15" x14ac:dyDescent="0.25">
      <c r="A1173">
        <f>INDEX(tblCleanData[EmployeeNumber],1165)</f>
        <v>1641</v>
      </c>
      <c r="B1173" t="str">
        <f>IF(INDEX(tblCleanData[Age],1165)&lt;30,"Under 30",IF(INDEX(tblCleanData[Age],1165)&lt;40,"30-39",IF(INDEX(tblCleanData[Age],1165)&lt;50,"40-49","50+")))</f>
        <v>40-49</v>
      </c>
      <c r="C1173" t="str">
        <f>IF(INDEX(tblCleanData[MonthlyIncome],1165)&lt;=$B$3,"Low Income",IF(INDEX(tblCleanData[MonthlyIncome],1165)&lt;=$B$4,"Medium Income","High Income"))</f>
        <v>High Income</v>
      </c>
      <c r="D1173">
        <f>IF(INDEX(tblCleanData[Attrition],1165)="Yes",1,0)</f>
        <v>0</v>
      </c>
      <c r="E1173">
        <f>IF(INDEX(tblCleanData[OverTime],1165)="Yes",1,0)</f>
        <v>1</v>
      </c>
      <c r="F1173" t="str">
        <f>CHOOSE(INDEX(tblCleanData[Education],1165),"Below College","College","Bachelor","Master","Doctor")</f>
        <v>Bachelor</v>
      </c>
      <c r="G1173" t="str">
        <f>IF(INDEX(tblCleanData[YearsAtCompany],1165)&lt;=2,"0-2 Years",IF(INDEX(tblCleanData[YearsAtCompany],1165)&lt;=5,"3-5 Years",IF(INDEX(tblCleanData[YearsAtCompany],1165)&lt;=10,"6-10 Years","10+ Years")))</f>
        <v>3-5 Years</v>
      </c>
      <c r="H1173" t="str">
        <f>IF(INDEX(tblCleanData[WorkLifeBalance],1165)&lt;=2,"Elevated","Normal")</f>
        <v>Elevated</v>
      </c>
      <c r="I1173">
        <f>IF(INDEX(tblCleanData[Age],1165)&lt;30,30,IF(INDEX(tblCleanData[Age],1165)&lt;40,20,IF(INDEX(tblCleanData[Age],1165)&lt;50,10,15)))</f>
        <v>10</v>
      </c>
      <c r="J1173">
        <f>IF(INDEX(tblCleanData[MonthlyIncome],1165)&lt;=$B$3,25,IF(INDEX(tblCleanData[MonthlyIncome],1165)&lt;=$B$4,12,5))</f>
        <v>5</v>
      </c>
      <c r="K1173">
        <f>IF(INDEX(tblCleanData[OverTime],1165)="Yes",25,0)</f>
        <v>25</v>
      </c>
      <c r="L1173">
        <f>(5-INDEX(tblCleanData[JobSatisfaction],1165))*6.25</f>
        <v>6.25</v>
      </c>
      <c r="M1173">
        <f>IF(INDEX(tblCleanData[YearsAtCompany],1165)&lt;=2,25,IF(INDEX(tblCleanData[YearsAtCompany],1165)&lt;=5,15,IF(INDEX(tblCleanData[YearsAtCompany],1165)&lt;=10,8,3)))</f>
        <v>15</v>
      </c>
      <c r="N1173">
        <f t="shared" si="36"/>
        <v>61</v>
      </c>
      <c r="O1173" t="str">
        <f t="shared" si="37"/>
        <v>High Risk</v>
      </c>
    </row>
    <row r="1174" spans="1:15" x14ac:dyDescent="0.25">
      <c r="A1174">
        <f>INDEX(tblCleanData[EmployeeNumber],1166)</f>
        <v>1642</v>
      </c>
      <c r="B1174" t="str">
        <f>IF(INDEX(tblCleanData[Age],1166)&lt;30,"Under 30",IF(INDEX(tblCleanData[Age],1166)&lt;40,"30-39",IF(INDEX(tblCleanData[Age],1166)&lt;50,"40-49","50+")))</f>
        <v>40-49</v>
      </c>
      <c r="C1174" t="str">
        <f>IF(INDEX(tblCleanData[MonthlyIncome],1166)&lt;=$B$3,"Low Income",IF(INDEX(tblCleanData[MonthlyIncome],1166)&lt;=$B$4,"Medium Income","High Income"))</f>
        <v>High Income</v>
      </c>
      <c r="D1174">
        <f>IF(INDEX(tblCleanData[Attrition],1166)="Yes",1,0)</f>
        <v>0</v>
      </c>
      <c r="E1174">
        <f>IF(INDEX(tblCleanData[OverTime],1166)="Yes",1,0)</f>
        <v>1</v>
      </c>
      <c r="F1174" t="str">
        <f>CHOOSE(INDEX(tblCleanData[Education],1166),"Below College","College","Bachelor","Master","Doctor")</f>
        <v>Doctor</v>
      </c>
      <c r="G1174" t="str">
        <f>IF(INDEX(tblCleanData[YearsAtCompany],1166)&lt;=2,"0-2 Years",IF(INDEX(tblCleanData[YearsAtCompany],1166)&lt;=5,"3-5 Years",IF(INDEX(tblCleanData[YearsAtCompany],1166)&lt;=10,"6-10 Years","10+ Years")))</f>
        <v>6-10 Years</v>
      </c>
      <c r="H1174" t="str">
        <f>IF(INDEX(tblCleanData[WorkLifeBalance],1166)&lt;=2,"Elevated","Normal")</f>
        <v>Normal</v>
      </c>
      <c r="I1174">
        <f>IF(INDEX(tblCleanData[Age],1166)&lt;30,30,IF(INDEX(tblCleanData[Age],1166)&lt;40,20,IF(INDEX(tblCleanData[Age],1166)&lt;50,10,15)))</f>
        <v>10</v>
      </c>
      <c r="J1174">
        <f>IF(INDEX(tblCleanData[MonthlyIncome],1166)&lt;=$B$3,25,IF(INDEX(tblCleanData[MonthlyIncome],1166)&lt;=$B$4,12,5))</f>
        <v>5</v>
      </c>
      <c r="K1174">
        <f>IF(INDEX(tblCleanData[OverTime],1166)="Yes",25,0)</f>
        <v>25</v>
      </c>
      <c r="L1174">
        <f>(5-INDEX(tblCleanData[JobSatisfaction],1166))*6.25</f>
        <v>6.25</v>
      </c>
      <c r="M1174">
        <f>IF(INDEX(tblCleanData[YearsAtCompany],1166)&lt;=2,25,IF(INDEX(tblCleanData[YearsAtCompany],1166)&lt;=5,15,IF(INDEX(tblCleanData[YearsAtCompany],1166)&lt;=10,8,3)))</f>
        <v>8</v>
      </c>
      <c r="N1174">
        <f t="shared" si="36"/>
        <v>54</v>
      </c>
      <c r="O1174" t="str">
        <f t="shared" si="37"/>
        <v>Medium Risk</v>
      </c>
    </row>
    <row r="1175" spans="1:15" x14ac:dyDescent="0.25">
      <c r="A1175">
        <f>INDEX(tblCleanData[EmployeeNumber],1167)</f>
        <v>1644</v>
      </c>
      <c r="B1175" t="str">
        <f>IF(INDEX(tblCleanData[Age],1167)&lt;30,"Under 30",IF(INDEX(tblCleanData[Age],1167)&lt;40,"30-39",IF(INDEX(tblCleanData[Age],1167)&lt;50,"40-49","50+")))</f>
        <v>40-49</v>
      </c>
      <c r="C1175" t="str">
        <f>IF(INDEX(tblCleanData[MonthlyIncome],1167)&lt;=$B$3,"Low Income",IF(INDEX(tblCleanData[MonthlyIncome],1167)&lt;=$B$4,"Medium Income","High Income"))</f>
        <v>High Income</v>
      </c>
      <c r="D1175">
        <f>IF(INDEX(tblCleanData[Attrition],1167)="Yes",1,0)</f>
        <v>0</v>
      </c>
      <c r="E1175">
        <f>IF(INDEX(tblCleanData[OverTime],1167)="Yes",1,0)</f>
        <v>0</v>
      </c>
      <c r="F1175" t="str">
        <f>CHOOSE(INDEX(tblCleanData[Education],1167),"Below College","College","Bachelor","Master","Doctor")</f>
        <v>Doctor</v>
      </c>
      <c r="G1175" t="str">
        <f>IF(INDEX(tblCleanData[YearsAtCompany],1167)&lt;=2,"0-2 Years",IF(INDEX(tblCleanData[YearsAtCompany],1167)&lt;=5,"3-5 Years",IF(INDEX(tblCleanData[YearsAtCompany],1167)&lt;=10,"6-10 Years","10+ Years")))</f>
        <v>0-2 Years</v>
      </c>
      <c r="H1175" t="str">
        <f>IF(INDEX(tblCleanData[WorkLifeBalance],1167)&lt;=2,"Elevated","Normal")</f>
        <v>Normal</v>
      </c>
      <c r="I1175">
        <f>IF(INDEX(tblCleanData[Age],1167)&lt;30,30,IF(INDEX(tblCleanData[Age],1167)&lt;40,20,IF(INDEX(tblCleanData[Age],1167)&lt;50,10,15)))</f>
        <v>10</v>
      </c>
      <c r="J1175">
        <f>IF(INDEX(tblCleanData[MonthlyIncome],1167)&lt;=$B$3,25,IF(INDEX(tblCleanData[MonthlyIncome],1167)&lt;=$B$4,12,5))</f>
        <v>5</v>
      </c>
      <c r="K1175">
        <f>IF(INDEX(tblCleanData[OverTime],1167)="Yes",25,0)</f>
        <v>0</v>
      </c>
      <c r="L1175">
        <f>(5-INDEX(tblCleanData[JobSatisfaction],1167))*6.25</f>
        <v>6.25</v>
      </c>
      <c r="M1175">
        <f>IF(INDEX(tblCleanData[YearsAtCompany],1167)&lt;=2,25,IF(INDEX(tblCleanData[YearsAtCompany],1167)&lt;=5,15,IF(INDEX(tblCleanData[YearsAtCompany],1167)&lt;=10,8,3)))</f>
        <v>25</v>
      </c>
      <c r="N1175">
        <f t="shared" si="36"/>
        <v>46</v>
      </c>
      <c r="O1175" t="str">
        <f t="shared" si="37"/>
        <v>Medium Risk</v>
      </c>
    </row>
    <row r="1176" spans="1:15" x14ac:dyDescent="0.25">
      <c r="A1176">
        <f>INDEX(tblCleanData[EmployeeNumber],1168)</f>
        <v>1645</v>
      </c>
      <c r="B1176" t="str">
        <f>IF(INDEX(tblCleanData[Age],1168)&lt;30,"Under 30",IF(INDEX(tblCleanData[Age],1168)&lt;40,"30-39",IF(INDEX(tblCleanData[Age],1168)&lt;50,"40-49","50+")))</f>
        <v>30-39</v>
      </c>
      <c r="C1176" t="str">
        <f>IF(INDEX(tblCleanData[MonthlyIncome],1168)&lt;=$B$3,"Low Income",IF(INDEX(tblCleanData[MonthlyIncome],1168)&lt;=$B$4,"Medium Income","High Income"))</f>
        <v>High Income</v>
      </c>
      <c r="D1176">
        <f>IF(INDEX(tblCleanData[Attrition],1168)="Yes",1,0)</f>
        <v>1</v>
      </c>
      <c r="E1176">
        <f>IF(INDEX(tblCleanData[OverTime],1168)="Yes",1,0)</f>
        <v>1</v>
      </c>
      <c r="F1176" t="str">
        <f>CHOOSE(INDEX(tblCleanData[Education],1168),"Below College","College","Bachelor","Master","Doctor")</f>
        <v>College</v>
      </c>
      <c r="G1176" t="str">
        <f>IF(INDEX(tblCleanData[YearsAtCompany],1168)&lt;=2,"0-2 Years",IF(INDEX(tblCleanData[YearsAtCompany],1168)&lt;=5,"3-5 Years",IF(INDEX(tblCleanData[YearsAtCompany],1168)&lt;=10,"6-10 Years","10+ Years")))</f>
        <v>0-2 Years</v>
      </c>
      <c r="H1176" t="str">
        <f>IF(INDEX(tblCleanData[WorkLifeBalance],1168)&lt;=2,"Elevated","Normal")</f>
        <v>Elevated</v>
      </c>
      <c r="I1176">
        <f>IF(INDEX(tblCleanData[Age],1168)&lt;30,30,IF(INDEX(tblCleanData[Age],1168)&lt;40,20,IF(INDEX(tblCleanData[Age],1168)&lt;50,10,15)))</f>
        <v>20</v>
      </c>
      <c r="J1176">
        <f>IF(INDEX(tblCleanData[MonthlyIncome],1168)&lt;=$B$3,25,IF(INDEX(tblCleanData[MonthlyIncome],1168)&lt;=$B$4,12,5))</f>
        <v>5</v>
      </c>
      <c r="K1176">
        <f>IF(INDEX(tblCleanData[OverTime],1168)="Yes",25,0)</f>
        <v>25</v>
      </c>
      <c r="L1176">
        <f>(5-INDEX(tblCleanData[JobSatisfaction],1168))*6.25</f>
        <v>6.25</v>
      </c>
      <c r="M1176">
        <f>IF(INDEX(tblCleanData[YearsAtCompany],1168)&lt;=2,25,IF(INDEX(tblCleanData[YearsAtCompany],1168)&lt;=5,15,IF(INDEX(tblCleanData[YearsAtCompany],1168)&lt;=10,8,3)))</f>
        <v>25</v>
      </c>
      <c r="N1176">
        <f t="shared" si="36"/>
        <v>81</v>
      </c>
      <c r="O1176" t="str">
        <f t="shared" si="37"/>
        <v>High Risk</v>
      </c>
    </row>
    <row r="1177" spans="1:15" x14ac:dyDescent="0.25">
      <c r="A1177">
        <f>INDEX(tblCleanData[EmployeeNumber],1169)</f>
        <v>1646</v>
      </c>
      <c r="B1177" t="str">
        <f>IF(INDEX(tblCleanData[Age],1169)&lt;30,"Under 30",IF(INDEX(tblCleanData[Age],1169)&lt;40,"30-39",IF(INDEX(tblCleanData[Age],1169)&lt;50,"40-49","50+")))</f>
        <v>Under 30</v>
      </c>
      <c r="C1177" t="str">
        <f>IF(INDEX(tblCleanData[MonthlyIncome],1169)&lt;=$B$3,"Low Income",IF(INDEX(tblCleanData[MonthlyIncome],1169)&lt;=$B$4,"Medium Income","High Income"))</f>
        <v>High Income</v>
      </c>
      <c r="D1177">
        <f>IF(INDEX(tblCleanData[Attrition],1169)="Yes",1,0)</f>
        <v>0</v>
      </c>
      <c r="E1177">
        <f>IF(INDEX(tblCleanData[OverTime],1169)="Yes",1,0)</f>
        <v>1</v>
      </c>
      <c r="F1177" t="str">
        <f>CHOOSE(INDEX(tblCleanData[Education],1169),"Below College","College","Bachelor","Master","Doctor")</f>
        <v>Below College</v>
      </c>
      <c r="G1177" t="str">
        <f>IF(INDEX(tblCleanData[YearsAtCompany],1169)&lt;=2,"0-2 Years",IF(INDEX(tblCleanData[YearsAtCompany],1169)&lt;=5,"3-5 Years",IF(INDEX(tblCleanData[YearsAtCompany],1169)&lt;=10,"6-10 Years","10+ Years")))</f>
        <v>6-10 Years</v>
      </c>
      <c r="H1177" t="str">
        <f>IF(INDEX(tblCleanData[WorkLifeBalance],1169)&lt;=2,"Elevated","Normal")</f>
        <v>Normal</v>
      </c>
      <c r="I1177">
        <f>IF(INDEX(tblCleanData[Age],1169)&lt;30,30,IF(INDEX(tblCleanData[Age],1169)&lt;40,20,IF(INDEX(tblCleanData[Age],1169)&lt;50,10,15)))</f>
        <v>30</v>
      </c>
      <c r="J1177">
        <f>IF(INDEX(tblCleanData[MonthlyIncome],1169)&lt;=$B$3,25,IF(INDEX(tblCleanData[MonthlyIncome],1169)&lt;=$B$4,12,5))</f>
        <v>5</v>
      </c>
      <c r="K1177">
        <f>IF(INDEX(tblCleanData[OverTime],1169)="Yes",25,0)</f>
        <v>25</v>
      </c>
      <c r="L1177">
        <f>(5-INDEX(tblCleanData[JobSatisfaction],1169))*6.25</f>
        <v>6.25</v>
      </c>
      <c r="M1177">
        <f>IF(INDEX(tblCleanData[YearsAtCompany],1169)&lt;=2,25,IF(INDEX(tblCleanData[YearsAtCompany],1169)&lt;=5,15,IF(INDEX(tblCleanData[YearsAtCompany],1169)&lt;=10,8,3)))</f>
        <v>8</v>
      </c>
      <c r="N1177">
        <f t="shared" si="36"/>
        <v>74</v>
      </c>
      <c r="O1177" t="str">
        <f t="shared" si="37"/>
        <v>High Risk</v>
      </c>
    </row>
    <row r="1178" spans="1:15" x14ac:dyDescent="0.25">
      <c r="A1178">
        <f>INDEX(tblCleanData[EmployeeNumber],1170)</f>
        <v>1647</v>
      </c>
      <c r="B1178" t="str">
        <f>IF(INDEX(tblCleanData[Age],1170)&lt;30,"Under 30",IF(INDEX(tblCleanData[Age],1170)&lt;40,"30-39",IF(INDEX(tblCleanData[Age],1170)&lt;50,"40-49","50+")))</f>
        <v>Under 30</v>
      </c>
      <c r="C1178" t="str">
        <f>IF(INDEX(tblCleanData[MonthlyIncome],1170)&lt;=$B$3,"Low Income",IF(INDEX(tblCleanData[MonthlyIncome],1170)&lt;=$B$4,"Medium Income","High Income"))</f>
        <v>High Income</v>
      </c>
      <c r="D1178">
        <f>IF(INDEX(tblCleanData[Attrition],1170)="Yes",1,0)</f>
        <v>0</v>
      </c>
      <c r="E1178">
        <f>IF(INDEX(tblCleanData[OverTime],1170)="Yes",1,0)</f>
        <v>0</v>
      </c>
      <c r="F1178" t="str">
        <f>CHOOSE(INDEX(tblCleanData[Education],1170),"Below College","College","Bachelor","Master","Doctor")</f>
        <v>Bachelor</v>
      </c>
      <c r="G1178" t="str">
        <f>IF(INDEX(tblCleanData[YearsAtCompany],1170)&lt;=2,"0-2 Years",IF(INDEX(tblCleanData[YearsAtCompany],1170)&lt;=5,"3-5 Years",IF(INDEX(tblCleanData[YearsAtCompany],1170)&lt;=10,"6-10 Years","10+ Years")))</f>
        <v>3-5 Years</v>
      </c>
      <c r="H1178" t="str">
        <f>IF(INDEX(tblCleanData[WorkLifeBalance],1170)&lt;=2,"Elevated","Normal")</f>
        <v>Normal</v>
      </c>
      <c r="I1178">
        <f>IF(INDEX(tblCleanData[Age],1170)&lt;30,30,IF(INDEX(tblCleanData[Age],1170)&lt;40,20,IF(INDEX(tblCleanData[Age],1170)&lt;50,10,15)))</f>
        <v>30</v>
      </c>
      <c r="J1178">
        <f>IF(INDEX(tblCleanData[MonthlyIncome],1170)&lt;=$B$3,25,IF(INDEX(tblCleanData[MonthlyIncome],1170)&lt;=$B$4,12,5))</f>
        <v>5</v>
      </c>
      <c r="K1178">
        <f>IF(INDEX(tblCleanData[OverTime],1170)="Yes",25,0)</f>
        <v>0</v>
      </c>
      <c r="L1178">
        <f>(5-INDEX(tblCleanData[JobSatisfaction],1170))*6.25</f>
        <v>12.5</v>
      </c>
      <c r="M1178">
        <f>IF(INDEX(tblCleanData[YearsAtCompany],1170)&lt;=2,25,IF(INDEX(tblCleanData[YearsAtCompany],1170)&lt;=5,15,IF(INDEX(tblCleanData[YearsAtCompany],1170)&lt;=10,8,3)))</f>
        <v>15</v>
      </c>
      <c r="N1178">
        <f t="shared" si="36"/>
        <v>63</v>
      </c>
      <c r="O1178" t="str">
        <f t="shared" si="37"/>
        <v>High Risk</v>
      </c>
    </row>
    <row r="1179" spans="1:15" x14ac:dyDescent="0.25">
      <c r="A1179">
        <f>INDEX(tblCleanData[EmployeeNumber],1171)</f>
        <v>1648</v>
      </c>
      <c r="B1179" t="str">
        <f>IF(INDEX(tblCleanData[Age],1171)&lt;30,"Under 30",IF(INDEX(tblCleanData[Age],1171)&lt;40,"30-39",IF(INDEX(tblCleanData[Age],1171)&lt;50,"40-49","50+")))</f>
        <v>Under 30</v>
      </c>
      <c r="C1179" t="str">
        <f>IF(INDEX(tblCleanData[MonthlyIncome],1171)&lt;=$B$3,"Low Income",IF(INDEX(tblCleanData[MonthlyIncome],1171)&lt;=$B$4,"Medium Income","High Income"))</f>
        <v>High Income</v>
      </c>
      <c r="D1179">
        <f>IF(INDEX(tblCleanData[Attrition],1171)="Yes",1,0)</f>
        <v>0</v>
      </c>
      <c r="E1179">
        <f>IF(INDEX(tblCleanData[OverTime],1171)="Yes",1,0)</f>
        <v>0</v>
      </c>
      <c r="F1179" t="str">
        <f>CHOOSE(INDEX(tblCleanData[Education],1171),"Below College","College","Bachelor","Master","Doctor")</f>
        <v>Bachelor</v>
      </c>
      <c r="G1179" t="str">
        <f>IF(INDEX(tblCleanData[YearsAtCompany],1171)&lt;=2,"0-2 Years",IF(INDEX(tblCleanData[YearsAtCompany],1171)&lt;=5,"3-5 Years",IF(INDEX(tblCleanData[YearsAtCompany],1171)&lt;=10,"6-10 Years","10+ Years")))</f>
        <v>3-5 Years</v>
      </c>
      <c r="H1179" t="str">
        <f>IF(INDEX(tblCleanData[WorkLifeBalance],1171)&lt;=2,"Elevated","Normal")</f>
        <v>Elevated</v>
      </c>
      <c r="I1179">
        <f>IF(INDEX(tblCleanData[Age],1171)&lt;30,30,IF(INDEX(tblCleanData[Age],1171)&lt;40,20,IF(INDEX(tblCleanData[Age],1171)&lt;50,10,15)))</f>
        <v>30</v>
      </c>
      <c r="J1179">
        <f>IF(INDEX(tblCleanData[MonthlyIncome],1171)&lt;=$B$3,25,IF(INDEX(tblCleanData[MonthlyIncome],1171)&lt;=$B$4,12,5))</f>
        <v>5</v>
      </c>
      <c r="K1179">
        <f>IF(INDEX(tblCleanData[OverTime],1171)="Yes",25,0)</f>
        <v>0</v>
      </c>
      <c r="L1179">
        <f>(5-INDEX(tblCleanData[JobSatisfaction],1171))*6.25</f>
        <v>6.25</v>
      </c>
      <c r="M1179">
        <f>IF(INDEX(tblCleanData[YearsAtCompany],1171)&lt;=2,25,IF(INDEX(tblCleanData[YearsAtCompany],1171)&lt;=5,15,IF(INDEX(tblCleanData[YearsAtCompany],1171)&lt;=10,8,3)))</f>
        <v>15</v>
      </c>
      <c r="N1179">
        <f t="shared" si="36"/>
        <v>56</v>
      </c>
      <c r="O1179" t="str">
        <f t="shared" si="37"/>
        <v>High Risk</v>
      </c>
    </row>
    <row r="1180" spans="1:15" x14ac:dyDescent="0.25">
      <c r="A1180">
        <f>INDEX(tblCleanData[EmployeeNumber],1172)</f>
        <v>1649</v>
      </c>
      <c r="B1180" t="str">
        <f>IF(INDEX(tblCleanData[Age],1172)&lt;30,"Under 30",IF(INDEX(tblCleanData[Age],1172)&lt;40,"30-39",IF(INDEX(tblCleanData[Age],1172)&lt;50,"40-49","50+")))</f>
        <v>40-49</v>
      </c>
      <c r="C1180" t="str">
        <f>IF(INDEX(tblCleanData[MonthlyIncome],1172)&lt;=$B$3,"Low Income",IF(INDEX(tblCleanData[MonthlyIncome],1172)&lt;=$B$4,"Medium Income","High Income"))</f>
        <v>High Income</v>
      </c>
      <c r="D1180">
        <f>IF(INDEX(tblCleanData[Attrition],1172)="Yes",1,0)</f>
        <v>1</v>
      </c>
      <c r="E1180">
        <f>IF(INDEX(tblCleanData[OverTime],1172)="Yes",1,0)</f>
        <v>1</v>
      </c>
      <c r="F1180" t="str">
        <f>CHOOSE(INDEX(tblCleanData[Education],1172),"Below College","College","Bachelor","Master","Doctor")</f>
        <v>Bachelor</v>
      </c>
      <c r="G1180" t="str">
        <f>IF(INDEX(tblCleanData[YearsAtCompany],1172)&lt;=2,"0-2 Years",IF(INDEX(tblCleanData[YearsAtCompany],1172)&lt;=5,"3-5 Years",IF(INDEX(tblCleanData[YearsAtCompany],1172)&lt;=10,"6-10 Years","10+ Years")))</f>
        <v>3-5 Years</v>
      </c>
      <c r="H1180" t="str">
        <f>IF(INDEX(tblCleanData[WorkLifeBalance],1172)&lt;=2,"Elevated","Normal")</f>
        <v>Elevated</v>
      </c>
      <c r="I1180">
        <f>IF(INDEX(tblCleanData[Age],1172)&lt;30,30,IF(INDEX(tblCleanData[Age],1172)&lt;40,20,IF(INDEX(tblCleanData[Age],1172)&lt;50,10,15)))</f>
        <v>10</v>
      </c>
      <c r="J1180">
        <f>IF(INDEX(tblCleanData[MonthlyIncome],1172)&lt;=$B$3,25,IF(INDEX(tblCleanData[MonthlyIncome],1172)&lt;=$B$4,12,5))</f>
        <v>5</v>
      </c>
      <c r="K1180">
        <f>IF(INDEX(tblCleanData[OverTime],1172)="Yes",25,0)</f>
        <v>25</v>
      </c>
      <c r="L1180">
        <f>(5-INDEX(tblCleanData[JobSatisfaction],1172))*6.25</f>
        <v>25</v>
      </c>
      <c r="M1180">
        <f>IF(INDEX(tblCleanData[YearsAtCompany],1172)&lt;=2,25,IF(INDEX(tblCleanData[YearsAtCompany],1172)&lt;=5,15,IF(INDEX(tblCleanData[YearsAtCompany],1172)&lt;=10,8,3)))</f>
        <v>15</v>
      </c>
      <c r="N1180">
        <f t="shared" si="36"/>
        <v>80</v>
      </c>
      <c r="O1180" t="str">
        <f t="shared" si="37"/>
        <v>High Risk</v>
      </c>
    </row>
    <row r="1181" spans="1:15" x14ac:dyDescent="0.25">
      <c r="A1181">
        <f>INDEX(tblCleanData[EmployeeNumber],1173)</f>
        <v>1650</v>
      </c>
      <c r="B1181" t="str">
        <f>IF(INDEX(tblCleanData[Age],1173)&lt;30,"Under 30",IF(INDEX(tblCleanData[Age],1173)&lt;40,"30-39",IF(INDEX(tblCleanData[Age],1173)&lt;50,"40-49","50+")))</f>
        <v>Under 30</v>
      </c>
      <c r="C1181" t="str">
        <f>IF(INDEX(tblCleanData[MonthlyIncome],1173)&lt;=$B$3,"Low Income",IF(INDEX(tblCleanData[MonthlyIncome],1173)&lt;=$B$4,"Medium Income","High Income"))</f>
        <v>High Income</v>
      </c>
      <c r="D1181">
        <f>IF(INDEX(tblCleanData[Attrition],1173)="Yes",1,0)</f>
        <v>0</v>
      </c>
      <c r="E1181">
        <f>IF(INDEX(tblCleanData[OverTime],1173)="Yes",1,0)</f>
        <v>0</v>
      </c>
      <c r="F1181" t="str">
        <f>CHOOSE(INDEX(tblCleanData[Education],1173),"Below College","College","Bachelor","Master","Doctor")</f>
        <v>Bachelor</v>
      </c>
      <c r="G1181" t="str">
        <f>IF(INDEX(tblCleanData[YearsAtCompany],1173)&lt;=2,"0-2 Years",IF(INDEX(tblCleanData[YearsAtCompany],1173)&lt;=5,"3-5 Years",IF(INDEX(tblCleanData[YearsAtCompany],1173)&lt;=10,"6-10 Years","10+ Years")))</f>
        <v>3-5 Years</v>
      </c>
      <c r="H1181" t="str">
        <f>IF(INDEX(tblCleanData[WorkLifeBalance],1173)&lt;=2,"Elevated","Normal")</f>
        <v>Normal</v>
      </c>
      <c r="I1181">
        <f>IF(INDEX(tblCleanData[Age],1173)&lt;30,30,IF(INDEX(tblCleanData[Age],1173)&lt;40,20,IF(INDEX(tblCleanData[Age],1173)&lt;50,10,15)))</f>
        <v>30</v>
      </c>
      <c r="J1181">
        <f>IF(INDEX(tblCleanData[MonthlyIncome],1173)&lt;=$B$3,25,IF(INDEX(tblCleanData[MonthlyIncome],1173)&lt;=$B$4,12,5))</f>
        <v>5</v>
      </c>
      <c r="K1181">
        <f>IF(INDEX(tblCleanData[OverTime],1173)="Yes",25,0)</f>
        <v>0</v>
      </c>
      <c r="L1181">
        <f>(5-INDEX(tblCleanData[JobSatisfaction],1173))*6.25</f>
        <v>12.5</v>
      </c>
      <c r="M1181">
        <f>IF(INDEX(tblCleanData[YearsAtCompany],1173)&lt;=2,25,IF(INDEX(tblCleanData[YearsAtCompany],1173)&lt;=5,15,IF(INDEX(tblCleanData[YearsAtCompany],1173)&lt;=10,8,3)))</f>
        <v>15</v>
      </c>
      <c r="N1181">
        <f t="shared" si="36"/>
        <v>63</v>
      </c>
      <c r="O1181" t="str">
        <f t="shared" si="37"/>
        <v>High Risk</v>
      </c>
    </row>
    <row r="1182" spans="1:15" x14ac:dyDescent="0.25">
      <c r="A1182">
        <f>INDEX(tblCleanData[EmployeeNumber],1174)</f>
        <v>1651</v>
      </c>
      <c r="B1182" t="str">
        <f>IF(INDEX(tblCleanData[Age],1174)&lt;30,"Under 30",IF(INDEX(tblCleanData[Age],1174)&lt;40,"30-39",IF(INDEX(tblCleanData[Age],1174)&lt;50,"40-49","50+")))</f>
        <v>30-39</v>
      </c>
      <c r="C1182" t="str">
        <f>IF(INDEX(tblCleanData[MonthlyIncome],1174)&lt;=$B$3,"Low Income",IF(INDEX(tblCleanData[MonthlyIncome],1174)&lt;=$B$4,"Medium Income","High Income"))</f>
        <v>High Income</v>
      </c>
      <c r="D1182">
        <f>IF(INDEX(tblCleanData[Attrition],1174)="Yes",1,0)</f>
        <v>0</v>
      </c>
      <c r="E1182">
        <f>IF(INDEX(tblCleanData[OverTime],1174)="Yes",1,0)</f>
        <v>0</v>
      </c>
      <c r="F1182" t="str">
        <f>CHOOSE(INDEX(tblCleanData[Education],1174),"Below College","College","Bachelor","Master","Doctor")</f>
        <v>Master</v>
      </c>
      <c r="G1182" t="str">
        <f>IF(INDEX(tblCleanData[YearsAtCompany],1174)&lt;=2,"0-2 Years",IF(INDEX(tblCleanData[YearsAtCompany],1174)&lt;=5,"3-5 Years",IF(INDEX(tblCleanData[YearsAtCompany],1174)&lt;=10,"6-10 Years","10+ Years")))</f>
        <v>3-5 Years</v>
      </c>
      <c r="H1182" t="str">
        <f>IF(INDEX(tblCleanData[WorkLifeBalance],1174)&lt;=2,"Elevated","Normal")</f>
        <v>Normal</v>
      </c>
      <c r="I1182">
        <f>IF(INDEX(tblCleanData[Age],1174)&lt;30,30,IF(INDEX(tblCleanData[Age],1174)&lt;40,20,IF(INDEX(tblCleanData[Age],1174)&lt;50,10,15)))</f>
        <v>20</v>
      </c>
      <c r="J1182">
        <f>IF(INDEX(tblCleanData[MonthlyIncome],1174)&lt;=$B$3,25,IF(INDEX(tblCleanData[MonthlyIncome],1174)&lt;=$B$4,12,5))</f>
        <v>5</v>
      </c>
      <c r="K1182">
        <f>IF(INDEX(tblCleanData[OverTime],1174)="Yes",25,0)</f>
        <v>0</v>
      </c>
      <c r="L1182">
        <f>(5-INDEX(tblCleanData[JobSatisfaction],1174))*6.25</f>
        <v>25</v>
      </c>
      <c r="M1182">
        <f>IF(INDEX(tblCleanData[YearsAtCompany],1174)&lt;=2,25,IF(INDEX(tblCleanData[YearsAtCompany],1174)&lt;=5,15,IF(INDEX(tblCleanData[YearsAtCompany],1174)&lt;=10,8,3)))</f>
        <v>15</v>
      </c>
      <c r="N1182">
        <f t="shared" si="36"/>
        <v>65</v>
      </c>
      <c r="O1182" t="str">
        <f t="shared" si="37"/>
        <v>High Risk</v>
      </c>
    </row>
    <row r="1183" spans="1:15" x14ac:dyDescent="0.25">
      <c r="A1183">
        <f>INDEX(tblCleanData[EmployeeNumber],1175)</f>
        <v>1653</v>
      </c>
      <c r="B1183" t="str">
        <f>IF(INDEX(tblCleanData[Age],1175)&lt;30,"Under 30",IF(INDEX(tblCleanData[Age],1175)&lt;40,"30-39",IF(INDEX(tblCleanData[Age],1175)&lt;50,"40-49","50+")))</f>
        <v>Under 30</v>
      </c>
      <c r="C1183" t="str">
        <f>IF(INDEX(tblCleanData[MonthlyIncome],1175)&lt;=$B$3,"Low Income",IF(INDEX(tblCleanData[MonthlyIncome],1175)&lt;=$B$4,"Medium Income","High Income"))</f>
        <v>High Income</v>
      </c>
      <c r="D1183">
        <f>IF(INDEX(tblCleanData[Attrition],1175)="Yes",1,0)</f>
        <v>0</v>
      </c>
      <c r="E1183">
        <f>IF(INDEX(tblCleanData[OverTime],1175)="Yes",1,0)</f>
        <v>0</v>
      </c>
      <c r="F1183" t="str">
        <f>CHOOSE(INDEX(tblCleanData[Education],1175),"Below College","College","Bachelor","Master","Doctor")</f>
        <v>Below College</v>
      </c>
      <c r="G1183" t="str">
        <f>IF(INDEX(tblCleanData[YearsAtCompany],1175)&lt;=2,"0-2 Years",IF(INDEX(tblCleanData[YearsAtCompany],1175)&lt;=5,"3-5 Years",IF(INDEX(tblCleanData[YearsAtCompany],1175)&lt;=10,"6-10 Years","10+ Years")))</f>
        <v>6-10 Years</v>
      </c>
      <c r="H1183" t="str">
        <f>IF(INDEX(tblCleanData[WorkLifeBalance],1175)&lt;=2,"Elevated","Normal")</f>
        <v>Normal</v>
      </c>
      <c r="I1183">
        <f>IF(INDEX(tblCleanData[Age],1175)&lt;30,30,IF(INDEX(tblCleanData[Age],1175)&lt;40,20,IF(INDEX(tblCleanData[Age],1175)&lt;50,10,15)))</f>
        <v>30</v>
      </c>
      <c r="J1183">
        <f>IF(INDEX(tblCleanData[MonthlyIncome],1175)&lt;=$B$3,25,IF(INDEX(tblCleanData[MonthlyIncome],1175)&lt;=$B$4,12,5))</f>
        <v>5</v>
      </c>
      <c r="K1183">
        <f>IF(INDEX(tblCleanData[OverTime],1175)="Yes",25,0)</f>
        <v>0</v>
      </c>
      <c r="L1183">
        <f>(5-INDEX(tblCleanData[JobSatisfaction],1175))*6.25</f>
        <v>12.5</v>
      </c>
      <c r="M1183">
        <f>IF(INDEX(tblCleanData[YearsAtCompany],1175)&lt;=2,25,IF(INDEX(tblCleanData[YearsAtCompany],1175)&lt;=5,15,IF(INDEX(tblCleanData[YearsAtCompany],1175)&lt;=10,8,3)))</f>
        <v>8</v>
      </c>
      <c r="N1183">
        <f t="shared" si="36"/>
        <v>56</v>
      </c>
      <c r="O1183" t="str">
        <f t="shared" si="37"/>
        <v>High Risk</v>
      </c>
    </row>
    <row r="1184" spans="1:15" x14ac:dyDescent="0.25">
      <c r="A1184">
        <f>INDEX(tblCleanData[EmployeeNumber],1176)</f>
        <v>1654</v>
      </c>
      <c r="B1184" t="str">
        <f>IF(INDEX(tblCleanData[Age],1176)&lt;30,"Under 30",IF(INDEX(tblCleanData[Age],1176)&lt;40,"30-39",IF(INDEX(tblCleanData[Age],1176)&lt;50,"40-49","50+")))</f>
        <v>30-39</v>
      </c>
      <c r="C1184" t="str">
        <f>IF(INDEX(tblCleanData[MonthlyIncome],1176)&lt;=$B$3,"Low Income",IF(INDEX(tblCleanData[MonthlyIncome],1176)&lt;=$B$4,"Medium Income","High Income"))</f>
        <v>High Income</v>
      </c>
      <c r="D1184">
        <f>IF(INDEX(tblCleanData[Attrition],1176)="Yes",1,0)</f>
        <v>0</v>
      </c>
      <c r="E1184">
        <f>IF(INDEX(tblCleanData[OverTime],1176)="Yes",1,0)</f>
        <v>0</v>
      </c>
      <c r="F1184" t="str">
        <f>CHOOSE(INDEX(tblCleanData[Education],1176),"Below College","College","Bachelor","Master","Doctor")</f>
        <v>Bachelor</v>
      </c>
      <c r="G1184" t="str">
        <f>IF(INDEX(tblCleanData[YearsAtCompany],1176)&lt;=2,"0-2 Years",IF(INDEX(tblCleanData[YearsAtCompany],1176)&lt;=5,"3-5 Years",IF(INDEX(tblCleanData[YearsAtCompany],1176)&lt;=10,"6-10 Years","10+ Years")))</f>
        <v>3-5 Years</v>
      </c>
      <c r="H1184" t="str">
        <f>IF(INDEX(tblCleanData[WorkLifeBalance],1176)&lt;=2,"Elevated","Normal")</f>
        <v>Normal</v>
      </c>
      <c r="I1184">
        <f>IF(INDEX(tblCleanData[Age],1176)&lt;30,30,IF(INDEX(tblCleanData[Age],1176)&lt;40,20,IF(INDEX(tblCleanData[Age],1176)&lt;50,10,15)))</f>
        <v>20</v>
      </c>
      <c r="J1184">
        <f>IF(INDEX(tblCleanData[MonthlyIncome],1176)&lt;=$B$3,25,IF(INDEX(tblCleanData[MonthlyIncome],1176)&lt;=$B$4,12,5))</f>
        <v>5</v>
      </c>
      <c r="K1184">
        <f>IF(INDEX(tblCleanData[OverTime],1176)="Yes",25,0)</f>
        <v>0</v>
      </c>
      <c r="L1184">
        <f>(5-INDEX(tblCleanData[JobSatisfaction],1176))*6.25</f>
        <v>18.75</v>
      </c>
      <c r="M1184">
        <f>IF(INDEX(tblCleanData[YearsAtCompany],1176)&lt;=2,25,IF(INDEX(tblCleanData[YearsAtCompany],1176)&lt;=5,15,IF(INDEX(tblCleanData[YearsAtCompany],1176)&lt;=10,8,3)))</f>
        <v>15</v>
      </c>
      <c r="N1184">
        <f t="shared" si="36"/>
        <v>59</v>
      </c>
      <c r="O1184" t="str">
        <f t="shared" si="37"/>
        <v>High Risk</v>
      </c>
    </row>
    <row r="1185" spans="1:15" x14ac:dyDescent="0.25">
      <c r="A1185">
        <f>INDEX(tblCleanData[EmployeeNumber],1177)</f>
        <v>1655</v>
      </c>
      <c r="B1185" t="str">
        <f>IF(INDEX(tblCleanData[Age],1177)&lt;30,"Under 30",IF(INDEX(tblCleanData[Age],1177)&lt;40,"30-39",IF(INDEX(tblCleanData[Age],1177)&lt;50,"40-49","50+")))</f>
        <v>40-49</v>
      </c>
      <c r="C1185" t="str">
        <f>IF(INDEX(tblCleanData[MonthlyIncome],1177)&lt;=$B$3,"Low Income",IF(INDEX(tblCleanData[MonthlyIncome],1177)&lt;=$B$4,"Medium Income","High Income"))</f>
        <v>High Income</v>
      </c>
      <c r="D1185">
        <f>IF(INDEX(tblCleanData[Attrition],1177)="Yes",1,0)</f>
        <v>0</v>
      </c>
      <c r="E1185">
        <f>IF(INDEX(tblCleanData[OverTime],1177)="Yes",1,0)</f>
        <v>0</v>
      </c>
      <c r="F1185" t="str">
        <f>CHOOSE(INDEX(tblCleanData[Education],1177),"Below College","College","Bachelor","Master","Doctor")</f>
        <v>Master</v>
      </c>
      <c r="G1185" t="str">
        <f>IF(INDEX(tblCleanData[YearsAtCompany],1177)&lt;=2,"0-2 Years",IF(INDEX(tblCleanData[YearsAtCompany],1177)&lt;=5,"3-5 Years",IF(INDEX(tblCleanData[YearsAtCompany],1177)&lt;=10,"6-10 Years","10+ Years")))</f>
        <v>3-5 Years</v>
      </c>
      <c r="H1185" t="str">
        <f>IF(INDEX(tblCleanData[WorkLifeBalance],1177)&lt;=2,"Elevated","Normal")</f>
        <v>Normal</v>
      </c>
      <c r="I1185">
        <f>IF(INDEX(tblCleanData[Age],1177)&lt;30,30,IF(INDEX(tblCleanData[Age],1177)&lt;40,20,IF(INDEX(tblCleanData[Age],1177)&lt;50,10,15)))</f>
        <v>10</v>
      </c>
      <c r="J1185">
        <f>IF(INDEX(tblCleanData[MonthlyIncome],1177)&lt;=$B$3,25,IF(INDEX(tblCleanData[MonthlyIncome],1177)&lt;=$B$4,12,5))</f>
        <v>5</v>
      </c>
      <c r="K1185">
        <f>IF(INDEX(tblCleanData[OverTime],1177)="Yes",25,0)</f>
        <v>0</v>
      </c>
      <c r="L1185">
        <f>(5-INDEX(tblCleanData[JobSatisfaction],1177))*6.25</f>
        <v>18.75</v>
      </c>
      <c r="M1185">
        <f>IF(INDEX(tblCleanData[YearsAtCompany],1177)&lt;=2,25,IF(INDEX(tblCleanData[YearsAtCompany],1177)&lt;=5,15,IF(INDEX(tblCleanData[YearsAtCompany],1177)&lt;=10,8,3)))</f>
        <v>15</v>
      </c>
      <c r="N1185">
        <f t="shared" si="36"/>
        <v>49</v>
      </c>
      <c r="O1185" t="str">
        <f t="shared" si="37"/>
        <v>Medium Risk</v>
      </c>
    </row>
    <row r="1186" spans="1:15" x14ac:dyDescent="0.25">
      <c r="A1186">
        <f>INDEX(tblCleanData[EmployeeNumber],1178)</f>
        <v>1656</v>
      </c>
      <c r="B1186" t="str">
        <f>IF(INDEX(tblCleanData[Age],1178)&lt;30,"Under 30",IF(INDEX(tblCleanData[Age],1178)&lt;40,"30-39",IF(INDEX(tblCleanData[Age],1178)&lt;50,"40-49","50+")))</f>
        <v>50+</v>
      </c>
      <c r="C1186" t="str">
        <f>IF(INDEX(tblCleanData[MonthlyIncome],1178)&lt;=$B$3,"Low Income",IF(INDEX(tblCleanData[MonthlyIncome],1178)&lt;=$B$4,"Medium Income","High Income"))</f>
        <v>High Income</v>
      </c>
      <c r="D1186">
        <f>IF(INDEX(tblCleanData[Attrition],1178)="Yes",1,0)</f>
        <v>0</v>
      </c>
      <c r="E1186">
        <f>IF(INDEX(tblCleanData[OverTime],1178)="Yes",1,0)</f>
        <v>0</v>
      </c>
      <c r="F1186" t="str">
        <f>CHOOSE(INDEX(tblCleanData[Education],1178),"Below College","College","Bachelor","Master","Doctor")</f>
        <v>Doctor</v>
      </c>
      <c r="G1186" t="str">
        <f>IF(INDEX(tblCleanData[YearsAtCompany],1178)&lt;=2,"0-2 Years",IF(INDEX(tblCleanData[YearsAtCompany],1178)&lt;=5,"3-5 Years",IF(INDEX(tblCleanData[YearsAtCompany],1178)&lt;=10,"6-10 Years","10+ Years")))</f>
        <v>10+ Years</v>
      </c>
      <c r="H1186" t="str">
        <f>IF(INDEX(tblCleanData[WorkLifeBalance],1178)&lt;=2,"Elevated","Normal")</f>
        <v>Normal</v>
      </c>
      <c r="I1186">
        <f>IF(INDEX(tblCleanData[Age],1178)&lt;30,30,IF(INDEX(tblCleanData[Age],1178)&lt;40,20,IF(INDEX(tblCleanData[Age],1178)&lt;50,10,15)))</f>
        <v>15</v>
      </c>
      <c r="J1186">
        <f>IF(INDEX(tblCleanData[MonthlyIncome],1178)&lt;=$B$3,25,IF(INDEX(tblCleanData[MonthlyIncome],1178)&lt;=$B$4,12,5))</f>
        <v>5</v>
      </c>
      <c r="K1186">
        <f>IF(INDEX(tblCleanData[OverTime],1178)="Yes",25,0)</f>
        <v>0</v>
      </c>
      <c r="L1186">
        <f>(5-INDEX(tblCleanData[JobSatisfaction],1178))*6.25</f>
        <v>25</v>
      </c>
      <c r="M1186">
        <f>IF(INDEX(tblCleanData[YearsAtCompany],1178)&lt;=2,25,IF(INDEX(tblCleanData[YearsAtCompany],1178)&lt;=5,15,IF(INDEX(tblCleanData[YearsAtCompany],1178)&lt;=10,8,3)))</f>
        <v>3</v>
      </c>
      <c r="N1186">
        <f t="shared" si="36"/>
        <v>48</v>
      </c>
      <c r="O1186" t="str">
        <f t="shared" si="37"/>
        <v>Medium Risk</v>
      </c>
    </row>
    <row r="1187" spans="1:15" x14ac:dyDescent="0.25">
      <c r="A1187">
        <f>INDEX(tblCleanData[EmployeeNumber],1179)</f>
        <v>1657</v>
      </c>
      <c r="B1187" t="str">
        <f>IF(INDEX(tblCleanData[Age],1179)&lt;30,"Under 30",IF(INDEX(tblCleanData[Age],1179)&lt;40,"30-39",IF(INDEX(tblCleanData[Age],1179)&lt;50,"40-49","50+")))</f>
        <v>Under 30</v>
      </c>
      <c r="C1187" t="str">
        <f>IF(INDEX(tblCleanData[MonthlyIncome],1179)&lt;=$B$3,"Low Income",IF(INDEX(tblCleanData[MonthlyIncome],1179)&lt;=$B$4,"Medium Income","High Income"))</f>
        <v>High Income</v>
      </c>
      <c r="D1187">
        <f>IF(INDEX(tblCleanData[Attrition],1179)="Yes",1,0)</f>
        <v>0</v>
      </c>
      <c r="E1187">
        <f>IF(INDEX(tblCleanData[OverTime],1179)="Yes",1,0)</f>
        <v>0</v>
      </c>
      <c r="F1187" t="str">
        <f>CHOOSE(INDEX(tblCleanData[Education],1179),"Below College","College","Bachelor","Master","Doctor")</f>
        <v>Bachelor</v>
      </c>
      <c r="G1187" t="str">
        <f>IF(INDEX(tblCleanData[YearsAtCompany],1179)&lt;=2,"0-2 Years",IF(INDEX(tblCleanData[YearsAtCompany],1179)&lt;=5,"3-5 Years",IF(INDEX(tblCleanData[YearsAtCompany],1179)&lt;=10,"6-10 Years","10+ Years")))</f>
        <v>0-2 Years</v>
      </c>
      <c r="H1187" t="str">
        <f>IF(INDEX(tblCleanData[WorkLifeBalance],1179)&lt;=2,"Elevated","Normal")</f>
        <v>Normal</v>
      </c>
      <c r="I1187">
        <f>IF(INDEX(tblCleanData[Age],1179)&lt;30,30,IF(INDEX(tblCleanData[Age],1179)&lt;40,20,IF(INDEX(tblCleanData[Age],1179)&lt;50,10,15)))</f>
        <v>30</v>
      </c>
      <c r="J1187">
        <f>IF(INDEX(tblCleanData[MonthlyIncome],1179)&lt;=$B$3,25,IF(INDEX(tblCleanData[MonthlyIncome],1179)&lt;=$B$4,12,5))</f>
        <v>5</v>
      </c>
      <c r="K1187">
        <f>IF(INDEX(tblCleanData[OverTime],1179)="Yes",25,0)</f>
        <v>0</v>
      </c>
      <c r="L1187">
        <f>(5-INDEX(tblCleanData[JobSatisfaction],1179))*6.25</f>
        <v>12.5</v>
      </c>
      <c r="M1187">
        <f>IF(INDEX(tblCleanData[YearsAtCompany],1179)&lt;=2,25,IF(INDEX(tblCleanData[YearsAtCompany],1179)&lt;=5,15,IF(INDEX(tblCleanData[YearsAtCompany],1179)&lt;=10,8,3)))</f>
        <v>25</v>
      </c>
      <c r="N1187">
        <f t="shared" si="36"/>
        <v>73</v>
      </c>
      <c r="O1187" t="str">
        <f t="shared" si="37"/>
        <v>High Risk</v>
      </c>
    </row>
    <row r="1188" spans="1:15" x14ac:dyDescent="0.25">
      <c r="A1188">
        <f>INDEX(tblCleanData[EmployeeNumber],1180)</f>
        <v>1658</v>
      </c>
      <c r="B1188" t="str">
        <f>IF(INDEX(tblCleanData[Age],1180)&lt;30,"Under 30",IF(INDEX(tblCleanData[Age],1180)&lt;40,"30-39",IF(INDEX(tblCleanData[Age],1180)&lt;50,"40-49","50+")))</f>
        <v>30-39</v>
      </c>
      <c r="C1188" t="str">
        <f>IF(INDEX(tblCleanData[MonthlyIncome],1180)&lt;=$B$3,"Low Income",IF(INDEX(tblCleanData[MonthlyIncome],1180)&lt;=$B$4,"Medium Income","High Income"))</f>
        <v>High Income</v>
      </c>
      <c r="D1188">
        <f>IF(INDEX(tblCleanData[Attrition],1180)="Yes",1,0)</f>
        <v>0</v>
      </c>
      <c r="E1188">
        <f>IF(INDEX(tblCleanData[OverTime],1180)="Yes",1,0)</f>
        <v>0</v>
      </c>
      <c r="F1188" t="str">
        <f>CHOOSE(INDEX(tblCleanData[Education],1180),"Below College","College","Bachelor","Master","Doctor")</f>
        <v>Bachelor</v>
      </c>
      <c r="G1188" t="str">
        <f>IF(INDEX(tblCleanData[YearsAtCompany],1180)&lt;=2,"0-2 Years",IF(INDEX(tblCleanData[YearsAtCompany],1180)&lt;=5,"3-5 Years",IF(INDEX(tblCleanData[YearsAtCompany],1180)&lt;=10,"6-10 Years","10+ Years")))</f>
        <v>10+ Years</v>
      </c>
      <c r="H1188" t="str">
        <f>IF(INDEX(tblCleanData[WorkLifeBalance],1180)&lt;=2,"Elevated","Normal")</f>
        <v>Normal</v>
      </c>
      <c r="I1188">
        <f>IF(INDEX(tblCleanData[Age],1180)&lt;30,30,IF(INDEX(tblCleanData[Age],1180)&lt;40,20,IF(INDEX(tblCleanData[Age],1180)&lt;50,10,15)))</f>
        <v>20</v>
      </c>
      <c r="J1188">
        <f>IF(INDEX(tblCleanData[MonthlyIncome],1180)&lt;=$B$3,25,IF(INDEX(tblCleanData[MonthlyIncome],1180)&lt;=$B$4,12,5))</f>
        <v>5</v>
      </c>
      <c r="K1188">
        <f>IF(INDEX(tblCleanData[OverTime],1180)="Yes",25,0)</f>
        <v>0</v>
      </c>
      <c r="L1188">
        <f>(5-INDEX(tblCleanData[JobSatisfaction],1180))*6.25</f>
        <v>18.75</v>
      </c>
      <c r="M1188">
        <f>IF(INDEX(tblCleanData[YearsAtCompany],1180)&lt;=2,25,IF(INDEX(tblCleanData[YearsAtCompany],1180)&lt;=5,15,IF(INDEX(tblCleanData[YearsAtCompany],1180)&lt;=10,8,3)))</f>
        <v>3</v>
      </c>
      <c r="N1188">
        <f t="shared" si="36"/>
        <v>47</v>
      </c>
      <c r="O1188" t="str">
        <f t="shared" si="37"/>
        <v>Medium Risk</v>
      </c>
    </row>
    <row r="1189" spans="1:15" x14ac:dyDescent="0.25">
      <c r="A1189">
        <f>INDEX(tblCleanData[EmployeeNumber],1181)</f>
        <v>1659</v>
      </c>
      <c r="B1189" t="str">
        <f>IF(INDEX(tblCleanData[Age],1181)&lt;30,"Under 30",IF(INDEX(tblCleanData[Age],1181)&lt;40,"30-39",IF(INDEX(tblCleanData[Age],1181)&lt;50,"40-49","50+")))</f>
        <v>30-39</v>
      </c>
      <c r="C1189" t="str">
        <f>IF(INDEX(tblCleanData[MonthlyIncome],1181)&lt;=$B$3,"Low Income",IF(INDEX(tblCleanData[MonthlyIncome],1181)&lt;=$B$4,"Medium Income","High Income"))</f>
        <v>High Income</v>
      </c>
      <c r="D1189">
        <f>IF(INDEX(tblCleanData[Attrition],1181)="Yes",1,0)</f>
        <v>0</v>
      </c>
      <c r="E1189">
        <f>IF(INDEX(tblCleanData[OverTime],1181)="Yes",1,0)</f>
        <v>0</v>
      </c>
      <c r="F1189" t="str">
        <f>CHOOSE(INDEX(tblCleanData[Education],1181),"Below College","College","Bachelor","Master","Doctor")</f>
        <v>Bachelor</v>
      </c>
      <c r="G1189" t="str">
        <f>IF(INDEX(tblCleanData[YearsAtCompany],1181)&lt;=2,"0-2 Years",IF(INDEX(tblCleanData[YearsAtCompany],1181)&lt;=5,"3-5 Years",IF(INDEX(tblCleanData[YearsAtCompany],1181)&lt;=10,"6-10 Years","10+ Years")))</f>
        <v>3-5 Years</v>
      </c>
      <c r="H1189" t="str">
        <f>IF(INDEX(tblCleanData[WorkLifeBalance],1181)&lt;=2,"Elevated","Normal")</f>
        <v>Normal</v>
      </c>
      <c r="I1189">
        <f>IF(INDEX(tblCleanData[Age],1181)&lt;30,30,IF(INDEX(tblCleanData[Age],1181)&lt;40,20,IF(INDEX(tblCleanData[Age],1181)&lt;50,10,15)))</f>
        <v>20</v>
      </c>
      <c r="J1189">
        <f>IF(INDEX(tblCleanData[MonthlyIncome],1181)&lt;=$B$3,25,IF(INDEX(tblCleanData[MonthlyIncome],1181)&lt;=$B$4,12,5))</f>
        <v>5</v>
      </c>
      <c r="K1189">
        <f>IF(INDEX(tblCleanData[OverTime],1181)="Yes",25,0)</f>
        <v>0</v>
      </c>
      <c r="L1189">
        <f>(5-INDEX(tblCleanData[JobSatisfaction],1181))*6.25</f>
        <v>18.75</v>
      </c>
      <c r="M1189">
        <f>IF(INDEX(tblCleanData[YearsAtCompany],1181)&lt;=2,25,IF(INDEX(tblCleanData[YearsAtCompany],1181)&lt;=5,15,IF(INDEX(tblCleanData[YearsAtCompany],1181)&lt;=10,8,3)))</f>
        <v>15</v>
      </c>
      <c r="N1189">
        <f t="shared" si="36"/>
        <v>59</v>
      </c>
      <c r="O1189" t="str">
        <f t="shared" si="37"/>
        <v>High Risk</v>
      </c>
    </row>
    <row r="1190" spans="1:15" x14ac:dyDescent="0.25">
      <c r="A1190">
        <f>INDEX(tblCleanData[EmployeeNumber],1182)</f>
        <v>1661</v>
      </c>
      <c r="B1190" t="str">
        <f>IF(INDEX(tblCleanData[Age],1182)&lt;30,"Under 30",IF(INDEX(tblCleanData[Age],1182)&lt;40,"30-39",IF(INDEX(tblCleanData[Age],1182)&lt;50,"40-49","50+")))</f>
        <v>40-49</v>
      </c>
      <c r="C1190" t="str">
        <f>IF(INDEX(tblCleanData[MonthlyIncome],1182)&lt;=$B$3,"Low Income",IF(INDEX(tblCleanData[MonthlyIncome],1182)&lt;=$B$4,"Medium Income","High Income"))</f>
        <v>High Income</v>
      </c>
      <c r="D1190">
        <f>IF(INDEX(tblCleanData[Attrition],1182)="Yes",1,0)</f>
        <v>0</v>
      </c>
      <c r="E1190">
        <f>IF(INDEX(tblCleanData[OverTime],1182)="Yes",1,0)</f>
        <v>1</v>
      </c>
      <c r="F1190" t="str">
        <f>CHOOSE(INDEX(tblCleanData[Education],1182),"Below College","College","Bachelor","Master","Doctor")</f>
        <v>Below College</v>
      </c>
      <c r="G1190" t="str">
        <f>IF(INDEX(tblCleanData[YearsAtCompany],1182)&lt;=2,"0-2 Years",IF(INDEX(tblCleanData[YearsAtCompany],1182)&lt;=5,"3-5 Years",IF(INDEX(tblCleanData[YearsAtCompany],1182)&lt;=10,"6-10 Years","10+ Years")))</f>
        <v>10+ Years</v>
      </c>
      <c r="H1190" t="str">
        <f>IF(INDEX(tblCleanData[WorkLifeBalance],1182)&lt;=2,"Elevated","Normal")</f>
        <v>Normal</v>
      </c>
      <c r="I1190">
        <f>IF(INDEX(tblCleanData[Age],1182)&lt;30,30,IF(INDEX(tblCleanData[Age],1182)&lt;40,20,IF(INDEX(tblCleanData[Age],1182)&lt;50,10,15)))</f>
        <v>10</v>
      </c>
      <c r="J1190">
        <f>IF(INDEX(tblCleanData[MonthlyIncome],1182)&lt;=$B$3,25,IF(INDEX(tblCleanData[MonthlyIncome],1182)&lt;=$B$4,12,5))</f>
        <v>5</v>
      </c>
      <c r="K1190">
        <f>IF(INDEX(tblCleanData[OverTime],1182)="Yes",25,0)</f>
        <v>25</v>
      </c>
      <c r="L1190">
        <f>(5-INDEX(tblCleanData[JobSatisfaction],1182))*6.25</f>
        <v>12.5</v>
      </c>
      <c r="M1190">
        <f>IF(INDEX(tblCleanData[YearsAtCompany],1182)&lt;=2,25,IF(INDEX(tblCleanData[YearsAtCompany],1182)&lt;=5,15,IF(INDEX(tblCleanData[YearsAtCompany],1182)&lt;=10,8,3)))</f>
        <v>3</v>
      </c>
      <c r="N1190">
        <f t="shared" si="36"/>
        <v>56</v>
      </c>
      <c r="O1190" t="str">
        <f t="shared" si="37"/>
        <v>High Risk</v>
      </c>
    </row>
    <row r="1191" spans="1:15" x14ac:dyDescent="0.25">
      <c r="A1191">
        <f>INDEX(tblCleanData[EmployeeNumber],1183)</f>
        <v>1662</v>
      </c>
      <c r="B1191" t="str">
        <f>IF(INDEX(tblCleanData[Age],1183)&lt;30,"Under 30",IF(INDEX(tblCleanData[Age],1183)&lt;40,"30-39",IF(INDEX(tblCleanData[Age],1183)&lt;50,"40-49","50+")))</f>
        <v>30-39</v>
      </c>
      <c r="C1191" t="str">
        <f>IF(INDEX(tblCleanData[MonthlyIncome],1183)&lt;=$B$3,"Low Income",IF(INDEX(tblCleanData[MonthlyIncome],1183)&lt;=$B$4,"Medium Income","High Income"))</f>
        <v>High Income</v>
      </c>
      <c r="D1191">
        <f>IF(INDEX(tblCleanData[Attrition],1183)="Yes",1,0)</f>
        <v>0</v>
      </c>
      <c r="E1191">
        <f>IF(INDEX(tblCleanData[OverTime],1183)="Yes",1,0)</f>
        <v>0</v>
      </c>
      <c r="F1191" t="str">
        <f>CHOOSE(INDEX(tblCleanData[Education],1183),"Below College","College","Bachelor","Master","Doctor")</f>
        <v>Master</v>
      </c>
      <c r="G1191" t="str">
        <f>IF(INDEX(tblCleanData[YearsAtCompany],1183)&lt;=2,"0-2 Years",IF(INDEX(tblCleanData[YearsAtCompany],1183)&lt;=5,"3-5 Years",IF(INDEX(tblCleanData[YearsAtCompany],1183)&lt;=10,"6-10 Years","10+ Years")))</f>
        <v>3-5 Years</v>
      </c>
      <c r="H1191" t="str">
        <f>IF(INDEX(tblCleanData[WorkLifeBalance],1183)&lt;=2,"Elevated","Normal")</f>
        <v>Normal</v>
      </c>
      <c r="I1191">
        <f>IF(INDEX(tblCleanData[Age],1183)&lt;30,30,IF(INDEX(tblCleanData[Age],1183)&lt;40,20,IF(INDEX(tblCleanData[Age],1183)&lt;50,10,15)))</f>
        <v>20</v>
      </c>
      <c r="J1191">
        <f>IF(INDEX(tblCleanData[MonthlyIncome],1183)&lt;=$B$3,25,IF(INDEX(tblCleanData[MonthlyIncome],1183)&lt;=$B$4,12,5))</f>
        <v>5</v>
      </c>
      <c r="K1191">
        <f>IF(INDEX(tblCleanData[OverTime],1183)="Yes",25,0)</f>
        <v>0</v>
      </c>
      <c r="L1191">
        <f>(5-INDEX(tblCleanData[JobSatisfaction],1183))*6.25</f>
        <v>12.5</v>
      </c>
      <c r="M1191">
        <f>IF(INDEX(tblCleanData[YearsAtCompany],1183)&lt;=2,25,IF(INDEX(tblCleanData[YearsAtCompany],1183)&lt;=5,15,IF(INDEX(tblCleanData[YearsAtCompany],1183)&lt;=10,8,3)))</f>
        <v>15</v>
      </c>
      <c r="N1191">
        <f t="shared" si="36"/>
        <v>53</v>
      </c>
      <c r="O1191" t="str">
        <f t="shared" si="37"/>
        <v>Medium Risk</v>
      </c>
    </row>
    <row r="1192" spans="1:15" x14ac:dyDescent="0.25">
      <c r="A1192">
        <f>INDEX(tblCleanData[EmployeeNumber],1184)</f>
        <v>1664</v>
      </c>
      <c r="B1192" t="str">
        <f>IF(INDEX(tblCleanData[Age],1184)&lt;30,"Under 30",IF(INDEX(tblCleanData[Age],1184)&lt;40,"30-39",IF(INDEX(tblCleanData[Age],1184)&lt;50,"40-49","50+")))</f>
        <v>30-39</v>
      </c>
      <c r="C1192" t="str">
        <f>IF(INDEX(tblCleanData[MonthlyIncome],1184)&lt;=$B$3,"Low Income",IF(INDEX(tblCleanData[MonthlyIncome],1184)&lt;=$B$4,"Medium Income","High Income"))</f>
        <v>High Income</v>
      </c>
      <c r="D1192">
        <f>IF(INDEX(tblCleanData[Attrition],1184)="Yes",1,0)</f>
        <v>0</v>
      </c>
      <c r="E1192">
        <f>IF(INDEX(tblCleanData[OverTime],1184)="Yes",1,0)</f>
        <v>0</v>
      </c>
      <c r="F1192" t="str">
        <f>CHOOSE(INDEX(tblCleanData[Education],1184),"Below College","College","Bachelor","Master","Doctor")</f>
        <v>College</v>
      </c>
      <c r="G1192" t="str">
        <f>IF(INDEX(tblCleanData[YearsAtCompany],1184)&lt;=2,"0-2 Years",IF(INDEX(tblCleanData[YearsAtCompany],1184)&lt;=5,"3-5 Years",IF(INDEX(tblCleanData[YearsAtCompany],1184)&lt;=10,"6-10 Years","10+ Years")))</f>
        <v>3-5 Years</v>
      </c>
      <c r="H1192" t="str">
        <f>IF(INDEX(tblCleanData[WorkLifeBalance],1184)&lt;=2,"Elevated","Normal")</f>
        <v>Normal</v>
      </c>
      <c r="I1192">
        <f>IF(INDEX(tblCleanData[Age],1184)&lt;30,30,IF(INDEX(tblCleanData[Age],1184)&lt;40,20,IF(INDEX(tblCleanData[Age],1184)&lt;50,10,15)))</f>
        <v>20</v>
      </c>
      <c r="J1192">
        <f>IF(INDEX(tblCleanData[MonthlyIncome],1184)&lt;=$B$3,25,IF(INDEX(tblCleanData[MonthlyIncome],1184)&lt;=$B$4,12,5))</f>
        <v>5</v>
      </c>
      <c r="K1192">
        <f>IF(INDEX(tblCleanData[OverTime],1184)="Yes",25,0)</f>
        <v>0</v>
      </c>
      <c r="L1192">
        <f>(5-INDEX(tblCleanData[JobSatisfaction],1184))*6.25</f>
        <v>25</v>
      </c>
      <c r="M1192">
        <f>IF(INDEX(tblCleanData[YearsAtCompany],1184)&lt;=2,25,IF(INDEX(tblCleanData[YearsAtCompany],1184)&lt;=5,15,IF(INDEX(tblCleanData[YearsAtCompany],1184)&lt;=10,8,3)))</f>
        <v>15</v>
      </c>
      <c r="N1192">
        <f t="shared" si="36"/>
        <v>65</v>
      </c>
      <c r="O1192" t="str">
        <f t="shared" si="37"/>
        <v>High Risk</v>
      </c>
    </row>
    <row r="1193" spans="1:15" x14ac:dyDescent="0.25">
      <c r="A1193">
        <f>INDEX(tblCleanData[EmployeeNumber],1185)</f>
        <v>1665</v>
      </c>
      <c r="B1193" t="str">
        <f>IF(INDEX(tblCleanData[Age],1185)&lt;30,"Under 30",IF(INDEX(tblCleanData[Age],1185)&lt;40,"30-39",IF(INDEX(tblCleanData[Age],1185)&lt;50,"40-49","50+")))</f>
        <v>50+</v>
      </c>
      <c r="C1193" t="str">
        <f>IF(INDEX(tblCleanData[MonthlyIncome],1185)&lt;=$B$3,"Low Income",IF(INDEX(tblCleanData[MonthlyIncome],1185)&lt;=$B$4,"Medium Income","High Income"))</f>
        <v>High Income</v>
      </c>
      <c r="D1193">
        <f>IF(INDEX(tblCleanData[Attrition],1185)="Yes",1,0)</f>
        <v>0</v>
      </c>
      <c r="E1193">
        <f>IF(INDEX(tblCleanData[OverTime],1185)="Yes",1,0)</f>
        <v>0</v>
      </c>
      <c r="F1193" t="str">
        <f>CHOOSE(INDEX(tblCleanData[Education],1185),"Below College","College","Bachelor","Master","Doctor")</f>
        <v>Doctor</v>
      </c>
      <c r="G1193" t="str">
        <f>IF(INDEX(tblCleanData[YearsAtCompany],1185)&lt;=2,"0-2 Years",IF(INDEX(tblCleanData[YearsAtCompany],1185)&lt;=5,"3-5 Years",IF(INDEX(tblCleanData[YearsAtCompany],1185)&lt;=10,"6-10 Years","10+ Years")))</f>
        <v>6-10 Years</v>
      </c>
      <c r="H1193" t="str">
        <f>IF(INDEX(tblCleanData[WorkLifeBalance],1185)&lt;=2,"Elevated","Normal")</f>
        <v>Normal</v>
      </c>
      <c r="I1193">
        <f>IF(INDEX(tblCleanData[Age],1185)&lt;30,30,IF(INDEX(tblCleanData[Age],1185)&lt;40,20,IF(INDEX(tblCleanData[Age],1185)&lt;50,10,15)))</f>
        <v>15</v>
      </c>
      <c r="J1193">
        <f>IF(INDEX(tblCleanData[MonthlyIncome],1185)&lt;=$B$3,25,IF(INDEX(tblCleanData[MonthlyIncome],1185)&lt;=$B$4,12,5))</f>
        <v>5</v>
      </c>
      <c r="K1193">
        <f>IF(INDEX(tblCleanData[OverTime],1185)="Yes",25,0)</f>
        <v>0</v>
      </c>
      <c r="L1193">
        <f>(5-INDEX(tblCleanData[JobSatisfaction],1185))*6.25</f>
        <v>12.5</v>
      </c>
      <c r="M1193">
        <f>IF(INDEX(tblCleanData[YearsAtCompany],1185)&lt;=2,25,IF(INDEX(tblCleanData[YearsAtCompany],1185)&lt;=5,15,IF(INDEX(tblCleanData[YearsAtCompany],1185)&lt;=10,8,3)))</f>
        <v>8</v>
      </c>
      <c r="N1193">
        <f t="shared" si="36"/>
        <v>41</v>
      </c>
      <c r="O1193" t="str">
        <f t="shared" si="37"/>
        <v>Medium Risk</v>
      </c>
    </row>
    <row r="1194" spans="1:15" x14ac:dyDescent="0.25">
      <c r="A1194">
        <f>INDEX(tblCleanData[EmployeeNumber],1186)</f>
        <v>1666</v>
      </c>
      <c r="B1194" t="str">
        <f>IF(INDEX(tblCleanData[Age],1186)&lt;30,"Under 30",IF(INDEX(tblCleanData[Age],1186)&lt;40,"30-39",IF(INDEX(tblCleanData[Age],1186)&lt;50,"40-49","50+")))</f>
        <v>40-49</v>
      </c>
      <c r="C1194" t="str">
        <f>IF(INDEX(tblCleanData[MonthlyIncome],1186)&lt;=$B$3,"Low Income",IF(INDEX(tblCleanData[MonthlyIncome],1186)&lt;=$B$4,"Medium Income","High Income"))</f>
        <v>High Income</v>
      </c>
      <c r="D1194">
        <f>IF(INDEX(tblCleanData[Attrition],1186)="Yes",1,0)</f>
        <v>0</v>
      </c>
      <c r="E1194">
        <f>IF(INDEX(tblCleanData[OverTime],1186)="Yes",1,0)</f>
        <v>0</v>
      </c>
      <c r="F1194" t="str">
        <f>CHOOSE(INDEX(tblCleanData[Education],1186),"Below College","College","Bachelor","Master","Doctor")</f>
        <v>College</v>
      </c>
      <c r="G1194" t="str">
        <f>IF(INDEX(tblCleanData[YearsAtCompany],1186)&lt;=2,"0-2 Years",IF(INDEX(tblCleanData[YearsAtCompany],1186)&lt;=5,"3-5 Years",IF(INDEX(tblCleanData[YearsAtCompany],1186)&lt;=10,"6-10 Years","10+ Years")))</f>
        <v>10+ Years</v>
      </c>
      <c r="H1194" t="str">
        <f>IF(INDEX(tblCleanData[WorkLifeBalance],1186)&lt;=2,"Elevated","Normal")</f>
        <v>Normal</v>
      </c>
      <c r="I1194">
        <f>IF(INDEX(tblCleanData[Age],1186)&lt;30,30,IF(INDEX(tblCleanData[Age],1186)&lt;40,20,IF(INDEX(tblCleanData[Age],1186)&lt;50,10,15)))</f>
        <v>10</v>
      </c>
      <c r="J1194">
        <f>IF(INDEX(tblCleanData[MonthlyIncome],1186)&lt;=$B$3,25,IF(INDEX(tblCleanData[MonthlyIncome],1186)&lt;=$B$4,12,5))</f>
        <v>5</v>
      </c>
      <c r="K1194">
        <f>IF(INDEX(tblCleanData[OverTime],1186)="Yes",25,0)</f>
        <v>0</v>
      </c>
      <c r="L1194">
        <f>(5-INDEX(tblCleanData[JobSatisfaction],1186))*6.25</f>
        <v>12.5</v>
      </c>
      <c r="M1194">
        <f>IF(INDEX(tblCleanData[YearsAtCompany],1186)&lt;=2,25,IF(INDEX(tblCleanData[YearsAtCompany],1186)&lt;=5,15,IF(INDEX(tblCleanData[YearsAtCompany],1186)&lt;=10,8,3)))</f>
        <v>3</v>
      </c>
      <c r="N1194">
        <f t="shared" si="36"/>
        <v>31</v>
      </c>
      <c r="O1194" t="str">
        <f t="shared" si="37"/>
        <v>Low Risk</v>
      </c>
    </row>
    <row r="1195" spans="1:15" x14ac:dyDescent="0.25">
      <c r="A1195">
        <f>INDEX(tblCleanData[EmployeeNumber],1187)</f>
        <v>1667</v>
      </c>
      <c r="B1195" t="str">
        <f>IF(INDEX(tblCleanData[Age],1187)&lt;30,"Under 30",IF(INDEX(tblCleanData[Age],1187)&lt;40,"30-39",IF(INDEX(tblCleanData[Age],1187)&lt;50,"40-49","50+")))</f>
        <v>30-39</v>
      </c>
      <c r="C1195" t="str">
        <f>IF(INDEX(tblCleanData[MonthlyIncome],1187)&lt;=$B$3,"Low Income",IF(INDEX(tblCleanData[MonthlyIncome],1187)&lt;=$B$4,"Medium Income","High Income"))</f>
        <v>High Income</v>
      </c>
      <c r="D1195">
        <f>IF(INDEX(tblCleanData[Attrition],1187)="Yes",1,0)</f>
        <v>1</v>
      </c>
      <c r="E1195">
        <f>IF(INDEX(tblCleanData[OverTime],1187)="Yes",1,0)</f>
        <v>1</v>
      </c>
      <c r="F1195" t="str">
        <f>CHOOSE(INDEX(tblCleanData[Education],1187),"Below College","College","Bachelor","Master","Doctor")</f>
        <v>Master</v>
      </c>
      <c r="G1195" t="str">
        <f>IF(INDEX(tblCleanData[YearsAtCompany],1187)&lt;=2,"0-2 Years",IF(INDEX(tblCleanData[YearsAtCompany],1187)&lt;=5,"3-5 Years",IF(INDEX(tblCleanData[YearsAtCompany],1187)&lt;=10,"6-10 Years","10+ Years")))</f>
        <v>10+ Years</v>
      </c>
      <c r="H1195" t="str">
        <f>IF(INDEX(tblCleanData[WorkLifeBalance],1187)&lt;=2,"Elevated","Normal")</f>
        <v>Normal</v>
      </c>
      <c r="I1195">
        <f>IF(INDEX(tblCleanData[Age],1187)&lt;30,30,IF(INDEX(tblCleanData[Age],1187)&lt;40,20,IF(INDEX(tblCleanData[Age],1187)&lt;50,10,15)))</f>
        <v>20</v>
      </c>
      <c r="J1195">
        <f>IF(INDEX(tblCleanData[MonthlyIncome],1187)&lt;=$B$3,25,IF(INDEX(tblCleanData[MonthlyIncome],1187)&lt;=$B$4,12,5))</f>
        <v>5</v>
      </c>
      <c r="K1195">
        <f>IF(INDEX(tblCleanData[OverTime],1187)="Yes",25,0)</f>
        <v>25</v>
      </c>
      <c r="L1195">
        <f>(5-INDEX(tblCleanData[JobSatisfaction],1187))*6.25</f>
        <v>6.25</v>
      </c>
      <c r="M1195">
        <f>IF(INDEX(tblCleanData[YearsAtCompany],1187)&lt;=2,25,IF(INDEX(tblCleanData[YearsAtCompany],1187)&lt;=5,15,IF(INDEX(tblCleanData[YearsAtCompany],1187)&lt;=10,8,3)))</f>
        <v>3</v>
      </c>
      <c r="N1195">
        <f t="shared" si="36"/>
        <v>59</v>
      </c>
      <c r="O1195" t="str">
        <f t="shared" si="37"/>
        <v>High Risk</v>
      </c>
    </row>
    <row r="1196" spans="1:15" x14ac:dyDescent="0.25">
      <c r="A1196">
        <f>INDEX(tblCleanData[EmployeeNumber],1188)</f>
        <v>1668</v>
      </c>
      <c r="B1196" t="str">
        <f>IF(INDEX(tblCleanData[Age],1188)&lt;30,"Under 30",IF(INDEX(tblCleanData[Age],1188)&lt;40,"30-39",IF(INDEX(tblCleanData[Age],1188)&lt;50,"40-49","50+")))</f>
        <v>30-39</v>
      </c>
      <c r="C1196" t="str">
        <f>IF(INDEX(tblCleanData[MonthlyIncome],1188)&lt;=$B$3,"Low Income",IF(INDEX(tblCleanData[MonthlyIncome],1188)&lt;=$B$4,"Medium Income","High Income"))</f>
        <v>High Income</v>
      </c>
      <c r="D1196">
        <f>IF(INDEX(tblCleanData[Attrition],1188)="Yes",1,0)</f>
        <v>0</v>
      </c>
      <c r="E1196">
        <f>IF(INDEX(tblCleanData[OverTime],1188)="Yes",1,0)</f>
        <v>0</v>
      </c>
      <c r="F1196" t="str">
        <f>CHOOSE(INDEX(tblCleanData[Education],1188),"Below College","College","Bachelor","Master","Doctor")</f>
        <v>Bachelor</v>
      </c>
      <c r="G1196" t="str">
        <f>IF(INDEX(tblCleanData[YearsAtCompany],1188)&lt;=2,"0-2 Years",IF(INDEX(tblCleanData[YearsAtCompany],1188)&lt;=5,"3-5 Years",IF(INDEX(tblCleanData[YearsAtCompany],1188)&lt;=10,"6-10 Years","10+ Years")))</f>
        <v>10+ Years</v>
      </c>
      <c r="H1196" t="str">
        <f>IF(INDEX(tblCleanData[WorkLifeBalance],1188)&lt;=2,"Elevated","Normal")</f>
        <v>Normal</v>
      </c>
      <c r="I1196">
        <f>IF(INDEX(tblCleanData[Age],1188)&lt;30,30,IF(INDEX(tblCleanData[Age],1188)&lt;40,20,IF(INDEX(tblCleanData[Age],1188)&lt;50,10,15)))</f>
        <v>20</v>
      </c>
      <c r="J1196">
        <f>IF(INDEX(tblCleanData[MonthlyIncome],1188)&lt;=$B$3,25,IF(INDEX(tblCleanData[MonthlyIncome],1188)&lt;=$B$4,12,5))</f>
        <v>5</v>
      </c>
      <c r="K1196">
        <f>IF(INDEX(tblCleanData[OverTime],1188)="Yes",25,0)</f>
        <v>0</v>
      </c>
      <c r="L1196">
        <f>(5-INDEX(tblCleanData[JobSatisfaction],1188))*6.25</f>
        <v>6.25</v>
      </c>
      <c r="M1196">
        <f>IF(INDEX(tblCleanData[YearsAtCompany],1188)&lt;=2,25,IF(INDEX(tblCleanData[YearsAtCompany],1188)&lt;=5,15,IF(INDEX(tblCleanData[YearsAtCompany],1188)&lt;=10,8,3)))</f>
        <v>3</v>
      </c>
      <c r="N1196">
        <f t="shared" si="36"/>
        <v>34</v>
      </c>
      <c r="O1196" t="str">
        <f t="shared" si="37"/>
        <v>Low Risk</v>
      </c>
    </row>
    <row r="1197" spans="1:15" x14ac:dyDescent="0.25">
      <c r="A1197">
        <f>INDEX(tblCleanData[EmployeeNumber],1189)</f>
        <v>1669</v>
      </c>
      <c r="B1197" t="str">
        <f>IF(INDEX(tblCleanData[Age],1189)&lt;30,"Under 30",IF(INDEX(tblCleanData[Age],1189)&lt;40,"30-39",IF(INDEX(tblCleanData[Age],1189)&lt;50,"40-49","50+")))</f>
        <v>Under 30</v>
      </c>
      <c r="C1197" t="str">
        <f>IF(INDEX(tblCleanData[MonthlyIncome],1189)&lt;=$B$3,"Low Income",IF(INDEX(tblCleanData[MonthlyIncome],1189)&lt;=$B$4,"Medium Income","High Income"))</f>
        <v>High Income</v>
      </c>
      <c r="D1197">
        <f>IF(INDEX(tblCleanData[Attrition],1189)="Yes",1,0)</f>
        <v>0</v>
      </c>
      <c r="E1197">
        <f>IF(INDEX(tblCleanData[OverTime],1189)="Yes",1,0)</f>
        <v>1</v>
      </c>
      <c r="F1197" t="str">
        <f>CHOOSE(INDEX(tblCleanData[Education],1189),"Below College","College","Bachelor","Master","Doctor")</f>
        <v>Bachelor</v>
      </c>
      <c r="G1197" t="str">
        <f>IF(INDEX(tblCleanData[YearsAtCompany],1189)&lt;=2,"0-2 Years",IF(INDEX(tblCleanData[YearsAtCompany],1189)&lt;=5,"3-5 Years",IF(INDEX(tblCleanData[YearsAtCompany],1189)&lt;=10,"6-10 Years","10+ Years")))</f>
        <v>6-10 Years</v>
      </c>
      <c r="H1197" t="str">
        <f>IF(INDEX(tblCleanData[WorkLifeBalance],1189)&lt;=2,"Elevated","Normal")</f>
        <v>Elevated</v>
      </c>
      <c r="I1197">
        <f>IF(INDEX(tblCleanData[Age],1189)&lt;30,30,IF(INDEX(tblCleanData[Age],1189)&lt;40,20,IF(INDEX(tblCleanData[Age],1189)&lt;50,10,15)))</f>
        <v>30</v>
      </c>
      <c r="J1197">
        <f>IF(INDEX(tblCleanData[MonthlyIncome],1189)&lt;=$B$3,25,IF(INDEX(tblCleanData[MonthlyIncome],1189)&lt;=$B$4,12,5))</f>
        <v>5</v>
      </c>
      <c r="K1197">
        <f>IF(INDEX(tblCleanData[OverTime],1189)="Yes",25,0)</f>
        <v>25</v>
      </c>
      <c r="L1197">
        <f>(5-INDEX(tblCleanData[JobSatisfaction],1189))*6.25</f>
        <v>18.75</v>
      </c>
      <c r="M1197">
        <f>IF(INDEX(tblCleanData[YearsAtCompany],1189)&lt;=2,25,IF(INDEX(tblCleanData[YearsAtCompany],1189)&lt;=5,15,IF(INDEX(tblCleanData[YearsAtCompany],1189)&lt;=10,8,3)))</f>
        <v>8</v>
      </c>
      <c r="N1197">
        <f t="shared" si="36"/>
        <v>87</v>
      </c>
      <c r="O1197" t="str">
        <f t="shared" si="37"/>
        <v>High Risk</v>
      </c>
    </row>
    <row r="1198" spans="1:15" x14ac:dyDescent="0.25">
      <c r="A1198">
        <f>INDEX(tblCleanData[EmployeeNumber],1190)</f>
        <v>1670</v>
      </c>
      <c r="B1198" t="str">
        <f>IF(INDEX(tblCleanData[Age],1190)&lt;30,"Under 30",IF(INDEX(tblCleanData[Age],1190)&lt;40,"30-39",IF(INDEX(tblCleanData[Age],1190)&lt;50,"40-49","50+")))</f>
        <v>30-39</v>
      </c>
      <c r="C1198" t="str">
        <f>IF(INDEX(tblCleanData[MonthlyIncome],1190)&lt;=$B$3,"Low Income",IF(INDEX(tblCleanData[MonthlyIncome],1190)&lt;=$B$4,"Medium Income","High Income"))</f>
        <v>High Income</v>
      </c>
      <c r="D1198">
        <f>IF(INDEX(tblCleanData[Attrition],1190)="Yes",1,0)</f>
        <v>0</v>
      </c>
      <c r="E1198">
        <f>IF(INDEX(tblCleanData[OverTime],1190)="Yes",1,0)</f>
        <v>0</v>
      </c>
      <c r="F1198" t="str">
        <f>CHOOSE(INDEX(tblCleanData[Education],1190),"Below College","College","Bachelor","Master","Doctor")</f>
        <v>Master</v>
      </c>
      <c r="G1198" t="str">
        <f>IF(INDEX(tblCleanData[YearsAtCompany],1190)&lt;=2,"0-2 Years",IF(INDEX(tblCleanData[YearsAtCompany],1190)&lt;=5,"3-5 Years",IF(INDEX(tblCleanData[YearsAtCompany],1190)&lt;=10,"6-10 Years","10+ Years")))</f>
        <v>6-10 Years</v>
      </c>
      <c r="H1198" t="str">
        <f>IF(INDEX(tblCleanData[WorkLifeBalance],1190)&lt;=2,"Elevated","Normal")</f>
        <v>Normal</v>
      </c>
      <c r="I1198">
        <f>IF(INDEX(tblCleanData[Age],1190)&lt;30,30,IF(INDEX(tblCleanData[Age],1190)&lt;40,20,IF(INDEX(tblCleanData[Age],1190)&lt;50,10,15)))</f>
        <v>20</v>
      </c>
      <c r="J1198">
        <f>IF(INDEX(tblCleanData[MonthlyIncome],1190)&lt;=$B$3,25,IF(INDEX(tblCleanData[MonthlyIncome],1190)&lt;=$B$4,12,5))</f>
        <v>5</v>
      </c>
      <c r="K1198">
        <f>IF(INDEX(tblCleanData[OverTime],1190)="Yes",25,0)</f>
        <v>0</v>
      </c>
      <c r="L1198">
        <f>(5-INDEX(tblCleanData[JobSatisfaction],1190))*6.25</f>
        <v>6.25</v>
      </c>
      <c r="M1198">
        <f>IF(INDEX(tblCleanData[YearsAtCompany],1190)&lt;=2,25,IF(INDEX(tblCleanData[YearsAtCompany],1190)&lt;=5,15,IF(INDEX(tblCleanData[YearsAtCompany],1190)&lt;=10,8,3)))</f>
        <v>8</v>
      </c>
      <c r="N1198">
        <f t="shared" si="36"/>
        <v>39</v>
      </c>
      <c r="O1198" t="str">
        <f t="shared" si="37"/>
        <v>Medium Risk</v>
      </c>
    </row>
    <row r="1199" spans="1:15" x14ac:dyDescent="0.25">
      <c r="A1199">
        <f>INDEX(tblCleanData[EmployeeNumber],1191)</f>
        <v>1671</v>
      </c>
      <c r="B1199" t="str">
        <f>IF(INDEX(tblCleanData[Age],1191)&lt;30,"Under 30",IF(INDEX(tblCleanData[Age],1191)&lt;40,"30-39",IF(INDEX(tblCleanData[Age],1191)&lt;50,"40-49","50+")))</f>
        <v>30-39</v>
      </c>
      <c r="C1199" t="str">
        <f>IF(INDEX(tblCleanData[MonthlyIncome],1191)&lt;=$B$3,"Low Income",IF(INDEX(tblCleanData[MonthlyIncome],1191)&lt;=$B$4,"Medium Income","High Income"))</f>
        <v>High Income</v>
      </c>
      <c r="D1199">
        <f>IF(INDEX(tblCleanData[Attrition],1191)="Yes",1,0)</f>
        <v>0</v>
      </c>
      <c r="E1199">
        <f>IF(INDEX(tblCleanData[OverTime],1191)="Yes",1,0)</f>
        <v>0</v>
      </c>
      <c r="F1199" t="str">
        <f>CHOOSE(INDEX(tblCleanData[Education],1191),"Below College","College","Bachelor","Master","Doctor")</f>
        <v>Bachelor</v>
      </c>
      <c r="G1199" t="str">
        <f>IF(INDEX(tblCleanData[YearsAtCompany],1191)&lt;=2,"0-2 Years",IF(INDEX(tblCleanData[YearsAtCompany],1191)&lt;=5,"3-5 Years",IF(INDEX(tblCleanData[YearsAtCompany],1191)&lt;=10,"6-10 Years","10+ Years")))</f>
        <v>6-10 Years</v>
      </c>
      <c r="H1199" t="str">
        <f>IF(INDEX(tblCleanData[WorkLifeBalance],1191)&lt;=2,"Elevated","Normal")</f>
        <v>Elevated</v>
      </c>
      <c r="I1199">
        <f>IF(INDEX(tblCleanData[Age],1191)&lt;30,30,IF(INDEX(tblCleanData[Age],1191)&lt;40,20,IF(INDEX(tblCleanData[Age],1191)&lt;50,10,15)))</f>
        <v>20</v>
      </c>
      <c r="J1199">
        <f>IF(INDEX(tblCleanData[MonthlyIncome],1191)&lt;=$B$3,25,IF(INDEX(tblCleanData[MonthlyIncome],1191)&lt;=$B$4,12,5))</f>
        <v>5</v>
      </c>
      <c r="K1199">
        <f>IF(INDEX(tblCleanData[OverTime],1191)="Yes",25,0)</f>
        <v>0</v>
      </c>
      <c r="L1199">
        <f>(5-INDEX(tblCleanData[JobSatisfaction],1191))*6.25</f>
        <v>18.75</v>
      </c>
      <c r="M1199">
        <f>IF(INDEX(tblCleanData[YearsAtCompany],1191)&lt;=2,25,IF(INDEX(tblCleanData[YearsAtCompany],1191)&lt;=5,15,IF(INDEX(tblCleanData[YearsAtCompany],1191)&lt;=10,8,3)))</f>
        <v>8</v>
      </c>
      <c r="N1199">
        <f t="shared" si="36"/>
        <v>52</v>
      </c>
      <c r="O1199" t="str">
        <f t="shared" si="37"/>
        <v>Medium Risk</v>
      </c>
    </row>
    <row r="1200" spans="1:15" x14ac:dyDescent="0.25">
      <c r="A1200">
        <f>INDEX(tblCleanData[EmployeeNumber],1192)</f>
        <v>1673</v>
      </c>
      <c r="B1200" t="str">
        <f>IF(INDEX(tblCleanData[Age],1192)&lt;30,"Under 30",IF(INDEX(tblCleanData[Age],1192)&lt;40,"30-39",IF(INDEX(tblCleanData[Age],1192)&lt;50,"40-49","50+")))</f>
        <v>30-39</v>
      </c>
      <c r="C1200" t="str">
        <f>IF(INDEX(tblCleanData[MonthlyIncome],1192)&lt;=$B$3,"Low Income",IF(INDEX(tblCleanData[MonthlyIncome],1192)&lt;=$B$4,"Medium Income","High Income"))</f>
        <v>High Income</v>
      </c>
      <c r="D1200">
        <f>IF(INDEX(tblCleanData[Attrition],1192)="Yes",1,0)</f>
        <v>0</v>
      </c>
      <c r="E1200">
        <f>IF(INDEX(tblCleanData[OverTime],1192)="Yes",1,0)</f>
        <v>0</v>
      </c>
      <c r="F1200" t="str">
        <f>CHOOSE(INDEX(tblCleanData[Education],1192),"Below College","College","Bachelor","Master","Doctor")</f>
        <v>Master</v>
      </c>
      <c r="G1200" t="str">
        <f>IF(INDEX(tblCleanData[YearsAtCompany],1192)&lt;=2,"0-2 Years",IF(INDEX(tblCleanData[YearsAtCompany],1192)&lt;=5,"3-5 Years",IF(INDEX(tblCleanData[YearsAtCompany],1192)&lt;=10,"6-10 Years","10+ Years")))</f>
        <v>6-10 Years</v>
      </c>
      <c r="H1200" t="str">
        <f>IF(INDEX(tblCleanData[WorkLifeBalance],1192)&lt;=2,"Elevated","Normal")</f>
        <v>Normal</v>
      </c>
      <c r="I1200">
        <f>IF(INDEX(tblCleanData[Age],1192)&lt;30,30,IF(INDEX(tblCleanData[Age],1192)&lt;40,20,IF(INDEX(tblCleanData[Age],1192)&lt;50,10,15)))</f>
        <v>20</v>
      </c>
      <c r="J1200">
        <f>IF(INDEX(tblCleanData[MonthlyIncome],1192)&lt;=$B$3,25,IF(INDEX(tblCleanData[MonthlyIncome],1192)&lt;=$B$4,12,5))</f>
        <v>5</v>
      </c>
      <c r="K1200">
        <f>IF(INDEX(tblCleanData[OverTime],1192)="Yes",25,0)</f>
        <v>0</v>
      </c>
      <c r="L1200">
        <f>(5-INDEX(tblCleanData[JobSatisfaction],1192))*6.25</f>
        <v>6.25</v>
      </c>
      <c r="M1200">
        <f>IF(INDEX(tblCleanData[YearsAtCompany],1192)&lt;=2,25,IF(INDEX(tblCleanData[YearsAtCompany],1192)&lt;=5,15,IF(INDEX(tblCleanData[YearsAtCompany],1192)&lt;=10,8,3)))</f>
        <v>8</v>
      </c>
      <c r="N1200">
        <f t="shared" si="36"/>
        <v>39</v>
      </c>
      <c r="O1200" t="str">
        <f t="shared" si="37"/>
        <v>Medium Risk</v>
      </c>
    </row>
    <row r="1201" spans="1:15" x14ac:dyDescent="0.25">
      <c r="A1201">
        <f>INDEX(tblCleanData[EmployeeNumber],1193)</f>
        <v>1674</v>
      </c>
      <c r="B1201" t="str">
        <f>IF(INDEX(tblCleanData[Age],1193)&lt;30,"Under 30",IF(INDEX(tblCleanData[Age],1193)&lt;40,"30-39",IF(INDEX(tblCleanData[Age],1193)&lt;50,"40-49","50+")))</f>
        <v>40-49</v>
      </c>
      <c r="C1201" t="str">
        <f>IF(INDEX(tblCleanData[MonthlyIncome],1193)&lt;=$B$3,"Low Income",IF(INDEX(tblCleanData[MonthlyIncome],1193)&lt;=$B$4,"Medium Income","High Income"))</f>
        <v>High Income</v>
      </c>
      <c r="D1201">
        <f>IF(INDEX(tblCleanData[Attrition],1193)="Yes",1,0)</f>
        <v>0</v>
      </c>
      <c r="E1201">
        <f>IF(INDEX(tblCleanData[OverTime],1193)="Yes",1,0)</f>
        <v>1</v>
      </c>
      <c r="F1201" t="str">
        <f>CHOOSE(INDEX(tblCleanData[Education],1193),"Below College","College","Bachelor","Master","Doctor")</f>
        <v>Bachelor</v>
      </c>
      <c r="G1201" t="str">
        <f>IF(INDEX(tblCleanData[YearsAtCompany],1193)&lt;=2,"0-2 Years",IF(INDEX(tblCleanData[YearsAtCompany],1193)&lt;=5,"3-5 Years",IF(INDEX(tblCleanData[YearsAtCompany],1193)&lt;=10,"6-10 Years","10+ Years")))</f>
        <v>0-2 Years</v>
      </c>
      <c r="H1201" t="str">
        <f>IF(INDEX(tblCleanData[WorkLifeBalance],1193)&lt;=2,"Elevated","Normal")</f>
        <v>Elevated</v>
      </c>
      <c r="I1201">
        <f>IF(INDEX(tblCleanData[Age],1193)&lt;30,30,IF(INDEX(tblCleanData[Age],1193)&lt;40,20,IF(INDEX(tblCleanData[Age],1193)&lt;50,10,15)))</f>
        <v>10</v>
      </c>
      <c r="J1201">
        <f>IF(INDEX(tblCleanData[MonthlyIncome],1193)&lt;=$B$3,25,IF(INDEX(tblCleanData[MonthlyIncome],1193)&lt;=$B$4,12,5))</f>
        <v>5</v>
      </c>
      <c r="K1201">
        <f>IF(INDEX(tblCleanData[OverTime],1193)="Yes",25,0)</f>
        <v>25</v>
      </c>
      <c r="L1201">
        <f>(5-INDEX(tblCleanData[JobSatisfaction],1193))*6.25</f>
        <v>25</v>
      </c>
      <c r="M1201">
        <f>IF(INDEX(tblCleanData[YearsAtCompany],1193)&lt;=2,25,IF(INDEX(tblCleanData[YearsAtCompany],1193)&lt;=5,15,IF(INDEX(tblCleanData[YearsAtCompany],1193)&lt;=10,8,3)))</f>
        <v>25</v>
      </c>
      <c r="N1201">
        <f t="shared" si="36"/>
        <v>90</v>
      </c>
      <c r="O1201" t="str">
        <f t="shared" si="37"/>
        <v>High Risk</v>
      </c>
    </row>
    <row r="1202" spans="1:15" x14ac:dyDescent="0.25">
      <c r="A1202">
        <f>INDEX(tblCleanData[EmployeeNumber],1194)</f>
        <v>1675</v>
      </c>
      <c r="B1202" t="str">
        <f>IF(INDEX(tblCleanData[Age],1194)&lt;30,"Under 30",IF(INDEX(tblCleanData[Age],1194)&lt;40,"30-39",IF(INDEX(tblCleanData[Age],1194)&lt;50,"40-49","50+")))</f>
        <v>30-39</v>
      </c>
      <c r="C1202" t="str">
        <f>IF(INDEX(tblCleanData[MonthlyIncome],1194)&lt;=$B$3,"Low Income",IF(INDEX(tblCleanData[MonthlyIncome],1194)&lt;=$B$4,"Medium Income","High Income"))</f>
        <v>High Income</v>
      </c>
      <c r="D1202">
        <f>IF(INDEX(tblCleanData[Attrition],1194)="Yes",1,0)</f>
        <v>0</v>
      </c>
      <c r="E1202">
        <f>IF(INDEX(tblCleanData[OverTime],1194)="Yes",1,0)</f>
        <v>0</v>
      </c>
      <c r="F1202" t="str">
        <f>CHOOSE(INDEX(tblCleanData[Education],1194),"Below College","College","Bachelor","Master","Doctor")</f>
        <v>Bachelor</v>
      </c>
      <c r="G1202" t="str">
        <f>IF(INDEX(tblCleanData[YearsAtCompany],1194)&lt;=2,"0-2 Years",IF(INDEX(tblCleanData[YearsAtCompany],1194)&lt;=5,"3-5 Years",IF(INDEX(tblCleanData[YearsAtCompany],1194)&lt;=10,"6-10 Years","10+ Years")))</f>
        <v>3-5 Years</v>
      </c>
      <c r="H1202" t="str">
        <f>IF(INDEX(tblCleanData[WorkLifeBalance],1194)&lt;=2,"Elevated","Normal")</f>
        <v>Normal</v>
      </c>
      <c r="I1202">
        <f>IF(INDEX(tblCleanData[Age],1194)&lt;30,30,IF(INDEX(tblCleanData[Age],1194)&lt;40,20,IF(INDEX(tblCleanData[Age],1194)&lt;50,10,15)))</f>
        <v>20</v>
      </c>
      <c r="J1202">
        <f>IF(INDEX(tblCleanData[MonthlyIncome],1194)&lt;=$B$3,25,IF(INDEX(tblCleanData[MonthlyIncome],1194)&lt;=$B$4,12,5))</f>
        <v>5</v>
      </c>
      <c r="K1202">
        <f>IF(INDEX(tblCleanData[OverTime],1194)="Yes",25,0)</f>
        <v>0</v>
      </c>
      <c r="L1202">
        <f>(5-INDEX(tblCleanData[JobSatisfaction],1194))*6.25</f>
        <v>18.75</v>
      </c>
      <c r="M1202">
        <f>IF(INDEX(tblCleanData[YearsAtCompany],1194)&lt;=2,25,IF(INDEX(tblCleanData[YearsAtCompany],1194)&lt;=5,15,IF(INDEX(tblCleanData[YearsAtCompany],1194)&lt;=10,8,3)))</f>
        <v>15</v>
      </c>
      <c r="N1202">
        <f t="shared" si="36"/>
        <v>59</v>
      </c>
      <c r="O1202" t="str">
        <f t="shared" si="37"/>
        <v>High Risk</v>
      </c>
    </row>
    <row r="1203" spans="1:15" x14ac:dyDescent="0.25">
      <c r="A1203">
        <f>INDEX(tblCleanData[EmployeeNumber],1195)</f>
        <v>1676</v>
      </c>
      <c r="B1203" t="str">
        <f>IF(INDEX(tblCleanData[Age],1195)&lt;30,"Under 30",IF(INDEX(tblCleanData[Age],1195)&lt;40,"30-39",IF(INDEX(tblCleanData[Age],1195)&lt;50,"40-49","50+")))</f>
        <v>40-49</v>
      </c>
      <c r="C1203" t="str">
        <f>IF(INDEX(tblCleanData[MonthlyIncome],1195)&lt;=$B$3,"Low Income",IF(INDEX(tblCleanData[MonthlyIncome],1195)&lt;=$B$4,"Medium Income","High Income"))</f>
        <v>High Income</v>
      </c>
      <c r="D1203">
        <f>IF(INDEX(tblCleanData[Attrition],1195)="Yes",1,0)</f>
        <v>0</v>
      </c>
      <c r="E1203">
        <f>IF(INDEX(tblCleanData[OverTime],1195)="Yes",1,0)</f>
        <v>0</v>
      </c>
      <c r="F1203" t="str">
        <f>CHOOSE(INDEX(tblCleanData[Education],1195),"Below College","College","Bachelor","Master","Doctor")</f>
        <v>Master</v>
      </c>
      <c r="G1203" t="str">
        <f>IF(INDEX(tblCleanData[YearsAtCompany],1195)&lt;=2,"0-2 Years",IF(INDEX(tblCleanData[YearsAtCompany],1195)&lt;=5,"3-5 Years",IF(INDEX(tblCleanData[YearsAtCompany],1195)&lt;=10,"6-10 Years","10+ Years")))</f>
        <v>3-5 Years</v>
      </c>
      <c r="H1203" t="str">
        <f>IF(INDEX(tblCleanData[WorkLifeBalance],1195)&lt;=2,"Elevated","Normal")</f>
        <v>Normal</v>
      </c>
      <c r="I1203">
        <f>IF(INDEX(tblCleanData[Age],1195)&lt;30,30,IF(INDEX(tblCleanData[Age],1195)&lt;40,20,IF(INDEX(tblCleanData[Age],1195)&lt;50,10,15)))</f>
        <v>10</v>
      </c>
      <c r="J1203">
        <f>IF(INDEX(tblCleanData[MonthlyIncome],1195)&lt;=$B$3,25,IF(INDEX(tblCleanData[MonthlyIncome],1195)&lt;=$B$4,12,5))</f>
        <v>5</v>
      </c>
      <c r="K1203">
        <f>IF(INDEX(tblCleanData[OverTime],1195)="Yes",25,0)</f>
        <v>0</v>
      </c>
      <c r="L1203">
        <f>(5-INDEX(tblCleanData[JobSatisfaction],1195))*6.25</f>
        <v>18.75</v>
      </c>
      <c r="M1203">
        <f>IF(INDEX(tblCleanData[YearsAtCompany],1195)&lt;=2,25,IF(INDEX(tblCleanData[YearsAtCompany],1195)&lt;=5,15,IF(INDEX(tblCleanData[YearsAtCompany],1195)&lt;=10,8,3)))</f>
        <v>15</v>
      </c>
      <c r="N1203">
        <f t="shared" si="36"/>
        <v>49</v>
      </c>
      <c r="O1203" t="str">
        <f t="shared" si="37"/>
        <v>Medium Risk</v>
      </c>
    </row>
    <row r="1204" spans="1:15" x14ac:dyDescent="0.25">
      <c r="A1204">
        <f>INDEX(tblCleanData[EmployeeNumber],1196)</f>
        <v>1677</v>
      </c>
      <c r="B1204" t="str">
        <f>IF(INDEX(tblCleanData[Age],1196)&lt;30,"Under 30",IF(INDEX(tblCleanData[Age],1196)&lt;40,"30-39",IF(INDEX(tblCleanData[Age],1196)&lt;50,"40-49","50+")))</f>
        <v>40-49</v>
      </c>
      <c r="C1204" t="str">
        <f>IF(INDEX(tblCleanData[MonthlyIncome],1196)&lt;=$B$3,"Low Income",IF(INDEX(tblCleanData[MonthlyIncome],1196)&lt;=$B$4,"Medium Income","High Income"))</f>
        <v>High Income</v>
      </c>
      <c r="D1204">
        <f>IF(INDEX(tblCleanData[Attrition],1196)="Yes",1,0)</f>
        <v>0</v>
      </c>
      <c r="E1204">
        <f>IF(INDEX(tblCleanData[OverTime],1196)="Yes",1,0)</f>
        <v>0</v>
      </c>
      <c r="F1204" t="str">
        <f>CHOOSE(INDEX(tblCleanData[Education],1196),"Below College","College","Bachelor","Master","Doctor")</f>
        <v>Bachelor</v>
      </c>
      <c r="G1204" t="str">
        <f>IF(INDEX(tblCleanData[YearsAtCompany],1196)&lt;=2,"0-2 Years",IF(INDEX(tblCleanData[YearsAtCompany],1196)&lt;=5,"3-5 Years",IF(INDEX(tblCleanData[YearsAtCompany],1196)&lt;=10,"6-10 Years","10+ Years")))</f>
        <v>6-10 Years</v>
      </c>
      <c r="H1204" t="str">
        <f>IF(INDEX(tblCleanData[WorkLifeBalance],1196)&lt;=2,"Elevated","Normal")</f>
        <v>Normal</v>
      </c>
      <c r="I1204">
        <f>IF(INDEX(tblCleanData[Age],1196)&lt;30,30,IF(INDEX(tblCleanData[Age],1196)&lt;40,20,IF(INDEX(tblCleanData[Age],1196)&lt;50,10,15)))</f>
        <v>10</v>
      </c>
      <c r="J1204">
        <f>IF(INDEX(tblCleanData[MonthlyIncome],1196)&lt;=$B$3,25,IF(INDEX(tblCleanData[MonthlyIncome],1196)&lt;=$B$4,12,5))</f>
        <v>5</v>
      </c>
      <c r="K1204">
        <f>IF(INDEX(tblCleanData[OverTime],1196)="Yes",25,0)</f>
        <v>0</v>
      </c>
      <c r="L1204">
        <f>(5-INDEX(tblCleanData[JobSatisfaction],1196))*6.25</f>
        <v>12.5</v>
      </c>
      <c r="M1204">
        <f>IF(INDEX(tblCleanData[YearsAtCompany],1196)&lt;=2,25,IF(INDEX(tblCleanData[YearsAtCompany],1196)&lt;=5,15,IF(INDEX(tblCleanData[YearsAtCompany],1196)&lt;=10,8,3)))</f>
        <v>8</v>
      </c>
      <c r="N1204">
        <f t="shared" si="36"/>
        <v>36</v>
      </c>
      <c r="O1204" t="str">
        <f t="shared" si="37"/>
        <v>Medium Risk</v>
      </c>
    </row>
    <row r="1205" spans="1:15" x14ac:dyDescent="0.25">
      <c r="A1205">
        <f>INDEX(tblCleanData[EmployeeNumber],1197)</f>
        <v>1678</v>
      </c>
      <c r="B1205" t="str">
        <f>IF(INDEX(tblCleanData[Age],1197)&lt;30,"Under 30",IF(INDEX(tblCleanData[Age],1197)&lt;40,"30-39",IF(INDEX(tblCleanData[Age],1197)&lt;50,"40-49","50+")))</f>
        <v>40-49</v>
      </c>
      <c r="C1205" t="str">
        <f>IF(INDEX(tblCleanData[MonthlyIncome],1197)&lt;=$B$3,"Low Income",IF(INDEX(tblCleanData[MonthlyIncome],1197)&lt;=$B$4,"Medium Income","High Income"))</f>
        <v>High Income</v>
      </c>
      <c r="D1205">
        <f>IF(INDEX(tblCleanData[Attrition],1197)="Yes",1,0)</f>
        <v>0</v>
      </c>
      <c r="E1205">
        <f>IF(INDEX(tblCleanData[OverTime],1197)="Yes",1,0)</f>
        <v>1</v>
      </c>
      <c r="F1205" t="str">
        <f>CHOOSE(INDEX(tblCleanData[Education],1197),"Below College","College","Bachelor","Master","Doctor")</f>
        <v>College</v>
      </c>
      <c r="G1205" t="str">
        <f>IF(INDEX(tblCleanData[YearsAtCompany],1197)&lt;=2,"0-2 Years",IF(INDEX(tblCleanData[YearsAtCompany],1197)&lt;=5,"3-5 Years",IF(INDEX(tblCleanData[YearsAtCompany],1197)&lt;=10,"6-10 Years","10+ Years")))</f>
        <v>0-2 Years</v>
      </c>
      <c r="H1205" t="str">
        <f>IF(INDEX(tblCleanData[WorkLifeBalance],1197)&lt;=2,"Elevated","Normal")</f>
        <v>Normal</v>
      </c>
      <c r="I1205">
        <f>IF(INDEX(tblCleanData[Age],1197)&lt;30,30,IF(INDEX(tblCleanData[Age],1197)&lt;40,20,IF(INDEX(tblCleanData[Age],1197)&lt;50,10,15)))</f>
        <v>10</v>
      </c>
      <c r="J1205">
        <f>IF(INDEX(tblCleanData[MonthlyIncome],1197)&lt;=$B$3,25,IF(INDEX(tblCleanData[MonthlyIncome],1197)&lt;=$B$4,12,5))</f>
        <v>5</v>
      </c>
      <c r="K1205">
        <f>IF(INDEX(tblCleanData[OverTime],1197)="Yes",25,0)</f>
        <v>25</v>
      </c>
      <c r="L1205">
        <f>(5-INDEX(tblCleanData[JobSatisfaction],1197))*6.25</f>
        <v>12.5</v>
      </c>
      <c r="M1205">
        <f>IF(INDEX(tblCleanData[YearsAtCompany],1197)&lt;=2,25,IF(INDEX(tblCleanData[YearsAtCompany],1197)&lt;=5,15,IF(INDEX(tblCleanData[YearsAtCompany],1197)&lt;=10,8,3)))</f>
        <v>25</v>
      </c>
      <c r="N1205">
        <f t="shared" si="36"/>
        <v>78</v>
      </c>
      <c r="O1205" t="str">
        <f t="shared" si="37"/>
        <v>High Risk</v>
      </c>
    </row>
    <row r="1206" spans="1:15" x14ac:dyDescent="0.25">
      <c r="A1206">
        <f>INDEX(tblCleanData[EmployeeNumber],1198)</f>
        <v>1680</v>
      </c>
      <c r="B1206" t="str">
        <f>IF(INDEX(tblCleanData[Age],1198)&lt;30,"Under 30",IF(INDEX(tblCleanData[Age],1198)&lt;40,"30-39",IF(INDEX(tblCleanData[Age],1198)&lt;50,"40-49","50+")))</f>
        <v>Under 30</v>
      </c>
      <c r="C1206" t="str">
        <f>IF(INDEX(tblCleanData[MonthlyIncome],1198)&lt;=$B$3,"Low Income",IF(INDEX(tblCleanData[MonthlyIncome],1198)&lt;=$B$4,"Medium Income","High Income"))</f>
        <v>High Income</v>
      </c>
      <c r="D1206">
        <f>IF(INDEX(tblCleanData[Attrition],1198)="Yes",1,0)</f>
        <v>0</v>
      </c>
      <c r="E1206">
        <f>IF(INDEX(tblCleanData[OverTime],1198)="Yes",1,0)</f>
        <v>0</v>
      </c>
      <c r="F1206" t="str">
        <f>CHOOSE(INDEX(tblCleanData[Education],1198),"Below College","College","Bachelor","Master","Doctor")</f>
        <v>Below College</v>
      </c>
      <c r="G1206" t="str">
        <f>IF(INDEX(tblCleanData[YearsAtCompany],1198)&lt;=2,"0-2 Years",IF(INDEX(tblCleanData[YearsAtCompany],1198)&lt;=5,"3-5 Years",IF(INDEX(tblCleanData[YearsAtCompany],1198)&lt;=10,"6-10 Years","10+ Years")))</f>
        <v>0-2 Years</v>
      </c>
      <c r="H1206" t="str">
        <f>IF(INDEX(tblCleanData[WorkLifeBalance],1198)&lt;=2,"Elevated","Normal")</f>
        <v>Normal</v>
      </c>
      <c r="I1206">
        <f>IF(INDEX(tblCleanData[Age],1198)&lt;30,30,IF(INDEX(tblCleanData[Age],1198)&lt;40,20,IF(INDEX(tblCleanData[Age],1198)&lt;50,10,15)))</f>
        <v>30</v>
      </c>
      <c r="J1206">
        <f>IF(INDEX(tblCleanData[MonthlyIncome],1198)&lt;=$B$3,25,IF(INDEX(tblCleanData[MonthlyIncome],1198)&lt;=$B$4,12,5))</f>
        <v>5</v>
      </c>
      <c r="K1206">
        <f>IF(INDEX(tblCleanData[OverTime],1198)="Yes",25,0)</f>
        <v>0</v>
      </c>
      <c r="L1206">
        <f>(5-INDEX(tblCleanData[JobSatisfaction],1198))*6.25</f>
        <v>25</v>
      </c>
      <c r="M1206">
        <f>IF(INDEX(tblCleanData[YearsAtCompany],1198)&lt;=2,25,IF(INDEX(tblCleanData[YearsAtCompany],1198)&lt;=5,15,IF(INDEX(tblCleanData[YearsAtCompany],1198)&lt;=10,8,3)))</f>
        <v>25</v>
      </c>
      <c r="N1206">
        <f t="shared" si="36"/>
        <v>85</v>
      </c>
      <c r="O1206" t="str">
        <f t="shared" si="37"/>
        <v>High Risk</v>
      </c>
    </row>
    <row r="1207" spans="1:15" x14ac:dyDescent="0.25">
      <c r="A1207">
        <f>INDEX(tblCleanData[EmployeeNumber],1199)</f>
        <v>1681</v>
      </c>
      <c r="B1207" t="str">
        <f>IF(INDEX(tblCleanData[Age],1199)&lt;30,"Under 30",IF(INDEX(tblCleanData[Age],1199)&lt;40,"30-39",IF(INDEX(tblCleanData[Age],1199)&lt;50,"40-49","50+")))</f>
        <v>30-39</v>
      </c>
      <c r="C1207" t="str">
        <f>IF(INDEX(tblCleanData[MonthlyIncome],1199)&lt;=$B$3,"Low Income",IF(INDEX(tblCleanData[MonthlyIncome],1199)&lt;=$B$4,"Medium Income","High Income"))</f>
        <v>High Income</v>
      </c>
      <c r="D1207">
        <f>IF(INDEX(tblCleanData[Attrition],1199)="Yes",1,0)</f>
        <v>0</v>
      </c>
      <c r="E1207">
        <f>IF(INDEX(tblCleanData[OverTime],1199)="Yes",1,0)</f>
        <v>1</v>
      </c>
      <c r="F1207" t="str">
        <f>CHOOSE(INDEX(tblCleanData[Education],1199),"Below College","College","Bachelor","Master","Doctor")</f>
        <v>Bachelor</v>
      </c>
      <c r="G1207" t="str">
        <f>IF(INDEX(tblCleanData[YearsAtCompany],1199)&lt;=2,"0-2 Years",IF(INDEX(tblCleanData[YearsAtCompany],1199)&lt;=5,"3-5 Years",IF(INDEX(tblCleanData[YearsAtCompany],1199)&lt;=10,"6-10 Years","10+ Years")))</f>
        <v>6-10 Years</v>
      </c>
      <c r="H1207" t="str">
        <f>IF(INDEX(tblCleanData[WorkLifeBalance],1199)&lt;=2,"Elevated","Normal")</f>
        <v>Normal</v>
      </c>
      <c r="I1207">
        <f>IF(INDEX(tblCleanData[Age],1199)&lt;30,30,IF(INDEX(tblCleanData[Age],1199)&lt;40,20,IF(INDEX(tblCleanData[Age],1199)&lt;50,10,15)))</f>
        <v>20</v>
      </c>
      <c r="J1207">
        <f>IF(INDEX(tblCleanData[MonthlyIncome],1199)&lt;=$B$3,25,IF(INDEX(tblCleanData[MonthlyIncome],1199)&lt;=$B$4,12,5))</f>
        <v>5</v>
      </c>
      <c r="K1207">
        <f>IF(INDEX(tblCleanData[OverTime],1199)="Yes",25,0)</f>
        <v>25</v>
      </c>
      <c r="L1207">
        <f>(5-INDEX(tblCleanData[JobSatisfaction],1199))*6.25</f>
        <v>6.25</v>
      </c>
      <c r="M1207">
        <f>IF(INDEX(tblCleanData[YearsAtCompany],1199)&lt;=2,25,IF(INDEX(tblCleanData[YearsAtCompany],1199)&lt;=5,15,IF(INDEX(tblCleanData[YearsAtCompany],1199)&lt;=10,8,3)))</f>
        <v>8</v>
      </c>
      <c r="N1207">
        <f t="shared" si="36"/>
        <v>64</v>
      </c>
      <c r="O1207" t="str">
        <f t="shared" si="37"/>
        <v>High Risk</v>
      </c>
    </row>
    <row r="1208" spans="1:15" x14ac:dyDescent="0.25">
      <c r="A1208">
        <f>INDEX(tblCleanData[EmployeeNumber],1200)</f>
        <v>1682</v>
      </c>
      <c r="B1208" t="str">
        <f>IF(INDEX(tblCleanData[Age],1200)&lt;30,"Under 30",IF(INDEX(tblCleanData[Age],1200)&lt;40,"30-39",IF(INDEX(tblCleanData[Age],1200)&lt;50,"40-49","50+")))</f>
        <v>30-39</v>
      </c>
      <c r="C1208" t="str">
        <f>IF(INDEX(tblCleanData[MonthlyIncome],1200)&lt;=$B$3,"Low Income",IF(INDEX(tblCleanData[MonthlyIncome],1200)&lt;=$B$4,"Medium Income","High Income"))</f>
        <v>High Income</v>
      </c>
      <c r="D1208">
        <f>IF(INDEX(tblCleanData[Attrition],1200)="Yes",1,0)</f>
        <v>0</v>
      </c>
      <c r="E1208">
        <f>IF(INDEX(tblCleanData[OverTime],1200)="Yes",1,0)</f>
        <v>0</v>
      </c>
      <c r="F1208" t="str">
        <f>CHOOSE(INDEX(tblCleanData[Education],1200),"Below College","College","Bachelor","Master","Doctor")</f>
        <v>Master</v>
      </c>
      <c r="G1208" t="str">
        <f>IF(INDEX(tblCleanData[YearsAtCompany],1200)&lt;=2,"0-2 Years",IF(INDEX(tblCleanData[YearsAtCompany],1200)&lt;=5,"3-5 Years",IF(INDEX(tblCleanData[YearsAtCompany],1200)&lt;=10,"6-10 Years","10+ Years")))</f>
        <v>3-5 Years</v>
      </c>
      <c r="H1208" t="str">
        <f>IF(INDEX(tblCleanData[WorkLifeBalance],1200)&lt;=2,"Elevated","Normal")</f>
        <v>Elevated</v>
      </c>
      <c r="I1208">
        <f>IF(INDEX(tblCleanData[Age],1200)&lt;30,30,IF(INDEX(tblCleanData[Age],1200)&lt;40,20,IF(INDEX(tblCleanData[Age],1200)&lt;50,10,15)))</f>
        <v>20</v>
      </c>
      <c r="J1208">
        <f>IF(INDEX(tblCleanData[MonthlyIncome],1200)&lt;=$B$3,25,IF(INDEX(tblCleanData[MonthlyIncome],1200)&lt;=$B$4,12,5))</f>
        <v>5</v>
      </c>
      <c r="K1208">
        <f>IF(INDEX(tblCleanData[OverTime],1200)="Yes",25,0)</f>
        <v>0</v>
      </c>
      <c r="L1208">
        <f>(5-INDEX(tblCleanData[JobSatisfaction],1200))*6.25</f>
        <v>12.5</v>
      </c>
      <c r="M1208">
        <f>IF(INDEX(tblCleanData[YearsAtCompany],1200)&lt;=2,25,IF(INDEX(tblCleanData[YearsAtCompany],1200)&lt;=5,15,IF(INDEX(tblCleanData[YearsAtCompany],1200)&lt;=10,8,3)))</f>
        <v>15</v>
      </c>
      <c r="N1208">
        <f t="shared" si="36"/>
        <v>53</v>
      </c>
      <c r="O1208" t="str">
        <f t="shared" si="37"/>
        <v>Medium Risk</v>
      </c>
    </row>
    <row r="1209" spans="1:15" x14ac:dyDescent="0.25">
      <c r="A1209">
        <f>INDEX(tblCleanData[EmployeeNumber],1201)</f>
        <v>1683</v>
      </c>
      <c r="B1209" t="str">
        <f>IF(INDEX(tblCleanData[Age],1201)&lt;30,"Under 30",IF(INDEX(tblCleanData[Age],1201)&lt;40,"30-39",IF(INDEX(tblCleanData[Age],1201)&lt;50,"40-49","50+")))</f>
        <v>40-49</v>
      </c>
      <c r="C1209" t="str">
        <f>IF(INDEX(tblCleanData[MonthlyIncome],1201)&lt;=$B$3,"Low Income",IF(INDEX(tblCleanData[MonthlyIncome],1201)&lt;=$B$4,"Medium Income","High Income"))</f>
        <v>High Income</v>
      </c>
      <c r="D1209">
        <f>IF(INDEX(tblCleanData[Attrition],1201)="Yes",1,0)</f>
        <v>0</v>
      </c>
      <c r="E1209">
        <f>IF(INDEX(tblCleanData[OverTime],1201)="Yes",1,0)</f>
        <v>1</v>
      </c>
      <c r="F1209" t="str">
        <f>CHOOSE(INDEX(tblCleanData[Education],1201),"Below College","College","Bachelor","Master","Doctor")</f>
        <v>Bachelor</v>
      </c>
      <c r="G1209" t="str">
        <f>IF(INDEX(tblCleanData[YearsAtCompany],1201)&lt;=2,"0-2 Years",IF(INDEX(tblCleanData[YearsAtCompany],1201)&lt;=5,"3-5 Years",IF(INDEX(tblCleanData[YearsAtCompany],1201)&lt;=10,"6-10 Years","10+ Years")))</f>
        <v>0-2 Years</v>
      </c>
      <c r="H1209" t="str">
        <f>IF(INDEX(tblCleanData[WorkLifeBalance],1201)&lt;=2,"Elevated","Normal")</f>
        <v>Normal</v>
      </c>
      <c r="I1209">
        <f>IF(INDEX(tblCleanData[Age],1201)&lt;30,30,IF(INDEX(tblCleanData[Age],1201)&lt;40,20,IF(INDEX(tblCleanData[Age],1201)&lt;50,10,15)))</f>
        <v>10</v>
      </c>
      <c r="J1209">
        <f>IF(INDEX(tblCleanData[MonthlyIncome],1201)&lt;=$B$3,25,IF(INDEX(tblCleanData[MonthlyIncome],1201)&lt;=$B$4,12,5))</f>
        <v>5</v>
      </c>
      <c r="K1209">
        <f>IF(INDEX(tblCleanData[OverTime],1201)="Yes",25,0)</f>
        <v>25</v>
      </c>
      <c r="L1209">
        <f>(5-INDEX(tblCleanData[JobSatisfaction],1201))*6.25</f>
        <v>6.25</v>
      </c>
      <c r="M1209">
        <f>IF(INDEX(tblCleanData[YearsAtCompany],1201)&lt;=2,25,IF(INDEX(tblCleanData[YearsAtCompany],1201)&lt;=5,15,IF(INDEX(tblCleanData[YearsAtCompany],1201)&lt;=10,8,3)))</f>
        <v>25</v>
      </c>
      <c r="N1209">
        <f t="shared" si="36"/>
        <v>71</v>
      </c>
      <c r="O1209" t="str">
        <f t="shared" si="37"/>
        <v>High Risk</v>
      </c>
    </row>
    <row r="1210" spans="1:15" x14ac:dyDescent="0.25">
      <c r="A1210">
        <f>INDEX(tblCleanData[EmployeeNumber],1202)</f>
        <v>1684</v>
      </c>
      <c r="B1210" t="str">
        <f>IF(INDEX(tblCleanData[Age],1202)&lt;30,"Under 30",IF(INDEX(tblCleanData[Age],1202)&lt;40,"30-39",IF(INDEX(tblCleanData[Age],1202)&lt;50,"40-49","50+")))</f>
        <v>Under 30</v>
      </c>
      <c r="C1210" t="str">
        <f>IF(INDEX(tblCleanData[MonthlyIncome],1202)&lt;=$B$3,"Low Income",IF(INDEX(tblCleanData[MonthlyIncome],1202)&lt;=$B$4,"Medium Income","High Income"))</f>
        <v>High Income</v>
      </c>
      <c r="D1210">
        <f>IF(INDEX(tblCleanData[Attrition],1202)="Yes",1,0)</f>
        <v>1</v>
      </c>
      <c r="E1210">
        <f>IF(INDEX(tblCleanData[OverTime],1202)="Yes",1,0)</f>
        <v>1</v>
      </c>
      <c r="F1210" t="str">
        <f>CHOOSE(INDEX(tblCleanData[Education],1202),"Below College","College","Bachelor","Master","Doctor")</f>
        <v>Below College</v>
      </c>
      <c r="G1210" t="str">
        <f>IF(INDEX(tblCleanData[YearsAtCompany],1202)&lt;=2,"0-2 Years",IF(INDEX(tblCleanData[YearsAtCompany],1202)&lt;=5,"3-5 Years",IF(INDEX(tblCleanData[YearsAtCompany],1202)&lt;=10,"6-10 Years","10+ Years")))</f>
        <v>3-5 Years</v>
      </c>
      <c r="H1210" t="str">
        <f>IF(INDEX(tblCleanData[WorkLifeBalance],1202)&lt;=2,"Elevated","Normal")</f>
        <v>Normal</v>
      </c>
      <c r="I1210">
        <f>IF(INDEX(tblCleanData[Age],1202)&lt;30,30,IF(INDEX(tblCleanData[Age],1202)&lt;40,20,IF(INDEX(tblCleanData[Age],1202)&lt;50,10,15)))</f>
        <v>30</v>
      </c>
      <c r="J1210">
        <f>IF(INDEX(tblCleanData[MonthlyIncome],1202)&lt;=$B$3,25,IF(INDEX(tblCleanData[MonthlyIncome],1202)&lt;=$B$4,12,5))</f>
        <v>5</v>
      </c>
      <c r="K1210">
        <f>IF(INDEX(tblCleanData[OverTime],1202)="Yes",25,0)</f>
        <v>25</v>
      </c>
      <c r="L1210">
        <f>(5-INDEX(tblCleanData[JobSatisfaction],1202))*6.25</f>
        <v>12.5</v>
      </c>
      <c r="M1210">
        <f>IF(INDEX(tblCleanData[YearsAtCompany],1202)&lt;=2,25,IF(INDEX(tblCleanData[YearsAtCompany],1202)&lt;=5,15,IF(INDEX(tblCleanData[YearsAtCompany],1202)&lt;=10,8,3)))</f>
        <v>15</v>
      </c>
      <c r="N1210">
        <f t="shared" si="36"/>
        <v>88</v>
      </c>
      <c r="O1210" t="str">
        <f t="shared" si="37"/>
        <v>High Risk</v>
      </c>
    </row>
    <row r="1211" spans="1:15" x14ac:dyDescent="0.25">
      <c r="A1211">
        <f>INDEX(tblCleanData[EmployeeNumber],1203)</f>
        <v>1687</v>
      </c>
      <c r="B1211" t="str">
        <f>IF(INDEX(tblCleanData[Age],1203)&lt;30,"Under 30",IF(INDEX(tblCleanData[Age],1203)&lt;40,"30-39",IF(INDEX(tblCleanData[Age],1203)&lt;50,"40-49","50+")))</f>
        <v>30-39</v>
      </c>
      <c r="C1211" t="str">
        <f>IF(INDEX(tblCleanData[MonthlyIncome],1203)&lt;=$B$3,"Low Income",IF(INDEX(tblCleanData[MonthlyIncome],1203)&lt;=$B$4,"Medium Income","High Income"))</f>
        <v>High Income</v>
      </c>
      <c r="D1211">
        <f>IF(INDEX(tblCleanData[Attrition],1203)="Yes",1,0)</f>
        <v>0</v>
      </c>
      <c r="E1211">
        <f>IF(INDEX(tblCleanData[OverTime],1203)="Yes",1,0)</f>
        <v>0</v>
      </c>
      <c r="F1211" t="str">
        <f>CHOOSE(INDEX(tblCleanData[Education],1203),"Below College","College","Bachelor","Master","Doctor")</f>
        <v>College</v>
      </c>
      <c r="G1211" t="str">
        <f>IF(INDEX(tblCleanData[YearsAtCompany],1203)&lt;=2,"0-2 Years",IF(INDEX(tblCleanData[YearsAtCompany],1203)&lt;=5,"3-5 Years",IF(INDEX(tblCleanData[YearsAtCompany],1203)&lt;=10,"6-10 Years","10+ Years")))</f>
        <v>0-2 Years</v>
      </c>
      <c r="H1211" t="str">
        <f>IF(INDEX(tblCleanData[WorkLifeBalance],1203)&lt;=2,"Elevated","Normal")</f>
        <v>Elevated</v>
      </c>
      <c r="I1211">
        <f>IF(INDEX(tblCleanData[Age],1203)&lt;30,30,IF(INDEX(tblCleanData[Age],1203)&lt;40,20,IF(INDEX(tblCleanData[Age],1203)&lt;50,10,15)))</f>
        <v>20</v>
      </c>
      <c r="J1211">
        <f>IF(INDEX(tblCleanData[MonthlyIncome],1203)&lt;=$B$3,25,IF(INDEX(tblCleanData[MonthlyIncome],1203)&lt;=$B$4,12,5))</f>
        <v>5</v>
      </c>
      <c r="K1211">
        <f>IF(INDEX(tblCleanData[OverTime],1203)="Yes",25,0)</f>
        <v>0</v>
      </c>
      <c r="L1211">
        <f>(5-INDEX(tblCleanData[JobSatisfaction],1203))*6.25</f>
        <v>12.5</v>
      </c>
      <c r="M1211">
        <f>IF(INDEX(tblCleanData[YearsAtCompany],1203)&lt;=2,25,IF(INDEX(tblCleanData[YearsAtCompany],1203)&lt;=5,15,IF(INDEX(tblCleanData[YearsAtCompany],1203)&lt;=10,8,3)))</f>
        <v>25</v>
      </c>
      <c r="N1211">
        <f t="shared" si="36"/>
        <v>63</v>
      </c>
      <c r="O1211" t="str">
        <f t="shared" si="37"/>
        <v>High Risk</v>
      </c>
    </row>
    <row r="1212" spans="1:15" x14ac:dyDescent="0.25">
      <c r="A1212">
        <f>INDEX(tblCleanData[EmployeeNumber],1204)</f>
        <v>1689</v>
      </c>
      <c r="B1212" t="str">
        <f>IF(INDEX(tblCleanData[Age],1204)&lt;30,"Under 30",IF(INDEX(tblCleanData[Age],1204)&lt;40,"30-39",IF(INDEX(tblCleanData[Age],1204)&lt;50,"40-49","50+")))</f>
        <v>50+</v>
      </c>
      <c r="C1212" t="str">
        <f>IF(INDEX(tblCleanData[MonthlyIncome],1204)&lt;=$B$3,"Low Income",IF(INDEX(tblCleanData[MonthlyIncome],1204)&lt;=$B$4,"Medium Income","High Income"))</f>
        <v>High Income</v>
      </c>
      <c r="D1212">
        <f>IF(INDEX(tblCleanData[Attrition],1204)="Yes",1,0)</f>
        <v>0</v>
      </c>
      <c r="E1212">
        <f>IF(INDEX(tblCleanData[OverTime],1204)="Yes",1,0)</f>
        <v>0</v>
      </c>
      <c r="F1212" t="str">
        <f>CHOOSE(INDEX(tblCleanData[Education],1204),"Below College","College","Bachelor","Master","Doctor")</f>
        <v>Master</v>
      </c>
      <c r="G1212" t="str">
        <f>IF(INDEX(tblCleanData[YearsAtCompany],1204)&lt;=2,"0-2 Years",IF(INDEX(tblCleanData[YearsAtCompany],1204)&lt;=5,"3-5 Years",IF(INDEX(tblCleanData[YearsAtCompany],1204)&lt;=10,"6-10 Years","10+ Years")))</f>
        <v>3-5 Years</v>
      </c>
      <c r="H1212" t="str">
        <f>IF(INDEX(tblCleanData[WorkLifeBalance],1204)&lt;=2,"Elevated","Normal")</f>
        <v>Normal</v>
      </c>
      <c r="I1212">
        <f>IF(INDEX(tblCleanData[Age],1204)&lt;30,30,IF(INDEX(tblCleanData[Age],1204)&lt;40,20,IF(INDEX(tblCleanData[Age],1204)&lt;50,10,15)))</f>
        <v>15</v>
      </c>
      <c r="J1212">
        <f>IF(INDEX(tblCleanData[MonthlyIncome],1204)&lt;=$B$3,25,IF(INDEX(tblCleanData[MonthlyIncome],1204)&lt;=$B$4,12,5))</f>
        <v>5</v>
      </c>
      <c r="K1212">
        <f>IF(INDEX(tblCleanData[OverTime],1204)="Yes",25,0)</f>
        <v>0</v>
      </c>
      <c r="L1212">
        <f>(5-INDEX(tblCleanData[JobSatisfaction],1204))*6.25</f>
        <v>6.25</v>
      </c>
      <c r="M1212">
        <f>IF(INDEX(tblCleanData[YearsAtCompany],1204)&lt;=2,25,IF(INDEX(tblCleanData[YearsAtCompany],1204)&lt;=5,15,IF(INDEX(tblCleanData[YearsAtCompany],1204)&lt;=10,8,3)))</f>
        <v>15</v>
      </c>
      <c r="N1212">
        <f t="shared" si="36"/>
        <v>41</v>
      </c>
      <c r="O1212" t="str">
        <f t="shared" si="37"/>
        <v>Medium Risk</v>
      </c>
    </row>
    <row r="1213" spans="1:15" x14ac:dyDescent="0.25">
      <c r="A1213">
        <f>INDEX(tblCleanData[EmployeeNumber],1205)</f>
        <v>1691</v>
      </c>
      <c r="B1213" t="str">
        <f>IF(INDEX(tblCleanData[Age],1205)&lt;30,"Under 30",IF(INDEX(tblCleanData[Age],1205)&lt;40,"30-39",IF(INDEX(tblCleanData[Age],1205)&lt;50,"40-49","50+")))</f>
        <v>40-49</v>
      </c>
      <c r="C1213" t="str">
        <f>IF(INDEX(tblCleanData[MonthlyIncome],1205)&lt;=$B$3,"Low Income",IF(INDEX(tblCleanData[MonthlyIncome],1205)&lt;=$B$4,"Medium Income","High Income"))</f>
        <v>High Income</v>
      </c>
      <c r="D1213">
        <f>IF(INDEX(tblCleanData[Attrition],1205)="Yes",1,0)</f>
        <v>1</v>
      </c>
      <c r="E1213">
        <f>IF(INDEX(tblCleanData[OverTime],1205)="Yes",1,0)</f>
        <v>1</v>
      </c>
      <c r="F1213" t="str">
        <f>CHOOSE(INDEX(tblCleanData[Education],1205),"Below College","College","Bachelor","Master","Doctor")</f>
        <v>College</v>
      </c>
      <c r="G1213" t="str">
        <f>IF(INDEX(tblCleanData[YearsAtCompany],1205)&lt;=2,"0-2 Years",IF(INDEX(tblCleanData[YearsAtCompany],1205)&lt;=5,"3-5 Years",IF(INDEX(tblCleanData[YearsAtCompany],1205)&lt;=10,"6-10 Years","10+ Years")))</f>
        <v>6-10 Years</v>
      </c>
      <c r="H1213" t="str">
        <f>IF(INDEX(tblCleanData[WorkLifeBalance],1205)&lt;=2,"Elevated","Normal")</f>
        <v>Normal</v>
      </c>
      <c r="I1213">
        <f>IF(INDEX(tblCleanData[Age],1205)&lt;30,30,IF(INDEX(tblCleanData[Age],1205)&lt;40,20,IF(INDEX(tblCleanData[Age],1205)&lt;50,10,15)))</f>
        <v>10</v>
      </c>
      <c r="J1213">
        <f>IF(INDEX(tblCleanData[MonthlyIncome],1205)&lt;=$B$3,25,IF(INDEX(tblCleanData[MonthlyIncome],1205)&lt;=$B$4,12,5))</f>
        <v>5</v>
      </c>
      <c r="K1213">
        <f>IF(INDEX(tblCleanData[OverTime],1205)="Yes",25,0)</f>
        <v>25</v>
      </c>
      <c r="L1213">
        <f>(5-INDEX(tblCleanData[JobSatisfaction],1205))*6.25</f>
        <v>12.5</v>
      </c>
      <c r="M1213">
        <f>IF(INDEX(tblCleanData[YearsAtCompany],1205)&lt;=2,25,IF(INDEX(tblCleanData[YearsAtCompany],1205)&lt;=5,15,IF(INDEX(tblCleanData[YearsAtCompany],1205)&lt;=10,8,3)))</f>
        <v>8</v>
      </c>
      <c r="N1213">
        <f t="shared" si="36"/>
        <v>61</v>
      </c>
      <c r="O1213" t="str">
        <f t="shared" si="37"/>
        <v>High Risk</v>
      </c>
    </row>
    <row r="1214" spans="1:15" x14ac:dyDescent="0.25">
      <c r="A1214">
        <f>INDEX(tblCleanData[EmployeeNumber],1206)</f>
        <v>1692</v>
      </c>
      <c r="B1214" t="str">
        <f>IF(INDEX(tblCleanData[Age],1206)&lt;30,"Under 30",IF(INDEX(tblCleanData[Age],1206)&lt;40,"30-39",IF(INDEX(tblCleanData[Age],1206)&lt;50,"40-49","50+")))</f>
        <v>30-39</v>
      </c>
      <c r="C1214" t="str">
        <f>IF(INDEX(tblCleanData[MonthlyIncome],1206)&lt;=$B$3,"Low Income",IF(INDEX(tblCleanData[MonthlyIncome],1206)&lt;=$B$4,"Medium Income","High Income"))</f>
        <v>High Income</v>
      </c>
      <c r="D1214">
        <f>IF(INDEX(tblCleanData[Attrition],1206)="Yes",1,0)</f>
        <v>1</v>
      </c>
      <c r="E1214">
        <f>IF(INDEX(tblCleanData[OverTime],1206)="Yes",1,0)</f>
        <v>0</v>
      </c>
      <c r="F1214" t="str">
        <f>CHOOSE(INDEX(tblCleanData[Education],1206),"Below College","College","Bachelor","Master","Doctor")</f>
        <v>Master</v>
      </c>
      <c r="G1214" t="str">
        <f>IF(INDEX(tblCleanData[YearsAtCompany],1206)&lt;=2,"0-2 Years",IF(INDEX(tblCleanData[YearsAtCompany],1206)&lt;=5,"3-5 Years",IF(INDEX(tblCleanData[YearsAtCompany],1206)&lt;=10,"6-10 Years","10+ Years")))</f>
        <v>0-2 Years</v>
      </c>
      <c r="H1214" t="str">
        <f>IF(INDEX(tblCleanData[WorkLifeBalance],1206)&lt;=2,"Elevated","Normal")</f>
        <v>Normal</v>
      </c>
      <c r="I1214">
        <f>IF(INDEX(tblCleanData[Age],1206)&lt;30,30,IF(INDEX(tblCleanData[Age],1206)&lt;40,20,IF(INDEX(tblCleanData[Age],1206)&lt;50,10,15)))</f>
        <v>20</v>
      </c>
      <c r="J1214">
        <f>IF(INDEX(tblCleanData[MonthlyIncome],1206)&lt;=$B$3,25,IF(INDEX(tblCleanData[MonthlyIncome],1206)&lt;=$B$4,12,5))</f>
        <v>5</v>
      </c>
      <c r="K1214">
        <f>IF(INDEX(tblCleanData[OverTime],1206)="Yes",25,0)</f>
        <v>0</v>
      </c>
      <c r="L1214">
        <f>(5-INDEX(tblCleanData[JobSatisfaction],1206))*6.25</f>
        <v>18.75</v>
      </c>
      <c r="M1214">
        <f>IF(INDEX(tblCleanData[YearsAtCompany],1206)&lt;=2,25,IF(INDEX(tblCleanData[YearsAtCompany],1206)&lt;=5,15,IF(INDEX(tblCleanData[YearsAtCompany],1206)&lt;=10,8,3)))</f>
        <v>25</v>
      </c>
      <c r="N1214">
        <f t="shared" si="36"/>
        <v>69</v>
      </c>
      <c r="O1214" t="str">
        <f t="shared" si="37"/>
        <v>High Risk</v>
      </c>
    </row>
    <row r="1215" spans="1:15" x14ac:dyDescent="0.25">
      <c r="A1215">
        <f>INDEX(tblCleanData[EmployeeNumber],1207)</f>
        <v>1693</v>
      </c>
      <c r="B1215" t="str">
        <f>IF(INDEX(tblCleanData[Age],1207)&lt;30,"Under 30",IF(INDEX(tblCleanData[Age],1207)&lt;40,"30-39",IF(INDEX(tblCleanData[Age],1207)&lt;50,"40-49","50+")))</f>
        <v>Under 30</v>
      </c>
      <c r="C1215" t="str">
        <f>IF(INDEX(tblCleanData[MonthlyIncome],1207)&lt;=$B$3,"Low Income",IF(INDEX(tblCleanData[MonthlyIncome],1207)&lt;=$B$4,"Medium Income","High Income"))</f>
        <v>High Income</v>
      </c>
      <c r="D1215">
        <f>IF(INDEX(tblCleanData[Attrition],1207)="Yes",1,0)</f>
        <v>0</v>
      </c>
      <c r="E1215">
        <f>IF(INDEX(tblCleanData[OverTime],1207)="Yes",1,0)</f>
        <v>0</v>
      </c>
      <c r="F1215" t="str">
        <f>CHOOSE(INDEX(tblCleanData[Education],1207),"Below College","College","Bachelor","Master","Doctor")</f>
        <v>Bachelor</v>
      </c>
      <c r="G1215" t="str">
        <f>IF(INDEX(tblCleanData[YearsAtCompany],1207)&lt;=2,"0-2 Years",IF(INDEX(tblCleanData[YearsAtCompany],1207)&lt;=5,"3-5 Years",IF(INDEX(tblCleanData[YearsAtCompany],1207)&lt;=10,"6-10 Years","10+ Years")))</f>
        <v>6-10 Years</v>
      </c>
      <c r="H1215" t="str">
        <f>IF(INDEX(tblCleanData[WorkLifeBalance],1207)&lt;=2,"Elevated","Normal")</f>
        <v>Normal</v>
      </c>
      <c r="I1215">
        <f>IF(INDEX(tblCleanData[Age],1207)&lt;30,30,IF(INDEX(tblCleanData[Age],1207)&lt;40,20,IF(INDEX(tblCleanData[Age],1207)&lt;50,10,15)))</f>
        <v>30</v>
      </c>
      <c r="J1215">
        <f>IF(INDEX(tblCleanData[MonthlyIncome],1207)&lt;=$B$3,25,IF(INDEX(tblCleanData[MonthlyIncome],1207)&lt;=$B$4,12,5))</f>
        <v>5</v>
      </c>
      <c r="K1215">
        <f>IF(INDEX(tblCleanData[OverTime],1207)="Yes",25,0)</f>
        <v>0</v>
      </c>
      <c r="L1215">
        <f>(5-INDEX(tblCleanData[JobSatisfaction],1207))*6.25</f>
        <v>6.25</v>
      </c>
      <c r="M1215">
        <f>IF(INDEX(tblCleanData[YearsAtCompany],1207)&lt;=2,25,IF(INDEX(tblCleanData[YearsAtCompany],1207)&lt;=5,15,IF(INDEX(tblCleanData[YearsAtCompany],1207)&lt;=10,8,3)))</f>
        <v>8</v>
      </c>
      <c r="N1215">
        <f t="shared" si="36"/>
        <v>49</v>
      </c>
      <c r="O1215" t="str">
        <f t="shared" si="37"/>
        <v>Medium Risk</v>
      </c>
    </row>
    <row r="1216" spans="1:15" x14ac:dyDescent="0.25">
      <c r="A1216">
        <f>INDEX(tblCleanData[EmployeeNumber],1208)</f>
        <v>1694</v>
      </c>
      <c r="B1216" t="str">
        <f>IF(INDEX(tblCleanData[Age],1208)&lt;30,"Under 30",IF(INDEX(tblCleanData[Age],1208)&lt;40,"30-39",IF(INDEX(tblCleanData[Age],1208)&lt;50,"40-49","50+")))</f>
        <v>50+</v>
      </c>
      <c r="C1216" t="str">
        <f>IF(INDEX(tblCleanData[MonthlyIncome],1208)&lt;=$B$3,"Low Income",IF(INDEX(tblCleanData[MonthlyIncome],1208)&lt;=$B$4,"Medium Income","High Income"))</f>
        <v>High Income</v>
      </c>
      <c r="D1216">
        <f>IF(INDEX(tblCleanData[Attrition],1208)="Yes",1,0)</f>
        <v>0</v>
      </c>
      <c r="E1216">
        <f>IF(INDEX(tblCleanData[OverTime],1208)="Yes",1,0)</f>
        <v>0</v>
      </c>
      <c r="F1216" t="str">
        <f>CHOOSE(INDEX(tblCleanData[Education],1208),"Below College","College","Bachelor","Master","Doctor")</f>
        <v>Bachelor</v>
      </c>
      <c r="G1216" t="str">
        <f>IF(INDEX(tblCleanData[YearsAtCompany],1208)&lt;=2,"0-2 Years",IF(INDEX(tblCleanData[YearsAtCompany],1208)&lt;=5,"3-5 Years",IF(INDEX(tblCleanData[YearsAtCompany],1208)&lt;=10,"6-10 Years","10+ Years")))</f>
        <v>3-5 Years</v>
      </c>
      <c r="H1216" t="str">
        <f>IF(INDEX(tblCleanData[WorkLifeBalance],1208)&lt;=2,"Elevated","Normal")</f>
        <v>Normal</v>
      </c>
      <c r="I1216">
        <f>IF(INDEX(tblCleanData[Age],1208)&lt;30,30,IF(INDEX(tblCleanData[Age],1208)&lt;40,20,IF(INDEX(tblCleanData[Age],1208)&lt;50,10,15)))</f>
        <v>15</v>
      </c>
      <c r="J1216">
        <f>IF(INDEX(tblCleanData[MonthlyIncome],1208)&lt;=$B$3,25,IF(INDEX(tblCleanData[MonthlyIncome],1208)&lt;=$B$4,12,5))</f>
        <v>5</v>
      </c>
      <c r="K1216">
        <f>IF(INDEX(tblCleanData[OverTime],1208)="Yes",25,0)</f>
        <v>0</v>
      </c>
      <c r="L1216">
        <f>(5-INDEX(tblCleanData[JobSatisfaction],1208))*6.25</f>
        <v>18.75</v>
      </c>
      <c r="M1216">
        <f>IF(INDEX(tblCleanData[YearsAtCompany],1208)&lt;=2,25,IF(INDEX(tblCleanData[YearsAtCompany],1208)&lt;=5,15,IF(INDEX(tblCleanData[YearsAtCompany],1208)&lt;=10,8,3)))</f>
        <v>15</v>
      </c>
      <c r="N1216">
        <f t="shared" si="36"/>
        <v>54</v>
      </c>
      <c r="O1216" t="str">
        <f t="shared" si="37"/>
        <v>Medium Risk</v>
      </c>
    </row>
    <row r="1217" spans="1:15" x14ac:dyDescent="0.25">
      <c r="A1217">
        <f>INDEX(tblCleanData[EmployeeNumber],1209)</f>
        <v>1696</v>
      </c>
      <c r="B1217" t="str">
        <f>IF(INDEX(tblCleanData[Age],1209)&lt;30,"Under 30",IF(INDEX(tblCleanData[Age],1209)&lt;40,"30-39",IF(INDEX(tblCleanData[Age],1209)&lt;50,"40-49","50+")))</f>
        <v>30-39</v>
      </c>
      <c r="C1217" t="str">
        <f>IF(INDEX(tblCleanData[MonthlyIncome],1209)&lt;=$B$3,"Low Income",IF(INDEX(tblCleanData[MonthlyIncome],1209)&lt;=$B$4,"Medium Income","High Income"))</f>
        <v>High Income</v>
      </c>
      <c r="D1217">
        <f>IF(INDEX(tblCleanData[Attrition],1209)="Yes",1,0)</f>
        <v>0</v>
      </c>
      <c r="E1217">
        <f>IF(INDEX(tblCleanData[OverTime],1209)="Yes",1,0)</f>
        <v>0</v>
      </c>
      <c r="F1217" t="str">
        <f>CHOOSE(INDEX(tblCleanData[Education],1209),"Below College","College","Bachelor","Master","Doctor")</f>
        <v>College</v>
      </c>
      <c r="G1217" t="str">
        <f>IF(INDEX(tblCleanData[YearsAtCompany],1209)&lt;=2,"0-2 Years",IF(INDEX(tblCleanData[YearsAtCompany],1209)&lt;=5,"3-5 Years",IF(INDEX(tblCleanData[YearsAtCompany],1209)&lt;=10,"6-10 Years","10+ Years")))</f>
        <v>10+ Years</v>
      </c>
      <c r="H1217" t="str">
        <f>IF(INDEX(tblCleanData[WorkLifeBalance],1209)&lt;=2,"Elevated","Normal")</f>
        <v>Normal</v>
      </c>
      <c r="I1217">
        <f>IF(INDEX(tblCleanData[Age],1209)&lt;30,30,IF(INDEX(tblCleanData[Age],1209)&lt;40,20,IF(INDEX(tblCleanData[Age],1209)&lt;50,10,15)))</f>
        <v>20</v>
      </c>
      <c r="J1217">
        <f>IF(INDEX(tblCleanData[MonthlyIncome],1209)&lt;=$B$3,25,IF(INDEX(tblCleanData[MonthlyIncome],1209)&lt;=$B$4,12,5))</f>
        <v>5</v>
      </c>
      <c r="K1217">
        <f>IF(INDEX(tblCleanData[OverTime],1209)="Yes",25,0)</f>
        <v>0</v>
      </c>
      <c r="L1217">
        <f>(5-INDEX(tblCleanData[JobSatisfaction],1209))*6.25</f>
        <v>6.25</v>
      </c>
      <c r="M1217">
        <f>IF(INDEX(tblCleanData[YearsAtCompany],1209)&lt;=2,25,IF(INDEX(tblCleanData[YearsAtCompany],1209)&lt;=5,15,IF(INDEX(tblCleanData[YearsAtCompany],1209)&lt;=10,8,3)))</f>
        <v>3</v>
      </c>
      <c r="N1217">
        <f t="shared" si="36"/>
        <v>34</v>
      </c>
      <c r="O1217" t="str">
        <f t="shared" si="37"/>
        <v>Low Risk</v>
      </c>
    </row>
    <row r="1218" spans="1:15" x14ac:dyDescent="0.25">
      <c r="A1218">
        <f>INDEX(tblCleanData[EmployeeNumber],1210)</f>
        <v>1697</v>
      </c>
      <c r="B1218" t="str">
        <f>IF(INDEX(tblCleanData[Age],1210)&lt;30,"Under 30",IF(INDEX(tblCleanData[Age],1210)&lt;40,"30-39",IF(INDEX(tblCleanData[Age],1210)&lt;50,"40-49","50+")))</f>
        <v>50+</v>
      </c>
      <c r="C1218" t="str">
        <f>IF(INDEX(tblCleanData[MonthlyIncome],1210)&lt;=$B$3,"Low Income",IF(INDEX(tblCleanData[MonthlyIncome],1210)&lt;=$B$4,"Medium Income","High Income"))</f>
        <v>High Income</v>
      </c>
      <c r="D1218">
        <f>IF(INDEX(tblCleanData[Attrition],1210)="Yes",1,0)</f>
        <v>0</v>
      </c>
      <c r="E1218">
        <f>IF(INDEX(tblCleanData[OverTime],1210)="Yes",1,0)</f>
        <v>0</v>
      </c>
      <c r="F1218" t="str">
        <f>CHOOSE(INDEX(tblCleanData[Education],1210),"Below College","College","Bachelor","Master","Doctor")</f>
        <v>Master</v>
      </c>
      <c r="G1218" t="str">
        <f>IF(INDEX(tblCleanData[YearsAtCompany],1210)&lt;=2,"0-2 Years",IF(INDEX(tblCleanData[YearsAtCompany],1210)&lt;=5,"3-5 Years",IF(INDEX(tblCleanData[YearsAtCompany],1210)&lt;=10,"6-10 Years","10+ Years")))</f>
        <v>0-2 Years</v>
      </c>
      <c r="H1218" t="str">
        <f>IF(INDEX(tblCleanData[WorkLifeBalance],1210)&lt;=2,"Elevated","Normal")</f>
        <v>Normal</v>
      </c>
      <c r="I1218">
        <f>IF(INDEX(tblCleanData[Age],1210)&lt;30,30,IF(INDEX(tblCleanData[Age],1210)&lt;40,20,IF(INDEX(tblCleanData[Age],1210)&lt;50,10,15)))</f>
        <v>15</v>
      </c>
      <c r="J1218">
        <f>IF(INDEX(tblCleanData[MonthlyIncome],1210)&lt;=$B$3,25,IF(INDEX(tblCleanData[MonthlyIncome],1210)&lt;=$B$4,12,5))</f>
        <v>5</v>
      </c>
      <c r="K1218">
        <f>IF(INDEX(tblCleanData[OverTime],1210)="Yes",25,0)</f>
        <v>0</v>
      </c>
      <c r="L1218">
        <f>(5-INDEX(tblCleanData[JobSatisfaction],1210))*6.25</f>
        <v>6.25</v>
      </c>
      <c r="M1218">
        <f>IF(INDEX(tblCleanData[YearsAtCompany],1210)&lt;=2,25,IF(INDEX(tblCleanData[YearsAtCompany],1210)&lt;=5,15,IF(INDEX(tblCleanData[YearsAtCompany],1210)&lt;=10,8,3)))</f>
        <v>25</v>
      </c>
      <c r="N1218">
        <f t="shared" si="36"/>
        <v>51</v>
      </c>
      <c r="O1218" t="str">
        <f t="shared" si="37"/>
        <v>Medium Risk</v>
      </c>
    </row>
    <row r="1219" spans="1:15" x14ac:dyDescent="0.25">
      <c r="A1219">
        <f>INDEX(tblCleanData[EmployeeNumber],1211)</f>
        <v>1698</v>
      </c>
      <c r="B1219" t="str">
        <f>IF(INDEX(tblCleanData[Age],1211)&lt;30,"Under 30",IF(INDEX(tblCleanData[Age],1211)&lt;40,"30-39",IF(INDEX(tblCleanData[Age],1211)&lt;50,"40-49","50+")))</f>
        <v>30-39</v>
      </c>
      <c r="C1219" t="str">
        <f>IF(INDEX(tblCleanData[MonthlyIncome],1211)&lt;=$B$3,"Low Income",IF(INDEX(tblCleanData[MonthlyIncome],1211)&lt;=$B$4,"Medium Income","High Income"))</f>
        <v>High Income</v>
      </c>
      <c r="D1219">
        <f>IF(INDEX(tblCleanData[Attrition],1211)="Yes",1,0)</f>
        <v>0</v>
      </c>
      <c r="E1219">
        <f>IF(INDEX(tblCleanData[OverTime],1211)="Yes",1,0)</f>
        <v>0</v>
      </c>
      <c r="F1219" t="str">
        <f>CHOOSE(INDEX(tblCleanData[Education],1211),"Below College","College","Bachelor","Master","Doctor")</f>
        <v>Bachelor</v>
      </c>
      <c r="G1219" t="str">
        <f>IF(INDEX(tblCleanData[YearsAtCompany],1211)&lt;=2,"0-2 Years",IF(INDEX(tblCleanData[YearsAtCompany],1211)&lt;=5,"3-5 Years",IF(INDEX(tblCleanData[YearsAtCompany],1211)&lt;=10,"6-10 Years","10+ Years")))</f>
        <v>10+ Years</v>
      </c>
      <c r="H1219" t="str">
        <f>IF(INDEX(tblCleanData[WorkLifeBalance],1211)&lt;=2,"Elevated","Normal")</f>
        <v>Normal</v>
      </c>
      <c r="I1219">
        <f>IF(INDEX(tblCleanData[Age],1211)&lt;30,30,IF(INDEX(tblCleanData[Age],1211)&lt;40,20,IF(INDEX(tblCleanData[Age],1211)&lt;50,10,15)))</f>
        <v>20</v>
      </c>
      <c r="J1219">
        <f>IF(INDEX(tblCleanData[MonthlyIncome],1211)&lt;=$B$3,25,IF(INDEX(tblCleanData[MonthlyIncome],1211)&lt;=$B$4,12,5))</f>
        <v>5</v>
      </c>
      <c r="K1219">
        <f>IF(INDEX(tblCleanData[OverTime],1211)="Yes",25,0)</f>
        <v>0</v>
      </c>
      <c r="L1219">
        <f>(5-INDEX(tblCleanData[JobSatisfaction],1211))*6.25</f>
        <v>18.75</v>
      </c>
      <c r="M1219">
        <f>IF(INDEX(tblCleanData[YearsAtCompany],1211)&lt;=2,25,IF(INDEX(tblCleanData[YearsAtCompany],1211)&lt;=5,15,IF(INDEX(tblCleanData[YearsAtCompany],1211)&lt;=10,8,3)))</f>
        <v>3</v>
      </c>
      <c r="N1219">
        <f t="shared" si="36"/>
        <v>47</v>
      </c>
      <c r="O1219" t="str">
        <f t="shared" si="37"/>
        <v>Medium Risk</v>
      </c>
    </row>
    <row r="1220" spans="1:15" x14ac:dyDescent="0.25">
      <c r="A1220">
        <f>INDEX(tblCleanData[EmployeeNumber],1212)</f>
        <v>1700</v>
      </c>
      <c r="B1220" t="str">
        <f>IF(INDEX(tblCleanData[Age],1212)&lt;30,"Under 30",IF(INDEX(tblCleanData[Age],1212)&lt;40,"30-39",IF(INDEX(tblCleanData[Age],1212)&lt;50,"40-49","50+")))</f>
        <v>30-39</v>
      </c>
      <c r="C1220" t="str">
        <f>IF(INDEX(tblCleanData[MonthlyIncome],1212)&lt;=$B$3,"Low Income",IF(INDEX(tblCleanData[MonthlyIncome],1212)&lt;=$B$4,"Medium Income","High Income"))</f>
        <v>High Income</v>
      </c>
      <c r="D1220">
        <f>IF(INDEX(tblCleanData[Attrition],1212)="Yes",1,0)</f>
        <v>0</v>
      </c>
      <c r="E1220">
        <f>IF(INDEX(tblCleanData[OverTime],1212)="Yes",1,0)</f>
        <v>0</v>
      </c>
      <c r="F1220" t="str">
        <f>CHOOSE(INDEX(tblCleanData[Education],1212),"Below College","College","Bachelor","Master","Doctor")</f>
        <v>Master</v>
      </c>
      <c r="G1220" t="str">
        <f>IF(INDEX(tblCleanData[YearsAtCompany],1212)&lt;=2,"0-2 Years",IF(INDEX(tblCleanData[YearsAtCompany],1212)&lt;=5,"3-5 Years",IF(INDEX(tblCleanData[YearsAtCompany],1212)&lt;=10,"6-10 Years","10+ Years")))</f>
        <v>6-10 Years</v>
      </c>
      <c r="H1220" t="str">
        <f>IF(INDEX(tblCleanData[WorkLifeBalance],1212)&lt;=2,"Elevated","Normal")</f>
        <v>Elevated</v>
      </c>
      <c r="I1220">
        <f>IF(INDEX(tblCleanData[Age],1212)&lt;30,30,IF(INDEX(tblCleanData[Age],1212)&lt;40,20,IF(INDEX(tblCleanData[Age],1212)&lt;50,10,15)))</f>
        <v>20</v>
      </c>
      <c r="J1220">
        <f>IF(INDEX(tblCleanData[MonthlyIncome],1212)&lt;=$B$3,25,IF(INDEX(tblCleanData[MonthlyIncome],1212)&lt;=$B$4,12,5))</f>
        <v>5</v>
      </c>
      <c r="K1220">
        <f>IF(INDEX(tblCleanData[OverTime],1212)="Yes",25,0)</f>
        <v>0</v>
      </c>
      <c r="L1220">
        <f>(5-INDEX(tblCleanData[JobSatisfaction],1212))*6.25</f>
        <v>6.25</v>
      </c>
      <c r="M1220">
        <f>IF(INDEX(tblCleanData[YearsAtCompany],1212)&lt;=2,25,IF(INDEX(tblCleanData[YearsAtCompany],1212)&lt;=5,15,IF(INDEX(tblCleanData[YearsAtCompany],1212)&lt;=10,8,3)))</f>
        <v>8</v>
      </c>
      <c r="N1220">
        <f t="shared" si="36"/>
        <v>39</v>
      </c>
      <c r="O1220" t="str">
        <f t="shared" si="37"/>
        <v>Medium Risk</v>
      </c>
    </row>
    <row r="1221" spans="1:15" x14ac:dyDescent="0.25">
      <c r="A1221">
        <f>INDEX(tblCleanData[EmployeeNumber],1213)</f>
        <v>1701</v>
      </c>
      <c r="B1221" t="str">
        <f>IF(INDEX(tblCleanData[Age],1213)&lt;30,"Under 30",IF(INDEX(tblCleanData[Age],1213)&lt;40,"30-39",IF(INDEX(tblCleanData[Age],1213)&lt;50,"40-49","50+")))</f>
        <v>30-39</v>
      </c>
      <c r="C1221" t="str">
        <f>IF(INDEX(tblCleanData[MonthlyIncome],1213)&lt;=$B$3,"Low Income",IF(INDEX(tblCleanData[MonthlyIncome],1213)&lt;=$B$4,"Medium Income","High Income"))</f>
        <v>High Income</v>
      </c>
      <c r="D1221">
        <f>IF(INDEX(tblCleanData[Attrition],1213)="Yes",1,0)</f>
        <v>0</v>
      </c>
      <c r="E1221">
        <f>IF(INDEX(tblCleanData[OverTime],1213)="Yes",1,0)</f>
        <v>0</v>
      </c>
      <c r="F1221" t="str">
        <f>CHOOSE(INDEX(tblCleanData[Education],1213),"Below College","College","Bachelor","Master","Doctor")</f>
        <v>Bachelor</v>
      </c>
      <c r="G1221" t="str">
        <f>IF(INDEX(tblCleanData[YearsAtCompany],1213)&lt;=2,"0-2 Years",IF(INDEX(tblCleanData[YearsAtCompany],1213)&lt;=5,"3-5 Years",IF(INDEX(tblCleanData[YearsAtCompany],1213)&lt;=10,"6-10 Years","10+ Years")))</f>
        <v>6-10 Years</v>
      </c>
      <c r="H1221" t="str">
        <f>IF(INDEX(tblCleanData[WorkLifeBalance],1213)&lt;=2,"Elevated","Normal")</f>
        <v>Normal</v>
      </c>
      <c r="I1221">
        <f>IF(INDEX(tblCleanData[Age],1213)&lt;30,30,IF(INDEX(tblCleanData[Age],1213)&lt;40,20,IF(INDEX(tblCleanData[Age],1213)&lt;50,10,15)))</f>
        <v>20</v>
      </c>
      <c r="J1221">
        <f>IF(INDEX(tblCleanData[MonthlyIncome],1213)&lt;=$B$3,25,IF(INDEX(tblCleanData[MonthlyIncome],1213)&lt;=$B$4,12,5))</f>
        <v>5</v>
      </c>
      <c r="K1221">
        <f>IF(INDEX(tblCleanData[OverTime],1213)="Yes",25,0)</f>
        <v>0</v>
      </c>
      <c r="L1221">
        <f>(5-INDEX(tblCleanData[JobSatisfaction],1213))*6.25</f>
        <v>6.25</v>
      </c>
      <c r="M1221">
        <f>IF(INDEX(tblCleanData[YearsAtCompany],1213)&lt;=2,25,IF(INDEX(tblCleanData[YearsAtCompany],1213)&lt;=5,15,IF(INDEX(tblCleanData[YearsAtCompany],1213)&lt;=10,8,3)))</f>
        <v>8</v>
      </c>
      <c r="N1221">
        <f t="shared" si="36"/>
        <v>39</v>
      </c>
      <c r="O1221" t="str">
        <f t="shared" si="37"/>
        <v>Medium Risk</v>
      </c>
    </row>
    <row r="1222" spans="1:15" x14ac:dyDescent="0.25">
      <c r="A1222">
        <f>INDEX(tblCleanData[EmployeeNumber],1214)</f>
        <v>1702</v>
      </c>
      <c r="B1222" t="str">
        <f>IF(INDEX(tblCleanData[Age],1214)&lt;30,"Under 30",IF(INDEX(tblCleanData[Age],1214)&lt;40,"30-39",IF(INDEX(tblCleanData[Age],1214)&lt;50,"40-49","50+")))</f>
        <v>Under 30</v>
      </c>
      <c r="C1222" t="str">
        <f>IF(INDEX(tblCleanData[MonthlyIncome],1214)&lt;=$B$3,"Low Income",IF(INDEX(tblCleanData[MonthlyIncome],1214)&lt;=$B$4,"Medium Income","High Income"))</f>
        <v>High Income</v>
      </c>
      <c r="D1222">
        <f>IF(INDEX(tblCleanData[Attrition],1214)="Yes",1,0)</f>
        <v>1</v>
      </c>
      <c r="E1222">
        <f>IF(INDEX(tblCleanData[OverTime],1214)="Yes",1,0)</f>
        <v>1</v>
      </c>
      <c r="F1222" t="str">
        <f>CHOOSE(INDEX(tblCleanData[Education],1214),"Below College","College","Bachelor","Master","Doctor")</f>
        <v>Bachelor</v>
      </c>
      <c r="G1222" t="str">
        <f>IF(INDEX(tblCleanData[YearsAtCompany],1214)&lt;=2,"0-2 Years",IF(INDEX(tblCleanData[YearsAtCompany],1214)&lt;=5,"3-5 Years",IF(INDEX(tblCleanData[YearsAtCompany],1214)&lt;=10,"6-10 Years","10+ Years")))</f>
        <v>3-5 Years</v>
      </c>
      <c r="H1222" t="str">
        <f>IF(INDEX(tblCleanData[WorkLifeBalance],1214)&lt;=2,"Elevated","Normal")</f>
        <v>Normal</v>
      </c>
      <c r="I1222">
        <f>IF(INDEX(tblCleanData[Age],1214)&lt;30,30,IF(INDEX(tblCleanData[Age],1214)&lt;40,20,IF(INDEX(tblCleanData[Age],1214)&lt;50,10,15)))</f>
        <v>30</v>
      </c>
      <c r="J1222">
        <f>IF(INDEX(tblCleanData[MonthlyIncome],1214)&lt;=$B$3,25,IF(INDEX(tblCleanData[MonthlyIncome],1214)&lt;=$B$4,12,5))</f>
        <v>5</v>
      </c>
      <c r="K1222">
        <f>IF(INDEX(tblCleanData[OverTime],1214)="Yes",25,0)</f>
        <v>25</v>
      </c>
      <c r="L1222">
        <f>(5-INDEX(tblCleanData[JobSatisfaction],1214))*6.25</f>
        <v>6.25</v>
      </c>
      <c r="M1222">
        <f>IF(INDEX(tblCleanData[YearsAtCompany],1214)&lt;=2,25,IF(INDEX(tblCleanData[YearsAtCompany],1214)&lt;=5,15,IF(INDEX(tblCleanData[YearsAtCompany],1214)&lt;=10,8,3)))</f>
        <v>15</v>
      </c>
      <c r="N1222">
        <f t="shared" si="36"/>
        <v>81</v>
      </c>
      <c r="O1222" t="str">
        <f t="shared" si="37"/>
        <v>High Risk</v>
      </c>
    </row>
    <row r="1223" spans="1:15" x14ac:dyDescent="0.25">
      <c r="A1223">
        <f>INDEX(tblCleanData[EmployeeNumber],1215)</f>
        <v>1703</v>
      </c>
      <c r="B1223" t="str">
        <f>IF(INDEX(tblCleanData[Age],1215)&lt;30,"Under 30",IF(INDEX(tblCleanData[Age],1215)&lt;40,"30-39",IF(INDEX(tblCleanData[Age],1215)&lt;50,"40-49","50+")))</f>
        <v>40-49</v>
      </c>
      <c r="C1223" t="str">
        <f>IF(INDEX(tblCleanData[MonthlyIncome],1215)&lt;=$B$3,"Low Income",IF(INDEX(tblCleanData[MonthlyIncome],1215)&lt;=$B$4,"Medium Income","High Income"))</f>
        <v>High Income</v>
      </c>
      <c r="D1223">
        <f>IF(INDEX(tblCleanData[Attrition],1215)="Yes",1,0)</f>
        <v>0</v>
      </c>
      <c r="E1223">
        <f>IF(INDEX(tblCleanData[OverTime],1215)="Yes",1,0)</f>
        <v>1</v>
      </c>
      <c r="F1223" t="str">
        <f>CHOOSE(INDEX(tblCleanData[Education],1215),"Below College","College","Bachelor","Master","Doctor")</f>
        <v>Bachelor</v>
      </c>
      <c r="G1223" t="str">
        <f>IF(INDEX(tblCleanData[YearsAtCompany],1215)&lt;=2,"0-2 Years",IF(INDEX(tblCleanData[YearsAtCompany],1215)&lt;=5,"3-5 Years",IF(INDEX(tblCleanData[YearsAtCompany],1215)&lt;=10,"6-10 Years","10+ Years")))</f>
        <v>6-10 Years</v>
      </c>
      <c r="H1223" t="str">
        <f>IF(INDEX(tblCleanData[WorkLifeBalance],1215)&lt;=2,"Elevated","Normal")</f>
        <v>Normal</v>
      </c>
      <c r="I1223">
        <f>IF(INDEX(tblCleanData[Age],1215)&lt;30,30,IF(INDEX(tblCleanData[Age],1215)&lt;40,20,IF(INDEX(tblCleanData[Age],1215)&lt;50,10,15)))</f>
        <v>10</v>
      </c>
      <c r="J1223">
        <f>IF(INDEX(tblCleanData[MonthlyIncome],1215)&lt;=$B$3,25,IF(INDEX(tblCleanData[MonthlyIncome],1215)&lt;=$B$4,12,5))</f>
        <v>5</v>
      </c>
      <c r="K1223">
        <f>IF(INDEX(tblCleanData[OverTime],1215)="Yes",25,0)</f>
        <v>25</v>
      </c>
      <c r="L1223">
        <f>(5-INDEX(tblCleanData[JobSatisfaction],1215))*6.25</f>
        <v>6.25</v>
      </c>
      <c r="M1223">
        <f>IF(INDEX(tblCleanData[YearsAtCompany],1215)&lt;=2,25,IF(INDEX(tblCleanData[YearsAtCompany],1215)&lt;=5,15,IF(INDEX(tblCleanData[YearsAtCompany],1215)&lt;=10,8,3)))</f>
        <v>8</v>
      </c>
      <c r="N1223">
        <f t="shared" si="36"/>
        <v>54</v>
      </c>
      <c r="O1223" t="str">
        <f t="shared" si="37"/>
        <v>Medium Risk</v>
      </c>
    </row>
    <row r="1224" spans="1:15" x14ac:dyDescent="0.25">
      <c r="A1224">
        <f>INDEX(tblCleanData[EmployeeNumber],1216)</f>
        <v>1704</v>
      </c>
      <c r="B1224" t="str">
        <f>IF(INDEX(tblCleanData[Age],1216)&lt;30,"Under 30",IF(INDEX(tblCleanData[Age],1216)&lt;40,"30-39",IF(INDEX(tblCleanData[Age],1216)&lt;50,"40-49","50+")))</f>
        <v>30-39</v>
      </c>
      <c r="C1224" t="str">
        <f>IF(INDEX(tblCleanData[MonthlyIncome],1216)&lt;=$B$3,"Low Income",IF(INDEX(tblCleanData[MonthlyIncome],1216)&lt;=$B$4,"Medium Income","High Income"))</f>
        <v>High Income</v>
      </c>
      <c r="D1224">
        <f>IF(INDEX(tblCleanData[Attrition],1216)="Yes",1,0)</f>
        <v>0</v>
      </c>
      <c r="E1224">
        <f>IF(INDEX(tblCleanData[OverTime],1216)="Yes",1,0)</f>
        <v>1</v>
      </c>
      <c r="F1224" t="str">
        <f>CHOOSE(INDEX(tblCleanData[Education],1216),"Below College","College","Bachelor","Master","Doctor")</f>
        <v>Master</v>
      </c>
      <c r="G1224" t="str">
        <f>IF(INDEX(tblCleanData[YearsAtCompany],1216)&lt;=2,"0-2 Years",IF(INDEX(tblCleanData[YearsAtCompany],1216)&lt;=5,"3-5 Years",IF(INDEX(tblCleanData[YearsAtCompany],1216)&lt;=10,"6-10 Years","10+ Years")))</f>
        <v>3-5 Years</v>
      </c>
      <c r="H1224" t="str">
        <f>IF(INDEX(tblCleanData[WorkLifeBalance],1216)&lt;=2,"Elevated","Normal")</f>
        <v>Normal</v>
      </c>
      <c r="I1224">
        <f>IF(INDEX(tblCleanData[Age],1216)&lt;30,30,IF(INDEX(tblCleanData[Age],1216)&lt;40,20,IF(INDEX(tblCleanData[Age],1216)&lt;50,10,15)))</f>
        <v>20</v>
      </c>
      <c r="J1224">
        <f>IF(INDEX(tblCleanData[MonthlyIncome],1216)&lt;=$B$3,25,IF(INDEX(tblCleanData[MonthlyIncome],1216)&lt;=$B$4,12,5))</f>
        <v>5</v>
      </c>
      <c r="K1224">
        <f>IF(INDEX(tblCleanData[OverTime],1216)="Yes",25,0)</f>
        <v>25</v>
      </c>
      <c r="L1224">
        <f>(5-INDEX(tblCleanData[JobSatisfaction],1216))*6.25</f>
        <v>6.25</v>
      </c>
      <c r="M1224">
        <f>IF(INDEX(tblCleanData[YearsAtCompany],1216)&lt;=2,25,IF(INDEX(tblCleanData[YearsAtCompany],1216)&lt;=5,15,IF(INDEX(tblCleanData[YearsAtCompany],1216)&lt;=10,8,3)))</f>
        <v>15</v>
      </c>
      <c r="N1224">
        <f t="shared" si="36"/>
        <v>71</v>
      </c>
      <c r="O1224" t="str">
        <f t="shared" si="37"/>
        <v>High Risk</v>
      </c>
    </row>
    <row r="1225" spans="1:15" x14ac:dyDescent="0.25">
      <c r="A1225">
        <f>INDEX(tblCleanData[EmployeeNumber],1217)</f>
        <v>1706</v>
      </c>
      <c r="B1225" t="str">
        <f>IF(INDEX(tblCleanData[Age],1217)&lt;30,"Under 30",IF(INDEX(tblCleanData[Age],1217)&lt;40,"30-39",IF(INDEX(tblCleanData[Age],1217)&lt;50,"40-49","50+")))</f>
        <v>40-49</v>
      </c>
      <c r="C1225" t="str">
        <f>IF(INDEX(tblCleanData[MonthlyIncome],1217)&lt;=$B$3,"Low Income",IF(INDEX(tblCleanData[MonthlyIncome],1217)&lt;=$B$4,"Medium Income","High Income"))</f>
        <v>High Income</v>
      </c>
      <c r="D1225">
        <f>IF(INDEX(tblCleanData[Attrition],1217)="Yes",1,0)</f>
        <v>0</v>
      </c>
      <c r="E1225">
        <f>IF(INDEX(tblCleanData[OverTime],1217)="Yes",1,0)</f>
        <v>1</v>
      </c>
      <c r="F1225" t="str">
        <f>CHOOSE(INDEX(tblCleanData[Education],1217),"Below College","College","Bachelor","Master","Doctor")</f>
        <v>Bachelor</v>
      </c>
      <c r="G1225" t="str">
        <f>IF(INDEX(tblCleanData[YearsAtCompany],1217)&lt;=2,"0-2 Years",IF(INDEX(tblCleanData[YearsAtCompany],1217)&lt;=5,"3-5 Years",IF(INDEX(tblCleanData[YearsAtCompany],1217)&lt;=10,"6-10 Years","10+ Years")))</f>
        <v>6-10 Years</v>
      </c>
      <c r="H1225" t="str">
        <f>IF(INDEX(tblCleanData[WorkLifeBalance],1217)&lt;=2,"Elevated","Normal")</f>
        <v>Normal</v>
      </c>
      <c r="I1225">
        <f>IF(INDEX(tblCleanData[Age],1217)&lt;30,30,IF(INDEX(tblCleanData[Age],1217)&lt;40,20,IF(INDEX(tblCleanData[Age],1217)&lt;50,10,15)))</f>
        <v>10</v>
      </c>
      <c r="J1225">
        <f>IF(INDEX(tblCleanData[MonthlyIncome],1217)&lt;=$B$3,25,IF(INDEX(tblCleanData[MonthlyIncome],1217)&lt;=$B$4,12,5))</f>
        <v>5</v>
      </c>
      <c r="K1225">
        <f>IF(INDEX(tblCleanData[OverTime],1217)="Yes",25,0)</f>
        <v>25</v>
      </c>
      <c r="L1225">
        <f>(5-INDEX(tblCleanData[JobSatisfaction],1217))*6.25</f>
        <v>6.25</v>
      </c>
      <c r="M1225">
        <f>IF(INDEX(tblCleanData[YearsAtCompany],1217)&lt;=2,25,IF(INDEX(tblCleanData[YearsAtCompany],1217)&lt;=5,15,IF(INDEX(tblCleanData[YearsAtCompany],1217)&lt;=10,8,3)))</f>
        <v>8</v>
      </c>
      <c r="N1225">
        <f t="shared" ref="N1225:N1288" si="38">ROUND(I1225+J1225+K1225+L1225+M1225,0)</f>
        <v>54</v>
      </c>
      <c r="O1225" t="str">
        <f t="shared" ref="O1225:O1288" si="39">IF(N1225&gt;=55,"High Risk",IF(N1225&gt;=35,"Medium Risk","Low Risk"))</f>
        <v>Medium Risk</v>
      </c>
    </row>
    <row r="1226" spans="1:15" x14ac:dyDescent="0.25">
      <c r="A1226">
        <f>INDEX(tblCleanData[EmployeeNumber],1218)</f>
        <v>1707</v>
      </c>
      <c r="B1226" t="str">
        <f>IF(INDEX(tblCleanData[Age],1218)&lt;30,"Under 30",IF(INDEX(tblCleanData[Age],1218)&lt;40,"30-39",IF(INDEX(tblCleanData[Age],1218)&lt;50,"40-49","50+")))</f>
        <v>Under 30</v>
      </c>
      <c r="C1226" t="str">
        <f>IF(INDEX(tblCleanData[MonthlyIncome],1218)&lt;=$B$3,"Low Income",IF(INDEX(tblCleanData[MonthlyIncome],1218)&lt;=$B$4,"Medium Income","High Income"))</f>
        <v>High Income</v>
      </c>
      <c r="D1226">
        <f>IF(INDEX(tblCleanData[Attrition],1218)="Yes",1,0)</f>
        <v>0</v>
      </c>
      <c r="E1226">
        <f>IF(INDEX(tblCleanData[OverTime],1218)="Yes",1,0)</f>
        <v>0</v>
      </c>
      <c r="F1226" t="str">
        <f>CHOOSE(INDEX(tblCleanData[Education],1218),"Below College","College","Bachelor","Master","Doctor")</f>
        <v>Bachelor</v>
      </c>
      <c r="G1226" t="str">
        <f>IF(INDEX(tblCleanData[YearsAtCompany],1218)&lt;=2,"0-2 Years",IF(INDEX(tblCleanData[YearsAtCompany],1218)&lt;=5,"3-5 Years",IF(INDEX(tblCleanData[YearsAtCompany],1218)&lt;=10,"6-10 Years","10+ Years")))</f>
        <v>3-5 Years</v>
      </c>
      <c r="H1226" t="str">
        <f>IF(INDEX(tblCleanData[WorkLifeBalance],1218)&lt;=2,"Elevated","Normal")</f>
        <v>Normal</v>
      </c>
      <c r="I1226">
        <f>IF(INDEX(tblCleanData[Age],1218)&lt;30,30,IF(INDEX(tblCleanData[Age],1218)&lt;40,20,IF(INDEX(tblCleanData[Age],1218)&lt;50,10,15)))</f>
        <v>30</v>
      </c>
      <c r="J1226">
        <f>IF(INDEX(tblCleanData[MonthlyIncome],1218)&lt;=$B$3,25,IF(INDEX(tblCleanData[MonthlyIncome],1218)&lt;=$B$4,12,5))</f>
        <v>5</v>
      </c>
      <c r="K1226">
        <f>IF(INDEX(tblCleanData[OverTime],1218)="Yes",25,0)</f>
        <v>0</v>
      </c>
      <c r="L1226">
        <f>(5-INDEX(tblCleanData[JobSatisfaction],1218))*6.25</f>
        <v>12.5</v>
      </c>
      <c r="M1226">
        <f>IF(INDEX(tblCleanData[YearsAtCompany],1218)&lt;=2,25,IF(INDEX(tblCleanData[YearsAtCompany],1218)&lt;=5,15,IF(INDEX(tblCleanData[YearsAtCompany],1218)&lt;=10,8,3)))</f>
        <v>15</v>
      </c>
      <c r="N1226">
        <f t="shared" si="38"/>
        <v>63</v>
      </c>
      <c r="O1226" t="str">
        <f t="shared" si="39"/>
        <v>High Risk</v>
      </c>
    </row>
    <row r="1227" spans="1:15" x14ac:dyDescent="0.25">
      <c r="A1227">
        <f>INDEX(tblCleanData[EmployeeNumber],1219)</f>
        <v>1708</v>
      </c>
      <c r="B1227" t="str">
        <f>IF(INDEX(tblCleanData[Age],1219)&lt;30,"Under 30",IF(INDEX(tblCleanData[Age],1219)&lt;40,"30-39",IF(INDEX(tblCleanData[Age],1219)&lt;50,"40-49","50+")))</f>
        <v>40-49</v>
      </c>
      <c r="C1227" t="str">
        <f>IF(INDEX(tblCleanData[MonthlyIncome],1219)&lt;=$B$3,"Low Income",IF(INDEX(tblCleanData[MonthlyIncome],1219)&lt;=$B$4,"Medium Income","High Income"))</f>
        <v>High Income</v>
      </c>
      <c r="D1227">
        <f>IF(INDEX(tblCleanData[Attrition],1219)="Yes",1,0)</f>
        <v>0</v>
      </c>
      <c r="E1227">
        <f>IF(INDEX(tblCleanData[OverTime],1219)="Yes",1,0)</f>
        <v>0</v>
      </c>
      <c r="F1227" t="str">
        <f>CHOOSE(INDEX(tblCleanData[Education],1219),"Below College","College","Bachelor","Master","Doctor")</f>
        <v>Bachelor</v>
      </c>
      <c r="G1227" t="str">
        <f>IF(INDEX(tblCleanData[YearsAtCompany],1219)&lt;=2,"0-2 Years",IF(INDEX(tblCleanData[YearsAtCompany],1219)&lt;=5,"3-5 Years",IF(INDEX(tblCleanData[YearsAtCompany],1219)&lt;=10,"6-10 Years","10+ Years")))</f>
        <v>6-10 Years</v>
      </c>
      <c r="H1227" t="str">
        <f>IF(INDEX(tblCleanData[WorkLifeBalance],1219)&lt;=2,"Elevated","Normal")</f>
        <v>Normal</v>
      </c>
      <c r="I1227">
        <f>IF(INDEX(tblCleanData[Age],1219)&lt;30,30,IF(INDEX(tblCleanData[Age],1219)&lt;40,20,IF(INDEX(tblCleanData[Age],1219)&lt;50,10,15)))</f>
        <v>10</v>
      </c>
      <c r="J1227">
        <f>IF(INDEX(tblCleanData[MonthlyIncome],1219)&lt;=$B$3,25,IF(INDEX(tblCleanData[MonthlyIncome],1219)&lt;=$B$4,12,5))</f>
        <v>5</v>
      </c>
      <c r="K1227">
        <f>IF(INDEX(tblCleanData[OverTime],1219)="Yes",25,0)</f>
        <v>0</v>
      </c>
      <c r="L1227">
        <f>(5-INDEX(tblCleanData[JobSatisfaction],1219))*6.25</f>
        <v>12.5</v>
      </c>
      <c r="M1227">
        <f>IF(INDEX(tblCleanData[YearsAtCompany],1219)&lt;=2,25,IF(INDEX(tblCleanData[YearsAtCompany],1219)&lt;=5,15,IF(INDEX(tblCleanData[YearsAtCompany],1219)&lt;=10,8,3)))</f>
        <v>8</v>
      </c>
      <c r="N1227">
        <f t="shared" si="38"/>
        <v>36</v>
      </c>
      <c r="O1227" t="str">
        <f t="shared" si="39"/>
        <v>Medium Risk</v>
      </c>
    </row>
    <row r="1228" spans="1:15" x14ac:dyDescent="0.25">
      <c r="A1228">
        <f>INDEX(tblCleanData[EmployeeNumber],1220)</f>
        <v>1709</v>
      </c>
      <c r="B1228" t="str">
        <f>IF(INDEX(tblCleanData[Age],1220)&lt;30,"Under 30",IF(INDEX(tblCleanData[Age],1220)&lt;40,"30-39",IF(INDEX(tblCleanData[Age],1220)&lt;50,"40-49","50+")))</f>
        <v>Under 30</v>
      </c>
      <c r="C1228" t="str">
        <f>IF(INDEX(tblCleanData[MonthlyIncome],1220)&lt;=$B$3,"Low Income",IF(INDEX(tblCleanData[MonthlyIncome],1220)&lt;=$B$4,"Medium Income","High Income"))</f>
        <v>High Income</v>
      </c>
      <c r="D1228">
        <f>IF(INDEX(tblCleanData[Attrition],1220)="Yes",1,0)</f>
        <v>0</v>
      </c>
      <c r="E1228">
        <f>IF(INDEX(tblCleanData[OverTime],1220)="Yes",1,0)</f>
        <v>0</v>
      </c>
      <c r="F1228" t="str">
        <f>CHOOSE(INDEX(tblCleanData[Education],1220),"Below College","College","Bachelor","Master","Doctor")</f>
        <v>Master</v>
      </c>
      <c r="G1228" t="str">
        <f>IF(INDEX(tblCleanData[YearsAtCompany],1220)&lt;=2,"0-2 Years",IF(INDEX(tblCleanData[YearsAtCompany],1220)&lt;=5,"3-5 Years",IF(INDEX(tblCleanData[YearsAtCompany],1220)&lt;=10,"6-10 Years","10+ Years")))</f>
        <v>3-5 Years</v>
      </c>
      <c r="H1228" t="str">
        <f>IF(INDEX(tblCleanData[WorkLifeBalance],1220)&lt;=2,"Elevated","Normal")</f>
        <v>Normal</v>
      </c>
      <c r="I1228">
        <f>IF(INDEX(tblCleanData[Age],1220)&lt;30,30,IF(INDEX(tblCleanData[Age],1220)&lt;40,20,IF(INDEX(tblCleanData[Age],1220)&lt;50,10,15)))</f>
        <v>30</v>
      </c>
      <c r="J1228">
        <f>IF(INDEX(tblCleanData[MonthlyIncome],1220)&lt;=$B$3,25,IF(INDEX(tblCleanData[MonthlyIncome],1220)&lt;=$B$4,12,5))</f>
        <v>5</v>
      </c>
      <c r="K1228">
        <f>IF(INDEX(tblCleanData[OverTime],1220)="Yes",25,0)</f>
        <v>0</v>
      </c>
      <c r="L1228">
        <f>(5-INDEX(tblCleanData[JobSatisfaction],1220))*6.25</f>
        <v>12.5</v>
      </c>
      <c r="M1228">
        <f>IF(INDEX(tblCleanData[YearsAtCompany],1220)&lt;=2,25,IF(INDEX(tblCleanData[YearsAtCompany],1220)&lt;=5,15,IF(INDEX(tblCleanData[YearsAtCompany],1220)&lt;=10,8,3)))</f>
        <v>15</v>
      </c>
      <c r="N1228">
        <f t="shared" si="38"/>
        <v>63</v>
      </c>
      <c r="O1228" t="str">
        <f t="shared" si="39"/>
        <v>High Risk</v>
      </c>
    </row>
    <row r="1229" spans="1:15" x14ac:dyDescent="0.25">
      <c r="A1229">
        <f>INDEX(tblCleanData[EmployeeNumber],1221)</f>
        <v>1710</v>
      </c>
      <c r="B1229" t="str">
        <f>IF(INDEX(tblCleanData[Age],1221)&lt;30,"Under 30",IF(INDEX(tblCleanData[Age],1221)&lt;40,"30-39",IF(INDEX(tblCleanData[Age],1221)&lt;50,"40-49","50+")))</f>
        <v>30-39</v>
      </c>
      <c r="C1229" t="str">
        <f>IF(INDEX(tblCleanData[MonthlyIncome],1221)&lt;=$B$3,"Low Income",IF(INDEX(tblCleanData[MonthlyIncome],1221)&lt;=$B$4,"Medium Income","High Income"))</f>
        <v>High Income</v>
      </c>
      <c r="D1229">
        <f>IF(INDEX(tblCleanData[Attrition],1221)="Yes",1,0)</f>
        <v>0</v>
      </c>
      <c r="E1229">
        <f>IF(INDEX(tblCleanData[OverTime],1221)="Yes",1,0)</f>
        <v>0</v>
      </c>
      <c r="F1229" t="str">
        <f>CHOOSE(INDEX(tblCleanData[Education],1221),"Below College","College","Bachelor","Master","Doctor")</f>
        <v>Master</v>
      </c>
      <c r="G1229" t="str">
        <f>IF(INDEX(tblCleanData[YearsAtCompany],1221)&lt;=2,"0-2 Years",IF(INDEX(tblCleanData[YearsAtCompany],1221)&lt;=5,"3-5 Years",IF(INDEX(tblCleanData[YearsAtCompany],1221)&lt;=10,"6-10 Years","10+ Years")))</f>
        <v>10+ Years</v>
      </c>
      <c r="H1229" t="str">
        <f>IF(INDEX(tblCleanData[WorkLifeBalance],1221)&lt;=2,"Elevated","Normal")</f>
        <v>Elevated</v>
      </c>
      <c r="I1229">
        <f>IF(INDEX(tblCleanData[Age],1221)&lt;30,30,IF(INDEX(tblCleanData[Age],1221)&lt;40,20,IF(INDEX(tblCleanData[Age],1221)&lt;50,10,15)))</f>
        <v>20</v>
      </c>
      <c r="J1229">
        <f>IF(INDEX(tblCleanData[MonthlyIncome],1221)&lt;=$B$3,25,IF(INDEX(tblCleanData[MonthlyIncome],1221)&lt;=$B$4,12,5))</f>
        <v>5</v>
      </c>
      <c r="K1229">
        <f>IF(INDEX(tblCleanData[OverTime],1221)="Yes",25,0)</f>
        <v>0</v>
      </c>
      <c r="L1229">
        <f>(5-INDEX(tblCleanData[JobSatisfaction],1221))*6.25</f>
        <v>6.25</v>
      </c>
      <c r="M1229">
        <f>IF(INDEX(tblCleanData[YearsAtCompany],1221)&lt;=2,25,IF(INDEX(tblCleanData[YearsAtCompany],1221)&lt;=5,15,IF(INDEX(tblCleanData[YearsAtCompany],1221)&lt;=10,8,3)))</f>
        <v>3</v>
      </c>
      <c r="N1229">
        <f t="shared" si="38"/>
        <v>34</v>
      </c>
      <c r="O1229" t="str">
        <f t="shared" si="39"/>
        <v>Low Risk</v>
      </c>
    </row>
    <row r="1230" spans="1:15" x14ac:dyDescent="0.25">
      <c r="A1230">
        <f>INDEX(tblCleanData[EmployeeNumber],1222)</f>
        <v>1712</v>
      </c>
      <c r="B1230" t="str">
        <f>IF(INDEX(tblCleanData[Age],1222)&lt;30,"Under 30",IF(INDEX(tblCleanData[Age],1222)&lt;40,"30-39",IF(INDEX(tblCleanData[Age],1222)&lt;50,"40-49","50+")))</f>
        <v>40-49</v>
      </c>
      <c r="C1230" t="str">
        <f>IF(INDEX(tblCleanData[MonthlyIncome],1222)&lt;=$B$3,"Low Income",IF(INDEX(tblCleanData[MonthlyIncome],1222)&lt;=$B$4,"Medium Income","High Income"))</f>
        <v>High Income</v>
      </c>
      <c r="D1230">
        <f>IF(INDEX(tblCleanData[Attrition],1222)="Yes",1,0)</f>
        <v>0</v>
      </c>
      <c r="E1230">
        <f>IF(INDEX(tblCleanData[OverTime],1222)="Yes",1,0)</f>
        <v>0</v>
      </c>
      <c r="F1230" t="str">
        <f>CHOOSE(INDEX(tblCleanData[Education],1222),"Below College","College","Bachelor","Master","Doctor")</f>
        <v>Below College</v>
      </c>
      <c r="G1230" t="str">
        <f>IF(INDEX(tblCleanData[YearsAtCompany],1222)&lt;=2,"0-2 Years",IF(INDEX(tblCleanData[YearsAtCompany],1222)&lt;=5,"3-5 Years",IF(INDEX(tblCleanData[YearsAtCompany],1222)&lt;=10,"6-10 Years","10+ Years")))</f>
        <v>10+ Years</v>
      </c>
      <c r="H1230" t="str">
        <f>IF(INDEX(tblCleanData[WorkLifeBalance],1222)&lt;=2,"Elevated","Normal")</f>
        <v>Elevated</v>
      </c>
      <c r="I1230">
        <f>IF(INDEX(tblCleanData[Age],1222)&lt;30,30,IF(INDEX(tblCleanData[Age],1222)&lt;40,20,IF(INDEX(tblCleanData[Age],1222)&lt;50,10,15)))</f>
        <v>10</v>
      </c>
      <c r="J1230">
        <f>IF(INDEX(tblCleanData[MonthlyIncome],1222)&lt;=$B$3,25,IF(INDEX(tblCleanData[MonthlyIncome],1222)&lt;=$B$4,12,5))</f>
        <v>5</v>
      </c>
      <c r="K1230">
        <f>IF(INDEX(tblCleanData[OverTime],1222)="Yes",25,0)</f>
        <v>0</v>
      </c>
      <c r="L1230">
        <f>(5-INDEX(tblCleanData[JobSatisfaction],1222))*6.25</f>
        <v>12.5</v>
      </c>
      <c r="M1230">
        <f>IF(INDEX(tblCleanData[YearsAtCompany],1222)&lt;=2,25,IF(INDEX(tblCleanData[YearsAtCompany],1222)&lt;=5,15,IF(INDEX(tblCleanData[YearsAtCompany],1222)&lt;=10,8,3)))</f>
        <v>3</v>
      </c>
      <c r="N1230">
        <f t="shared" si="38"/>
        <v>31</v>
      </c>
      <c r="O1230" t="str">
        <f t="shared" si="39"/>
        <v>Low Risk</v>
      </c>
    </row>
    <row r="1231" spans="1:15" x14ac:dyDescent="0.25">
      <c r="A1231">
        <f>INDEX(tblCleanData[EmployeeNumber],1223)</f>
        <v>1714</v>
      </c>
      <c r="B1231" t="str">
        <f>IF(INDEX(tblCleanData[Age],1223)&lt;30,"Under 30",IF(INDEX(tblCleanData[Age],1223)&lt;40,"30-39",IF(INDEX(tblCleanData[Age],1223)&lt;50,"40-49","50+")))</f>
        <v>Under 30</v>
      </c>
      <c r="C1231" t="str">
        <f>IF(INDEX(tblCleanData[MonthlyIncome],1223)&lt;=$B$3,"Low Income",IF(INDEX(tblCleanData[MonthlyIncome],1223)&lt;=$B$4,"Medium Income","High Income"))</f>
        <v>High Income</v>
      </c>
      <c r="D1231">
        <f>IF(INDEX(tblCleanData[Attrition],1223)="Yes",1,0)</f>
        <v>1</v>
      </c>
      <c r="E1231">
        <f>IF(INDEX(tblCleanData[OverTime],1223)="Yes",1,0)</f>
        <v>0</v>
      </c>
      <c r="F1231" t="str">
        <f>CHOOSE(INDEX(tblCleanData[Education],1223),"Below College","College","Bachelor","Master","Doctor")</f>
        <v>Below College</v>
      </c>
      <c r="G1231" t="str">
        <f>IF(INDEX(tblCleanData[YearsAtCompany],1223)&lt;=2,"0-2 Years",IF(INDEX(tblCleanData[YearsAtCompany],1223)&lt;=5,"3-5 Years",IF(INDEX(tblCleanData[YearsAtCompany],1223)&lt;=10,"6-10 Years","10+ Years")))</f>
        <v>0-2 Years</v>
      </c>
      <c r="H1231" t="str">
        <f>IF(INDEX(tblCleanData[WorkLifeBalance],1223)&lt;=2,"Elevated","Normal")</f>
        <v>Normal</v>
      </c>
      <c r="I1231">
        <f>IF(INDEX(tblCleanData[Age],1223)&lt;30,30,IF(INDEX(tblCleanData[Age],1223)&lt;40,20,IF(INDEX(tblCleanData[Age],1223)&lt;50,10,15)))</f>
        <v>30</v>
      </c>
      <c r="J1231">
        <f>IF(INDEX(tblCleanData[MonthlyIncome],1223)&lt;=$B$3,25,IF(INDEX(tblCleanData[MonthlyIncome],1223)&lt;=$B$4,12,5))</f>
        <v>5</v>
      </c>
      <c r="K1231">
        <f>IF(INDEX(tblCleanData[OverTime],1223)="Yes",25,0)</f>
        <v>0</v>
      </c>
      <c r="L1231">
        <f>(5-INDEX(tblCleanData[JobSatisfaction],1223))*6.25</f>
        <v>12.5</v>
      </c>
      <c r="M1231">
        <f>IF(INDEX(tblCleanData[YearsAtCompany],1223)&lt;=2,25,IF(INDEX(tblCleanData[YearsAtCompany],1223)&lt;=5,15,IF(INDEX(tblCleanData[YearsAtCompany],1223)&lt;=10,8,3)))</f>
        <v>25</v>
      </c>
      <c r="N1231">
        <f t="shared" si="38"/>
        <v>73</v>
      </c>
      <c r="O1231" t="str">
        <f t="shared" si="39"/>
        <v>High Risk</v>
      </c>
    </row>
    <row r="1232" spans="1:15" x14ac:dyDescent="0.25">
      <c r="A1232">
        <f>INDEX(tblCleanData[EmployeeNumber],1224)</f>
        <v>1716</v>
      </c>
      <c r="B1232" t="str">
        <f>IF(INDEX(tblCleanData[Age],1224)&lt;30,"Under 30",IF(INDEX(tblCleanData[Age],1224)&lt;40,"30-39",IF(INDEX(tblCleanData[Age],1224)&lt;50,"40-49","50+")))</f>
        <v>40-49</v>
      </c>
      <c r="C1232" t="str">
        <f>IF(INDEX(tblCleanData[MonthlyIncome],1224)&lt;=$B$3,"Low Income",IF(INDEX(tblCleanData[MonthlyIncome],1224)&lt;=$B$4,"Medium Income","High Income"))</f>
        <v>High Income</v>
      </c>
      <c r="D1232">
        <f>IF(INDEX(tblCleanData[Attrition],1224)="Yes",1,0)</f>
        <v>1</v>
      </c>
      <c r="E1232">
        <f>IF(INDEX(tblCleanData[OverTime],1224)="Yes",1,0)</f>
        <v>0</v>
      </c>
      <c r="F1232" t="str">
        <f>CHOOSE(INDEX(tblCleanData[Education],1224),"Below College","College","Bachelor","Master","Doctor")</f>
        <v>Bachelor</v>
      </c>
      <c r="G1232" t="str">
        <f>IF(INDEX(tblCleanData[YearsAtCompany],1224)&lt;=2,"0-2 Years",IF(INDEX(tblCleanData[YearsAtCompany],1224)&lt;=5,"3-5 Years",IF(INDEX(tblCleanData[YearsAtCompany],1224)&lt;=10,"6-10 Years","10+ Years")))</f>
        <v>10+ Years</v>
      </c>
      <c r="H1232" t="str">
        <f>IF(INDEX(tblCleanData[WorkLifeBalance],1224)&lt;=2,"Elevated","Normal")</f>
        <v>Elevated</v>
      </c>
      <c r="I1232">
        <f>IF(INDEX(tblCleanData[Age],1224)&lt;30,30,IF(INDEX(tblCleanData[Age],1224)&lt;40,20,IF(INDEX(tblCleanData[Age],1224)&lt;50,10,15)))</f>
        <v>10</v>
      </c>
      <c r="J1232">
        <f>IF(INDEX(tblCleanData[MonthlyIncome],1224)&lt;=$B$3,25,IF(INDEX(tblCleanData[MonthlyIncome],1224)&lt;=$B$4,12,5))</f>
        <v>5</v>
      </c>
      <c r="K1232">
        <f>IF(INDEX(tblCleanData[OverTime],1224)="Yes",25,0)</f>
        <v>0</v>
      </c>
      <c r="L1232">
        <f>(5-INDEX(tblCleanData[JobSatisfaction],1224))*6.25</f>
        <v>12.5</v>
      </c>
      <c r="M1232">
        <f>IF(INDEX(tblCleanData[YearsAtCompany],1224)&lt;=2,25,IF(INDEX(tblCleanData[YearsAtCompany],1224)&lt;=5,15,IF(INDEX(tblCleanData[YearsAtCompany],1224)&lt;=10,8,3)))</f>
        <v>3</v>
      </c>
      <c r="N1232">
        <f t="shared" si="38"/>
        <v>31</v>
      </c>
      <c r="O1232" t="str">
        <f t="shared" si="39"/>
        <v>Low Risk</v>
      </c>
    </row>
    <row r="1233" spans="1:15" x14ac:dyDescent="0.25">
      <c r="A1233">
        <f>INDEX(tblCleanData[EmployeeNumber],1225)</f>
        <v>1718</v>
      </c>
      <c r="B1233" t="str">
        <f>IF(INDEX(tblCleanData[Age],1225)&lt;30,"Under 30",IF(INDEX(tblCleanData[Age],1225)&lt;40,"30-39",IF(INDEX(tblCleanData[Age],1225)&lt;50,"40-49","50+")))</f>
        <v>Under 30</v>
      </c>
      <c r="C1233" t="str">
        <f>IF(INDEX(tblCleanData[MonthlyIncome],1225)&lt;=$B$3,"Low Income",IF(INDEX(tblCleanData[MonthlyIncome],1225)&lt;=$B$4,"Medium Income","High Income"))</f>
        <v>High Income</v>
      </c>
      <c r="D1233">
        <f>IF(INDEX(tblCleanData[Attrition],1225)="Yes",1,0)</f>
        <v>0</v>
      </c>
      <c r="E1233">
        <f>IF(INDEX(tblCleanData[OverTime],1225)="Yes",1,0)</f>
        <v>0</v>
      </c>
      <c r="F1233" t="str">
        <f>CHOOSE(INDEX(tblCleanData[Education],1225),"Below College","College","Bachelor","Master","Doctor")</f>
        <v>Master</v>
      </c>
      <c r="G1233" t="str">
        <f>IF(INDEX(tblCleanData[YearsAtCompany],1225)&lt;=2,"0-2 Years",IF(INDEX(tblCleanData[YearsAtCompany],1225)&lt;=5,"3-5 Years",IF(INDEX(tblCleanData[YearsAtCompany],1225)&lt;=10,"6-10 Years","10+ Years")))</f>
        <v>3-5 Years</v>
      </c>
      <c r="H1233" t="str">
        <f>IF(INDEX(tblCleanData[WorkLifeBalance],1225)&lt;=2,"Elevated","Normal")</f>
        <v>Normal</v>
      </c>
      <c r="I1233">
        <f>IF(INDEX(tblCleanData[Age],1225)&lt;30,30,IF(INDEX(tblCleanData[Age],1225)&lt;40,20,IF(INDEX(tblCleanData[Age],1225)&lt;50,10,15)))</f>
        <v>30</v>
      </c>
      <c r="J1233">
        <f>IF(INDEX(tblCleanData[MonthlyIncome],1225)&lt;=$B$3,25,IF(INDEX(tblCleanData[MonthlyIncome],1225)&lt;=$B$4,12,5))</f>
        <v>5</v>
      </c>
      <c r="K1233">
        <f>IF(INDEX(tblCleanData[OverTime],1225)="Yes",25,0)</f>
        <v>0</v>
      </c>
      <c r="L1233">
        <f>(5-INDEX(tblCleanData[JobSatisfaction],1225))*6.25</f>
        <v>12.5</v>
      </c>
      <c r="M1233">
        <f>IF(INDEX(tblCleanData[YearsAtCompany],1225)&lt;=2,25,IF(INDEX(tblCleanData[YearsAtCompany],1225)&lt;=5,15,IF(INDEX(tblCleanData[YearsAtCompany],1225)&lt;=10,8,3)))</f>
        <v>15</v>
      </c>
      <c r="N1233">
        <f t="shared" si="38"/>
        <v>63</v>
      </c>
      <c r="O1233" t="str">
        <f t="shared" si="39"/>
        <v>High Risk</v>
      </c>
    </row>
    <row r="1234" spans="1:15" x14ac:dyDescent="0.25">
      <c r="A1234">
        <f>INDEX(tblCleanData[EmployeeNumber],1226)</f>
        <v>1719</v>
      </c>
      <c r="B1234" t="str">
        <f>IF(INDEX(tblCleanData[Age],1226)&lt;30,"Under 30",IF(INDEX(tblCleanData[Age],1226)&lt;40,"30-39",IF(INDEX(tblCleanData[Age],1226)&lt;50,"40-49","50+")))</f>
        <v>40-49</v>
      </c>
      <c r="C1234" t="str">
        <f>IF(INDEX(tblCleanData[MonthlyIncome],1226)&lt;=$B$3,"Low Income",IF(INDEX(tblCleanData[MonthlyIncome],1226)&lt;=$B$4,"Medium Income","High Income"))</f>
        <v>High Income</v>
      </c>
      <c r="D1234">
        <f>IF(INDEX(tblCleanData[Attrition],1226)="Yes",1,0)</f>
        <v>0</v>
      </c>
      <c r="E1234">
        <f>IF(INDEX(tblCleanData[OverTime],1226)="Yes",1,0)</f>
        <v>0</v>
      </c>
      <c r="F1234" t="str">
        <f>CHOOSE(INDEX(tblCleanData[Education],1226),"Below College","College","Bachelor","Master","Doctor")</f>
        <v>College</v>
      </c>
      <c r="G1234" t="str">
        <f>IF(INDEX(tblCleanData[YearsAtCompany],1226)&lt;=2,"0-2 Years",IF(INDEX(tblCleanData[YearsAtCompany],1226)&lt;=5,"3-5 Years",IF(INDEX(tblCleanData[YearsAtCompany],1226)&lt;=10,"6-10 Years","10+ Years")))</f>
        <v>10+ Years</v>
      </c>
      <c r="H1234" t="str">
        <f>IF(INDEX(tblCleanData[WorkLifeBalance],1226)&lt;=2,"Elevated","Normal")</f>
        <v>Normal</v>
      </c>
      <c r="I1234">
        <f>IF(INDEX(tblCleanData[Age],1226)&lt;30,30,IF(INDEX(tblCleanData[Age],1226)&lt;40,20,IF(INDEX(tblCleanData[Age],1226)&lt;50,10,15)))</f>
        <v>10</v>
      </c>
      <c r="J1234">
        <f>IF(INDEX(tblCleanData[MonthlyIncome],1226)&lt;=$B$3,25,IF(INDEX(tblCleanData[MonthlyIncome],1226)&lt;=$B$4,12,5))</f>
        <v>5</v>
      </c>
      <c r="K1234">
        <f>IF(INDEX(tblCleanData[OverTime],1226)="Yes",25,0)</f>
        <v>0</v>
      </c>
      <c r="L1234">
        <f>(5-INDEX(tblCleanData[JobSatisfaction],1226))*6.25</f>
        <v>18.75</v>
      </c>
      <c r="M1234">
        <f>IF(INDEX(tblCleanData[YearsAtCompany],1226)&lt;=2,25,IF(INDEX(tblCleanData[YearsAtCompany],1226)&lt;=5,15,IF(INDEX(tblCleanData[YearsAtCompany],1226)&lt;=10,8,3)))</f>
        <v>3</v>
      </c>
      <c r="N1234">
        <f t="shared" si="38"/>
        <v>37</v>
      </c>
      <c r="O1234" t="str">
        <f t="shared" si="39"/>
        <v>Medium Risk</v>
      </c>
    </row>
    <row r="1235" spans="1:15" x14ac:dyDescent="0.25">
      <c r="A1235">
        <f>INDEX(tblCleanData[EmployeeNumber],1227)</f>
        <v>1720</v>
      </c>
      <c r="B1235" t="str">
        <f>IF(INDEX(tblCleanData[Age],1227)&lt;30,"Under 30",IF(INDEX(tblCleanData[Age],1227)&lt;40,"30-39",IF(INDEX(tblCleanData[Age],1227)&lt;50,"40-49","50+")))</f>
        <v>30-39</v>
      </c>
      <c r="C1235" t="str">
        <f>IF(INDEX(tblCleanData[MonthlyIncome],1227)&lt;=$B$3,"Low Income",IF(INDEX(tblCleanData[MonthlyIncome],1227)&lt;=$B$4,"Medium Income","High Income"))</f>
        <v>High Income</v>
      </c>
      <c r="D1235">
        <f>IF(INDEX(tblCleanData[Attrition],1227)="Yes",1,0)</f>
        <v>0</v>
      </c>
      <c r="E1235">
        <f>IF(INDEX(tblCleanData[OverTime],1227)="Yes",1,0)</f>
        <v>0</v>
      </c>
      <c r="F1235" t="str">
        <f>CHOOSE(INDEX(tblCleanData[Education],1227),"Below College","College","Bachelor","Master","Doctor")</f>
        <v>Bachelor</v>
      </c>
      <c r="G1235" t="str">
        <f>IF(INDEX(tblCleanData[YearsAtCompany],1227)&lt;=2,"0-2 Years",IF(INDEX(tblCleanData[YearsAtCompany],1227)&lt;=5,"3-5 Years",IF(INDEX(tblCleanData[YearsAtCompany],1227)&lt;=10,"6-10 Years","10+ Years")))</f>
        <v>3-5 Years</v>
      </c>
      <c r="H1235" t="str">
        <f>IF(INDEX(tblCleanData[WorkLifeBalance],1227)&lt;=2,"Elevated","Normal")</f>
        <v>Elevated</v>
      </c>
      <c r="I1235">
        <f>IF(INDEX(tblCleanData[Age],1227)&lt;30,30,IF(INDEX(tblCleanData[Age],1227)&lt;40,20,IF(INDEX(tblCleanData[Age],1227)&lt;50,10,15)))</f>
        <v>20</v>
      </c>
      <c r="J1235">
        <f>IF(INDEX(tblCleanData[MonthlyIncome],1227)&lt;=$B$3,25,IF(INDEX(tblCleanData[MonthlyIncome],1227)&lt;=$B$4,12,5))</f>
        <v>5</v>
      </c>
      <c r="K1235">
        <f>IF(INDEX(tblCleanData[OverTime],1227)="Yes",25,0)</f>
        <v>0</v>
      </c>
      <c r="L1235">
        <f>(5-INDEX(tblCleanData[JobSatisfaction],1227))*6.25</f>
        <v>12.5</v>
      </c>
      <c r="M1235">
        <f>IF(INDEX(tblCleanData[YearsAtCompany],1227)&lt;=2,25,IF(INDEX(tblCleanData[YearsAtCompany],1227)&lt;=5,15,IF(INDEX(tblCleanData[YearsAtCompany],1227)&lt;=10,8,3)))</f>
        <v>15</v>
      </c>
      <c r="N1235">
        <f t="shared" si="38"/>
        <v>53</v>
      </c>
      <c r="O1235" t="str">
        <f t="shared" si="39"/>
        <v>Medium Risk</v>
      </c>
    </row>
    <row r="1236" spans="1:15" x14ac:dyDescent="0.25">
      <c r="A1236">
        <f>INDEX(tblCleanData[EmployeeNumber],1228)</f>
        <v>1721</v>
      </c>
      <c r="B1236" t="str">
        <f>IF(INDEX(tblCleanData[Age],1228)&lt;30,"Under 30",IF(INDEX(tblCleanData[Age],1228)&lt;40,"30-39",IF(INDEX(tblCleanData[Age],1228)&lt;50,"40-49","50+")))</f>
        <v>30-39</v>
      </c>
      <c r="C1236" t="str">
        <f>IF(INDEX(tblCleanData[MonthlyIncome],1228)&lt;=$B$3,"Low Income",IF(INDEX(tblCleanData[MonthlyIncome],1228)&lt;=$B$4,"Medium Income","High Income"))</f>
        <v>High Income</v>
      </c>
      <c r="D1236">
        <f>IF(INDEX(tblCleanData[Attrition],1228)="Yes",1,0)</f>
        <v>0</v>
      </c>
      <c r="E1236">
        <f>IF(INDEX(tblCleanData[OverTime],1228)="Yes",1,0)</f>
        <v>0</v>
      </c>
      <c r="F1236" t="str">
        <f>CHOOSE(INDEX(tblCleanData[Education],1228),"Below College","College","Bachelor","Master","Doctor")</f>
        <v>Master</v>
      </c>
      <c r="G1236" t="str">
        <f>IF(INDEX(tblCleanData[YearsAtCompany],1228)&lt;=2,"0-2 Years",IF(INDEX(tblCleanData[YearsAtCompany],1228)&lt;=5,"3-5 Years",IF(INDEX(tblCleanData[YearsAtCompany],1228)&lt;=10,"6-10 Years","10+ Years")))</f>
        <v>3-5 Years</v>
      </c>
      <c r="H1236" t="str">
        <f>IF(INDEX(tblCleanData[WorkLifeBalance],1228)&lt;=2,"Elevated","Normal")</f>
        <v>Normal</v>
      </c>
      <c r="I1236">
        <f>IF(INDEX(tblCleanData[Age],1228)&lt;30,30,IF(INDEX(tblCleanData[Age],1228)&lt;40,20,IF(INDEX(tblCleanData[Age],1228)&lt;50,10,15)))</f>
        <v>20</v>
      </c>
      <c r="J1236">
        <f>IF(INDEX(tblCleanData[MonthlyIncome],1228)&lt;=$B$3,25,IF(INDEX(tblCleanData[MonthlyIncome],1228)&lt;=$B$4,12,5))</f>
        <v>5</v>
      </c>
      <c r="K1236">
        <f>IF(INDEX(tblCleanData[OverTime],1228)="Yes",25,0)</f>
        <v>0</v>
      </c>
      <c r="L1236">
        <f>(5-INDEX(tblCleanData[JobSatisfaction],1228))*6.25</f>
        <v>12.5</v>
      </c>
      <c r="M1236">
        <f>IF(INDEX(tblCleanData[YearsAtCompany],1228)&lt;=2,25,IF(INDEX(tblCleanData[YearsAtCompany],1228)&lt;=5,15,IF(INDEX(tblCleanData[YearsAtCompany],1228)&lt;=10,8,3)))</f>
        <v>15</v>
      </c>
      <c r="N1236">
        <f t="shared" si="38"/>
        <v>53</v>
      </c>
      <c r="O1236" t="str">
        <f t="shared" si="39"/>
        <v>Medium Risk</v>
      </c>
    </row>
    <row r="1237" spans="1:15" x14ac:dyDescent="0.25">
      <c r="A1237">
        <f>INDEX(tblCleanData[EmployeeNumber],1229)</f>
        <v>1722</v>
      </c>
      <c r="B1237" t="str">
        <f>IF(INDEX(tblCleanData[Age],1229)&lt;30,"Under 30",IF(INDEX(tblCleanData[Age],1229)&lt;40,"30-39",IF(INDEX(tblCleanData[Age],1229)&lt;50,"40-49","50+")))</f>
        <v>40-49</v>
      </c>
      <c r="C1237" t="str">
        <f>IF(INDEX(tblCleanData[MonthlyIncome],1229)&lt;=$B$3,"Low Income",IF(INDEX(tblCleanData[MonthlyIncome],1229)&lt;=$B$4,"Medium Income","High Income"))</f>
        <v>High Income</v>
      </c>
      <c r="D1237">
        <f>IF(INDEX(tblCleanData[Attrition],1229)="Yes",1,0)</f>
        <v>0</v>
      </c>
      <c r="E1237">
        <f>IF(INDEX(tblCleanData[OverTime],1229)="Yes",1,0)</f>
        <v>0</v>
      </c>
      <c r="F1237" t="str">
        <f>CHOOSE(INDEX(tblCleanData[Education],1229),"Below College","College","Bachelor","Master","Doctor")</f>
        <v>Bachelor</v>
      </c>
      <c r="G1237" t="str">
        <f>IF(INDEX(tblCleanData[YearsAtCompany],1229)&lt;=2,"0-2 Years",IF(INDEX(tblCleanData[YearsAtCompany],1229)&lt;=5,"3-5 Years",IF(INDEX(tblCleanData[YearsAtCompany],1229)&lt;=10,"6-10 Years","10+ Years")))</f>
        <v>3-5 Years</v>
      </c>
      <c r="H1237" t="str">
        <f>IF(INDEX(tblCleanData[WorkLifeBalance],1229)&lt;=2,"Elevated","Normal")</f>
        <v>Normal</v>
      </c>
      <c r="I1237">
        <f>IF(INDEX(tblCleanData[Age],1229)&lt;30,30,IF(INDEX(tblCleanData[Age],1229)&lt;40,20,IF(INDEX(tblCleanData[Age],1229)&lt;50,10,15)))</f>
        <v>10</v>
      </c>
      <c r="J1237">
        <f>IF(INDEX(tblCleanData[MonthlyIncome],1229)&lt;=$B$3,25,IF(INDEX(tblCleanData[MonthlyIncome],1229)&lt;=$B$4,12,5))</f>
        <v>5</v>
      </c>
      <c r="K1237">
        <f>IF(INDEX(tblCleanData[OverTime],1229)="Yes",25,0)</f>
        <v>0</v>
      </c>
      <c r="L1237">
        <f>(5-INDEX(tblCleanData[JobSatisfaction],1229))*6.25</f>
        <v>18.75</v>
      </c>
      <c r="M1237">
        <f>IF(INDEX(tblCleanData[YearsAtCompany],1229)&lt;=2,25,IF(INDEX(tblCleanData[YearsAtCompany],1229)&lt;=5,15,IF(INDEX(tblCleanData[YearsAtCompany],1229)&lt;=10,8,3)))</f>
        <v>15</v>
      </c>
      <c r="N1237">
        <f t="shared" si="38"/>
        <v>49</v>
      </c>
      <c r="O1237" t="str">
        <f t="shared" si="39"/>
        <v>Medium Risk</v>
      </c>
    </row>
    <row r="1238" spans="1:15" x14ac:dyDescent="0.25">
      <c r="A1238">
        <f>INDEX(tblCleanData[EmployeeNumber],1230)</f>
        <v>1724</v>
      </c>
      <c r="B1238" t="str">
        <f>IF(INDEX(tblCleanData[Age],1230)&lt;30,"Under 30",IF(INDEX(tblCleanData[Age],1230)&lt;40,"30-39",IF(INDEX(tblCleanData[Age],1230)&lt;50,"40-49","50+")))</f>
        <v>40-49</v>
      </c>
      <c r="C1238" t="str">
        <f>IF(INDEX(tblCleanData[MonthlyIncome],1230)&lt;=$B$3,"Low Income",IF(INDEX(tblCleanData[MonthlyIncome],1230)&lt;=$B$4,"Medium Income","High Income"))</f>
        <v>High Income</v>
      </c>
      <c r="D1238">
        <f>IF(INDEX(tblCleanData[Attrition],1230)="Yes",1,0)</f>
        <v>0</v>
      </c>
      <c r="E1238">
        <f>IF(INDEX(tblCleanData[OverTime],1230)="Yes",1,0)</f>
        <v>1</v>
      </c>
      <c r="F1238" t="str">
        <f>CHOOSE(INDEX(tblCleanData[Education],1230),"Below College","College","Bachelor","Master","Doctor")</f>
        <v>College</v>
      </c>
      <c r="G1238" t="str">
        <f>IF(INDEX(tblCleanData[YearsAtCompany],1230)&lt;=2,"0-2 Years",IF(INDEX(tblCleanData[YearsAtCompany],1230)&lt;=5,"3-5 Years",IF(INDEX(tblCleanData[YearsAtCompany],1230)&lt;=10,"6-10 Years","10+ Years")))</f>
        <v>0-2 Years</v>
      </c>
      <c r="H1238" t="str">
        <f>IF(INDEX(tblCleanData[WorkLifeBalance],1230)&lt;=2,"Elevated","Normal")</f>
        <v>Normal</v>
      </c>
      <c r="I1238">
        <f>IF(INDEX(tblCleanData[Age],1230)&lt;30,30,IF(INDEX(tblCleanData[Age],1230)&lt;40,20,IF(INDEX(tblCleanData[Age],1230)&lt;50,10,15)))</f>
        <v>10</v>
      </c>
      <c r="J1238">
        <f>IF(INDEX(tblCleanData[MonthlyIncome],1230)&lt;=$B$3,25,IF(INDEX(tblCleanData[MonthlyIncome],1230)&lt;=$B$4,12,5))</f>
        <v>5</v>
      </c>
      <c r="K1238">
        <f>IF(INDEX(tblCleanData[OverTime],1230)="Yes",25,0)</f>
        <v>25</v>
      </c>
      <c r="L1238">
        <f>(5-INDEX(tblCleanData[JobSatisfaction],1230))*6.25</f>
        <v>25</v>
      </c>
      <c r="M1238">
        <f>IF(INDEX(tblCleanData[YearsAtCompany],1230)&lt;=2,25,IF(INDEX(tblCleanData[YearsAtCompany],1230)&lt;=5,15,IF(INDEX(tblCleanData[YearsAtCompany],1230)&lt;=10,8,3)))</f>
        <v>25</v>
      </c>
      <c r="N1238">
        <f t="shared" si="38"/>
        <v>90</v>
      </c>
      <c r="O1238" t="str">
        <f t="shared" si="39"/>
        <v>High Risk</v>
      </c>
    </row>
    <row r="1239" spans="1:15" x14ac:dyDescent="0.25">
      <c r="A1239">
        <f>INDEX(tblCleanData[EmployeeNumber],1231)</f>
        <v>1725</v>
      </c>
      <c r="B1239" t="str">
        <f>IF(INDEX(tblCleanData[Age],1231)&lt;30,"Under 30",IF(INDEX(tblCleanData[Age],1231)&lt;40,"30-39",IF(INDEX(tblCleanData[Age],1231)&lt;50,"40-49","50+")))</f>
        <v>Under 30</v>
      </c>
      <c r="C1239" t="str">
        <f>IF(INDEX(tblCleanData[MonthlyIncome],1231)&lt;=$B$3,"Low Income",IF(INDEX(tblCleanData[MonthlyIncome],1231)&lt;=$B$4,"Medium Income","High Income"))</f>
        <v>High Income</v>
      </c>
      <c r="D1239">
        <f>IF(INDEX(tblCleanData[Attrition],1231)="Yes",1,0)</f>
        <v>0</v>
      </c>
      <c r="E1239">
        <f>IF(INDEX(tblCleanData[OverTime],1231)="Yes",1,0)</f>
        <v>0</v>
      </c>
      <c r="F1239" t="str">
        <f>CHOOSE(INDEX(tblCleanData[Education],1231),"Below College","College","Bachelor","Master","Doctor")</f>
        <v>Below College</v>
      </c>
      <c r="G1239" t="str">
        <f>IF(INDEX(tblCleanData[YearsAtCompany],1231)&lt;=2,"0-2 Years",IF(INDEX(tblCleanData[YearsAtCompany],1231)&lt;=5,"3-5 Years",IF(INDEX(tblCleanData[YearsAtCompany],1231)&lt;=10,"6-10 Years","10+ Years")))</f>
        <v>6-10 Years</v>
      </c>
      <c r="H1239" t="str">
        <f>IF(INDEX(tblCleanData[WorkLifeBalance],1231)&lt;=2,"Elevated","Normal")</f>
        <v>Normal</v>
      </c>
      <c r="I1239">
        <f>IF(INDEX(tblCleanData[Age],1231)&lt;30,30,IF(INDEX(tblCleanData[Age],1231)&lt;40,20,IF(INDEX(tblCleanData[Age],1231)&lt;50,10,15)))</f>
        <v>30</v>
      </c>
      <c r="J1239">
        <f>IF(INDEX(tblCleanData[MonthlyIncome],1231)&lt;=$B$3,25,IF(INDEX(tblCleanData[MonthlyIncome],1231)&lt;=$B$4,12,5))</f>
        <v>5</v>
      </c>
      <c r="K1239">
        <f>IF(INDEX(tblCleanData[OverTime],1231)="Yes",25,0)</f>
        <v>0</v>
      </c>
      <c r="L1239">
        <f>(5-INDEX(tblCleanData[JobSatisfaction],1231))*6.25</f>
        <v>25</v>
      </c>
      <c r="M1239">
        <f>IF(INDEX(tblCleanData[YearsAtCompany],1231)&lt;=2,25,IF(INDEX(tblCleanData[YearsAtCompany],1231)&lt;=5,15,IF(INDEX(tblCleanData[YearsAtCompany],1231)&lt;=10,8,3)))</f>
        <v>8</v>
      </c>
      <c r="N1239">
        <f t="shared" si="38"/>
        <v>68</v>
      </c>
      <c r="O1239" t="str">
        <f t="shared" si="39"/>
        <v>High Risk</v>
      </c>
    </row>
    <row r="1240" spans="1:15" x14ac:dyDescent="0.25">
      <c r="A1240">
        <f>INDEX(tblCleanData[EmployeeNumber],1232)</f>
        <v>1727</v>
      </c>
      <c r="B1240" t="str">
        <f>IF(INDEX(tblCleanData[Age],1232)&lt;30,"Under 30",IF(INDEX(tblCleanData[Age],1232)&lt;40,"30-39",IF(INDEX(tblCleanData[Age],1232)&lt;50,"40-49","50+")))</f>
        <v>40-49</v>
      </c>
      <c r="C1240" t="str">
        <f>IF(INDEX(tblCleanData[MonthlyIncome],1232)&lt;=$B$3,"Low Income",IF(INDEX(tblCleanData[MonthlyIncome],1232)&lt;=$B$4,"Medium Income","High Income"))</f>
        <v>High Income</v>
      </c>
      <c r="D1240">
        <f>IF(INDEX(tblCleanData[Attrition],1232)="Yes",1,0)</f>
        <v>0</v>
      </c>
      <c r="E1240">
        <f>IF(INDEX(tblCleanData[OverTime],1232)="Yes",1,0)</f>
        <v>0</v>
      </c>
      <c r="F1240" t="str">
        <f>CHOOSE(INDEX(tblCleanData[Education],1232),"Below College","College","Bachelor","Master","Doctor")</f>
        <v>Master</v>
      </c>
      <c r="G1240" t="str">
        <f>IF(INDEX(tblCleanData[YearsAtCompany],1232)&lt;=2,"0-2 Years",IF(INDEX(tblCleanData[YearsAtCompany],1232)&lt;=5,"3-5 Years",IF(INDEX(tblCleanData[YearsAtCompany],1232)&lt;=10,"6-10 Years","10+ Years")))</f>
        <v>6-10 Years</v>
      </c>
      <c r="H1240" t="str">
        <f>IF(INDEX(tblCleanData[WorkLifeBalance],1232)&lt;=2,"Elevated","Normal")</f>
        <v>Normal</v>
      </c>
      <c r="I1240">
        <f>IF(INDEX(tblCleanData[Age],1232)&lt;30,30,IF(INDEX(tblCleanData[Age],1232)&lt;40,20,IF(INDEX(tblCleanData[Age],1232)&lt;50,10,15)))</f>
        <v>10</v>
      </c>
      <c r="J1240">
        <f>IF(INDEX(tblCleanData[MonthlyIncome],1232)&lt;=$B$3,25,IF(INDEX(tblCleanData[MonthlyIncome],1232)&lt;=$B$4,12,5))</f>
        <v>5</v>
      </c>
      <c r="K1240">
        <f>IF(INDEX(tblCleanData[OverTime],1232)="Yes",25,0)</f>
        <v>0</v>
      </c>
      <c r="L1240">
        <f>(5-INDEX(tblCleanData[JobSatisfaction],1232))*6.25</f>
        <v>18.75</v>
      </c>
      <c r="M1240">
        <f>IF(INDEX(tblCleanData[YearsAtCompany],1232)&lt;=2,25,IF(INDEX(tblCleanData[YearsAtCompany],1232)&lt;=5,15,IF(INDEX(tblCleanData[YearsAtCompany],1232)&lt;=10,8,3)))</f>
        <v>8</v>
      </c>
      <c r="N1240">
        <f t="shared" si="38"/>
        <v>42</v>
      </c>
      <c r="O1240" t="str">
        <f t="shared" si="39"/>
        <v>Medium Risk</v>
      </c>
    </row>
    <row r="1241" spans="1:15" x14ac:dyDescent="0.25">
      <c r="A1241">
        <f>INDEX(tblCleanData[EmployeeNumber],1233)</f>
        <v>1728</v>
      </c>
      <c r="B1241" t="str">
        <f>IF(INDEX(tblCleanData[Age],1233)&lt;30,"Under 30",IF(INDEX(tblCleanData[Age],1233)&lt;40,"30-39",IF(INDEX(tblCleanData[Age],1233)&lt;50,"40-49","50+")))</f>
        <v>30-39</v>
      </c>
      <c r="C1241" t="str">
        <f>IF(INDEX(tblCleanData[MonthlyIncome],1233)&lt;=$B$3,"Low Income",IF(INDEX(tblCleanData[MonthlyIncome],1233)&lt;=$B$4,"Medium Income","High Income"))</f>
        <v>High Income</v>
      </c>
      <c r="D1241">
        <f>IF(INDEX(tblCleanData[Attrition],1233)="Yes",1,0)</f>
        <v>0</v>
      </c>
      <c r="E1241">
        <f>IF(INDEX(tblCleanData[OverTime],1233)="Yes",1,0)</f>
        <v>0</v>
      </c>
      <c r="F1241" t="str">
        <f>CHOOSE(INDEX(tblCleanData[Education],1233),"Below College","College","Bachelor","Master","Doctor")</f>
        <v>Master</v>
      </c>
      <c r="G1241" t="str">
        <f>IF(INDEX(tblCleanData[YearsAtCompany],1233)&lt;=2,"0-2 Years",IF(INDEX(tblCleanData[YearsAtCompany],1233)&lt;=5,"3-5 Years",IF(INDEX(tblCleanData[YearsAtCompany],1233)&lt;=10,"6-10 Years","10+ Years")))</f>
        <v>6-10 Years</v>
      </c>
      <c r="H1241" t="str">
        <f>IF(INDEX(tblCleanData[WorkLifeBalance],1233)&lt;=2,"Elevated","Normal")</f>
        <v>Normal</v>
      </c>
      <c r="I1241">
        <f>IF(INDEX(tblCleanData[Age],1233)&lt;30,30,IF(INDEX(tblCleanData[Age],1233)&lt;40,20,IF(INDEX(tblCleanData[Age],1233)&lt;50,10,15)))</f>
        <v>20</v>
      </c>
      <c r="J1241">
        <f>IF(INDEX(tblCleanData[MonthlyIncome],1233)&lt;=$B$3,25,IF(INDEX(tblCleanData[MonthlyIncome],1233)&lt;=$B$4,12,5))</f>
        <v>5</v>
      </c>
      <c r="K1241">
        <f>IF(INDEX(tblCleanData[OverTime],1233)="Yes",25,0)</f>
        <v>0</v>
      </c>
      <c r="L1241">
        <f>(5-INDEX(tblCleanData[JobSatisfaction],1233))*6.25</f>
        <v>12.5</v>
      </c>
      <c r="M1241">
        <f>IF(INDEX(tblCleanData[YearsAtCompany],1233)&lt;=2,25,IF(INDEX(tblCleanData[YearsAtCompany],1233)&lt;=5,15,IF(INDEX(tblCleanData[YearsAtCompany],1233)&lt;=10,8,3)))</f>
        <v>8</v>
      </c>
      <c r="N1241">
        <f t="shared" si="38"/>
        <v>46</v>
      </c>
      <c r="O1241" t="str">
        <f t="shared" si="39"/>
        <v>Medium Risk</v>
      </c>
    </row>
    <row r="1242" spans="1:15" x14ac:dyDescent="0.25">
      <c r="A1242">
        <f>INDEX(tblCleanData[EmployeeNumber],1234)</f>
        <v>1729</v>
      </c>
      <c r="B1242" t="str">
        <f>IF(INDEX(tblCleanData[Age],1234)&lt;30,"Under 30",IF(INDEX(tblCleanData[Age],1234)&lt;40,"30-39",IF(INDEX(tblCleanData[Age],1234)&lt;50,"40-49","50+")))</f>
        <v>30-39</v>
      </c>
      <c r="C1242" t="str">
        <f>IF(INDEX(tblCleanData[MonthlyIncome],1234)&lt;=$B$3,"Low Income",IF(INDEX(tblCleanData[MonthlyIncome],1234)&lt;=$B$4,"Medium Income","High Income"))</f>
        <v>High Income</v>
      </c>
      <c r="D1242">
        <f>IF(INDEX(tblCleanData[Attrition],1234)="Yes",1,0)</f>
        <v>0</v>
      </c>
      <c r="E1242">
        <f>IF(INDEX(tblCleanData[OverTime],1234)="Yes",1,0)</f>
        <v>0</v>
      </c>
      <c r="F1242" t="str">
        <f>CHOOSE(INDEX(tblCleanData[Education],1234),"Below College","College","Bachelor","Master","Doctor")</f>
        <v>Below College</v>
      </c>
      <c r="G1242" t="str">
        <f>IF(INDEX(tblCleanData[YearsAtCompany],1234)&lt;=2,"0-2 Years",IF(INDEX(tblCleanData[YearsAtCompany],1234)&lt;=5,"3-5 Years",IF(INDEX(tblCleanData[YearsAtCompany],1234)&lt;=10,"6-10 Years","10+ Years")))</f>
        <v>6-10 Years</v>
      </c>
      <c r="H1242" t="str">
        <f>IF(INDEX(tblCleanData[WorkLifeBalance],1234)&lt;=2,"Elevated","Normal")</f>
        <v>Elevated</v>
      </c>
      <c r="I1242">
        <f>IF(INDEX(tblCleanData[Age],1234)&lt;30,30,IF(INDEX(tblCleanData[Age],1234)&lt;40,20,IF(INDEX(tblCleanData[Age],1234)&lt;50,10,15)))</f>
        <v>20</v>
      </c>
      <c r="J1242">
        <f>IF(INDEX(tblCleanData[MonthlyIncome],1234)&lt;=$B$3,25,IF(INDEX(tblCleanData[MonthlyIncome],1234)&lt;=$B$4,12,5))</f>
        <v>5</v>
      </c>
      <c r="K1242">
        <f>IF(INDEX(tblCleanData[OverTime],1234)="Yes",25,0)</f>
        <v>0</v>
      </c>
      <c r="L1242">
        <f>(5-INDEX(tblCleanData[JobSatisfaction],1234))*6.25</f>
        <v>6.25</v>
      </c>
      <c r="M1242">
        <f>IF(INDEX(tblCleanData[YearsAtCompany],1234)&lt;=2,25,IF(INDEX(tblCleanData[YearsAtCompany],1234)&lt;=5,15,IF(INDEX(tblCleanData[YearsAtCompany],1234)&lt;=10,8,3)))</f>
        <v>8</v>
      </c>
      <c r="N1242">
        <f t="shared" si="38"/>
        <v>39</v>
      </c>
      <c r="O1242" t="str">
        <f t="shared" si="39"/>
        <v>Medium Risk</v>
      </c>
    </row>
    <row r="1243" spans="1:15" x14ac:dyDescent="0.25">
      <c r="A1243">
        <f>INDEX(tblCleanData[EmployeeNumber],1235)</f>
        <v>1731</v>
      </c>
      <c r="B1243" t="str">
        <f>IF(INDEX(tblCleanData[Age],1235)&lt;30,"Under 30",IF(INDEX(tblCleanData[Age],1235)&lt;40,"30-39",IF(INDEX(tblCleanData[Age],1235)&lt;50,"40-49","50+")))</f>
        <v>40-49</v>
      </c>
      <c r="C1243" t="str">
        <f>IF(INDEX(tblCleanData[MonthlyIncome],1235)&lt;=$B$3,"Low Income",IF(INDEX(tblCleanData[MonthlyIncome],1235)&lt;=$B$4,"Medium Income","High Income"))</f>
        <v>High Income</v>
      </c>
      <c r="D1243">
        <f>IF(INDEX(tblCleanData[Attrition],1235)="Yes",1,0)</f>
        <v>0</v>
      </c>
      <c r="E1243">
        <f>IF(INDEX(tblCleanData[OverTime],1235)="Yes",1,0)</f>
        <v>0</v>
      </c>
      <c r="F1243" t="str">
        <f>CHOOSE(INDEX(tblCleanData[Education],1235),"Below College","College","Bachelor","Master","Doctor")</f>
        <v>Master</v>
      </c>
      <c r="G1243" t="str">
        <f>IF(INDEX(tblCleanData[YearsAtCompany],1235)&lt;=2,"0-2 Years",IF(INDEX(tblCleanData[YearsAtCompany],1235)&lt;=5,"3-5 Years",IF(INDEX(tblCleanData[YearsAtCompany],1235)&lt;=10,"6-10 Years","10+ Years")))</f>
        <v>0-2 Years</v>
      </c>
      <c r="H1243" t="str">
        <f>IF(INDEX(tblCleanData[WorkLifeBalance],1235)&lt;=2,"Elevated","Normal")</f>
        <v>Elevated</v>
      </c>
      <c r="I1243">
        <f>IF(INDEX(tblCleanData[Age],1235)&lt;30,30,IF(INDEX(tblCleanData[Age],1235)&lt;40,20,IF(INDEX(tblCleanData[Age],1235)&lt;50,10,15)))</f>
        <v>10</v>
      </c>
      <c r="J1243">
        <f>IF(INDEX(tblCleanData[MonthlyIncome],1235)&lt;=$B$3,25,IF(INDEX(tblCleanData[MonthlyIncome],1235)&lt;=$B$4,12,5))</f>
        <v>5</v>
      </c>
      <c r="K1243">
        <f>IF(INDEX(tblCleanData[OverTime],1235)="Yes",25,0)</f>
        <v>0</v>
      </c>
      <c r="L1243">
        <f>(5-INDEX(tblCleanData[JobSatisfaction],1235))*6.25</f>
        <v>18.75</v>
      </c>
      <c r="M1243">
        <f>IF(INDEX(tblCleanData[YearsAtCompany],1235)&lt;=2,25,IF(INDEX(tblCleanData[YearsAtCompany],1235)&lt;=5,15,IF(INDEX(tblCleanData[YearsAtCompany],1235)&lt;=10,8,3)))</f>
        <v>25</v>
      </c>
      <c r="N1243">
        <f t="shared" si="38"/>
        <v>59</v>
      </c>
      <c r="O1243" t="str">
        <f t="shared" si="39"/>
        <v>High Risk</v>
      </c>
    </row>
    <row r="1244" spans="1:15" x14ac:dyDescent="0.25">
      <c r="A1244">
        <f>INDEX(tblCleanData[EmployeeNumber],1236)</f>
        <v>1732</v>
      </c>
      <c r="B1244" t="str">
        <f>IF(INDEX(tblCleanData[Age],1236)&lt;30,"Under 30",IF(INDEX(tblCleanData[Age],1236)&lt;40,"30-39",IF(INDEX(tblCleanData[Age],1236)&lt;50,"40-49","50+")))</f>
        <v>40-49</v>
      </c>
      <c r="C1244" t="str">
        <f>IF(INDEX(tblCleanData[MonthlyIncome],1236)&lt;=$B$3,"Low Income",IF(INDEX(tblCleanData[MonthlyIncome],1236)&lt;=$B$4,"Medium Income","High Income"))</f>
        <v>High Income</v>
      </c>
      <c r="D1244">
        <f>IF(INDEX(tblCleanData[Attrition],1236)="Yes",1,0)</f>
        <v>0</v>
      </c>
      <c r="E1244">
        <f>IF(INDEX(tblCleanData[OverTime],1236)="Yes",1,0)</f>
        <v>1</v>
      </c>
      <c r="F1244" t="str">
        <f>CHOOSE(INDEX(tblCleanData[Education],1236),"Below College","College","Bachelor","Master","Doctor")</f>
        <v>Bachelor</v>
      </c>
      <c r="G1244" t="str">
        <f>IF(INDEX(tblCleanData[YearsAtCompany],1236)&lt;=2,"0-2 Years",IF(INDEX(tblCleanData[YearsAtCompany],1236)&lt;=5,"3-5 Years",IF(INDEX(tblCleanData[YearsAtCompany],1236)&lt;=10,"6-10 Years","10+ Years")))</f>
        <v>6-10 Years</v>
      </c>
      <c r="H1244" t="str">
        <f>IF(INDEX(tblCleanData[WorkLifeBalance],1236)&lt;=2,"Elevated","Normal")</f>
        <v>Elevated</v>
      </c>
      <c r="I1244">
        <f>IF(INDEX(tblCleanData[Age],1236)&lt;30,30,IF(INDEX(tblCleanData[Age],1236)&lt;40,20,IF(INDEX(tblCleanData[Age],1236)&lt;50,10,15)))</f>
        <v>10</v>
      </c>
      <c r="J1244">
        <f>IF(INDEX(tblCleanData[MonthlyIncome],1236)&lt;=$B$3,25,IF(INDEX(tblCleanData[MonthlyIncome],1236)&lt;=$B$4,12,5))</f>
        <v>5</v>
      </c>
      <c r="K1244">
        <f>IF(INDEX(tblCleanData[OverTime],1236)="Yes",25,0)</f>
        <v>25</v>
      </c>
      <c r="L1244">
        <f>(5-INDEX(tblCleanData[JobSatisfaction],1236))*6.25</f>
        <v>6.25</v>
      </c>
      <c r="M1244">
        <f>IF(INDEX(tblCleanData[YearsAtCompany],1236)&lt;=2,25,IF(INDEX(tblCleanData[YearsAtCompany],1236)&lt;=5,15,IF(INDEX(tblCleanData[YearsAtCompany],1236)&lt;=10,8,3)))</f>
        <v>8</v>
      </c>
      <c r="N1244">
        <f t="shared" si="38"/>
        <v>54</v>
      </c>
      <c r="O1244" t="str">
        <f t="shared" si="39"/>
        <v>Medium Risk</v>
      </c>
    </row>
    <row r="1245" spans="1:15" x14ac:dyDescent="0.25">
      <c r="A1245">
        <f>INDEX(tblCleanData[EmployeeNumber],1237)</f>
        <v>1733</v>
      </c>
      <c r="B1245" t="str">
        <f>IF(INDEX(tblCleanData[Age],1237)&lt;30,"Under 30",IF(INDEX(tblCleanData[Age],1237)&lt;40,"30-39",IF(INDEX(tblCleanData[Age],1237)&lt;50,"40-49","50+")))</f>
        <v>30-39</v>
      </c>
      <c r="C1245" t="str">
        <f>IF(INDEX(tblCleanData[MonthlyIncome],1237)&lt;=$B$3,"Low Income",IF(INDEX(tblCleanData[MonthlyIncome],1237)&lt;=$B$4,"Medium Income","High Income"))</f>
        <v>High Income</v>
      </c>
      <c r="D1245">
        <f>IF(INDEX(tblCleanData[Attrition],1237)="Yes",1,0)</f>
        <v>1</v>
      </c>
      <c r="E1245">
        <f>IF(INDEX(tblCleanData[OverTime],1237)="Yes",1,0)</f>
        <v>1</v>
      </c>
      <c r="F1245" t="str">
        <f>CHOOSE(INDEX(tblCleanData[Education],1237),"Below College","College","Bachelor","Master","Doctor")</f>
        <v>Doctor</v>
      </c>
      <c r="G1245" t="str">
        <f>IF(INDEX(tblCleanData[YearsAtCompany],1237)&lt;=2,"0-2 Years",IF(INDEX(tblCleanData[YearsAtCompany],1237)&lt;=5,"3-5 Years",IF(INDEX(tblCleanData[YearsAtCompany],1237)&lt;=10,"6-10 Years","10+ Years")))</f>
        <v>0-2 Years</v>
      </c>
      <c r="H1245" t="str">
        <f>IF(INDEX(tblCleanData[WorkLifeBalance],1237)&lt;=2,"Elevated","Normal")</f>
        <v>Normal</v>
      </c>
      <c r="I1245">
        <f>IF(INDEX(tblCleanData[Age],1237)&lt;30,30,IF(INDEX(tblCleanData[Age],1237)&lt;40,20,IF(INDEX(tblCleanData[Age],1237)&lt;50,10,15)))</f>
        <v>20</v>
      </c>
      <c r="J1245">
        <f>IF(INDEX(tblCleanData[MonthlyIncome],1237)&lt;=$B$3,25,IF(INDEX(tblCleanData[MonthlyIncome],1237)&lt;=$B$4,12,5))</f>
        <v>5</v>
      </c>
      <c r="K1245">
        <f>IF(INDEX(tblCleanData[OverTime],1237)="Yes",25,0)</f>
        <v>25</v>
      </c>
      <c r="L1245">
        <f>(5-INDEX(tblCleanData[JobSatisfaction],1237))*6.25</f>
        <v>25</v>
      </c>
      <c r="M1245">
        <f>IF(INDEX(tblCleanData[YearsAtCompany],1237)&lt;=2,25,IF(INDEX(tblCleanData[YearsAtCompany],1237)&lt;=5,15,IF(INDEX(tblCleanData[YearsAtCompany],1237)&lt;=10,8,3)))</f>
        <v>25</v>
      </c>
      <c r="N1245">
        <f t="shared" si="38"/>
        <v>100</v>
      </c>
      <c r="O1245" t="str">
        <f t="shared" si="39"/>
        <v>High Risk</v>
      </c>
    </row>
    <row r="1246" spans="1:15" x14ac:dyDescent="0.25">
      <c r="A1246">
        <f>INDEX(tblCleanData[EmployeeNumber],1238)</f>
        <v>1734</v>
      </c>
      <c r="B1246" t="str">
        <f>IF(INDEX(tblCleanData[Age],1238)&lt;30,"Under 30",IF(INDEX(tblCleanData[Age],1238)&lt;40,"30-39",IF(INDEX(tblCleanData[Age],1238)&lt;50,"40-49","50+")))</f>
        <v>30-39</v>
      </c>
      <c r="C1246" t="str">
        <f>IF(INDEX(tblCleanData[MonthlyIncome],1238)&lt;=$B$3,"Low Income",IF(INDEX(tblCleanData[MonthlyIncome],1238)&lt;=$B$4,"Medium Income","High Income"))</f>
        <v>High Income</v>
      </c>
      <c r="D1246">
        <f>IF(INDEX(tblCleanData[Attrition],1238)="Yes",1,0)</f>
        <v>1</v>
      </c>
      <c r="E1246">
        <f>IF(INDEX(tblCleanData[OverTime],1238)="Yes",1,0)</f>
        <v>0</v>
      </c>
      <c r="F1246" t="str">
        <f>CHOOSE(INDEX(tblCleanData[Education],1238),"Below College","College","Bachelor","Master","Doctor")</f>
        <v>College</v>
      </c>
      <c r="G1246" t="str">
        <f>IF(INDEX(tblCleanData[YearsAtCompany],1238)&lt;=2,"0-2 Years",IF(INDEX(tblCleanData[YearsAtCompany],1238)&lt;=5,"3-5 Years",IF(INDEX(tblCleanData[YearsAtCompany],1238)&lt;=10,"6-10 Years","10+ Years")))</f>
        <v>0-2 Years</v>
      </c>
      <c r="H1246" t="str">
        <f>IF(INDEX(tblCleanData[WorkLifeBalance],1238)&lt;=2,"Elevated","Normal")</f>
        <v>Normal</v>
      </c>
      <c r="I1246">
        <f>IF(INDEX(tblCleanData[Age],1238)&lt;30,30,IF(INDEX(tblCleanData[Age],1238)&lt;40,20,IF(INDEX(tblCleanData[Age],1238)&lt;50,10,15)))</f>
        <v>20</v>
      </c>
      <c r="J1246">
        <f>IF(INDEX(tblCleanData[MonthlyIncome],1238)&lt;=$B$3,25,IF(INDEX(tblCleanData[MonthlyIncome],1238)&lt;=$B$4,12,5))</f>
        <v>5</v>
      </c>
      <c r="K1246">
        <f>IF(INDEX(tblCleanData[OverTime],1238)="Yes",25,0)</f>
        <v>0</v>
      </c>
      <c r="L1246">
        <f>(5-INDEX(tblCleanData[JobSatisfaction],1238))*6.25</f>
        <v>18.75</v>
      </c>
      <c r="M1246">
        <f>IF(INDEX(tblCleanData[YearsAtCompany],1238)&lt;=2,25,IF(INDEX(tblCleanData[YearsAtCompany],1238)&lt;=5,15,IF(INDEX(tblCleanData[YearsAtCompany],1238)&lt;=10,8,3)))</f>
        <v>25</v>
      </c>
      <c r="N1246">
        <f t="shared" si="38"/>
        <v>69</v>
      </c>
      <c r="O1246" t="str">
        <f t="shared" si="39"/>
        <v>High Risk</v>
      </c>
    </row>
    <row r="1247" spans="1:15" x14ac:dyDescent="0.25">
      <c r="A1247">
        <f>INDEX(tblCleanData[EmployeeNumber],1239)</f>
        <v>1735</v>
      </c>
      <c r="B1247" t="str">
        <f>IF(INDEX(tblCleanData[Age],1239)&lt;30,"Under 30",IF(INDEX(tblCleanData[Age],1239)&lt;40,"30-39",IF(INDEX(tblCleanData[Age],1239)&lt;50,"40-49","50+")))</f>
        <v>Under 30</v>
      </c>
      <c r="C1247" t="str">
        <f>IF(INDEX(tblCleanData[MonthlyIncome],1239)&lt;=$B$3,"Low Income",IF(INDEX(tblCleanData[MonthlyIncome],1239)&lt;=$B$4,"Medium Income","High Income"))</f>
        <v>High Income</v>
      </c>
      <c r="D1247">
        <f>IF(INDEX(tblCleanData[Attrition],1239)="Yes",1,0)</f>
        <v>0</v>
      </c>
      <c r="E1247">
        <f>IF(INDEX(tblCleanData[OverTime],1239)="Yes",1,0)</f>
        <v>0</v>
      </c>
      <c r="F1247" t="str">
        <f>CHOOSE(INDEX(tblCleanData[Education],1239),"Below College","College","Bachelor","Master","Doctor")</f>
        <v>Below College</v>
      </c>
      <c r="G1247" t="str">
        <f>IF(INDEX(tblCleanData[YearsAtCompany],1239)&lt;=2,"0-2 Years",IF(INDEX(tblCleanData[YearsAtCompany],1239)&lt;=5,"3-5 Years",IF(INDEX(tblCleanData[YearsAtCompany],1239)&lt;=10,"6-10 Years","10+ Years")))</f>
        <v>3-5 Years</v>
      </c>
      <c r="H1247" t="str">
        <f>IF(INDEX(tblCleanData[WorkLifeBalance],1239)&lt;=2,"Elevated","Normal")</f>
        <v>Elevated</v>
      </c>
      <c r="I1247">
        <f>IF(INDEX(tblCleanData[Age],1239)&lt;30,30,IF(INDEX(tblCleanData[Age],1239)&lt;40,20,IF(INDEX(tblCleanData[Age],1239)&lt;50,10,15)))</f>
        <v>30</v>
      </c>
      <c r="J1247">
        <f>IF(INDEX(tblCleanData[MonthlyIncome],1239)&lt;=$B$3,25,IF(INDEX(tblCleanData[MonthlyIncome],1239)&lt;=$B$4,12,5))</f>
        <v>5</v>
      </c>
      <c r="K1247">
        <f>IF(INDEX(tblCleanData[OverTime],1239)="Yes",25,0)</f>
        <v>0</v>
      </c>
      <c r="L1247">
        <f>(5-INDEX(tblCleanData[JobSatisfaction],1239))*6.25</f>
        <v>18.75</v>
      </c>
      <c r="M1247">
        <f>IF(INDEX(tblCleanData[YearsAtCompany],1239)&lt;=2,25,IF(INDEX(tblCleanData[YearsAtCompany],1239)&lt;=5,15,IF(INDEX(tblCleanData[YearsAtCompany],1239)&lt;=10,8,3)))</f>
        <v>15</v>
      </c>
      <c r="N1247">
        <f t="shared" si="38"/>
        <v>69</v>
      </c>
      <c r="O1247" t="str">
        <f t="shared" si="39"/>
        <v>High Risk</v>
      </c>
    </row>
    <row r="1248" spans="1:15" x14ac:dyDescent="0.25">
      <c r="A1248">
        <f>INDEX(tblCleanData[EmployeeNumber],1240)</f>
        <v>1736</v>
      </c>
      <c r="B1248" t="str">
        <f>IF(INDEX(tblCleanData[Age],1240)&lt;30,"Under 30",IF(INDEX(tblCleanData[Age],1240)&lt;40,"30-39",IF(INDEX(tblCleanData[Age],1240)&lt;50,"40-49","50+")))</f>
        <v>30-39</v>
      </c>
      <c r="C1248" t="str">
        <f>IF(INDEX(tblCleanData[MonthlyIncome],1240)&lt;=$B$3,"Low Income",IF(INDEX(tblCleanData[MonthlyIncome],1240)&lt;=$B$4,"Medium Income","High Income"))</f>
        <v>High Income</v>
      </c>
      <c r="D1248">
        <f>IF(INDEX(tblCleanData[Attrition],1240)="Yes",1,0)</f>
        <v>0</v>
      </c>
      <c r="E1248">
        <f>IF(INDEX(tblCleanData[OverTime],1240)="Yes",1,0)</f>
        <v>0</v>
      </c>
      <c r="F1248" t="str">
        <f>CHOOSE(INDEX(tblCleanData[Education],1240),"Below College","College","Bachelor","Master","Doctor")</f>
        <v>Below College</v>
      </c>
      <c r="G1248" t="str">
        <f>IF(INDEX(tblCleanData[YearsAtCompany],1240)&lt;=2,"0-2 Years",IF(INDEX(tblCleanData[YearsAtCompany],1240)&lt;=5,"3-5 Years",IF(INDEX(tblCleanData[YearsAtCompany],1240)&lt;=10,"6-10 Years","10+ Years")))</f>
        <v>3-5 Years</v>
      </c>
      <c r="H1248" t="str">
        <f>IF(INDEX(tblCleanData[WorkLifeBalance],1240)&lt;=2,"Elevated","Normal")</f>
        <v>Elevated</v>
      </c>
      <c r="I1248">
        <f>IF(INDEX(tblCleanData[Age],1240)&lt;30,30,IF(INDEX(tblCleanData[Age],1240)&lt;40,20,IF(INDEX(tblCleanData[Age],1240)&lt;50,10,15)))</f>
        <v>20</v>
      </c>
      <c r="J1248">
        <f>IF(INDEX(tblCleanData[MonthlyIncome],1240)&lt;=$B$3,25,IF(INDEX(tblCleanData[MonthlyIncome],1240)&lt;=$B$4,12,5))</f>
        <v>5</v>
      </c>
      <c r="K1248">
        <f>IF(INDEX(tblCleanData[OverTime],1240)="Yes",25,0)</f>
        <v>0</v>
      </c>
      <c r="L1248">
        <f>(5-INDEX(tblCleanData[JobSatisfaction],1240))*6.25</f>
        <v>6.25</v>
      </c>
      <c r="M1248">
        <f>IF(INDEX(tblCleanData[YearsAtCompany],1240)&lt;=2,25,IF(INDEX(tblCleanData[YearsAtCompany],1240)&lt;=5,15,IF(INDEX(tblCleanData[YearsAtCompany],1240)&lt;=10,8,3)))</f>
        <v>15</v>
      </c>
      <c r="N1248">
        <f t="shared" si="38"/>
        <v>46</v>
      </c>
      <c r="O1248" t="str">
        <f t="shared" si="39"/>
        <v>Medium Risk</v>
      </c>
    </row>
    <row r="1249" spans="1:15" x14ac:dyDescent="0.25">
      <c r="A1249">
        <f>INDEX(tblCleanData[EmployeeNumber],1241)</f>
        <v>1737</v>
      </c>
      <c r="B1249" t="str">
        <f>IF(INDEX(tblCleanData[Age],1241)&lt;30,"Under 30",IF(INDEX(tblCleanData[Age],1241)&lt;40,"30-39",IF(INDEX(tblCleanData[Age],1241)&lt;50,"40-49","50+")))</f>
        <v>30-39</v>
      </c>
      <c r="C1249" t="str">
        <f>IF(INDEX(tblCleanData[MonthlyIncome],1241)&lt;=$B$3,"Low Income",IF(INDEX(tblCleanData[MonthlyIncome],1241)&lt;=$B$4,"Medium Income","High Income"))</f>
        <v>High Income</v>
      </c>
      <c r="D1249">
        <f>IF(INDEX(tblCleanData[Attrition],1241)="Yes",1,0)</f>
        <v>0</v>
      </c>
      <c r="E1249">
        <f>IF(INDEX(tblCleanData[OverTime],1241)="Yes",1,0)</f>
        <v>1</v>
      </c>
      <c r="F1249" t="str">
        <f>CHOOSE(INDEX(tblCleanData[Education],1241),"Below College","College","Bachelor","Master","Doctor")</f>
        <v>Bachelor</v>
      </c>
      <c r="G1249" t="str">
        <f>IF(INDEX(tblCleanData[YearsAtCompany],1241)&lt;=2,"0-2 Years",IF(INDEX(tblCleanData[YearsAtCompany],1241)&lt;=5,"3-5 Years",IF(INDEX(tblCleanData[YearsAtCompany],1241)&lt;=10,"6-10 Years","10+ Years")))</f>
        <v>6-10 Years</v>
      </c>
      <c r="H1249" t="str">
        <f>IF(INDEX(tblCleanData[WorkLifeBalance],1241)&lt;=2,"Elevated","Normal")</f>
        <v>Normal</v>
      </c>
      <c r="I1249">
        <f>IF(INDEX(tblCleanData[Age],1241)&lt;30,30,IF(INDEX(tblCleanData[Age],1241)&lt;40,20,IF(INDEX(tblCleanData[Age],1241)&lt;50,10,15)))</f>
        <v>20</v>
      </c>
      <c r="J1249">
        <f>IF(INDEX(tblCleanData[MonthlyIncome],1241)&lt;=$B$3,25,IF(INDEX(tblCleanData[MonthlyIncome],1241)&lt;=$B$4,12,5))</f>
        <v>5</v>
      </c>
      <c r="K1249">
        <f>IF(INDEX(tblCleanData[OverTime],1241)="Yes",25,0)</f>
        <v>25</v>
      </c>
      <c r="L1249">
        <f>(5-INDEX(tblCleanData[JobSatisfaction],1241))*6.25</f>
        <v>6.25</v>
      </c>
      <c r="M1249">
        <f>IF(INDEX(tblCleanData[YearsAtCompany],1241)&lt;=2,25,IF(INDEX(tblCleanData[YearsAtCompany],1241)&lt;=5,15,IF(INDEX(tblCleanData[YearsAtCompany],1241)&lt;=10,8,3)))</f>
        <v>8</v>
      </c>
      <c r="N1249">
        <f t="shared" si="38"/>
        <v>64</v>
      </c>
      <c r="O1249" t="str">
        <f t="shared" si="39"/>
        <v>High Risk</v>
      </c>
    </row>
    <row r="1250" spans="1:15" x14ac:dyDescent="0.25">
      <c r="A1250">
        <f>INDEX(tblCleanData[EmployeeNumber],1242)</f>
        <v>1739</v>
      </c>
      <c r="B1250" t="str">
        <f>IF(INDEX(tblCleanData[Age],1242)&lt;30,"Under 30",IF(INDEX(tblCleanData[Age],1242)&lt;40,"30-39",IF(INDEX(tblCleanData[Age],1242)&lt;50,"40-49","50+")))</f>
        <v>30-39</v>
      </c>
      <c r="C1250" t="str">
        <f>IF(INDEX(tblCleanData[MonthlyIncome],1242)&lt;=$B$3,"Low Income",IF(INDEX(tblCleanData[MonthlyIncome],1242)&lt;=$B$4,"Medium Income","High Income"))</f>
        <v>High Income</v>
      </c>
      <c r="D1250">
        <f>IF(INDEX(tblCleanData[Attrition],1242)="Yes",1,0)</f>
        <v>0</v>
      </c>
      <c r="E1250">
        <f>IF(INDEX(tblCleanData[OverTime],1242)="Yes",1,0)</f>
        <v>0</v>
      </c>
      <c r="F1250" t="str">
        <f>CHOOSE(INDEX(tblCleanData[Education],1242),"Below College","College","Bachelor","Master","Doctor")</f>
        <v>Bachelor</v>
      </c>
      <c r="G1250" t="str">
        <f>IF(INDEX(tblCleanData[YearsAtCompany],1242)&lt;=2,"0-2 Years",IF(INDEX(tblCleanData[YearsAtCompany],1242)&lt;=5,"3-5 Years",IF(INDEX(tblCleanData[YearsAtCompany],1242)&lt;=10,"6-10 Years","10+ Years")))</f>
        <v>3-5 Years</v>
      </c>
      <c r="H1250" t="str">
        <f>IF(INDEX(tblCleanData[WorkLifeBalance],1242)&lt;=2,"Elevated","Normal")</f>
        <v>Elevated</v>
      </c>
      <c r="I1250">
        <f>IF(INDEX(tblCleanData[Age],1242)&lt;30,30,IF(INDEX(tblCleanData[Age],1242)&lt;40,20,IF(INDEX(tblCleanData[Age],1242)&lt;50,10,15)))</f>
        <v>20</v>
      </c>
      <c r="J1250">
        <f>IF(INDEX(tblCleanData[MonthlyIncome],1242)&lt;=$B$3,25,IF(INDEX(tblCleanData[MonthlyIncome],1242)&lt;=$B$4,12,5))</f>
        <v>5</v>
      </c>
      <c r="K1250">
        <f>IF(INDEX(tblCleanData[OverTime],1242)="Yes",25,0)</f>
        <v>0</v>
      </c>
      <c r="L1250">
        <f>(5-INDEX(tblCleanData[JobSatisfaction],1242))*6.25</f>
        <v>12.5</v>
      </c>
      <c r="M1250">
        <f>IF(INDEX(tblCleanData[YearsAtCompany],1242)&lt;=2,25,IF(INDEX(tblCleanData[YearsAtCompany],1242)&lt;=5,15,IF(INDEX(tblCleanData[YearsAtCompany],1242)&lt;=10,8,3)))</f>
        <v>15</v>
      </c>
      <c r="N1250">
        <f t="shared" si="38"/>
        <v>53</v>
      </c>
      <c r="O1250" t="str">
        <f t="shared" si="39"/>
        <v>Medium Risk</v>
      </c>
    </row>
    <row r="1251" spans="1:15" x14ac:dyDescent="0.25">
      <c r="A1251">
        <f>INDEX(tblCleanData[EmployeeNumber],1243)</f>
        <v>1740</v>
      </c>
      <c r="B1251" t="str">
        <f>IF(INDEX(tblCleanData[Age],1243)&lt;30,"Under 30",IF(INDEX(tblCleanData[Age],1243)&lt;40,"30-39",IF(INDEX(tblCleanData[Age],1243)&lt;50,"40-49","50+")))</f>
        <v>40-49</v>
      </c>
      <c r="C1251" t="str">
        <f>IF(INDEX(tblCleanData[MonthlyIncome],1243)&lt;=$B$3,"Low Income",IF(INDEX(tblCleanData[MonthlyIncome],1243)&lt;=$B$4,"Medium Income","High Income"))</f>
        <v>High Income</v>
      </c>
      <c r="D1251">
        <f>IF(INDEX(tblCleanData[Attrition],1243)="Yes",1,0)</f>
        <v>0</v>
      </c>
      <c r="E1251">
        <f>IF(INDEX(tblCleanData[OverTime],1243)="Yes",1,0)</f>
        <v>0</v>
      </c>
      <c r="F1251" t="str">
        <f>CHOOSE(INDEX(tblCleanData[Education],1243),"Below College","College","Bachelor","Master","Doctor")</f>
        <v>Master</v>
      </c>
      <c r="G1251" t="str">
        <f>IF(INDEX(tblCleanData[YearsAtCompany],1243)&lt;=2,"0-2 Years",IF(INDEX(tblCleanData[YearsAtCompany],1243)&lt;=5,"3-5 Years",IF(INDEX(tblCleanData[YearsAtCompany],1243)&lt;=10,"6-10 Years","10+ Years")))</f>
        <v>10+ Years</v>
      </c>
      <c r="H1251" t="str">
        <f>IF(INDEX(tblCleanData[WorkLifeBalance],1243)&lt;=2,"Elevated","Normal")</f>
        <v>Elevated</v>
      </c>
      <c r="I1251">
        <f>IF(INDEX(tblCleanData[Age],1243)&lt;30,30,IF(INDEX(tblCleanData[Age],1243)&lt;40,20,IF(INDEX(tblCleanData[Age],1243)&lt;50,10,15)))</f>
        <v>10</v>
      </c>
      <c r="J1251">
        <f>IF(INDEX(tblCleanData[MonthlyIncome],1243)&lt;=$B$3,25,IF(INDEX(tblCleanData[MonthlyIncome],1243)&lt;=$B$4,12,5))</f>
        <v>5</v>
      </c>
      <c r="K1251">
        <f>IF(INDEX(tblCleanData[OverTime],1243)="Yes",25,0)</f>
        <v>0</v>
      </c>
      <c r="L1251">
        <f>(5-INDEX(tblCleanData[JobSatisfaction],1243))*6.25</f>
        <v>18.75</v>
      </c>
      <c r="M1251">
        <f>IF(INDEX(tblCleanData[YearsAtCompany],1243)&lt;=2,25,IF(INDEX(tblCleanData[YearsAtCompany],1243)&lt;=5,15,IF(INDEX(tblCleanData[YearsAtCompany],1243)&lt;=10,8,3)))</f>
        <v>3</v>
      </c>
      <c r="N1251">
        <f t="shared" si="38"/>
        <v>37</v>
      </c>
      <c r="O1251" t="str">
        <f t="shared" si="39"/>
        <v>Medium Risk</v>
      </c>
    </row>
    <row r="1252" spans="1:15" x14ac:dyDescent="0.25">
      <c r="A1252">
        <f>INDEX(tblCleanData[EmployeeNumber],1244)</f>
        <v>1744</v>
      </c>
      <c r="B1252" t="str">
        <f>IF(INDEX(tblCleanData[Age],1244)&lt;30,"Under 30",IF(INDEX(tblCleanData[Age],1244)&lt;40,"30-39",IF(INDEX(tblCleanData[Age],1244)&lt;50,"40-49","50+")))</f>
        <v>40-49</v>
      </c>
      <c r="C1252" t="str">
        <f>IF(INDEX(tblCleanData[MonthlyIncome],1244)&lt;=$B$3,"Low Income",IF(INDEX(tblCleanData[MonthlyIncome],1244)&lt;=$B$4,"Medium Income","High Income"))</f>
        <v>High Income</v>
      </c>
      <c r="D1252">
        <f>IF(INDEX(tblCleanData[Attrition],1244)="Yes",1,0)</f>
        <v>0</v>
      </c>
      <c r="E1252">
        <f>IF(INDEX(tblCleanData[OverTime],1244)="Yes",1,0)</f>
        <v>0</v>
      </c>
      <c r="F1252" t="str">
        <f>CHOOSE(INDEX(tblCleanData[Education],1244),"Below College","College","Bachelor","Master","Doctor")</f>
        <v>Bachelor</v>
      </c>
      <c r="G1252" t="str">
        <f>IF(INDEX(tblCleanData[YearsAtCompany],1244)&lt;=2,"0-2 Years",IF(INDEX(tblCleanData[YearsAtCompany],1244)&lt;=5,"3-5 Years",IF(INDEX(tblCleanData[YearsAtCompany],1244)&lt;=10,"6-10 Years","10+ Years")))</f>
        <v>3-5 Years</v>
      </c>
      <c r="H1252" t="str">
        <f>IF(INDEX(tblCleanData[WorkLifeBalance],1244)&lt;=2,"Elevated","Normal")</f>
        <v>Normal</v>
      </c>
      <c r="I1252">
        <f>IF(INDEX(tblCleanData[Age],1244)&lt;30,30,IF(INDEX(tblCleanData[Age],1244)&lt;40,20,IF(INDEX(tblCleanData[Age],1244)&lt;50,10,15)))</f>
        <v>10</v>
      </c>
      <c r="J1252">
        <f>IF(INDEX(tblCleanData[MonthlyIncome],1244)&lt;=$B$3,25,IF(INDEX(tblCleanData[MonthlyIncome],1244)&lt;=$B$4,12,5))</f>
        <v>5</v>
      </c>
      <c r="K1252">
        <f>IF(INDEX(tblCleanData[OverTime],1244)="Yes",25,0)</f>
        <v>0</v>
      </c>
      <c r="L1252">
        <f>(5-INDEX(tblCleanData[JobSatisfaction],1244))*6.25</f>
        <v>12.5</v>
      </c>
      <c r="M1252">
        <f>IF(INDEX(tblCleanData[YearsAtCompany],1244)&lt;=2,25,IF(INDEX(tblCleanData[YearsAtCompany],1244)&lt;=5,15,IF(INDEX(tblCleanData[YearsAtCompany],1244)&lt;=10,8,3)))</f>
        <v>15</v>
      </c>
      <c r="N1252">
        <f t="shared" si="38"/>
        <v>43</v>
      </c>
      <c r="O1252" t="str">
        <f t="shared" si="39"/>
        <v>Medium Risk</v>
      </c>
    </row>
    <row r="1253" spans="1:15" x14ac:dyDescent="0.25">
      <c r="A1253">
        <f>INDEX(tblCleanData[EmployeeNumber],1245)</f>
        <v>1745</v>
      </c>
      <c r="B1253" t="str">
        <f>IF(INDEX(tblCleanData[Age],1245)&lt;30,"Under 30",IF(INDEX(tblCleanData[Age],1245)&lt;40,"30-39",IF(INDEX(tblCleanData[Age],1245)&lt;50,"40-49","50+")))</f>
        <v>30-39</v>
      </c>
      <c r="C1253" t="str">
        <f>IF(INDEX(tblCleanData[MonthlyIncome],1245)&lt;=$B$3,"Low Income",IF(INDEX(tblCleanData[MonthlyIncome],1245)&lt;=$B$4,"Medium Income","High Income"))</f>
        <v>High Income</v>
      </c>
      <c r="D1253">
        <f>IF(INDEX(tblCleanData[Attrition],1245)="Yes",1,0)</f>
        <v>0</v>
      </c>
      <c r="E1253">
        <f>IF(INDEX(tblCleanData[OverTime],1245)="Yes",1,0)</f>
        <v>0</v>
      </c>
      <c r="F1253" t="str">
        <f>CHOOSE(INDEX(tblCleanData[Education],1245),"Below College","College","Bachelor","Master","Doctor")</f>
        <v>Master</v>
      </c>
      <c r="G1253" t="str">
        <f>IF(INDEX(tblCleanData[YearsAtCompany],1245)&lt;=2,"0-2 Years",IF(INDEX(tblCleanData[YearsAtCompany],1245)&lt;=5,"3-5 Years",IF(INDEX(tblCleanData[YearsAtCompany],1245)&lt;=10,"6-10 Years","10+ Years")))</f>
        <v>6-10 Years</v>
      </c>
      <c r="H1253" t="str">
        <f>IF(INDEX(tblCleanData[WorkLifeBalance],1245)&lt;=2,"Elevated","Normal")</f>
        <v>Normal</v>
      </c>
      <c r="I1253">
        <f>IF(INDEX(tblCleanData[Age],1245)&lt;30,30,IF(INDEX(tblCleanData[Age],1245)&lt;40,20,IF(INDEX(tblCleanData[Age],1245)&lt;50,10,15)))</f>
        <v>20</v>
      </c>
      <c r="J1253">
        <f>IF(INDEX(tblCleanData[MonthlyIncome],1245)&lt;=$B$3,25,IF(INDEX(tblCleanData[MonthlyIncome],1245)&lt;=$B$4,12,5))</f>
        <v>5</v>
      </c>
      <c r="K1253">
        <f>IF(INDEX(tblCleanData[OverTime],1245)="Yes",25,0)</f>
        <v>0</v>
      </c>
      <c r="L1253">
        <f>(5-INDEX(tblCleanData[JobSatisfaction],1245))*6.25</f>
        <v>25</v>
      </c>
      <c r="M1253">
        <f>IF(INDEX(tblCleanData[YearsAtCompany],1245)&lt;=2,25,IF(INDEX(tblCleanData[YearsAtCompany],1245)&lt;=5,15,IF(INDEX(tblCleanData[YearsAtCompany],1245)&lt;=10,8,3)))</f>
        <v>8</v>
      </c>
      <c r="N1253">
        <f t="shared" si="38"/>
        <v>58</v>
      </c>
      <c r="O1253" t="str">
        <f t="shared" si="39"/>
        <v>High Risk</v>
      </c>
    </row>
    <row r="1254" spans="1:15" x14ac:dyDescent="0.25">
      <c r="A1254">
        <f>INDEX(tblCleanData[EmployeeNumber],1246)</f>
        <v>1746</v>
      </c>
      <c r="B1254" t="str">
        <f>IF(INDEX(tblCleanData[Age],1246)&lt;30,"Under 30",IF(INDEX(tblCleanData[Age],1246)&lt;40,"30-39",IF(INDEX(tblCleanData[Age],1246)&lt;50,"40-49","50+")))</f>
        <v>Under 30</v>
      </c>
      <c r="C1254" t="str">
        <f>IF(INDEX(tblCleanData[MonthlyIncome],1246)&lt;=$B$3,"Low Income",IF(INDEX(tblCleanData[MonthlyIncome],1246)&lt;=$B$4,"Medium Income","High Income"))</f>
        <v>High Income</v>
      </c>
      <c r="D1254">
        <f>IF(INDEX(tblCleanData[Attrition],1246)="Yes",1,0)</f>
        <v>0</v>
      </c>
      <c r="E1254">
        <f>IF(INDEX(tblCleanData[OverTime],1246)="Yes",1,0)</f>
        <v>0</v>
      </c>
      <c r="F1254" t="str">
        <f>CHOOSE(INDEX(tblCleanData[Education],1246),"Below College","College","Bachelor","Master","Doctor")</f>
        <v>Bachelor</v>
      </c>
      <c r="G1254" t="str">
        <f>IF(INDEX(tblCleanData[YearsAtCompany],1246)&lt;=2,"0-2 Years",IF(INDEX(tblCleanData[YearsAtCompany],1246)&lt;=5,"3-5 Years",IF(INDEX(tblCleanData[YearsAtCompany],1246)&lt;=10,"6-10 Years","10+ Years")))</f>
        <v>0-2 Years</v>
      </c>
      <c r="H1254" t="str">
        <f>IF(INDEX(tblCleanData[WorkLifeBalance],1246)&lt;=2,"Elevated","Normal")</f>
        <v>Normal</v>
      </c>
      <c r="I1254">
        <f>IF(INDEX(tblCleanData[Age],1246)&lt;30,30,IF(INDEX(tblCleanData[Age],1246)&lt;40,20,IF(INDEX(tblCleanData[Age],1246)&lt;50,10,15)))</f>
        <v>30</v>
      </c>
      <c r="J1254">
        <f>IF(INDEX(tblCleanData[MonthlyIncome],1246)&lt;=$B$3,25,IF(INDEX(tblCleanData[MonthlyIncome],1246)&lt;=$B$4,12,5))</f>
        <v>5</v>
      </c>
      <c r="K1254">
        <f>IF(INDEX(tblCleanData[OverTime],1246)="Yes",25,0)</f>
        <v>0</v>
      </c>
      <c r="L1254">
        <f>(5-INDEX(tblCleanData[JobSatisfaction],1246))*6.25</f>
        <v>6.25</v>
      </c>
      <c r="M1254">
        <f>IF(INDEX(tblCleanData[YearsAtCompany],1246)&lt;=2,25,IF(INDEX(tblCleanData[YearsAtCompany],1246)&lt;=5,15,IF(INDEX(tblCleanData[YearsAtCompany],1246)&lt;=10,8,3)))</f>
        <v>25</v>
      </c>
      <c r="N1254">
        <f t="shared" si="38"/>
        <v>66</v>
      </c>
      <c r="O1254" t="str">
        <f t="shared" si="39"/>
        <v>High Risk</v>
      </c>
    </row>
    <row r="1255" spans="1:15" x14ac:dyDescent="0.25">
      <c r="A1255">
        <f>INDEX(tblCleanData[EmployeeNumber],1247)</f>
        <v>1747</v>
      </c>
      <c r="B1255" t="str">
        <f>IF(INDEX(tblCleanData[Age],1247)&lt;30,"Under 30",IF(INDEX(tblCleanData[Age],1247)&lt;40,"30-39",IF(INDEX(tblCleanData[Age],1247)&lt;50,"40-49","50+")))</f>
        <v>30-39</v>
      </c>
      <c r="C1255" t="str">
        <f>IF(INDEX(tblCleanData[MonthlyIncome],1247)&lt;=$B$3,"Low Income",IF(INDEX(tblCleanData[MonthlyIncome],1247)&lt;=$B$4,"Medium Income","High Income"))</f>
        <v>High Income</v>
      </c>
      <c r="D1255">
        <f>IF(INDEX(tblCleanData[Attrition],1247)="Yes",1,0)</f>
        <v>1</v>
      </c>
      <c r="E1255">
        <f>IF(INDEX(tblCleanData[OverTime],1247)="Yes",1,0)</f>
        <v>0</v>
      </c>
      <c r="F1255" t="str">
        <f>CHOOSE(INDEX(tblCleanData[Education],1247),"Below College","College","Bachelor","Master","Doctor")</f>
        <v>Bachelor</v>
      </c>
      <c r="G1255" t="str">
        <f>IF(INDEX(tblCleanData[YearsAtCompany],1247)&lt;=2,"0-2 Years",IF(INDEX(tblCleanData[YearsAtCompany],1247)&lt;=5,"3-5 Years",IF(INDEX(tblCleanData[YearsAtCompany],1247)&lt;=10,"6-10 Years","10+ Years")))</f>
        <v>3-5 Years</v>
      </c>
      <c r="H1255" t="str">
        <f>IF(INDEX(tblCleanData[WorkLifeBalance],1247)&lt;=2,"Elevated","Normal")</f>
        <v>Elevated</v>
      </c>
      <c r="I1255">
        <f>IF(INDEX(tblCleanData[Age],1247)&lt;30,30,IF(INDEX(tblCleanData[Age],1247)&lt;40,20,IF(INDEX(tblCleanData[Age],1247)&lt;50,10,15)))</f>
        <v>20</v>
      </c>
      <c r="J1255">
        <f>IF(INDEX(tblCleanData[MonthlyIncome],1247)&lt;=$B$3,25,IF(INDEX(tblCleanData[MonthlyIncome],1247)&lt;=$B$4,12,5))</f>
        <v>5</v>
      </c>
      <c r="K1255">
        <f>IF(INDEX(tblCleanData[OverTime],1247)="Yes",25,0)</f>
        <v>0</v>
      </c>
      <c r="L1255">
        <f>(5-INDEX(tblCleanData[JobSatisfaction],1247))*6.25</f>
        <v>6.25</v>
      </c>
      <c r="M1255">
        <f>IF(INDEX(tblCleanData[YearsAtCompany],1247)&lt;=2,25,IF(INDEX(tblCleanData[YearsAtCompany],1247)&lt;=5,15,IF(INDEX(tblCleanData[YearsAtCompany],1247)&lt;=10,8,3)))</f>
        <v>15</v>
      </c>
      <c r="N1255">
        <f t="shared" si="38"/>
        <v>46</v>
      </c>
      <c r="O1255" t="str">
        <f t="shared" si="39"/>
        <v>Medium Risk</v>
      </c>
    </row>
    <row r="1256" spans="1:15" x14ac:dyDescent="0.25">
      <c r="A1256">
        <f>INDEX(tblCleanData[EmployeeNumber],1248)</f>
        <v>1749</v>
      </c>
      <c r="B1256" t="str">
        <f>IF(INDEX(tblCleanData[Age],1248)&lt;30,"Under 30",IF(INDEX(tblCleanData[Age],1248)&lt;40,"30-39",IF(INDEX(tblCleanData[Age],1248)&lt;50,"40-49","50+")))</f>
        <v>30-39</v>
      </c>
      <c r="C1256" t="str">
        <f>IF(INDEX(tblCleanData[MonthlyIncome],1248)&lt;=$B$3,"Low Income",IF(INDEX(tblCleanData[MonthlyIncome],1248)&lt;=$B$4,"Medium Income","High Income"))</f>
        <v>High Income</v>
      </c>
      <c r="D1256">
        <f>IF(INDEX(tblCleanData[Attrition],1248)="Yes",1,0)</f>
        <v>0</v>
      </c>
      <c r="E1256">
        <f>IF(INDEX(tblCleanData[OverTime],1248)="Yes",1,0)</f>
        <v>0</v>
      </c>
      <c r="F1256" t="str">
        <f>CHOOSE(INDEX(tblCleanData[Education],1248),"Below College","College","Bachelor","Master","Doctor")</f>
        <v>Bachelor</v>
      </c>
      <c r="G1256" t="str">
        <f>IF(INDEX(tblCleanData[YearsAtCompany],1248)&lt;=2,"0-2 Years",IF(INDEX(tblCleanData[YearsAtCompany],1248)&lt;=5,"3-5 Years",IF(INDEX(tblCleanData[YearsAtCompany],1248)&lt;=10,"6-10 Years","10+ Years")))</f>
        <v>3-5 Years</v>
      </c>
      <c r="H1256" t="str">
        <f>IF(INDEX(tblCleanData[WorkLifeBalance],1248)&lt;=2,"Elevated","Normal")</f>
        <v>Normal</v>
      </c>
      <c r="I1256">
        <f>IF(INDEX(tblCleanData[Age],1248)&lt;30,30,IF(INDEX(tblCleanData[Age],1248)&lt;40,20,IF(INDEX(tblCleanData[Age],1248)&lt;50,10,15)))</f>
        <v>20</v>
      </c>
      <c r="J1256">
        <f>IF(INDEX(tblCleanData[MonthlyIncome],1248)&lt;=$B$3,25,IF(INDEX(tblCleanData[MonthlyIncome],1248)&lt;=$B$4,12,5))</f>
        <v>5</v>
      </c>
      <c r="K1256">
        <f>IF(INDEX(tblCleanData[OverTime],1248)="Yes",25,0)</f>
        <v>0</v>
      </c>
      <c r="L1256">
        <f>(5-INDEX(tblCleanData[JobSatisfaction],1248))*6.25</f>
        <v>12.5</v>
      </c>
      <c r="M1256">
        <f>IF(INDEX(tblCleanData[YearsAtCompany],1248)&lt;=2,25,IF(INDEX(tblCleanData[YearsAtCompany],1248)&lt;=5,15,IF(INDEX(tblCleanData[YearsAtCompany],1248)&lt;=10,8,3)))</f>
        <v>15</v>
      </c>
      <c r="N1256">
        <f t="shared" si="38"/>
        <v>53</v>
      </c>
      <c r="O1256" t="str">
        <f t="shared" si="39"/>
        <v>Medium Risk</v>
      </c>
    </row>
    <row r="1257" spans="1:15" x14ac:dyDescent="0.25">
      <c r="A1257">
        <f>INDEX(tblCleanData[EmployeeNumber],1249)</f>
        <v>1751</v>
      </c>
      <c r="B1257" t="str">
        <f>IF(INDEX(tblCleanData[Age],1249)&lt;30,"Under 30",IF(INDEX(tblCleanData[Age],1249)&lt;40,"30-39",IF(INDEX(tblCleanData[Age],1249)&lt;50,"40-49","50+")))</f>
        <v>Under 30</v>
      </c>
      <c r="C1257" t="str">
        <f>IF(INDEX(tblCleanData[MonthlyIncome],1249)&lt;=$B$3,"Low Income",IF(INDEX(tblCleanData[MonthlyIncome],1249)&lt;=$B$4,"Medium Income","High Income"))</f>
        <v>High Income</v>
      </c>
      <c r="D1257">
        <f>IF(INDEX(tblCleanData[Attrition],1249)="Yes",1,0)</f>
        <v>0</v>
      </c>
      <c r="E1257">
        <f>IF(INDEX(tblCleanData[OverTime],1249)="Yes",1,0)</f>
        <v>0</v>
      </c>
      <c r="F1257" t="str">
        <f>CHOOSE(INDEX(tblCleanData[Education],1249),"Below College","College","Bachelor","Master","Doctor")</f>
        <v>Bachelor</v>
      </c>
      <c r="G1257" t="str">
        <f>IF(INDEX(tblCleanData[YearsAtCompany],1249)&lt;=2,"0-2 Years",IF(INDEX(tblCleanData[YearsAtCompany],1249)&lt;=5,"3-5 Years",IF(INDEX(tblCleanData[YearsAtCompany],1249)&lt;=10,"6-10 Years","10+ Years")))</f>
        <v>6-10 Years</v>
      </c>
      <c r="H1257" t="str">
        <f>IF(INDEX(tblCleanData[WorkLifeBalance],1249)&lt;=2,"Elevated","Normal")</f>
        <v>Elevated</v>
      </c>
      <c r="I1257">
        <f>IF(INDEX(tblCleanData[Age],1249)&lt;30,30,IF(INDEX(tblCleanData[Age],1249)&lt;40,20,IF(INDEX(tblCleanData[Age],1249)&lt;50,10,15)))</f>
        <v>30</v>
      </c>
      <c r="J1257">
        <f>IF(INDEX(tblCleanData[MonthlyIncome],1249)&lt;=$B$3,25,IF(INDEX(tblCleanData[MonthlyIncome],1249)&lt;=$B$4,12,5))</f>
        <v>5</v>
      </c>
      <c r="K1257">
        <f>IF(INDEX(tblCleanData[OverTime],1249)="Yes",25,0)</f>
        <v>0</v>
      </c>
      <c r="L1257">
        <f>(5-INDEX(tblCleanData[JobSatisfaction],1249))*6.25</f>
        <v>6.25</v>
      </c>
      <c r="M1257">
        <f>IF(INDEX(tblCleanData[YearsAtCompany],1249)&lt;=2,25,IF(INDEX(tblCleanData[YearsAtCompany],1249)&lt;=5,15,IF(INDEX(tblCleanData[YearsAtCompany],1249)&lt;=10,8,3)))</f>
        <v>8</v>
      </c>
      <c r="N1257">
        <f t="shared" si="38"/>
        <v>49</v>
      </c>
      <c r="O1257" t="str">
        <f t="shared" si="39"/>
        <v>Medium Risk</v>
      </c>
    </row>
    <row r="1258" spans="1:15" x14ac:dyDescent="0.25">
      <c r="A1258">
        <f>INDEX(tblCleanData[EmployeeNumber],1250)</f>
        <v>1752</v>
      </c>
      <c r="B1258" t="str">
        <f>IF(INDEX(tblCleanData[Age],1250)&lt;30,"Under 30",IF(INDEX(tblCleanData[Age],1250)&lt;40,"30-39",IF(INDEX(tblCleanData[Age],1250)&lt;50,"40-49","50+")))</f>
        <v>Under 30</v>
      </c>
      <c r="C1258" t="str">
        <f>IF(INDEX(tblCleanData[MonthlyIncome],1250)&lt;=$B$3,"Low Income",IF(INDEX(tblCleanData[MonthlyIncome],1250)&lt;=$B$4,"Medium Income","High Income"))</f>
        <v>High Income</v>
      </c>
      <c r="D1258">
        <f>IF(INDEX(tblCleanData[Attrition],1250)="Yes",1,0)</f>
        <v>1</v>
      </c>
      <c r="E1258">
        <f>IF(INDEX(tblCleanData[OverTime],1250)="Yes",1,0)</f>
        <v>0</v>
      </c>
      <c r="F1258" t="str">
        <f>CHOOSE(INDEX(tblCleanData[Education],1250),"Below College","College","Bachelor","Master","Doctor")</f>
        <v>Bachelor</v>
      </c>
      <c r="G1258" t="str">
        <f>IF(INDEX(tblCleanData[YearsAtCompany],1250)&lt;=2,"0-2 Years",IF(INDEX(tblCleanData[YearsAtCompany],1250)&lt;=5,"3-5 Years",IF(INDEX(tblCleanData[YearsAtCompany],1250)&lt;=10,"6-10 Years","10+ Years")))</f>
        <v>0-2 Years</v>
      </c>
      <c r="H1258" t="str">
        <f>IF(INDEX(tblCleanData[WorkLifeBalance],1250)&lt;=2,"Elevated","Normal")</f>
        <v>Normal</v>
      </c>
      <c r="I1258">
        <f>IF(INDEX(tblCleanData[Age],1250)&lt;30,30,IF(INDEX(tblCleanData[Age],1250)&lt;40,20,IF(INDEX(tblCleanData[Age],1250)&lt;50,10,15)))</f>
        <v>30</v>
      </c>
      <c r="J1258">
        <f>IF(INDEX(tblCleanData[MonthlyIncome],1250)&lt;=$B$3,25,IF(INDEX(tblCleanData[MonthlyIncome],1250)&lt;=$B$4,12,5))</f>
        <v>5</v>
      </c>
      <c r="K1258">
        <f>IF(INDEX(tblCleanData[OverTime],1250)="Yes",25,0)</f>
        <v>0</v>
      </c>
      <c r="L1258">
        <f>(5-INDEX(tblCleanData[JobSatisfaction],1250))*6.25</f>
        <v>18.75</v>
      </c>
      <c r="M1258">
        <f>IF(INDEX(tblCleanData[YearsAtCompany],1250)&lt;=2,25,IF(INDEX(tblCleanData[YearsAtCompany],1250)&lt;=5,15,IF(INDEX(tblCleanData[YearsAtCompany],1250)&lt;=10,8,3)))</f>
        <v>25</v>
      </c>
      <c r="N1258">
        <f t="shared" si="38"/>
        <v>79</v>
      </c>
      <c r="O1258" t="str">
        <f t="shared" si="39"/>
        <v>High Risk</v>
      </c>
    </row>
    <row r="1259" spans="1:15" x14ac:dyDescent="0.25">
      <c r="A1259">
        <f>INDEX(tblCleanData[EmployeeNumber],1251)</f>
        <v>1753</v>
      </c>
      <c r="B1259" t="str">
        <f>IF(INDEX(tblCleanData[Age],1251)&lt;30,"Under 30",IF(INDEX(tblCleanData[Age],1251)&lt;40,"30-39",IF(INDEX(tblCleanData[Age],1251)&lt;50,"40-49","50+")))</f>
        <v>Under 30</v>
      </c>
      <c r="C1259" t="str">
        <f>IF(INDEX(tblCleanData[MonthlyIncome],1251)&lt;=$B$3,"Low Income",IF(INDEX(tblCleanData[MonthlyIncome],1251)&lt;=$B$4,"Medium Income","High Income"))</f>
        <v>High Income</v>
      </c>
      <c r="D1259">
        <f>IF(INDEX(tblCleanData[Attrition],1251)="Yes",1,0)</f>
        <v>0</v>
      </c>
      <c r="E1259">
        <f>IF(INDEX(tblCleanData[OverTime],1251)="Yes",1,0)</f>
        <v>1</v>
      </c>
      <c r="F1259" t="str">
        <f>CHOOSE(INDEX(tblCleanData[Education],1251),"Below College","College","Bachelor","Master","Doctor")</f>
        <v>Bachelor</v>
      </c>
      <c r="G1259" t="str">
        <f>IF(INDEX(tblCleanData[YearsAtCompany],1251)&lt;=2,"0-2 Years",IF(INDEX(tblCleanData[YearsAtCompany],1251)&lt;=5,"3-5 Years",IF(INDEX(tblCleanData[YearsAtCompany],1251)&lt;=10,"6-10 Years","10+ Years")))</f>
        <v>3-5 Years</v>
      </c>
      <c r="H1259" t="str">
        <f>IF(INDEX(tblCleanData[WorkLifeBalance],1251)&lt;=2,"Elevated","Normal")</f>
        <v>Normal</v>
      </c>
      <c r="I1259">
        <f>IF(INDEX(tblCleanData[Age],1251)&lt;30,30,IF(INDEX(tblCleanData[Age],1251)&lt;40,20,IF(INDEX(tblCleanData[Age],1251)&lt;50,10,15)))</f>
        <v>30</v>
      </c>
      <c r="J1259">
        <f>IF(INDEX(tblCleanData[MonthlyIncome],1251)&lt;=$B$3,25,IF(INDEX(tblCleanData[MonthlyIncome],1251)&lt;=$B$4,12,5))</f>
        <v>5</v>
      </c>
      <c r="K1259">
        <f>IF(INDEX(tblCleanData[OverTime],1251)="Yes",25,0)</f>
        <v>25</v>
      </c>
      <c r="L1259">
        <f>(5-INDEX(tblCleanData[JobSatisfaction],1251))*6.25</f>
        <v>12.5</v>
      </c>
      <c r="M1259">
        <f>IF(INDEX(tblCleanData[YearsAtCompany],1251)&lt;=2,25,IF(INDEX(tblCleanData[YearsAtCompany],1251)&lt;=5,15,IF(INDEX(tblCleanData[YearsAtCompany],1251)&lt;=10,8,3)))</f>
        <v>15</v>
      </c>
      <c r="N1259">
        <f t="shared" si="38"/>
        <v>88</v>
      </c>
      <c r="O1259" t="str">
        <f t="shared" si="39"/>
        <v>High Risk</v>
      </c>
    </row>
    <row r="1260" spans="1:15" x14ac:dyDescent="0.25">
      <c r="A1260">
        <f>INDEX(tblCleanData[EmployeeNumber],1252)</f>
        <v>1754</v>
      </c>
      <c r="B1260" t="str">
        <f>IF(INDEX(tblCleanData[Age],1252)&lt;30,"Under 30",IF(INDEX(tblCleanData[Age],1252)&lt;40,"30-39",IF(INDEX(tblCleanData[Age],1252)&lt;50,"40-49","50+")))</f>
        <v>30-39</v>
      </c>
      <c r="C1260" t="str">
        <f>IF(INDEX(tblCleanData[MonthlyIncome],1252)&lt;=$B$3,"Low Income",IF(INDEX(tblCleanData[MonthlyIncome],1252)&lt;=$B$4,"Medium Income","High Income"))</f>
        <v>High Income</v>
      </c>
      <c r="D1260">
        <f>IF(INDEX(tblCleanData[Attrition],1252)="Yes",1,0)</f>
        <v>0</v>
      </c>
      <c r="E1260">
        <f>IF(INDEX(tblCleanData[OverTime],1252)="Yes",1,0)</f>
        <v>0</v>
      </c>
      <c r="F1260" t="str">
        <f>CHOOSE(INDEX(tblCleanData[Education],1252),"Below College","College","Bachelor","Master","Doctor")</f>
        <v>College</v>
      </c>
      <c r="G1260" t="str">
        <f>IF(INDEX(tblCleanData[YearsAtCompany],1252)&lt;=2,"0-2 Years",IF(INDEX(tblCleanData[YearsAtCompany],1252)&lt;=5,"3-5 Years",IF(INDEX(tblCleanData[YearsAtCompany],1252)&lt;=10,"6-10 Years","10+ Years")))</f>
        <v>6-10 Years</v>
      </c>
      <c r="H1260" t="str">
        <f>IF(INDEX(tblCleanData[WorkLifeBalance],1252)&lt;=2,"Elevated","Normal")</f>
        <v>Normal</v>
      </c>
      <c r="I1260">
        <f>IF(INDEX(tblCleanData[Age],1252)&lt;30,30,IF(INDEX(tblCleanData[Age],1252)&lt;40,20,IF(INDEX(tblCleanData[Age],1252)&lt;50,10,15)))</f>
        <v>20</v>
      </c>
      <c r="J1260">
        <f>IF(INDEX(tblCleanData[MonthlyIncome],1252)&lt;=$B$3,25,IF(INDEX(tblCleanData[MonthlyIncome],1252)&lt;=$B$4,12,5))</f>
        <v>5</v>
      </c>
      <c r="K1260">
        <f>IF(INDEX(tblCleanData[OverTime],1252)="Yes",25,0)</f>
        <v>0</v>
      </c>
      <c r="L1260">
        <f>(5-INDEX(tblCleanData[JobSatisfaction],1252))*6.25</f>
        <v>25</v>
      </c>
      <c r="M1260">
        <f>IF(INDEX(tblCleanData[YearsAtCompany],1252)&lt;=2,25,IF(INDEX(tblCleanData[YearsAtCompany],1252)&lt;=5,15,IF(INDEX(tblCleanData[YearsAtCompany],1252)&lt;=10,8,3)))</f>
        <v>8</v>
      </c>
      <c r="N1260">
        <f t="shared" si="38"/>
        <v>58</v>
      </c>
      <c r="O1260" t="str">
        <f t="shared" si="39"/>
        <v>High Risk</v>
      </c>
    </row>
    <row r="1261" spans="1:15" x14ac:dyDescent="0.25">
      <c r="A1261">
        <f>INDEX(tblCleanData[EmployeeNumber],1253)</f>
        <v>1755</v>
      </c>
      <c r="B1261" t="str">
        <f>IF(INDEX(tblCleanData[Age],1253)&lt;30,"Under 30",IF(INDEX(tblCleanData[Age],1253)&lt;40,"30-39",IF(INDEX(tblCleanData[Age],1253)&lt;50,"40-49","50+")))</f>
        <v>30-39</v>
      </c>
      <c r="C1261" t="str">
        <f>IF(INDEX(tblCleanData[MonthlyIncome],1253)&lt;=$B$3,"Low Income",IF(INDEX(tblCleanData[MonthlyIncome],1253)&lt;=$B$4,"Medium Income","High Income"))</f>
        <v>High Income</v>
      </c>
      <c r="D1261">
        <f>IF(INDEX(tblCleanData[Attrition],1253)="Yes",1,0)</f>
        <v>0</v>
      </c>
      <c r="E1261">
        <f>IF(INDEX(tblCleanData[OverTime],1253)="Yes",1,0)</f>
        <v>1</v>
      </c>
      <c r="F1261" t="str">
        <f>CHOOSE(INDEX(tblCleanData[Education],1253),"Below College","College","Bachelor","Master","Doctor")</f>
        <v>Master</v>
      </c>
      <c r="G1261" t="str">
        <f>IF(INDEX(tblCleanData[YearsAtCompany],1253)&lt;=2,"0-2 Years",IF(INDEX(tblCleanData[YearsAtCompany],1253)&lt;=5,"3-5 Years",IF(INDEX(tblCleanData[YearsAtCompany],1253)&lt;=10,"6-10 Years","10+ Years")))</f>
        <v>3-5 Years</v>
      </c>
      <c r="H1261" t="str">
        <f>IF(INDEX(tblCleanData[WorkLifeBalance],1253)&lt;=2,"Elevated","Normal")</f>
        <v>Normal</v>
      </c>
      <c r="I1261">
        <f>IF(INDEX(tblCleanData[Age],1253)&lt;30,30,IF(INDEX(tblCleanData[Age],1253)&lt;40,20,IF(INDEX(tblCleanData[Age],1253)&lt;50,10,15)))</f>
        <v>20</v>
      </c>
      <c r="J1261">
        <f>IF(INDEX(tblCleanData[MonthlyIncome],1253)&lt;=$B$3,25,IF(INDEX(tblCleanData[MonthlyIncome],1253)&lt;=$B$4,12,5))</f>
        <v>5</v>
      </c>
      <c r="K1261">
        <f>IF(INDEX(tblCleanData[OverTime],1253)="Yes",25,0)</f>
        <v>25</v>
      </c>
      <c r="L1261">
        <f>(5-INDEX(tblCleanData[JobSatisfaction],1253))*6.25</f>
        <v>6.25</v>
      </c>
      <c r="M1261">
        <f>IF(INDEX(tblCleanData[YearsAtCompany],1253)&lt;=2,25,IF(INDEX(tblCleanData[YearsAtCompany],1253)&lt;=5,15,IF(INDEX(tblCleanData[YearsAtCompany],1253)&lt;=10,8,3)))</f>
        <v>15</v>
      </c>
      <c r="N1261">
        <f t="shared" si="38"/>
        <v>71</v>
      </c>
      <c r="O1261" t="str">
        <f t="shared" si="39"/>
        <v>High Risk</v>
      </c>
    </row>
    <row r="1262" spans="1:15" x14ac:dyDescent="0.25">
      <c r="A1262">
        <f>INDEX(tblCleanData[EmployeeNumber],1254)</f>
        <v>1756</v>
      </c>
      <c r="B1262" t="str">
        <f>IF(INDEX(tblCleanData[Age],1254)&lt;30,"Under 30",IF(INDEX(tblCleanData[Age],1254)&lt;40,"30-39",IF(INDEX(tblCleanData[Age],1254)&lt;50,"40-49","50+")))</f>
        <v>30-39</v>
      </c>
      <c r="C1262" t="str">
        <f>IF(INDEX(tblCleanData[MonthlyIncome],1254)&lt;=$B$3,"Low Income",IF(INDEX(tblCleanData[MonthlyIncome],1254)&lt;=$B$4,"Medium Income","High Income"))</f>
        <v>High Income</v>
      </c>
      <c r="D1262">
        <f>IF(INDEX(tblCleanData[Attrition],1254)="Yes",1,0)</f>
        <v>0</v>
      </c>
      <c r="E1262">
        <f>IF(INDEX(tblCleanData[OverTime],1254)="Yes",1,0)</f>
        <v>0</v>
      </c>
      <c r="F1262" t="str">
        <f>CHOOSE(INDEX(tblCleanData[Education],1254),"Below College","College","Bachelor","Master","Doctor")</f>
        <v>Bachelor</v>
      </c>
      <c r="G1262" t="str">
        <f>IF(INDEX(tblCleanData[YearsAtCompany],1254)&lt;=2,"0-2 Years",IF(INDEX(tblCleanData[YearsAtCompany],1254)&lt;=5,"3-5 Years",IF(INDEX(tblCleanData[YearsAtCompany],1254)&lt;=10,"6-10 Years","10+ Years")))</f>
        <v>10+ Years</v>
      </c>
      <c r="H1262" t="str">
        <f>IF(INDEX(tblCleanData[WorkLifeBalance],1254)&lt;=2,"Elevated","Normal")</f>
        <v>Elevated</v>
      </c>
      <c r="I1262">
        <f>IF(INDEX(tblCleanData[Age],1254)&lt;30,30,IF(INDEX(tblCleanData[Age],1254)&lt;40,20,IF(INDEX(tblCleanData[Age],1254)&lt;50,10,15)))</f>
        <v>20</v>
      </c>
      <c r="J1262">
        <f>IF(INDEX(tblCleanData[MonthlyIncome],1254)&lt;=$B$3,25,IF(INDEX(tblCleanData[MonthlyIncome],1254)&lt;=$B$4,12,5))</f>
        <v>5</v>
      </c>
      <c r="K1262">
        <f>IF(INDEX(tblCleanData[OverTime],1254)="Yes",25,0)</f>
        <v>0</v>
      </c>
      <c r="L1262">
        <f>(5-INDEX(tblCleanData[JobSatisfaction],1254))*6.25</f>
        <v>18.75</v>
      </c>
      <c r="M1262">
        <f>IF(INDEX(tblCleanData[YearsAtCompany],1254)&lt;=2,25,IF(INDEX(tblCleanData[YearsAtCompany],1254)&lt;=5,15,IF(INDEX(tblCleanData[YearsAtCompany],1254)&lt;=10,8,3)))</f>
        <v>3</v>
      </c>
      <c r="N1262">
        <f t="shared" si="38"/>
        <v>47</v>
      </c>
      <c r="O1262" t="str">
        <f t="shared" si="39"/>
        <v>Medium Risk</v>
      </c>
    </row>
    <row r="1263" spans="1:15" x14ac:dyDescent="0.25">
      <c r="A1263">
        <f>INDEX(tblCleanData[EmployeeNumber],1255)</f>
        <v>1757</v>
      </c>
      <c r="B1263" t="str">
        <f>IF(INDEX(tblCleanData[Age],1255)&lt;30,"Under 30",IF(INDEX(tblCleanData[Age],1255)&lt;40,"30-39",IF(INDEX(tblCleanData[Age],1255)&lt;50,"40-49","50+")))</f>
        <v>40-49</v>
      </c>
      <c r="C1263" t="str">
        <f>IF(INDEX(tblCleanData[MonthlyIncome],1255)&lt;=$B$3,"Low Income",IF(INDEX(tblCleanData[MonthlyIncome],1255)&lt;=$B$4,"Medium Income","High Income"))</f>
        <v>High Income</v>
      </c>
      <c r="D1263">
        <f>IF(INDEX(tblCleanData[Attrition],1255)="Yes",1,0)</f>
        <v>0</v>
      </c>
      <c r="E1263">
        <f>IF(INDEX(tblCleanData[OverTime],1255)="Yes",1,0)</f>
        <v>0</v>
      </c>
      <c r="F1263" t="str">
        <f>CHOOSE(INDEX(tblCleanData[Education],1255),"Below College","College","Bachelor","Master","Doctor")</f>
        <v>Master</v>
      </c>
      <c r="G1263" t="str">
        <f>IF(INDEX(tblCleanData[YearsAtCompany],1255)&lt;=2,"0-2 Years",IF(INDEX(tblCleanData[YearsAtCompany],1255)&lt;=5,"3-5 Years",IF(INDEX(tblCleanData[YearsAtCompany],1255)&lt;=10,"6-10 Years","10+ Years")))</f>
        <v>3-5 Years</v>
      </c>
      <c r="H1263" t="str">
        <f>IF(INDEX(tblCleanData[WorkLifeBalance],1255)&lt;=2,"Elevated","Normal")</f>
        <v>Normal</v>
      </c>
      <c r="I1263">
        <f>IF(INDEX(tblCleanData[Age],1255)&lt;30,30,IF(INDEX(tblCleanData[Age],1255)&lt;40,20,IF(INDEX(tblCleanData[Age],1255)&lt;50,10,15)))</f>
        <v>10</v>
      </c>
      <c r="J1263">
        <f>IF(INDEX(tblCleanData[MonthlyIncome],1255)&lt;=$B$3,25,IF(INDEX(tblCleanData[MonthlyIncome],1255)&lt;=$B$4,12,5))</f>
        <v>5</v>
      </c>
      <c r="K1263">
        <f>IF(INDEX(tblCleanData[OverTime],1255)="Yes",25,0)</f>
        <v>0</v>
      </c>
      <c r="L1263">
        <f>(5-INDEX(tblCleanData[JobSatisfaction],1255))*6.25</f>
        <v>6.25</v>
      </c>
      <c r="M1263">
        <f>IF(INDEX(tblCleanData[YearsAtCompany],1255)&lt;=2,25,IF(INDEX(tblCleanData[YearsAtCompany],1255)&lt;=5,15,IF(INDEX(tblCleanData[YearsAtCompany],1255)&lt;=10,8,3)))</f>
        <v>15</v>
      </c>
      <c r="N1263">
        <f t="shared" si="38"/>
        <v>36</v>
      </c>
      <c r="O1263" t="str">
        <f t="shared" si="39"/>
        <v>Medium Risk</v>
      </c>
    </row>
    <row r="1264" spans="1:15" x14ac:dyDescent="0.25">
      <c r="A1264">
        <f>INDEX(tblCleanData[EmployeeNumber],1256)</f>
        <v>1758</v>
      </c>
      <c r="B1264" t="str">
        <f>IF(INDEX(tblCleanData[Age],1256)&lt;30,"Under 30",IF(INDEX(tblCleanData[Age],1256)&lt;40,"30-39",IF(INDEX(tblCleanData[Age],1256)&lt;50,"40-49","50+")))</f>
        <v>30-39</v>
      </c>
      <c r="C1264" t="str">
        <f>IF(INDEX(tblCleanData[MonthlyIncome],1256)&lt;=$B$3,"Low Income",IF(INDEX(tblCleanData[MonthlyIncome],1256)&lt;=$B$4,"Medium Income","High Income"))</f>
        <v>High Income</v>
      </c>
      <c r="D1264">
        <f>IF(INDEX(tblCleanData[Attrition],1256)="Yes",1,0)</f>
        <v>1</v>
      </c>
      <c r="E1264">
        <f>IF(INDEX(tblCleanData[OverTime],1256)="Yes",1,0)</f>
        <v>1</v>
      </c>
      <c r="F1264" t="str">
        <f>CHOOSE(INDEX(tblCleanData[Education],1256),"Below College","College","Bachelor","Master","Doctor")</f>
        <v>Bachelor</v>
      </c>
      <c r="G1264" t="str">
        <f>IF(INDEX(tblCleanData[YearsAtCompany],1256)&lt;=2,"0-2 Years",IF(INDEX(tblCleanData[YearsAtCompany],1256)&lt;=5,"3-5 Years",IF(INDEX(tblCleanData[YearsAtCompany],1256)&lt;=10,"6-10 Years","10+ Years")))</f>
        <v>0-2 Years</v>
      </c>
      <c r="H1264" t="str">
        <f>IF(INDEX(tblCleanData[WorkLifeBalance],1256)&lt;=2,"Elevated","Normal")</f>
        <v>Elevated</v>
      </c>
      <c r="I1264">
        <f>IF(INDEX(tblCleanData[Age],1256)&lt;30,30,IF(INDEX(tblCleanData[Age],1256)&lt;40,20,IF(INDEX(tblCleanData[Age],1256)&lt;50,10,15)))</f>
        <v>20</v>
      </c>
      <c r="J1264">
        <f>IF(INDEX(tblCleanData[MonthlyIncome],1256)&lt;=$B$3,25,IF(INDEX(tblCleanData[MonthlyIncome],1256)&lt;=$B$4,12,5))</f>
        <v>5</v>
      </c>
      <c r="K1264">
        <f>IF(INDEX(tblCleanData[OverTime],1256)="Yes",25,0)</f>
        <v>25</v>
      </c>
      <c r="L1264">
        <f>(5-INDEX(tblCleanData[JobSatisfaction],1256))*6.25</f>
        <v>25</v>
      </c>
      <c r="M1264">
        <f>IF(INDEX(tblCleanData[YearsAtCompany],1256)&lt;=2,25,IF(INDEX(tblCleanData[YearsAtCompany],1256)&lt;=5,15,IF(INDEX(tblCleanData[YearsAtCompany],1256)&lt;=10,8,3)))</f>
        <v>25</v>
      </c>
      <c r="N1264">
        <f t="shared" si="38"/>
        <v>100</v>
      </c>
      <c r="O1264" t="str">
        <f t="shared" si="39"/>
        <v>High Risk</v>
      </c>
    </row>
    <row r="1265" spans="1:15" x14ac:dyDescent="0.25">
      <c r="A1265">
        <f>INDEX(tblCleanData[EmployeeNumber],1257)</f>
        <v>1760</v>
      </c>
      <c r="B1265" t="str">
        <f>IF(INDEX(tblCleanData[Age],1257)&lt;30,"Under 30",IF(INDEX(tblCleanData[Age],1257)&lt;40,"30-39",IF(INDEX(tblCleanData[Age],1257)&lt;50,"40-49","50+")))</f>
        <v>30-39</v>
      </c>
      <c r="C1265" t="str">
        <f>IF(INDEX(tblCleanData[MonthlyIncome],1257)&lt;=$B$3,"Low Income",IF(INDEX(tblCleanData[MonthlyIncome],1257)&lt;=$B$4,"Medium Income","High Income"))</f>
        <v>High Income</v>
      </c>
      <c r="D1265">
        <f>IF(INDEX(tblCleanData[Attrition],1257)="Yes",1,0)</f>
        <v>0</v>
      </c>
      <c r="E1265">
        <f>IF(INDEX(tblCleanData[OverTime],1257)="Yes",1,0)</f>
        <v>0</v>
      </c>
      <c r="F1265" t="str">
        <f>CHOOSE(INDEX(tblCleanData[Education],1257),"Below College","College","Bachelor","Master","Doctor")</f>
        <v>College</v>
      </c>
      <c r="G1265" t="str">
        <f>IF(INDEX(tblCleanData[YearsAtCompany],1257)&lt;=2,"0-2 Years",IF(INDEX(tblCleanData[YearsAtCompany],1257)&lt;=5,"3-5 Years",IF(INDEX(tblCleanData[YearsAtCompany],1257)&lt;=10,"6-10 Years","10+ Years")))</f>
        <v>6-10 Years</v>
      </c>
      <c r="H1265" t="str">
        <f>IF(INDEX(tblCleanData[WorkLifeBalance],1257)&lt;=2,"Elevated","Normal")</f>
        <v>Elevated</v>
      </c>
      <c r="I1265">
        <f>IF(INDEX(tblCleanData[Age],1257)&lt;30,30,IF(INDEX(tblCleanData[Age],1257)&lt;40,20,IF(INDEX(tblCleanData[Age],1257)&lt;50,10,15)))</f>
        <v>20</v>
      </c>
      <c r="J1265">
        <f>IF(INDEX(tblCleanData[MonthlyIncome],1257)&lt;=$B$3,25,IF(INDEX(tblCleanData[MonthlyIncome],1257)&lt;=$B$4,12,5))</f>
        <v>5</v>
      </c>
      <c r="K1265">
        <f>IF(INDEX(tblCleanData[OverTime],1257)="Yes",25,0)</f>
        <v>0</v>
      </c>
      <c r="L1265">
        <f>(5-INDEX(tblCleanData[JobSatisfaction],1257))*6.25</f>
        <v>18.75</v>
      </c>
      <c r="M1265">
        <f>IF(INDEX(tblCleanData[YearsAtCompany],1257)&lt;=2,25,IF(INDEX(tblCleanData[YearsAtCompany],1257)&lt;=5,15,IF(INDEX(tblCleanData[YearsAtCompany],1257)&lt;=10,8,3)))</f>
        <v>8</v>
      </c>
      <c r="N1265">
        <f t="shared" si="38"/>
        <v>52</v>
      </c>
      <c r="O1265" t="str">
        <f t="shared" si="39"/>
        <v>Medium Risk</v>
      </c>
    </row>
    <row r="1266" spans="1:15" x14ac:dyDescent="0.25">
      <c r="A1266">
        <f>INDEX(tblCleanData[EmployeeNumber],1258)</f>
        <v>1761</v>
      </c>
      <c r="B1266" t="str">
        <f>IF(INDEX(tblCleanData[Age],1258)&lt;30,"Under 30",IF(INDEX(tblCleanData[Age],1258)&lt;40,"30-39",IF(INDEX(tblCleanData[Age],1258)&lt;50,"40-49","50+")))</f>
        <v>30-39</v>
      </c>
      <c r="C1266" t="str">
        <f>IF(INDEX(tblCleanData[MonthlyIncome],1258)&lt;=$B$3,"Low Income",IF(INDEX(tblCleanData[MonthlyIncome],1258)&lt;=$B$4,"Medium Income","High Income"))</f>
        <v>High Income</v>
      </c>
      <c r="D1266">
        <f>IF(INDEX(tblCleanData[Attrition],1258)="Yes",1,0)</f>
        <v>1</v>
      </c>
      <c r="E1266">
        <f>IF(INDEX(tblCleanData[OverTime],1258)="Yes",1,0)</f>
        <v>0</v>
      </c>
      <c r="F1266" t="str">
        <f>CHOOSE(INDEX(tblCleanData[Education],1258),"Below College","College","Bachelor","Master","Doctor")</f>
        <v>Master</v>
      </c>
      <c r="G1266" t="str">
        <f>IF(INDEX(tblCleanData[YearsAtCompany],1258)&lt;=2,"0-2 Years",IF(INDEX(tblCleanData[YearsAtCompany],1258)&lt;=5,"3-5 Years",IF(INDEX(tblCleanData[YearsAtCompany],1258)&lt;=10,"6-10 Years","10+ Years")))</f>
        <v>0-2 Years</v>
      </c>
      <c r="H1266" t="str">
        <f>IF(INDEX(tblCleanData[WorkLifeBalance],1258)&lt;=2,"Elevated","Normal")</f>
        <v>Normal</v>
      </c>
      <c r="I1266">
        <f>IF(INDEX(tblCleanData[Age],1258)&lt;30,30,IF(INDEX(tblCleanData[Age],1258)&lt;40,20,IF(INDEX(tblCleanData[Age],1258)&lt;50,10,15)))</f>
        <v>20</v>
      </c>
      <c r="J1266">
        <f>IF(INDEX(tblCleanData[MonthlyIncome],1258)&lt;=$B$3,25,IF(INDEX(tblCleanData[MonthlyIncome],1258)&lt;=$B$4,12,5))</f>
        <v>5</v>
      </c>
      <c r="K1266">
        <f>IF(INDEX(tblCleanData[OverTime],1258)="Yes",25,0)</f>
        <v>0</v>
      </c>
      <c r="L1266">
        <f>(5-INDEX(tblCleanData[JobSatisfaction],1258))*6.25</f>
        <v>12.5</v>
      </c>
      <c r="M1266">
        <f>IF(INDEX(tblCleanData[YearsAtCompany],1258)&lt;=2,25,IF(INDEX(tblCleanData[YearsAtCompany],1258)&lt;=5,15,IF(INDEX(tblCleanData[YearsAtCompany],1258)&lt;=10,8,3)))</f>
        <v>25</v>
      </c>
      <c r="N1266">
        <f t="shared" si="38"/>
        <v>63</v>
      </c>
      <c r="O1266" t="str">
        <f t="shared" si="39"/>
        <v>High Risk</v>
      </c>
    </row>
    <row r="1267" spans="1:15" x14ac:dyDescent="0.25">
      <c r="A1267">
        <f>INDEX(tblCleanData[EmployeeNumber],1259)</f>
        <v>1762</v>
      </c>
      <c r="B1267" t="str">
        <f>IF(INDEX(tblCleanData[Age],1259)&lt;30,"Under 30",IF(INDEX(tblCleanData[Age],1259)&lt;40,"30-39",IF(INDEX(tblCleanData[Age],1259)&lt;50,"40-49","50+")))</f>
        <v>Under 30</v>
      </c>
      <c r="C1267" t="str">
        <f>IF(INDEX(tblCleanData[MonthlyIncome],1259)&lt;=$B$3,"Low Income",IF(INDEX(tblCleanData[MonthlyIncome],1259)&lt;=$B$4,"Medium Income","High Income"))</f>
        <v>High Income</v>
      </c>
      <c r="D1267">
        <f>IF(INDEX(tblCleanData[Attrition],1259)="Yes",1,0)</f>
        <v>0</v>
      </c>
      <c r="E1267">
        <f>IF(INDEX(tblCleanData[OverTime],1259)="Yes",1,0)</f>
        <v>0</v>
      </c>
      <c r="F1267" t="str">
        <f>CHOOSE(INDEX(tblCleanData[Education],1259),"Below College","College","Bachelor","Master","Doctor")</f>
        <v>Bachelor</v>
      </c>
      <c r="G1267" t="str">
        <f>IF(INDEX(tblCleanData[YearsAtCompany],1259)&lt;=2,"0-2 Years",IF(INDEX(tblCleanData[YearsAtCompany],1259)&lt;=5,"3-5 Years",IF(INDEX(tblCleanData[YearsAtCompany],1259)&lt;=10,"6-10 Years","10+ Years")))</f>
        <v>0-2 Years</v>
      </c>
      <c r="H1267" t="str">
        <f>IF(INDEX(tblCleanData[WorkLifeBalance],1259)&lt;=2,"Elevated","Normal")</f>
        <v>Normal</v>
      </c>
      <c r="I1267">
        <f>IF(INDEX(tblCleanData[Age],1259)&lt;30,30,IF(INDEX(tblCleanData[Age],1259)&lt;40,20,IF(INDEX(tblCleanData[Age],1259)&lt;50,10,15)))</f>
        <v>30</v>
      </c>
      <c r="J1267">
        <f>IF(INDEX(tblCleanData[MonthlyIncome],1259)&lt;=$B$3,25,IF(INDEX(tblCleanData[MonthlyIncome],1259)&lt;=$B$4,12,5))</f>
        <v>5</v>
      </c>
      <c r="K1267">
        <f>IF(INDEX(tblCleanData[OverTime],1259)="Yes",25,0)</f>
        <v>0</v>
      </c>
      <c r="L1267">
        <f>(5-INDEX(tblCleanData[JobSatisfaction],1259))*6.25</f>
        <v>25</v>
      </c>
      <c r="M1267">
        <f>IF(INDEX(tblCleanData[YearsAtCompany],1259)&lt;=2,25,IF(INDEX(tblCleanData[YearsAtCompany],1259)&lt;=5,15,IF(INDEX(tblCleanData[YearsAtCompany],1259)&lt;=10,8,3)))</f>
        <v>25</v>
      </c>
      <c r="N1267">
        <f t="shared" si="38"/>
        <v>85</v>
      </c>
      <c r="O1267" t="str">
        <f t="shared" si="39"/>
        <v>High Risk</v>
      </c>
    </row>
    <row r="1268" spans="1:15" x14ac:dyDescent="0.25">
      <c r="A1268">
        <f>INDEX(tblCleanData[EmployeeNumber],1260)</f>
        <v>1763</v>
      </c>
      <c r="B1268" t="str">
        <f>IF(INDEX(tblCleanData[Age],1260)&lt;30,"Under 30",IF(INDEX(tblCleanData[Age],1260)&lt;40,"30-39",IF(INDEX(tblCleanData[Age],1260)&lt;50,"40-49","50+")))</f>
        <v>30-39</v>
      </c>
      <c r="C1268" t="str">
        <f>IF(INDEX(tblCleanData[MonthlyIncome],1260)&lt;=$B$3,"Low Income",IF(INDEX(tblCleanData[MonthlyIncome],1260)&lt;=$B$4,"Medium Income","High Income"))</f>
        <v>High Income</v>
      </c>
      <c r="D1268">
        <f>IF(INDEX(tblCleanData[Attrition],1260)="Yes",1,0)</f>
        <v>0</v>
      </c>
      <c r="E1268">
        <f>IF(INDEX(tblCleanData[OverTime],1260)="Yes",1,0)</f>
        <v>0</v>
      </c>
      <c r="F1268" t="str">
        <f>CHOOSE(INDEX(tblCleanData[Education],1260),"Below College","College","Bachelor","Master","Doctor")</f>
        <v>Bachelor</v>
      </c>
      <c r="G1268" t="str">
        <f>IF(INDEX(tblCleanData[YearsAtCompany],1260)&lt;=2,"0-2 Years",IF(INDEX(tblCleanData[YearsAtCompany],1260)&lt;=5,"3-5 Years",IF(INDEX(tblCleanData[YearsAtCompany],1260)&lt;=10,"6-10 Years","10+ Years")))</f>
        <v>6-10 Years</v>
      </c>
      <c r="H1268" t="str">
        <f>IF(INDEX(tblCleanData[WorkLifeBalance],1260)&lt;=2,"Elevated","Normal")</f>
        <v>Normal</v>
      </c>
      <c r="I1268">
        <f>IF(INDEX(tblCleanData[Age],1260)&lt;30,30,IF(INDEX(tblCleanData[Age],1260)&lt;40,20,IF(INDEX(tblCleanData[Age],1260)&lt;50,10,15)))</f>
        <v>20</v>
      </c>
      <c r="J1268">
        <f>IF(INDEX(tblCleanData[MonthlyIncome],1260)&lt;=$B$3,25,IF(INDEX(tblCleanData[MonthlyIncome],1260)&lt;=$B$4,12,5))</f>
        <v>5</v>
      </c>
      <c r="K1268">
        <f>IF(INDEX(tblCleanData[OverTime],1260)="Yes",25,0)</f>
        <v>0</v>
      </c>
      <c r="L1268">
        <f>(5-INDEX(tblCleanData[JobSatisfaction],1260))*6.25</f>
        <v>12.5</v>
      </c>
      <c r="M1268">
        <f>IF(INDEX(tblCleanData[YearsAtCompany],1260)&lt;=2,25,IF(INDEX(tblCleanData[YearsAtCompany],1260)&lt;=5,15,IF(INDEX(tblCleanData[YearsAtCompany],1260)&lt;=10,8,3)))</f>
        <v>8</v>
      </c>
      <c r="N1268">
        <f t="shared" si="38"/>
        <v>46</v>
      </c>
      <c r="O1268" t="str">
        <f t="shared" si="39"/>
        <v>Medium Risk</v>
      </c>
    </row>
    <row r="1269" spans="1:15" x14ac:dyDescent="0.25">
      <c r="A1269">
        <f>INDEX(tblCleanData[EmployeeNumber],1261)</f>
        <v>1764</v>
      </c>
      <c r="B1269" t="str">
        <f>IF(INDEX(tblCleanData[Age],1261)&lt;30,"Under 30",IF(INDEX(tblCleanData[Age],1261)&lt;40,"30-39",IF(INDEX(tblCleanData[Age],1261)&lt;50,"40-49","50+")))</f>
        <v>30-39</v>
      </c>
      <c r="C1269" t="str">
        <f>IF(INDEX(tblCleanData[MonthlyIncome],1261)&lt;=$B$3,"Low Income",IF(INDEX(tblCleanData[MonthlyIncome],1261)&lt;=$B$4,"Medium Income","High Income"))</f>
        <v>High Income</v>
      </c>
      <c r="D1269">
        <f>IF(INDEX(tblCleanData[Attrition],1261)="Yes",1,0)</f>
        <v>0</v>
      </c>
      <c r="E1269">
        <f>IF(INDEX(tblCleanData[OverTime],1261)="Yes",1,0)</f>
        <v>0</v>
      </c>
      <c r="F1269" t="str">
        <f>CHOOSE(INDEX(tblCleanData[Education],1261),"Below College","College","Bachelor","Master","Doctor")</f>
        <v>Master</v>
      </c>
      <c r="G1269" t="str">
        <f>IF(INDEX(tblCleanData[YearsAtCompany],1261)&lt;=2,"0-2 Years",IF(INDEX(tblCleanData[YearsAtCompany],1261)&lt;=5,"3-5 Years",IF(INDEX(tblCleanData[YearsAtCompany],1261)&lt;=10,"6-10 Years","10+ Years")))</f>
        <v>6-10 Years</v>
      </c>
      <c r="H1269" t="str">
        <f>IF(INDEX(tblCleanData[WorkLifeBalance],1261)&lt;=2,"Elevated","Normal")</f>
        <v>Normal</v>
      </c>
      <c r="I1269">
        <f>IF(INDEX(tblCleanData[Age],1261)&lt;30,30,IF(INDEX(tblCleanData[Age],1261)&lt;40,20,IF(INDEX(tblCleanData[Age],1261)&lt;50,10,15)))</f>
        <v>20</v>
      </c>
      <c r="J1269">
        <f>IF(INDEX(tblCleanData[MonthlyIncome],1261)&lt;=$B$3,25,IF(INDEX(tblCleanData[MonthlyIncome],1261)&lt;=$B$4,12,5))</f>
        <v>5</v>
      </c>
      <c r="K1269">
        <f>IF(INDEX(tblCleanData[OverTime],1261)="Yes",25,0)</f>
        <v>0</v>
      </c>
      <c r="L1269">
        <f>(5-INDEX(tblCleanData[JobSatisfaction],1261))*6.25</f>
        <v>18.75</v>
      </c>
      <c r="M1269">
        <f>IF(INDEX(tblCleanData[YearsAtCompany],1261)&lt;=2,25,IF(INDEX(tblCleanData[YearsAtCompany],1261)&lt;=5,15,IF(INDEX(tblCleanData[YearsAtCompany],1261)&lt;=10,8,3)))</f>
        <v>8</v>
      </c>
      <c r="N1269">
        <f t="shared" si="38"/>
        <v>52</v>
      </c>
      <c r="O1269" t="str">
        <f t="shared" si="39"/>
        <v>Medium Risk</v>
      </c>
    </row>
    <row r="1270" spans="1:15" x14ac:dyDescent="0.25">
      <c r="A1270">
        <f>INDEX(tblCleanData[EmployeeNumber],1262)</f>
        <v>1766</v>
      </c>
      <c r="B1270" t="str">
        <f>IF(INDEX(tblCleanData[Age],1262)&lt;30,"Under 30",IF(INDEX(tblCleanData[Age],1262)&lt;40,"30-39",IF(INDEX(tblCleanData[Age],1262)&lt;50,"40-49","50+")))</f>
        <v>30-39</v>
      </c>
      <c r="C1270" t="str">
        <f>IF(INDEX(tblCleanData[MonthlyIncome],1262)&lt;=$B$3,"Low Income",IF(INDEX(tblCleanData[MonthlyIncome],1262)&lt;=$B$4,"Medium Income","High Income"))</f>
        <v>High Income</v>
      </c>
      <c r="D1270">
        <f>IF(INDEX(tblCleanData[Attrition],1262)="Yes",1,0)</f>
        <v>0</v>
      </c>
      <c r="E1270">
        <f>IF(INDEX(tblCleanData[OverTime],1262)="Yes",1,0)</f>
        <v>1</v>
      </c>
      <c r="F1270" t="str">
        <f>CHOOSE(INDEX(tblCleanData[Education],1262),"Below College","College","Bachelor","Master","Doctor")</f>
        <v>Bachelor</v>
      </c>
      <c r="G1270" t="str">
        <f>IF(INDEX(tblCleanData[YearsAtCompany],1262)&lt;=2,"0-2 Years",IF(INDEX(tblCleanData[YearsAtCompany],1262)&lt;=5,"3-5 Years",IF(INDEX(tblCleanData[YearsAtCompany],1262)&lt;=10,"6-10 Years","10+ Years")))</f>
        <v>0-2 Years</v>
      </c>
      <c r="H1270" t="str">
        <f>IF(INDEX(tblCleanData[WorkLifeBalance],1262)&lt;=2,"Elevated","Normal")</f>
        <v>Normal</v>
      </c>
      <c r="I1270">
        <f>IF(INDEX(tblCleanData[Age],1262)&lt;30,30,IF(INDEX(tblCleanData[Age],1262)&lt;40,20,IF(INDEX(tblCleanData[Age],1262)&lt;50,10,15)))</f>
        <v>20</v>
      </c>
      <c r="J1270">
        <f>IF(INDEX(tblCleanData[MonthlyIncome],1262)&lt;=$B$3,25,IF(INDEX(tblCleanData[MonthlyIncome],1262)&lt;=$B$4,12,5))</f>
        <v>5</v>
      </c>
      <c r="K1270">
        <f>IF(INDEX(tblCleanData[OverTime],1262)="Yes",25,0)</f>
        <v>25</v>
      </c>
      <c r="L1270">
        <f>(5-INDEX(tblCleanData[JobSatisfaction],1262))*6.25</f>
        <v>6.25</v>
      </c>
      <c r="M1270">
        <f>IF(INDEX(tblCleanData[YearsAtCompany],1262)&lt;=2,25,IF(INDEX(tblCleanData[YearsAtCompany],1262)&lt;=5,15,IF(INDEX(tblCleanData[YearsAtCompany],1262)&lt;=10,8,3)))</f>
        <v>25</v>
      </c>
      <c r="N1270">
        <f t="shared" si="38"/>
        <v>81</v>
      </c>
      <c r="O1270" t="str">
        <f t="shared" si="39"/>
        <v>High Risk</v>
      </c>
    </row>
    <row r="1271" spans="1:15" x14ac:dyDescent="0.25">
      <c r="A1271">
        <f>INDEX(tblCleanData[EmployeeNumber],1263)</f>
        <v>1767</v>
      </c>
      <c r="B1271" t="str">
        <f>IF(INDEX(tblCleanData[Age],1263)&lt;30,"Under 30",IF(INDEX(tblCleanData[Age],1263)&lt;40,"30-39",IF(INDEX(tblCleanData[Age],1263)&lt;50,"40-49","50+")))</f>
        <v>40-49</v>
      </c>
      <c r="C1271" t="str">
        <f>IF(INDEX(tblCleanData[MonthlyIncome],1263)&lt;=$B$3,"Low Income",IF(INDEX(tblCleanData[MonthlyIncome],1263)&lt;=$B$4,"Medium Income","High Income"))</f>
        <v>High Income</v>
      </c>
      <c r="D1271">
        <f>IF(INDEX(tblCleanData[Attrition],1263)="Yes",1,0)</f>
        <v>1</v>
      </c>
      <c r="E1271">
        <f>IF(INDEX(tblCleanData[OverTime],1263)="Yes",1,0)</f>
        <v>1</v>
      </c>
      <c r="F1271" t="str">
        <f>CHOOSE(INDEX(tblCleanData[Education],1263),"Below College","College","Bachelor","Master","Doctor")</f>
        <v>Bachelor</v>
      </c>
      <c r="G1271" t="str">
        <f>IF(INDEX(tblCleanData[YearsAtCompany],1263)&lt;=2,"0-2 Years",IF(INDEX(tblCleanData[YearsAtCompany],1263)&lt;=5,"3-5 Years",IF(INDEX(tblCleanData[YearsAtCompany],1263)&lt;=10,"6-10 Years","10+ Years")))</f>
        <v>0-2 Years</v>
      </c>
      <c r="H1271" t="str">
        <f>IF(INDEX(tblCleanData[WorkLifeBalance],1263)&lt;=2,"Elevated","Normal")</f>
        <v>Normal</v>
      </c>
      <c r="I1271">
        <f>IF(INDEX(tblCleanData[Age],1263)&lt;30,30,IF(INDEX(tblCleanData[Age],1263)&lt;40,20,IF(INDEX(tblCleanData[Age],1263)&lt;50,10,15)))</f>
        <v>10</v>
      </c>
      <c r="J1271">
        <f>IF(INDEX(tblCleanData[MonthlyIncome],1263)&lt;=$B$3,25,IF(INDEX(tblCleanData[MonthlyIncome],1263)&lt;=$B$4,12,5))</f>
        <v>5</v>
      </c>
      <c r="K1271">
        <f>IF(INDEX(tblCleanData[OverTime],1263)="Yes",25,0)</f>
        <v>25</v>
      </c>
      <c r="L1271">
        <f>(5-INDEX(tblCleanData[JobSatisfaction],1263))*6.25</f>
        <v>12.5</v>
      </c>
      <c r="M1271">
        <f>IF(INDEX(tblCleanData[YearsAtCompany],1263)&lt;=2,25,IF(INDEX(tblCleanData[YearsAtCompany],1263)&lt;=5,15,IF(INDEX(tblCleanData[YearsAtCompany],1263)&lt;=10,8,3)))</f>
        <v>25</v>
      </c>
      <c r="N1271">
        <f t="shared" si="38"/>
        <v>78</v>
      </c>
      <c r="O1271" t="str">
        <f t="shared" si="39"/>
        <v>High Risk</v>
      </c>
    </row>
    <row r="1272" spans="1:15" x14ac:dyDescent="0.25">
      <c r="A1272">
        <f>INDEX(tblCleanData[EmployeeNumber],1264)</f>
        <v>1768</v>
      </c>
      <c r="B1272" t="str">
        <f>IF(INDEX(tblCleanData[Age],1264)&lt;30,"Under 30",IF(INDEX(tblCleanData[Age],1264)&lt;40,"30-39",IF(INDEX(tblCleanData[Age],1264)&lt;50,"40-49","50+")))</f>
        <v>40-49</v>
      </c>
      <c r="C1272" t="str">
        <f>IF(INDEX(tblCleanData[MonthlyIncome],1264)&lt;=$B$3,"Low Income",IF(INDEX(tblCleanData[MonthlyIncome],1264)&lt;=$B$4,"Medium Income","High Income"))</f>
        <v>High Income</v>
      </c>
      <c r="D1272">
        <f>IF(INDEX(tblCleanData[Attrition],1264)="Yes",1,0)</f>
        <v>0</v>
      </c>
      <c r="E1272">
        <f>IF(INDEX(tblCleanData[OverTime],1264)="Yes",1,0)</f>
        <v>0</v>
      </c>
      <c r="F1272" t="str">
        <f>CHOOSE(INDEX(tblCleanData[Education],1264),"Below College","College","Bachelor","Master","Doctor")</f>
        <v>Bachelor</v>
      </c>
      <c r="G1272" t="str">
        <f>IF(INDEX(tblCleanData[YearsAtCompany],1264)&lt;=2,"0-2 Years",IF(INDEX(tblCleanData[YearsAtCompany],1264)&lt;=5,"3-5 Years",IF(INDEX(tblCleanData[YearsAtCompany],1264)&lt;=10,"6-10 Years","10+ Years")))</f>
        <v>3-5 Years</v>
      </c>
      <c r="H1272" t="str">
        <f>IF(INDEX(tblCleanData[WorkLifeBalance],1264)&lt;=2,"Elevated","Normal")</f>
        <v>Elevated</v>
      </c>
      <c r="I1272">
        <f>IF(INDEX(tblCleanData[Age],1264)&lt;30,30,IF(INDEX(tblCleanData[Age],1264)&lt;40,20,IF(INDEX(tblCleanData[Age],1264)&lt;50,10,15)))</f>
        <v>10</v>
      </c>
      <c r="J1272">
        <f>IF(INDEX(tblCleanData[MonthlyIncome],1264)&lt;=$B$3,25,IF(INDEX(tblCleanData[MonthlyIncome],1264)&lt;=$B$4,12,5))</f>
        <v>5</v>
      </c>
      <c r="K1272">
        <f>IF(INDEX(tblCleanData[OverTime],1264)="Yes",25,0)</f>
        <v>0</v>
      </c>
      <c r="L1272">
        <f>(5-INDEX(tblCleanData[JobSatisfaction],1264))*6.25</f>
        <v>18.75</v>
      </c>
      <c r="M1272">
        <f>IF(INDEX(tblCleanData[YearsAtCompany],1264)&lt;=2,25,IF(INDEX(tblCleanData[YearsAtCompany],1264)&lt;=5,15,IF(INDEX(tblCleanData[YearsAtCompany],1264)&lt;=10,8,3)))</f>
        <v>15</v>
      </c>
      <c r="N1272">
        <f t="shared" si="38"/>
        <v>49</v>
      </c>
      <c r="O1272" t="str">
        <f t="shared" si="39"/>
        <v>Medium Risk</v>
      </c>
    </row>
    <row r="1273" spans="1:15" x14ac:dyDescent="0.25">
      <c r="A1273">
        <f>INDEX(tblCleanData[EmployeeNumber],1265)</f>
        <v>1770</v>
      </c>
      <c r="B1273" t="str">
        <f>IF(INDEX(tblCleanData[Age],1265)&lt;30,"Under 30",IF(INDEX(tblCleanData[Age],1265)&lt;40,"30-39",IF(INDEX(tblCleanData[Age],1265)&lt;50,"40-49","50+")))</f>
        <v>50+</v>
      </c>
      <c r="C1273" t="str">
        <f>IF(INDEX(tblCleanData[MonthlyIncome],1265)&lt;=$B$3,"Low Income",IF(INDEX(tblCleanData[MonthlyIncome],1265)&lt;=$B$4,"Medium Income","High Income"))</f>
        <v>High Income</v>
      </c>
      <c r="D1273">
        <f>IF(INDEX(tblCleanData[Attrition],1265)="Yes",1,0)</f>
        <v>0</v>
      </c>
      <c r="E1273">
        <f>IF(INDEX(tblCleanData[OverTime],1265)="Yes",1,0)</f>
        <v>0</v>
      </c>
      <c r="F1273" t="str">
        <f>CHOOSE(INDEX(tblCleanData[Education],1265),"Below College","College","Bachelor","Master","Doctor")</f>
        <v>Bachelor</v>
      </c>
      <c r="G1273" t="str">
        <f>IF(INDEX(tblCleanData[YearsAtCompany],1265)&lt;=2,"0-2 Years",IF(INDEX(tblCleanData[YearsAtCompany],1265)&lt;=5,"3-5 Years",IF(INDEX(tblCleanData[YearsAtCompany],1265)&lt;=10,"6-10 Years","10+ Years")))</f>
        <v>0-2 Years</v>
      </c>
      <c r="H1273" t="str">
        <f>IF(INDEX(tblCleanData[WorkLifeBalance],1265)&lt;=2,"Elevated","Normal")</f>
        <v>Normal</v>
      </c>
      <c r="I1273">
        <f>IF(INDEX(tblCleanData[Age],1265)&lt;30,30,IF(INDEX(tblCleanData[Age],1265)&lt;40,20,IF(INDEX(tblCleanData[Age],1265)&lt;50,10,15)))</f>
        <v>15</v>
      </c>
      <c r="J1273">
        <f>IF(INDEX(tblCleanData[MonthlyIncome],1265)&lt;=$B$3,25,IF(INDEX(tblCleanData[MonthlyIncome],1265)&lt;=$B$4,12,5))</f>
        <v>5</v>
      </c>
      <c r="K1273">
        <f>IF(INDEX(tblCleanData[OverTime],1265)="Yes",25,0)</f>
        <v>0</v>
      </c>
      <c r="L1273">
        <f>(5-INDEX(tblCleanData[JobSatisfaction],1265))*6.25</f>
        <v>25</v>
      </c>
      <c r="M1273">
        <f>IF(INDEX(tblCleanData[YearsAtCompany],1265)&lt;=2,25,IF(INDEX(tblCleanData[YearsAtCompany],1265)&lt;=5,15,IF(INDEX(tblCleanData[YearsAtCompany],1265)&lt;=10,8,3)))</f>
        <v>25</v>
      </c>
      <c r="N1273">
        <f t="shared" si="38"/>
        <v>70</v>
      </c>
      <c r="O1273" t="str">
        <f t="shared" si="39"/>
        <v>High Risk</v>
      </c>
    </row>
    <row r="1274" spans="1:15" x14ac:dyDescent="0.25">
      <c r="A1274">
        <f>INDEX(tblCleanData[EmployeeNumber],1266)</f>
        <v>1771</v>
      </c>
      <c r="B1274" t="str">
        <f>IF(INDEX(tblCleanData[Age],1266)&lt;30,"Under 30",IF(INDEX(tblCleanData[Age],1266)&lt;40,"30-39",IF(INDEX(tblCleanData[Age],1266)&lt;50,"40-49","50+")))</f>
        <v>30-39</v>
      </c>
      <c r="C1274" t="str">
        <f>IF(INDEX(tblCleanData[MonthlyIncome],1266)&lt;=$B$3,"Low Income",IF(INDEX(tblCleanData[MonthlyIncome],1266)&lt;=$B$4,"Medium Income","High Income"))</f>
        <v>High Income</v>
      </c>
      <c r="D1274">
        <f>IF(INDEX(tblCleanData[Attrition],1266)="Yes",1,0)</f>
        <v>0</v>
      </c>
      <c r="E1274">
        <f>IF(INDEX(tblCleanData[OverTime],1266)="Yes",1,0)</f>
        <v>0</v>
      </c>
      <c r="F1274" t="str">
        <f>CHOOSE(INDEX(tblCleanData[Education],1266),"Below College","College","Bachelor","Master","Doctor")</f>
        <v>Bachelor</v>
      </c>
      <c r="G1274" t="str">
        <f>IF(INDEX(tblCleanData[YearsAtCompany],1266)&lt;=2,"0-2 Years",IF(INDEX(tblCleanData[YearsAtCompany],1266)&lt;=5,"3-5 Years",IF(INDEX(tblCleanData[YearsAtCompany],1266)&lt;=10,"6-10 Years","10+ Years")))</f>
        <v>6-10 Years</v>
      </c>
      <c r="H1274" t="str">
        <f>IF(INDEX(tblCleanData[WorkLifeBalance],1266)&lt;=2,"Elevated","Normal")</f>
        <v>Elevated</v>
      </c>
      <c r="I1274">
        <f>IF(INDEX(tblCleanData[Age],1266)&lt;30,30,IF(INDEX(tblCleanData[Age],1266)&lt;40,20,IF(INDEX(tblCleanData[Age],1266)&lt;50,10,15)))</f>
        <v>20</v>
      </c>
      <c r="J1274">
        <f>IF(INDEX(tblCleanData[MonthlyIncome],1266)&lt;=$B$3,25,IF(INDEX(tblCleanData[MonthlyIncome],1266)&lt;=$B$4,12,5))</f>
        <v>5</v>
      </c>
      <c r="K1274">
        <f>IF(INDEX(tblCleanData[OverTime],1266)="Yes",25,0)</f>
        <v>0</v>
      </c>
      <c r="L1274">
        <f>(5-INDEX(tblCleanData[JobSatisfaction],1266))*6.25</f>
        <v>18.75</v>
      </c>
      <c r="M1274">
        <f>IF(INDEX(tblCleanData[YearsAtCompany],1266)&lt;=2,25,IF(INDEX(tblCleanData[YearsAtCompany],1266)&lt;=5,15,IF(INDEX(tblCleanData[YearsAtCompany],1266)&lt;=10,8,3)))</f>
        <v>8</v>
      </c>
      <c r="N1274">
        <f t="shared" si="38"/>
        <v>52</v>
      </c>
      <c r="O1274" t="str">
        <f t="shared" si="39"/>
        <v>Medium Risk</v>
      </c>
    </row>
    <row r="1275" spans="1:15" x14ac:dyDescent="0.25">
      <c r="A1275">
        <f>INDEX(tblCleanData[EmployeeNumber],1267)</f>
        <v>1772</v>
      </c>
      <c r="B1275" t="str">
        <f>IF(INDEX(tblCleanData[Age],1267)&lt;30,"Under 30",IF(INDEX(tblCleanData[Age],1267)&lt;40,"30-39",IF(INDEX(tblCleanData[Age],1267)&lt;50,"40-49","50+")))</f>
        <v>40-49</v>
      </c>
      <c r="C1275" t="str">
        <f>IF(INDEX(tblCleanData[MonthlyIncome],1267)&lt;=$B$3,"Low Income",IF(INDEX(tblCleanData[MonthlyIncome],1267)&lt;=$B$4,"Medium Income","High Income"))</f>
        <v>High Income</v>
      </c>
      <c r="D1275">
        <f>IF(INDEX(tblCleanData[Attrition],1267)="Yes",1,0)</f>
        <v>0</v>
      </c>
      <c r="E1275">
        <f>IF(INDEX(tblCleanData[OverTime],1267)="Yes",1,0)</f>
        <v>0</v>
      </c>
      <c r="F1275" t="str">
        <f>CHOOSE(INDEX(tblCleanData[Education],1267),"Below College","College","Bachelor","Master","Doctor")</f>
        <v>Master</v>
      </c>
      <c r="G1275" t="str">
        <f>IF(INDEX(tblCleanData[YearsAtCompany],1267)&lt;=2,"0-2 Years",IF(INDEX(tblCleanData[YearsAtCompany],1267)&lt;=5,"3-5 Years",IF(INDEX(tblCleanData[YearsAtCompany],1267)&lt;=10,"6-10 Years","10+ Years")))</f>
        <v>3-5 Years</v>
      </c>
      <c r="H1275" t="str">
        <f>IF(INDEX(tblCleanData[WorkLifeBalance],1267)&lt;=2,"Elevated","Normal")</f>
        <v>Normal</v>
      </c>
      <c r="I1275">
        <f>IF(INDEX(tblCleanData[Age],1267)&lt;30,30,IF(INDEX(tblCleanData[Age],1267)&lt;40,20,IF(INDEX(tblCleanData[Age],1267)&lt;50,10,15)))</f>
        <v>10</v>
      </c>
      <c r="J1275">
        <f>IF(INDEX(tblCleanData[MonthlyIncome],1267)&lt;=$B$3,25,IF(INDEX(tblCleanData[MonthlyIncome],1267)&lt;=$B$4,12,5))</f>
        <v>5</v>
      </c>
      <c r="K1275">
        <f>IF(INDEX(tblCleanData[OverTime],1267)="Yes",25,0)</f>
        <v>0</v>
      </c>
      <c r="L1275">
        <f>(5-INDEX(tblCleanData[JobSatisfaction],1267))*6.25</f>
        <v>25</v>
      </c>
      <c r="M1275">
        <f>IF(INDEX(tblCleanData[YearsAtCompany],1267)&lt;=2,25,IF(INDEX(tblCleanData[YearsAtCompany],1267)&lt;=5,15,IF(INDEX(tblCleanData[YearsAtCompany],1267)&lt;=10,8,3)))</f>
        <v>15</v>
      </c>
      <c r="N1275">
        <f t="shared" si="38"/>
        <v>55</v>
      </c>
      <c r="O1275" t="str">
        <f t="shared" si="39"/>
        <v>High Risk</v>
      </c>
    </row>
    <row r="1276" spans="1:15" x14ac:dyDescent="0.25">
      <c r="A1276">
        <f>INDEX(tblCleanData[EmployeeNumber],1268)</f>
        <v>1774</v>
      </c>
      <c r="B1276" t="str">
        <f>IF(INDEX(tblCleanData[Age],1268)&lt;30,"Under 30",IF(INDEX(tblCleanData[Age],1268)&lt;40,"30-39",IF(INDEX(tblCleanData[Age],1268)&lt;50,"40-49","50+")))</f>
        <v>30-39</v>
      </c>
      <c r="C1276" t="str">
        <f>IF(INDEX(tblCleanData[MonthlyIncome],1268)&lt;=$B$3,"Low Income",IF(INDEX(tblCleanData[MonthlyIncome],1268)&lt;=$B$4,"Medium Income","High Income"))</f>
        <v>High Income</v>
      </c>
      <c r="D1276">
        <f>IF(INDEX(tblCleanData[Attrition],1268)="Yes",1,0)</f>
        <v>0</v>
      </c>
      <c r="E1276">
        <f>IF(INDEX(tblCleanData[OverTime],1268)="Yes",1,0)</f>
        <v>1</v>
      </c>
      <c r="F1276" t="str">
        <f>CHOOSE(INDEX(tblCleanData[Education],1268),"Below College","College","Bachelor","Master","Doctor")</f>
        <v>Bachelor</v>
      </c>
      <c r="G1276" t="str">
        <f>IF(INDEX(tblCleanData[YearsAtCompany],1268)&lt;=2,"0-2 Years",IF(INDEX(tblCleanData[YearsAtCompany],1268)&lt;=5,"3-5 Years",IF(INDEX(tblCleanData[YearsAtCompany],1268)&lt;=10,"6-10 Years","10+ Years")))</f>
        <v>10+ Years</v>
      </c>
      <c r="H1276" t="str">
        <f>IF(INDEX(tblCleanData[WorkLifeBalance],1268)&lt;=2,"Elevated","Normal")</f>
        <v>Normal</v>
      </c>
      <c r="I1276">
        <f>IF(INDEX(tblCleanData[Age],1268)&lt;30,30,IF(INDEX(tblCleanData[Age],1268)&lt;40,20,IF(INDEX(tblCleanData[Age],1268)&lt;50,10,15)))</f>
        <v>20</v>
      </c>
      <c r="J1276">
        <f>IF(INDEX(tblCleanData[MonthlyIncome],1268)&lt;=$B$3,25,IF(INDEX(tblCleanData[MonthlyIncome],1268)&lt;=$B$4,12,5))</f>
        <v>5</v>
      </c>
      <c r="K1276">
        <f>IF(INDEX(tblCleanData[OverTime],1268)="Yes",25,0)</f>
        <v>25</v>
      </c>
      <c r="L1276">
        <f>(5-INDEX(tblCleanData[JobSatisfaction],1268))*6.25</f>
        <v>12.5</v>
      </c>
      <c r="M1276">
        <f>IF(INDEX(tblCleanData[YearsAtCompany],1268)&lt;=2,25,IF(INDEX(tblCleanData[YearsAtCompany],1268)&lt;=5,15,IF(INDEX(tblCleanData[YearsAtCompany],1268)&lt;=10,8,3)))</f>
        <v>3</v>
      </c>
      <c r="N1276">
        <f t="shared" si="38"/>
        <v>66</v>
      </c>
      <c r="O1276" t="str">
        <f t="shared" si="39"/>
        <v>High Risk</v>
      </c>
    </row>
    <row r="1277" spans="1:15" x14ac:dyDescent="0.25">
      <c r="A1277">
        <f>INDEX(tblCleanData[EmployeeNumber],1269)</f>
        <v>1775</v>
      </c>
      <c r="B1277" t="str">
        <f>IF(INDEX(tblCleanData[Age],1269)&lt;30,"Under 30",IF(INDEX(tblCleanData[Age],1269)&lt;40,"30-39",IF(INDEX(tblCleanData[Age],1269)&lt;50,"40-49","50+")))</f>
        <v>50+</v>
      </c>
      <c r="C1277" t="str">
        <f>IF(INDEX(tblCleanData[MonthlyIncome],1269)&lt;=$B$3,"Low Income",IF(INDEX(tblCleanData[MonthlyIncome],1269)&lt;=$B$4,"Medium Income","High Income"))</f>
        <v>High Income</v>
      </c>
      <c r="D1277">
        <f>IF(INDEX(tblCleanData[Attrition],1269)="Yes",1,0)</f>
        <v>0</v>
      </c>
      <c r="E1277">
        <f>IF(INDEX(tblCleanData[OverTime],1269)="Yes",1,0)</f>
        <v>1</v>
      </c>
      <c r="F1277" t="str">
        <f>CHOOSE(INDEX(tblCleanData[Education],1269),"Below College","College","Bachelor","Master","Doctor")</f>
        <v>Master</v>
      </c>
      <c r="G1277" t="str">
        <f>IF(INDEX(tblCleanData[YearsAtCompany],1269)&lt;=2,"0-2 Years",IF(INDEX(tblCleanData[YearsAtCompany],1269)&lt;=5,"3-5 Years",IF(INDEX(tblCleanData[YearsAtCompany],1269)&lt;=10,"6-10 Years","10+ Years")))</f>
        <v>3-5 Years</v>
      </c>
      <c r="H1277" t="str">
        <f>IF(INDEX(tblCleanData[WorkLifeBalance],1269)&lt;=2,"Elevated","Normal")</f>
        <v>Elevated</v>
      </c>
      <c r="I1277">
        <f>IF(INDEX(tblCleanData[Age],1269)&lt;30,30,IF(INDEX(tblCleanData[Age],1269)&lt;40,20,IF(INDEX(tblCleanData[Age],1269)&lt;50,10,15)))</f>
        <v>15</v>
      </c>
      <c r="J1277">
        <f>IF(INDEX(tblCleanData[MonthlyIncome],1269)&lt;=$B$3,25,IF(INDEX(tblCleanData[MonthlyIncome],1269)&lt;=$B$4,12,5))</f>
        <v>5</v>
      </c>
      <c r="K1277">
        <f>IF(INDEX(tblCleanData[OverTime],1269)="Yes",25,0)</f>
        <v>25</v>
      </c>
      <c r="L1277">
        <f>(5-INDEX(tblCleanData[JobSatisfaction],1269))*6.25</f>
        <v>12.5</v>
      </c>
      <c r="M1277">
        <f>IF(INDEX(tblCleanData[YearsAtCompany],1269)&lt;=2,25,IF(INDEX(tblCleanData[YearsAtCompany],1269)&lt;=5,15,IF(INDEX(tblCleanData[YearsAtCompany],1269)&lt;=10,8,3)))</f>
        <v>15</v>
      </c>
      <c r="N1277">
        <f t="shared" si="38"/>
        <v>73</v>
      </c>
      <c r="O1277" t="str">
        <f t="shared" si="39"/>
        <v>High Risk</v>
      </c>
    </row>
    <row r="1278" spans="1:15" x14ac:dyDescent="0.25">
      <c r="A1278">
        <f>INDEX(tblCleanData[EmployeeNumber],1270)</f>
        <v>1778</v>
      </c>
      <c r="B1278" t="str">
        <f>IF(INDEX(tblCleanData[Age],1270)&lt;30,"Under 30",IF(INDEX(tblCleanData[Age],1270)&lt;40,"30-39",IF(INDEX(tblCleanData[Age],1270)&lt;50,"40-49","50+")))</f>
        <v>40-49</v>
      </c>
      <c r="C1278" t="str">
        <f>IF(INDEX(tblCleanData[MonthlyIncome],1270)&lt;=$B$3,"Low Income",IF(INDEX(tblCleanData[MonthlyIncome],1270)&lt;=$B$4,"Medium Income","High Income"))</f>
        <v>High Income</v>
      </c>
      <c r="D1278">
        <f>IF(INDEX(tblCleanData[Attrition],1270)="Yes",1,0)</f>
        <v>0</v>
      </c>
      <c r="E1278">
        <f>IF(INDEX(tblCleanData[OverTime],1270)="Yes",1,0)</f>
        <v>0</v>
      </c>
      <c r="F1278" t="str">
        <f>CHOOSE(INDEX(tblCleanData[Education],1270),"Below College","College","Bachelor","Master","Doctor")</f>
        <v>Bachelor</v>
      </c>
      <c r="G1278" t="str">
        <f>IF(INDEX(tblCleanData[YearsAtCompany],1270)&lt;=2,"0-2 Years",IF(INDEX(tblCleanData[YearsAtCompany],1270)&lt;=5,"3-5 Years",IF(INDEX(tblCleanData[YearsAtCompany],1270)&lt;=10,"6-10 Years","10+ Years")))</f>
        <v>6-10 Years</v>
      </c>
      <c r="H1278" t="str">
        <f>IF(INDEX(tblCleanData[WorkLifeBalance],1270)&lt;=2,"Elevated","Normal")</f>
        <v>Normal</v>
      </c>
      <c r="I1278">
        <f>IF(INDEX(tblCleanData[Age],1270)&lt;30,30,IF(INDEX(tblCleanData[Age],1270)&lt;40,20,IF(INDEX(tblCleanData[Age],1270)&lt;50,10,15)))</f>
        <v>10</v>
      </c>
      <c r="J1278">
        <f>IF(INDEX(tblCleanData[MonthlyIncome],1270)&lt;=$B$3,25,IF(INDEX(tblCleanData[MonthlyIncome],1270)&lt;=$B$4,12,5))</f>
        <v>5</v>
      </c>
      <c r="K1278">
        <f>IF(INDEX(tblCleanData[OverTime],1270)="Yes",25,0)</f>
        <v>0</v>
      </c>
      <c r="L1278">
        <f>(5-INDEX(tblCleanData[JobSatisfaction],1270))*6.25</f>
        <v>6.25</v>
      </c>
      <c r="M1278">
        <f>IF(INDEX(tblCleanData[YearsAtCompany],1270)&lt;=2,25,IF(INDEX(tblCleanData[YearsAtCompany],1270)&lt;=5,15,IF(INDEX(tblCleanData[YearsAtCompany],1270)&lt;=10,8,3)))</f>
        <v>8</v>
      </c>
      <c r="N1278">
        <f t="shared" si="38"/>
        <v>29</v>
      </c>
      <c r="O1278" t="str">
        <f t="shared" si="39"/>
        <v>Low Risk</v>
      </c>
    </row>
    <row r="1279" spans="1:15" x14ac:dyDescent="0.25">
      <c r="A1279">
        <f>INDEX(tblCleanData[EmployeeNumber],1271)</f>
        <v>1779</v>
      </c>
      <c r="B1279" t="str">
        <f>IF(INDEX(tblCleanData[Age],1271)&lt;30,"Under 30",IF(INDEX(tblCleanData[Age],1271)&lt;40,"30-39",IF(INDEX(tblCleanData[Age],1271)&lt;50,"40-49","50+")))</f>
        <v>30-39</v>
      </c>
      <c r="C1279" t="str">
        <f>IF(INDEX(tblCleanData[MonthlyIncome],1271)&lt;=$B$3,"Low Income",IF(INDEX(tblCleanData[MonthlyIncome],1271)&lt;=$B$4,"Medium Income","High Income"))</f>
        <v>High Income</v>
      </c>
      <c r="D1279">
        <f>IF(INDEX(tblCleanData[Attrition],1271)="Yes",1,0)</f>
        <v>0</v>
      </c>
      <c r="E1279">
        <f>IF(INDEX(tblCleanData[OverTime],1271)="Yes",1,0)</f>
        <v>0</v>
      </c>
      <c r="F1279" t="str">
        <f>CHOOSE(INDEX(tblCleanData[Education],1271),"Below College","College","Bachelor","Master","Doctor")</f>
        <v>College</v>
      </c>
      <c r="G1279" t="str">
        <f>IF(INDEX(tblCleanData[YearsAtCompany],1271)&lt;=2,"0-2 Years",IF(INDEX(tblCleanData[YearsAtCompany],1271)&lt;=5,"3-5 Years",IF(INDEX(tblCleanData[YearsAtCompany],1271)&lt;=10,"6-10 Years","10+ Years")))</f>
        <v>0-2 Years</v>
      </c>
      <c r="H1279" t="str">
        <f>IF(INDEX(tblCleanData[WorkLifeBalance],1271)&lt;=2,"Elevated","Normal")</f>
        <v>Normal</v>
      </c>
      <c r="I1279">
        <f>IF(INDEX(tblCleanData[Age],1271)&lt;30,30,IF(INDEX(tblCleanData[Age],1271)&lt;40,20,IF(INDEX(tblCleanData[Age],1271)&lt;50,10,15)))</f>
        <v>20</v>
      </c>
      <c r="J1279">
        <f>IF(INDEX(tblCleanData[MonthlyIncome],1271)&lt;=$B$3,25,IF(INDEX(tblCleanData[MonthlyIncome],1271)&lt;=$B$4,12,5))</f>
        <v>5</v>
      </c>
      <c r="K1279">
        <f>IF(INDEX(tblCleanData[OverTime],1271)="Yes",25,0)</f>
        <v>0</v>
      </c>
      <c r="L1279">
        <f>(5-INDEX(tblCleanData[JobSatisfaction],1271))*6.25</f>
        <v>6.25</v>
      </c>
      <c r="M1279">
        <f>IF(INDEX(tblCleanData[YearsAtCompany],1271)&lt;=2,25,IF(INDEX(tblCleanData[YearsAtCompany],1271)&lt;=5,15,IF(INDEX(tblCleanData[YearsAtCompany],1271)&lt;=10,8,3)))</f>
        <v>25</v>
      </c>
      <c r="N1279">
        <f t="shared" si="38"/>
        <v>56</v>
      </c>
      <c r="O1279" t="str">
        <f t="shared" si="39"/>
        <v>High Risk</v>
      </c>
    </row>
    <row r="1280" spans="1:15" x14ac:dyDescent="0.25">
      <c r="A1280">
        <f>INDEX(tblCleanData[EmployeeNumber],1272)</f>
        <v>1780</v>
      </c>
      <c r="B1280" t="str">
        <f>IF(INDEX(tblCleanData[Age],1272)&lt;30,"Under 30",IF(INDEX(tblCleanData[Age],1272)&lt;40,"30-39",IF(INDEX(tblCleanData[Age],1272)&lt;50,"40-49","50+")))</f>
        <v>Under 30</v>
      </c>
      <c r="C1280" t="str">
        <f>IF(INDEX(tblCleanData[MonthlyIncome],1272)&lt;=$B$3,"Low Income",IF(INDEX(tblCleanData[MonthlyIncome],1272)&lt;=$B$4,"Medium Income","High Income"))</f>
        <v>High Income</v>
      </c>
      <c r="D1280">
        <f>IF(INDEX(tblCleanData[Attrition],1272)="Yes",1,0)</f>
        <v>1</v>
      </c>
      <c r="E1280">
        <f>IF(INDEX(tblCleanData[OverTime],1272)="Yes",1,0)</f>
        <v>0</v>
      </c>
      <c r="F1280" t="str">
        <f>CHOOSE(INDEX(tblCleanData[Education],1272),"Below College","College","Bachelor","Master","Doctor")</f>
        <v>Below College</v>
      </c>
      <c r="G1280" t="str">
        <f>IF(INDEX(tblCleanData[YearsAtCompany],1272)&lt;=2,"0-2 Years",IF(INDEX(tblCleanData[YearsAtCompany],1272)&lt;=5,"3-5 Years",IF(INDEX(tblCleanData[YearsAtCompany],1272)&lt;=10,"6-10 Years","10+ Years")))</f>
        <v>0-2 Years</v>
      </c>
      <c r="H1280" t="str">
        <f>IF(INDEX(tblCleanData[WorkLifeBalance],1272)&lt;=2,"Elevated","Normal")</f>
        <v>Normal</v>
      </c>
      <c r="I1280">
        <f>IF(INDEX(tblCleanData[Age],1272)&lt;30,30,IF(INDEX(tblCleanData[Age],1272)&lt;40,20,IF(INDEX(tblCleanData[Age],1272)&lt;50,10,15)))</f>
        <v>30</v>
      </c>
      <c r="J1280">
        <f>IF(INDEX(tblCleanData[MonthlyIncome],1272)&lt;=$B$3,25,IF(INDEX(tblCleanData[MonthlyIncome],1272)&lt;=$B$4,12,5))</f>
        <v>5</v>
      </c>
      <c r="K1280">
        <f>IF(INDEX(tblCleanData[OverTime],1272)="Yes",25,0)</f>
        <v>0</v>
      </c>
      <c r="L1280">
        <f>(5-INDEX(tblCleanData[JobSatisfaction],1272))*6.25</f>
        <v>18.75</v>
      </c>
      <c r="M1280">
        <f>IF(INDEX(tblCleanData[YearsAtCompany],1272)&lt;=2,25,IF(INDEX(tblCleanData[YearsAtCompany],1272)&lt;=5,15,IF(INDEX(tblCleanData[YearsAtCompany],1272)&lt;=10,8,3)))</f>
        <v>25</v>
      </c>
      <c r="N1280">
        <f t="shared" si="38"/>
        <v>79</v>
      </c>
      <c r="O1280" t="str">
        <f t="shared" si="39"/>
        <v>High Risk</v>
      </c>
    </row>
    <row r="1281" spans="1:15" x14ac:dyDescent="0.25">
      <c r="A1281">
        <f>INDEX(tblCleanData[EmployeeNumber],1273)</f>
        <v>1782</v>
      </c>
      <c r="B1281" t="str">
        <f>IF(INDEX(tblCleanData[Age],1273)&lt;30,"Under 30",IF(INDEX(tblCleanData[Age],1273)&lt;40,"30-39",IF(INDEX(tblCleanData[Age],1273)&lt;50,"40-49","50+")))</f>
        <v>30-39</v>
      </c>
      <c r="C1281" t="str">
        <f>IF(INDEX(tblCleanData[MonthlyIncome],1273)&lt;=$B$3,"Low Income",IF(INDEX(tblCleanData[MonthlyIncome],1273)&lt;=$B$4,"Medium Income","High Income"))</f>
        <v>High Income</v>
      </c>
      <c r="D1281">
        <f>IF(INDEX(tblCleanData[Attrition],1273)="Yes",1,0)</f>
        <v>0</v>
      </c>
      <c r="E1281">
        <f>IF(INDEX(tblCleanData[OverTime],1273)="Yes",1,0)</f>
        <v>0</v>
      </c>
      <c r="F1281" t="str">
        <f>CHOOSE(INDEX(tblCleanData[Education],1273),"Below College","College","Bachelor","Master","Doctor")</f>
        <v>College</v>
      </c>
      <c r="G1281" t="str">
        <f>IF(INDEX(tblCleanData[YearsAtCompany],1273)&lt;=2,"0-2 Years",IF(INDEX(tblCleanData[YearsAtCompany],1273)&lt;=5,"3-5 Years",IF(INDEX(tblCleanData[YearsAtCompany],1273)&lt;=10,"6-10 Years","10+ Years")))</f>
        <v>3-5 Years</v>
      </c>
      <c r="H1281" t="str">
        <f>IF(INDEX(tblCleanData[WorkLifeBalance],1273)&lt;=2,"Elevated","Normal")</f>
        <v>Normal</v>
      </c>
      <c r="I1281">
        <f>IF(INDEX(tblCleanData[Age],1273)&lt;30,30,IF(INDEX(tblCleanData[Age],1273)&lt;40,20,IF(INDEX(tblCleanData[Age],1273)&lt;50,10,15)))</f>
        <v>20</v>
      </c>
      <c r="J1281">
        <f>IF(INDEX(tblCleanData[MonthlyIncome],1273)&lt;=$B$3,25,IF(INDEX(tblCleanData[MonthlyIncome],1273)&lt;=$B$4,12,5))</f>
        <v>5</v>
      </c>
      <c r="K1281">
        <f>IF(INDEX(tblCleanData[OverTime],1273)="Yes",25,0)</f>
        <v>0</v>
      </c>
      <c r="L1281">
        <f>(5-INDEX(tblCleanData[JobSatisfaction],1273))*6.25</f>
        <v>12.5</v>
      </c>
      <c r="M1281">
        <f>IF(INDEX(tblCleanData[YearsAtCompany],1273)&lt;=2,25,IF(INDEX(tblCleanData[YearsAtCompany],1273)&lt;=5,15,IF(INDEX(tblCleanData[YearsAtCompany],1273)&lt;=10,8,3)))</f>
        <v>15</v>
      </c>
      <c r="N1281">
        <f t="shared" si="38"/>
        <v>53</v>
      </c>
      <c r="O1281" t="str">
        <f t="shared" si="39"/>
        <v>Medium Risk</v>
      </c>
    </row>
    <row r="1282" spans="1:15" x14ac:dyDescent="0.25">
      <c r="A1282">
        <f>INDEX(tblCleanData[EmployeeNumber],1274)</f>
        <v>1783</v>
      </c>
      <c r="B1282" t="str">
        <f>IF(INDEX(tblCleanData[Age],1274)&lt;30,"Under 30",IF(INDEX(tblCleanData[Age],1274)&lt;40,"30-39",IF(INDEX(tblCleanData[Age],1274)&lt;50,"40-49","50+")))</f>
        <v>Under 30</v>
      </c>
      <c r="C1282" t="str">
        <f>IF(INDEX(tblCleanData[MonthlyIncome],1274)&lt;=$B$3,"Low Income",IF(INDEX(tblCleanData[MonthlyIncome],1274)&lt;=$B$4,"Medium Income","High Income"))</f>
        <v>High Income</v>
      </c>
      <c r="D1282">
        <f>IF(INDEX(tblCleanData[Attrition],1274)="Yes",1,0)</f>
        <v>1</v>
      </c>
      <c r="E1282">
        <f>IF(INDEX(tblCleanData[OverTime],1274)="Yes",1,0)</f>
        <v>1</v>
      </c>
      <c r="F1282" t="str">
        <f>CHOOSE(INDEX(tblCleanData[Education],1274),"Below College","College","Bachelor","Master","Doctor")</f>
        <v>Below College</v>
      </c>
      <c r="G1282" t="str">
        <f>IF(INDEX(tblCleanData[YearsAtCompany],1274)&lt;=2,"0-2 Years",IF(INDEX(tblCleanData[YearsAtCompany],1274)&lt;=5,"3-5 Years",IF(INDEX(tblCleanData[YearsAtCompany],1274)&lt;=10,"6-10 Years","10+ Years")))</f>
        <v>0-2 Years</v>
      </c>
      <c r="H1282" t="str">
        <f>IF(INDEX(tblCleanData[WorkLifeBalance],1274)&lt;=2,"Elevated","Normal")</f>
        <v>Normal</v>
      </c>
      <c r="I1282">
        <f>IF(INDEX(tblCleanData[Age],1274)&lt;30,30,IF(INDEX(tblCleanData[Age],1274)&lt;40,20,IF(INDEX(tblCleanData[Age],1274)&lt;50,10,15)))</f>
        <v>30</v>
      </c>
      <c r="J1282">
        <f>IF(INDEX(tblCleanData[MonthlyIncome],1274)&lt;=$B$3,25,IF(INDEX(tblCleanData[MonthlyIncome],1274)&lt;=$B$4,12,5))</f>
        <v>5</v>
      </c>
      <c r="K1282">
        <f>IF(INDEX(tblCleanData[OverTime],1274)="Yes",25,0)</f>
        <v>25</v>
      </c>
      <c r="L1282">
        <f>(5-INDEX(tblCleanData[JobSatisfaction],1274))*6.25</f>
        <v>25</v>
      </c>
      <c r="M1282">
        <f>IF(INDEX(tblCleanData[YearsAtCompany],1274)&lt;=2,25,IF(INDEX(tblCleanData[YearsAtCompany],1274)&lt;=5,15,IF(INDEX(tblCleanData[YearsAtCompany],1274)&lt;=10,8,3)))</f>
        <v>25</v>
      </c>
      <c r="N1282">
        <f t="shared" si="38"/>
        <v>110</v>
      </c>
      <c r="O1282" t="str">
        <f t="shared" si="39"/>
        <v>High Risk</v>
      </c>
    </row>
    <row r="1283" spans="1:15" x14ac:dyDescent="0.25">
      <c r="A1283">
        <f>INDEX(tblCleanData[EmployeeNumber],1275)</f>
        <v>1784</v>
      </c>
      <c r="B1283" t="str">
        <f>IF(INDEX(tblCleanData[Age],1275)&lt;30,"Under 30",IF(INDEX(tblCleanData[Age],1275)&lt;40,"30-39",IF(INDEX(tblCleanData[Age],1275)&lt;50,"40-49","50+")))</f>
        <v>30-39</v>
      </c>
      <c r="C1283" t="str">
        <f>IF(INDEX(tblCleanData[MonthlyIncome],1275)&lt;=$B$3,"Low Income",IF(INDEX(tblCleanData[MonthlyIncome],1275)&lt;=$B$4,"Medium Income","High Income"))</f>
        <v>High Income</v>
      </c>
      <c r="D1283">
        <f>IF(INDEX(tblCleanData[Attrition],1275)="Yes",1,0)</f>
        <v>0</v>
      </c>
      <c r="E1283">
        <f>IF(INDEX(tblCleanData[OverTime],1275)="Yes",1,0)</f>
        <v>0</v>
      </c>
      <c r="F1283" t="str">
        <f>CHOOSE(INDEX(tblCleanData[Education],1275),"Below College","College","Bachelor","Master","Doctor")</f>
        <v>Master</v>
      </c>
      <c r="G1283" t="str">
        <f>IF(INDEX(tblCleanData[YearsAtCompany],1275)&lt;=2,"0-2 Years",IF(INDEX(tblCleanData[YearsAtCompany],1275)&lt;=5,"3-5 Years",IF(INDEX(tblCleanData[YearsAtCompany],1275)&lt;=10,"6-10 Years","10+ Years")))</f>
        <v>10+ Years</v>
      </c>
      <c r="H1283" t="str">
        <f>IF(INDEX(tblCleanData[WorkLifeBalance],1275)&lt;=2,"Elevated","Normal")</f>
        <v>Normal</v>
      </c>
      <c r="I1283">
        <f>IF(INDEX(tblCleanData[Age],1275)&lt;30,30,IF(INDEX(tblCleanData[Age],1275)&lt;40,20,IF(INDEX(tblCleanData[Age],1275)&lt;50,10,15)))</f>
        <v>20</v>
      </c>
      <c r="J1283">
        <f>IF(INDEX(tblCleanData[MonthlyIncome],1275)&lt;=$B$3,25,IF(INDEX(tblCleanData[MonthlyIncome],1275)&lt;=$B$4,12,5))</f>
        <v>5</v>
      </c>
      <c r="K1283">
        <f>IF(INDEX(tblCleanData[OverTime],1275)="Yes",25,0)</f>
        <v>0</v>
      </c>
      <c r="L1283">
        <f>(5-INDEX(tblCleanData[JobSatisfaction],1275))*6.25</f>
        <v>6.25</v>
      </c>
      <c r="M1283">
        <f>IF(INDEX(tblCleanData[YearsAtCompany],1275)&lt;=2,25,IF(INDEX(tblCleanData[YearsAtCompany],1275)&lt;=5,15,IF(INDEX(tblCleanData[YearsAtCompany],1275)&lt;=10,8,3)))</f>
        <v>3</v>
      </c>
      <c r="N1283">
        <f t="shared" si="38"/>
        <v>34</v>
      </c>
      <c r="O1283" t="str">
        <f t="shared" si="39"/>
        <v>Low Risk</v>
      </c>
    </row>
    <row r="1284" spans="1:15" x14ac:dyDescent="0.25">
      <c r="A1284">
        <f>INDEX(tblCleanData[EmployeeNumber],1276)</f>
        <v>1786</v>
      </c>
      <c r="B1284" t="str">
        <f>IF(INDEX(tblCleanData[Age],1276)&lt;30,"Under 30",IF(INDEX(tblCleanData[Age],1276)&lt;40,"30-39",IF(INDEX(tblCleanData[Age],1276)&lt;50,"40-49","50+")))</f>
        <v>50+</v>
      </c>
      <c r="C1284" t="str">
        <f>IF(INDEX(tblCleanData[MonthlyIncome],1276)&lt;=$B$3,"Low Income",IF(INDEX(tblCleanData[MonthlyIncome],1276)&lt;=$B$4,"Medium Income","High Income"))</f>
        <v>High Income</v>
      </c>
      <c r="D1284">
        <f>IF(INDEX(tblCleanData[Attrition],1276)="Yes",1,0)</f>
        <v>0</v>
      </c>
      <c r="E1284">
        <f>IF(INDEX(tblCleanData[OverTime],1276)="Yes",1,0)</f>
        <v>0</v>
      </c>
      <c r="F1284" t="str">
        <f>CHOOSE(INDEX(tblCleanData[Education],1276),"Below College","College","Bachelor","Master","Doctor")</f>
        <v>Bachelor</v>
      </c>
      <c r="G1284" t="str">
        <f>IF(INDEX(tblCleanData[YearsAtCompany],1276)&lt;=2,"0-2 Years",IF(INDEX(tblCleanData[YearsAtCompany],1276)&lt;=5,"3-5 Years",IF(INDEX(tblCleanData[YearsAtCompany],1276)&lt;=10,"6-10 Years","10+ Years")))</f>
        <v>0-2 Years</v>
      </c>
      <c r="H1284" t="str">
        <f>IF(INDEX(tblCleanData[WorkLifeBalance],1276)&lt;=2,"Elevated","Normal")</f>
        <v>Normal</v>
      </c>
      <c r="I1284">
        <f>IF(INDEX(tblCleanData[Age],1276)&lt;30,30,IF(INDEX(tblCleanData[Age],1276)&lt;40,20,IF(INDEX(tblCleanData[Age],1276)&lt;50,10,15)))</f>
        <v>15</v>
      </c>
      <c r="J1284">
        <f>IF(INDEX(tblCleanData[MonthlyIncome],1276)&lt;=$B$3,25,IF(INDEX(tblCleanData[MonthlyIncome],1276)&lt;=$B$4,12,5))</f>
        <v>5</v>
      </c>
      <c r="K1284">
        <f>IF(INDEX(tblCleanData[OverTime],1276)="Yes",25,0)</f>
        <v>0</v>
      </c>
      <c r="L1284">
        <f>(5-INDEX(tblCleanData[JobSatisfaction],1276))*6.25</f>
        <v>12.5</v>
      </c>
      <c r="M1284">
        <f>IF(INDEX(tblCleanData[YearsAtCompany],1276)&lt;=2,25,IF(INDEX(tblCleanData[YearsAtCompany],1276)&lt;=5,15,IF(INDEX(tblCleanData[YearsAtCompany],1276)&lt;=10,8,3)))</f>
        <v>25</v>
      </c>
      <c r="N1284">
        <f t="shared" si="38"/>
        <v>58</v>
      </c>
      <c r="O1284" t="str">
        <f t="shared" si="39"/>
        <v>High Risk</v>
      </c>
    </row>
    <row r="1285" spans="1:15" x14ac:dyDescent="0.25">
      <c r="A1285">
        <f>INDEX(tblCleanData[EmployeeNumber],1277)</f>
        <v>1787</v>
      </c>
      <c r="B1285" t="str">
        <f>IF(INDEX(tblCleanData[Age],1277)&lt;30,"Under 30",IF(INDEX(tblCleanData[Age],1277)&lt;40,"30-39",IF(INDEX(tblCleanData[Age],1277)&lt;50,"40-49","50+")))</f>
        <v>30-39</v>
      </c>
      <c r="C1285" t="str">
        <f>IF(INDEX(tblCleanData[MonthlyIncome],1277)&lt;=$B$3,"Low Income",IF(INDEX(tblCleanData[MonthlyIncome],1277)&lt;=$B$4,"Medium Income","High Income"))</f>
        <v>High Income</v>
      </c>
      <c r="D1285">
        <f>IF(INDEX(tblCleanData[Attrition],1277)="Yes",1,0)</f>
        <v>0</v>
      </c>
      <c r="E1285">
        <f>IF(INDEX(tblCleanData[OverTime],1277)="Yes",1,0)</f>
        <v>0</v>
      </c>
      <c r="F1285" t="str">
        <f>CHOOSE(INDEX(tblCleanData[Education],1277),"Below College","College","Bachelor","Master","Doctor")</f>
        <v>College</v>
      </c>
      <c r="G1285" t="str">
        <f>IF(INDEX(tblCleanData[YearsAtCompany],1277)&lt;=2,"0-2 Years",IF(INDEX(tblCleanData[YearsAtCompany],1277)&lt;=5,"3-5 Years",IF(INDEX(tblCleanData[YearsAtCompany],1277)&lt;=10,"6-10 Years","10+ Years")))</f>
        <v>3-5 Years</v>
      </c>
      <c r="H1285" t="str">
        <f>IF(INDEX(tblCleanData[WorkLifeBalance],1277)&lt;=2,"Elevated","Normal")</f>
        <v>Normal</v>
      </c>
      <c r="I1285">
        <f>IF(INDEX(tblCleanData[Age],1277)&lt;30,30,IF(INDEX(tblCleanData[Age],1277)&lt;40,20,IF(INDEX(tblCleanData[Age],1277)&lt;50,10,15)))</f>
        <v>20</v>
      </c>
      <c r="J1285">
        <f>IF(INDEX(tblCleanData[MonthlyIncome],1277)&lt;=$B$3,25,IF(INDEX(tblCleanData[MonthlyIncome],1277)&lt;=$B$4,12,5))</f>
        <v>5</v>
      </c>
      <c r="K1285">
        <f>IF(INDEX(tblCleanData[OverTime],1277)="Yes",25,0)</f>
        <v>0</v>
      </c>
      <c r="L1285">
        <f>(5-INDEX(tblCleanData[JobSatisfaction],1277))*6.25</f>
        <v>18.75</v>
      </c>
      <c r="M1285">
        <f>IF(INDEX(tblCleanData[YearsAtCompany],1277)&lt;=2,25,IF(INDEX(tblCleanData[YearsAtCompany],1277)&lt;=5,15,IF(INDEX(tblCleanData[YearsAtCompany],1277)&lt;=10,8,3)))</f>
        <v>15</v>
      </c>
      <c r="N1285">
        <f t="shared" si="38"/>
        <v>59</v>
      </c>
      <c r="O1285" t="str">
        <f t="shared" si="39"/>
        <v>High Risk</v>
      </c>
    </row>
    <row r="1286" spans="1:15" x14ac:dyDescent="0.25">
      <c r="A1286">
        <f>INDEX(tblCleanData[EmployeeNumber],1278)</f>
        <v>1789</v>
      </c>
      <c r="B1286" t="str">
        <f>IF(INDEX(tblCleanData[Age],1278)&lt;30,"Under 30",IF(INDEX(tblCleanData[Age],1278)&lt;40,"30-39",IF(INDEX(tblCleanData[Age],1278)&lt;50,"40-49","50+")))</f>
        <v>40-49</v>
      </c>
      <c r="C1286" t="str">
        <f>IF(INDEX(tblCleanData[MonthlyIncome],1278)&lt;=$B$3,"Low Income",IF(INDEX(tblCleanData[MonthlyIncome],1278)&lt;=$B$4,"Medium Income","High Income"))</f>
        <v>High Income</v>
      </c>
      <c r="D1286">
        <f>IF(INDEX(tblCleanData[Attrition],1278)="Yes",1,0)</f>
        <v>0</v>
      </c>
      <c r="E1286">
        <f>IF(INDEX(tblCleanData[OverTime],1278)="Yes",1,0)</f>
        <v>1</v>
      </c>
      <c r="F1286" t="str">
        <f>CHOOSE(INDEX(tblCleanData[Education],1278),"Below College","College","Bachelor","Master","Doctor")</f>
        <v>Master</v>
      </c>
      <c r="G1286" t="str">
        <f>IF(INDEX(tblCleanData[YearsAtCompany],1278)&lt;=2,"0-2 Years",IF(INDEX(tblCleanData[YearsAtCompany],1278)&lt;=5,"3-5 Years",IF(INDEX(tblCleanData[YearsAtCompany],1278)&lt;=10,"6-10 Years","10+ Years")))</f>
        <v>0-2 Years</v>
      </c>
      <c r="H1286" t="str">
        <f>IF(INDEX(tblCleanData[WorkLifeBalance],1278)&lt;=2,"Elevated","Normal")</f>
        <v>Normal</v>
      </c>
      <c r="I1286">
        <f>IF(INDEX(tblCleanData[Age],1278)&lt;30,30,IF(INDEX(tblCleanData[Age],1278)&lt;40,20,IF(INDEX(tblCleanData[Age],1278)&lt;50,10,15)))</f>
        <v>10</v>
      </c>
      <c r="J1286">
        <f>IF(INDEX(tblCleanData[MonthlyIncome],1278)&lt;=$B$3,25,IF(INDEX(tblCleanData[MonthlyIncome],1278)&lt;=$B$4,12,5))</f>
        <v>5</v>
      </c>
      <c r="K1286">
        <f>IF(INDEX(tblCleanData[OverTime],1278)="Yes",25,0)</f>
        <v>25</v>
      </c>
      <c r="L1286">
        <f>(5-INDEX(tblCleanData[JobSatisfaction],1278))*6.25</f>
        <v>6.25</v>
      </c>
      <c r="M1286">
        <f>IF(INDEX(tblCleanData[YearsAtCompany],1278)&lt;=2,25,IF(INDEX(tblCleanData[YearsAtCompany],1278)&lt;=5,15,IF(INDEX(tblCleanData[YearsAtCompany],1278)&lt;=10,8,3)))</f>
        <v>25</v>
      </c>
      <c r="N1286">
        <f t="shared" si="38"/>
        <v>71</v>
      </c>
      <c r="O1286" t="str">
        <f t="shared" si="39"/>
        <v>High Risk</v>
      </c>
    </row>
    <row r="1287" spans="1:15" x14ac:dyDescent="0.25">
      <c r="A1287">
        <f>INDEX(tblCleanData[EmployeeNumber],1279)</f>
        <v>1790</v>
      </c>
      <c r="B1287" t="str">
        <f>IF(INDEX(tblCleanData[Age],1279)&lt;30,"Under 30",IF(INDEX(tblCleanData[Age],1279)&lt;40,"30-39",IF(INDEX(tblCleanData[Age],1279)&lt;50,"40-49","50+")))</f>
        <v>30-39</v>
      </c>
      <c r="C1287" t="str">
        <f>IF(INDEX(tblCleanData[MonthlyIncome],1279)&lt;=$B$3,"Low Income",IF(INDEX(tblCleanData[MonthlyIncome],1279)&lt;=$B$4,"Medium Income","High Income"))</f>
        <v>High Income</v>
      </c>
      <c r="D1287">
        <f>IF(INDEX(tblCleanData[Attrition],1279)="Yes",1,0)</f>
        <v>0</v>
      </c>
      <c r="E1287">
        <f>IF(INDEX(tblCleanData[OverTime],1279)="Yes",1,0)</f>
        <v>1</v>
      </c>
      <c r="F1287" t="str">
        <f>CHOOSE(INDEX(tblCleanData[Education],1279),"Below College","College","Bachelor","Master","Doctor")</f>
        <v>Bachelor</v>
      </c>
      <c r="G1287" t="str">
        <f>IF(INDEX(tblCleanData[YearsAtCompany],1279)&lt;=2,"0-2 Years",IF(INDEX(tblCleanData[YearsAtCompany],1279)&lt;=5,"3-5 Years",IF(INDEX(tblCleanData[YearsAtCompany],1279)&lt;=10,"6-10 Years","10+ Years")))</f>
        <v>10+ Years</v>
      </c>
      <c r="H1287" t="str">
        <f>IF(INDEX(tblCleanData[WorkLifeBalance],1279)&lt;=2,"Elevated","Normal")</f>
        <v>Normal</v>
      </c>
      <c r="I1287">
        <f>IF(INDEX(tblCleanData[Age],1279)&lt;30,30,IF(INDEX(tblCleanData[Age],1279)&lt;40,20,IF(INDEX(tblCleanData[Age],1279)&lt;50,10,15)))</f>
        <v>20</v>
      </c>
      <c r="J1287">
        <f>IF(INDEX(tblCleanData[MonthlyIncome],1279)&lt;=$B$3,25,IF(INDEX(tblCleanData[MonthlyIncome],1279)&lt;=$B$4,12,5))</f>
        <v>5</v>
      </c>
      <c r="K1287">
        <f>IF(INDEX(tblCleanData[OverTime],1279)="Yes",25,0)</f>
        <v>25</v>
      </c>
      <c r="L1287">
        <f>(5-INDEX(tblCleanData[JobSatisfaction],1279))*6.25</f>
        <v>25</v>
      </c>
      <c r="M1287">
        <f>IF(INDEX(tblCleanData[YearsAtCompany],1279)&lt;=2,25,IF(INDEX(tblCleanData[YearsAtCompany],1279)&lt;=5,15,IF(INDEX(tblCleanData[YearsAtCompany],1279)&lt;=10,8,3)))</f>
        <v>3</v>
      </c>
      <c r="N1287">
        <f t="shared" si="38"/>
        <v>78</v>
      </c>
      <c r="O1287" t="str">
        <f t="shared" si="39"/>
        <v>High Risk</v>
      </c>
    </row>
    <row r="1288" spans="1:15" x14ac:dyDescent="0.25">
      <c r="A1288">
        <f>INDEX(tblCleanData[EmployeeNumber],1280)</f>
        <v>1792</v>
      </c>
      <c r="B1288" t="str">
        <f>IF(INDEX(tblCleanData[Age],1280)&lt;30,"Under 30",IF(INDEX(tblCleanData[Age],1280)&lt;40,"30-39",IF(INDEX(tblCleanData[Age],1280)&lt;50,"40-49","50+")))</f>
        <v>40-49</v>
      </c>
      <c r="C1288" t="str">
        <f>IF(INDEX(tblCleanData[MonthlyIncome],1280)&lt;=$B$3,"Low Income",IF(INDEX(tblCleanData[MonthlyIncome],1280)&lt;=$B$4,"Medium Income","High Income"))</f>
        <v>High Income</v>
      </c>
      <c r="D1288">
        <f>IF(INDEX(tblCleanData[Attrition],1280)="Yes",1,0)</f>
        <v>1</v>
      </c>
      <c r="E1288">
        <f>IF(INDEX(tblCleanData[OverTime],1280)="Yes",1,0)</f>
        <v>1</v>
      </c>
      <c r="F1288" t="str">
        <f>CHOOSE(INDEX(tblCleanData[Education],1280),"Below College","College","Bachelor","Master","Doctor")</f>
        <v>College</v>
      </c>
      <c r="G1288" t="str">
        <f>IF(INDEX(tblCleanData[YearsAtCompany],1280)&lt;=2,"0-2 Years",IF(INDEX(tblCleanData[YearsAtCompany],1280)&lt;=5,"3-5 Years",IF(INDEX(tblCleanData[YearsAtCompany],1280)&lt;=10,"6-10 Years","10+ Years")))</f>
        <v>3-5 Years</v>
      </c>
      <c r="H1288" t="str">
        <f>IF(INDEX(tblCleanData[WorkLifeBalance],1280)&lt;=2,"Elevated","Normal")</f>
        <v>Elevated</v>
      </c>
      <c r="I1288">
        <f>IF(INDEX(tblCleanData[Age],1280)&lt;30,30,IF(INDEX(tblCleanData[Age],1280)&lt;40,20,IF(INDEX(tblCleanData[Age],1280)&lt;50,10,15)))</f>
        <v>10</v>
      </c>
      <c r="J1288">
        <f>IF(INDEX(tblCleanData[MonthlyIncome],1280)&lt;=$B$3,25,IF(INDEX(tblCleanData[MonthlyIncome],1280)&lt;=$B$4,12,5))</f>
        <v>5</v>
      </c>
      <c r="K1288">
        <f>IF(INDEX(tblCleanData[OverTime],1280)="Yes",25,0)</f>
        <v>25</v>
      </c>
      <c r="L1288">
        <f>(5-INDEX(tblCleanData[JobSatisfaction],1280))*6.25</f>
        <v>18.75</v>
      </c>
      <c r="M1288">
        <f>IF(INDEX(tblCleanData[YearsAtCompany],1280)&lt;=2,25,IF(INDEX(tblCleanData[YearsAtCompany],1280)&lt;=5,15,IF(INDEX(tblCleanData[YearsAtCompany],1280)&lt;=10,8,3)))</f>
        <v>15</v>
      </c>
      <c r="N1288">
        <f t="shared" si="38"/>
        <v>74</v>
      </c>
      <c r="O1288" t="str">
        <f t="shared" si="39"/>
        <v>High Risk</v>
      </c>
    </row>
    <row r="1289" spans="1:15" x14ac:dyDescent="0.25">
      <c r="A1289">
        <f>INDEX(tblCleanData[EmployeeNumber],1281)</f>
        <v>1794</v>
      </c>
      <c r="B1289" t="str">
        <f>IF(INDEX(tblCleanData[Age],1281)&lt;30,"Under 30",IF(INDEX(tblCleanData[Age],1281)&lt;40,"30-39",IF(INDEX(tblCleanData[Age],1281)&lt;50,"40-49","50+")))</f>
        <v>30-39</v>
      </c>
      <c r="C1289" t="str">
        <f>IF(INDEX(tblCleanData[MonthlyIncome],1281)&lt;=$B$3,"Low Income",IF(INDEX(tblCleanData[MonthlyIncome],1281)&lt;=$B$4,"Medium Income","High Income"))</f>
        <v>High Income</v>
      </c>
      <c r="D1289">
        <f>IF(INDEX(tblCleanData[Attrition],1281)="Yes",1,0)</f>
        <v>0</v>
      </c>
      <c r="E1289">
        <f>IF(INDEX(tblCleanData[OverTime],1281)="Yes",1,0)</f>
        <v>0</v>
      </c>
      <c r="F1289" t="str">
        <f>CHOOSE(INDEX(tblCleanData[Education],1281),"Below College","College","Bachelor","Master","Doctor")</f>
        <v>College</v>
      </c>
      <c r="G1289" t="str">
        <f>IF(INDEX(tblCleanData[YearsAtCompany],1281)&lt;=2,"0-2 Years",IF(INDEX(tblCleanData[YearsAtCompany],1281)&lt;=5,"3-5 Years",IF(INDEX(tblCleanData[YearsAtCompany],1281)&lt;=10,"6-10 Years","10+ Years")))</f>
        <v>6-10 Years</v>
      </c>
      <c r="H1289" t="str">
        <f>IF(INDEX(tblCleanData[WorkLifeBalance],1281)&lt;=2,"Elevated","Normal")</f>
        <v>Elevated</v>
      </c>
      <c r="I1289">
        <f>IF(INDEX(tblCleanData[Age],1281)&lt;30,30,IF(INDEX(tblCleanData[Age],1281)&lt;40,20,IF(INDEX(tblCleanData[Age],1281)&lt;50,10,15)))</f>
        <v>20</v>
      </c>
      <c r="J1289">
        <f>IF(INDEX(tblCleanData[MonthlyIncome],1281)&lt;=$B$3,25,IF(INDEX(tblCleanData[MonthlyIncome],1281)&lt;=$B$4,12,5))</f>
        <v>5</v>
      </c>
      <c r="K1289">
        <f>IF(INDEX(tblCleanData[OverTime],1281)="Yes",25,0)</f>
        <v>0</v>
      </c>
      <c r="L1289">
        <f>(5-INDEX(tblCleanData[JobSatisfaction],1281))*6.25</f>
        <v>18.75</v>
      </c>
      <c r="M1289">
        <f>IF(INDEX(tblCleanData[YearsAtCompany],1281)&lt;=2,25,IF(INDEX(tblCleanData[YearsAtCompany],1281)&lt;=5,15,IF(INDEX(tblCleanData[YearsAtCompany],1281)&lt;=10,8,3)))</f>
        <v>8</v>
      </c>
      <c r="N1289">
        <f t="shared" ref="N1289:N1352" si="40">ROUND(I1289+J1289+K1289+L1289+M1289,0)</f>
        <v>52</v>
      </c>
      <c r="O1289" t="str">
        <f t="shared" ref="O1289:O1352" si="41">IF(N1289&gt;=55,"High Risk",IF(N1289&gt;=35,"Medium Risk","Low Risk"))</f>
        <v>Medium Risk</v>
      </c>
    </row>
    <row r="1290" spans="1:15" x14ac:dyDescent="0.25">
      <c r="A1290">
        <f>INDEX(tblCleanData[EmployeeNumber],1282)</f>
        <v>1797</v>
      </c>
      <c r="B1290" t="str">
        <f>IF(INDEX(tblCleanData[Age],1282)&lt;30,"Under 30",IF(INDEX(tblCleanData[Age],1282)&lt;40,"30-39",IF(INDEX(tblCleanData[Age],1282)&lt;50,"40-49","50+")))</f>
        <v>30-39</v>
      </c>
      <c r="C1290" t="str">
        <f>IF(INDEX(tblCleanData[MonthlyIncome],1282)&lt;=$B$3,"Low Income",IF(INDEX(tblCleanData[MonthlyIncome],1282)&lt;=$B$4,"Medium Income","High Income"))</f>
        <v>High Income</v>
      </c>
      <c r="D1290">
        <f>IF(INDEX(tblCleanData[Attrition],1282)="Yes",1,0)</f>
        <v>1</v>
      </c>
      <c r="E1290">
        <f>IF(INDEX(tblCleanData[OverTime],1282)="Yes",1,0)</f>
        <v>1</v>
      </c>
      <c r="F1290" t="str">
        <f>CHOOSE(INDEX(tblCleanData[Education],1282),"Below College","College","Bachelor","Master","Doctor")</f>
        <v>Bachelor</v>
      </c>
      <c r="G1290" t="str">
        <f>IF(INDEX(tblCleanData[YearsAtCompany],1282)&lt;=2,"0-2 Years",IF(INDEX(tblCleanData[YearsAtCompany],1282)&lt;=5,"3-5 Years",IF(INDEX(tblCleanData[YearsAtCompany],1282)&lt;=10,"6-10 Years","10+ Years")))</f>
        <v>6-10 Years</v>
      </c>
      <c r="H1290" t="str">
        <f>IF(INDEX(tblCleanData[WorkLifeBalance],1282)&lt;=2,"Elevated","Normal")</f>
        <v>Normal</v>
      </c>
      <c r="I1290">
        <f>IF(INDEX(tblCleanData[Age],1282)&lt;30,30,IF(INDEX(tblCleanData[Age],1282)&lt;40,20,IF(INDEX(tblCleanData[Age],1282)&lt;50,10,15)))</f>
        <v>20</v>
      </c>
      <c r="J1290">
        <f>IF(INDEX(tblCleanData[MonthlyIncome],1282)&lt;=$B$3,25,IF(INDEX(tblCleanData[MonthlyIncome],1282)&lt;=$B$4,12,5))</f>
        <v>5</v>
      </c>
      <c r="K1290">
        <f>IF(INDEX(tblCleanData[OverTime],1282)="Yes",25,0)</f>
        <v>25</v>
      </c>
      <c r="L1290">
        <f>(5-INDEX(tblCleanData[JobSatisfaction],1282))*6.25</f>
        <v>6.25</v>
      </c>
      <c r="M1290">
        <f>IF(INDEX(tblCleanData[YearsAtCompany],1282)&lt;=2,25,IF(INDEX(tblCleanData[YearsAtCompany],1282)&lt;=5,15,IF(INDEX(tblCleanData[YearsAtCompany],1282)&lt;=10,8,3)))</f>
        <v>8</v>
      </c>
      <c r="N1290">
        <f t="shared" si="40"/>
        <v>64</v>
      </c>
      <c r="O1290" t="str">
        <f t="shared" si="41"/>
        <v>High Risk</v>
      </c>
    </row>
    <row r="1291" spans="1:15" x14ac:dyDescent="0.25">
      <c r="A1291">
        <f>INDEX(tblCleanData[EmployeeNumber],1283)</f>
        <v>1798</v>
      </c>
      <c r="B1291" t="str">
        <f>IF(INDEX(tblCleanData[Age],1283)&lt;30,"Under 30",IF(INDEX(tblCleanData[Age],1283)&lt;40,"30-39",IF(INDEX(tblCleanData[Age],1283)&lt;50,"40-49","50+")))</f>
        <v>30-39</v>
      </c>
      <c r="C1291" t="str">
        <f>IF(INDEX(tblCleanData[MonthlyIncome],1283)&lt;=$B$3,"Low Income",IF(INDEX(tblCleanData[MonthlyIncome],1283)&lt;=$B$4,"Medium Income","High Income"))</f>
        <v>High Income</v>
      </c>
      <c r="D1291">
        <f>IF(INDEX(tblCleanData[Attrition],1283)="Yes",1,0)</f>
        <v>0</v>
      </c>
      <c r="E1291">
        <f>IF(INDEX(tblCleanData[OverTime],1283)="Yes",1,0)</f>
        <v>0</v>
      </c>
      <c r="F1291" t="str">
        <f>CHOOSE(INDEX(tblCleanData[Education],1283),"Below College","College","Bachelor","Master","Doctor")</f>
        <v>Master</v>
      </c>
      <c r="G1291" t="str">
        <f>IF(INDEX(tblCleanData[YearsAtCompany],1283)&lt;=2,"0-2 Years",IF(INDEX(tblCleanData[YearsAtCompany],1283)&lt;=5,"3-5 Years",IF(INDEX(tblCleanData[YearsAtCompany],1283)&lt;=10,"6-10 Years","10+ Years")))</f>
        <v>6-10 Years</v>
      </c>
      <c r="H1291" t="str">
        <f>IF(INDEX(tblCleanData[WorkLifeBalance],1283)&lt;=2,"Elevated","Normal")</f>
        <v>Normal</v>
      </c>
      <c r="I1291">
        <f>IF(INDEX(tblCleanData[Age],1283)&lt;30,30,IF(INDEX(tblCleanData[Age],1283)&lt;40,20,IF(INDEX(tblCleanData[Age],1283)&lt;50,10,15)))</f>
        <v>20</v>
      </c>
      <c r="J1291">
        <f>IF(INDEX(tblCleanData[MonthlyIncome],1283)&lt;=$B$3,25,IF(INDEX(tblCleanData[MonthlyIncome],1283)&lt;=$B$4,12,5))</f>
        <v>5</v>
      </c>
      <c r="K1291">
        <f>IF(INDEX(tblCleanData[OverTime],1283)="Yes",25,0)</f>
        <v>0</v>
      </c>
      <c r="L1291">
        <f>(5-INDEX(tblCleanData[JobSatisfaction],1283))*6.25</f>
        <v>25</v>
      </c>
      <c r="M1291">
        <f>IF(INDEX(tblCleanData[YearsAtCompany],1283)&lt;=2,25,IF(INDEX(tblCleanData[YearsAtCompany],1283)&lt;=5,15,IF(INDEX(tblCleanData[YearsAtCompany],1283)&lt;=10,8,3)))</f>
        <v>8</v>
      </c>
      <c r="N1291">
        <f t="shared" si="40"/>
        <v>58</v>
      </c>
      <c r="O1291" t="str">
        <f t="shared" si="41"/>
        <v>High Risk</v>
      </c>
    </row>
    <row r="1292" spans="1:15" x14ac:dyDescent="0.25">
      <c r="A1292">
        <f>INDEX(tblCleanData[EmployeeNumber],1284)</f>
        <v>1799</v>
      </c>
      <c r="B1292" t="str">
        <f>IF(INDEX(tblCleanData[Age],1284)&lt;30,"Under 30",IF(INDEX(tblCleanData[Age],1284)&lt;40,"30-39",IF(INDEX(tblCleanData[Age],1284)&lt;50,"40-49","50+")))</f>
        <v>Under 30</v>
      </c>
      <c r="C1292" t="str">
        <f>IF(INDEX(tblCleanData[MonthlyIncome],1284)&lt;=$B$3,"Low Income",IF(INDEX(tblCleanData[MonthlyIncome],1284)&lt;=$B$4,"Medium Income","High Income"))</f>
        <v>High Income</v>
      </c>
      <c r="D1292">
        <f>IF(INDEX(tblCleanData[Attrition],1284)="Yes",1,0)</f>
        <v>0</v>
      </c>
      <c r="E1292">
        <f>IF(INDEX(tblCleanData[OverTime],1284)="Yes",1,0)</f>
        <v>0</v>
      </c>
      <c r="F1292" t="str">
        <f>CHOOSE(INDEX(tblCleanData[Education],1284),"Below College","College","Bachelor","Master","Doctor")</f>
        <v>Bachelor</v>
      </c>
      <c r="G1292" t="str">
        <f>IF(INDEX(tblCleanData[YearsAtCompany],1284)&lt;=2,"0-2 Years",IF(INDEX(tblCleanData[YearsAtCompany],1284)&lt;=5,"3-5 Years",IF(INDEX(tblCleanData[YearsAtCompany],1284)&lt;=10,"6-10 Years","10+ Years")))</f>
        <v>3-5 Years</v>
      </c>
      <c r="H1292" t="str">
        <f>IF(INDEX(tblCleanData[WorkLifeBalance],1284)&lt;=2,"Elevated","Normal")</f>
        <v>Normal</v>
      </c>
      <c r="I1292">
        <f>IF(INDEX(tblCleanData[Age],1284)&lt;30,30,IF(INDEX(tblCleanData[Age],1284)&lt;40,20,IF(INDEX(tblCleanData[Age],1284)&lt;50,10,15)))</f>
        <v>30</v>
      </c>
      <c r="J1292">
        <f>IF(INDEX(tblCleanData[MonthlyIncome],1284)&lt;=$B$3,25,IF(INDEX(tblCleanData[MonthlyIncome],1284)&lt;=$B$4,12,5))</f>
        <v>5</v>
      </c>
      <c r="K1292">
        <f>IF(INDEX(tblCleanData[OverTime],1284)="Yes",25,0)</f>
        <v>0</v>
      </c>
      <c r="L1292">
        <f>(5-INDEX(tblCleanData[JobSatisfaction],1284))*6.25</f>
        <v>6.25</v>
      </c>
      <c r="M1292">
        <f>IF(INDEX(tblCleanData[YearsAtCompany],1284)&lt;=2,25,IF(INDEX(tblCleanData[YearsAtCompany],1284)&lt;=5,15,IF(INDEX(tblCleanData[YearsAtCompany],1284)&lt;=10,8,3)))</f>
        <v>15</v>
      </c>
      <c r="N1292">
        <f t="shared" si="40"/>
        <v>56</v>
      </c>
      <c r="O1292" t="str">
        <f t="shared" si="41"/>
        <v>High Risk</v>
      </c>
    </row>
    <row r="1293" spans="1:15" x14ac:dyDescent="0.25">
      <c r="A1293">
        <f>INDEX(tblCleanData[EmployeeNumber],1285)</f>
        <v>1800</v>
      </c>
      <c r="B1293" t="str">
        <f>IF(INDEX(tblCleanData[Age],1285)&lt;30,"Under 30",IF(INDEX(tblCleanData[Age],1285)&lt;40,"30-39",IF(INDEX(tblCleanData[Age],1285)&lt;50,"40-49","50+")))</f>
        <v>30-39</v>
      </c>
      <c r="C1293" t="str">
        <f>IF(INDEX(tblCleanData[MonthlyIncome],1285)&lt;=$B$3,"Low Income",IF(INDEX(tblCleanData[MonthlyIncome],1285)&lt;=$B$4,"Medium Income","High Income"))</f>
        <v>High Income</v>
      </c>
      <c r="D1293">
        <f>IF(INDEX(tblCleanData[Attrition],1285)="Yes",1,0)</f>
        <v>0</v>
      </c>
      <c r="E1293">
        <f>IF(INDEX(tblCleanData[OverTime],1285)="Yes",1,0)</f>
        <v>0</v>
      </c>
      <c r="F1293" t="str">
        <f>CHOOSE(INDEX(tblCleanData[Education],1285),"Below College","College","Bachelor","Master","Doctor")</f>
        <v>Below College</v>
      </c>
      <c r="G1293" t="str">
        <f>IF(INDEX(tblCleanData[YearsAtCompany],1285)&lt;=2,"0-2 Years",IF(INDEX(tblCleanData[YearsAtCompany],1285)&lt;=5,"3-5 Years",IF(INDEX(tblCleanData[YearsAtCompany],1285)&lt;=10,"6-10 Years","10+ Years")))</f>
        <v>3-5 Years</v>
      </c>
      <c r="H1293" t="str">
        <f>IF(INDEX(tblCleanData[WorkLifeBalance],1285)&lt;=2,"Elevated","Normal")</f>
        <v>Normal</v>
      </c>
      <c r="I1293">
        <f>IF(INDEX(tblCleanData[Age],1285)&lt;30,30,IF(INDEX(tblCleanData[Age],1285)&lt;40,20,IF(INDEX(tblCleanData[Age],1285)&lt;50,10,15)))</f>
        <v>20</v>
      </c>
      <c r="J1293">
        <f>IF(INDEX(tblCleanData[MonthlyIncome],1285)&lt;=$B$3,25,IF(INDEX(tblCleanData[MonthlyIncome],1285)&lt;=$B$4,12,5))</f>
        <v>5</v>
      </c>
      <c r="K1293">
        <f>IF(INDEX(tblCleanData[OverTime],1285)="Yes",25,0)</f>
        <v>0</v>
      </c>
      <c r="L1293">
        <f>(5-INDEX(tblCleanData[JobSatisfaction],1285))*6.25</f>
        <v>12.5</v>
      </c>
      <c r="M1293">
        <f>IF(INDEX(tblCleanData[YearsAtCompany],1285)&lt;=2,25,IF(INDEX(tblCleanData[YearsAtCompany],1285)&lt;=5,15,IF(INDEX(tblCleanData[YearsAtCompany],1285)&lt;=10,8,3)))</f>
        <v>15</v>
      </c>
      <c r="N1293">
        <f t="shared" si="40"/>
        <v>53</v>
      </c>
      <c r="O1293" t="str">
        <f t="shared" si="41"/>
        <v>Medium Risk</v>
      </c>
    </row>
    <row r="1294" spans="1:15" x14ac:dyDescent="0.25">
      <c r="A1294">
        <f>INDEX(tblCleanData[EmployeeNumber],1286)</f>
        <v>1801</v>
      </c>
      <c r="B1294" t="str">
        <f>IF(INDEX(tblCleanData[Age],1286)&lt;30,"Under 30",IF(INDEX(tblCleanData[Age],1286)&lt;40,"30-39",IF(INDEX(tblCleanData[Age],1286)&lt;50,"40-49","50+")))</f>
        <v>40-49</v>
      </c>
      <c r="C1294" t="str">
        <f>IF(INDEX(tblCleanData[MonthlyIncome],1286)&lt;=$B$3,"Low Income",IF(INDEX(tblCleanData[MonthlyIncome],1286)&lt;=$B$4,"Medium Income","High Income"))</f>
        <v>High Income</v>
      </c>
      <c r="D1294">
        <f>IF(INDEX(tblCleanData[Attrition],1286)="Yes",1,0)</f>
        <v>0</v>
      </c>
      <c r="E1294">
        <f>IF(INDEX(tblCleanData[OverTime],1286)="Yes",1,0)</f>
        <v>0</v>
      </c>
      <c r="F1294" t="str">
        <f>CHOOSE(INDEX(tblCleanData[Education],1286),"Below College","College","Bachelor","Master","Doctor")</f>
        <v>College</v>
      </c>
      <c r="G1294" t="str">
        <f>IF(INDEX(tblCleanData[YearsAtCompany],1286)&lt;=2,"0-2 Years",IF(INDEX(tblCleanData[YearsAtCompany],1286)&lt;=5,"3-5 Years",IF(INDEX(tblCleanData[YearsAtCompany],1286)&lt;=10,"6-10 Years","10+ Years")))</f>
        <v>0-2 Years</v>
      </c>
      <c r="H1294" t="str">
        <f>IF(INDEX(tblCleanData[WorkLifeBalance],1286)&lt;=2,"Elevated","Normal")</f>
        <v>Normal</v>
      </c>
      <c r="I1294">
        <f>IF(INDEX(tblCleanData[Age],1286)&lt;30,30,IF(INDEX(tblCleanData[Age],1286)&lt;40,20,IF(INDEX(tblCleanData[Age],1286)&lt;50,10,15)))</f>
        <v>10</v>
      </c>
      <c r="J1294">
        <f>IF(INDEX(tblCleanData[MonthlyIncome],1286)&lt;=$B$3,25,IF(INDEX(tblCleanData[MonthlyIncome],1286)&lt;=$B$4,12,5))</f>
        <v>5</v>
      </c>
      <c r="K1294">
        <f>IF(INDEX(tblCleanData[OverTime],1286)="Yes",25,0)</f>
        <v>0</v>
      </c>
      <c r="L1294">
        <f>(5-INDEX(tblCleanData[JobSatisfaction],1286))*6.25</f>
        <v>18.75</v>
      </c>
      <c r="M1294">
        <f>IF(INDEX(tblCleanData[YearsAtCompany],1286)&lt;=2,25,IF(INDEX(tblCleanData[YearsAtCompany],1286)&lt;=5,15,IF(INDEX(tblCleanData[YearsAtCompany],1286)&lt;=10,8,3)))</f>
        <v>25</v>
      </c>
      <c r="N1294">
        <f t="shared" si="40"/>
        <v>59</v>
      </c>
      <c r="O1294" t="str">
        <f t="shared" si="41"/>
        <v>High Risk</v>
      </c>
    </row>
    <row r="1295" spans="1:15" x14ac:dyDescent="0.25">
      <c r="A1295">
        <f>INDEX(tblCleanData[EmployeeNumber],1287)</f>
        <v>1802</v>
      </c>
      <c r="B1295" t="str">
        <f>IF(INDEX(tblCleanData[Age],1287)&lt;30,"Under 30",IF(INDEX(tblCleanData[Age],1287)&lt;40,"30-39",IF(INDEX(tblCleanData[Age],1287)&lt;50,"40-49","50+")))</f>
        <v>40-49</v>
      </c>
      <c r="C1295" t="str">
        <f>IF(INDEX(tblCleanData[MonthlyIncome],1287)&lt;=$B$3,"Low Income",IF(INDEX(tblCleanData[MonthlyIncome],1287)&lt;=$B$4,"Medium Income","High Income"))</f>
        <v>High Income</v>
      </c>
      <c r="D1295">
        <f>IF(INDEX(tblCleanData[Attrition],1287)="Yes",1,0)</f>
        <v>0</v>
      </c>
      <c r="E1295">
        <f>IF(INDEX(tblCleanData[OverTime],1287)="Yes",1,0)</f>
        <v>0</v>
      </c>
      <c r="F1295" t="str">
        <f>CHOOSE(INDEX(tblCleanData[Education],1287),"Below College","College","Bachelor","Master","Doctor")</f>
        <v>College</v>
      </c>
      <c r="G1295" t="str">
        <f>IF(INDEX(tblCleanData[YearsAtCompany],1287)&lt;=2,"0-2 Years",IF(INDEX(tblCleanData[YearsAtCompany],1287)&lt;=5,"3-5 Years",IF(INDEX(tblCleanData[YearsAtCompany],1287)&lt;=10,"6-10 Years","10+ Years")))</f>
        <v>3-5 Years</v>
      </c>
      <c r="H1295" t="str">
        <f>IF(INDEX(tblCleanData[WorkLifeBalance],1287)&lt;=2,"Elevated","Normal")</f>
        <v>Elevated</v>
      </c>
      <c r="I1295">
        <f>IF(INDEX(tblCleanData[Age],1287)&lt;30,30,IF(INDEX(tblCleanData[Age],1287)&lt;40,20,IF(INDEX(tblCleanData[Age],1287)&lt;50,10,15)))</f>
        <v>10</v>
      </c>
      <c r="J1295">
        <f>IF(INDEX(tblCleanData[MonthlyIncome],1287)&lt;=$B$3,25,IF(INDEX(tblCleanData[MonthlyIncome],1287)&lt;=$B$4,12,5))</f>
        <v>5</v>
      </c>
      <c r="K1295">
        <f>IF(INDEX(tblCleanData[OverTime],1287)="Yes",25,0)</f>
        <v>0</v>
      </c>
      <c r="L1295">
        <f>(5-INDEX(tblCleanData[JobSatisfaction],1287))*6.25</f>
        <v>25</v>
      </c>
      <c r="M1295">
        <f>IF(INDEX(tblCleanData[YearsAtCompany],1287)&lt;=2,25,IF(INDEX(tblCleanData[YearsAtCompany],1287)&lt;=5,15,IF(INDEX(tblCleanData[YearsAtCompany],1287)&lt;=10,8,3)))</f>
        <v>15</v>
      </c>
      <c r="N1295">
        <f t="shared" si="40"/>
        <v>55</v>
      </c>
      <c r="O1295" t="str">
        <f t="shared" si="41"/>
        <v>High Risk</v>
      </c>
    </row>
    <row r="1296" spans="1:15" x14ac:dyDescent="0.25">
      <c r="A1296">
        <f>INDEX(tblCleanData[EmployeeNumber],1288)</f>
        <v>1803</v>
      </c>
      <c r="B1296" t="str">
        <f>IF(INDEX(tblCleanData[Age],1288)&lt;30,"Under 30",IF(INDEX(tblCleanData[Age],1288)&lt;40,"30-39",IF(INDEX(tblCleanData[Age],1288)&lt;50,"40-49","50+")))</f>
        <v>40-49</v>
      </c>
      <c r="C1296" t="str">
        <f>IF(INDEX(tblCleanData[MonthlyIncome],1288)&lt;=$B$3,"Low Income",IF(INDEX(tblCleanData[MonthlyIncome],1288)&lt;=$B$4,"Medium Income","High Income"))</f>
        <v>High Income</v>
      </c>
      <c r="D1296">
        <f>IF(INDEX(tblCleanData[Attrition],1288)="Yes",1,0)</f>
        <v>0</v>
      </c>
      <c r="E1296">
        <f>IF(INDEX(tblCleanData[OverTime],1288)="Yes",1,0)</f>
        <v>0</v>
      </c>
      <c r="F1296" t="str">
        <f>CHOOSE(INDEX(tblCleanData[Education],1288),"Below College","College","Bachelor","Master","Doctor")</f>
        <v>Bachelor</v>
      </c>
      <c r="G1296" t="str">
        <f>IF(INDEX(tblCleanData[YearsAtCompany],1288)&lt;=2,"0-2 Years",IF(INDEX(tblCleanData[YearsAtCompany],1288)&lt;=5,"3-5 Years",IF(INDEX(tblCleanData[YearsAtCompany],1288)&lt;=10,"6-10 Years","10+ Years")))</f>
        <v>0-2 Years</v>
      </c>
      <c r="H1296" t="str">
        <f>IF(INDEX(tblCleanData[WorkLifeBalance],1288)&lt;=2,"Elevated","Normal")</f>
        <v>Elevated</v>
      </c>
      <c r="I1296">
        <f>IF(INDEX(tblCleanData[Age],1288)&lt;30,30,IF(INDEX(tblCleanData[Age],1288)&lt;40,20,IF(INDEX(tblCleanData[Age],1288)&lt;50,10,15)))</f>
        <v>10</v>
      </c>
      <c r="J1296">
        <f>IF(INDEX(tblCleanData[MonthlyIncome],1288)&lt;=$B$3,25,IF(INDEX(tblCleanData[MonthlyIncome],1288)&lt;=$B$4,12,5))</f>
        <v>5</v>
      </c>
      <c r="K1296">
        <f>IF(INDEX(tblCleanData[OverTime],1288)="Yes",25,0)</f>
        <v>0</v>
      </c>
      <c r="L1296">
        <f>(5-INDEX(tblCleanData[JobSatisfaction],1288))*6.25</f>
        <v>25</v>
      </c>
      <c r="M1296">
        <f>IF(INDEX(tblCleanData[YearsAtCompany],1288)&lt;=2,25,IF(INDEX(tblCleanData[YearsAtCompany],1288)&lt;=5,15,IF(INDEX(tblCleanData[YearsAtCompany],1288)&lt;=10,8,3)))</f>
        <v>25</v>
      </c>
      <c r="N1296">
        <f t="shared" si="40"/>
        <v>65</v>
      </c>
      <c r="O1296" t="str">
        <f t="shared" si="41"/>
        <v>High Risk</v>
      </c>
    </row>
    <row r="1297" spans="1:15" x14ac:dyDescent="0.25">
      <c r="A1297">
        <f>INDEX(tblCleanData[EmployeeNumber],1289)</f>
        <v>1804</v>
      </c>
      <c r="B1297" t="str">
        <f>IF(INDEX(tblCleanData[Age],1289)&lt;30,"Under 30",IF(INDEX(tblCleanData[Age],1289)&lt;40,"30-39",IF(INDEX(tblCleanData[Age],1289)&lt;50,"40-49","50+")))</f>
        <v>30-39</v>
      </c>
      <c r="C1297" t="str">
        <f>IF(INDEX(tblCleanData[MonthlyIncome],1289)&lt;=$B$3,"Low Income",IF(INDEX(tblCleanData[MonthlyIncome],1289)&lt;=$B$4,"Medium Income","High Income"))</f>
        <v>High Income</v>
      </c>
      <c r="D1297">
        <f>IF(INDEX(tblCleanData[Attrition],1289)="Yes",1,0)</f>
        <v>0</v>
      </c>
      <c r="E1297">
        <f>IF(INDEX(tblCleanData[OverTime],1289)="Yes",1,0)</f>
        <v>0</v>
      </c>
      <c r="F1297" t="str">
        <f>CHOOSE(INDEX(tblCleanData[Education],1289),"Below College","College","Bachelor","Master","Doctor")</f>
        <v>College</v>
      </c>
      <c r="G1297" t="str">
        <f>IF(INDEX(tblCleanData[YearsAtCompany],1289)&lt;=2,"0-2 Years",IF(INDEX(tblCleanData[YearsAtCompany],1289)&lt;=5,"3-5 Years",IF(INDEX(tblCleanData[YearsAtCompany],1289)&lt;=10,"6-10 Years","10+ Years")))</f>
        <v>6-10 Years</v>
      </c>
      <c r="H1297" t="str">
        <f>IF(INDEX(tblCleanData[WorkLifeBalance],1289)&lt;=2,"Elevated","Normal")</f>
        <v>Normal</v>
      </c>
      <c r="I1297">
        <f>IF(INDEX(tblCleanData[Age],1289)&lt;30,30,IF(INDEX(tblCleanData[Age],1289)&lt;40,20,IF(INDEX(tblCleanData[Age],1289)&lt;50,10,15)))</f>
        <v>20</v>
      </c>
      <c r="J1297">
        <f>IF(INDEX(tblCleanData[MonthlyIncome],1289)&lt;=$B$3,25,IF(INDEX(tblCleanData[MonthlyIncome],1289)&lt;=$B$4,12,5))</f>
        <v>5</v>
      </c>
      <c r="K1297">
        <f>IF(INDEX(tblCleanData[OverTime],1289)="Yes",25,0)</f>
        <v>0</v>
      </c>
      <c r="L1297">
        <f>(5-INDEX(tblCleanData[JobSatisfaction],1289))*6.25</f>
        <v>6.25</v>
      </c>
      <c r="M1297">
        <f>IF(INDEX(tblCleanData[YearsAtCompany],1289)&lt;=2,25,IF(INDEX(tblCleanData[YearsAtCompany],1289)&lt;=5,15,IF(INDEX(tblCleanData[YearsAtCompany],1289)&lt;=10,8,3)))</f>
        <v>8</v>
      </c>
      <c r="N1297">
        <f t="shared" si="40"/>
        <v>39</v>
      </c>
      <c r="O1297" t="str">
        <f t="shared" si="41"/>
        <v>Medium Risk</v>
      </c>
    </row>
    <row r="1298" spans="1:15" x14ac:dyDescent="0.25">
      <c r="A1298">
        <f>INDEX(tblCleanData[EmployeeNumber],1290)</f>
        <v>1805</v>
      </c>
      <c r="B1298" t="str">
        <f>IF(INDEX(tblCleanData[Age],1290)&lt;30,"Under 30",IF(INDEX(tblCleanData[Age],1290)&lt;40,"30-39",IF(INDEX(tblCleanData[Age],1290)&lt;50,"40-49","50+")))</f>
        <v>30-39</v>
      </c>
      <c r="C1298" t="str">
        <f>IF(INDEX(tblCleanData[MonthlyIncome],1290)&lt;=$B$3,"Low Income",IF(INDEX(tblCleanData[MonthlyIncome],1290)&lt;=$B$4,"Medium Income","High Income"))</f>
        <v>High Income</v>
      </c>
      <c r="D1298">
        <f>IF(INDEX(tblCleanData[Attrition],1290)="Yes",1,0)</f>
        <v>0</v>
      </c>
      <c r="E1298">
        <f>IF(INDEX(tblCleanData[OverTime],1290)="Yes",1,0)</f>
        <v>0</v>
      </c>
      <c r="F1298" t="str">
        <f>CHOOSE(INDEX(tblCleanData[Education],1290),"Below College","College","Bachelor","Master","Doctor")</f>
        <v>Bachelor</v>
      </c>
      <c r="G1298" t="str">
        <f>IF(INDEX(tblCleanData[YearsAtCompany],1290)&lt;=2,"0-2 Years",IF(INDEX(tblCleanData[YearsAtCompany],1290)&lt;=5,"3-5 Years",IF(INDEX(tblCleanData[YearsAtCompany],1290)&lt;=10,"6-10 Years","10+ Years")))</f>
        <v>10+ Years</v>
      </c>
      <c r="H1298" t="str">
        <f>IF(INDEX(tblCleanData[WorkLifeBalance],1290)&lt;=2,"Elevated","Normal")</f>
        <v>Normal</v>
      </c>
      <c r="I1298">
        <f>IF(INDEX(tblCleanData[Age],1290)&lt;30,30,IF(INDEX(tblCleanData[Age],1290)&lt;40,20,IF(INDEX(tblCleanData[Age],1290)&lt;50,10,15)))</f>
        <v>20</v>
      </c>
      <c r="J1298">
        <f>IF(INDEX(tblCleanData[MonthlyIncome],1290)&lt;=$B$3,25,IF(INDEX(tblCleanData[MonthlyIncome],1290)&lt;=$B$4,12,5))</f>
        <v>5</v>
      </c>
      <c r="K1298">
        <f>IF(INDEX(tblCleanData[OverTime],1290)="Yes",25,0)</f>
        <v>0</v>
      </c>
      <c r="L1298">
        <f>(5-INDEX(tblCleanData[JobSatisfaction],1290))*6.25</f>
        <v>18.75</v>
      </c>
      <c r="M1298">
        <f>IF(INDEX(tblCleanData[YearsAtCompany],1290)&lt;=2,25,IF(INDEX(tblCleanData[YearsAtCompany],1290)&lt;=5,15,IF(INDEX(tblCleanData[YearsAtCompany],1290)&lt;=10,8,3)))</f>
        <v>3</v>
      </c>
      <c r="N1298">
        <f t="shared" si="40"/>
        <v>47</v>
      </c>
      <c r="O1298" t="str">
        <f t="shared" si="41"/>
        <v>Medium Risk</v>
      </c>
    </row>
    <row r="1299" spans="1:15" x14ac:dyDescent="0.25">
      <c r="A1299">
        <f>INDEX(tblCleanData[EmployeeNumber],1291)</f>
        <v>1807</v>
      </c>
      <c r="B1299" t="str">
        <f>IF(INDEX(tblCleanData[Age],1291)&lt;30,"Under 30",IF(INDEX(tblCleanData[Age],1291)&lt;40,"30-39",IF(INDEX(tblCleanData[Age],1291)&lt;50,"40-49","50+")))</f>
        <v>30-39</v>
      </c>
      <c r="C1299" t="str">
        <f>IF(INDEX(tblCleanData[MonthlyIncome],1291)&lt;=$B$3,"Low Income",IF(INDEX(tblCleanData[MonthlyIncome],1291)&lt;=$B$4,"Medium Income","High Income"))</f>
        <v>High Income</v>
      </c>
      <c r="D1299">
        <f>IF(INDEX(tblCleanData[Attrition],1291)="Yes",1,0)</f>
        <v>1</v>
      </c>
      <c r="E1299">
        <f>IF(INDEX(tblCleanData[OverTime],1291)="Yes",1,0)</f>
        <v>0</v>
      </c>
      <c r="F1299" t="str">
        <f>CHOOSE(INDEX(tblCleanData[Education],1291),"Below College","College","Bachelor","Master","Doctor")</f>
        <v>Master</v>
      </c>
      <c r="G1299" t="str">
        <f>IF(INDEX(tblCleanData[YearsAtCompany],1291)&lt;=2,"0-2 Years",IF(INDEX(tblCleanData[YearsAtCompany],1291)&lt;=5,"3-5 Years",IF(INDEX(tblCleanData[YearsAtCompany],1291)&lt;=10,"6-10 Years","10+ Years")))</f>
        <v>6-10 Years</v>
      </c>
      <c r="H1299" t="str">
        <f>IF(INDEX(tblCleanData[WorkLifeBalance],1291)&lt;=2,"Elevated","Normal")</f>
        <v>Elevated</v>
      </c>
      <c r="I1299">
        <f>IF(INDEX(tblCleanData[Age],1291)&lt;30,30,IF(INDEX(tblCleanData[Age],1291)&lt;40,20,IF(INDEX(tblCleanData[Age],1291)&lt;50,10,15)))</f>
        <v>20</v>
      </c>
      <c r="J1299">
        <f>IF(INDEX(tblCleanData[MonthlyIncome],1291)&lt;=$B$3,25,IF(INDEX(tblCleanData[MonthlyIncome],1291)&lt;=$B$4,12,5))</f>
        <v>5</v>
      </c>
      <c r="K1299">
        <f>IF(INDEX(tblCleanData[OverTime],1291)="Yes",25,0)</f>
        <v>0</v>
      </c>
      <c r="L1299">
        <f>(5-INDEX(tblCleanData[JobSatisfaction],1291))*6.25</f>
        <v>25</v>
      </c>
      <c r="M1299">
        <f>IF(INDEX(tblCleanData[YearsAtCompany],1291)&lt;=2,25,IF(INDEX(tblCleanData[YearsAtCompany],1291)&lt;=5,15,IF(INDEX(tblCleanData[YearsAtCompany],1291)&lt;=10,8,3)))</f>
        <v>8</v>
      </c>
      <c r="N1299">
        <f t="shared" si="40"/>
        <v>58</v>
      </c>
      <c r="O1299" t="str">
        <f t="shared" si="41"/>
        <v>High Risk</v>
      </c>
    </row>
    <row r="1300" spans="1:15" x14ac:dyDescent="0.25">
      <c r="A1300">
        <f>INDEX(tblCleanData[EmployeeNumber],1292)</f>
        <v>1809</v>
      </c>
      <c r="B1300" t="str">
        <f>IF(INDEX(tblCleanData[Age],1292)&lt;30,"Under 30",IF(INDEX(tblCleanData[Age],1292)&lt;40,"30-39",IF(INDEX(tblCleanData[Age],1292)&lt;50,"40-49","50+")))</f>
        <v>30-39</v>
      </c>
      <c r="C1300" t="str">
        <f>IF(INDEX(tblCleanData[MonthlyIncome],1292)&lt;=$B$3,"Low Income",IF(INDEX(tblCleanData[MonthlyIncome],1292)&lt;=$B$4,"Medium Income","High Income"))</f>
        <v>High Income</v>
      </c>
      <c r="D1300">
        <f>IF(INDEX(tblCleanData[Attrition],1292)="Yes",1,0)</f>
        <v>1</v>
      </c>
      <c r="E1300">
        <f>IF(INDEX(tblCleanData[OverTime],1292)="Yes",1,0)</f>
        <v>0</v>
      </c>
      <c r="F1300" t="str">
        <f>CHOOSE(INDEX(tblCleanData[Education],1292),"Below College","College","Bachelor","Master","Doctor")</f>
        <v>Master</v>
      </c>
      <c r="G1300" t="str">
        <f>IF(INDEX(tblCleanData[YearsAtCompany],1292)&lt;=2,"0-2 Years",IF(INDEX(tblCleanData[YearsAtCompany],1292)&lt;=5,"3-5 Years",IF(INDEX(tblCleanData[YearsAtCompany],1292)&lt;=10,"6-10 Years","10+ Years")))</f>
        <v>6-10 Years</v>
      </c>
      <c r="H1300" t="str">
        <f>IF(INDEX(tblCleanData[WorkLifeBalance],1292)&lt;=2,"Elevated","Normal")</f>
        <v>Elevated</v>
      </c>
      <c r="I1300">
        <f>IF(INDEX(tblCleanData[Age],1292)&lt;30,30,IF(INDEX(tblCleanData[Age],1292)&lt;40,20,IF(INDEX(tblCleanData[Age],1292)&lt;50,10,15)))</f>
        <v>20</v>
      </c>
      <c r="J1300">
        <f>IF(INDEX(tblCleanData[MonthlyIncome],1292)&lt;=$B$3,25,IF(INDEX(tblCleanData[MonthlyIncome],1292)&lt;=$B$4,12,5))</f>
        <v>5</v>
      </c>
      <c r="K1300">
        <f>IF(INDEX(tblCleanData[OverTime],1292)="Yes",25,0)</f>
        <v>0</v>
      </c>
      <c r="L1300">
        <f>(5-INDEX(tblCleanData[JobSatisfaction],1292))*6.25</f>
        <v>25</v>
      </c>
      <c r="M1300">
        <f>IF(INDEX(tblCleanData[YearsAtCompany],1292)&lt;=2,25,IF(INDEX(tblCleanData[YearsAtCompany],1292)&lt;=5,15,IF(INDEX(tblCleanData[YearsAtCompany],1292)&lt;=10,8,3)))</f>
        <v>8</v>
      </c>
      <c r="N1300">
        <f t="shared" si="40"/>
        <v>58</v>
      </c>
      <c r="O1300" t="str">
        <f t="shared" si="41"/>
        <v>High Risk</v>
      </c>
    </row>
    <row r="1301" spans="1:15" x14ac:dyDescent="0.25">
      <c r="A1301">
        <f>INDEX(tblCleanData[EmployeeNumber],1293)</f>
        <v>1812</v>
      </c>
      <c r="B1301" t="str">
        <f>IF(INDEX(tblCleanData[Age],1293)&lt;30,"Under 30",IF(INDEX(tblCleanData[Age],1293)&lt;40,"30-39",IF(INDEX(tblCleanData[Age],1293)&lt;50,"40-49","50+")))</f>
        <v>30-39</v>
      </c>
      <c r="C1301" t="str">
        <f>IF(INDEX(tblCleanData[MonthlyIncome],1293)&lt;=$B$3,"Low Income",IF(INDEX(tblCleanData[MonthlyIncome],1293)&lt;=$B$4,"Medium Income","High Income"))</f>
        <v>High Income</v>
      </c>
      <c r="D1301">
        <f>IF(INDEX(tblCleanData[Attrition],1293)="Yes",1,0)</f>
        <v>0</v>
      </c>
      <c r="E1301">
        <f>IF(INDEX(tblCleanData[OverTime],1293)="Yes",1,0)</f>
        <v>0</v>
      </c>
      <c r="F1301" t="str">
        <f>CHOOSE(INDEX(tblCleanData[Education],1293),"Below College","College","Bachelor","Master","Doctor")</f>
        <v>Bachelor</v>
      </c>
      <c r="G1301" t="str">
        <f>IF(INDEX(tblCleanData[YearsAtCompany],1293)&lt;=2,"0-2 Years",IF(INDEX(tblCleanData[YearsAtCompany],1293)&lt;=5,"3-5 Years",IF(INDEX(tblCleanData[YearsAtCompany],1293)&lt;=10,"6-10 Years","10+ Years")))</f>
        <v>0-2 Years</v>
      </c>
      <c r="H1301" t="str">
        <f>IF(INDEX(tblCleanData[WorkLifeBalance],1293)&lt;=2,"Elevated","Normal")</f>
        <v>Normal</v>
      </c>
      <c r="I1301">
        <f>IF(INDEX(tblCleanData[Age],1293)&lt;30,30,IF(INDEX(tblCleanData[Age],1293)&lt;40,20,IF(INDEX(tblCleanData[Age],1293)&lt;50,10,15)))</f>
        <v>20</v>
      </c>
      <c r="J1301">
        <f>IF(INDEX(tblCleanData[MonthlyIncome],1293)&lt;=$B$3,25,IF(INDEX(tblCleanData[MonthlyIncome],1293)&lt;=$B$4,12,5))</f>
        <v>5</v>
      </c>
      <c r="K1301">
        <f>IF(INDEX(tblCleanData[OverTime],1293)="Yes",25,0)</f>
        <v>0</v>
      </c>
      <c r="L1301">
        <f>(5-INDEX(tblCleanData[JobSatisfaction],1293))*6.25</f>
        <v>6.25</v>
      </c>
      <c r="M1301">
        <f>IF(INDEX(tblCleanData[YearsAtCompany],1293)&lt;=2,25,IF(INDEX(tblCleanData[YearsAtCompany],1293)&lt;=5,15,IF(INDEX(tblCleanData[YearsAtCompany],1293)&lt;=10,8,3)))</f>
        <v>25</v>
      </c>
      <c r="N1301">
        <f t="shared" si="40"/>
        <v>56</v>
      </c>
      <c r="O1301" t="str">
        <f t="shared" si="41"/>
        <v>High Risk</v>
      </c>
    </row>
    <row r="1302" spans="1:15" x14ac:dyDescent="0.25">
      <c r="A1302">
        <f>INDEX(tblCleanData[EmployeeNumber],1294)</f>
        <v>1813</v>
      </c>
      <c r="B1302" t="str">
        <f>IF(INDEX(tblCleanData[Age],1294)&lt;30,"Under 30",IF(INDEX(tblCleanData[Age],1294)&lt;40,"30-39",IF(INDEX(tblCleanData[Age],1294)&lt;50,"40-49","50+")))</f>
        <v>40-49</v>
      </c>
      <c r="C1302" t="str">
        <f>IF(INDEX(tblCleanData[MonthlyIncome],1294)&lt;=$B$3,"Low Income",IF(INDEX(tblCleanData[MonthlyIncome],1294)&lt;=$B$4,"Medium Income","High Income"))</f>
        <v>High Income</v>
      </c>
      <c r="D1302">
        <f>IF(INDEX(tblCleanData[Attrition],1294)="Yes",1,0)</f>
        <v>0</v>
      </c>
      <c r="E1302">
        <f>IF(INDEX(tblCleanData[OverTime],1294)="Yes",1,0)</f>
        <v>0</v>
      </c>
      <c r="F1302" t="str">
        <f>CHOOSE(INDEX(tblCleanData[Education],1294),"Below College","College","Bachelor","Master","Doctor")</f>
        <v>Bachelor</v>
      </c>
      <c r="G1302" t="str">
        <f>IF(INDEX(tblCleanData[YearsAtCompany],1294)&lt;=2,"0-2 Years",IF(INDEX(tblCleanData[YearsAtCompany],1294)&lt;=5,"3-5 Years",IF(INDEX(tblCleanData[YearsAtCompany],1294)&lt;=10,"6-10 Years","10+ Years")))</f>
        <v>3-5 Years</v>
      </c>
      <c r="H1302" t="str">
        <f>IF(INDEX(tblCleanData[WorkLifeBalance],1294)&lt;=2,"Elevated","Normal")</f>
        <v>Elevated</v>
      </c>
      <c r="I1302">
        <f>IF(INDEX(tblCleanData[Age],1294)&lt;30,30,IF(INDEX(tblCleanData[Age],1294)&lt;40,20,IF(INDEX(tblCleanData[Age],1294)&lt;50,10,15)))</f>
        <v>10</v>
      </c>
      <c r="J1302">
        <f>IF(INDEX(tblCleanData[MonthlyIncome],1294)&lt;=$B$3,25,IF(INDEX(tblCleanData[MonthlyIncome],1294)&lt;=$B$4,12,5))</f>
        <v>5</v>
      </c>
      <c r="K1302">
        <f>IF(INDEX(tblCleanData[OverTime],1294)="Yes",25,0)</f>
        <v>0</v>
      </c>
      <c r="L1302">
        <f>(5-INDEX(tblCleanData[JobSatisfaction],1294))*6.25</f>
        <v>12.5</v>
      </c>
      <c r="M1302">
        <f>IF(INDEX(tblCleanData[YearsAtCompany],1294)&lt;=2,25,IF(INDEX(tblCleanData[YearsAtCompany],1294)&lt;=5,15,IF(INDEX(tblCleanData[YearsAtCompany],1294)&lt;=10,8,3)))</f>
        <v>15</v>
      </c>
      <c r="N1302">
        <f t="shared" si="40"/>
        <v>43</v>
      </c>
      <c r="O1302" t="str">
        <f t="shared" si="41"/>
        <v>Medium Risk</v>
      </c>
    </row>
    <row r="1303" spans="1:15" x14ac:dyDescent="0.25">
      <c r="A1303">
        <f>INDEX(tblCleanData[EmployeeNumber],1295)</f>
        <v>1814</v>
      </c>
      <c r="B1303" t="str">
        <f>IF(INDEX(tblCleanData[Age],1295)&lt;30,"Under 30",IF(INDEX(tblCleanData[Age],1295)&lt;40,"30-39",IF(INDEX(tblCleanData[Age],1295)&lt;50,"40-49","50+")))</f>
        <v>40-49</v>
      </c>
      <c r="C1303" t="str">
        <f>IF(INDEX(tblCleanData[MonthlyIncome],1295)&lt;=$B$3,"Low Income",IF(INDEX(tblCleanData[MonthlyIncome],1295)&lt;=$B$4,"Medium Income","High Income"))</f>
        <v>High Income</v>
      </c>
      <c r="D1303">
        <f>IF(INDEX(tblCleanData[Attrition],1295)="Yes",1,0)</f>
        <v>0</v>
      </c>
      <c r="E1303">
        <f>IF(INDEX(tblCleanData[OverTime],1295)="Yes",1,0)</f>
        <v>0</v>
      </c>
      <c r="F1303" t="str">
        <f>CHOOSE(INDEX(tblCleanData[Education],1295),"Below College","College","Bachelor","Master","Doctor")</f>
        <v>Bachelor</v>
      </c>
      <c r="G1303" t="str">
        <f>IF(INDEX(tblCleanData[YearsAtCompany],1295)&lt;=2,"0-2 Years",IF(INDEX(tblCleanData[YearsAtCompany],1295)&lt;=5,"3-5 Years",IF(INDEX(tblCleanData[YearsAtCompany],1295)&lt;=10,"6-10 Years","10+ Years")))</f>
        <v>3-5 Years</v>
      </c>
      <c r="H1303" t="str">
        <f>IF(INDEX(tblCleanData[WorkLifeBalance],1295)&lt;=2,"Elevated","Normal")</f>
        <v>Elevated</v>
      </c>
      <c r="I1303">
        <f>IF(INDEX(tblCleanData[Age],1295)&lt;30,30,IF(INDEX(tblCleanData[Age],1295)&lt;40,20,IF(INDEX(tblCleanData[Age],1295)&lt;50,10,15)))</f>
        <v>10</v>
      </c>
      <c r="J1303">
        <f>IF(INDEX(tblCleanData[MonthlyIncome],1295)&lt;=$B$3,25,IF(INDEX(tblCleanData[MonthlyIncome],1295)&lt;=$B$4,12,5))</f>
        <v>5</v>
      </c>
      <c r="K1303">
        <f>IF(INDEX(tblCleanData[OverTime],1295)="Yes",25,0)</f>
        <v>0</v>
      </c>
      <c r="L1303">
        <f>(5-INDEX(tblCleanData[JobSatisfaction],1295))*6.25</f>
        <v>18.75</v>
      </c>
      <c r="M1303">
        <f>IF(INDEX(tblCleanData[YearsAtCompany],1295)&lt;=2,25,IF(INDEX(tblCleanData[YearsAtCompany],1295)&lt;=5,15,IF(INDEX(tblCleanData[YearsAtCompany],1295)&lt;=10,8,3)))</f>
        <v>15</v>
      </c>
      <c r="N1303">
        <f t="shared" si="40"/>
        <v>49</v>
      </c>
      <c r="O1303" t="str">
        <f t="shared" si="41"/>
        <v>Medium Risk</v>
      </c>
    </row>
    <row r="1304" spans="1:15" x14ac:dyDescent="0.25">
      <c r="A1304">
        <f>INDEX(tblCleanData[EmployeeNumber],1296)</f>
        <v>1815</v>
      </c>
      <c r="B1304" t="str">
        <f>IF(INDEX(tblCleanData[Age],1296)&lt;30,"Under 30",IF(INDEX(tblCleanData[Age],1296)&lt;40,"30-39",IF(INDEX(tblCleanData[Age],1296)&lt;50,"40-49","50+")))</f>
        <v>40-49</v>
      </c>
      <c r="C1304" t="str">
        <f>IF(INDEX(tblCleanData[MonthlyIncome],1296)&lt;=$B$3,"Low Income",IF(INDEX(tblCleanData[MonthlyIncome],1296)&lt;=$B$4,"Medium Income","High Income"))</f>
        <v>High Income</v>
      </c>
      <c r="D1304">
        <f>IF(INDEX(tblCleanData[Attrition],1296)="Yes",1,0)</f>
        <v>0</v>
      </c>
      <c r="E1304">
        <f>IF(INDEX(tblCleanData[OverTime],1296)="Yes",1,0)</f>
        <v>1</v>
      </c>
      <c r="F1304" t="str">
        <f>CHOOSE(INDEX(tblCleanData[Education],1296),"Below College","College","Bachelor","Master","Doctor")</f>
        <v>Below College</v>
      </c>
      <c r="G1304" t="str">
        <f>IF(INDEX(tblCleanData[YearsAtCompany],1296)&lt;=2,"0-2 Years",IF(INDEX(tblCleanData[YearsAtCompany],1296)&lt;=5,"3-5 Years",IF(INDEX(tblCleanData[YearsAtCompany],1296)&lt;=10,"6-10 Years","10+ Years")))</f>
        <v>10+ Years</v>
      </c>
      <c r="H1304" t="str">
        <f>IF(INDEX(tblCleanData[WorkLifeBalance],1296)&lt;=2,"Elevated","Normal")</f>
        <v>Normal</v>
      </c>
      <c r="I1304">
        <f>IF(INDEX(tblCleanData[Age],1296)&lt;30,30,IF(INDEX(tblCleanData[Age],1296)&lt;40,20,IF(INDEX(tblCleanData[Age],1296)&lt;50,10,15)))</f>
        <v>10</v>
      </c>
      <c r="J1304">
        <f>IF(INDEX(tblCleanData[MonthlyIncome],1296)&lt;=$B$3,25,IF(INDEX(tblCleanData[MonthlyIncome],1296)&lt;=$B$4,12,5))</f>
        <v>5</v>
      </c>
      <c r="K1304">
        <f>IF(INDEX(tblCleanData[OverTime],1296)="Yes",25,0)</f>
        <v>25</v>
      </c>
      <c r="L1304">
        <f>(5-INDEX(tblCleanData[JobSatisfaction],1296))*6.25</f>
        <v>12.5</v>
      </c>
      <c r="M1304">
        <f>IF(INDEX(tblCleanData[YearsAtCompany],1296)&lt;=2,25,IF(INDEX(tblCleanData[YearsAtCompany],1296)&lt;=5,15,IF(INDEX(tblCleanData[YearsAtCompany],1296)&lt;=10,8,3)))</f>
        <v>3</v>
      </c>
      <c r="N1304">
        <f t="shared" si="40"/>
        <v>56</v>
      </c>
      <c r="O1304" t="str">
        <f t="shared" si="41"/>
        <v>High Risk</v>
      </c>
    </row>
    <row r="1305" spans="1:15" x14ac:dyDescent="0.25">
      <c r="A1305">
        <f>INDEX(tblCleanData[EmployeeNumber],1297)</f>
        <v>1816</v>
      </c>
      <c r="B1305" t="str">
        <f>IF(INDEX(tblCleanData[Age],1297)&lt;30,"Under 30",IF(INDEX(tblCleanData[Age],1297)&lt;40,"30-39",IF(INDEX(tblCleanData[Age],1297)&lt;50,"40-49","50+")))</f>
        <v>30-39</v>
      </c>
      <c r="C1305" t="str">
        <f>IF(INDEX(tblCleanData[MonthlyIncome],1297)&lt;=$B$3,"Low Income",IF(INDEX(tblCleanData[MonthlyIncome],1297)&lt;=$B$4,"Medium Income","High Income"))</f>
        <v>High Income</v>
      </c>
      <c r="D1305">
        <f>IF(INDEX(tblCleanData[Attrition],1297)="Yes",1,0)</f>
        <v>0</v>
      </c>
      <c r="E1305">
        <f>IF(INDEX(tblCleanData[OverTime],1297)="Yes",1,0)</f>
        <v>0</v>
      </c>
      <c r="F1305" t="str">
        <f>CHOOSE(INDEX(tblCleanData[Education],1297),"Below College","College","Bachelor","Master","Doctor")</f>
        <v>Bachelor</v>
      </c>
      <c r="G1305" t="str">
        <f>IF(INDEX(tblCleanData[YearsAtCompany],1297)&lt;=2,"0-2 Years",IF(INDEX(tblCleanData[YearsAtCompany],1297)&lt;=5,"3-5 Years",IF(INDEX(tblCleanData[YearsAtCompany],1297)&lt;=10,"6-10 Years","10+ Years")))</f>
        <v>6-10 Years</v>
      </c>
      <c r="H1305" t="str">
        <f>IF(INDEX(tblCleanData[WorkLifeBalance],1297)&lt;=2,"Elevated","Normal")</f>
        <v>Normal</v>
      </c>
      <c r="I1305">
        <f>IF(INDEX(tblCleanData[Age],1297)&lt;30,30,IF(INDEX(tblCleanData[Age],1297)&lt;40,20,IF(INDEX(tblCleanData[Age],1297)&lt;50,10,15)))</f>
        <v>20</v>
      </c>
      <c r="J1305">
        <f>IF(INDEX(tblCleanData[MonthlyIncome],1297)&lt;=$B$3,25,IF(INDEX(tblCleanData[MonthlyIncome],1297)&lt;=$B$4,12,5))</f>
        <v>5</v>
      </c>
      <c r="K1305">
        <f>IF(INDEX(tblCleanData[OverTime],1297)="Yes",25,0)</f>
        <v>0</v>
      </c>
      <c r="L1305">
        <f>(5-INDEX(tblCleanData[JobSatisfaction],1297))*6.25</f>
        <v>12.5</v>
      </c>
      <c r="M1305">
        <f>IF(INDEX(tblCleanData[YearsAtCompany],1297)&lt;=2,25,IF(INDEX(tblCleanData[YearsAtCompany],1297)&lt;=5,15,IF(INDEX(tblCleanData[YearsAtCompany],1297)&lt;=10,8,3)))</f>
        <v>8</v>
      </c>
      <c r="N1305">
        <f t="shared" si="40"/>
        <v>46</v>
      </c>
      <c r="O1305" t="str">
        <f t="shared" si="41"/>
        <v>Medium Risk</v>
      </c>
    </row>
    <row r="1306" spans="1:15" x14ac:dyDescent="0.25">
      <c r="A1306">
        <f>INDEX(tblCleanData[EmployeeNumber],1298)</f>
        <v>1818</v>
      </c>
      <c r="B1306" t="str">
        <f>IF(INDEX(tblCleanData[Age],1298)&lt;30,"Under 30",IF(INDEX(tblCleanData[Age],1298)&lt;40,"30-39",IF(INDEX(tblCleanData[Age],1298)&lt;50,"40-49","50+")))</f>
        <v>Under 30</v>
      </c>
      <c r="C1306" t="str">
        <f>IF(INDEX(tblCleanData[MonthlyIncome],1298)&lt;=$B$3,"Low Income",IF(INDEX(tblCleanData[MonthlyIncome],1298)&lt;=$B$4,"Medium Income","High Income"))</f>
        <v>High Income</v>
      </c>
      <c r="D1306">
        <f>IF(INDEX(tblCleanData[Attrition],1298)="Yes",1,0)</f>
        <v>1</v>
      </c>
      <c r="E1306">
        <f>IF(INDEX(tblCleanData[OverTime],1298)="Yes",1,0)</f>
        <v>1</v>
      </c>
      <c r="F1306" t="str">
        <f>CHOOSE(INDEX(tblCleanData[Education],1298),"Below College","College","Bachelor","Master","Doctor")</f>
        <v>College</v>
      </c>
      <c r="G1306" t="str">
        <f>IF(INDEX(tblCleanData[YearsAtCompany],1298)&lt;=2,"0-2 Years",IF(INDEX(tblCleanData[YearsAtCompany],1298)&lt;=5,"3-5 Years",IF(INDEX(tblCleanData[YearsAtCompany],1298)&lt;=10,"6-10 Years","10+ Years")))</f>
        <v>3-5 Years</v>
      </c>
      <c r="H1306" t="str">
        <f>IF(INDEX(tblCleanData[WorkLifeBalance],1298)&lt;=2,"Elevated","Normal")</f>
        <v>Normal</v>
      </c>
      <c r="I1306">
        <f>IF(INDEX(tblCleanData[Age],1298)&lt;30,30,IF(INDEX(tblCleanData[Age],1298)&lt;40,20,IF(INDEX(tblCleanData[Age],1298)&lt;50,10,15)))</f>
        <v>30</v>
      </c>
      <c r="J1306">
        <f>IF(INDEX(tblCleanData[MonthlyIncome],1298)&lt;=$B$3,25,IF(INDEX(tblCleanData[MonthlyIncome],1298)&lt;=$B$4,12,5))</f>
        <v>5</v>
      </c>
      <c r="K1306">
        <f>IF(INDEX(tblCleanData[OverTime],1298)="Yes",25,0)</f>
        <v>25</v>
      </c>
      <c r="L1306">
        <f>(5-INDEX(tblCleanData[JobSatisfaction],1298))*6.25</f>
        <v>18.75</v>
      </c>
      <c r="M1306">
        <f>IF(INDEX(tblCleanData[YearsAtCompany],1298)&lt;=2,25,IF(INDEX(tblCleanData[YearsAtCompany],1298)&lt;=5,15,IF(INDEX(tblCleanData[YearsAtCompany],1298)&lt;=10,8,3)))</f>
        <v>15</v>
      </c>
      <c r="N1306">
        <f t="shared" si="40"/>
        <v>94</v>
      </c>
      <c r="O1306" t="str">
        <f t="shared" si="41"/>
        <v>High Risk</v>
      </c>
    </row>
    <row r="1307" spans="1:15" x14ac:dyDescent="0.25">
      <c r="A1307">
        <f>INDEX(tblCleanData[EmployeeNumber],1299)</f>
        <v>1821</v>
      </c>
      <c r="B1307" t="str">
        <f>IF(INDEX(tblCleanData[Age],1299)&lt;30,"Under 30",IF(INDEX(tblCleanData[Age],1299)&lt;40,"30-39",IF(INDEX(tblCleanData[Age],1299)&lt;50,"40-49","50+")))</f>
        <v>40-49</v>
      </c>
      <c r="C1307" t="str">
        <f>IF(INDEX(tblCleanData[MonthlyIncome],1299)&lt;=$B$3,"Low Income",IF(INDEX(tblCleanData[MonthlyIncome],1299)&lt;=$B$4,"Medium Income","High Income"))</f>
        <v>High Income</v>
      </c>
      <c r="D1307">
        <f>IF(INDEX(tblCleanData[Attrition],1299)="Yes",1,0)</f>
        <v>1</v>
      </c>
      <c r="E1307">
        <f>IF(INDEX(tblCleanData[OverTime],1299)="Yes",1,0)</f>
        <v>0</v>
      </c>
      <c r="F1307" t="str">
        <f>CHOOSE(INDEX(tblCleanData[Education],1299),"Below College","College","Bachelor","Master","Doctor")</f>
        <v>College</v>
      </c>
      <c r="G1307" t="str">
        <f>IF(INDEX(tblCleanData[YearsAtCompany],1299)&lt;=2,"0-2 Years",IF(INDEX(tblCleanData[YearsAtCompany],1299)&lt;=5,"3-5 Years",IF(INDEX(tblCleanData[YearsAtCompany],1299)&lt;=10,"6-10 Years","10+ Years")))</f>
        <v>6-10 Years</v>
      </c>
      <c r="H1307" t="str">
        <f>IF(INDEX(tblCleanData[WorkLifeBalance],1299)&lt;=2,"Elevated","Normal")</f>
        <v>Normal</v>
      </c>
      <c r="I1307">
        <f>IF(INDEX(tblCleanData[Age],1299)&lt;30,30,IF(INDEX(tblCleanData[Age],1299)&lt;40,20,IF(INDEX(tblCleanData[Age],1299)&lt;50,10,15)))</f>
        <v>10</v>
      </c>
      <c r="J1307">
        <f>IF(INDEX(tblCleanData[MonthlyIncome],1299)&lt;=$B$3,25,IF(INDEX(tblCleanData[MonthlyIncome],1299)&lt;=$B$4,12,5))</f>
        <v>5</v>
      </c>
      <c r="K1307">
        <f>IF(INDEX(tblCleanData[OverTime],1299)="Yes",25,0)</f>
        <v>0</v>
      </c>
      <c r="L1307">
        <f>(5-INDEX(tblCleanData[JobSatisfaction],1299))*6.25</f>
        <v>18.75</v>
      </c>
      <c r="M1307">
        <f>IF(INDEX(tblCleanData[YearsAtCompany],1299)&lt;=2,25,IF(INDEX(tblCleanData[YearsAtCompany],1299)&lt;=5,15,IF(INDEX(tblCleanData[YearsAtCompany],1299)&lt;=10,8,3)))</f>
        <v>8</v>
      </c>
      <c r="N1307">
        <f t="shared" si="40"/>
        <v>42</v>
      </c>
      <c r="O1307" t="str">
        <f t="shared" si="41"/>
        <v>Medium Risk</v>
      </c>
    </row>
    <row r="1308" spans="1:15" x14ac:dyDescent="0.25">
      <c r="A1308">
        <f>INDEX(tblCleanData[EmployeeNumber],1300)</f>
        <v>1822</v>
      </c>
      <c r="B1308" t="str">
        <f>IF(INDEX(tblCleanData[Age],1300)&lt;30,"Under 30",IF(INDEX(tblCleanData[Age],1300)&lt;40,"30-39",IF(INDEX(tblCleanData[Age],1300)&lt;50,"40-49","50+")))</f>
        <v>40-49</v>
      </c>
      <c r="C1308" t="str">
        <f>IF(INDEX(tblCleanData[MonthlyIncome],1300)&lt;=$B$3,"Low Income",IF(INDEX(tblCleanData[MonthlyIncome],1300)&lt;=$B$4,"Medium Income","High Income"))</f>
        <v>High Income</v>
      </c>
      <c r="D1308">
        <f>IF(INDEX(tblCleanData[Attrition],1300)="Yes",1,0)</f>
        <v>0</v>
      </c>
      <c r="E1308">
        <f>IF(INDEX(tblCleanData[OverTime],1300)="Yes",1,0)</f>
        <v>0</v>
      </c>
      <c r="F1308" t="str">
        <f>CHOOSE(INDEX(tblCleanData[Education],1300),"Below College","College","Bachelor","Master","Doctor")</f>
        <v>Bachelor</v>
      </c>
      <c r="G1308" t="str">
        <f>IF(INDEX(tblCleanData[YearsAtCompany],1300)&lt;=2,"0-2 Years",IF(INDEX(tblCleanData[YearsAtCompany],1300)&lt;=5,"3-5 Years",IF(INDEX(tblCleanData[YearsAtCompany],1300)&lt;=10,"6-10 Years","10+ Years")))</f>
        <v>3-5 Years</v>
      </c>
      <c r="H1308" t="str">
        <f>IF(INDEX(tblCleanData[WorkLifeBalance],1300)&lt;=2,"Elevated","Normal")</f>
        <v>Normal</v>
      </c>
      <c r="I1308">
        <f>IF(INDEX(tblCleanData[Age],1300)&lt;30,30,IF(INDEX(tblCleanData[Age],1300)&lt;40,20,IF(INDEX(tblCleanData[Age],1300)&lt;50,10,15)))</f>
        <v>10</v>
      </c>
      <c r="J1308">
        <f>IF(INDEX(tblCleanData[MonthlyIncome],1300)&lt;=$B$3,25,IF(INDEX(tblCleanData[MonthlyIncome],1300)&lt;=$B$4,12,5))</f>
        <v>5</v>
      </c>
      <c r="K1308">
        <f>IF(INDEX(tblCleanData[OverTime],1300)="Yes",25,0)</f>
        <v>0</v>
      </c>
      <c r="L1308">
        <f>(5-INDEX(tblCleanData[JobSatisfaction],1300))*6.25</f>
        <v>6.25</v>
      </c>
      <c r="M1308">
        <f>IF(INDEX(tblCleanData[YearsAtCompany],1300)&lt;=2,25,IF(INDEX(tblCleanData[YearsAtCompany],1300)&lt;=5,15,IF(INDEX(tblCleanData[YearsAtCompany],1300)&lt;=10,8,3)))</f>
        <v>15</v>
      </c>
      <c r="N1308">
        <f t="shared" si="40"/>
        <v>36</v>
      </c>
      <c r="O1308" t="str">
        <f t="shared" si="41"/>
        <v>Medium Risk</v>
      </c>
    </row>
    <row r="1309" spans="1:15" x14ac:dyDescent="0.25">
      <c r="A1309">
        <f>INDEX(tblCleanData[EmployeeNumber],1301)</f>
        <v>1823</v>
      </c>
      <c r="B1309" t="str">
        <f>IF(INDEX(tblCleanData[Age],1301)&lt;30,"Under 30",IF(INDEX(tblCleanData[Age],1301)&lt;40,"30-39",IF(INDEX(tblCleanData[Age],1301)&lt;50,"40-49","50+")))</f>
        <v>30-39</v>
      </c>
      <c r="C1309" t="str">
        <f>IF(INDEX(tblCleanData[MonthlyIncome],1301)&lt;=$B$3,"Low Income",IF(INDEX(tblCleanData[MonthlyIncome],1301)&lt;=$B$4,"Medium Income","High Income"))</f>
        <v>High Income</v>
      </c>
      <c r="D1309">
        <f>IF(INDEX(tblCleanData[Attrition],1301)="Yes",1,0)</f>
        <v>0</v>
      </c>
      <c r="E1309">
        <f>IF(INDEX(tblCleanData[OverTime],1301)="Yes",1,0)</f>
        <v>0</v>
      </c>
      <c r="F1309" t="str">
        <f>CHOOSE(INDEX(tblCleanData[Education],1301),"Below College","College","Bachelor","Master","Doctor")</f>
        <v>College</v>
      </c>
      <c r="G1309" t="str">
        <f>IF(INDEX(tblCleanData[YearsAtCompany],1301)&lt;=2,"0-2 Years",IF(INDEX(tblCleanData[YearsAtCompany],1301)&lt;=5,"3-5 Years",IF(INDEX(tblCleanData[YearsAtCompany],1301)&lt;=10,"6-10 Years","10+ Years")))</f>
        <v>6-10 Years</v>
      </c>
      <c r="H1309" t="str">
        <f>IF(INDEX(tblCleanData[WorkLifeBalance],1301)&lt;=2,"Elevated","Normal")</f>
        <v>Normal</v>
      </c>
      <c r="I1309">
        <f>IF(INDEX(tblCleanData[Age],1301)&lt;30,30,IF(INDEX(tblCleanData[Age],1301)&lt;40,20,IF(INDEX(tblCleanData[Age],1301)&lt;50,10,15)))</f>
        <v>20</v>
      </c>
      <c r="J1309">
        <f>IF(INDEX(tblCleanData[MonthlyIncome],1301)&lt;=$B$3,25,IF(INDEX(tblCleanData[MonthlyIncome],1301)&lt;=$B$4,12,5))</f>
        <v>5</v>
      </c>
      <c r="K1309">
        <f>IF(INDEX(tblCleanData[OverTime],1301)="Yes",25,0)</f>
        <v>0</v>
      </c>
      <c r="L1309">
        <f>(5-INDEX(tblCleanData[JobSatisfaction],1301))*6.25</f>
        <v>12.5</v>
      </c>
      <c r="M1309">
        <f>IF(INDEX(tblCleanData[YearsAtCompany],1301)&lt;=2,25,IF(INDEX(tblCleanData[YearsAtCompany],1301)&lt;=5,15,IF(INDEX(tblCleanData[YearsAtCompany],1301)&lt;=10,8,3)))</f>
        <v>8</v>
      </c>
      <c r="N1309">
        <f t="shared" si="40"/>
        <v>46</v>
      </c>
      <c r="O1309" t="str">
        <f t="shared" si="41"/>
        <v>Medium Risk</v>
      </c>
    </row>
    <row r="1310" spans="1:15" x14ac:dyDescent="0.25">
      <c r="A1310">
        <f>INDEX(tblCleanData[EmployeeNumber],1302)</f>
        <v>1824</v>
      </c>
      <c r="B1310" t="str">
        <f>IF(INDEX(tblCleanData[Age],1302)&lt;30,"Under 30",IF(INDEX(tblCleanData[Age],1302)&lt;40,"30-39",IF(INDEX(tblCleanData[Age],1302)&lt;50,"40-49","50+")))</f>
        <v>50+</v>
      </c>
      <c r="C1310" t="str">
        <f>IF(INDEX(tblCleanData[MonthlyIncome],1302)&lt;=$B$3,"Low Income",IF(INDEX(tblCleanData[MonthlyIncome],1302)&lt;=$B$4,"Medium Income","High Income"))</f>
        <v>High Income</v>
      </c>
      <c r="D1310">
        <f>IF(INDEX(tblCleanData[Attrition],1302)="Yes",1,0)</f>
        <v>0</v>
      </c>
      <c r="E1310">
        <f>IF(INDEX(tblCleanData[OverTime],1302)="Yes",1,0)</f>
        <v>0</v>
      </c>
      <c r="F1310" t="str">
        <f>CHOOSE(INDEX(tblCleanData[Education],1302),"Below College","College","Bachelor","Master","Doctor")</f>
        <v>Bachelor</v>
      </c>
      <c r="G1310" t="str">
        <f>IF(INDEX(tblCleanData[YearsAtCompany],1302)&lt;=2,"0-2 Years",IF(INDEX(tblCleanData[YearsAtCompany],1302)&lt;=5,"3-5 Years",IF(INDEX(tblCleanData[YearsAtCompany],1302)&lt;=10,"6-10 Years","10+ Years")))</f>
        <v>10+ Years</v>
      </c>
      <c r="H1310" t="str">
        <f>IF(INDEX(tblCleanData[WorkLifeBalance],1302)&lt;=2,"Elevated","Normal")</f>
        <v>Elevated</v>
      </c>
      <c r="I1310">
        <f>IF(INDEX(tblCleanData[Age],1302)&lt;30,30,IF(INDEX(tblCleanData[Age],1302)&lt;40,20,IF(INDEX(tblCleanData[Age],1302)&lt;50,10,15)))</f>
        <v>15</v>
      </c>
      <c r="J1310">
        <f>IF(INDEX(tblCleanData[MonthlyIncome],1302)&lt;=$B$3,25,IF(INDEX(tblCleanData[MonthlyIncome],1302)&lt;=$B$4,12,5))</f>
        <v>5</v>
      </c>
      <c r="K1310">
        <f>IF(INDEX(tblCleanData[OverTime],1302)="Yes",25,0)</f>
        <v>0</v>
      </c>
      <c r="L1310">
        <f>(5-INDEX(tblCleanData[JobSatisfaction],1302))*6.25</f>
        <v>18.75</v>
      </c>
      <c r="M1310">
        <f>IF(INDEX(tblCleanData[YearsAtCompany],1302)&lt;=2,25,IF(INDEX(tblCleanData[YearsAtCompany],1302)&lt;=5,15,IF(INDEX(tblCleanData[YearsAtCompany],1302)&lt;=10,8,3)))</f>
        <v>3</v>
      </c>
      <c r="N1310">
        <f t="shared" si="40"/>
        <v>42</v>
      </c>
      <c r="O1310" t="str">
        <f t="shared" si="41"/>
        <v>Medium Risk</v>
      </c>
    </row>
    <row r="1311" spans="1:15" x14ac:dyDescent="0.25">
      <c r="A1311">
        <f>INDEX(tblCleanData[EmployeeNumber],1303)</f>
        <v>1826</v>
      </c>
      <c r="B1311" t="str">
        <f>IF(INDEX(tblCleanData[Age],1303)&lt;30,"Under 30",IF(INDEX(tblCleanData[Age],1303)&lt;40,"30-39",IF(INDEX(tblCleanData[Age],1303)&lt;50,"40-49","50+")))</f>
        <v>30-39</v>
      </c>
      <c r="C1311" t="str">
        <f>IF(INDEX(tblCleanData[MonthlyIncome],1303)&lt;=$B$3,"Low Income",IF(INDEX(tblCleanData[MonthlyIncome],1303)&lt;=$B$4,"Medium Income","High Income"))</f>
        <v>High Income</v>
      </c>
      <c r="D1311">
        <f>IF(INDEX(tblCleanData[Attrition],1303)="Yes",1,0)</f>
        <v>0</v>
      </c>
      <c r="E1311">
        <f>IF(INDEX(tblCleanData[OverTime],1303)="Yes",1,0)</f>
        <v>0</v>
      </c>
      <c r="F1311" t="str">
        <f>CHOOSE(INDEX(tblCleanData[Education],1303),"Below College","College","Bachelor","Master","Doctor")</f>
        <v>Master</v>
      </c>
      <c r="G1311" t="str">
        <f>IF(INDEX(tblCleanData[YearsAtCompany],1303)&lt;=2,"0-2 Years",IF(INDEX(tblCleanData[YearsAtCompany],1303)&lt;=5,"3-5 Years",IF(INDEX(tblCleanData[YearsAtCompany],1303)&lt;=10,"6-10 Years","10+ Years")))</f>
        <v>3-5 Years</v>
      </c>
      <c r="H1311" t="str">
        <f>IF(INDEX(tblCleanData[WorkLifeBalance],1303)&lt;=2,"Elevated","Normal")</f>
        <v>Normal</v>
      </c>
      <c r="I1311">
        <f>IF(INDEX(tblCleanData[Age],1303)&lt;30,30,IF(INDEX(tblCleanData[Age],1303)&lt;40,20,IF(INDEX(tblCleanData[Age],1303)&lt;50,10,15)))</f>
        <v>20</v>
      </c>
      <c r="J1311">
        <f>IF(INDEX(tblCleanData[MonthlyIncome],1303)&lt;=$B$3,25,IF(INDEX(tblCleanData[MonthlyIncome],1303)&lt;=$B$4,12,5))</f>
        <v>5</v>
      </c>
      <c r="K1311">
        <f>IF(INDEX(tblCleanData[OverTime],1303)="Yes",25,0)</f>
        <v>0</v>
      </c>
      <c r="L1311">
        <f>(5-INDEX(tblCleanData[JobSatisfaction],1303))*6.25</f>
        <v>12.5</v>
      </c>
      <c r="M1311">
        <f>IF(INDEX(tblCleanData[YearsAtCompany],1303)&lt;=2,25,IF(INDEX(tblCleanData[YearsAtCompany],1303)&lt;=5,15,IF(INDEX(tblCleanData[YearsAtCompany],1303)&lt;=10,8,3)))</f>
        <v>15</v>
      </c>
      <c r="N1311">
        <f t="shared" si="40"/>
        <v>53</v>
      </c>
      <c r="O1311" t="str">
        <f t="shared" si="41"/>
        <v>Medium Risk</v>
      </c>
    </row>
    <row r="1312" spans="1:15" x14ac:dyDescent="0.25">
      <c r="A1312">
        <f>INDEX(tblCleanData[EmployeeNumber],1304)</f>
        <v>1827</v>
      </c>
      <c r="B1312" t="str">
        <f>IF(INDEX(tblCleanData[Age],1304)&lt;30,"Under 30",IF(INDEX(tblCleanData[Age],1304)&lt;40,"30-39",IF(INDEX(tblCleanData[Age],1304)&lt;50,"40-49","50+")))</f>
        <v>40-49</v>
      </c>
      <c r="C1312" t="str">
        <f>IF(INDEX(tblCleanData[MonthlyIncome],1304)&lt;=$B$3,"Low Income",IF(INDEX(tblCleanData[MonthlyIncome],1304)&lt;=$B$4,"Medium Income","High Income"))</f>
        <v>High Income</v>
      </c>
      <c r="D1312">
        <f>IF(INDEX(tblCleanData[Attrition],1304)="Yes",1,0)</f>
        <v>0</v>
      </c>
      <c r="E1312">
        <f>IF(INDEX(tblCleanData[OverTime],1304)="Yes",1,0)</f>
        <v>1</v>
      </c>
      <c r="F1312" t="str">
        <f>CHOOSE(INDEX(tblCleanData[Education],1304),"Below College","College","Bachelor","Master","Doctor")</f>
        <v>Bachelor</v>
      </c>
      <c r="G1312" t="str">
        <f>IF(INDEX(tblCleanData[YearsAtCompany],1304)&lt;=2,"0-2 Years",IF(INDEX(tblCleanData[YearsAtCompany],1304)&lt;=5,"3-5 Years",IF(INDEX(tblCleanData[YearsAtCompany],1304)&lt;=10,"6-10 Years","10+ Years")))</f>
        <v>10+ Years</v>
      </c>
      <c r="H1312" t="str">
        <f>IF(INDEX(tblCleanData[WorkLifeBalance],1304)&lt;=2,"Elevated","Normal")</f>
        <v>Normal</v>
      </c>
      <c r="I1312">
        <f>IF(INDEX(tblCleanData[Age],1304)&lt;30,30,IF(INDEX(tblCleanData[Age],1304)&lt;40,20,IF(INDEX(tblCleanData[Age],1304)&lt;50,10,15)))</f>
        <v>10</v>
      </c>
      <c r="J1312">
        <f>IF(INDEX(tblCleanData[MonthlyIncome],1304)&lt;=$B$3,25,IF(INDEX(tblCleanData[MonthlyIncome],1304)&lt;=$B$4,12,5))</f>
        <v>5</v>
      </c>
      <c r="K1312">
        <f>IF(INDEX(tblCleanData[OverTime],1304)="Yes",25,0)</f>
        <v>25</v>
      </c>
      <c r="L1312">
        <f>(5-INDEX(tblCleanData[JobSatisfaction],1304))*6.25</f>
        <v>18.75</v>
      </c>
      <c r="M1312">
        <f>IF(INDEX(tblCleanData[YearsAtCompany],1304)&lt;=2,25,IF(INDEX(tblCleanData[YearsAtCompany],1304)&lt;=5,15,IF(INDEX(tblCleanData[YearsAtCompany],1304)&lt;=10,8,3)))</f>
        <v>3</v>
      </c>
      <c r="N1312">
        <f t="shared" si="40"/>
        <v>62</v>
      </c>
      <c r="O1312" t="str">
        <f t="shared" si="41"/>
        <v>High Risk</v>
      </c>
    </row>
    <row r="1313" spans="1:15" x14ac:dyDescent="0.25">
      <c r="A1313">
        <f>INDEX(tblCleanData[EmployeeNumber],1305)</f>
        <v>1829</v>
      </c>
      <c r="B1313" t="str">
        <f>IF(INDEX(tblCleanData[Age],1305)&lt;30,"Under 30",IF(INDEX(tblCleanData[Age],1305)&lt;40,"30-39",IF(INDEX(tblCleanData[Age],1305)&lt;50,"40-49","50+")))</f>
        <v>40-49</v>
      </c>
      <c r="C1313" t="str">
        <f>IF(INDEX(tblCleanData[MonthlyIncome],1305)&lt;=$B$3,"Low Income",IF(INDEX(tblCleanData[MonthlyIncome],1305)&lt;=$B$4,"Medium Income","High Income"))</f>
        <v>High Income</v>
      </c>
      <c r="D1313">
        <f>IF(INDEX(tblCleanData[Attrition],1305)="Yes",1,0)</f>
        <v>0</v>
      </c>
      <c r="E1313">
        <f>IF(INDEX(tblCleanData[OverTime],1305)="Yes",1,0)</f>
        <v>0</v>
      </c>
      <c r="F1313" t="str">
        <f>CHOOSE(INDEX(tblCleanData[Education],1305),"Below College","College","Bachelor","Master","Doctor")</f>
        <v>Bachelor</v>
      </c>
      <c r="G1313" t="str">
        <f>IF(INDEX(tblCleanData[YearsAtCompany],1305)&lt;=2,"0-2 Years",IF(INDEX(tblCleanData[YearsAtCompany],1305)&lt;=5,"3-5 Years",IF(INDEX(tblCleanData[YearsAtCompany],1305)&lt;=10,"6-10 Years","10+ Years")))</f>
        <v>6-10 Years</v>
      </c>
      <c r="H1313" t="str">
        <f>IF(INDEX(tblCleanData[WorkLifeBalance],1305)&lt;=2,"Elevated","Normal")</f>
        <v>Normal</v>
      </c>
      <c r="I1313">
        <f>IF(INDEX(tblCleanData[Age],1305)&lt;30,30,IF(INDEX(tblCleanData[Age],1305)&lt;40,20,IF(INDEX(tblCleanData[Age],1305)&lt;50,10,15)))</f>
        <v>10</v>
      </c>
      <c r="J1313">
        <f>IF(INDEX(tblCleanData[MonthlyIncome],1305)&lt;=$B$3,25,IF(INDEX(tblCleanData[MonthlyIncome],1305)&lt;=$B$4,12,5))</f>
        <v>5</v>
      </c>
      <c r="K1313">
        <f>IF(INDEX(tblCleanData[OverTime],1305)="Yes",25,0)</f>
        <v>0</v>
      </c>
      <c r="L1313">
        <f>(5-INDEX(tblCleanData[JobSatisfaction],1305))*6.25</f>
        <v>25</v>
      </c>
      <c r="M1313">
        <f>IF(INDEX(tblCleanData[YearsAtCompany],1305)&lt;=2,25,IF(INDEX(tblCleanData[YearsAtCompany],1305)&lt;=5,15,IF(INDEX(tblCleanData[YearsAtCompany],1305)&lt;=10,8,3)))</f>
        <v>8</v>
      </c>
      <c r="N1313">
        <f t="shared" si="40"/>
        <v>48</v>
      </c>
      <c r="O1313" t="str">
        <f t="shared" si="41"/>
        <v>Medium Risk</v>
      </c>
    </row>
    <row r="1314" spans="1:15" x14ac:dyDescent="0.25">
      <c r="A1314">
        <f>INDEX(tblCleanData[EmployeeNumber],1306)</f>
        <v>1830</v>
      </c>
      <c r="B1314" t="str">
        <f>IF(INDEX(tblCleanData[Age],1306)&lt;30,"Under 30",IF(INDEX(tblCleanData[Age],1306)&lt;40,"30-39",IF(INDEX(tblCleanData[Age],1306)&lt;50,"40-49","50+")))</f>
        <v>50+</v>
      </c>
      <c r="C1314" t="str">
        <f>IF(INDEX(tblCleanData[MonthlyIncome],1306)&lt;=$B$3,"Low Income",IF(INDEX(tblCleanData[MonthlyIncome],1306)&lt;=$B$4,"Medium Income","High Income"))</f>
        <v>High Income</v>
      </c>
      <c r="D1314">
        <f>IF(INDEX(tblCleanData[Attrition],1306)="Yes",1,0)</f>
        <v>0</v>
      </c>
      <c r="E1314">
        <f>IF(INDEX(tblCleanData[OverTime],1306)="Yes",1,0)</f>
        <v>0</v>
      </c>
      <c r="F1314" t="str">
        <f>CHOOSE(INDEX(tblCleanData[Education],1306),"Below College","College","Bachelor","Master","Doctor")</f>
        <v>Master</v>
      </c>
      <c r="G1314" t="str">
        <f>IF(INDEX(tblCleanData[YearsAtCompany],1306)&lt;=2,"0-2 Years",IF(INDEX(tblCleanData[YearsAtCompany],1306)&lt;=5,"3-5 Years",IF(INDEX(tblCleanData[YearsAtCompany],1306)&lt;=10,"6-10 Years","10+ Years")))</f>
        <v>6-10 Years</v>
      </c>
      <c r="H1314" t="str">
        <f>IF(INDEX(tblCleanData[WorkLifeBalance],1306)&lt;=2,"Elevated","Normal")</f>
        <v>Elevated</v>
      </c>
      <c r="I1314">
        <f>IF(INDEX(tblCleanData[Age],1306)&lt;30,30,IF(INDEX(tblCleanData[Age],1306)&lt;40,20,IF(INDEX(tblCleanData[Age],1306)&lt;50,10,15)))</f>
        <v>15</v>
      </c>
      <c r="J1314">
        <f>IF(INDEX(tblCleanData[MonthlyIncome],1306)&lt;=$B$3,25,IF(INDEX(tblCleanData[MonthlyIncome],1306)&lt;=$B$4,12,5))</f>
        <v>5</v>
      </c>
      <c r="K1314">
        <f>IF(INDEX(tblCleanData[OverTime],1306)="Yes",25,0)</f>
        <v>0</v>
      </c>
      <c r="L1314">
        <f>(5-INDEX(tblCleanData[JobSatisfaction],1306))*6.25</f>
        <v>6.25</v>
      </c>
      <c r="M1314">
        <f>IF(INDEX(tblCleanData[YearsAtCompany],1306)&lt;=2,25,IF(INDEX(tblCleanData[YearsAtCompany],1306)&lt;=5,15,IF(INDEX(tblCleanData[YearsAtCompany],1306)&lt;=10,8,3)))</f>
        <v>8</v>
      </c>
      <c r="N1314">
        <f t="shared" si="40"/>
        <v>34</v>
      </c>
      <c r="O1314" t="str">
        <f t="shared" si="41"/>
        <v>Low Risk</v>
      </c>
    </row>
    <row r="1315" spans="1:15" x14ac:dyDescent="0.25">
      <c r="A1315">
        <f>INDEX(tblCleanData[EmployeeNumber],1307)</f>
        <v>1833</v>
      </c>
      <c r="B1315" t="str">
        <f>IF(INDEX(tblCleanData[Age],1307)&lt;30,"Under 30",IF(INDEX(tblCleanData[Age],1307)&lt;40,"30-39",IF(INDEX(tblCleanData[Age],1307)&lt;50,"40-49","50+")))</f>
        <v>30-39</v>
      </c>
      <c r="C1315" t="str">
        <f>IF(INDEX(tblCleanData[MonthlyIncome],1307)&lt;=$B$3,"Low Income",IF(INDEX(tblCleanData[MonthlyIncome],1307)&lt;=$B$4,"Medium Income","High Income"))</f>
        <v>High Income</v>
      </c>
      <c r="D1315">
        <f>IF(INDEX(tblCleanData[Attrition],1307)="Yes",1,0)</f>
        <v>0</v>
      </c>
      <c r="E1315">
        <f>IF(INDEX(tblCleanData[OverTime],1307)="Yes",1,0)</f>
        <v>0</v>
      </c>
      <c r="F1315" t="str">
        <f>CHOOSE(INDEX(tblCleanData[Education],1307),"Below College","College","Bachelor","Master","Doctor")</f>
        <v>Master</v>
      </c>
      <c r="G1315" t="str">
        <f>IF(INDEX(tblCleanData[YearsAtCompany],1307)&lt;=2,"0-2 Years",IF(INDEX(tblCleanData[YearsAtCompany],1307)&lt;=5,"3-5 Years",IF(INDEX(tblCleanData[YearsAtCompany],1307)&lt;=10,"6-10 Years","10+ Years")))</f>
        <v>3-5 Years</v>
      </c>
      <c r="H1315" t="str">
        <f>IF(INDEX(tblCleanData[WorkLifeBalance],1307)&lt;=2,"Elevated","Normal")</f>
        <v>Normal</v>
      </c>
      <c r="I1315">
        <f>IF(INDEX(tblCleanData[Age],1307)&lt;30,30,IF(INDEX(tblCleanData[Age],1307)&lt;40,20,IF(INDEX(tblCleanData[Age],1307)&lt;50,10,15)))</f>
        <v>20</v>
      </c>
      <c r="J1315">
        <f>IF(INDEX(tblCleanData[MonthlyIncome],1307)&lt;=$B$3,25,IF(INDEX(tblCleanData[MonthlyIncome],1307)&lt;=$B$4,12,5))</f>
        <v>5</v>
      </c>
      <c r="K1315">
        <f>IF(INDEX(tblCleanData[OverTime],1307)="Yes",25,0)</f>
        <v>0</v>
      </c>
      <c r="L1315">
        <f>(5-INDEX(tblCleanData[JobSatisfaction],1307))*6.25</f>
        <v>25</v>
      </c>
      <c r="M1315">
        <f>IF(INDEX(tblCleanData[YearsAtCompany],1307)&lt;=2,25,IF(INDEX(tblCleanData[YearsAtCompany],1307)&lt;=5,15,IF(INDEX(tblCleanData[YearsAtCompany],1307)&lt;=10,8,3)))</f>
        <v>15</v>
      </c>
      <c r="N1315">
        <f t="shared" si="40"/>
        <v>65</v>
      </c>
      <c r="O1315" t="str">
        <f t="shared" si="41"/>
        <v>High Risk</v>
      </c>
    </row>
    <row r="1316" spans="1:15" x14ac:dyDescent="0.25">
      <c r="A1316">
        <f>INDEX(tblCleanData[EmployeeNumber],1308)</f>
        <v>1834</v>
      </c>
      <c r="B1316" t="str">
        <f>IF(INDEX(tblCleanData[Age],1308)&lt;30,"Under 30",IF(INDEX(tblCleanData[Age],1308)&lt;40,"30-39",IF(INDEX(tblCleanData[Age],1308)&lt;50,"40-49","50+")))</f>
        <v>Under 30</v>
      </c>
      <c r="C1316" t="str">
        <f>IF(INDEX(tblCleanData[MonthlyIncome],1308)&lt;=$B$3,"Low Income",IF(INDEX(tblCleanData[MonthlyIncome],1308)&lt;=$B$4,"Medium Income","High Income"))</f>
        <v>High Income</v>
      </c>
      <c r="D1316">
        <f>IF(INDEX(tblCleanData[Attrition],1308)="Yes",1,0)</f>
        <v>0</v>
      </c>
      <c r="E1316">
        <f>IF(INDEX(tblCleanData[OverTime],1308)="Yes",1,0)</f>
        <v>0</v>
      </c>
      <c r="F1316" t="str">
        <f>CHOOSE(INDEX(tblCleanData[Education],1308),"Below College","College","Bachelor","Master","Doctor")</f>
        <v>Bachelor</v>
      </c>
      <c r="G1316" t="str">
        <f>IF(INDEX(tblCleanData[YearsAtCompany],1308)&lt;=2,"0-2 Years",IF(INDEX(tblCleanData[YearsAtCompany],1308)&lt;=5,"3-5 Years",IF(INDEX(tblCleanData[YearsAtCompany],1308)&lt;=10,"6-10 Years","10+ Years")))</f>
        <v>3-5 Years</v>
      </c>
      <c r="H1316" t="str">
        <f>IF(INDEX(tblCleanData[WorkLifeBalance],1308)&lt;=2,"Elevated","Normal")</f>
        <v>Normal</v>
      </c>
      <c r="I1316">
        <f>IF(INDEX(tblCleanData[Age],1308)&lt;30,30,IF(INDEX(tblCleanData[Age],1308)&lt;40,20,IF(INDEX(tblCleanData[Age],1308)&lt;50,10,15)))</f>
        <v>30</v>
      </c>
      <c r="J1316">
        <f>IF(INDEX(tblCleanData[MonthlyIncome],1308)&lt;=$B$3,25,IF(INDEX(tblCleanData[MonthlyIncome],1308)&lt;=$B$4,12,5))</f>
        <v>5</v>
      </c>
      <c r="K1316">
        <f>IF(INDEX(tblCleanData[OverTime],1308)="Yes",25,0)</f>
        <v>0</v>
      </c>
      <c r="L1316">
        <f>(5-INDEX(tblCleanData[JobSatisfaction],1308))*6.25</f>
        <v>25</v>
      </c>
      <c r="M1316">
        <f>IF(INDEX(tblCleanData[YearsAtCompany],1308)&lt;=2,25,IF(INDEX(tblCleanData[YearsAtCompany],1308)&lt;=5,15,IF(INDEX(tblCleanData[YearsAtCompany],1308)&lt;=10,8,3)))</f>
        <v>15</v>
      </c>
      <c r="N1316">
        <f t="shared" si="40"/>
        <v>75</v>
      </c>
      <c r="O1316" t="str">
        <f t="shared" si="41"/>
        <v>High Risk</v>
      </c>
    </row>
    <row r="1317" spans="1:15" x14ac:dyDescent="0.25">
      <c r="A1317">
        <f>INDEX(tblCleanData[EmployeeNumber],1309)</f>
        <v>1835</v>
      </c>
      <c r="B1317" t="str">
        <f>IF(INDEX(tblCleanData[Age],1309)&lt;30,"Under 30",IF(INDEX(tblCleanData[Age],1309)&lt;40,"30-39",IF(INDEX(tblCleanData[Age],1309)&lt;50,"40-49","50+")))</f>
        <v>30-39</v>
      </c>
      <c r="C1317" t="str">
        <f>IF(INDEX(tblCleanData[MonthlyIncome],1309)&lt;=$B$3,"Low Income",IF(INDEX(tblCleanData[MonthlyIncome],1309)&lt;=$B$4,"Medium Income","High Income"))</f>
        <v>High Income</v>
      </c>
      <c r="D1317">
        <f>IF(INDEX(tblCleanData[Attrition],1309)="Yes",1,0)</f>
        <v>0</v>
      </c>
      <c r="E1317">
        <f>IF(INDEX(tblCleanData[OverTime],1309)="Yes",1,0)</f>
        <v>1</v>
      </c>
      <c r="F1317" t="str">
        <f>CHOOSE(INDEX(tblCleanData[Education],1309),"Below College","College","Bachelor","Master","Doctor")</f>
        <v>Master</v>
      </c>
      <c r="G1317" t="str">
        <f>IF(INDEX(tblCleanData[YearsAtCompany],1309)&lt;=2,"0-2 Years",IF(INDEX(tblCleanData[YearsAtCompany],1309)&lt;=5,"3-5 Years",IF(INDEX(tblCleanData[YearsAtCompany],1309)&lt;=10,"6-10 Years","10+ Years")))</f>
        <v>3-5 Years</v>
      </c>
      <c r="H1317" t="str">
        <f>IF(INDEX(tblCleanData[WorkLifeBalance],1309)&lt;=2,"Elevated","Normal")</f>
        <v>Elevated</v>
      </c>
      <c r="I1317">
        <f>IF(INDEX(tblCleanData[Age],1309)&lt;30,30,IF(INDEX(tblCleanData[Age],1309)&lt;40,20,IF(INDEX(tblCleanData[Age],1309)&lt;50,10,15)))</f>
        <v>20</v>
      </c>
      <c r="J1317">
        <f>IF(INDEX(tblCleanData[MonthlyIncome],1309)&lt;=$B$3,25,IF(INDEX(tblCleanData[MonthlyIncome],1309)&lt;=$B$4,12,5))</f>
        <v>5</v>
      </c>
      <c r="K1317">
        <f>IF(INDEX(tblCleanData[OverTime],1309)="Yes",25,0)</f>
        <v>25</v>
      </c>
      <c r="L1317">
        <f>(5-INDEX(tblCleanData[JobSatisfaction],1309))*6.25</f>
        <v>6.25</v>
      </c>
      <c r="M1317">
        <f>IF(INDEX(tblCleanData[YearsAtCompany],1309)&lt;=2,25,IF(INDEX(tblCleanData[YearsAtCompany],1309)&lt;=5,15,IF(INDEX(tblCleanData[YearsAtCompany],1309)&lt;=10,8,3)))</f>
        <v>15</v>
      </c>
      <c r="N1317">
        <f t="shared" si="40"/>
        <v>71</v>
      </c>
      <c r="O1317" t="str">
        <f t="shared" si="41"/>
        <v>High Risk</v>
      </c>
    </row>
    <row r="1318" spans="1:15" x14ac:dyDescent="0.25">
      <c r="A1318">
        <f>INDEX(tblCleanData[EmployeeNumber],1310)</f>
        <v>1836</v>
      </c>
      <c r="B1318" t="str">
        <f>IF(INDEX(tblCleanData[Age],1310)&lt;30,"Under 30",IF(INDEX(tblCleanData[Age],1310)&lt;40,"30-39",IF(INDEX(tblCleanData[Age],1310)&lt;50,"40-49","50+")))</f>
        <v>Under 30</v>
      </c>
      <c r="C1318" t="str">
        <f>IF(INDEX(tblCleanData[MonthlyIncome],1310)&lt;=$B$3,"Low Income",IF(INDEX(tblCleanData[MonthlyIncome],1310)&lt;=$B$4,"Medium Income","High Income"))</f>
        <v>High Income</v>
      </c>
      <c r="D1318">
        <f>IF(INDEX(tblCleanData[Attrition],1310)="Yes",1,0)</f>
        <v>0</v>
      </c>
      <c r="E1318">
        <f>IF(INDEX(tblCleanData[OverTime],1310)="Yes",1,0)</f>
        <v>0</v>
      </c>
      <c r="F1318" t="str">
        <f>CHOOSE(INDEX(tblCleanData[Education],1310),"Below College","College","Bachelor","Master","Doctor")</f>
        <v>Bachelor</v>
      </c>
      <c r="G1318" t="str">
        <f>IF(INDEX(tblCleanData[YearsAtCompany],1310)&lt;=2,"0-2 Years",IF(INDEX(tblCleanData[YearsAtCompany],1310)&lt;=5,"3-5 Years",IF(INDEX(tblCleanData[YearsAtCompany],1310)&lt;=10,"6-10 Years","10+ Years")))</f>
        <v>3-5 Years</v>
      </c>
      <c r="H1318" t="str">
        <f>IF(INDEX(tblCleanData[WorkLifeBalance],1310)&lt;=2,"Elevated","Normal")</f>
        <v>Normal</v>
      </c>
      <c r="I1318">
        <f>IF(INDEX(tblCleanData[Age],1310)&lt;30,30,IF(INDEX(tblCleanData[Age],1310)&lt;40,20,IF(INDEX(tblCleanData[Age],1310)&lt;50,10,15)))</f>
        <v>30</v>
      </c>
      <c r="J1318">
        <f>IF(INDEX(tblCleanData[MonthlyIncome],1310)&lt;=$B$3,25,IF(INDEX(tblCleanData[MonthlyIncome],1310)&lt;=$B$4,12,5))</f>
        <v>5</v>
      </c>
      <c r="K1318">
        <f>IF(INDEX(tblCleanData[OverTime],1310)="Yes",25,0)</f>
        <v>0</v>
      </c>
      <c r="L1318">
        <f>(5-INDEX(tblCleanData[JobSatisfaction],1310))*6.25</f>
        <v>6.25</v>
      </c>
      <c r="M1318">
        <f>IF(INDEX(tblCleanData[YearsAtCompany],1310)&lt;=2,25,IF(INDEX(tblCleanData[YearsAtCompany],1310)&lt;=5,15,IF(INDEX(tblCleanData[YearsAtCompany],1310)&lt;=10,8,3)))</f>
        <v>15</v>
      </c>
      <c r="N1318">
        <f t="shared" si="40"/>
        <v>56</v>
      </c>
      <c r="O1318" t="str">
        <f t="shared" si="41"/>
        <v>High Risk</v>
      </c>
    </row>
    <row r="1319" spans="1:15" x14ac:dyDescent="0.25">
      <c r="A1319">
        <f>INDEX(tblCleanData[EmployeeNumber],1311)</f>
        <v>1837</v>
      </c>
      <c r="B1319" t="str">
        <f>IF(INDEX(tblCleanData[Age],1311)&lt;30,"Under 30",IF(INDEX(tblCleanData[Age],1311)&lt;40,"30-39",IF(INDEX(tblCleanData[Age],1311)&lt;50,"40-49","50+")))</f>
        <v>50+</v>
      </c>
      <c r="C1319" t="str">
        <f>IF(INDEX(tblCleanData[MonthlyIncome],1311)&lt;=$B$3,"Low Income",IF(INDEX(tblCleanData[MonthlyIncome],1311)&lt;=$B$4,"Medium Income","High Income"))</f>
        <v>High Income</v>
      </c>
      <c r="D1319">
        <f>IF(INDEX(tblCleanData[Attrition],1311)="Yes",1,0)</f>
        <v>0</v>
      </c>
      <c r="E1319">
        <f>IF(INDEX(tblCleanData[OverTime],1311)="Yes",1,0)</f>
        <v>1</v>
      </c>
      <c r="F1319" t="str">
        <f>CHOOSE(INDEX(tblCleanData[Education],1311),"Below College","College","Bachelor","Master","Doctor")</f>
        <v>Master</v>
      </c>
      <c r="G1319" t="str">
        <f>IF(INDEX(tblCleanData[YearsAtCompany],1311)&lt;=2,"0-2 Years",IF(INDEX(tblCleanData[YearsAtCompany],1311)&lt;=5,"3-5 Years",IF(INDEX(tblCleanData[YearsAtCompany],1311)&lt;=10,"6-10 Years","10+ Years")))</f>
        <v>0-2 Years</v>
      </c>
      <c r="H1319" t="str">
        <f>IF(INDEX(tblCleanData[WorkLifeBalance],1311)&lt;=2,"Elevated","Normal")</f>
        <v>Normal</v>
      </c>
      <c r="I1319">
        <f>IF(INDEX(tblCleanData[Age],1311)&lt;30,30,IF(INDEX(tblCleanData[Age],1311)&lt;40,20,IF(INDEX(tblCleanData[Age],1311)&lt;50,10,15)))</f>
        <v>15</v>
      </c>
      <c r="J1319">
        <f>IF(INDEX(tblCleanData[MonthlyIncome],1311)&lt;=$B$3,25,IF(INDEX(tblCleanData[MonthlyIncome],1311)&lt;=$B$4,12,5))</f>
        <v>5</v>
      </c>
      <c r="K1319">
        <f>IF(INDEX(tblCleanData[OverTime],1311)="Yes",25,0)</f>
        <v>25</v>
      </c>
      <c r="L1319">
        <f>(5-INDEX(tblCleanData[JobSatisfaction],1311))*6.25</f>
        <v>12.5</v>
      </c>
      <c r="M1319">
        <f>IF(INDEX(tblCleanData[YearsAtCompany],1311)&lt;=2,25,IF(INDEX(tblCleanData[YearsAtCompany],1311)&lt;=5,15,IF(INDEX(tblCleanData[YearsAtCompany],1311)&lt;=10,8,3)))</f>
        <v>25</v>
      </c>
      <c r="N1319">
        <f t="shared" si="40"/>
        <v>83</v>
      </c>
      <c r="O1319" t="str">
        <f t="shared" si="41"/>
        <v>High Risk</v>
      </c>
    </row>
    <row r="1320" spans="1:15" x14ac:dyDescent="0.25">
      <c r="A1320">
        <f>INDEX(tblCleanData[EmployeeNumber],1312)</f>
        <v>1839</v>
      </c>
      <c r="B1320" t="str">
        <f>IF(INDEX(tblCleanData[Age],1312)&lt;30,"Under 30",IF(INDEX(tblCleanData[Age],1312)&lt;40,"30-39",IF(INDEX(tblCleanData[Age],1312)&lt;50,"40-49","50+")))</f>
        <v>Under 30</v>
      </c>
      <c r="C1320" t="str">
        <f>IF(INDEX(tblCleanData[MonthlyIncome],1312)&lt;=$B$3,"Low Income",IF(INDEX(tblCleanData[MonthlyIncome],1312)&lt;=$B$4,"Medium Income","High Income"))</f>
        <v>High Income</v>
      </c>
      <c r="D1320">
        <f>IF(INDEX(tblCleanData[Attrition],1312)="Yes",1,0)</f>
        <v>0</v>
      </c>
      <c r="E1320">
        <f>IF(INDEX(tblCleanData[OverTime],1312)="Yes",1,0)</f>
        <v>0</v>
      </c>
      <c r="F1320" t="str">
        <f>CHOOSE(INDEX(tblCleanData[Education],1312),"Below College","College","Bachelor","Master","Doctor")</f>
        <v>Bachelor</v>
      </c>
      <c r="G1320" t="str">
        <f>IF(INDEX(tblCleanData[YearsAtCompany],1312)&lt;=2,"0-2 Years",IF(INDEX(tblCleanData[YearsAtCompany],1312)&lt;=5,"3-5 Years",IF(INDEX(tblCleanData[YearsAtCompany],1312)&lt;=10,"6-10 Years","10+ Years")))</f>
        <v>0-2 Years</v>
      </c>
      <c r="H1320" t="str">
        <f>IF(INDEX(tblCleanData[WorkLifeBalance],1312)&lt;=2,"Elevated","Normal")</f>
        <v>Elevated</v>
      </c>
      <c r="I1320">
        <f>IF(INDEX(tblCleanData[Age],1312)&lt;30,30,IF(INDEX(tblCleanData[Age],1312)&lt;40,20,IF(INDEX(tblCleanData[Age],1312)&lt;50,10,15)))</f>
        <v>30</v>
      </c>
      <c r="J1320">
        <f>IF(INDEX(tblCleanData[MonthlyIncome],1312)&lt;=$B$3,25,IF(INDEX(tblCleanData[MonthlyIncome],1312)&lt;=$B$4,12,5))</f>
        <v>5</v>
      </c>
      <c r="K1320">
        <f>IF(INDEX(tblCleanData[OverTime],1312)="Yes",25,0)</f>
        <v>0</v>
      </c>
      <c r="L1320">
        <f>(5-INDEX(tblCleanData[JobSatisfaction],1312))*6.25</f>
        <v>12.5</v>
      </c>
      <c r="M1320">
        <f>IF(INDEX(tblCleanData[YearsAtCompany],1312)&lt;=2,25,IF(INDEX(tblCleanData[YearsAtCompany],1312)&lt;=5,15,IF(INDEX(tblCleanData[YearsAtCompany],1312)&lt;=10,8,3)))</f>
        <v>25</v>
      </c>
      <c r="N1320">
        <f t="shared" si="40"/>
        <v>73</v>
      </c>
      <c r="O1320" t="str">
        <f t="shared" si="41"/>
        <v>High Risk</v>
      </c>
    </row>
    <row r="1321" spans="1:15" x14ac:dyDescent="0.25">
      <c r="A1321">
        <f>INDEX(tblCleanData[EmployeeNumber],1313)</f>
        <v>1842</v>
      </c>
      <c r="B1321" t="str">
        <f>IF(INDEX(tblCleanData[Age],1313)&lt;30,"Under 30",IF(INDEX(tblCleanData[Age],1313)&lt;40,"30-39",IF(INDEX(tblCleanData[Age],1313)&lt;50,"40-49","50+")))</f>
        <v>30-39</v>
      </c>
      <c r="C1321" t="str">
        <f>IF(INDEX(tblCleanData[MonthlyIncome],1313)&lt;=$B$3,"Low Income",IF(INDEX(tblCleanData[MonthlyIncome],1313)&lt;=$B$4,"Medium Income","High Income"))</f>
        <v>High Income</v>
      </c>
      <c r="D1321">
        <f>IF(INDEX(tblCleanData[Attrition],1313)="Yes",1,0)</f>
        <v>1</v>
      </c>
      <c r="E1321">
        <f>IF(INDEX(tblCleanData[OverTime],1313)="Yes",1,0)</f>
        <v>0</v>
      </c>
      <c r="F1321" t="str">
        <f>CHOOSE(INDEX(tblCleanData[Education],1313),"Below College","College","Bachelor","Master","Doctor")</f>
        <v>Doctor</v>
      </c>
      <c r="G1321" t="str">
        <f>IF(INDEX(tblCleanData[YearsAtCompany],1313)&lt;=2,"0-2 Years",IF(INDEX(tblCleanData[YearsAtCompany],1313)&lt;=5,"3-5 Years",IF(INDEX(tblCleanData[YearsAtCompany],1313)&lt;=10,"6-10 Years","10+ Years")))</f>
        <v>0-2 Years</v>
      </c>
      <c r="H1321" t="str">
        <f>IF(INDEX(tblCleanData[WorkLifeBalance],1313)&lt;=2,"Elevated","Normal")</f>
        <v>Normal</v>
      </c>
      <c r="I1321">
        <f>IF(INDEX(tblCleanData[Age],1313)&lt;30,30,IF(INDEX(tblCleanData[Age],1313)&lt;40,20,IF(INDEX(tblCleanData[Age],1313)&lt;50,10,15)))</f>
        <v>20</v>
      </c>
      <c r="J1321">
        <f>IF(INDEX(tblCleanData[MonthlyIncome],1313)&lt;=$B$3,25,IF(INDEX(tblCleanData[MonthlyIncome],1313)&lt;=$B$4,12,5))</f>
        <v>5</v>
      </c>
      <c r="K1321">
        <f>IF(INDEX(tblCleanData[OverTime],1313)="Yes",25,0)</f>
        <v>0</v>
      </c>
      <c r="L1321">
        <f>(5-INDEX(tblCleanData[JobSatisfaction],1313))*6.25</f>
        <v>25</v>
      </c>
      <c r="M1321">
        <f>IF(INDEX(tblCleanData[YearsAtCompany],1313)&lt;=2,25,IF(INDEX(tblCleanData[YearsAtCompany],1313)&lt;=5,15,IF(INDEX(tblCleanData[YearsAtCompany],1313)&lt;=10,8,3)))</f>
        <v>25</v>
      </c>
      <c r="N1321">
        <f t="shared" si="40"/>
        <v>75</v>
      </c>
      <c r="O1321" t="str">
        <f t="shared" si="41"/>
        <v>High Risk</v>
      </c>
    </row>
    <row r="1322" spans="1:15" x14ac:dyDescent="0.25">
      <c r="A1322">
        <f>INDEX(tblCleanData[EmployeeNumber],1314)</f>
        <v>1844</v>
      </c>
      <c r="B1322" t="str">
        <f>IF(INDEX(tblCleanData[Age],1314)&lt;30,"Under 30",IF(INDEX(tblCleanData[Age],1314)&lt;40,"30-39",IF(INDEX(tblCleanData[Age],1314)&lt;50,"40-49","50+")))</f>
        <v>Under 30</v>
      </c>
      <c r="C1322" t="str">
        <f>IF(INDEX(tblCleanData[MonthlyIncome],1314)&lt;=$B$3,"Low Income",IF(INDEX(tblCleanData[MonthlyIncome],1314)&lt;=$B$4,"Medium Income","High Income"))</f>
        <v>High Income</v>
      </c>
      <c r="D1322">
        <f>IF(INDEX(tblCleanData[Attrition],1314)="Yes",1,0)</f>
        <v>1</v>
      </c>
      <c r="E1322">
        <f>IF(INDEX(tblCleanData[OverTime],1314)="Yes",1,0)</f>
        <v>1</v>
      </c>
      <c r="F1322" t="str">
        <f>CHOOSE(INDEX(tblCleanData[Education],1314),"Below College","College","Bachelor","Master","Doctor")</f>
        <v>Bachelor</v>
      </c>
      <c r="G1322" t="str">
        <f>IF(INDEX(tblCleanData[YearsAtCompany],1314)&lt;=2,"0-2 Years",IF(INDEX(tblCleanData[YearsAtCompany],1314)&lt;=5,"3-5 Years",IF(INDEX(tblCleanData[YearsAtCompany],1314)&lt;=10,"6-10 Years","10+ Years")))</f>
        <v>0-2 Years</v>
      </c>
      <c r="H1322" t="str">
        <f>IF(INDEX(tblCleanData[WorkLifeBalance],1314)&lt;=2,"Elevated","Normal")</f>
        <v>Normal</v>
      </c>
      <c r="I1322">
        <f>IF(INDEX(tblCleanData[Age],1314)&lt;30,30,IF(INDEX(tblCleanData[Age],1314)&lt;40,20,IF(INDEX(tblCleanData[Age],1314)&lt;50,10,15)))</f>
        <v>30</v>
      </c>
      <c r="J1322">
        <f>IF(INDEX(tblCleanData[MonthlyIncome],1314)&lt;=$B$3,25,IF(INDEX(tblCleanData[MonthlyIncome],1314)&lt;=$B$4,12,5))</f>
        <v>5</v>
      </c>
      <c r="K1322">
        <f>IF(INDEX(tblCleanData[OverTime],1314)="Yes",25,0)</f>
        <v>25</v>
      </c>
      <c r="L1322">
        <f>(5-INDEX(tblCleanData[JobSatisfaction],1314))*6.25</f>
        <v>25</v>
      </c>
      <c r="M1322">
        <f>IF(INDEX(tblCleanData[YearsAtCompany],1314)&lt;=2,25,IF(INDEX(tblCleanData[YearsAtCompany],1314)&lt;=5,15,IF(INDEX(tblCleanData[YearsAtCompany],1314)&lt;=10,8,3)))</f>
        <v>25</v>
      </c>
      <c r="N1322">
        <f t="shared" si="40"/>
        <v>110</v>
      </c>
      <c r="O1322" t="str">
        <f t="shared" si="41"/>
        <v>High Risk</v>
      </c>
    </row>
    <row r="1323" spans="1:15" x14ac:dyDescent="0.25">
      <c r="A1323">
        <f>INDEX(tblCleanData[EmployeeNumber],1315)</f>
        <v>1845</v>
      </c>
      <c r="B1323" t="str">
        <f>IF(INDEX(tblCleanData[Age],1315)&lt;30,"Under 30",IF(INDEX(tblCleanData[Age],1315)&lt;40,"30-39",IF(INDEX(tblCleanData[Age],1315)&lt;50,"40-49","50+")))</f>
        <v>40-49</v>
      </c>
      <c r="C1323" t="str">
        <f>IF(INDEX(tblCleanData[MonthlyIncome],1315)&lt;=$B$3,"Low Income",IF(INDEX(tblCleanData[MonthlyIncome],1315)&lt;=$B$4,"Medium Income","High Income"))</f>
        <v>High Income</v>
      </c>
      <c r="D1323">
        <f>IF(INDEX(tblCleanData[Attrition],1315)="Yes",1,0)</f>
        <v>0</v>
      </c>
      <c r="E1323">
        <f>IF(INDEX(tblCleanData[OverTime],1315)="Yes",1,0)</f>
        <v>0</v>
      </c>
      <c r="F1323" t="str">
        <f>CHOOSE(INDEX(tblCleanData[Education],1315),"Below College","College","Bachelor","Master","Doctor")</f>
        <v>Master</v>
      </c>
      <c r="G1323" t="str">
        <f>IF(INDEX(tblCleanData[YearsAtCompany],1315)&lt;=2,"0-2 Years",IF(INDEX(tblCleanData[YearsAtCompany],1315)&lt;=5,"3-5 Years",IF(INDEX(tblCleanData[YearsAtCompany],1315)&lt;=10,"6-10 Years","10+ Years")))</f>
        <v>6-10 Years</v>
      </c>
      <c r="H1323" t="str">
        <f>IF(INDEX(tblCleanData[WorkLifeBalance],1315)&lt;=2,"Elevated","Normal")</f>
        <v>Normal</v>
      </c>
      <c r="I1323">
        <f>IF(INDEX(tblCleanData[Age],1315)&lt;30,30,IF(INDEX(tblCleanData[Age],1315)&lt;40,20,IF(INDEX(tblCleanData[Age],1315)&lt;50,10,15)))</f>
        <v>10</v>
      </c>
      <c r="J1323">
        <f>IF(INDEX(tblCleanData[MonthlyIncome],1315)&lt;=$B$3,25,IF(INDEX(tblCleanData[MonthlyIncome],1315)&lt;=$B$4,12,5))</f>
        <v>5</v>
      </c>
      <c r="K1323">
        <f>IF(INDEX(tblCleanData[OverTime],1315)="Yes",25,0)</f>
        <v>0</v>
      </c>
      <c r="L1323">
        <f>(5-INDEX(tblCleanData[JobSatisfaction],1315))*6.25</f>
        <v>12.5</v>
      </c>
      <c r="M1323">
        <f>IF(INDEX(tblCleanData[YearsAtCompany],1315)&lt;=2,25,IF(INDEX(tblCleanData[YearsAtCompany],1315)&lt;=5,15,IF(INDEX(tblCleanData[YearsAtCompany],1315)&lt;=10,8,3)))</f>
        <v>8</v>
      </c>
      <c r="N1323">
        <f t="shared" si="40"/>
        <v>36</v>
      </c>
      <c r="O1323" t="str">
        <f t="shared" si="41"/>
        <v>Medium Risk</v>
      </c>
    </row>
    <row r="1324" spans="1:15" x14ac:dyDescent="0.25">
      <c r="A1324">
        <f>INDEX(tblCleanData[EmployeeNumber],1316)</f>
        <v>1847</v>
      </c>
      <c r="B1324" t="str">
        <f>IF(INDEX(tblCleanData[Age],1316)&lt;30,"Under 30",IF(INDEX(tblCleanData[Age],1316)&lt;40,"30-39",IF(INDEX(tblCleanData[Age],1316)&lt;50,"40-49","50+")))</f>
        <v>30-39</v>
      </c>
      <c r="C1324" t="str">
        <f>IF(INDEX(tblCleanData[MonthlyIncome],1316)&lt;=$B$3,"Low Income",IF(INDEX(tblCleanData[MonthlyIncome],1316)&lt;=$B$4,"Medium Income","High Income"))</f>
        <v>High Income</v>
      </c>
      <c r="D1324">
        <f>IF(INDEX(tblCleanData[Attrition],1316)="Yes",1,0)</f>
        <v>0</v>
      </c>
      <c r="E1324">
        <f>IF(INDEX(tblCleanData[OverTime],1316)="Yes",1,0)</f>
        <v>1</v>
      </c>
      <c r="F1324" t="str">
        <f>CHOOSE(INDEX(tblCleanData[Education],1316),"Below College","College","Bachelor","Master","Doctor")</f>
        <v>Master</v>
      </c>
      <c r="G1324" t="str">
        <f>IF(INDEX(tblCleanData[YearsAtCompany],1316)&lt;=2,"0-2 Years",IF(INDEX(tblCleanData[YearsAtCompany],1316)&lt;=5,"3-5 Years",IF(INDEX(tblCleanData[YearsAtCompany],1316)&lt;=10,"6-10 Years","10+ Years")))</f>
        <v>0-2 Years</v>
      </c>
      <c r="H1324" t="str">
        <f>IF(INDEX(tblCleanData[WorkLifeBalance],1316)&lt;=2,"Elevated","Normal")</f>
        <v>Normal</v>
      </c>
      <c r="I1324">
        <f>IF(INDEX(tblCleanData[Age],1316)&lt;30,30,IF(INDEX(tblCleanData[Age],1316)&lt;40,20,IF(INDEX(tblCleanData[Age],1316)&lt;50,10,15)))</f>
        <v>20</v>
      </c>
      <c r="J1324">
        <f>IF(INDEX(tblCleanData[MonthlyIncome],1316)&lt;=$B$3,25,IF(INDEX(tblCleanData[MonthlyIncome],1316)&lt;=$B$4,12,5))</f>
        <v>5</v>
      </c>
      <c r="K1324">
        <f>IF(INDEX(tblCleanData[OverTime],1316)="Yes",25,0)</f>
        <v>25</v>
      </c>
      <c r="L1324">
        <f>(5-INDEX(tblCleanData[JobSatisfaction],1316))*6.25</f>
        <v>18.75</v>
      </c>
      <c r="M1324">
        <f>IF(INDEX(tblCleanData[YearsAtCompany],1316)&lt;=2,25,IF(INDEX(tblCleanData[YearsAtCompany],1316)&lt;=5,15,IF(INDEX(tblCleanData[YearsAtCompany],1316)&lt;=10,8,3)))</f>
        <v>25</v>
      </c>
      <c r="N1324">
        <f t="shared" si="40"/>
        <v>94</v>
      </c>
      <c r="O1324" t="str">
        <f t="shared" si="41"/>
        <v>High Risk</v>
      </c>
    </row>
    <row r="1325" spans="1:15" x14ac:dyDescent="0.25">
      <c r="A1325">
        <f>INDEX(tblCleanData[EmployeeNumber],1317)</f>
        <v>1849</v>
      </c>
      <c r="B1325" t="str">
        <f>IF(INDEX(tblCleanData[Age],1317)&lt;30,"Under 30",IF(INDEX(tblCleanData[Age],1317)&lt;40,"30-39",IF(INDEX(tblCleanData[Age],1317)&lt;50,"40-49","50+")))</f>
        <v>40-49</v>
      </c>
      <c r="C1325" t="str">
        <f>IF(INDEX(tblCleanData[MonthlyIncome],1317)&lt;=$B$3,"Low Income",IF(INDEX(tblCleanData[MonthlyIncome],1317)&lt;=$B$4,"Medium Income","High Income"))</f>
        <v>High Income</v>
      </c>
      <c r="D1325">
        <f>IF(INDEX(tblCleanData[Attrition],1317)="Yes",1,0)</f>
        <v>0</v>
      </c>
      <c r="E1325">
        <f>IF(INDEX(tblCleanData[OverTime],1317)="Yes",1,0)</f>
        <v>0</v>
      </c>
      <c r="F1325" t="str">
        <f>CHOOSE(INDEX(tblCleanData[Education],1317),"Below College","College","Bachelor","Master","Doctor")</f>
        <v>Master</v>
      </c>
      <c r="G1325" t="str">
        <f>IF(INDEX(tblCleanData[YearsAtCompany],1317)&lt;=2,"0-2 Years",IF(INDEX(tblCleanData[YearsAtCompany],1317)&lt;=5,"3-5 Years",IF(INDEX(tblCleanData[YearsAtCompany],1317)&lt;=10,"6-10 Years","10+ Years")))</f>
        <v>6-10 Years</v>
      </c>
      <c r="H1325" t="str">
        <f>IF(INDEX(tblCleanData[WorkLifeBalance],1317)&lt;=2,"Elevated","Normal")</f>
        <v>Normal</v>
      </c>
      <c r="I1325">
        <f>IF(INDEX(tblCleanData[Age],1317)&lt;30,30,IF(INDEX(tblCleanData[Age],1317)&lt;40,20,IF(INDEX(tblCleanData[Age],1317)&lt;50,10,15)))</f>
        <v>10</v>
      </c>
      <c r="J1325">
        <f>IF(INDEX(tblCleanData[MonthlyIncome],1317)&lt;=$B$3,25,IF(INDEX(tblCleanData[MonthlyIncome],1317)&lt;=$B$4,12,5))</f>
        <v>5</v>
      </c>
      <c r="K1325">
        <f>IF(INDEX(tblCleanData[OverTime],1317)="Yes",25,0)</f>
        <v>0</v>
      </c>
      <c r="L1325">
        <f>(5-INDEX(tblCleanData[JobSatisfaction],1317))*6.25</f>
        <v>6.25</v>
      </c>
      <c r="M1325">
        <f>IF(INDEX(tblCleanData[YearsAtCompany],1317)&lt;=2,25,IF(INDEX(tblCleanData[YearsAtCompany],1317)&lt;=5,15,IF(INDEX(tblCleanData[YearsAtCompany],1317)&lt;=10,8,3)))</f>
        <v>8</v>
      </c>
      <c r="N1325">
        <f t="shared" si="40"/>
        <v>29</v>
      </c>
      <c r="O1325" t="str">
        <f t="shared" si="41"/>
        <v>Low Risk</v>
      </c>
    </row>
    <row r="1326" spans="1:15" x14ac:dyDescent="0.25">
      <c r="A1326">
        <f>INDEX(tblCleanData[EmployeeNumber],1318)</f>
        <v>1850</v>
      </c>
      <c r="B1326" t="str">
        <f>IF(INDEX(tblCleanData[Age],1318)&lt;30,"Under 30",IF(INDEX(tblCleanData[Age],1318)&lt;40,"30-39",IF(INDEX(tblCleanData[Age],1318)&lt;50,"40-49","50+")))</f>
        <v>Under 30</v>
      </c>
      <c r="C1326" t="str">
        <f>IF(INDEX(tblCleanData[MonthlyIncome],1318)&lt;=$B$3,"Low Income",IF(INDEX(tblCleanData[MonthlyIncome],1318)&lt;=$B$4,"Medium Income","High Income"))</f>
        <v>High Income</v>
      </c>
      <c r="D1326">
        <f>IF(INDEX(tblCleanData[Attrition],1318)="Yes",1,0)</f>
        <v>0</v>
      </c>
      <c r="E1326">
        <f>IF(INDEX(tblCleanData[OverTime],1318)="Yes",1,0)</f>
        <v>1</v>
      </c>
      <c r="F1326" t="str">
        <f>CHOOSE(INDEX(tblCleanData[Education],1318),"Below College","College","Bachelor","Master","Doctor")</f>
        <v>College</v>
      </c>
      <c r="G1326" t="str">
        <f>IF(INDEX(tblCleanData[YearsAtCompany],1318)&lt;=2,"0-2 Years",IF(INDEX(tblCleanData[YearsAtCompany],1318)&lt;=5,"3-5 Years",IF(INDEX(tblCleanData[YearsAtCompany],1318)&lt;=10,"6-10 Years","10+ Years")))</f>
        <v>3-5 Years</v>
      </c>
      <c r="H1326" t="str">
        <f>IF(INDEX(tblCleanData[WorkLifeBalance],1318)&lt;=2,"Elevated","Normal")</f>
        <v>Elevated</v>
      </c>
      <c r="I1326">
        <f>IF(INDEX(tblCleanData[Age],1318)&lt;30,30,IF(INDEX(tblCleanData[Age],1318)&lt;40,20,IF(INDEX(tblCleanData[Age],1318)&lt;50,10,15)))</f>
        <v>30</v>
      </c>
      <c r="J1326">
        <f>IF(INDEX(tblCleanData[MonthlyIncome],1318)&lt;=$B$3,25,IF(INDEX(tblCleanData[MonthlyIncome],1318)&lt;=$B$4,12,5))</f>
        <v>5</v>
      </c>
      <c r="K1326">
        <f>IF(INDEX(tblCleanData[OverTime],1318)="Yes",25,0)</f>
        <v>25</v>
      </c>
      <c r="L1326">
        <f>(5-INDEX(tblCleanData[JobSatisfaction],1318))*6.25</f>
        <v>6.25</v>
      </c>
      <c r="M1326">
        <f>IF(INDEX(tblCleanData[YearsAtCompany],1318)&lt;=2,25,IF(INDEX(tblCleanData[YearsAtCompany],1318)&lt;=5,15,IF(INDEX(tblCleanData[YearsAtCompany],1318)&lt;=10,8,3)))</f>
        <v>15</v>
      </c>
      <c r="N1326">
        <f t="shared" si="40"/>
        <v>81</v>
      </c>
      <c r="O1326" t="str">
        <f t="shared" si="41"/>
        <v>High Risk</v>
      </c>
    </row>
    <row r="1327" spans="1:15" x14ac:dyDescent="0.25">
      <c r="A1327">
        <f>INDEX(tblCleanData[EmployeeNumber],1319)</f>
        <v>1852</v>
      </c>
      <c r="B1327" t="str">
        <f>IF(INDEX(tblCleanData[Age],1319)&lt;30,"Under 30",IF(INDEX(tblCleanData[Age],1319)&lt;40,"30-39",IF(INDEX(tblCleanData[Age],1319)&lt;50,"40-49","50+")))</f>
        <v>Under 30</v>
      </c>
      <c r="C1327" t="str">
        <f>IF(INDEX(tblCleanData[MonthlyIncome],1319)&lt;=$B$3,"Low Income",IF(INDEX(tblCleanData[MonthlyIncome],1319)&lt;=$B$4,"Medium Income","High Income"))</f>
        <v>High Income</v>
      </c>
      <c r="D1327">
        <f>IF(INDEX(tblCleanData[Attrition],1319)="Yes",1,0)</f>
        <v>0</v>
      </c>
      <c r="E1327">
        <f>IF(INDEX(tblCleanData[OverTime],1319)="Yes",1,0)</f>
        <v>0</v>
      </c>
      <c r="F1327" t="str">
        <f>CHOOSE(INDEX(tblCleanData[Education],1319),"Below College","College","Bachelor","Master","Doctor")</f>
        <v>Below College</v>
      </c>
      <c r="G1327" t="str">
        <f>IF(INDEX(tblCleanData[YearsAtCompany],1319)&lt;=2,"0-2 Years",IF(INDEX(tblCleanData[YearsAtCompany],1319)&lt;=5,"3-5 Years",IF(INDEX(tblCleanData[YearsAtCompany],1319)&lt;=10,"6-10 Years","10+ Years")))</f>
        <v>10+ Years</v>
      </c>
      <c r="H1327" t="str">
        <f>IF(INDEX(tblCleanData[WorkLifeBalance],1319)&lt;=2,"Elevated","Normal")</f>
        <v>Normal</v>
      </c>
      <c r="I1327">
        <f>IF(INDEX(tblCleanData[Age],1319)&lt;30,30,IF(INDEX(tblCleanData[Age],1319)&lt;40,20,IF(INDEX(tblCleanData[Age],1319)&lt;50,10,15)))</f>
        <v>30</v>
      </c>
      <c r="J1327">
        <f>IF(INDEX(tblCleanData[MonthlyIncome],1319)&lt;=$B$3,25,IF(INDEX(tblCleanData[MonthlyIncome],1319)&lt;=$B$4,12,5))</f>
        <v>5</v>
      </c>
      <c r="K1327">
        <f>IF(INDEX(tblCleanData[OverTime],1319)="Yes",25,0)</f>
        <v>0</v>
      </c>
      <c r="L1327">
        <f>(5-INDEX(tblCleanData[JobSatisfaction],1319))*6.25</f>
        <v>6.25</v>
      </c>
      <c r="M1327">
        <f>IF(INDEX(tblCleanData[YearsAtCompany],1319)&lt;=2,25,IF(INDEX(tblCleanData[YearsAtCompany],1319)&lt;=5,15,IF(INDEX(tblCleanData[YearsAtCompany],1319)&lt;=10,8,3)))</f>
        <v>3</v>
      </c>
      <c r="N1327">
        <f t="shared" si="40"/>
        <v>44</v>
      </c>
      <c r="O1327" t="str">
        <f t="shared" si="41"/>
        <v>Medium Risk</v>
      </c>
    </row>
    <row r="1328" spans="1:15" x14ac:dyDescent="0.25">
      <c r="A1328">
        <f>INDEX(tblCleanData[EmployeeNumber],1320)</f>
        <v>1853</v>
      </c>
      <c r="B1328" t="str">
        <f>IF(INDEX(tblCleanData[Age],1320)&lt;30,"Under 30",IF(INDEX(tblCleanData[Age],1320)&lt;40,"30-39",IF(INDEX(tblCleanData[Age],1320)&lt;50,"40-49","50+")))</f>
        <v>30-39</v>
      </c>
      <c r="C1328" t="str">
        <f>IF(INDEX(tblCleanData[MonthlyIncome],1320)&lt;=$B$3,"Low Income",IF(INDEX(tblCleanData[MonthlyIncome],1320)&lt;=$B$4,"Medium Income","High Income"))</f>
        <v>High Income</v>
      </c>
      <c r="D1328">
        <f>IF(INDEX(tblCleanData[Attrition],1320)="Yes",1,0)</f>
        <v>0</v>
      </c>
      <c r="E1328">
        <f>IF(INDEX(tblCleanData[OverTime],1320)="Yes",1,0)</f>
        <v>0</v>
      </c>
      <c r="F1328" t="str">
        <f>CHOOSE(INDEX(tblCleanData[Education],1320),"Below College","College","Bachelor","Master","Doctor")</f>
        <v>Master</v>
      </c>
      <c r="G1328" t="str">
        <f>IF(INDEX(tblCleanData[YearsAtCompany],1320)&lt;=2,"0-2 Years",IF(INDEX(tblCleanData[YearsAtCompany],1320)&lt;=5,"3-5 Years",IF(INDEX(tblCleanData[YearsAtCompany],1320)&lt;=10,"6-10 Years","10+ Years")))</f>
        <v>0-2 Years</v>
      </c>
      <c r="H1328" t="str">
        <f>IF(INDEX(tblCleanData[WorkLifeBalance],1320)&lt;=2,"Elevated","Normal")</f>
        <v>Normal</v>
      </c>
      <c r="I1328">
        <f>IF(INDEX(tblCleanData[Age],1320)&lt;30,30,IF(INDEX(tblCleanData[Age],1320)&lt;40,20,IF(INDEX(tblCleanData[Age],1320)&lt;50,10,15)))</f>
        <v>20</v>
      </c>
      <c r="J1328">
        <f>IF(INDEX(tblCleanData[MonthlyIncome],1320)&lt;=$B$3,25,IF(INDEX(tblCleanData[MonthlyIncome],1320)&lt;=$B$4,12,5))</f>
        <v>5</v>
      </c>
      <c r="K1328">
        <f>IF(INDEX(tblCleanData[OverTime],1320)="Yes",25,0)</f>
        <v>0</v>
      </c>
      <c r="L1328">
        <f>(5-INDEX(tblCleanData[JobSatisfaction],1320))*6.25</f>
        <v>6.25</v>
      </c>
      <c r="M1328">
        <f>IF(INDEX(tblCleanData[YearsAtCompany],1320)&lt;=2,25,IF(INDEX(tblCleanData[YearsAtCompany],1320)&lt;=5,15,IF(INDEX(tblCleanData[YearsAtCompany],1320)&lt;=10,8,3)))</f>
        <v>25</v>
      </c>
      <c r="N1328">
        <f t="shared" si="40"/>
        <v>56</v>
      </c>
      <c r="O1328" t="str">
        <f t="shared" si="41"/>
        <v>High Risk</v>
      </c>
    </row>
    <row r="1329" spans="1:15" x14ac:dyDescent="0.25">
      <c r="A1329">
        <f>INDEX(tblCleanData[EmployeeNumber],1321)</f>
        <v>1854</v>
      </c>
      <c r="B1329" t="str">
        <f>IF(INDEX(tblCleanData[Age],1321)&lt;30,"Under 30",IF(INDEX(tblCleanData[Age],1321)&lt;40,"30-39",IF(INDEX(tblCleanData[Age],1321)&lt;50,"40-49","50+")))</f>
        <v>40-49</v>
      </c>
      <c r="C1329" t="str">
        <f>IF(INDEX(tblCleanData[MonthlyIncome],1321)&lt;=$B$3,"Low Income",IF(INDEX(tblCleanData[MonthlyIncome],1321)&lt;=$B$4,"Medium Income","High Income"))</f>
        <v>High Income</v>
      </c>
      <c r="D1329">
        <f>IF(INDEX(tblCleanData[Attrition],1321)="Yes",1,0)</f>
        <v>0</v>
      </c>
      <c r="E1329">
        <f>IF(INDEX(tblCleanData[OverTime],1321)="Yes",1,0)</f>
        <v>0</v>
      </c>
      <c r="F1329" t="str">
        <f>CHOOSE(INDEX(tblCleanData[Education],1321),"Below College","College","Bachelor","Master","Doctor")</f>
        <v>Master</v>
      </c>
      <c r="G1329" t="str">
        <f>IF(INDEX(tblCleanData[YearsAtCompany],1321)&lt;=2,"0-2 Years",IF(INDEX(tblCleanData[YearsAtCompany],1321)&lt;=5,"3-5 Years",IF(INDEX(tblCleanData[YearsAtCompany],1321)&lt;=10,"6-10 Years","10+ Years")))</f>
        <v>6-10 Years</v>
      </c>
      <c r="H1329" t="str">
        <f>IF(INDEX(tblCleanData[WorkLifeBalance],1321)&lt;=2,"Elevated","Normal")</f>
        <v>Elevated</v>
      </c>
      <c r="I1329">
        <f>IF(INDEX(tblCleanData[Age],1321)&lt;30,30,IF(INDEX(tblCleanData[Age],1321)&lt;40,20,IF(INDEX(tblCleanData[Age],1321)&lt;50,10,15)))</f>
        <v>10</v>
      </c>
      <c r="J1329">
        <f>IF(INDEX(tblCleanData[MonthlyIncome],1321)&lt;=$B$3,25,IF(INDEX(tblCleanData[MonthlyIncome],1321)&lt;=$B$4,12,5))</f>
        <v>5</v>
      </c>
      <c r="K1329">
        <f>IF(INDEX(tblCleanData[OverTime],1321)="Yes",25,0)</f>
        <v>0</v>
      </c>
      <c r="L1329">
        <f>(5-INDEX(tblCleanData[JobSatisfaction],1321))*6.25</f>
        <v>12.5</v>
      </c>
      <c r="M1329">
        <f>IF(INDEX(tblCleanData[YearsAtCompany],1321)&lt;=2,25,IF(INDEX(tblCleanData[YearsAtCompany],1321)&lt;=5,15,IF(INDEX(tblCleanData[YearsAtCompany],1321)&lt;=10,8,3)))</f>
        <v>8</v>
      </c>
      <c r="N1329">
        <f t="shared" si="40"/>
        <v>36</v>
      </c>
      <c r="O1329" t="str">
        <f t="shared" si="41"/>
        <v>Medium Risk</v>
      </c>
    </row>
    <row r="1330" spans="1:15" x14ac:dyDescent="0.25">
      <c r="A1330">
        <f>INDEX(tblCleanData[EmployeeNumber],1322)</f>
        <v>1856</v>
      </c>
      <c r="B1330" t="str">
        <f>IF(INDEX(tblCleanData[Age],1322)&lt;30,"Under 30",IF(INDEX(tblCleanData[Age],1322)&lt;40,"30-39",IF(INDEX(tblCleanData[Age],1322)&lt;50,"40-49","50+")))</f>
        <v>40-49</v>
      </c>
      <c r="C1330" t="str">
        <f>IF(INDEX(tblCleanData[MonthlyIncome],1322)&lt;=$B$3,"Low Income",IF(INDEX(tblCleanData[MonthlyIncome],1322)&lt;=$B$4,"Medium Income","High Income"))</f>
        <v>High Income</v>
      </c>
      <c r="D1330">
        <f>IF(INDEX(tblCleanData[Attrition],1322)="Yes",1,0)</f>
        <v>0</v>
      </c>
      <c r="E1330">
        <f>IF(INDEX(tblCleanData[OverTime],1322)="Yes",1,0)</f>
        <v>0</v>
      </c>
      <c r="F1330" t="str">
        <f>CHOOSE(INDEX(tblCleanData[Education],1322),"Below College","College","Bachelor","Master","Doctor")</f>
        <v>Master</v>
      </c>
      <c r="G1330" t="str">
        <f>IF(INDEX(tblCleanData[YearsAtCompany],1322)&lt;=2,"0-2 Years",IF(INDEX(tblCleanData[YearsAtCompany],1322)&lt;=5,"3-5 Years",IF(INDEX(tblCleanData[YearsAtCompany],1322)&lt;=10,"6-10 Years","10+ Years")))</f>
        <v>0-2 Years</v>
      </c>
      <c r="H1330" t="str">
        <f>IF(INDEX(tblCleanData[WorkLifeBalance],1322)&lt;=2,"Elevated","Normal")</f>
        <v>Normal</v>
      </c>
      <c r="I1330">
        <f>IF(INDEX(tblCleanData[Age],1322)&lt;30,30,IF(INDEX(tblCleanData[Age],1322)&lt;40,20,IF(INDEX(tblCleanData[Age],1322)&lt;50,10,15)))</f>
        <v>10</v>
      </c>
      <c r="J1330">
        <f>IF(INDEX(tblCleanData[MonthlyIncome],1322)&lt;=$B$3,25,IF(INDEX(tblCleanData[MonthlyIncome],1322)&lt;=$B$4,12,5))</f>
        <v>5</v>
      </c>
      <c r="K1330">
        <f>IF(INDEX(tblCleanData[OverTime],1322)="Yes",25,0)</f>
        <v>0</v>
      </c>
      <c r="L1330">
        <f>(5-INDEX(tblCleanData[JobSatisfaction],1322))*6.25</f>
        <v>12.5</v>
      </c>
      <c r="M1330">
        <f>IF(INDEX(tblCleanData[YearsAtCompany],1322)&lt;=2,25,IF(INDEX(tblCleanData[YearsAtCompany],1322)&lt;=5,15,IF(INDEX(tblCleanData[YearsAtCompany],1322)&lt;=10,8,3)))</f>
        <v>25</v>
      </c>
      <c r="N1330">
        <f t="shared" si="40"/>
        <v>53</v>
      </c>
      <c r="O1330" t="str">
        <f t="shared" si="41"/>
        <v>Medium Risk</v>
      </c>
    </row>
    <row r="1331" spans="1:15" x14ac:dyDescent="0.25">
      <c r="A1331">
        <f>INDEX(tblCleanData[EmployeeNumber],1323)</f>
        <v>1857</v>
      </c>
      <c r="B1331" t="str">
        <f>IF(INDEX(tblCleanData[Age],1323)&lt;30,"Under 30",IF(INDEX(tblCleanData[Age],1323)&lt;40,"30-39",IF(INDEX(tblCleanData[Age],1323)&lt;50,"40-49","50+")))</f>
        <v>40-49</v>
      </c>
      <c r="C1331" t="str">
        <f>IF(INDEX(tblCleanData[MonthlyIncome],1323)&lt;=$B$3,"Low Income",IF(INDEX(tblCleanData[MonthlyIncome],1323)&lt;=$B$4,"Medium Income","High Income"))</f>
        <v>High Income</v>
      </c>
      <c r="D1331">
        <f>IF(INDEX(tblCleanData[Attrition],1323)="Yes",1,0)</f>
        <v>0</v>
      </c>
      <c r="E1331">
        <f>IF(INDEX(tblCleanData[OverTime],1323)="Yes",1,0)</f>
        <v>0</v>
      </c>
      <c r="F1331" t="str">
        <f>CHOOSE(INDEX(tblCleanData[Education],1323),"Below College","College","Bachelor","Master","Doctor")</f>
        <v>College</v>
      </c>
      <c r="G1331" t="str">
        <f>IF(INDEX(tblCleanData[YearsAtCompany],1323)&lt;=2,"0-2 Years",IF(INDEX(tblCleanData[YearsAtCompany],1323)&lt;=5,"3-5 Years",IF(INDEX(tblCleanData[YearsAtCompany],1323)&lt;=10,"6-10 Years","10+ Years")))</f>
        <v>6-10 Years</v>
      </c>
      <c r="H1331" t="str">
        <f>IF(INDEX(tblCleanData[WorkLifeBalance],1323)&lt;=2,"Elevated","Normal")</f>
        <v>Elevated</v>
      </c>
      <c r="I1331">
        <f>IF(INDEX(tblCleanData[Age],1323)&lt;30,30,IF(INDEX(tblCleanData[Age],1323)&lt;40,20,IF(INDEX(tblCleanData[Age],1323)&lt;50,10,15)))</f>
        <v>10</v>
      </c>
      <c r="J1331">
        <f>IF(INDEX(tblCleanData[MonthlyIncome],1323)&lt;=$B$3,25,IF(INDEX(tblCleanData[MonthlyIncome],1323)&lt;=$B$4,12,5))</f>
        <v>5</v>
      </c>
      <c r="K1331">
        <f>IF(INDEX(tblCleanData[OverTime],1323)="Yes",25,0)</f>
        <v>0</v>
      </c>
      <c r="L1331">
        <f>(5-INDEX(tblCleanData[JobSatisfaction],1323))*6.25</f>
        <v>6.25</v>
      </c>
      <c r="M1331">
        <f>IF(INDEX(tblCleanData[YearsAtCompany],1323)&lt;=2,25,IF(INDEX(tblCleanData[YearsAtCompany],1323)&lt;=5,15,IF(INDEX(tblCleanData[YearsAtCompany],1323)&lt;=10,8,3)))</f>
        <v>8</v>
      </c>
      <c r="N1331">
        <f t="shared" si="40"/>
        <v>29</v>
      </c>
      <c r="O1331" t="str">
        <f t="shared" si="41"/>
        <v>Low Risk</v>
      </c>
    </row>
    <row r="1332" spans="1:15" x14ac:dyDescent="0.25">
      <c r="A1332">
        <f>INDEX(tblCleanData[EmployeeNumber],1324)</f>
        <v>1858</v>
      </c>
      <c r="B1332" t="str">
        <f>IF(INDEX(tblCleanData[Age],1324)&lt;30,"Under 30",IF(INDEX(tblCleanData[Age],1324)&lt;40,"30-39",IF(INDEX(tblCleanData[Age],1324)&lt;50,"40-49","50+")))</f>
        <v>Under 30</v>
      </c>
      <c r="C1332" t="str">
        <f>IF(INDEX(tblCleanData[MonthlyIncome],1324)&lt;=$B$3,"Low Income",IF(INDEX(tblCleanData[MonthlyIncome],1324)&lt;=$B$4,"Medium Income","High Income"))</f>
        <v>High Income</v>
      </c>
      <c r="D1332">
        <f>IF(INDEX(tblCleanData[Attrition],1324)="Yes",1,0)</f>
        <v>0</v>
      </c>
      <c r="E1332">
        <f>IF(INDEX(tblCleanData[OverTime],1324)="Yes",1,0)</f>
        <v>0</v>
      </c>
      <c r="F1332" t="str">
        <f>CHOOSE(INDEX(tblCleanData[Education],1324),"Below College","College","Bachelor","Master","Doctor")</f>
        <v>College</v>
      </c>
      <c r="G1332" t="str">
        <f>IF(INDEX(tblCleanData[YearsAtCompany],1324)&lt;=2,"0-2 Years",IF(INDEX(tblCleanData[YearsAtCompany],1324)&lt;=5,"3-5 Years",IF(INDEX(tblCleanData[YearsAtCompany],1324)&lt;=10,"6-10 Years","10+ Years")))</f>
        <v>3-5 Years</v>
      </c>
      <c r="H1332" t="str">
        <f>IF(INDEX(tblCleanData[WorkLifeBalance],1324)&lt;=2,"Elevated","Normal")</f>
        <v>Normal</v>
      </c>
      <c r="I1332">
        <f>IF(INDEX(tblCleanData[Age],1324)&lt;30,30,IF(INDEX(tblCleanData[Age],1324)&lt;40,20,IF(INDEX(tblCleanData[Age],1324)&lt;50,10,15)))</f>
        <v>30</v>
      </c>
      <c r="J1332">
        <f>IF(INDEX(tblCleanData[MonthlyIncome],1324)&lt;=$B$3,25,IF(INDEX(tblCleanData[MonthlyIncome],1324)&lt;=$B$4,12,5))</f>
        <v>5</v>
      </c>
      <c r="K1332">
        <f>IF(INDEX(tblCleanData[OverTime],1324)="Yes",25,0)</f>
        <v>0</v>
      </c>
      <c r="L1332">
        <f>(5-INDEX(tblCleanData[JobSatisfaction],1324))*6.25</f>
        <v>6.25</v>
      </c>
      <c r="M1332">
        <f>IF(INDEX(tblCleanData[YearsAtCompany],1324)&lt;=2,25,IF(INDEX(tblCleanData[YearsAtCompany],1324)&lt;=5,15,IF(INDEX(tblCleanData[YearsAtCompany],1324)&lt;=10,8,3)))</f>
        <v>15</v>
      </c>
      <c r="N1332">
        <f t="shared" si="40"/>
        <v>56</v>
      </c>
      <c r="O1332" t="str">
        <f t="shared" si="41"/>
        <v>High Risk</v>
      </c>
    </row>
    <row r="1333" spans="1:15" x14ac:dyDescent="0.25">
      <c r="A1333">
        <f>INDEX(tblCleanData[EmployeeNumber],1325)</f>
        <v>1859</v>
      </c>
      <c r="B1333" t="str">
        <f>IF(INDEX(tblCleanData[Age],1325)&lt;30,"Under 30",IF(INDEX(tblCleanData[Age],1325)&lt;40,"30-39",IF(INDEX(tblCleanData[Age],1325)&lt;50,"40-49","50+")))</f>
        <v>Under 30</v>
      </c>
      <c r="C1333" t="str">
        <f>IF(INDEX(tblCleanData[MonthlyIncome],1325)&lt;=$B$3,"Low Income",IF(INDEX(tblCleanData[MonthlyIncome],1325)&lt;=$B$4,"Medium Income","High Income"))</f>
        <v>High Income</v>
      </c>
      <c r="D1333">
        <f>IF(INDEX(tblCleanData[Attrition],1325)="Yes",1,0)</f>
        <v>0</v>
      </c>
      <c r="E1333">
        <f>IF(INDEX(tblCleanData[OverTime],1325)="Yes",1,0)</f>
        <v>0</v>
      </c>
      <c r="F1333" t="str">
        <f>CHOOSE(INDEX(tblCleanData[Education],1325),"Below College","College","Bachelor","Master","Doctor")</f>
        <v>Below College</v>
      </c>
      <c r="G1333" t="str">
        <f>IF(INDEX(tblCleanData[YearsAtCompany],1325)&lt;=2,"0-2 Years",IF(INDEX(tblCleanData[YearsAtCompany],1325)&lt;=5,"3-5 Years",IF(INDEX(tblCleanData[YearsAtCompany],1325)&lt;=10,"6-10 Years","10+ Years")))</f>
        <v>6-10 Years</v>
      </c>
      <c r="H1333" t="str">
        <f>IF(INDEX(tblCleanData[WorkLifeBalance],1325)&lt;=2,"Elevated","Normal")</f>
        <v>Normal</v>
      </c>
      <c r="I1333">
        <f>IF(INDEX(tblCleanData[Age],1325)&lt;30,30,IF(INDEX(tblCleanData[Age],1325)&lt;40,20,IF(INDEX(tblCleanData[Age],1325)&lt;50,10,15)))</f>
        <v>30</v>
      </c>
      <c r="J1333">
        <f>IF(INDEX(tblCleanData[MonthlyIncome],1325)&lt;=$B$3,25,IF(INDEX(tblCleanData[MonthlyIncome],1325)&lt;=$B$4,12,5))</f>
        <v>5</v>
      </c>
      <c r="K1333">
        <f>IF(INDEX(tblCleanData[OverTime],1325)="Yes",25,0)</f>
        <v>0</v>
      </c>
      <c r="L1333">
        <f>(5-INDEX(tblCleanData[JobSatisfaction],1325))*6.25</f>
        <v>12.5</v>
      </c>
      <c r="M1333">
        <f>IF(INDEX(tblCleanData[YearsAtCompany],1325)&lt;=2,25,IF(INDEX(tblCleanData[YearsAtCompany],1325)&lt;=5,15,IF(INDEX(tblCleanData[YearsAtCompany],1325)&lt;=10,8,3)))</f>
        <v>8</v>
      </c>
      <c r="N1333">
        <f t="shared" si="40"/>
        <v>56</v>
      </c>
      <c r="O1333" t="str">
        <f t="shared" si="41"/>
        <v>High Risk</v>
      </c>
    </row>
    <row r="1334" spans="1:15" x14ac:dyDescent="0.25">
      <c r="A1334">
        <f>INDEX(tblCleanData[EmployeeNumber],1326)</f>
        <v>1860</v>
      </c>
      <c r="B1334" t="str">
        <f>IF(INDEX(tblCleanData[Age],1326)&lt;30,"Under 30",IF(INDEX(tblCleanData[Age],1326)&lt;40,"30-39",IF(INDEX(tblCleanData[Age],1326)&lt;50,"40-49","50+")))</f>
        <v>40-49</v>
      </c>
      <c r="C1334" t="str">
        <f>IF(INDEX(tblCleanData[MonthlyIncome],1326)&lt;=$B$3,"Low Income",IF(INDEX(tblCleanData[MonthlyIncome],1326)&lt;=$B$4,"Medium Income","High Income"))</f>
        <v>High Income</v>
      </c>
      <c r="D1334">
        <f>IF(INDEX(tblCleanData[Attrition],1326)="Yes",1,0)</f>
        <v>0</v>
      </c>
      <c r="E1334">
        <f>IF(INDEX(tblCleanData[OverTime],1326)="Yes",1,0)</f>
        <v>0</v>
      </c>
      <c r="F1334" t="str">
        <f>CHOOSE(INDEX(tblCleanData[Education],1326),"Below College","College","Bachelor","Master","Doctor")</f>
        <v>Bachelor</v>
      </c>
      <c r="G1334" t="str">
        <f>IF(INDEX(tblCleanData[YearsAtCompany],1326)&lt;=2,"0-2 Years",IF(INDEX(tblCleanData[YearsAtCompany],1326)&lt;=5,"3-5 Years",IF(INDEX(tblCleanData[YearsAtCompany],1326)&lt;=10,"6-10 Years","10+ Years")))</f>
        <v>0-2 Years</v>
      </c>
      <c r="H1334" t="str">
        <f>IF(INDEX(tblCleanData[WorkLifeBalance],1326)&lt;=2,"Elevated","Normal")</f>
        <v>Normal</v>
      </c>
      <c r="I1334">
        <f>IF(INDEX(tblCleanData[Age],1326)&lt;30,30,IF(INDEX(tblCleanData[Age],1326)&lt;40,20,IF(INDEX(tblCleanData[Age],1326)&lt;50,10,15)))</f>
        <v>10</v>
      </c>
      <c r="J1334">
        <f>IF(INDEX(tblCleanData[MonthlyIncome],1326)&lt;=$B$3,25,IF(INDEX(tblCleanData[MonthlyIncome],1326)&lt;=$B$4,12,5))</f>
        <v>5</v>
      </c>
      <c r="K1334">
        <f>IF(INDEX(tblCleanData[OverTime],1326)="Yes",25,0)</f>
        <v>0</v>
      </c>
      <c r="L1334">
        <f>(5-INDEX(tblCleanData[JobSatisfaction],1326))*6.25</f>
        <v>12.5</v>
      </c>
      <c r="M1334">
        <f>IF(INDEX(tblCleanData[YearsAtCompany],1326)&lt;=2,25,IF(INDEX(tblCleanData[YearsAtCompany],1326)&lt;=5,15,IF(INDEX(tblCleanData[YearsAtCompany],1326)&lt;=10,8,3)))</f>
        <v>25</v>
      </c>
      <c r="N1334">
        <f t="shared" si="40"/>
        <v>53</v>
      </c>
      <c r="O1334" t="str">
        <f t="shared" si="41"/>
        <v>Medium Risk</v>
      </c>
    </row>
    <row r="1335" spans="1:15" x14ac:dyDescent="0.25">
      <c r="A1335">
        <f>INDEX(tblCleanData[EmployeeNumber],1327)</f>
        <v>1862</v>
      </c>
      <c r="B1335" t="str">
        <f>IF(INDEX(tblCleanData[Age],1327)&lt;30,"Under 30",IF(INDEX(tblCleanData[Age],1327)&lt;40,"30-39",IF(INDEX(tblCleanData[Age],1327)&lt;50,"40-49","50+")))</f>
        <v>30-39</v>
      </c>
      <c r="C1335" t="str">
        <f>IF(INDEX(tblCleanData[MonthlyIncome],1327)&lt;=$B$3,"Low Income",IF(INDEX(tblCleanData[MonthlyIncome],1327)&lt;=$B$4,"Medium Income","High Income"))</f>
        <v>High Income</v>
      </c>
      <c r="D1335">
        <f>IF(INDEX(tblCleanData[Attrition],1327)="Yes",1,0)</f>
        <v>1</v>
      </c>
      <c r="E1335">
        <f>IF(INDEX(tblCleanData[OverTime],1327)="Yes",1,0)</f>
        <v>1</v>
      </c>
      <c r="F1335" t="str">
        <f>CHOOSE(INDEX(tblCleanData[Education],1327),"Below College","College","Bachelor","Master","Doctor")</f>
        <v>Master</v>
      </c>
      <c r="G1335" t="str">
        <f>IF(INDEX(tblCleanData[YearsAtCompany],1327)&lt;=2,"0-2 Years",IF(INDEX(tblCleanData[YearsAtCompany],1327)&lt;=5,"3-5 Years",IF(INDEX(tblCleanData[YearsAtCompany],1327)&lt;=10,"6-10 Years","10+ Years")))</f>
        <v>0-2 Years</v>
      </c>
      <c r="H1335" t="str">
        <f>IF(INDEX(tblCleanData[WorkLifeBalance],1327)&lt;=2,"Elevated","Normal")</f>
        <v>Elevated</v>
      </c>
      <c r="I1335">
        <f>IF(INDEX(tblCleanData[Age],1327)&lt;30,30,IF(INDEX(tblCleanData[Age],1327)&lt;40,20,IF(INDEX(tblCleanData[Age],1327)&lt;50,10,15)))</f>
        <v>20</v>
      </c>
      <c r="J1335">
        <f>IF(INDEX(tblCleanData[MonthlyIncome],1327)&lt;=$B$3,25,IF(INDEX(tblCleanData[MonthlyIncome],1327)&lt;=$B$4,12,5))</f>
        <v>5</v>
      </c>
      <c r="K1335">
        <f>IF(INDEX(tblCleanData[OverTime],1327)="Yes",25,0)</f>
        <v>25</v>
      </c>
      <c r="L1335">
        <f>(5-INDEX(tblCleanData[JobSatisfaction],1327))*6.25</f>
        <v>18.75</v>
      </c>
      <c r="M1335">
        <f>IF(INDEX(tblCleanData[YearsAtCompany],1327)&lt;=2,25,IF(INDEX(tblCleanData[YearsAtCompany],1327)&lt;=5,15,IF(INDEX(tblCleanData[YearsAtCompany],1327)&lt;=10,8,3)))</f>
        <v>25</v>
      </c>
      <c r="N1335">
        <f t="shared" si="40"/>
        <v>94</v>
      </c>
      <c r="O1335" t="str">
        <f t="shared" si="41"/>
        <v>High Risk</v>
      </c>
    </row>
    <row r="1336" spans="1:15" x14ac:dyDescent="0.25">
      <c r="A1336">
        <f>INDEX(tblCleanData[EmployeeNumber],1328)</f>
        <v>1863</v>
      </c>
      <c r="B1336" t="str">
        <f>IF(INDEX(tblCleanData[Age],1328)&lt;30,"Under 30",IF(INDEX(tblCleanData[Age],1328)&lt;40,"30-39",IF(INDEX(tblCleanData[Age],1328)&lt;50,"40-49","50+")))</f>
        <v>40-49</v>
      </c>
      <c r="C1336" t="str">
        <f>IF(INDEX(tblCleanData[MonthlyIncome],1328)&lt;=$B$3,"Low Income",IF(INDEX(tblCleanData[MonthlyIncome],1328)&lt;=$B$4,"Medium Income","High Income"))</f>
        <v>High Income</v>
      </c>
      <c r="D1336">
        <f>IF(INDEX(tblCleanData[Attrition],1328)="Yes",1,0)</f>
        <v>0</v>
      </c>
      <c r="E1336">
        <f>IF(INDEX(tblCleanData[OverTime],1328)="Yes",1,0)</f>
        <v>0</v>
      </c>
      <c r="F1336" t="str">
        <f>CHOOSE(INDEX(tblCleanData[Education],1328),"Below College","College","Bachelor","Master","Doctor")</f>
        <v>Bachelor</v>
      </c>
      <c r="G1336" t="str">
        <f>IF(INDEX(tblCleanData[YearsAtCompany],1328)&lt;=2,"0-2 Years",IF(INDEX(tblCleanData[YearsAtCompany],1328)&lt;=5,"3-5 Years",IF(INDEX(tblCleanData[YearsAtCompany],1328)&lt;=10,"6-10 Years","10+ Years")))</f>
        <v>10+ Years</v>
      </c>
      <c r="H1336" t="str">
        <f>IF(INDEX(tblCleanData[WorkLifeBalance],1328)&lt;=2,"Elevated","Normal")</f>
        <v>Normal</v>
      </c>
      <c r="I1336">
        <f>IF(INDEX(tblCleanData[Age],1328)&lt;30,30,IF(INDEX(tblCleanData[Age],1328)&lt;40,20,IF(INDEX(tblCleanData[Age],1328)&lt;50,10,15)))</f>
        <v>10</v>
      </c>
      <c r="J1336">
        <f>IF(INDEX(tblCleanData[MonthlyIncome],1328)&lt;=$B$3,25,IF(INDEX(tblCleanData[MonthlyIncome],1328)&lt;=$B$4,12,5))</f>
        <v>5</v>
      </c>
      <c r="K1336">
        <f>IF(INDEX(tblCleanData[OverTime],1328)="Yes",25,0)</f>
        <v>0</v>
      </c>
      <c r="L1336">
        <f>(5-INDEX(tblCleanData[JobSatisfaction],1328))*6.25</f>
        <v>25</v>
      </c>
      <c r="M1336">
        <f>IF(INDEX(tblCleanData[YearsAtCompany],1328)&lt;=2,25,IF(INDEX(tblCleanData[YearsAtCompany],1328)&lt;=5,15,IF(INDEX(tblCleanData[YearsAtCompany],1328)&lt;=10,8,3)))</f>
        <v>3</v>
      </c>
      <c r="N1336">
        <f t="shared" si="40"/>
        <v>43</v>
      </c>
      <c r="O1336" t="str">
        <f t="shared" si="41"/>
        <v>Medium Risk</v>
      </c>
    </row>
    <row r="1337" spans="1:15" x14ac:dyDescent="0.25">
      <c r="A1337">
        <f>INDEX(tblCleanData[EmployeeNumber],1329)</f>
        <v>1864</v>
      </c>
      <c r="B1337" t="str">
        <f>IF(INDEX(tblCleanData[Age],1329)&lt;30,"Under 30",IF(INDEX(tblCleanData[Age],1329)&lt;40,"30-39",IF(INDEX(tblCleanData[Age],1329)&lt;50,"40-49","50+")))</f>
        <v>Under 30</v>
      </c>
      <c r="C1337" t="str">
        <f>IF(INDEX(tblCleanData[MonthlyIncome],1329)&lt;=$B$3,"Low Income",IF(INDEX(tblCleanData[MonthlyIncome],1329)&lt;=$B$4,"Medium Income","High Income"))</f>
        <v>High Income</v>
      </c>
      <c r="D1337">
        <f>IF(INDEX(tblCleanData[Attrition],1329)="Yes",1,0)</f>
        <v>0</v>
      </c>
      <c r="E1337">
        <f>IF(INDEX(tblCleanData[OverTime],1329)="Yes",1,0)</f>
        <v>0</v>
      </c>
      <c r="F1337" t="str">
        <f>CHOOSE(INDEX(tblCleanData[Education],1329),"Below College","College","Bachelor","Master","Doctor")</f>
        <v>Below College</v>
      </c>
      <c r="G1337" t="str">
        <f>IF(INDEX(tblCleanData[YearsAtCompany],1329)&lt;=2,"0-2 Years",IF(INDEX(tblCleanData[YearsAtCompany],1329)&lt;=5,"3-5 Years",IF(INDEX(tblCleanData[YearsAtCompany],1329)&lt;=10,"6-10 Years","10+ Years")))</f>
        <v>6-10 Years</v>
      </c>
      <c r="H1337" t="str">
        <f>IF(INDEX(tblCleanData[WorkLifeBalance],1329)&lt;=2,"Elevated","Normal")</f>
        <v>Normal</v>
      </c>
      <c r="I1337">
        <f>IF(INDEX(tblCleanData[Age],1329)&lt;30,30,IF(INDEX(tblCleanData[Age],1329)&lt;40,20,IF(INDEX(tblCleanData[Age],1329)&lt;50,10,15)))</f>
        <v>30</v>
      </c>
      <c r="J1337">
        <f>IF(INDEX(tblCleanData[MonthlyIncome],1329)&lt;=$B$3,25,IF(INDEX(tblCleanData[MonthlyIncome],1329)&lt;=$B$4,12,5))</f>
        <v>5</v>
      </c>
      <c r="K1337">
        <f>IF(INDEX(tblCleanData[OverTime],1329)="Yes",25,0)</f>
        <v>0</v>
      </c>
      <c r="L1337">
        <f>(5-INDEX(tblCleanData[JobSatisfaction],1329))*6.25</f>
        <v>12.5</v>
      </c>
      <c r="M1337">
        <f>IF(INDEX(tblCleanData[YearsAtCompany],1329)&lt;=2,25,IF(INDEX(tblCleanData[YearsAtCompany],1329)&lt;=5,15,IF(INDEX(tblCleanData[YearsAtCompany],1329)&lt;=10,8,3)))</f>
        <v>8</v>
      </c>
      <c r="N1337">
        <f t="shared" si="40"/>
        <v>56</v>
      </c>
      <c r="O1337" t="str">
        <f t="shared" si="41"/>
        <v>High Risk</v>
      </c>
    </row>
    <row r="1338" spans="1:15" x14ac:dyDescent="0.25">
      <c r="A1338">
        <f>INDEX(tblCleanData[EmployeeNumber],1330)</f>
        <v>1865</v>
      </c>
      <c r="B1338" t="str">
        <f>IF(INDEX(tblCleanData[Age],1330)&lt;30,"Under 30",IF(INDEX(tblCleanData[Age],1330)&lt;40,"30-39",IF(INDEX(tblCleanData[Age],1330)&lt;50,"40-49","50+")))</f>
        <v>Under 30</v>
      </c>
      <c r="C1338" t="str">
        <f>IF(INDEX(tblCleanData[MonthlyIncome],1330)&lt;=$B$3,"Low Income",IF(INDEX(tblCleanData[MonthlyIncome],1330)&lt;=$B$4,"Medium Income","High Income"))</f>
        <v>High Income</v>
      </c>
      <c r="D1338">
        <f>IF(INDEX(tblCleanData[Attrition],1330)="Yes",1,0)</f>
        <v>0</v>
      </c>
      <c r="E1338">
        <f>IF(INDEX(tblCleanData[OverTime],1330)="Yes",1,0)</f>
        <v>0</v>
      </c>
      <c r="F1338" t="str">
        <f>CHOOSE(INDEX(tblCleanData[Education],1330),"Below College","College","Bachelor","Master","Doctor")</f>
        <v>Below College</v>
      </c>
      <c r="G1338" t="str">
        <f>IF(INDEX(tblCleanData[YearsAtCompany],1330)&lt;=2,"0-2 Years",IF(INDEX(tblCleanData[YearsAtCompany],1330)&lt;=5,"3-5 Years",IF(INDEX(tblCleanData[YearsAtCompany],1330)&lt;=10,"6-10 Years","10+ Years")))</f>
        <v>0-2 Years</v>
      </c>
      <c r="H1338" t="str">
        <f>IF(INDEX(tblCleanData[WorkLifeBalance],1330)&lt;=2,"Elevated","Normal")</f>
        <v>Normal</v>
      </c>
      <c r="I1338">
        <f>IF(INDEX(tblCleanData[Age],1330)&lt;30,30,IF(INDEX(tblCleanData[Age],1330)&lt;40,20,IF(INDEX(tblCleanData[Age],1330)&lt;50,10,15)))</f>
        <v>30</v>
      </c>
      <c r="J1338">
        <f>IF(INDEX(tblCleanData[MonthlyIncome],1330)&lt;=$B$3,25,IF(INDEX(tblCleanData[MonthlyIncome],1330)&lt;=$B$4,12,5))</f>
        <v>5</v>
      </c>
      <c r="K1338">
        <f>IF(INDEX(tblCleanData[OverTime],1330)="Yes",25,0)</f>
        <v>0</v>
      </c>
      <c r="L1338">
        <f>(5-INDEX(tblCleanData[JobSatisfaction],1330))*6.25</f>
        <v>18.75</v>
      </c>
      <c r="M1338">
        <f>IF(INDEX(tblCleanData[YearsAtCompany],1330)&lt;=2,25,IF(INDEX(tblCleanData[YearsAtCompany],1330)&lt;=5,15,IF(INDEX(tblCleanData[YearsAtCompany],1330)&lt;=10,8,3)))</f>
        <v>25</v>
      </c>
      <c r="N1338">
        <f t="shared" si="40"/>
        <v>79</v>
      </c>
      <c r="O1338" t="str">
        <f t="shared" si="41"/>
        <v>High Risk</v>
      </c>
    </row>
    <row r="1339" spans="1:15" x14ac:dyDescent="0.25">
      <c r="A1339">
        <f>INDEX(tblCleanData[EmployeeNumber],1331)</f>
        <v>1866</v>
      </c>
      <c r="B1339" t="str">
        <f>IF(INDEX(tblCleanData[Age],1331)&lt;30,"Under 30",IF(INDEX(tblCleanData[Age],1331)&lt;40,"30-39",IF(INDEX(tblCleanData[Age],1331)&lt;50,"40-49","50+")))</f>
        <v>40-49</v>
      </c>
      <c r="C1339" t="str">
        <f>IF(INDEX(tblCleanData[MonthlyIncome],1331)&lt;=$B$3,"Low Income",IF(INDEX(tblCleanData[MonthlyIncome],1331)&lt;=$B$4,"Medium Income","High Income"))</f>
        <v>High Income</v>
      </c>
      <c r="D1339">
        <f>IF(INDEX(tblCleanData[Attrition],1331)="Yes",1,0)</f>
        <v>0</v>
      </c>
      <c r="E1339">
        <f>IF(INDEX(tblCleanData[OverTime],1331)="Yes",1,0)</f>
        <v>0</v>
      </c>
      <c r="F1339" t="str">
        <f>CHOOSE(INDEX(tblCleanData[Education],1331),"Below College","College","Bachelor","Master","Doctor")</f>
        <v>Bachelor</v>
      </c>
      <c r="G1339" t="str">
        <f>IF(INDEX(tblCleanData[YearsAtCompany],1331)&lt;=2,"0-2 Years",IF(INDEX(tblCleanData[YearsAtCompany],1331)&lt;=5,"3-5 Years",IF(INDEX(tblCleanData[YearsAtCompany],1331)&lt;=10,"6-10 Years","10+ Years")))</f>
        <v>10+ Years</v>
      </c>
      <c r="H1339" t="str">
        <f>IF(INDEX(tblCleanData[WorkLifeBalance],1331)&lt;=2,"Elevated","Normal")</f>
        <v>Normal</v>
      </c>
      <c r="I1339">
        <f>IF(INDEX(tblCleanData[Age],1331)&lt;30,30,IF(INDEX(tblCleanData[Age],1331)&lt;40,20,IF(INDEX(tblCleanData[Age],1331)&lt;50,10,15)))</f>
        <v>10</v>
      </c>
      <c r="J1339">
        <f>IF(INDEX(tblCleanData[MonthlyIncome],1331)&lt;=$B$3,25,IF(INDEX(tblCleanData[MonthlyIncome],1331)&lt;=$B$4,12,5))</f>
        <v>5</v>
      </c>
      <c r="K1339">
        <f>IF(INDEX(tblCleanData[OverTime],1331)="Yes",25,0)</f>
        <v>0</v>
      </c>
      <c r="L1339">
        <f>(5-INDEX(tblCleanData[JobSatisfaction],1331))*6.25</f>
        <v>12.5</v>
      </c>
      <c r="M1339">
        <f>IF(INDEX(tblCleanData[YearsAtCompany],1331)&lt;=2,25,IF(INDEX(tblCleanData[YearsAtCompany],1331)&lt;=5,15,IF(INDEX(tblCleanData[YearsAtCompany],1331)&lt;=10,8,3)))</f>
        <v>3</v>
      </c>
      <c r="N1339">
        <f t="shared" si="40"/>
        <v>31</v>
      </c>
      <c r="O1339" t="str">
        <f t="shared" si="41"/>
        <v>Low Risk</v>
      </c>
    </row>
    <row r="1340" spans="1:15" x14ac:dyDescent="0.25">
      <c r="A1340">
        <f>INDEX(tblCleanData[EmployeeNumber],1332)</f>
        <v>1867</v>
      </c>
      <c r="B1340" t="str">
        <f>IF(INDEX(tblCleanData[Age],1332)&lt;30,"Under 30",IF(INDEX(tblCleanData[Age],1332)&lt;40,"30-39",IF(INDEX(tblCleanData[Age],1332)&lt;50,"40-49","50+")))</f>
        <v>40-49</v>
      </c>
      <c r="C1340" t="str">
        <f>IF(INDEX(tblCleanData[MonthlyIncome],1332)&lt;=$B$3,"Low Income",IF(INDEX(tblCleanData[MonthlyIncome],1332)&lt;=$B$4,"Medium Income","High Income"))</f>
        <v>High Income</v>
      </c>
      <c r="D1340">
        <f>IF(INDEX(tblCleanData[Attrition],1332)="Yes",1,0)</f>
        <v>0</v>
      </c>
      <c r="E1340">
        <f>IF(INDEX(tblCleanData[OverTime],1332)="Yes",1,0)</f>
        <v>0</v>
      </c>
      <c r="F1340" t="str">
        <f>CHOOSE(INDEX(tblCleanData[Education],1332),"Below College","College","Bachelor","Master","Doctor")</f>
        <v>Bachelor</v>
      </c>
      <c r="G1340" t="str">
        <f>IF(INDEX(tblCleanData[YearsAtCompany],1332)&lt;=2,"0-2 Years",IF(INDEX(tblCleanData[YearsAtCompany],1332)&lt;=5,"3-5 Years",IF(INDEX(tblCleanData[YearsAtCompany],1332)&lt;=10,"6-10 Years","10+ Years")))</f>
        <v>10+ Years</v>
      </c>
      <c r="H1340" t="str">
        <f>IF(INDEX(tblCleanData[WorkLifeBalance],1332)&lt;=2,"Elevated","Normal")</f>
        <v>Normal</v>
      </c>
      <c r="I1340">
        <f>IF(INDEX(tblCleanData[Age],1332)&lt;30,30,IF(INDEX(tblCleanData[Age],1332)&lt;40,20,IF(INDEX(tblCleanData[Age],1332)&lt;50,10,15)))</f>
        <v>10</v>
      </c>
      <c r="J1340">
        <f>IF(INDEX(tblCleanData[MonthlyIncome],1332)&lt;=$B$3,25,IF(INDEX(tblCleanData[MonthlyIncome],1332)&lt;=$B$4,12,5))</f>
        <v>5</v>
      </c>
      <c r="K1340">
        <f>IF(INDEX(tblCleanData[OverTime],1332)="Yes",25,0)</f>
        <v>0</v>
      </c>
      <c r="L1340">
        <f>(5-INDEX(tblCleanData[JobSatisfaction],1332))*6.25</f>
        <v>18.75</v>
      </c>
      <c r="M1340">
        <f>IF(INDEX(tblCleanData[YearsAtCompany],1332)&lt;=2,25,IF(INDEX(tblCleanData[YearsAtCompany],1332)&lt;=5,15,IF(INDEX(tblCleanData[YearsAtCompany],1332)&lt;=10,8,3)))</f>
        <v>3</v>
      </c>
      <c r="N1340">
        <f t="shared" si="40"/>
        <v>37</v>
      </c>
      <c r="O1340" t="str">
        <f t="shared" si="41"/>
        <v>Medium Risk</v>
      </c>
    </row>
    <row r="1341" spans="1:15" x14ac:dyDescent="0.25">
      <c r="A1341">
        <f>INDEX(tblCleanData[EmployeeNumber],1333)</f>
        <v>1868</v>
      </c>
      <c r="B1341" t="str">
        <f>IF(INDEX(tblCleanData[Age],1333)&lt;30,"Under 30",IF(INDEX(tblCleanData[Age],1333)&lt;40,"30-39",IF(INDEX(tblCleanData[Age],1333)&lt;50,"40-49","50+")))</f>
        <v>Under 30</v>
      </c>
      <c r="C1341" t="str">
        <f>IF(INDEX(tblCleanData[MonthlyIncome],1333)&lt;=$B$3,"Low Income",IF(INDEX(tblCleanData[MonthlyIncome],1333)&lt;=$B$4,"Medium Income","High Income"))</f>
        <v>High Income</v>
      </c>
      <c r="D1341">
        <f>IF(INDEX(tblCleanData[Attrition],1333)="Yes",1,0)</f>
        <v>1</v>
      </c>
      <c r="E1341">
        <f>IF(INDEX(tblCleanData[OverTime],1333)="Yes",1,0)</f>
        <v>1</v>
      </c>
      <c r="F1341" t="str">
        <f>CHOOSE(INDEX(tblCleanData[Education],1333),"Below College","College","Bachelor","Master","Doctor")</f>
        <v>College</v>
      </c>
      <c r="G1341" t="str">
        <f>IF(INDEX(tblCleanData[YearsAtCompany],1333)&lt;=2,"0-2 Years",IF(INDEX(tblCleanData[YearsAtCompany],1333)&lt;=5,"3-5 Years",IF(INDEX(tblCleanData[YearsAtCompany],1333)&lt;=10,"6-10 Years","10+ Years")))</f>
        <v>0-2 Years</v>
      </c>
      <c r="H1341" t="str">
        <f>IF(INDEX(tblCleanData[WorkLifeBalance],1333)&lt;=2,"Elevated","Normal")</f>
        <v>Elevated</v>
      </c>
      <c r="I1341">
        <f>IF(INDEX(tblCleanData[Age],1333)&lt;30,30,IF(INDEX(tblCleanData[Age],1333)&lt;40,20,IF(INDEX(tblCleanData[Age],1333)&lt;50,10,15)))</f>
        <v>30</v>
      </c>
      <c r="J1341">
        <f>IF(INDEX(tblCleanData[MonthlyIncome],1333)&lt;=$B$3,25,IF(INDEX(tblCleanData[MonthlyIncome],1333)&lt;=$B$4,12,5))</f>
        <v>5</v>
      </c>
      <c r="K1341">
        <f>IF(INDEX(tblCleanData[OverTime],1333)="Yes",25,0)</f>
        <v>25</v>
      </c>
      <c r="L1341">
        <f>(5-INDEX(tblCleanData[JobSatisfaction],1333))*6.25</f>
        <v>6.25</v>
      </c>
      <c r="M1341">
        <f>IF(INDEX(tblCleanData[YearsAtCompany],1333)&lt;=2,25,IF(INDEX(tblCleanData[YearsAtCompany],1333)&lt;=5,15,IF(INDEX(tblCleanData[YearsAtCompany],1333)&lt;=10,8,3)))</f>
        <v>25</v>
      </c>
      <c r="N1341">
        <f t="shared" si="40"/>
        <v>91</v>
      </c>
      <c r="O1341" t="str">
        <f t="shared" si="41"/>
        <v>High Risk</v>
      </c>
    </row>
    <row r="1342" spans="1:15" x14ac:dyDescent="0.25">
      <c r="A1342">
        <f>INDEX(tblCleanData[EmployeeNumber],1334)</f>
        <v>1869</v>
      </c>
      <c r="B1342" t="str">
        <f>IF(INDEX(tblCleanData[Age],1334)&lt;30,"Under 30",IF(INDEX(tblCleanData[Age],1334)&lt;40,"30-39",IF(INDEX(tblCleanData[Age],1334)&lt;50,"40-49","50+")))</f>
        <v>40-49</v>
      </c>
      <c r="C1342" t="str">
        <f>IF(INDEX(tblCleanData[MonthlyIncome],1334)&lt;=$B$3,"Low Income",IF(INDEX(tblCleanData[MonthlyIncome],1334)&lt;=$B$4,"Medium Income","High Income"))</f>
        <v>High Income</v>
      </c>
      <c r="D1342">
        <f>IF(INDEX(tblCleanData[Attrition],1334)="Yes",1,0)</f>
        <v>1</v>
      </c>
      <c r="E1342">
        <f>IF(INDEX(tblCleanData[OverTime],1334)="Yes",1,0)</f>
        <v>0</v>
      </c>
      <c r="F1342" t="str">
        <f>CHOOSE(INDEX(tblCleanData[Education],1334),"Below College","College","Bachelor","Master","Doctor")</f>
        <v>Bachelor</v>
      </c>
      <c r="G1342" t="str">
        <f>IF(INDEX(tblCleanData[YearsAtCompany],1334)&lt;=2,"0-2 Years",IF(INDEX(tblCleanData[YearsAtCompany],1334)&lt;=5,"3-5 Years",IF(INDEX(tblCleanData[YearsAtCompany],1334)&lt;=10,"6-10 Years","10+ Years")))</f>
        <v>6-10 Years</v>
      </c>
      <c r="H1342" t="str">
        <f>IF(INDEX(tblCleanData[WorkLifeBalance],1334)&lt;=2,"Elevated","Normal")</f>
        <v>Normal</v>
      </c>
      <c r="I1342">
        <f>IF(INDEX(tblCleanData[Age],1334)&lt;30,30,IF(INDEX(tblCleanData[Age],1334)&lt;40,20,IF(INDEX(tblCleanData[Age],1334)&lt;50,10,15)))</f>
        <v>10</v>
      </c>
      <c r="J1342">
        <f>IF(INDEX(tblCleanData[MonthlyIncome],1334)&lt;=$B$3,25,IF(INDEX(tblCleanData[MonthlyIncome],1334)&lt;=$B$4,12,5))</f>
        <v>5</v>
      </c>
      <c r="K1342">
        <f>IF(INDEX(tblCleanData[OverTime],1334)="Yes",25,0)</f>
        <v>0</v>
      </c>
      <c r="L1342">
        <f>(5-INDEX(tblCleanData[JobSatisfaction],1334))*6.25</f>
        <v>18.75</v>
      </c>
      <c r="M1342">
        <f>IF(INDEX(tblCleanData[YearsAtCompany],1334)&lt;=2,25,IF(INDEX(tblCleanData[YearsAtCompany],1334)&lt;=5,15,IF(INDEX(tblCleanData[YearsAtCompany],1334)&lt;=10,8,3)))</f>
        <v>8</v>
      </c>
      <c r="N1342">
        <f t="shared" si="40"/>
        <v>42</v>
      </c>
      <c r="O1342" t="str">
        <f t="shared" si="41"/>
        <v>Medium Risk</v>
      </c>
    </row>
    <row r="1343" spans="1:15" x14ac:dyDescent="0.25">
      <c r="A1343">
        <f>INDEX(tblCleanData[EmployeeNumber],1335)</f>
        <v>1870</v>
      </c>
      <c r="B1343" t="str">
        <f>IF(INDEX(tblCleanData[Age],1335)&lt;30,"Under 30",IF(INDEX(tblCleanData[Age],1335)&lt;40,"30-39",IF(INDEX(tblCleanData[Age],1335)&lt;50,"40-49","50+")))</f>
        <v>Under 30</v>
      </c>
      <c r="C1343" t="str">
        <f>IF(INDEX(tblCleanData[MonthlyIncome],1335)&lt;=$B$3,"Low Income",IF(INDEX(tblCleanData[MonthlyIncome],1335)&lt;=$B$4,"Medium Income","High Income"))</f>
        <v>High Income</v>
      </c>
      <c r="D1343">
        <f>IF(INDEX(tblCleanData[Attrition],1335)="Yes",1,0)</f>
        <v>0</v>
      </c>
      <c r="E1343">
        <f>IF(INDEX(tblCleanData[OverTime],1335)="Yes",1,0)</f>
        <v>0</v>
      </c>
      <c r="F1343" t="str">
        <f>CHOOSE(INDEX(tblCleanData[Education],1335),"Below College","College","Bachelor","Master","Doctor")</f>
        <v>Bachelor</v>
      </c>
      <c r="G1343" t="str">
        <f>IF(INDEX(tblCleanData[YearsAtCompany],1335)&lt;=2,"0-2 Years",IF(INDEX(tblCleanData[YearsAtCompany],1335)&lt;=5,"3-5 Years",IF(INDEX(tblCleanData[YearsAtCompany],1335)&lt;=10,"6-10 Years","10+ Years")))</f>
        <v>6-10 Years</v>
      </c>
      <c r="H1343" t="str">
        <f>IF(INDEX(tblCleanData[WorkLifeBalance],1335)&lt;=2,"Elevated","Normal")</f>
        <v>Elevated</v>
      </c>
      <c r="I1343">
        <f>IF(INDEX(tblCleanData[Age],1335)&lt;30,30,IF(INDEX(tblCleanData[Age],1335)&lt;40,20,IF(INDEX(tblCleanData[Age],1335)&lt;50,10,15)))</f>
        <v>30</v>
      </c>
      <c r="J1343">
        <f>IF(INDEX(tblCleanData[MonthlyIncome],1335)&lt;=$B$3,25,IF(INDEX(tblCleanData[MonthlyIncome],1335)&lt;=$B$4,12,5))</f>
        <v>5</v>
      </c>
      <c r="K1343">
        <f>IF(INDEX(tblCleanData[OverTime],1335)="Yes",25,0)</f>
        <v>0</v>
      </c>
      <c r="L1343">
        <f>(5-INDEX(tblCleanData[JobSatisfaction],1335))*6.25</f>
        <v>25</v>
      </c>
      <c r="M1343">
        <f>IF(INDEX(tblCleanData[YearsAtCompany],1335)&lt;=2,25,IF(INDEX(tblCleanData[YearsAtCompany],1335)&lt;=5,15,IF(INDEX(tblCleanData[YearsAtCompany],1335)&lt;=10,8,3)))</f>
        <v>8</v>
      </c>
      <c r="N1343">
        <f t="shared" si="40"/>
        <v>68</v>
      </c>
      <c r="O1343" t="str">
        <f t="shared" si="41"/>
        <v>High Risk</v>
      </c>
    </row>
    <row r="1344" spans="1:15" x14ac:dyDescent="0.25">
      <c r="A1344">
        <f>INDEX(tblCleanData[EmployeeNumber],1336)</f>
        <v>1871</v>
      </c>
      <c r="B1344" t="str">
        <f>IF(INDEX(tblCleanData[Age],1336)&lt;30,"Under 30",IF(INDEX(tblCleanData[Age],1336)&lt;40,"30-39",IF(INDEX(tblCleanData[Age],1336)&lt;50,"40-49","50+")))</f>
        <v>30-39</v>
      </c>
      <c r="C1344" t="str">
        <f>IF(INDEX(tblCleanData[MonthlyIncome],1336)&lt;=$B$3,"Low Income",IF(INDEX(tblCleanData[MonthlyIncome],1336)&lt;=$B$4,"Medium Income","High Income"))</f>
        <v>High Income</v>
      </c>
      <c r="D1344">
        <f>IF(INDEX(tblCleanData[Attrition],1336)="Yes",1,0)</f>
        <v>0</v>
      </c>
      <c r="E1344">
        <f>IF(INDEX(tblCleanData[OverTime],1336)="Yes",1,0)</f>
        <v>0</v>
      </c>
      <c r="F1344" t="str">
        <f>CHOOSE(INDEX(tblCleanData[Education],1336),"Below College","College","Bachelor","Master","Doctor")</f>
        <v>Master</v>
      </c>
      <c r="G1344" t="str">
        <f>IF(INDEX(tblCleanData[YearsAtCompany],1336)&lt;=2,"0-2 Years",IF(INDEX(tblCleanData[YearsAtCompany],1336)&lt;=5,"3-5 Years",IF(INDEX(tblCleanData[YearsAtCompany],1336)&lt;=10,"6-10 Years","10+ Years")))</f>
        <v>0-2 Years</v>
      </c>
      <c r="H1344" t="str">
        <f>IF(INDEX(tblCleanData[WorkLifeBalance],1336)&lt;=2,"Elevated","Normal")</f>
        <v>Normal</v>
      </c>
      <c r="I1344">
        <f>IF(INDEX(tblCleanData[Age],1336)&lt;30,30,IF(INDEX(tblCleanData[Age],1336)&lt;40,20,IF(INDEX(tblCleanData[Age],1336)&lt;50,10,15)))</f>
        <v>20</v>
      </c>
      <c r="J1344">
        <f>IF(INDEX(tblCleanData[MonthlyIncome],1336)&lt;=$B$3,25,IF(INDEX(tblCleanData[MonthlyIncome],1336)&lt;=$B$4,12,5))</f>
        <v>5</v>
      </c>
      <c r="K1344">
        <f>IF(INDEX(tblCleanData[OverTime],1336)="Yes",25,0)</f>
        <v>0</v>
      </c>
      <c r="L1344">
        <f>(5-INDEX(tblCleanData[JobSatisfaction],1336))*6.25</f>
        <v>6.25</v>
      </c>
      <c r="M1344">
        <f>IF(INDEX(tblCleanData[YearsAtCompany],1336)&lt;=2,25,IF(INDEX(tblCleanData[YearsAtCompany],1336)&lt;=5,15,IF(INDEX(tblCleanData[YearsAtCompany],1336)&lt;=10,8,3)))</f>
        <v>25</v>
      </c>
      <c r="N1344">
        <f t="shared" si="40"/>
        <v>56</v>
      </c>
      <c r="O1344" t="str">
        <f t="shared" si="41"/>
        <v>High Risk</v>
      </c>
    </row>
    <row r="1345" spans="1:15" x14ac:dyDescent="0.25">
      <c r="A1345">
        <f>INDEX(tblCleanData[EmployeeNumber],1337)</f>
        <v>1873</v>
      </c>
      <c r="B1345" t="str">
        <f>IF(INDEX(tblCleanData[Age],1337)&lt;30,"Under 30",IF(INDEX(tblCleanData[Age],1337)&lt;40,"30-39",IF(INDEX(tblCleanData[Age],1337)&lt;50,"40-49","50+")))</f>
        <v>50+</v>
      </c>
      <c r="C1345" t="str">
        <f>IF(INDEX(tblCleanData[MonthlyIncome],1337)&lt;=$B$3,"Low Income",IF(INDEX(tblCleanData[MonthlyIncome],1337)&lt;=$B$4,"Medium Income","High Income"))</f>
        <v>High Income</v>
      </c>
      <c r="D1345">
        <f>IF(INDEX(tblCleanData[Attrition],1337)="Yes",1,0)</f>
        <v>0</v>
      </c>
      <c r="E1345">
        <f>IF(INDEX(tblCleanData[OverTime],1337)="Yes",1,0)</f>
        <v>0</v>
      </c>
      <c r="F1345" t="str">
        <f>CHOOSE(INDEX(tblCleanData[Education],1337),"Below College","College","Bachelor","Master","Doctor")</f>
        <v>Master</v>
      </c>
      <c r="G1345" t="str">
        <f>IF(INDEX(tblCleanData[YearsAtCompany],1337)&lt;=2,"0-2 Years",IF(INDEX(tblCleanData[YearsAtCompany],1337)&lt;=5,"3-5 Years",IF(INDEX(tblCleanData[YearsAtCompany],1337)&lt;=10,"6-10 Years","10+ Years")))</f>
        <v>3-5 Years</v>
      </c>
      <c r="H1345" t="str">
        <f>IF(INDEX(tblCleanData[WorkLifeBalance],1337)&lt;=2,"Elevated","Normal")</f>
        <v>Normal</v>
      </c>
      <c r="I1345">
        <f>IF(INDEX(tblCleanData[Age],1337)&lt;30,30,IF(INDEX(tblCleanData[Age],1337)&lt;40,20,IF(INDEX(tblCleanData[Age],1337)&lt;50,10,15)))</f>
        <v>15</v>
      </c>
      <c r="J1345">
        <f>IF(INDEX(tblCleanData[MonthlyIncome],1337)&lt;=$B$3,25,IF(INDEX(tblCleanData[MonthlyIncome],1337)&lt;=$B$4,12,5))</f>
        <v>5</v>
      </c>
      <c r="K1345">
        <f>IF(INDEX(tblCleanData[OverTime],1337)="Yes",25,0)</f>
        <v>0</v>
      </c>
      <c r="L1345">
        <f>(5-INDEX(tblCleanData[JobSatisfaction],1337))*6.25</f>
        <v>6.25</v>
      </c>
      <c r="M1345">
        <f>IF(INDEX(tblCleanData[YearsAtCompany],1337)&lt;=2,25,IF(INDEX(tblCleanData[YearsAtCompany],1337)&lt;=5,15,IF(INDEX(tblCleanData[YearsAtCompany],1337)&lt;=10,8,3)))</f>
        <v>15</v>
      </c>
      <c r="N1345">
        <f t="shared" si="40"/>
        <v>41</v>
      </c>
      <c r="O1345" t="str">
        <f t="shared" si="41"/>
        <v>Medium Risk</v>
      </c>
    </row>
    <row r="1346" spans="1:15" x14ac:dyDescent="0.25">
      <c r="A1346">
        <f>INDEX(tblCleanData[EmployeeNumber],1338)</f>
        <v>1875</v>
      </c>
      <c r="B1346" t="str">
        <f>IF(INDEX(tblCleanData[Age],1338)&lt;30,"Under 30",IF(INDEX(tblCleanData[Age],1338)&lt;40,"30-39",IF(INDEX(tblCleanData[Age],1338)&lt;50,"40-49","50+")))</f>
        <v>Under 30</v>
      </c>
      <c r="C1346" t="str">
        <f>IF(INDEX(tblCleanData[MonthlyIncome],1338)&lt;=$B$3,"Low Income",IF(INDEX(tblCleanData[MonthlyIncome],1338)&lt;=$B$4,"Medium Income","High Income"))</f>
        <v>High Income</v>
      </c>
      <c r="D1346">
        <f>IF(INDEX(tblCleanData[Attrition],1338)="Yes",1,0)</f>
        <v>0</v>
      </c>
      <c r="E1346">
        <f>IF(INDEX(tblCleanData[OverTime],1338)="Yes",1,0)</f>
        <v>0</v>
      </c>
      <c r="F1346" t="str">
        <f>CHOOSE(INDEX(tblCleanData[Education],1338),"Below College","College","Bachelor","Master","Doctor")</f>
        <v>Bachelor</v>
      </c>
      <c r="G1346" t="str">
        <f>IF(INDEX(tblCleanData[YearsAtCompany],1338)&lt;=2,"0-2 Years",IF(INDEX(tblCleanData[YearsAtCompany],1338)&lt;=5,"3-5 Years",IF(INDEX(tblCleanData[YearsAtCompany],1338)&lt;=10,"6-10 Years","10+ Years")))</f>
        <v>0-2 Years</v>
      </c>
      <c r="H1346" t="str">
        <f>IF(INDEX(tblCleanData[WorkLifeBalance],1338)&lt;=2,"Elevated","Normal")</f>
        <v>Normal</v>
      </c>
      <c r="I1346">
        <f>IF(INDEX(tblCleanData[Age],1338)&lt;30,30,IF(INDEX(tblCleanData[Age],1338)&lt;40,20,IF(INDEX(tblCleanData[Age],1338)&lt;50,10,15)))</f>
        <v>30</v>
      </c>
      <c r="J1346">
        <f>IF(INDEX(tblCleanData[MonthlyIncome],1338)&lt;=$B$3,25,IF(INDEX(tblCleanData[MonthlyIncome],1338)&lt;=$B$4,12,5))</f>
        <v>5</v>
      </c>
      <c r="K1346">
        <f>IF(INDEX(tblCleanData[OverTime],1338)="Yes",25,0)</f>
        <v>0</v>
      </c>
      <c r="L1346">
        <f>(5-INDEX(tblCleanData[JobSatisfaction],1338))*6.25</f>
        <v>18.75</v>
      </c>
      <c r="M1346">
        <f>IF(INDEX(tblCleanData[YearsAtCompany],1338)&lt;=2,25,IF(INDEX(tblCleanData[YearsAtCompany],1338)&lt;=5,15,IF(INDEX(tblCleanData[YearsAtCompany],1338)&lt;=10,8,3)))</f>
        <v>25</v>
      </c>
      <c r="N1346">
        <f t="shared" si="40"/>
        <v>79</v>
      </c>
      <c r="O1346" t="str">
        <f t="shared" si="41"/>
        <v>High Risk</v>
      </c>
    </row>
    <row r="1347" spans="1:15" x14ac:dyDescent="0.25">
      <c r="A1347">
        <f>INDEX(tblCleanData[EmployeeNumber],1339)</f>
        <v>1876</v>
      </c>
      <c r="B1347" t="str">
        <f>IF(INDEX(tblCleanData[Age],1339)&lt;30,"Under 30",IF(INDEX(tblCleanData[Age],1339)&lt;40,"30-39",IF(INDEX(tblCleanData[Age],1339)&lt;50,"40-49","50+")))</f>
        <v>30-39</v>
      </c>
      <c r="C1347" t="str">
        <f>IF(INDEX(tblCleanData[MonthlyIncome],1339)&lt;=$B$3,"Low Income",IF(INDEX(tblCleanData[MonthlyIncome],1339)&lt;=$B$4,"Medium Income","High Income"))</f>
        <v>High Income</v>
      </c>
      <c r="D1347">
        <f>IF(INDEX(tblCleanData[Attrition],1339)="Yes",1,0)</f>
        <v>1</v>
      </c>
      <c r="E1347">
        <f>IF(INDEX(tblCleanData[OverTime],1339)="Yes",1,0)</f>
        <v>0</v>
      </c>
      <c r="F1347" t="str">
        <f>CHOOSE(INDEX(tblCleanData[Education],1339),"Below College","College","Bachelor","Master","Doctor")</f>
        <v>Bachelor</v>
      </c>
      <c r="G1347" t="str">
        <f>IF(INDEX(tblCleanData[YearsAtCompany],1339)&lt;=2,"0-2 Years",IF(INDEX(tblCleanData[YearsAtCompany],1339)&lt;=5,"3-5 Years",IF(INDEX(tblCleanData[YearsAtCompany],1339)&lt;=10,"6-10 Years","10+ Years")))</f>
        <v>0-2 Years</v>
      </c>
      <c r="H1347" t="str">
        <f>IF(INDEX(tblCleanData[WorkLifeBalance],1339)&lt;=2,"Elevated","Normal")</f>
        <v>Elevated</v>
      </c>
      <c r="I1347">
        <f>IF(INDEX(tblCleanData[Age],1339)&lt;30,30,IF(INDEX(tblCleanData[Age],1339)&lt;40,20,IF(INDEX(tblCleanData[Age],1339)&lt;50,10,15)))</f>
        <v>20</v>
      </c>
      <c r="J1347">
        <f>IF(INDEX(tblCleanData[MonthlyIncome],1339)&lt;=$B$3,25,IF(INDEX(tblCleanData[MonthlyIncome],1339)&lt;=$B$4,12,5))</f>
        <v>5</v>
      </c>
      <c r="K1347">
        <f>IF(INDEX(tblCleanData[OverTime],1339)="Yes",25,0)</f>
        <v>0</v>
      </c>
      <c r="L1347">
        <f>(5-INDEX(tblCleanData[JobSatisfaction],1339))*6.25</f>
        <v>6.25</v>
      </c>
      <c r="M1347">
        <f>IF(INDEX(tblCleanData[YearsAtCompany],1339)&lt;=2,25,IF(INDEX(tblCleanData[YearsAtCompany],1339)&lt;=5,15,IF(INDEX(tblCleanData[YearsAtCompany],1339)&lt;=10,8,3)))</f>
        <v>25</v>
      </c>
      <c r="N1347">
        <f t="shared" si="40"/>
        <v>56</v>
      </c>
      <c r="O1347" t="str">
        <f t="shared" si="41"/>
        <v>High Risk</v>
      </c>
    </row>
    <row r="1348" spans="1:15" x14ac:dyDescent="0.25">
      <c r="A1348">
        <f>INDEX(tblCleanData[EmployeeNumber],1340)</f>
        <v>1878</v>
      </c>
      <c r="B1348" t="str">
        <f>IF(INDEX(tblCleanData[Age],1340)&lt;30,"Under 30",IF(INDEX(tblCleanData[Age],1340)&lt;40,"30-39",IF(INDEX(tblCleanData[Age],1340)&lt;50,"40-49","50+")))</f>
        <v>Under 30</v>
      </c>
      <c r="C1348" t="str">
        <f>IF(INDEX(tblCleanData[MonthlyIncome],1340)&lt;=$B$3,"Low Income",IF(INDEX(tblCleanData[MonthlyIncome],1340)&lt;=$B$4,"Medium Income","High Income"))</f>
        <v>High Income</v>
      </c>
      <c r="D1348">
        <f>IF(INDEX(tblCleanData[Attrition],1340)="Yes",1,0)</f>
        <v>1</v>
      </c>
      <c r="E1348">
        <f>IF(INDEX(tblCleanData[OverTime],1340)="Yes",1,0)</f>
        <v>1</v>
      </c>
      <c r="F1348" t="str">
        <f>CHOOSE(INDEX(tblCleanData[Education],1340),"Below College","College","Bachelor","Master","Doctor")</f>
        <v>Below College</v>
      </c>
      <c r="G1348" t="str">
        <f>IF(INDEX(tblCleanData[YearsAtCompany],1340)&lt;=2,"0-2 Years",IF(INDEX(tblCleanData[YearsAtCompany],1340)&lt;=5,"3-5 Years",IF(INDEX(tblCleanData[YearsAtCompany],1340)&lt;=10,"6-10 Years","10+ Years")))</f>
        <v>0-2 Years</v>
      </c>
      <c r="H1348" t="str">
        <f>IF(INDEX(tblCleanData[WorkLifeBalance],1340)&lt;=2,"Elevated","Normal")</f>
        <v>Normal</v>
      </c>
      <c r="I1348">
        <f>IF(INDEX(tblCleanData[Age],1340)&lt;30,30,IF(INDEX(tblCleanData[Age],1340)&lt;40,20,IF(INDEX(tblCleanData[Age],1340)&lt;50,10,15)))</f>
        <v>30</v>
      </c>
      <c r="J1348">
        <f>IF(INDEX(tblCleanData[MonthlyIncome],1340)&lt;=$B$3,25,IF(INDEX(tblCleanData[MonthlyIncome],1340)&lt;=$B$4,12,5))</f>
        <v>5</v>
      </c>
      <c r="K1348">
        <f>IF(INDEX(tblCleanData[OverTime],1340)="Yes",25,0)</f>
        <v>25</v>
      </c>
      <c r="L1348">
        <f>(5-INDEX(tblCleanData[JobSatisfaction],1340))*6.25</f>
        <v>18.75</v>
      </c>
      <c r="M1348">
        <f>IF(INDEX(tblCleanData[YearsAtCompany],1340)&lt;=2,25,IF(INDEX(tblCleanData[YearsAtCompany],1340)&lt;=5,15,IF(INDEX(tblCleanData[YearsAtCompany],1340)&lt;=10,8,3)))</f>
        <v>25</v>
      </c>
      <c r="N1348">
        <f t="shared" si="40"/>
        <v>104</v>
      </c>
      <c r="O1348" t="str">
        <f t="shared" si="41"/>
        <v>High Risk</v>
      </c>
    </row>
    <row r="1349" spans="1:15" x14ac:dyDescent="0.25">
      <c r="A1349">
        <f>INDEX(tblCleanData[EmployeeNumber],1341)</f>
        <v>1880</v>
      </c>
      <c r="B1349" t="str">
        <f>IF(INDEX(tblCleanData[Age],1341)&lt;30,"Under 30",IF(INDEX(tblCleanData[Age],1341)&lt;40,"30-39",IF(INDEX(tblCleanData[Age],1341)&lt;50,"40-49","50+")))</f>
        <v>30-39</v>
      </c>
      <c r="C1349" t="str">
        <f>IF(INDEX(tblCleanData[MonthlyIncome],1341)&lt;=$B$3,"Low Income",IF(INDEX(tblCleanData[MonthlyIncome],1341)&lt;=$B$4,"Medium Income","High Income"))</f>
        <v>High Income</v>
      </c>
      <c r="D1349">
        <f>IF(INDEX(tblCleanData[Attrition],1341)="Yes",1,0)</f>
        <v>0</v>
      </c>
      <c r="E1349">
        <f>IF(INDEX(tblCleanData[OverTime],1341)="Yes",1,0)</f>
        <v>1</v>
      </c>
      <c r="F1349" t="str">
        <f>CHOOSE(INDEX(tblCleanData[Education],1341),"Below College","College","Bachelor","Master","Doctor")</f>
        <v>Master</v>
      </c>
      <c r="G1349" t="str">
        <f>IF(INDEX(tblCleanData[YearsAtCompany],1341)&lt;=2,"0-2 Years",IF(INDEX(tblCleanData[YearsAtCompany],1341)&lt;=5,"3-5 Years",IF(INDEX(tblCleanData[YearsAtCompany],1341)&lt;=10,"6-10 Years","10+ Years")))</f>
        <v>6-10 Years</v>
      </c>
      <c r="H1349" t="str">
        <f>IF(INDEX(tblCleanData[WorkLifeBalance],1341)&lt;=2,"Elevated","Normal")</f>
        <v>Normal</v>
      </c>
      <c r="I1349">
        <f>IF(INDEX(tblCleanData[Age],1341)&lt;30,30,IF(INDEX(tblCleanData[Age],1341)&lt;40,20,IF(INDEX(tblCleanData[Age],1341)&lt;50,10,15)))</f>
        <v>20</v>
      </c>
      <c r="J1349">
        <f>IF(INDEX(tblCleanData[MonthlyIncome],1341)&lt;=$B$3,25,IF(INDEX(tblCleanData[MonthlyIncome],1341)&lt;=$B$4,12,5))</f>
        <v>5</v>
      </c>
      <c r="K1349">
        <f>IF(INDEX(tblCleanData[OverTime],1341)="Yes",25,0)</f>
        <v>25</v>
      </c>
      <c r="L1349">
        <f>(5-INDEX(tblCleanData[JobSatisfaction],1341))*6.25</f>
        <v>12.5</v>
      </c>
      <c r="M1349">
        <f>IF(INDEX(tblCleanData[YearsAtCompany],1341)&lt;=2,25,IF(INDEX(tblCleanData[YearsAtCompany],1341)&lt;=5,15,IF(INDEX(tblCleanData[YearsAtCompany],1341)&lt;=10,8,3)))</f>
        <v>8</v>
      </c>
      <c r="N1349">
        <f t="shared" si="40"/>
        <v>71</v>
      </c>
      <c r="O1349" t="str">
        <f t="shared" si="41"/>
        <v>High Risk</v>
      </c>
    </row>
    <row r="1350" spans="1:15" x14ac:dyDescent="0.25">
      <c r="A1350">
        <f>INDEX(tblCleanData[EmployeeNumber],1342)</f>
        <v>1881</v>
      </c>
      <c r="B1350" t="str">
        <f>IF(INDEX(tblCleanData[Age],1342)&lt;30,"Under 30",IF(INDEX(tblCleanData[Age],1342)&lt;40,"30-39",IF(INDEX(tblCleanData[Age],1342)&lt;50,"40-49","50+")))</f>
        <v>30-39</v>
      </c>
      <c r="C1350" t="str">
        <f>IF(INDEX(tblCleanData[MonthlyIncome],1342)&lt;=$B$3,"Low Income",IF(INDEX(tblCleanData[MonthlyIncome],1342)&lt;=$B$4,"Medium Income","High Income"))</f>
        <v>High Income</v>
      </c>
      <c r="D1350">
        <f>IF(INDEX(tblCleanData[Attrition],1342)="Yes",1,0)</f>
        <v>0</v>
      </c>
      <c r="E1350">
        <f>IF(INDEX(tblCleanData[OverTime],1342)="Yes",1,0)</f>
        <v>0</v>
      </c>
      <c r="F1350" t="str">
        <f>CHOOSE(INDEX(tblCleanData[Education],1342),"Below College","College","Bachelor","Master","Doctor")</f>
        <v>Bachelor</v>
      </c>
      <c r="G1350" t="str">
        <f>IF(INDEX(tblCleanData[YearsAtCompany],1342)&lt;=2,"0-2 Years",IF(INDEX(tblCleanData[YearsAtCompany],1342)&lt;=5,"3-5 Years",IF(INDEX(tblCleanData[YearsAtCompany],1342)&lt;=10,"6-10 Years","10+ Years")))</f>
        <v>6-10 Years</v>
      </c>
      <c r="H1350" t="str">
        <f>IF(INDEX(tblCleanData[WorkLifeBalance],1342)&lt;=2,"Elevated","Normal")</f>
        <v>Normal</v>
      </c>
      <c r="I1350">
        <f>IF(INDEX(tblCleanData[Age],1342)&lt;30,30,IF(INDEX(tblCleanData[Age],1342)&lt;40,20,IF(INDEX(tblCleanData[Age],1342)&lt;50,10,15)))</f>
        <v>20</v>
      </c>
      <c r="J1350">
        <f>IF(INDEX(tblCleanData[MonthlyIncome],1342)&lt;=$B$3,25,IF(INDEX(tblCleanData[MonthlyIncome],1342)&lt;=$B$4,12,5))</f>
        <v>5</v>
      </c>
      <c r="K1350">
        <f>IF(INDEX(tblCleanData[OverTime],1342)="Yes",25,0)</f>
        <v>0</v>
      </c>
      <c r="L1350">
        <f>(5-INDEX(tblCleanData[JobSatisfaction],1342))*6.25</f>
        <v>12.5</v>
      </c>
      <c r="M1350">
        <f>IF(INDEX(tblCleanData[YearsAtCompany],1342)&lt;=2,25,IF(INDEX(tblCleanData[YearsAtCompany],1342)&lt;=5,15,IF(INDEX(tblCleanData[YearsAtCompany],1342)&lt;=10,8,3)))</f>
        <v>8</v>
      </c>
      <c r="N1350">
        <f t="shared" si="40"/>
        <v>46</v>
      </c>
      <c r="O1350" t="str">
        <f t="shared" si="41"/>
        <v>Medium Risk</v>
      </c>
    </row>
    <row r="1351" spans="1:15" x14ac:dyDescent="0.25">
      <c r="A1351">
        <f>INDEX(tblCleanData[EmployeeNumber],1343)</f>
        <v>1882</v>
      </c>
      <c r="B1351" t="str">
        <f>IF(INDEX(tblCleanData[Age],1343)&lt;30,"Under 30",IF(INDEX(tblCleanData[Age],1343)&lt;40,"30-39",IF(INDEX(tblCleanData[Age],1343)&lt;50,"40-49","50+")))</f>
        <v>30-39</v>
      </c>
      <c r="C1351" t="str">
        <f>IF(INDEX(tblCleanData[MonthlyIncome],1343)&lt;=$B$3,"Low Income",IF(INDEX(tblCleanData[MonthlyIncome],1343)&lt;=$B$4,"Medium Income","High Income"))</f>
        <v>High Income</v>
      </c>
      <c r="D1351">
        <f>IF(INDEX(tblCleanData[Attrition],1343)="Yes",1,0)</f>
        <v>0</v>
      </c>
      <c r="E1351">
        <f>IF(INDEX(tblCleanData[OverTime],1343)="Yes",1,0)</f>
        <v>1</v>
      </c>
      <c r="F1351" t="str">
        <f>CHOOSE(INDEX(tblCleanData[Education],1343),"Below College","College","Bachelor","Master","Doctor")</f>
        <v>Bachelor</v>
      </c>
      <c r="G1351" t="str">
        <f>IF(INDEX(tblCleanData[YearsAtCompany],1343)&lt;=2,"0-2 Years",IF(INDEX(tblCleanData[YearsAtCompany],1343)&lt;=5,"3-5 Years",IF(INDEX(tblCleanData[YearsAtCompany],1343)&lt;=10,"6-10 Years","10+ Years")))</f>
        <v>3-5 Years</v>
      </c>
      <c r="H1351" t="str">
        <f>IF(INDEX(tblCleanData[WorkLifeBalance],1343)&lt;=2,"Elevated","Normal")</f>
        <v>Normal</v>
      </c>
      <c r="I1351">
        <f>IF(INDEX(tblCleanData[Age],1343)&lt;30,30,IF(INDEX(tblCleanData[Age],1343)&lt;40,20,IF(INDEX(tblCleanData[Age],1343)&lt;50,10,15)))</f>
        <v>20</v>
      </c>
      <c r="J1351">
        <f>IF(INDEX(tblCleanData[MonthlyIncome],1343)&lt;=$B$3,25,IF(INDEX(tblCleanData[MonthlyIncome],1343)&lt;=$B$4,12,5))</f>
        <v>5</v>
      </c>
      <c r="K1351">
        <f>IF(INDEX(tblCleanData[OverTime],1343)="Yes",25,0)</f>
        <v>25</v>
      </c>
      <c r="L1351">
        <f>(5-INDEX(tblCleanData[JobSatisfaction],1343))*6.25</f>
        <v>6.25</v>
      </c>
      <c r="M1351">
        <f>IF(INDEX(tblCleanData[YearsAtCompany],1343)&lt;=2,25,IF(INDEX(tblCleanData[YearsAtCompany],1343)&lt;=5,15,IF(INDEX(tblCleanData[YearsAtCompany],1343)&lt;=10,8,3)))</f>
        <v>15</v>
      </c>
      <c r="N1351">
        <f t="shared" si="40"/>
        <v>71</v>
      </c>
      <c r="O1351" t="str">
        <f t="shared" si="41"/>
        <v>High Risk</v>
      </c>
    </row>
    <row r="1352" spans="1:15" x14ac:dyDescent="0.25">
      <c r="A1352">
        <f>INDEX(tblCleanData[EmployeeNumber],1344)</f>
        <v>1883</v>
      </c>
      <c r="B1352" t="str">
        <f>IF(INDEX(tblCleanData[Age],1344)&lt;30,"Under 30",IF(INDEX(tblCleanData[Age],1344)&lt;40,"30-39",IF(INDEX(tblCleanData[Age],1344)&lt;50,"40-49","50+")))</f>
        <v>Under 30</v>
      </c>
      <c r="C1352" t="str">
        <f>IF(INDEX(tblCleanData[MonthlyIncome],1344)&lt;=$B$3,"Low Income",IF(INDEX(tblCleanData[MonthlyIncome],1344)&lt;=$B$4,"Medium Income","High Income"))</f>
        <v>High Income</v>
      </c>
      <c r="D1352">
        <f>IF(INDEX(tblCleanData[Attrition],1344)="Yes",1,0)</f>
        <v>0</v>
      </c>
      <c r="E1352">
        <f>IF(INDEX(tblCleanData[OverTime],1344)="Yes",1,0)</f>
        <v>0</v>
      </c>
      <c r="F1352" t="str">
        <f>CHOOSE(INDEX(tblCleanData[Education],1344),"Below College","College","Bachelor","Master","Doctor")</f>
        <v>Bachelor</v>
      </c>
      <c r="G1352" t="str">
        <f>IF(INDEX(tblCleanData[YearsAtCompany],1344)&lt;=2,"0-2 Years",IF(INDEX(tblCleanData[YearsAtCompany],1344)&lt;=5,"3-5 Years",IF(INDEX(tblCleanData[YearsAtCompany],1344)&lt;=10,"6-10 Years","10+ Years")))</f>
        <v>3-5 Years</v>
      </c>
      <c r="H1352" t="str">
        <f>IF(INDEX(tblCleanData[WorkLifeBalance],1344)&lt;=2,"Elevated","Normal")</f>
        <v>Normal</v>
      </c>
      <c r="I1352">
        <f>IF(INDEX(tblCleanData[Age],1344)&lt;30,30,IF(INDEX(tblCleanData[Age],1344)&lt;40,20,IF(INDEX(tblCleanData[Age],1344)&lt;50,10,15)))</f>
        <v>30</v>
      </c>
      <c r="J1352">
        <f>IF(INDEX(tblCleanData[MonthlyIncome],1344)&lt;=$B$3,25,IF(INDEX(tblCleanData[MonthlyIncome],1344)&lt;=$B$4,12,5))</f>
        <v>5</v>
      </c>
      <c r="K1352">
        <f>IF(INDEX(tblCleanData[OverTime],1344)="Yes",25,0)</f>
        <v>0</v>
      </c>
      <c r="L1352">
        <f>(5-INDEX(tblCleanData[JobSatisfaction],1344))*6.25</f>
        <v>25</v>
      </c>
      <c r="M1352">
        <f>IF(INDEX(tblCleanData[YearsAtCompany],1344)&lt;=2,25,IF(INDEX(tblCleanData[YearsAtCompany],1344)&lt;=5,15,IF(INDEX(tblCleanData[YearsAtCompany],1344)&lt;=10,8,3)))</f>
        <v>15</v>
      </c>
      <c r="N1352">
        <f t="shared" si="40"/>
        <v>75</v>
      </c>
      <c r="O1352" t="str">
        <f t="shared" si="41"/>
        <v>High Risk</v>
      </c>
    </row>
    <row r="1353" spans="1:15" x14ac:dyDescent="0.25">
      <c r="A1353">
        <f>INDEX(tblCleanData[EmployeeNumber],1345)</f>
        <v>1885</v>
      </c>
      <c r="B1353" t="str">
        <f>IF(INDEX(tblCleanData[Age],1345)&lt;30,"Under 30",IF(INDEX(tblCleanData[Age],1345)&lt;40,"30-39",IF(INDEX(tblCleanData[Age],1345)&lt;50,"40-49","50+")))</f>
        <v>30-39</v>
      </c>
      <c r="C1353" t="str">
        <f>IF(INDEX(tblCleanData[MonthlyIncome],1345)&lt;=$B$3,"Low Income",IF(INDEX(tblCleanData[MonthlyIncome],1345)&lt;=$B$4,"Medium Income","High Income"))</f>
        <v>High Income</v>
      </c>
      <c r="D1353">
        <f>IF(INDEX(tblCleanData[Attrition],1345)="Yes",1,0)</f>
        <v>0</v>
      </c>
      <c r="E1353">
        <f>IF(INDEX(tblCleanData[OverTime],1345)="Yes",1,0)</f>
        <v>1</v>
      </c>
      <c r="F1353" t="str">
        <f>CHOOSE(INDEX(tblCleanData[Education],1345),"Below College","College","Bachelor","Master","Doctor")</f>
        <v>Master</v>
      </c>
      <c r="G1353" t="str">
        <f>IF(INDEX(tblCleanData[YearsAtCompany],1345)&lt;=2,"0-2 Years",IF(INDEX(tblCleanData[YearsAtCompany],1345)&lt;=5,"3-5 Years",IF(INDEX(tblCleanData[YearsAtCompany],1345)&lt;=10,"6-10 Years","10+ Years")))</f>
        <v>3-5 Years</v>
      </c>
      <c r="H1353" t="str">
        <f>IF(INDEX(tblCleanData[WorkLifeBalance],1345)&lt;=2,"Elevated","Normal")</f>
        <v>Normal</v>
      </c>
      <c r="I1353">
        <f>IF(INDEX(tblCleanData[Age],1345)&lt;30,30,IF(INDEX(tblCleanData[Age],1345)&lt;40,20,IF(INDEX(tblCleanData[Age],1345)&lt;50,10,15)))</f>
        <v>20</v>
      </c>
      <c r="J1353">
        <f>IF(INDEX(tblCleanData[MonthlyIncome],1345)&lt;=$B$3,25,IF(INDEX(tblCleanData[MonthlyIncome],1345)&lt;=$B$4,12,5))</f>
        <v>5</v>
      </c>
      <c r="K1353">
        <f>IF(INDEX(tblCleanData[OverTime],1345)="Yes",25,0)</f>
        <v>25</v>
      </c>
      <c r="L1353">
        <f>(5-INDEX(tblCleanData[JobSatisfaction],1345))*6.25</f>
        <v>25</v>
      </c>
      <c r="M1353">
        <f>IF(INDEX(tblCleanData[YearsAtCompany],1345)&lt;=2,25,IF(INDEX(tblCleanData[YearsAtCompany],1345)&lt;=5,15,IF(INDEX(tblCleanData[YearsAtCompany],1345)&lt;=10,8,3)))</f>
        <v>15</v>
      </c>
      <c r="N1353">
        <f t="shared" ref="N1353:N1416" si="42">ROUND(I1353+J1353+K1353+L1353+M1353,0)</f>
        <v>90</v>
      </c>
      <c r="O1353" t="str">
        <f t="shared" ref="O1353:O1416" si="43">IF(N1353&gt;=55,"High Risk",IF(N1353&gt;=35,"Medium Risk","Low Risk"))</f>
        <v>High Risk</v>
      </c>
    </row>
    <row r="1354" spans="1:15" x14ac:dyDescent="0.25">
      <c r="A1354">
        <f>INDEX(tblCleanData[EmployeeNumber],1346)</f>
        <v>1886</v>
      </c>
      <c r="B1354" t="str">
        <f>IF(INDEX(tblCleanData[Age],1346)&lt;30,"Under 30",IF(INDEX(tblCleanData[Age],1346)&lt;40,"30-39",IF(INDEX(tblCleanData[Age],1346)&lt;50,"40-49","50+")))</f>
        <v>30-39</v>
      </c>
      <c r="C1354" t="str">
        <f>IF(INDEX(tblCleanData[MonthlyIncome],1346)&lt;=$B$3,"Low Income",IF(INDEX(tblCleanData[MonthlyIncome],1346)&lt;=$B$4,"Medium Income","High Income"))</f>
        <v>High Income</v>
      </c>
      <c r="D1354">
        <f>IF(INDEX(tblCleanData[Attrition],1346)="Yes",1,0)</f>
        <v>0</v>
      </c>
      <c r="E1354">
        <f>IF(INDEX(tblCleanData[OverTime],1346)="Yes",1,0)</f>
        <v>1</v>
      </c>
      <c r="F1354" t="str">
        <f>CHOOSE(INDEX(tblCleanData[Education],1346),"Below College","College","Bachelor","Master","Doctor")</f>
        <v>College</v>
      </c>
      <c r="G1354" t="str">
        <f>IF(INDEX(tblCleanData[YearsAtCompany],1346)&lt;=2,"0-2 Years",IF(INDEX(tblCleanData[YearsAtCompany],1346)&lt;=5,"3-5 Years",IF(INDEX(tblCleanData[YearsAtCompany],1346)&lt;=10,"6-10 Years","10+ Years")))</f>
        <v>3-5 Years</v>
      </c>
      <c r="H1354" t="str">
        <f>IF(INDEX(tblCleanData[WorkLifeBalance],1346)&lt;=2,"Elevated","Normal")</f>
        <v>Normal</v>
      </c>
      <c r="I1354">
        <f>IF(INDEX(tblCleanData[Age],1346)&lt;30,30,IF(INDEX(tblCleanData[Age],1346)&lt;40,20,IF(INDEX(tblCleanData[Age],1346)&lt;50,10,15)))</f>
        <v>20</v>
      </c>
      <c r="J1354">
        <f>IF(INDEX(tblCleanData[MonthlyIncome],1346)&lt;=$B$3,25,IF(INDEX(tblCleanData[MonthlyIncome],1346)&lt;=$B$4,12,5))</f>
        <v>5</v>
      </c>
      <c r="K1354">
        <f>IF(INDEX(tblCleanData[OverTime],1346)="Yes",25,0)</f>
        <v>25</v>
      </c>
      <c r="L1354">
        <f>(5-INDEX(tblCleanData[JobSatisfaction],1346))*6.25</f>
        <v>18.75</v>
      </c>
      <c r="M1354">
        <f>IF(INDEX(tblCleanData[YearsAtCompany],1346)&lt;=2,25,IF(INDEX(tblCleanData[YearsAtCompany],1346)&lt;=5,15,IF(INDEX(tblCleanData[YearsAtCompany],1346)&lt;=10,8,3)))</f>
        <v>15</v>
      </c>
      <c r="N1354">
        <f t="shared" si="42"/>
        <v>84</v>
      </c>
      <c r="O1354" t="str">
        <f t="shared" si="43"/>
        <v>High Risk</v>
      </c>
    </row>
    <row r="1355" spans="1:15" x14ac:dyDescent="0.25">
      <c r="A1355">
        <f>INDEX(tblCleanData[EmployeeNumber],1347)</f>
        <v>1888</v>
      </c>
      <c r="B1355" t="str">
        <f>IF(INDEX(tblCleanData[Age],1347)&lt;30,"Under 30",IF(INDEX(tblCleanData[Age],1347)&lt;40,"30-39",IF(INDEX(tblCleanData[Age],1347)&lt;50,"40-49","50+")))</f>
        <v>40-49</v>
      </c>
      <c r="C1355" t="str">
        <f>IF(INDEX(tblCleanData[MonthlyIncome],1347)&lt;=$B$3,"Low Income",IF(INDEX(tblCleanData[MonthlyIncome],1347)&lt;=$B$4,"Medium Income","High Income"))</f>
        <v>High Income</v>
      </c>
      <c r="D1355">
        <f>IF(INDEX(tblCleanData[Attrition],1347)="Yes",1,0)</f>
        <v>0</v>
      </c>
      <c r="E1355">
        <f>IF(INDEX(tblCleanData[OverTime],1347)="Yes",1,0)</f>
        <v>0</v>
      </c>
      <c r="F1355" t="str">
        <f>CHOOSE(INDEX(tblCleanData[Education],1347),"Below College","College","Bachelor","Master","Doctor")</f>
        <v>College</v>
      </c>
      <c r="G1355" t="str">
        <f>IF(INDEX(tblCleanData[YearsAtCompany],1347)&lt;=2,"0-2 Years",IF(INDEX(tblCleanData[YearsAtCompany],1347)&lt;=5,"3-5 Years",IF(INDEX(tblCleanData[YearsAtCompany],1347)&lt;=10,"6-10 Years","10+ Years")))</f>
        <v>6-10 Years</v>
      </c>
      <c r="H1355" t="str">
        <f>IF(INDEX(tblCleanData[WorkLifeBalance],1347)&lt;=2,"Elevated","Normal")</f>
        <v>Elevated</v>
      </c>
      <c r="I1355">
        <f>IF(INDEX(tblCleanData[Age],1347)&lt;30,30,IF(INDEX(tblCleanData[Age],1347)&lt;40,20,IF(INDEX(tblCleanData[Age],1347)&lt;50,10,15)))</f>
        <v>10</v>
      </c>
      <c r="J1355">
        <f>IF(INDEX(tblCleanData[MonthlyIncome],1347)&lt;=$B$3,25,IF(INDEX(tblCleanData[MonthlyIncome],1347)&lt;=$B$4,12,5))</f>
        <v>5</v>
      </c>
      <c r="K1355">
        <f>IF(INDEX(tblCleanData[OverTime],1347)="Yes",25,0)</f>
        <v>0</v>
      </c>
      <c r="L1355">
        <f>(5-INDEX(tblCleanData[JobSatisfaction],1347))*6.25</f>
        <v>6.25</v>
      </c>
      <c r="M1355">
        <f>IF(INDEX(tblCleanData[YearsAtCompany],1347)&lt;=2,25,IF(INDEX(tblCleanData[YearsAtCompany],1347)&lt;=5,15,IF(INDEX(tblCleanData[YearsAtCompany],1347)&lt;=10,8,3)))</f>
        <v>8</v>
      </c>
      <c r="N1355">
        <f t="shared" si="42"/>
        <v>29</v>
      </c>
      <c r="O1355" t="str">
        <f t="shared" si="43"/>
        <v>Low Risk</v>
      </c>
    </row>
    <row r="1356" spans="1:15" x14ac:dyDescent="0.25">
      <c r="A1356">
        <f>INDEX(tblCleanData[EmployeeNumber],1348)</f>
        <v>1890</v>
      </c>
      <c r="B1356" t="str">
        <f>IF(INDEX(tblCleanData[Age],1348)&lt;30,"Under 30",IF(INDEX(tblCleanData[Age],1348)&lt;40,"30-39",IF(INDEX(tblCleanData[Age],1348)&lt;50,"40-49","50+")))</f>
        <v>30-39</v>
      </c>
      <c r="C1356" t="str">
        <f>IF(INDEX(tblCleanData[MonthlyIncome],1348)&lt;=$B$3,"Low Income",IF(INDEX(tblCleanData[MonthlyIncome],1348)&lt;=$B$4,"Medium Income","High Income"))</f>
        <v>High Income</v>
      </c>
      <c r="D1356">
        <f>IF(INDEX(tblCleanData[Attrition],1348)="Yes",1,0)</f>
        <v>0</v>
      </c>
      <c r="E1356">
        <f>IF(INDEX(tblCleanData[OverTime],1348)="Yes",1,0)</f>
        <v>0</v>
      </c>
      <c r="F1356" t="str">
        <f>CHOOSE(INDEX(tblCleanData[Education],1348),"Below College","College","Bachelor","Master","Doctor")</f>
        <v>Below College</v>
      </c>
      <c r="G1356" t="str">
        <f>IF(INDEX(tblCleanData[YearsAtCompany],1348)&lt;=2,"0-2 Years",IF(INDEX(tblCleanData[YearsAtCompany],1348)&lt;=5,"3-5 Years",IF(INDEX(tblCleanData[YearsAtCompany],1348)&lt;=10,"6-10 Years","10+ Years")))</f>
        <v>6-10 Years</v>
      </c>
      <c r="H1356" t="str">
        <f>IF(INDEX(tblCleanData[WorkLifeBalance],1348)&lt;=2,"Elevated","Normal")</f>
        <v>Elevated</v>
      </c>
      <c r="I1356">
        <f>IF(INDEX(tblCleanData[Age],1348)&lt;30,30,IF(INDEX(tblCleanData[Age],1348)&lt;40,20,IF(INDEX(tblCleanData[Age],1348)&lt;50,10,15)))</f>
        <v>20</v>
      </c>
      <c r="J1356">
        <f>IF(INDEX(tblCleanData[MonthlyIncome],1348)&lt;=$B$3,25,IF(INDEX(tblCleanData[MonthlyIncome],1348)&lt;=$B$4,12,5))</f>
        <v>5</v>
      </c>
      <c r="K1356">
        <f>IF(INDEX(tblCleanData[OverTime],1348)="Yes",25,0)</f>
        <v>0</v>
      </c>
      <c r="L1356">
        <f>(5-INDEX(tblCleanData[JobSatisfaction],1348))*6.25</f>
        <v>6.25</v>
      </c>
      <c r="M1356">
        <f>IF(INDEX(tblCleanData[YearsAtCompany],1348)&lt;=2,25,IF(INDEX(tblCleanData[YearsAtCompany],1348)&lt;=5,15,IF(INDEX(tblCleanData[YearsAtCompany],1348)&lt;=10,8,3)))</f>
        <v>8</v>
      </c>
      <c r="N1356">
        <f t="shared" si="42"/>
        <v>39</v>
      </c>
      <c r="O1356" t="str">
        <f t="shared" si="43"/>
        <v>Medium Risk</v>
      </c>
    </row>
    <row r="1357" spans="1:15" x14ac:dyDescent="0.25">
      <c r="A1357">
        <f>INDEX(tblCleanData[EmployeeNumber],1349)</f>
        <v>1892</v>
      </c>
      <c r="B1357" t="str">
        <f>IF(INDEX(tblCleanData[Age],1349)&lt;30,"Under 30",IF(INDEX(tblCleanData[Age],1349)&lt;40,"30-39",IF(INDEX(tblCleanData[Age],1349)&lt;50,"40-49","50+")))</f>
        <v>40-49</v>
      </c>
      <c r="C1357" t="str">
        <f>IF(INDEX(tblCleanData[MonthlyIncome],1349)&lt;=$B$3,"Low Income",IF(INDEX(tblCleanData[MonthlyIncome],1349)&lt;=$B$4,"Medium Income","High Income"))</f>
        <v>High Income</v>
      </c>
      <c r="D1357">
        <f>IF(INDEX(tblCleanData[Attrition],1349)="Yes",1,0)</f>
        <v>0</v>
      </c>
      <c r="E1357">
        <f>IF(INDEX(tblCleanData[OverTime],1349)="Yes",1,0)</f>
        <v>0</v>
      </c>
      <c r="F1357" t="str">
        <f>CHOOSE(INDEX(tblCleanData[Education],1349),"Below College","College","Bachelor","Master","Doctor")</f>
        <v>Master</v>
      </c>
      <c r="G1357" t="str">
        <f>IF(INDEX(tblCleanData[YearsAtCompany],1349)&lt;=2,"0-2 Years",IF(INDEX(tblCleanData[YearsAtCompany],1349)&lt;=5,"3-5 Years",IF(INDEX(tblCleanData[YearsAtCompany],1349)&lt;=10,"6-10 Years","10+ Years")))</f>
        <v>10+ Years</v>
      </c>
      <c r="H1357" t="str">
        <f>IF(INDEX(tblCleanData[WorkLifeBalance],1349)&lt;=2,"Elevated","Normal")</f>
        <v>Normal</v>
      </c>
      <c r="I1357">
        <f>IF(INDEX(tblCleanData[Age],1349)&lt;30,30,IF(INDEX(tblCleanData[Age],1349)&lt;40,20,IF(INDEX(tblCleanData[Age],1349)&lt;50,10,15)))</f>
        <v>10</v>
      </c>
      <c r="J1357">
        <f>IF(INDEX(tblCleanData[MonthlyIncome],1349)&lt;=$B$3,25,IF(INDEX(tblCleanData[MonthlyIncome],1349)&lt;=$B$4,12,5))</f>
        <v>5</v>
      </c>
      <c r="K1357">
        <f>IF(INDEX(tblCleanData[OverTime],1349)="Yes",25,0)</f>
        <v>0</v>
      </c>
      <c r="L1357">
        <f>(5-INDEX(tblCleanData[JobSatisfaction],1349))*6.25</f>
        <v>25</v>
      </c>
      <c r="M1357">
        <f>IF(INDEX(tblCleanData[YearsAtCompany],1349)&lt;=2,25,IF(INDEX(tblCleanData[YearsAtCompany],1349)&lt;=5,15,IF(INDEX(tblCleanData[YearsAtCompany],1349)&lt;=10,8,3)))</f>
        <v>3</v>
      </c>
      <c r="N1357">
        <f t="shared" si="42"/>
        <v>43</v>
      </c>
      <c r="O1357" t="str">
        <f t="shared" si="43"/>
        <v>Medium Risk</v>
      </c>
    </row>
    <row r="1358" spans="1:15" x14ac:dyDescent="0.25">
      <c r="A1358">
        <f>INDEX(tblCleanData[EmployeeNumber],1350)</f>
        <v>1893</v>
      </c>
      <c r="B1358" t="str">
        <f>IF(INDEX(tblCleanData[Age],1350)&lt;30,"Under 30",IF(INDEX(tblCleanData[Age],1350)&lt;40,"30-39",IF(INDEX(tblCleanData[Age],1350)&lt;50,"40-49","50+")))</f>
        <v>Under 30</v>
      </c>
      <c r="C1358" t="str">
        <f>IF(INDEX(tblCleanData[MonthlyIncome],1350)&lt;=$B$3,"Low Income",IF(INDEX(tblCleanData[MonthlyIncome],1350)&lt;=$B$4,"Medium Income","High Income"))</f>
        <v>High Income</v>
      </c>
      <c r="D1358">
        <f>IF(INDEX(tblCleanData[Attrition],1350)="Yes",1,0)</f>
        <v>0</v>
      </c>
      <c r="E1358">
        <f>IF(INDEX(tblCleanData[OverTime],1350)="Yes",1,0)</f>
        <v>1</v>
      </c>
      <c r="F1358" t="str">
        <f>CHOOSE(INDEX(tblCleanData[Education],1350),"Below College","College","Bachelor","Master","Doctor")</f>
        <v>College</v>
      </c>
      <c r="G1358" t="str">
        <f>IF(INDEX(tblCleanData[YearsAtCompany],1350)&lt;=2,"0-2 Years",IF(INDEX(tblCleanData[YearsAtCompany],1350)&lt;=5,"3-5 Years",IF(INDEX(tblCleanData[YearsAtCompany],1350)&lt;=10,"6-10 Years","10+ Years")))</f>
        <v>0-2 Years</v>
      </c>
      <c r="H1358" t="str">
        <f>IF(INDEX(tblCleanData[WorkLifeBalance],1350)&lt;=2,"Elevated","Normal")</f>
        <v>Elevated</v>
      </c>
      <c r="I1358">
        <f>IF(INDEX(tblCleanData[Age],1350)&lt;30,30,IF(INDEX(tblCleanData[Age],1350)&lt;40,20,IF(INDEX(tblCleanData[Age],1350)&lt;50,10,15)))</f>
        <v>30</v>
      </c>
      <c r="J1358">
        <f>IF(INDEX(tblCleanData[MonthlyIncome],1350)&lt;=$B$3,25,IF(INDEX(tblCleanData[MonthlyIncome],1350)&lt;=$B$4,12,5))</f>
        <v>5</v>
      </c>
      <c r="K1358">
        <f>IF(INDEX(tblCleanData[OverTime],1350)="Yes",25,0)</f>
        <v>25</v>
      </c>
      <c r="L1358">
        <f>(5-INDEX(tblCleanData[JobSatisfaction],1350))*6.25</f>
        <v>12.5</v>
      </c>
      <c r="M1358">
        <f>IF(INDEX(tblCleanData[YearsAtCompany],1350)&lt;=2,25,IF(INDEX(tblCleanData[YearsAtCompany],1350)&lt;=5,15,IF(INDEX(tblCleanData[YearsAtCompany],1350)&lt;=10,8,3)))</f>
        <v>25</v>
      </c>
      <c r="N1358">
        <f t="shared" si="42"/>
        <v>98</v>
      </c>
      <c r="O1358" t="str">
        <f t="shared" si="43"/>
        <v>High Risk</v>
      </c>
    </row>
    <row r="1359" spans="1:15" x14ac:dyDescent="0.25">
      <c r="A1359">
        <f>INDEX(tblCleanData[EmployeeNumber],1351)</f>
        <v>1898</v>
      </c>
      <c r="B1359" t="str">
        <f>IF(INDEX(tblCleanData[Age],1351)&lt;30,"Under 30",IF(INDEX(tblCleanData[Age],1351)&lt;40,"30-39",IF(INDEX(tblCleanData[Age],1351)&lt;50,"40-49","50+")))</f>
        <v>Under 30</v>
      </c>
      <c r="C1359" t="str">
        <f>IF(INDEX(tblCleanData[MonthlyIncome],1351)&lt;=$B$3,"Low Income",IF(INDEX(tblCleanData[MonthlyIncome],1351)&lt;=$B$4,"Medium Income","High Income"))</f>
        <v>High Income</v>
      </c>
      <c r="D1359">
        <f>IF(INDEX(tblCleanData[Attrition],1351)="Yes",1,0)</f>
        <v>0</v>
      </c>
      <c r="E1359">
        <f>IF(INDEX(tblCleanData[OverTime],1351)="Yes",1,0)</f>
        <v>0</v>
      </c>
      <c r="F1359" t="str">
        <f>CHOOSE(INDEX(tblCleanData[Education],1351),"Below College","College","Bachelor","Master","Doctor")</f>
        <v>College</v>
      </c>
      <c r="G1359" t="str">
        <f>IF(INDEX(tblCleanData[YearsAtCompany],1351)&lt;=2,"0-2 Years",IF(INDEX(tblCleanData[YearsAtCompany],1351)&lt;=5,"3-5 Years",IF(INDEX(tblCleanData[YearsAtCompany],1351)&lt;=10,"6-10 Years","10+ Years")))</f>
        <v>6-10 Years</v>
      </c>
      <c r="H1359" t="str">
        <f>IF(INDEX(tblCleanData[WorkLifeBalance],1351)&lt;=2,"Elevated","Normal")</f>
        <v>Elevated</v>
      </c>
      <c r="I1359">
        <f>IF(INDEX(tblCleanData[Age],1351)&lt;30,30,IF(INDEX(tblCleanData[Age],1351)&lt;40,20,IF(INDEX(tblCleanData[Age],1351)&lt;50,10,15)))</f>
        <v>30</v>
      </c>
      <c r="J1359">
        <f>IF(INDEX(tblCleanData[MonthlyIncome],1351)&lt;=$B$3,25,IF(INDEX(tblCleanData[MonthlyIncome],1351)&lt;=$B$4,12,5))</f>
        <v>5</v>
      </c>
      <c r="K1359">
        <f>IF(INDEX(tblCleanData[OverTime],1351)="Yes",25,0)</f>
        <v>0</v>
      </c>
      <c r="L1359">
        <f>(5-INDEX(tblCleanData[JobSatisfaction],1351))*6.25</f>
        <v>12.5</v>
      </c>
      <c r="M1359">
        <f>IF(INDEX(tblCleanData[YearsAtCompany],1351)&lt;=2,25,IF(INDEX(tblCleanData[YearsAtCompany],1351)&lt;=5,15,IF(INDEX(tblCleanData[YearsAtCompany],1351)&lt;=10,8,3)))</f>
        <v>8</v>
      </c>
      <c r="N1359">
        <f t="shared" si="42"/>
        <v>56</v>
      </c>
      <c r="O1359" t="str">
        <f t="shared" si="43"/>
        <v>High Risk</v>
      </c>
    </row>
    <row r="1360" spans="1:15" x14ac:dyDescent="0.25">
      <c r="A1360">
        <f>INDEX(tblCleanData[EmployeeNumber],1352)</f>
        <v>1900</v>
      </c>
      <c r="B1360" t="str">
        <f>IF(INDEX(tblCleanData[Age],1352)&lt;30,"Under 30",IF(INDEX(tblCleanData[Age],1352)&lt;40,"30-39",IF(INDEX(tblCleanData[Age],1352)&lt;50,"40-49","50+")))</f>
        <v>40-49</v>
      </c>
      <c r="C1360" t="str">
        <f>IF(INDEX(tblCleanData[MonthlyIncome],1352)&lt;=$B$3,"Low Income",IF(INDEX(tblCleanData[MonthlyIncome],1352)&lt;=$B$4,"Medium Income","High Income"))</f>
        <v>High Income</v>
      </c>
      <c r="D1360">
        <f>IF(INDEX(tblCleanData[Attrition],1352)="Yes",1,0)</f>
        <v>0</v>
      </c>
      <c r="E1360">
        <f>IF(INDEX(tblCleanData[OverTime],1352)="Yes",1,0)</f>
        <v>0</v>
      </c>
      <c r="F1360" t="str">
        <f>CHOOSE(INDEX(tblCleanData[Education],1352),"Below College","College","Bachelor","Master","Doctor")</f>
        <v>Bachelor</v>
      </c>
      <c r="G1360" t="str">
        <f>IF(INDEX(tblCleanData[YearsAtCompany],1352)&lt;=2,"0-2 Years",IF(INDEX(tblCleanData[YearsAtCompany],1352)&lt;=5,"3-5 Years",IF(INDEX(tblCleanData[YearsAtCompany],1352)&lt;=10,"6-10 Years","10+ Years")))</f>
        <v>10+ Years</v>
      </c>
      <c r="H1360" t="str">
        <f>IF(INDEX(tblCleanData[WorkLifeBalance],1352)&lt;=2,"Elevated","Normal")</f>
        <v>Normal</v>
      </c>
      <c r="I1360">
        <f>IF(INDEX(tblCleanData[Age],1352)&lt;30,30,IF(INDEX(tblCleanData[Age],1352)&lt;40,20,IF(INDEX(tblCleanData[Age],1352)&lt;50,10,15)))</f>
        <v>10</v>
      </c>
      <c r="J1360">
        <f>IF(INDEX(tblCleanData[MonthlyIncome],1352)&lt;=$B$3,25,IF(INDEX(tblCleanData[MonthlyIncome],1352)&lt;=$B$4,12,5))</f>
        <v>5</v>
      </c>
      <c r="K1360">
        <f>IF(INDEX(tblCleanData[OverTime],1352)="Yes",25,0)</f>
        <v>0</v>
      </c>
      <c r="L1360">
        <f>(5-INDEX(tblCleanData[JobSatisfaction],1352))*6.25</f>
        <v>6.25</v>
      </c>
      <c r="M1360">
        <f>IF(INDEX(tblCleanData[YearsAtCompany],1352)&lt;=2,25,IF(INDEX(tblCleanData[YearsAtCompany],1352)&lt;=5,15,IF(INDEX(tblCleanData[YearsAtCompany],1352)&lt;=10,8,3)))</f>
        <v>3</v>
      </c>
      <c r="N1360">
        <f t="shared" si="42"/>
        <v>24</v>
      </c>
      <c r="O1360" t="str">
        <f t="shared" si="43"/>
        <v>Low Risk</v>
      </c>
    </row>
    <row r="1361" spans="1:15" x14ac:dyDescent="0.25">
      <c r="A1361">
        <f>INDEX(tblCleanData[EmployeeNumber],1353)</f>
        <v>1903</v>
      </c>
      <c r="B1361" t="str">
        <f>IF(INDEX(tblCleanData[Age],1353)&lt;30,"Under 30",IF(INDEX(tblCleanData[Age],1353)&lt;40,"30-39",IF(INDEX(tblCleanData[Age],1353)&lt;50,"40-49","50+")))</f>
        <v>40-49</v>
      </c>
      <c r="C1361" t="str">
        <f>IF(INDEX(tblCleanData[MonthlyIncome],1353)&lt;=$B$3,"Low Income",IF(INDEX(tblCleanData[MonthlyIncome],1353)&lt;=$B$4,"Medium Income","High Income"))</f>
        <v>High Income</v>
      </c>
      <c r="D1361">
        <f>IF(INDEX(tblCleanData[Attrition],1353)="Yes",1,0)</f>
        <v>0</v>
      </c>
      <c r="E1361">
        <f>IF(INDEX(tblCleanData[OverTime],1353)="Yes",1,0)</f>
        <v>0</v>
      </c>
      <c r="F1361" t="str">
        <f>CHOOSE(INDEX(tblCleanData[Education],1353),"Below College","College","Bachelor","Master","Doctor")</f>
        <v>Master</v>
      </c>
      <c r="G1361" t="str">
        <f>IF(INDEX(tblCleanData[YearsAtCompany],1353)&lt;=2,"0-2 Years",IF(INDEX(tblCleanData[YearsAtCompany],1353)&lt;=5,"3-5 Years",IF(INDEX(tblCleanData[YearsAtCompany],1353)&lt;=10,"6-10 Years","10+ Years")))</f>
        <v>0-2 Years</v>
      </c>
      <c r="H1361" t="str">
        <f>IF(INDEX(tblCleanData[WorkLifeBalance],1353)&lt;=2,"Elevated","Normal")</f>
        <v>Normal</v>
      </c>
      <c r="I1361">
        <f>IF(INDEX(tblCleanData[Age],1353)&lt;30,30,IF(INDEX(tblCleanData[Age],1353)&lt;40,20,IF(INDEX(tblCleanData[Age],1353)&lt;50,10,15)))</f>
        <v>10</v>
      </c>
      <c r="J1361">
        <f>IF(INDEX(tblCleanData[MonthlyIncome],1353)&lt;=$B$3,25,IF(INDEX(tblCleanData[MonthlyIncome],1353)&lt;=$B$4,12,5))</f>
        <v>5</v>
      </c>
      <c r="K1361">
        <f>IF(INDEX(tblCleanData[OverTime],1353)="Yes",25,0)</f>
        <v>0</v>
      </c>
      <c r="L1361">
        <f>(5-INDEX(tblCleanData[JobSatisfaction],1353))*6.25</f>
        <v>25</v>
      </c>
      <c r="M1361">
        <f>IF(INDEX(tblCleanData[YearsAtCompany],1353)&lt;=2,25,IF(INDEX(tblCleanData[YearsAtCompany],1353)&lt;=5,15,IF(INDEX(tblCleanData[YearsAtCompany],1353)&lt;=10,8,3)))</f>
        <v>25</v>
      </c>
      <c r="N1361">
        <f t="shared" si="42"/>
        <v>65</v>
      </c>
      <c r="O1361" t="str">
        <f t="shared" si="43"/>
        <v>High Risk</v>
      </c>
    </row>
    <row r="1362" spans="1:15" x14ac:dyDescent="0.25">
      <c r="A1362">
        <f>INDEX(tblCleanData[EmployeeNumber],1354)</f>
        <v>1905</v>
      </c>
      <c r="B1362" t="str">
        <f>IF(INDEX(tblCleanData[Age],1354)&lt;30,"Under 30",IF(INDEX(tblCleanData[Age],1354)&lt;40,"30-39",IF(INDEX(tblCleanData[Age],1354)&lt;50,"40-49","50+")))</f>
        <v>30-39</v>
      </c>
      <c r="C1362" t="str">
        <f>IF(INDEX(tblCleanData[MonthlyIncome],1354)&lt;=$B$3,"Low Income",IF(INDEX(tblCleanData[MonthlyIncome],1354)&lt;=$B$4,"Medium Income","High Income"))</f>
        <v>High Income</v>
      </c>
      <c r="D1362">
        <f>IF(INDEX(tblCleanData[Attrition],1354)="Yes",1,0)</f>
        <v>1</v>
      </c>
      <c r="E1362">
        <f>IF(INDEX(tblCleanData[OverTime],1354)="Yes",1,0)</f>
        <v>1</v>
      </c>
      <c r="F1362" t="str">
        <f>CHOOSE(INDEX(tblCleanData[Education],1354),"Below College","College","Bachelor","Master","Doctor")</f>
        <v>Master</v>
      </c>
      <c r="G1362" t="str">
        <f>IF(INDEX(tblCleanData[YearsAtCompany],1354)&lt;=2,"0-2 Years",IF(INDEX(tblCleanData[YearsAtCompany],1354)&lt;=5,"3-5 Years",IF(INDEX(tblCleanData[YearsAtCompany],1354)&lt;=10,"6-10 Years","10+ Years")))</f>
        <v>3-5 Years</v>
      </c>
      <c r="H1362" t="str">
        <f>IF(INDEX(tblCleanData[WorkLifeBalance],1354)&lt;=2,"Elevated","Normal")</f>
        <v>Normal</v>
      </c>
      <c r="I1362">
        <f>IF(INDEX(tblCleanData[Age],1354)&lt;30,30,IF(INDEX(tblCleanData[Age],1354)&lt;40,20,IF(INDEX(tblCleanData[Age],1354)&lt;50,10,15)))</f>
        <v>20</v>
      </c>
      <c r="J1362">
        <f>IF(INDEX(tblCleanData[MonthlyIncome],1354)&lt;=$B$3,25,IF(INDEX(tblCleanData[MonthlyIncome],1354)&lt;=$B$4,12,5))</f>
        <v>5</v>
      </c>
      <c r="K1362">
        <f>IF(INDEX(tblCleanData[OverTime],1354)="Yes",25,0)</f>
        <v>25</v>
      </c>
      <c r="L1362">
        <f>(5-INDEX(tblCleanData[JobSatisfaction],1354))*6.25</f>
        <v>25</v>
      </c>
      <c r="M1362">
        <f>IF(INDEX(tblCleanData[YearsAtCompany],1354)&lt;=2,25,IF(INDEX(tblCleanData[YearsAtCompany],1354)&lt;=5,15,IF(INDEX(tblCleanData[YearsAtCompany],1354)&lt;=10,8,3)))</f>
        <v>15</v>
      </c>
      <c r="N1362">
        <f t="shared" si="42"/>
        <v>90</v>
      </c>
      <c r="O1362" t="str">
        <f t="shared" si="43"/>
        <v>High Risk</v>
      </c>
    </row>
    <row r="1363" spans="1:15" x14ac:dyDescent="0.25">
      <c r="A1363">
        <f>INDEX(tblCleanData[EmployeeNumber],1355)</f>
        <v>1907</v>
      </c>
      <c r="B1363" t="str">
        <f>IF(INDEX(tblCleanData[Age],1355)&lt;30,"Under 30",IF(INDEX(tblCleanData[Age],1355)&lt;40,"30-39",IF(INDEX(tblCleanData[Age],1355)&lt;50,"40-49","50+")))</f>
        <v>50+</v>
      </c>
      <c r="C1363" t="str">
        <f>IF(INDEX(tblCleanData[MonthlyIncome],1355)&lt;=$B$3,"Low Income",IF(INDEX(tblCleanData[MonthlyIncome],1355)&lt;=$B$4,"Medium Income","High Income"))</f>
        <v>High Income</v>
      </c>
      <c r="D1363">
        <f>IF(INDEX(tblCleanData[Attrition],1355)="Yes",1,0)</f>
        <v>1</v>
      </c>
      <c r="E1363">
        <f>IF(INDEX(tblCleanData[OverTime],1355)="Yes",1,0)</f>
        <v>0</v>
      </c>
      <c r="F1363" t="str">
        <f>CHOOSE(INDEX(tblCleanData[Education],1355),"Below College","College","Bachelor","Master","Doctor")</f>
        <v>College</v>
      </c>
      <c r="G1363" t="str">
        <f>IF(INDEX(tblCleanData[YearsAtCompany],1355)&lt;=2,"0-2 Years",IF(INDEX(tblCleanData[YearsAtCompany],1355)&lt;=5,"3-5 Years",IF(INDEX(tblCleanData[YearsAtCompany],1355)&lt;=10,"6-10 Years","10+ Years")))</f>
        <v>3-5 Years</v>
      </c>
      <c r="H1363" t="str">
        <f>IF(INDEX(tblCleanData[WorkLifeBalance],1355)&lt;=2,"Elevated","Normal")</f>
        <v>Normal</v>
      </c>
      <c r="I1363">
        <f>IF(INDEX(tblCleanData[Age],1355)&lt;30,30,IF(INDEX(tblCleanData[Age],1355)&lt;40,20,IF(INDEX(tblCleanData[Age],1355)&lt;50,10,15)))</f>
        <v>15</v>
      </c>
      <c r="J1363">
        <f>IF(INDEX(tblCleanData[MonthlyIncome],1355)&lt;=$B$3,25,IF(INDEX(tblCleanData[MonthlyIncome],1355)&lt;=$B$4,12,5))</f>
        <v>5</v>
      </c>
      <c r="K1363">
        <f>IF(INDEX(tblCleanData[OverTime],1355)="Yes",25,0)</f>
        <v>0</v>
      </c>
      <c r="L1363">
        <f>(5-INDEX(tblCleanData[JobSatisfaction],1355))*6.25</f>
        <v>6.25</v>
      </c>
      <c r="M1363">
        <f>IF(INDEX(tblCleanData[YearsAtCompany],1355)&lt;=2,25,IF(INDEX(tblCleanData[YearsAtCompany],1355)&lt;=5,15,IF(INDEX(tblCleanData[YearsAtCompany],1355)&lt;=10,8,3)))</f>
        <v>15</v>
      </c>
      <c r="N1363">
        <f t="shared" si="42"/>
        <v>41</v>
      </c>
      <c r="O1363" t="str">
        <f t="shared" si="43"/>
        <v>Medium Risk</v>
      </c>
    </row>
    <row r="1364" spans="1:15" x14ac:dyDescent="0.25">
      <c r="A1364">
        <f>INDEX(tblCleanData[EmployeeNumber],1356)</f>
        <v>1908</v>
      </c>
      <c r="B1364" t="str">
        <f>IF(INDEX(tblCleanData[Age],1356)&lt;30,"Under 30",IF(INDEX(tblCleanData[Age],1356)&lt;40,"30-39",IF(INDEX(tblCleanData[Age],1356)&lt;50,"40-49","50+")))</f>
        <v>30-39</v>
      </c>
      <c r="C1364" t="str">
        <f>IF(INDEX(tblCleanData[MonthlyIncome],1356)&lt;=$B$3,"Low Income",IF(INDEX(tblCleanData[MonthlyIncome],1356)&lt;=$B$4,"Medium Income","High Income"))</f>
        <v>High Income</v>
      </c>
      <c r="D1364">
        <f>IF(INDEX(tblCleanData[Attrition],1356)="Yes",1,0)</f>
        <v>0</v>
      </c>
      <c r="E1364">
        <f>IF(INDEX(tblCleanData[OverTime],1356)="Yes",1,0)</f>
        <v>0</v>
      </c>
      <c r="F1364" t="str">
        <f>CHOOSE(INDEX(tblCleanData[Education],1356),"Below College","College","Bachelor","Master","Doctor")</f>
        <v>College</v>
      </c>
      <c r="G1364" t="str">
        <f>IF(INDEX(tblCleanData[YearsAtCompany],1356)&lt;=2,"0-2 Years",IF(INDEX(tblCleanData[YearsAtCompany],1356)&lt;=5,"3-5 Years",IF(INDEX(tblCleanData[YearsAtCompany],1356)&lt;=10,"6-10 Years","10+ Years")))</f>
        <v>3-5 Years</v>
      </c>
      <c r="H1364" t="str">
        <f>IF(INDEX(tblCleanData[WorkLifeBalance],1356)&lt;=2,"Elevated","Normal")</f>
        <v>Elevated</v>
      </c>
      <c r="I1364">
        <f>IF(INDEX(tblCleanData[Age],1356)&lt;30,30,IF(INDEX(tblCleanData[Age],1356)&lt;40,20,IF(INDEX(tblCleanData[Age],1356)&lt;50,10,15)))</f>
        <v>20</v>
      </c>
      <c r="J1364">
        <f>IF(INDEX(tblCleanData[MonthlyIncome],1356)&lt;=$B$3,25,IF(INDEX(tblCleanData[MonthlyIncome],1356)&lt;=$B$4,12,5))</f>
        <v>5</v>
      </c>
      <c r="K1364">
        <f>IF(INDEX(tblCleanData[OverTime],1356)="Yes",25,0)</f>
        <v>0</v>
      </c>
      <c r="L1364">
        <f>(5-INDEX(tblCleanData[JobSatisfaction],1356))*6.25</f>
        <v>18.75</v>
      </c>
      <c r="M1364">
        <f>IF(INDEX(tblCleanData[YearsAtCompany],1356)&lt;=2,25,IF(INDEX(tblCleanData[YearsAtCompany],1356)&lt;=5,15,IF(INDEX(tblCleanData[YearsAtCompany],1356)&lt;=10,8,3)))</f>
        <v>15</v>
      </c>
      <c r="N1364">
        <f t="shared" si="42"/>
        <v>59</v>
      </c>
      <c r="O1364" t="str">
        <f t="shared" si="43"/>
        <v>High Risk</v>
      </c>
    </row>
    <row r="1365" spans="1:15" x14ac:dyDescent="0.25">
      <c r="A1365">
        <f>INDEX(tblCleanData[EmployeeNumber],1357)</f>
        <v>1909</v>
      </c>
      <c r="B1365" t="str">
        <f>IF(INDEX(tblCleanData[Age],1357)&lt;30,"Under 30",IF(INDEX(tblCleanData[Age],1357)&lt;40,"30-39",IF(INDEX(tblCleanData[Age],1357)&lt;50,"40-49","50+")))</f>
        <v>40-49</v>
      </c>
      <c r="C1365" t="str">
        <f>IF(INDEX(tblCleanData[MonthlyIncome],1357)&lt;=$B$3,"Low Income",IF(INDEX(tblCleanData[MonthlyIncome],1357)&lt;=$B$4,"Medium Income","High Income"))</f>
        <v>High Income</v>
      </c>
      <c r="D1365">
        <f>IF(INDEX(tblCleanData[Attrition],1357)="Yes",1,0)</f>
        <v>0</v>
      </c>
      <c r="E1365">
        <f>IF(INDEX(tblCleanData[OverTime],1357)="Yes",1,0)</f>
        <v>0</v>
      </c>
      <c r="F1365" t="str">
        <f>CHOOSE(INDEX(tblCleanData[Education],1357),"Below College","College","Bachelor","Master","Doctor")</f>
        <v>Bachelor</v>
      </c>
      <c r="G1365" t="str">
        <f>IF(INDEX(tblCleanData[YearsAtCompany],1357)&lt;=2,"0-2 Years",IF(INDEX(tblCleanData[YearsAtCompany],1357)&lt;=5,"3-5 Years",IF(INDEX(tblCleanData[YearsAtCompany],1357)&lt;=10,"6-10 Years","10+ Years")))</f>
        <v>3-5 Years</v>
      </c>
      <c r="H1365" t="str">
        <f>IF(INDEX(tblCleanData[WorkLifeBalance],1357)&lt;=2,"Elevated","Normal")</f>
        <v>Normal</v>
      </c>
      <c r="I1365">
        <f>IF(INDEX(tblCleanData[Age],1357)&lt;30,30,IF(INDEX(tblCleanData[Age],1357)&lt;40,20,IF(INDEX(tblCleanData[Age],1357)&lt;50,10,15)))</f>
        <v>10</v>
      </c>
      <c r="J1365">
        <f>IF(INDEX(tblCleanData[MonthlyIncome],1357)&lt;=$B$3,25,IF(INDEX(tblCleanData[MonthlyIncome],1357)&lt;=$B$4,12,5))</f>
        <v>5</v>
      </c>
      <c r="K1365">
        <f>IF(INDEX(tblCleanData[OverTime],1357)="Yes",25,0)</f>
        <v>0</v>
      </c>
      <c r="L1365">
        <f>(5-INDEX(tblCleanData[JobSatisfaction],1357))*6.25</f>
        <v>18.75</v>
      </c>
      <c r="M1365">
        <f>IF(INDEX(tblCleanData[YearsAtCompany],1357)&lt;=2,25,IF(INDEX(tblCleanData[YearsAtCompany],1357)&lt;=5,15,IF(INDEX(tblCleanData[YearsAtCompany],1357)&lt;=10,8,3)))</f>
        <v>15</v>
      </c>
      <c r="N1365">
        <f t="shared" si="42"/>
        <v>49</v>
      </c>
      <c r="O1365" t="str">
        <f t="shared" si="43"/>
        <v>Medium Risk</v>
      </c>
    </row>
    <row r="1366" spans="1:15" x14ac:dyDescent="0.25">
      <c r="A1366">
        <f>INDEX(tblCleanData[EmployeeNumber],1358)</f>
        <v>1911</v>
      </c>
      <c r="B1366" t="str">
        <f>IF(INDEX(tblCleanData[Age],1358)&lt;30,"Under 30",IF(INDEX(tblCleanData[Age],1358)&lt;40,"30-39",IF(INDEX(tblCleanData[Age],1358)&lt;50,"40-49","50+")))</f>
        <v>40-49</v>
      </c>
      <c r="C1366" t="str">
        <f>IF(INDEX(tblCleanData[MonthlyIncome],1358)&lt;=$B$3,"Low Income",IF(INDEX(tblCleanData[MonthlyIncome],1358)&lt;=$B$4,"Medium Income","High Income"))</f>
        <v>High Income</v>
      </c>
      <c r="D1366">
        <f>IF(INDEX(tblCleanData[Attrition],1358)="Yes",1,0)</f>
        <v>0</v>
      </c>
      <c r="E1366">
        <f>IF(INDEX(tblCleanData[OverTime],1358)="Yes",1,0)</f>
        <v>0</v>
      </c>
      <c r="F1366" t="str">
        <f>CHOOSE(INDEX(tblCleanData[Education],1358),"Below College","College","Bachelor","Master","Doctor")</f>
        <v>Bachelor</v>
      </c>
      <c r="G1366" t="str">
        <f>IF(INDEX(tblCleanData[YearsAtCompany],1358)&lt;=2,"0-2 Years",IF(INDEX(tblCleanData[YearsAtCompany],1358)&lt;=5,"3-5 Years",IF(INDEX(tblCleanData[YearsAtCompany],1358)&lt;=10,"6-10 Years","10+ Years")))</f>
        <v>10+ Years</v>
      </c>
      <c r="H1366" t="str">
        <f>IF(INDEX(tblCleanData[WorkLifeBalance],1358)&lt;=2,"Elevated","Normal")</f>
        <v>Normal</v>
      </c>
      <c r="I1366">
        <f>IF(INDEX(tblCleanData[Age],1358)&lt;30,30,IF(INDEX(tblCleanData[Age],1358)&lt;40,20,IF(INDEX(tblCleanData[Age],1358)&lt;50,10,15)))</f>
        <v>10</v>
      </c>
      <c r="J1366">
        <f>IF(INDEX(tblCleanData[MonthlyIncome],1358)&lt;=$B$3,25,IF(INDEX(tblCleanData[MonthlyIncome],1358)&lt;=$B$4,12,5))</f>
        <v>5</v>
      </c>
      <c r="K1366">
        <f>IF(INDEX(tblCleanData[OverTime],1358)="Yes",25,0)</f>
        <v>0</v>
      </c>
      <c r="L1366">
        <f>(5-INDEX(tblCleanData[JobSatisfaction],1358))*6.25</f>
        <v>25</v>
      </c>
      <c r="M1366">
        <f>IF(INDEX(tblCleanData[YearsAtCompany],1358)&lt;=2,25,IF(INDEX(tblCleanData[YearsAtCompany],1358)&lt;=5,15,IF(INDEX(tblCleanData[YearsAtCompany],1358)&lt;=10,8,3)))</f>
        <v>3</v>
      </c>
      <c r="N1366">
        <f t="shared" si="42"/>
        <v>43</v>
      </c>
      <c r="O1366" t="str">
        <f t="shared" si="43"/>
        <v>Medium Risk</v>
      </c>
    </row>
    <row r="1367" spans="1:15" x14ac:dyDescent="0.25">
      <c r="A1367">
        <f>INDEX(tblCleanData[EmployeeNumber],1359)</f>
        <v>1912</v>
      </c>
      <c r="B1367" t="str">
        <f>IF(INDEX(tblCleanData[Age],1359)&lt;30,"Under 30",IF(INDEX(tblCleanData[Age],1359)&lt;40,"30-39",IF(INDEX(tblCleanData[Age],1359)&lt;50,"40-49","50+")))</f>
        <v>30-39</v>
      </c>
      <c r="C1367" t="str">
        <f>IF(INDEX(tblCleanData[MonthlyIncome],1359)&lt;=$B$3,"Low Income",IF(INDEX(tblCleanData[MonthlyIncome],1359)&lt;=$B$4,"Medium Income","High Income"))</f>
        <v>High Income</v>
      </c>
      <c r="D1367">
        <f>IF(INDEX(tblCleanData[Attrition],1359)="Yes",1,0)</f>
        <v>0</v>
      </c>
      <c r="E1367">
        <f>IF(INDEX(tblCleanData[OverTime],1359)="Yes",1,0)</f>
        <v>1</v>
      </c>
      <c r="F1367" t="str">
        <f>CHOOSE(INDEX(tblCleanData[Education],1359),"Below College","College","Bachelor","Master","Doctor")</f>
        <v>College</v>
      </c>
      <c r="G1367" t="str">
        <f>IF(INDEX(tblCleanData[YearsAtCompany],1359)&lt;=2,"0-2 Years",IF(INDEX(tblCleanData[YearsAtCompany],1359)&lt;=5,"3-5 Years",IF(INDEX(tblCleanData[YearsAtCompany],1359)&lt;=10,"6-10 Years","10+ Years")))</f>
        <v>3-5 Years</v>
      </c>
      <c r="H1367" t="str">
        <f>IF(INDEX(tblCleanData[WorkLifeBalance],1359)&lt;=2,"Elevated","Normal")</f>
        <v>Normal</v>
      </c>
      <c r="I1367">
        <f>IF(INDEX(tblCleanData[Age],1359)&lt;30,30,IF(INDEX(tblCleanData[Age],1359)&lt;40,20,IF(INDEX(tblCleanData[Age],1359)&lt;50,10,15)))</f>
        <v>20</v>
      </c>
      <c r="J1367">
        <f>IF(INDEX(tblCleanData[MonthlyIncome],1359)&lt;=$B$3,25,IF(INDEX(tblCleanData[MonthlyIncome],1359)&lt;=$B$4,12,5))</f>
        <v>5</v>
      </c>
      <c r="K1367">
        <f>IF(INDEX(tblCleanData[OverTime],1359)="Yes",25,0)</f>
        <v>25</v>
      </c>
      <c r="L1367">
        <f>(5-INDEX(tblCleanData[JobSatisfaction],1359))*6.25</f>
        <v>6.25</v>
      </c>
      <c r="M1367">
        <f>IF(INDEX(tblCleanData[YearsAtCompany],1359)&lt;=2,25,IF(INDEX(tblCleanData[YearsAtCompany],1359)&lt;=5,15,IF(INDEX(tblCleanData[YearsAtCompany],1359)&lt;=10,8,3)))</f>
        <v>15</v>
      </c>
      <c r="N1367">
        <f t="shared" si="42"/>
        <v>71</v>
      </c>
      <c r="O1367" t="str">
        <f t="shared" si="43"/>
        <v>High Risk</v>
      </c>
    </row>
    <row r="1368" spans="1:15" x14ac:dyDescent="0.25">
      <c r="A1368">
        <f>INDEX(tblCleanData[EmployeeNumber],1360)</f>
        <v>1915</v>
      </c>
      <c r="B1368" t="str">
        <f>IF(INDEX(tblCleanData[Age],1360)&lt;30,"Under 30",IF(INDEX(tblCleanData[Age],1360)&lt;40,"30-39",IF(INDEX(tblCleanData[Age],1360)&lt;50,"40-49","50+")))</f>
        <v>30-39</v>
      </c>
      <c r="C1368" t="str">
        <f>IF(INDEX(tblCleanData[MonthlyIncome],1360)&lt;=$B$3,"Low Income",IF(INDEX(tblCleanData[MonthlyIncome],1360)&lt;=$B$4,"Medium Income","High Income"))</f>
        <v>High Income</v>
      </c>
      <c r="D1368">
        <f>IF(INDEX(tblCleanData[Attrition],1360)="Yes",1,0)</f>
        <v>0</v>
      </c>
      <c r="E1368">
        <f>IF(INDEX(tblCleanData[OverTime],1360)="Yes",1,0)</f>
        <v>1</v>
      </c>
      <c r="F1368" t="str">
        <f>CHOOSE(INDEX(tblCleanData[Education],1360),"Below College","College","Bachelor","Master","Doctor")</f>
        <v>Below College</v>
      </c>
      <c r="G1368" t="str">
        <f>IF(INDEX(tblCleanData[YearsAtCompany],1360)&lt;=2,"0-2 Years",IF(INDEX(tblCleanData[YearsAtCompany],1360)&lt;=5,"3-5 Years",IF(INDEX(tblCleanData[YearsAtCompany],1360)&lt;=10,"6-10 Years","10+ Years")))</f>
        <v>3-5 Years</v>
      </c>
      <c r="H1368" t="str">
        <f>IF(INDEX(tblCleanData[WorkLifeBalance],1360)&lt;=2,"Elevated","Normal")</f>
        <v>Elevated</v>
      </c>
      <c r="I1368">
        <f>IF(INDEX(tblCleanData[Age],1360)&lt;30,30,IF(INDEX(tblCleanData[Age],1360)&lt;40,20,IF(INDEX(tblCleanData[Age],1360)&lt;50,10,15)))</f>
        <v>20</v>
      </c>
      <c r="J1368">
        <f>IF(INDEX(tblCleanData[MonthlyIncome],1360)&lt;=$B$3,25,IF(INDEX(tblCleanData[MonthlyIncome],1360)&lt;=$B$4,12,5))</f>
        <v>5</v>
      </c>
      <c r="K1368">
        <f>IF(INDEX(tblCleanData[OverTime],1360)="Yes",25,0)</f>
        <v>25</v>
      </c>
      <c r="L1368">
        <f>(5-INDEX(tblCleanData[JobSatisfaction],1360))*6.25</f>
        <v>6.25</v>
      </c>
      <c r="M1368">
        <f>IF(INDEX(tblCleanData[YearsAtCompany],1360)&lt;=2,25,IF(INDEX(tblCleanData[YearsAtCompany],1360)&lt;=5,15,IF(INDEX(tblCleanData[YearsAtCompany],1360)&lt;=10,8,3)))</f>
        <v>15</v>
      </c>
      <c r="N1368">
        <f t="shared" si="42"/>
        <v>71</v>
      </c>
      <c r="O1368" t="str">
        <f t="shared" si="43"/>
        <v>High Risk</v>
      </c>
    </row>
    <row r="1369" spans="1:15" x14ac:dyDescent="0.25">
      <c r="A1369">
        <f>INDEX(tblCleanData[EmployeeNumber],1361)</f>
        <v>1916</v>
      </c>
      <c r="B1369" t="str">
        <f>IF(INDEX(tblCleanData[Age],1361)&lt;30,"Under 30",IF(INDEX(tblCleanData[Age],1361)&lt;40,"30-39",IF(INDEX(tblCleanData[Age],1361)&lt;50,"40-49","50+")))</f>
        <v>30-39</v>
      </c>
      <c r="C1369" t="str">
        <f>IF(INDEX(tblCleanData[MonthlyIncome],1361)&lt;=$B$3,"Low Income",IF(INDEX(tblCleanData[MonthlyIncome],1361)&lt;=$B$4,"Medium Income","High Income"))</f>
        <v>High Income</v>
      </c>
      <c r="D1369">
        <f>IF(INDEX(tblCleanData[Attrition],1361)="Yes",1,0)</f>
        <v>0</v>
      </c>
      <c r="E1369">
        <f>IF(INDEX(tblCleanData[OverTime],1361)="Yes",1,0)</f>
        <v>0</v>
      </c>
      <c r="F1369" t="str">
        <f>CHOOSE(INDEX(tblCleanData[Education],1361),"Below College","College","Bachelor","Master","Doctor")</f>
        <v>Bachelor</v>
      </c>
      <c r="G1369" t="str">
        <f>IF(INDEX(tblCleanData[YearsAtCompany],1361)&lt;=2,"0-2 Years",IF(INDEX(tblCleanData[YearsAtCompany],1361)&lt;=5,"3-5 Years",IF(INDEX(tblCleanData[YearsAtCompany],1361)&lt;=10,"6-10 Years","10+ Years")))</f>
        <v>0-2 Years</v>
      </c>
      <c r="H1369" t="str">
        <f>IF(INDEX(tblCleanData[WorkLifeBalance],1361)&lt;=2,"Elevated","Normal")</f>
        <v>Elevated</v>
      </c>
      <c r="I1369">
        <f>IF(INDEX(tblCleanData[Age],1361)&lt;30,30,IF(INDEX(tblCleanData[Age],1361)&lt;40,20,IF(INDEX(tblCleanData[Age],1361)&lt;50,10,15)))</f>
        <v>20</v>
      </c>
      <c r="J1369">
        <f>IF(INDEX(tblCleanData[MonthlyIncome],1361)&lt;=$B$3,25,IF(INDEX(tblCleanData[MonthlyIncome],1361)&lt;=$B$4,12,5))</f>
        <v>5</v>
      </c>
      <c r="K1369">
        <f>IF(INDEX(tblCleanData[OverTime],1361)="Yes",25,0)</f>
        <v>0</v>
      </c>
      <c r="L1369">
        <f>(5-INDEX(tblCleanData[JobSatisfaction],1361))*6.25</f>
        <v>12.5</v>
      </c>
      <c r="M1369">
        <f>IF(INDEX(tblCleanData[YearsAtCompany],1361)&lt;=2,25,IF(INDEX(tblCleanData[YearsAtCompany],1361)&lt;=5,15,IF(INDEX(tblCleanData[YearsAtCompany],1361)&lt;=10,8,3)))</f>
        <v>25</v>
      </c>
      <c r="N1369">
        <f t="shared" si="42"/>
        <v>63</v>
      </c>
      <c r="O1369" t="str">
        <f t="shared" si="43"/>
        <v>High Risk</v>
      </c>
    </row>
    <row r="1370" spans="1:15" x14ac:dyDescent="0.25">
      <c r="A1370">
        <f>INDEX(tblCleanData[EmployeeNumber],1362)</f>
        <v>1918</v>
      </c>
      <c r="B1370" t="str">
        <f>IF(INDEX(tblCleanData[Age],1362)&lt;30,"Under 30",IF(INDEX(tblCleanData[Age],1362)&lt;40,"30-39",IF(INDEX(tblCleanData[Age],1362)&lt;50,"40-49","50+")))</f>
        <v>Under 30</v>
      </c>
      <c r="C1370" t="str">
        <f>IF(INDEX(tblCleanData[MonthlyIncome],1362)&lt;=$B$3,"Low Income",IF(INDEX(tblCleanData[MonthlyIncome],1362)&lt;=$B$4,"Medium Income","High Income"))</f>
        <v>High Income</v>
      </c>
      <c r="D1370">
        <f>IF(INDEX(tblCleanData[Attrition],1362)="Yes",1,0)</f>
        <v>0</v>
      </c>
      <c r="E1370">
        <f>IF(INDEX(tblCleanData[OverTime],1362)="Yes",1,0)</f>
        <v>0</v>
      </c>
      <c r="F1370" t="str">
        <f>CHOOSE(INDEX(tblCleanData[Education],1362),"Below College","College","Bachelor","Master","Doctor")</f>
        <v>Bachelor</v>
      </c>
      <c r="G1370" t="str">
        <f>IF(INDEX(tblCleanData[YearsAtCompany],1362)&lt;=2,"0-2 Years",IF(INDEX(tblCleanData[YearsAtCompany],1362)&lt;=5,"3-5 Years",IF(INDEX(tblCleanData[YearsAtCompany],1362)&lt;=10,"6-10 Years","10+ Years")))</f>
        <v>6-10 Years</v>
      </c>
      <c r="H1370" t="str">
        <f>IF(INDEX(tblCleanData[WorkLifeBalance],1362)&lt;=2,"Elevated","Normal")</f>
        <v>Normal</v>
      </c>
      <c r="I1370">
        <f>IF(INDEX(tblCleanData[Age],1362)&lt;30,30,IF(INDEX(tblCleanData[Age],1362)&lt;40,20,IF(INDEX(tblCleanData[Age],1362)&lt;50,10,15)))</f>
        <v>30</v>
      </c>
      <c r="J1370">
        <f>IF(INDEX(tblCleanData[MonthlyIncome],1362)&lt;=$B$3,25,IF(INDEX(tblCleanData[MonthlyIncome],1362)&lt;=$B$4,12,5))</f>
        <v>5</v>
      </c>
      <c r="K1370">
        <f>IF(INDEX(tblCleanData[OverTime],1362)="Yes",25,0)</f>
        <v>0</v>
      </c>
      <c r="L1370">
        <f>(5-INDEX(tblCleanData[JobSatisfaction],1362))*6.25</f>
        <v>6.25</v>
      </c>
      <c r="M1370">
        <f>IF(INDEX(tblCleanData[YearsAtCompany],1362)&lt;=2,25,IF(INDEX(tblCleanData[YearsAtCompany],1362)&lt;=5,15,IF(INDEX(tblCleanData[YearsAtCompany],1362)&lt;=10,8,3)))</f>
        <v>8</v>
      </c>
      <c r="N1370">
        <f t="shared" si="42"/>
        <v>49</v>
      </c>
      <c r="O1370" t="str">
        <f t="shared" si="43"/>
        <v>Medium Risk</v>
      </c>
    </row>
    <row r="1371" spans="1:15" x14ac:dyDescent="0.25">
      <c r="A1371">
        <f>INDEX(tblCleanData[EmployeeNumber],1363)</f>
        <v>1922</v>
      </c>
      <c r="B1371" t="str">
        <f>IF(INDEX(tblCleanData[Age],1363)&lt;30,"Under 30",IF(INDEX(tblCleanData[Age],1363)&lt;40,"30-39",IF(INDEX(tblCleanData[Age],1363)&lt;50,"40-49","50+")))</f>
        <v>40-49</v>
      </c>
      <c r="C1371" t="str">
        <f>IF(INDEX(tblCleanData[MonthlyIncome],1363)&lt;=$B$3,"Low Income",IF(INDEX(tblCleanData[MonthlyIncome],1363)&lt;=$B$4,"Medium Income","High Income"))</f>
        <v>High Income</v>
      </c>
      <c r="D1371">
        <f>IF(INDEX(tblCleanData[Attrition],1363)="Yes",1,0)</f>
        <v>0</v>
      </c>
      <c r="E1371">
        <f>IF(INDEX(tblCleanData[OverTime],1363)="Yes",1,0)</f>
        <v>0</v>
      </c>
      <c r="F1371" t="str">
        <f>CHOOSE(INDEX(tblCleanData[Education],1363),"Below College","College","Bachelor","Master","Doctor")</f>
        <v>Master</v>
      </c>
      <c r="G1371" t="str">
        <f>IF(INDEX(tblCleanData[YearsAtCompany],1363)&lt;=2,"0-2 Years",IF(INDEX(tblCleanData[YearsAtCompany],1363)&lt;=5,"3-5 Years",IF(INDEX(tblCleanData[YearsAtCompany],1363)&lt;=10,"6-10 Years","10+ Years")))</f>
        <v>3-5 Years</v>
      </c>
      <c r="H1371" t="str">
        <f>IF(INDEX(tblCleanData[WorkLifeBalance],1363)&lt;=2,"Elevated","Normal")</f>
        <v>Normal</v>
      </c>
      <c r="I1371">
        <f>IF(INDEX(tblCleanData[Age],1363)&lt;30,30,IF(INDEX(tblCleanData[Age],1363)&lt;40,20,IF(INDEX(tblCleanData[Age],1363)&lt;50,10,15)))</f>
        <v>10</v>
      </c>
      <c r="J1371">
        <f>IF(INDEX(tblCleanData[MonthlyIncome],1363)&lt;=$B$3,25,IF(INDEX(tblCleanData[MonthlyIncome],1363)&lt;=$B$4,12,5))</f>
        <v>5</v>
      </c>
      <c r="K1371">
        <f>IF(INDEX(tblCleanData[OverTime],1363)="Yes",25,0)</f>
        <v>0</v>
      </c>
      <c r="L1371">
        <f>(5-INDEX(tblCleanData[JobSatisfaction],1363))*6.25</f>
        <v>12.5</v>
      </c>
      <c r="M1371">
        <f>IF(INDEX(tblCleanData[YearsAtCompany],1363)&lt;=2,25,IF(INDEX(tblCleanData[YearsAtCompany],1363)&lt;=5,15,IF(INDEX(tblCleanData[YearsAtCompany],1363)&lt;=10,8,3)))</f>
        <v>15</v>
      </c>
      <c r="N1371">
        <f t="shared" si="42"/>
        <v>43</v>
      </c>
      <c r="O1371" t="str">
        <f t="shared" si="43"/>
        <v>Medium Risk</v>
      </c>
    </row>
    <row r="1372" spans="1:15" x14ac:dyDescent="0.25">
      <c r="A1372">
        <f>INDEX(tblCleanData[EmployeeNumber],1364)</f>
        <v>1924</v>
      </c>
      <c r="B1372" t="str">
        <f>IF(INDEX(tblCleanData[Age],1364)&lt;30,"Under 30",IF(INDEX(tblCleanData[Age],1364)&lt;40,"30-39",IF(INDEX(tblCleanData[Age],1364)&lt;50,"40-49","50+")))</f>
        <v>30-39</v>
      </c>
      <c r="C1372" t="str">
        <f>IF(INDEX(tblCleanData[MonthlyIncome],1364)&lt;=$B$3,"Low Income",IF(INDEX(tblCleanData[MonthlyIncome],1364)&lt;=$B$4,"Medium Income","High Income"))</f>
        <v>High Income</v>
      </c>
      <c r="D1372">
        <f>IF(INDEX(tblCleanData[Attrition],1364)="Yes",1,0)</f>
        <v>0</v>
      </c>
      <c r="E1372">
        <f>IF(INDEX(tblCleanData[OverTime],1364)="Yes",1,0)</f>
        <v>0</v>
      </c>
      <c r="F1372" t="str">
        <f>CHOOSE(INDEX(tblCleanData[Education],1364),"Below College","College","Bachelor","Master","Doctor")</f>
        <v>Master</v>
      </c>
      <c r="G1372" t="str">
        <f>IF(INDEX(tblCleanData[YearsAtCompany],1364)&lt;=2,"0-2 Years",IF(INDEX(tblCleanData[YearsAtCompany],1364)&lt;=5,"3-5 Years",IF(INDEX(tblCleanData[YearsAtCompany],1364)&lt;=10,"6-10 Years","10+ Years")))</f>
        <v>6-10 Years</v>
      </c>
      <c r="H1372" t="str">
        <f>IF(INDEX(tblCleanData[WorkLifeBalance],1364)&lt;=2,"Elevated","Normal")</f>
        <v>Elevated</v>
      </c>
      <c r="I1372">
        <f>IF(INDEX(tblCleanData[Age],1364)&lt;30,30,IF(INDEX(tblCleanData[Age],1364)&lt;40,20,IF(INDEX(tblCleanData[Age],1364)&lt;50,10,15)))</f>
        <v>20</v>
      </c>
      <c r="J1372">
        <f>IF(INDEX(tblCleanData[MonthlyIncome],1364)&lt;=$B$3,25,IF(INDEX(tblCleanData[MonthlyIncome],1364)&lt;=$B$4,12,5))</f>
        <v>5</v>
      </c>
      <c r="K1372">
        <f>IF(INDEX(tblCleanData[OverTime],1364)="Yes",25,0)</f>
        <v>0</v>
      </c>
      <c r="L1372">
        <f>(5-INDEX(tblCleanData[JobSatisfaction],1364))*6.25</f>
        <v>12.5</v>
      </c>
      <c r="M1372">
        <f>IF(INDEX(tblCleanData[YearsAtCompany],1364)&lt;=2,25,IF(INDEX(tblCleanData[YearsAtCompany],1364)&lt;=5,15,IF(INDEX(tblCleanData[YearsAtCompany],1364)&lt;=10,8,3)))</f>
        <v>8</v>
      </c>
      <c r="N1372">
        <f t="shared" si="42"/>
        <v>46</v>
      </c>
      <c r="O1372" t="str">
        <f t="shared" si="43"/>
        <v>Medium Risk</v>
      </c>
    </row>
    <row r="1373" spans="1:15" x14ac:dyDescent="0.25">
      <c r="A1373">
        <f>INDEX(tblCleanData[EmployeeNumber],1365)</f>
        <v>1927</v>
      </c>
      <c r="B1373" t="str">
        <f>IF(INDEX(tblCleanData[Age],1365)&lt;30,"Under 30",IF(INDEX(tblCleanData[Age],1365)&lt;40,"30-39",IF(INDEX(tblCleanData[Age],1365)&lt;50,"40-49","50+")))</f>
        <v>Under 30</v>
      </c>
      <c r="C1373" t="str">
        <f>IF(INDEX(tblCleanData[MonthlyIncome],1365)&lt;=$B$3,"Low Income",IF(INDEX(tblCleanData[MonthlyIncome],1365)&lt;=$B$4,"Medium Income","High Income"))</f>
        <v>High Income</v>
      </c>
      <c r="D1373">
        <f>IF(INDEX(tblCleanData[Attrition],1365)="Yes",1,0)</f>
        <v>0</v>
      </c>
      <c r="E1373">
        <f>IF(INDEX(tblCleanData[OverTime],1365)="Yes",1,0)</f>
        <v>1</v>
      </c>
      <c r="F1373" t="str">
        <f>CHOOSE(INDEX(tblCleanData[Education],1365),"Below College","College","Bachelor","Master","Doctor")</f>
        <v>College</v>
      </c>
      <c r="G1373" t="str">
        <f>IF(INDEX(tblCleanData[YearsAtCompany],1365)&lt;=2,"0-2 Years",IF(INDEX(tblCleanData[YearsAtCompany],1365)&lt;=5,"3-5 Years",IF(INDEX(tblCleanData[YearsAtCompany],1365)&lt;=10,"6-10 Years","10+ Years")))</f>
        <v>6-10 Years</v>
      </c>
      <c r="H1373" t="str">
        <f>IF(INDEX(tblCleanData[WorkLifeBalance],1365)&lt;=2,"Elevated","Normal")</f>
        <v>Normal</v>
      </c>
      <c r="I1373">
        <f>IF(INDEX(tblCleanData[Age],1365)&lt;30,30,IF(INDEX(tblCleanData[Age],1365)&lt;40,20,IF(INDEX(tblCleanData[Age],1365)&lt;50,10,15)))</f>
        <v>30</v>
      </c>
      <c r="J1373">
        <f>IF(INDEX(tblCleanData[MonthlyIncome],1365)&lt;=$B$3,25,IF(INDEX(tblCleanData[MonthlyIncome],1365)&lt;=$B$4,12,5))</f>
        <v>5</v>
      </c>
      <c r="K1373">
        <f>IF(INDEX(tblCleanData[OverTime],1365)="Yes",25,0)</f>
        <v>25</v>
      </c>
      <c r="L1373">
        <f>(5-INDEX(tblCleanData[JobSatisfaction],1365))*6.25</f>
        <v>6.25</v>
      </c>
      <c r="M1373">
        <f>IF(INDEX(tblCleanData[YearsAtCompany],1365)&lt;=2,25,IF(INDEX(tblCleanData[YearsAtCompany],1365)&lt;=5,15,IF(INDEX(tblCleanData[YearsAtCompany],1365)&lt;=10,8,3)))</f>
        <v>8</v>
      </c>
      <c r="N1373">
        <f t="shared" si="42"/>
        <v>74</v>
      </c>
      <c r="O1373" t="str">
        <f t="shared" si="43"/>
        <v>High Risk</v>
      </c>
    </row>
    <row r="1374" spans="1:15" x14ac:dyDescent="0.25">
      <c r="A1374">
        <f>INDEX(tblCleanData[EmployeeNumber],1366)</f>
        <v>1928</v>
      </c>
      <c r="B1374" t="str">
        <f>IF(INDEX(tblCleanData[Age],1366)&lt;30,"Under 30",IF(INDEX(tblCleanData[Age],1366)&lt;40,"30-39",IF(INDEX(tblCleanData[Age],1366)&lt;50,"40-49","50+")))</f>
        <v>Under 30</v>
      </c>
      <c r="C1374" t="str">
        <f>IF(INDEX(tblCleanData[MonthlyIncome],1366)&lt;=$B$3,"Low Income",IF(INDEX(tblCleanData[MonthlyIncome],1366)&lt;=$B$4,"Medium Income","High Income"))</f>
        <v>High Income</v>
      </c>
      <c r="D1374">
        <f>IF(INDEX(tblCleanData[Attrition],1366)="Yes",1,0)</f>
        <v>1</v>
      </c>
      <c r="E1374">
        <f>IF(INDEX(tblCleanData[OverTime],1366)="Yes",1,0)</f>
        <v>0</v>
      </c>
      <c r="F1374" t="str">
        <f>CHOOSE(INDEX(tblCleanData[Education],1366),"Below College","College","Bachelor","Master","Doctor")</f>
        <v>Bachelor</v>
      </c>
      <c r="G1374" t="str">
        <f>IF(INDEX(tblCleanData[YearsAtCompany],1366)&lt;=2,"0-2 Years",IF(INDEX(tblCleanData[YearsAtCompany],1366)&lt;=5,"3-5 Years",IF(INDEX(tblCleanData[YearsAtCompany],1366)&lt;=10,"6-10 Years","10+ Years")))</f>
        <v>0-2 Years</v>
      </c>
      <c r="H1374" t="str">
        <f>IF(INDEX(tblCleanData[WorkLifeBalance],1366)&lt;=2,"Elevated","Normal")</f>
        <v>Normal</v>
      </c>
      <c r="I1374">
        <f>IF(INDEX(tblCleanData[Age],1366)&lt;30,30,IF(INDEX(tblCleanData[Age],1366)&lt;40,20,IF(INDEX(tblCleanData[Age],1366)&lt;50,10,15)))</f>
        <v>30</v>
      </c>
      <c r="J1374">
        <f>IF(INDEX(tblCleanData[MonthlyIncome],1366)&lt;=$B$3,25,IF(INDEX(tblCleanData[MonthlyIncome],1366)&lt;=$B$4,12,5))</f>
        <v>5</v>
      </c>
      <c r="K1374">
        <f>IF(INDEX(tblCleanData[OverTime],1366)="Yes",25,0)</f>
        <v>0</v>
      </c>
      <c r="L1374">
        <f>(5-INDEX(tblCleanData[JobSatisfaction],1366))*6.25</f>
        <v>25</v>
      </c>
      <c r="M1374">
        <f>IF(INDEX(tblCleanData[YearsAtCompany],1366)&lt;=2,25,IF(INDEX(tblCleanData[YearsAtCompany],1366)&lt;=5,15,IF(INDEX(tblCleanData[YearsAtCompany],1366)&lt;=10,8,3)))</f>
        <v>25</v>
      </c>
      <c r="N1374">
        <f t="shared" si="42"/>
        <v>85</v>
      </c>
      <c r="O1374" t="str">
        <f t="shared" si="43"/>
        <v>High Risk</v>
      </c>
    </row>
    <row r="1375" spans="1:15" x14ac:dyDescent="0.25">
      <c r="A1375">
        <f>INDEX(tblCleanData[EmployeeNumber],1367)</f>
        <v>1929</v>
      </c>
      <c r="B1375" t="str">
        <f>IF(INDEX(tblCleanData[Age],1367)&lt;30,"Under 30",IF(INDEX(tblCleanData[Age],1367)&lt;40,"30-39",IF(INDEX(tblCleanData[Age],1367)&lt;50,"40-49","50+")))</f>
        <v>30-39</v>
      </c>
      <c r="C1375" t="str">
        <f>IF(INDEX(tblCleanData[MonthlyIncome],1367)&lt;=$B$3,"Low Income",IF(INDEX(tblCleanData[MonthlyIncome],1367)&lt;=$B$4,"Medium Income","High Income"))</f>
        <v>High Income</v>
      </c>
      <c r="D1375">
        <f>IF(INDEX(tblCleanData[Attrition],1367)="Yes",1,0)</f>
        <v>0</v>
      </c>
      <c r="E1375">
        <f>IF(INDEX(tblCleanData[OverTime],1367)="Yes",1,0)</f>
        <v>0</v>
      </c>
      <c r="F1375" t="str">
        <f>CHOOSE(INDEX(tblCleanData[Education],1367),"Below College","College","Bachelor","Master","Doctor")</f>
        <v>Master</v>
      </c>
      <c r="G1375" t="str">
        <f>IF(INDEX(tblCleanData[YearsAtCompany],1367)&lt;=2,"0-2 Years",IF(INDEX(tblCleanData[YearsAtCompany],1367)&lt;=5,"3-5 Years",IF(INDEX(tblCleanData[YearsAtCompany],1367)&lt;=10,"6-10 Years","10+ Years")))</f>
        <v>3-5 Years</v>
      </c>
      <c r="H1375" t="str">
        <f>IF(INDEX(tblCleanData[WorkLifeBalance],1367)&lt;=2,"Elevated","Normal")</f>
        <v>Normal</v>
      </c>
      <c r="I1375">
        <f>IF(INDEX(tblCleanData[Age],1367)&lt;30,30,IF(INDEX(tblCleanData[Age],1367)&lt;40,20,IF(INDEX(tblCleanData[Age],1367)&lt;50,10,15)))</f>
        <v>20</v>
      </c>
      <c r="J1375">
        <f>IF(INDEX(tblCleanData[MonthlyIncome],1367)&lt;=$B$3,25,IF(INDEX(tblCleanData[MonthlyIncome],1367)&lt;=$B$4,12,5))</f>
        <v>5</v>
      </c>
      <c r="K1375">
        <f>IF(INDEX(tblCleanData[OverTime],1367)="Yes",25,0)</f>
        <v>0</v>
      </c>
      <c r="L1375">
        <f>(5-INDEX(tblCleanData[JobSatisfaction],1367))*6.25</f>
        <v>12.5</v>
      </c>
      <c r="M1375">
        <f>IF(INDEX(tblCleanData[YearsAtCompany],1367)&lt;=2,25,IF(INDEX(tblCleanData[YearsAtCompany],1367)&lt;=5,15,IF(INDEX(tblCleanData[YearsAtCompany],1367)&lt;=10,8,3)))</f>
        <v>15</v>
      </c>
      <c r="N1375">
        <f t="shared" si="42"/>
        <v>53</v>
      </c>
      <c r="O1375" t="str">
        <f t="shared" si="43"/>
        <v>Medium Risk</v>
      </c>
    </row>
    <row r="1376" spans="1:15" x14ac:dyDescent="0.25">
      <c r="A1376">
        <f>INDEX(tblCleanData[EmployeeNumber],1368)</f>
        <v>1931</v>
      </c>
      <c r="B1376" t="str">
        <f>IF(INDEX(tblCleanData[Age],1368)&lt;30,"Under 30",IF(INDEX(tblCleanData[Age],1368)&lt;40,"30-39",IF(INDEX(tblCleanData[Age],1368)&lt;50,"40-49","50+")))</f>
        <v>Under 30</v>
      </c>
      <c r="C1376" t="str">
        <f>IF(INDEX(tblCleanData[MonthlyIncome],1368)&lt;=$B$3,"Low Income",IF(INDEX(tblCleanData[MonthlyIncome],1368)&lt;=$B$4,"Medium Income","High Income"))</f>
        <v>High Income</v>
      </c>
      <c r="D1376">
        <f>IF(INDEX(tblCleanData[Attrition],1368)="Yes",1,0)</f>
        <v>0</v>
      </c>
      <c r="E1376">
        <f>IF(INDEX(tblCleanData[OverTime],1368)="Yes",1,0)</f>
        <v>0</v>
      </c>
      <c r="F1376" t="str">
        <f>CHOOSE(INDEX(tblCleanData[Education],1368),"Below College","College","Bachelor","Master","Doctor")</f>
        <v>Master</v>
      </c>
      <c r="G1376" t="str">
        <f>IF(INDEX(tblCleanData[YearsAtCompany],1368)&lt;=2,"0-2 Years",IF(INDEX(tblCleanData[YearsAtCompany],1368)&lt;=5,"3-5 Years",IF(INDEX(tblCleanData[YearsAtCompany],1368)&lt;=10,"6-10 Years","10+ Years")))</f>
        <v>3-5 Years</v>
      </c>
      <c r="H1376" t="str">
        <f>IF(INDEX(tblCleanData[WorkLifeBalance],1368)&lt;=2,"Elevated","Normal")</f>
        <v>Elevated</v>
      </c>
      <c r="I1376">
        <f>IF(INDEX(tblCleanData[Age],1368)&lt;30,30,IF(INDEX(tblCleanData[Age],1368)&lt;40,20,IF(INDEX(tblCleanData[Age],1368)&lt;50,10,15)))</f>
        <v>30</v>
      </c>
      <c r="J1376">
        <f>IF(INDEX(tblCleanData[MonthlyIncome],1368)&lt;=$B$3,25,IF(INDEX(tblCleanData[MonthlyIncome],1368)&lt;=$B$4,12,5))</f>
        <v>5</v>
      </c>
      <c r="K1376">
        <f>IF(INDEX(tblCleanData[OverTime],1368)="Yes",25,0)</f>
        <v>0</v>
      </c>
      <c r="L1376">
        <f>(5-INDEX(tblCleanData[JobSatisfaction],1368))*6.25</f>
        <v>18.75</v>
      </c>
      <c r="M1376">
        <f>IF(INDEX(tblCleanData[YearsAtCompany],1368)&lt;=2,25,IF(INDEX(tblCleanData[YearsAtCompany],1368)&lt;=5,15,IF(INDEX(tblCleanData[YearsAtCompany],1368)&lt;=10,8,3)))</f>
        <v>15</v>
      </c>
      <c r="N1376">
        <f t="shared" si="42"/>
        <v>69</v>
      </c>
      <c r="O1376" t="str">
        <f t="shared" si="43"/>
        <v>High Risk</v>
      </c>
    </row>
    <row r="1377" spans="1:15" x14ac:dyDescent="0.25">
      <c r="A1377">
        <f>INDEX(tblCleanData[EmployeeNumber],1369)</f>
        <v>1932</v>
      </c>
      <c r="B1377" t="str">
        <f>IF(INDEX(tblCleanData[Age],1369)&lt;30,"Under 30",IF(INDEX(tblCleanData[Age],1369)&lt;40,"30-39",IF(INDEX(tblCleanData[Age],1369)&lt;50,"40-49","50+")))</f>
        <v>30-39</v>
      </c>
      <c r="C1377" t="str">
        <f>IF(INDEX(tblCleanData[MonthlyIncome],1369)&lt;=$B$3,"Low Income",IF(INDEX(tblCleanData[MonthlyIncome],1369)&lt;=$B$4,"Medium Income","High Income"))</f>
        <v>High Income</v>
      </c>
      <c r="D1377">
        <f>IF(INDEX(tblCleanData[Attrition],1369)="Yes",1,0)</f>
        <v>0</v>
      </c>
      <c r="E1377">
        <f>IF(INDEX(tblCleanData[OverTime],1369)="Yes",1,0)</f>
        <v>1</v>
      </c>
      <c r="F1377" t="str">
        <f>CHOOSE(INDEX(tblCleanData[Education],1369),"Below College","College","Bachelor","Master","Doctor")</f>
        <v>Master</v>
      </c>
      <c r="G1377" t="str">
        <f>IF(INDEX(tblCleanData[YearsAtCompany],1369)&lt;=2,"0-2 Years",IF(INDEX(tblCleanData[YearsAtCompany],1369)&lt;=5,"3-5 Years",IF(INDEX(tblCleanData[YearsAtCompany],1369)&lt;=10,"6-10 Years","10+ Years")))</f>
        <v>10+ Years</v>
      </c>
      <c r="H1377" t="str">
        <f>IF(INDEX(tblCleanData[WorkLifeBalance],1369)&lt;=2,"Elevated","Normal")</f>
        <v>Normal</v>
      </c>
      <c r="I1377">
        <f>IF(INDEX(tblCleanData[Age],1369)&lt;30,30,IF(INDEX(tblCleanData[Age],1369)&lt;40,20,IF(INDEX(tblCleanData[Age],1369)&lt;50,10,15)))</f>
        <v>20</v>
      </c>
      <c r="J1377">
        <f>IF(INDEX(tblCleanData[MonthlyIncome],1369)&lt;=$B$3,25,IF(INDEX(tblCleanData[MonthlyIncome],1369)&lt;=$B$4,12,5))</f>
        <v>5</v>
      </c>
      <c r="K1377">
        <f>IF(INDEX(tblCleanData[OverTime],1369)="Yes",25,0)</f>
        <v>25</v>
      </c>
      <c r="L1377">
        <f>(5-INDEX(tblCleanData[JobSatisfaction],1369))*6.25</f>
        <v>6.25</v>
      </c>
      <c r="M1377">
        <f>IF(INDEX(tblCleanData[YearsAtCompany],1369)&lt;=2,25,IF(INDEX(tblCleanData[YearsAtCompany],1369)&lt;=5,15,IF(INDEX(tblCleanData[YearsAtCompany],1369)&lt;=10,8,3)))</f>
        <v>3</v>
      </c>
      <c r="N1377">
        <f t="shared" si="42"/>
        <v>59</v>
      </c>
      <c r="O1377" t="str">
        <f t="shared" si="43"/>
        <v>High Risk</v>
      </c>
    </row>
    <row r="1378" spans="1:15" x14ac:dyDescent="0.25">
      <c r="A1378">
        <f>INDEX(tblCleanData[EmployeeNumber],1370)</f>
        <v>1933</v>
      </c>
      <c r="B1378" t="str">
        <f>IF(INDEX(tblCleanData[Age],1370)&lt;30,"Under 30",IF(INDEX(tblCleanData[Age],1370)&lt;40,"30-39",IF(INDEX(tblCleanData[Age],1370)&lt;50,"40-49","50+")))</f>
        <v>Under 30</v>
      </c>
      <c r="C1378" t="str">
        <f>IF(INDEX(tblCleanData[MonthlyIncome],1370)&lt;=$B$3,"Low Income",IF(INDEX(tblCleanData[MonthlyIncome],1370)&lt;=$B$4,"Medium Income","High Income"))</f>
        <v>High Income</v>
      </c>
      <c r="D1378">
        <f>IF(INDEX(tblCleanData[Attrition],1370)="Yes",1,0)</f>
        <v>1</v>
      </c>
      <c r="E1378">
        <f>IF(INDEX(tblCleanData[OverTime],1370)="Yes",1,0)</f>
        <v>1</v>
      </c>
      <c r="F1378" t="str">
        <f>CHOOSE(INDEX(tblCleanData[Education],1370),"Below College","College","Bachelor","Master","Doctor")</f>
        <v>College</v>
      </c>
      <c r="G1378" t="str">
        <f>IF(INDEX(tblCleanData[YearsAtCompany],1370)&lt;=2,"0-2 Years",IF(INDEX(tblCleanData[YearsAtCompany],1370)&lt;=5,"3-5 Years",IF(INDEX(tblCleanData[YearsAtCompany],1370)&lt;=10,"6-10 Years","10+ Years")))</f>
        <v>0-2 Years</v>
      </c>
      <c r="H1378" t="str">
        <f>IF(INDEX(tblCleanData[WorkLifeBalance],1370)&lt;=2,"Elevated","Normal")</f>
        <v>Normal</v>
      </c>
      <c r="I1378">
        <f>IF(INDEX(tblCleanData[Age],1370)&lt;30,30,IF(INDEX(tblCleanData[Age],1370)&lt;40,20,IF(INDEX(tblCleanData[Age],1370)&lt;50,10,15)))</f>
        <v>30</v>
      </c>
      <c r="J1378">
        <f>IF(INDEX(tblCleanData[MonthlyIncome],1370)&lt;=$B$3,25,IF(INDEX(tblCleanData[MonthlyIncome],1370)&lt;=$B$4,12,5))</f>
        <v>5</v>
      </c>
      <c r="K1378">
        <f>IF(INDEX(tblCleanData[OverTime],1370)="Yes",25,0)</f>
        <v>25</v>
      </c>
      <c r="L1378">
        <f>(5-INDEX(tblCleanData[JobSatisfaction],1370))*6.25</f>
        <v>12.5</v>
      </c>
      <c r="M1378">
        <f>IF(INDEX(tblCleanData[YearsAtCompany],1370)&lt;=2,25,IF(INDEX(tblCleanData[YearsAtCompany],1370)&lt;=5,15,IF(INDEX(tblCleanData[YearsAtCompany],1370)&lt;=10,8,3)))</f>
        <v>25</v>
      </c>
      <c r="N1378">
        <f t="shared" si="42"/>
        <v>98</v>
      </c>
      <c r="O1378" t="str">
        <f t="shared" si="43"/>
        <v>High Risk</v>
      </c>
    </row>
    <row r="1379" spans="1:15" x14ac:dyDescent="0.25">
      <c r="A1379">
        <f>INDEX(tblCleanData[EmployeeNumber],1371)</f>
        <v>1934</v>
      </c>
      <c r="B1379" t="str">
        <f>IF(INDEX(tblCleanData[Age],1371)&lt;30,"Under 30",IF(INDEX(tblCleanData[Age],1371)&lt;40,"30-39",IF(INDEX(tblCleanData[Age],1371)&lt;50,"40-49","50+")))</f>
        <v>40-49</v>
      </c>
      <c r="C1379" t="str">
        <f>IF(INDEX(tblCleanData[MonthlyIncome],1371)&lt;=$B$3,"Low Income",IF(INDEX(tblCleanData[MonthlyIncome],1371)&lt;=$B$4,"Medium Income","High Income"))</f>
        <v>High Income</v>
      </c>
      <c r="D1379">
        <f>IF(INDEX(tblCleanData[Attrition],1371)="Yes",1,0)</f>
        <v>0</v>
      </c>
      <c r="E1379">
        <f>IF(INDEX(tblCleanData[OverTime],1371)="Yes",1,0)</f>
        <v>0</v>
      </c>
      <c r="F1379" t="str">
        <f>CHOOSE(INDEX(tblCleanData[Education],1371),"Below College","College","Bachelor","Master","Doctor")</f>
        <v>Master</v>
      </c>
      <c r="G1379" t="str">
        <f>IF(INDEX(tblCleanData[YearsAtCompany],1371)&lt;=2,"0-2 Years",IF(INDEX(tblCleanData[YearsAtCompany],1371)&lt;=5,"3-5 Years",IF(INDEX(tblCleanData[YearsAtCompany],1371)&lt;=10,"6-10 Years","10+ Years")))</f>
        <v>6-10 Years</v>
      </c>
      <c r="H1379" t="str">
        <f>IF(INDEX(tblCleanData[WorkLifeBalance],1371)&lt;=2,"Elevated","Normal")</f>
        <v>Normal</v>
      </c>
      <c r="I1379">
        <f>IF(INDEX(tblCleanData[Age],1371)&lt;30,30,IF(INDEX(tblCleanData[Age],1371)&lt;40,20,IF(INDEX(tblCleanData[Age],1371)&lt;50,10,15)))</f>
        <v>10</v>
      </c>
      <c r="J1379">
        <f>IF(INDEX(tblCleanData[MonthlyIncome],1371)&lt;=$B$3,25,IF(INDEX(tblCleanData[MonthlyIncome],1371)&lt;=$B$4,12,5))</f>
        <v>5</v>
      </c>
      <c r="K1379">
        <f>IF(INDEX(tblCleanData[OverTime],1371)="Yes",25,0)</f>
        <v>0</v>
      </c>
      <c r="L1379">
        <f>(5-INDEX(tblCleanData[JobSatisfaction],1371))*6.25</f>
        <v>18.75</v>
      </c>
      <c r="M1379">
        <f>IF(INDEX(tblCleanData[YearsAtCompany],1371)&lt;=2,25,IF(INDEX(tblCleanData[YearsAtCompany],1371)&lt;=5,15,IF(INDEX(tblCleanData[YearsAtCompany],1371)&lt;=10,8,3)))</f>
        <v>8</v>
      </c>
      <c r="N1379">
        <f t="shared" si="42"/>
        <v>42</v>
      </c>
      <c r="O1379" t="str">
        <f t="shared" si="43"/>
        <v>Medium Risk</v>
      </c>
    </row>
    <row r="1380" spans="1:15" x14ac:dyDescent="0.25">
      <c r="A1380">
        <f>INDEX(tblCleanData[EmployeeNumber],1372)</f>
        <v>1935</v>
      </c>
      <c r="B1380" t="str">
        <f>IF(INDEX(tblCleanData[Age],1372)&lt;30,"Under 30",IF(INDEX(tblCleanData[Age],1372)&lt;40,"30-39",IF(INDEX(tblCleanData[Age],1372)&lt;50,"40-49","50+")))</f>
        <v>50+</v>
      </c>
      <c r="C1380" t="str">
        <f>IF(INDEX(tblCleanData[MonthlyIncome],1372)&lt;=$B$3,"Low Income",IF(INDEX(tblCleanData[MonthlyIncome],1372)&lt;=$B$4,"Medium Income","High Income"))</f>
        <v>High Income</v>
      </c>
      <c r="D1380">
        <f>IF(INDEX(tblCleanData[Attrition],1372)="Yes",1,0)</f>
        <v>0</v>
      </c>
      <c r="E1380">
        <f>IF(INDEX(tblCleanData[OverTime],1372)="Yes",1,0)</f>
        <v>0</v>
      </c>
      <c r="F1380" t="str">
        <f>CHOOSE(INDEX(tblCleanData[Education],1372),"Below College","College","Bachelor","Master","Doctor")</f>
        <v>Doctor</v>
      </c>
      <c r="G1380" t="str">
        <f>IF(INDEX(tblCleanData[YearsAtCompany],1372)&lt;=2,"0-2 Years",IF(INDEX(tblCleanData[YearsAtCompany],1372)&lt;=5,"3-5 Years",IF(INDEX(tblCleanData[YearsAtCompany],1372)&lt;=10,"6-10 Years","10+ Years")))</f>
        <v>0-2 Years</v>
      </c>
      <c r="H1380" t="str">
        <f>IF(INDEX(tblCleanData[WorkLifeBalance],1372)&lt;=2,"Elevated","Normal")</f>
        <v>Normal</v>
      </c>
      <c r="I1380">
        <f>IF(INDEX(tblCleanData[Age],1372)&lt;30,30,IF(INDEX(tblCleanData[Age],1372)&lt;40,20,IF(INDEX(tblCleanData[Age],1372)&lt;50,10,15)))</f>
        <v>15</v>
      </c>
      <c r="J1380">
        <f>IF(INDEX(tblCleanData[MonthlyIncome],1372)&lt;=$B$3,25,IF(INDEX(tblCleanData[MonthlyIncome],1372)&lt;=$B$4,12,5))</f>
        <v>5</v>
      </c>
      <c r="K1380">
        <f>IF(INDEX(tblCleanData[OverTime],1372)="Yes",25,0)</f>
        <v>0</v>
      </c>
      <c r="L1380">
        <f>(5-INDEX(tblCleanData[JobSatisfaction],1372))*6.25</f>
        <v>25</v>
      </c>
      <c r="M1380">
        <f>IF(INDEX(tblCleanData[YearsAtCompany],1372)&lt;=2,25,IF(INDEX(tblCleanData[YearsAtCompany],1372)&lt;=5,15,IF(INDEX(tblCleanData[YearsAtCompany],1372)&lt;=10,8,3)))</f>
        <v>25</v>
      </c>
      <c r="N1380">
        <f t="shared" si="42"/>
        <v>70</v>
      </c>
      <c r="O1380" t="str">
        <f t="shared" si="43"/>
        <v>High Risk</v>
      </c>
    </row>
    <row r="1381" spans="1:15" x14ac:dyDescent="0.25">
      <c r="A1381">
        <f>INDEX(tblCleanData[EmployeeNumber],1373)</f>
        <v>1936</v>
      </c>
      <c r="B1381" t="str">
        <f>IF(INDEX(tblCleanData[Age],1373)&lt;30,"Under 30",IF(INDEX(tblCleanData[Age],1373)&lt;40,"30-39",IF(INDEX(tblCleanData[Age],1373)&lt;50,"40-49","50+")))</f>
        <v>30-39</v>
      </c>
      <c r="C1381" t="str">
        <f>IF(INDEX(tblCleanData[MonthlyIncome],1373)&lt;=$B$3,"Low Income",IF(INDEX(tblCleanData[MonthlyIncome],1373)&lt;=$B$4,"Medium Income","High Income"))</f>
        <v>High Income</v>
      </c>
      <c r="D1381">
        <f>IF(INDEX(tblCleanData[Attrition],1373)="Yes",1,0)</f>
        <v>0</v>
      </c>
      <c r="E1381">
        <f>IF(INDEX(tblCleanData[OverTime],1373)="Yes",1,0)</f>
        <v>0</v>
      </c>
      <c r="F1381" t="str">
        <f>CHOOSE(INDEX(tblCleanData[Education],1373),"Below College","College","Bachelor","Master","Doctor")</f>
        <v>College</v>
      </c>
      <c r="G1381" t="str">
        <f>IF(INDEX(tblCleanData[YearsAtCompany],1373)&lt;=2,"0-2 Years",IF(INDEX(tblCleanData[YearsAtCompany],1373)&lt;=5,"3-5 Years",IF(INDEX(tblCleanData[YearsAtCompany],1373)&lt;=10,"6-10 Years","10+ Years")))</f>
        <v>6-10 Years</v>
      </c>
      <c r="H1381" t="str">
        <f>IF(INDEX(tblCleanData[WorkLifeBalance],1373)&lt;=2,"Elevated","Normal")</f>
        <v>Normal</v>
      </c>
      <c r="I1381">
        <f>IF(INDEX(tblCleanData[Age],1373)&lt;30,30,IF(INDEX(tblCleanData[Age],1373)&lt;40,20,IF(INDEX(tblCleanData[Age],1373)&lt;50,10,15)))</f>
        <v>20</v>
      </c>
      <c r="J1381">
        <f>IF(INDEX(tblCleanData[MonthlyIncome],1373)&lt;=$B$3,25,IF(INDEX(tblCleanData[MonthlyIncome],1373)&lt;=$B$4,12,5))</f>
        <v>5</v>
      </c>
      <c r="K1381">
        <f>IF(INDEX(tblCleanData[OverTime],1373)="Yes",25,0)</f>
        <v>0</v>
      </c>
      <c r="L1381">
        <f>(5-INDEX(tblCleanData[JobSatisfaction],1373))*6.25</f>
        <v>25</v>
      </c>
      <c r="M1381">
        <f>IF(INDEX(tblCleanData[YearsAtCompany],1373)&lt;=2,25,IF(INDEX(tblCleanData[YearsAtCompany],1373)&lt;=5,15,IF(INDEX(tblCleanData[YearsAtCompany],1373)&lt;=10,8,3)))</f>
        <v>8</v>
      </c>
      <c r="N1381">
        <f t="shared" si="42"/>
        <v>58</v>
      </c>
      <c r="O1381" t="str">
        <f t="shared" si="43"/>
        <v>High Risk</v>
      </c>
    </row>
    <row r="1382" spans="1:15" x14ac:dyDescent="0.25">
      <c r="A1382">
        <f>INDEX(tblCleanData[EmployeeNumber],1374)</f>
        <v>1937</v>
      </c>
      <c r="B1382" t="str">
        <f>IF(INDEX(tblCleanData[Age],1374)&lt;30,"Under 30",IF(INDEX(tblCleanData[Age],1374)&lt;40,"30-39",IF(INDEX(tblCleanData[Age],1374)&lt;50,"40-49","50+")))</f>
        <v>30-39</v>
      </c>
      <c r="C1382" t="str">
        <f>IF(INDEX(tblCleanData[MonthlyIncome],1374)&lt;=$B$3,"Low Income",IF(INDEX(tblCleanData[MonthlyIncome],1374)&lt;=$B$4,"Medium Income","High Income"))</f>
        <v>High Income</v>
      </c>
      <c r="D1382">
        <f>IF(INDEX(tblCleanData[Attrition],1374)="Yes",1,0)</f>
        <v>0</v>
      </c>
      <c r="E1382">
        <f>IF(INDEX(tblCleanData[OverTime],1374)="Yes",1,0)</f>
        <v>1</v>
      </c>
      <c r="F1382" t="str">
        <f>CHOOSE(INDEX(tblCleanData[Education],1374),"Below College","College","Bachelor","Master","Doctor")</f>
        <v>Bachelor</v>
      </c>
      <c r="G1382" t="str">
        <f>IF(INDEX(tblCleanData[YearsAtCompany],1374)&lt;=2,"0-2 Years",IF(INDEX(tblCleanData[YearsAtCompany],1374)&lt;=5,"3-5 Years",IF(INDEX(tblCleanData[YearsAtCompany],1374)&lt;=10,"6-10 Years","10+ Years")))</f>
        <v>10+ Years</v>
      </c>
      <c r="H1382" t="str">
        <f>IF(INDEX(tblCleanData[WorkLifeBalance],1374)&lt;=2,"Elevated","Normal")</f>
        <v>Normal</v>
      </c>
      <c r="I1382">
        <f>IF(INDEX(tblCleanData[Age],1374)&lt;30,30,IF(INDEX(tblCleanData[Age],1374)&lt;40,20,IF(INDEX(tblCleanData[Age],1374)&lt;50,10,15)))</f>
        <v>20</v>
      </c>
      <c r="J1382">
        <f>IF(INDEX(tblCleanData[MonthlyIncome],1374)&lt;=$B$3,25,IF(INDEX(tblCleanData[MonthlyIncome],1374)&lt;=$B$4,12,5))</f>
        <v>5</v>
      </c>
      <c r="K1382">
        <f>IF(INDEX(tblCleanData[OverTime],1374)="Yes",25,0)</f>
        <v>25</v>
      </c>
      <c r="L1382">
        <f>(5-INDEX(tblCleanData[JobSatisfaction],1374))*6.25</f>
        <v>18.75</v>
      </c>
      <c r="M1382">
        <f>IF(INDEX(tblCleanData[YearsAtCompany],1374)&lt;=2,25,IF(INDEX(tblCleanData[YearsAtCompany],1374)&lt;=5,15,IF(INDEX(tblCleanData[YearsAtCompany],1374)&lt;=10,8,3)))</f>
        <v>3</v>
      </c>
      <c r="N1382">
        <f t="shared" si="42"/>
        <v>72</v>
      </c>
      <c r="O1382" t="str">
        <f t="shared" si="43"/>
        <v>High Risk</v>
      </c>
    </row>
    <row r="1383" spans="1:15" x14ac:dyDescent="0.25">
      <c r="A1383">
        <f>INDEX(tblCleanData[EmployeeNumber],1375)</f>
        <v>1938</v>
      </c>
      <c r="B1383" t="str">
        <f>IF(INDEX(tblCleanData[Age],1375)&lt;30,"Under 30",IF(INDEX(tblCleanData[Age],1375)&lt;40,"30-39",IF(INDEX(tblCleanData[Age],1375)&lt;50,"40-49","50+")))</f>
        <v>50+</v>
      </c>
      <c r="C1383" t="str">
        <f>IF(INDEX(tblCleanData[MonthlyIncome],1375)&lt;=$B$3,"Low Income",IF(INDEX(tblCleanData[MonthlyIncome],1375)&lt;=$B$4,"Medium Income","High Income"))</f>
        <v>High Income</v>
      </c>
      <c r="D1383">
        <f>IF(INDEX(tblCleanData[Attrition],1375)="Yes",1,0)</f>
        <v>0</v>
      </c>
      <c r="E1383">
        <f>IF(INDEX(tblCleanData[OverTime],1375)="Yes",1,0)</f>
        <v>1</v>
      </c>
      <c r="F1383" t="str">
        <f>CHOOSE(INDEX(tblCleanData[Education],1375),"Below College","College","Bachelor","Master","Doctor")</f>
        <v>Bachelor</v>
      </c>
      <c r="G1383" t="str">
        <f>IF(INDEX(tblCleanData[YearsAtCompany],1375)&lt;=2,"0-2 Years",IF(INDEX(tblCleanData[YearsAtCompany],1375)&lt;=5,"3-5 Years",IF(INDEX(tblCleanData[YearsAtCompany],1375)&lt;=10,"6-10 Years","10+ Years")))</f>
        <v>0-2 Years</v>
      </c>
      <c r="H1383" t="str">
        <f>IF(INDEX(tblCleanData[WorkLifeBalance],1375)&lt;=2,"Elevated","Normal")</f>
        <v>Elevated</v>
      </c>
      <c r="I1383">
        <f>IF(INDEX(tblCleanData[Age],1375)&lt;30,30,IF(INDEX(tblCleanData[Age],1375)&lt;40,20,IF(INDEX(tblCleanData[Age],1375)&lt;50,10,15)))</f>
        <v>15</v>
      </c>
      <c r="J1383">
        <f>IF(INDEX(tblCleanData[MonthlyIncome],1375)&lt;=$B$3,25,IF(INDEX(tblCleanData[MonthlyIncome],1375)&lt;=$B$4,12,5))</f>
        <v>5</v>
      </c>
      <c r="K1383">
        <f>IF(INDEX(tblCleanData[OverTime],1375)="Yes",25,0)</f>
        <v>25</v>
      </c>
      <c r="L1383">
        <f>(5-INDEX(tblCleanData[JobSatisfaction],1375))*6.25</f>
        <v>6.25</v>
      </c>
      <c r="M1383">
        <f>IF(INDEX(tblCleanData[YearsAtCompany],1375)&lt;=2,25,IF(INDEX(tblCleanData[YearsAtCompany],1375)&lt;=5,15,IF(INDEX(tblCleanData[YearsAtCompany],1375)&lt;=10,8,3)))</f>
        <v>25</v>
      </c>
      <c r="N1383">
        <f t="shared" si="42"/>
        <v>76</v>
      </c>
      <c r="O1383" t="str">
        <f t="shared" si="43"/>
        <v>High Risk</v>
      </c>
    </row>
    <row r="1384" spans="1:15" x14ac:dyDescent="0.25">
      <c r="A1384">
        <f>INDEX(tblCleanData[EmployeeNumber],1376)</f>
        <v>1939</v>
      </c>
      <c r="B1384" t="str">
        <f>IF(INDEX(tblCleanData[Age],1376)&lt;30,"Under 30",IF(INDEX(tblCleanData[Age],1376)&lt;40,"30-39",IF(INDEX(tblCleanData[Age],1376)&lt;50,"40-49","50+")))</f>
        <v>30-39</v>
      </c>
      <c r="C1384" t="str">
        <f>IF(INDEX(tblCleanData[MonthlyIncome],1376)&lt;=$B$3,"Low Income",IF(INDEX(tblCleanData[MonthlyIncome],1376)&lt;=$B$4,"Medium Income","High Income"))</f>
        <v>High Income</v>
      </c>
      <c r="D1384">
        <f>IF(INDEX(tblCleanData[Attrition],1376)="Yes",1,0)</f>
        <v>1</v>
      </c>
      <c r="E1384">
        <f>IF(INDEX(tblCleanData[OverTime],1376)="Yes",1,0)</f>
        <v>1</v>
      </c>
      <c r="F1384" t="str">
        <f>CHOOSE(INDEX(tblCleanData[Education],1376),"Below College","College","Bachelor","Master","Doctor")</f>
        <v>College</v>
      </c>
      <c r="G1384" t="str">
        <f>IF(INDEX(tblCleanData[YearsAtCompany],1376)&lt;=2,"0-2 Years",IF(INDEX(tblCleanData[YearsAtCompany],1376)&lt;=5,"3-5 Years",IF(INDEX(tblCleanData[YearsAtCompany],1376)&lt;=10,"6-10 Years","10+ Years")))</f>
        <v>3-5 Years</v>
      </c>
      <c r="H1384" t="str">
        <f>IF(INDEX(tblCleanData[WorkLifeBalance],1376)&lt;=2,"Elevated","Normal")</f>
        <v>Normal</v>
      </c>
      <c r="I1384">
        <f>IF(INDEX(tblCleanData[Age],1376)&lt;30,30,IF(INDEX(tblCleanData[Age],1376)&lt;40,20,IF(INDEX(tblCleanData[Age],1376)&lt;50,10,15)))</f>
        <v>20</v>
      </c>
      <c r="J1384">
        <f>IF(INDEX(tblCleanData[MonthlyIncome],1376)&lt;=$B$3,25,IF(INDEX(tblCleanData[MonthlyIncome],1376)&lt;=$B$4,12,5))</f>
        <v>5</v>
      </c>
      <c r="K1384">
        <f>IF(INDEX(tblCleanData[OverTime],1376)="Yes",25,0)</f>
        <v>25</v>
      </c>
      <c r="L1384">
        <f>(5-INDEX(tblCleanData[JobSatisfaction],1376))*6.25</f>
        <v>12.5</v>
      </c>
      <c r="M1384">
        <f>IF(INDEX(tblCleanData[YearsAtCompany],1376)&lt;=2,25,IF(INDEX(tblCleanData[YearsAtCompany],1376)&lt;=5,15,IF(INDEX(tblCleanData[YearsAtCompany],1376)&lt;=10,8,3)))</f>
        <v>15</v>
      </c>
      <c r="N1384">
        <f t="shared" si="42"/>
        <v>78</v>
      </c>
      <c r="O1384" t="str">
        <f t="shared" si="43"/>
        <v>High Risk</v>
      </c>
    </row>
    <row r="1385" spans="1:15" x14ac:dyDescent="0.25">
      <c r="A1385">
        <f>INDEX(tblCleanData[EmployeeNumber],1377)</f>
        <v>1940</v>
      </c>
      <c r="B1385" t="str">
        <f>IF(INDEX(tblCleanData[Age],1377)&lt;30,"Under 30",IF(INDEX(tblCleanData[Age],1377)&lt;40,"30-39",IF(INDEX(tblCleanData[Age],1377)&lt;50,"40-49","50+")))</f>
        <v>30-39</v>
      </c>
      <c r="C1385" t="str">
        <f>IF(INDEX(tblCleanData[MonthlyIncome],1377)&lt;=$B$3,"Low Income",IF(INDEX(tblCleanData[MonthlyIncome],1377)&lt;=$B$4,"Medium Income","High Income"))</f>
        <v>High Income</v>
      </c>
      <c r="D1385">
        <f>IF(INDEX(tblCleanData[Attrition],1377)="Yes",1,0)</f>
        <v>0</v>
      </c>
      <c r="E1385">
        <f>IF(INDEX(tblCleanData[OverTime],1377)="Yes",1,0)</f>
        <v>0</v>
      </c>
      <c r="F1385" t="str">
        <f>CHOOSE(INDEX(tblCleanData[Education],1377),"Below College","College","Bachelor","Master","Doctor")</f>
        <v>College</v>
      </c>
      <c r="G1385" t="str">
        <f>IF(INDEX(tblCleanData[YearsAtCompany],1377)&lt;=2,"0-2 Years",IF(INDEX(tblCleanData[YearsAtCompany],1377)&lt;=5,"3-5 Years",IF(INDEX(tblCleanData[YearsAtCompany],1377)&lt;=10,"6-10 Years","10+ Years")))</f>
        <v>3-5 Years</v>
      </c>
      <c r="H1385" t="str">
        <f>IF(INDEX(tblCleanData[WorkLifeBalance],1377)&lt;=2,"Elevated","Normal")</f>
        <v>Normal</v>
      </c>
      <c r="I1385">
        <f>IF(INDEX(tblCleanData[Age],1377)&lt;30,30,IF(INDEX(tblCleanData[Age],1377)&lt;40,20,IF(INDEX(tblCleanData[Age],1377)&lt;50,10,15)))</f>
        <v>20</v>
      </c>
      <c r="J1385">
        <f>IF(INDEX(tblCleanData[MonthlyIncome],1377)&lt;=$B$3,25,IF(INDEX(tblCleanData[MonthlyIncome],1377)&lt;=$B$4,12,5))</f>
        <v>5</v>
      </c>
      <c r="K1385">
        <f>IF(INDEX(tblCleanData[OverTime],1377)="Yes",25,0)</f>
        <v>0</v>
      </c>
      <c r="L1385">
        <f>(5-INDEX(tblCleanData[JobSatisfaction],1377))*6.25</f>
        <v>6.25</v>
      </c>
      <c r="M1385">
        <f>IF(INDEX(tblCleanData[YearsAtCompany],1377)&lt;=2,25,IF(INDEX(tblCleanData[YearsAtCompany],1377)&lt;=5,15,IF(INDEX(tblCleanData[YearsAtCompany],1377)&lt;=10,8,3)))</f>
        <v>15</v>
      </c>
      <c r="N1385">
        <f t="shared" si="42"/>
        <v>46</v>
      </c>
      <c r="O1385" t="str">
        <f t="shared" si="43"/>
        <v>Medium Risk</v>
      </c>
    </row>
    <row r="1386" spans="1:15" x14ac:dyDescent="0.25">
      <c r="A1386">
        <f>INDEX(tblCleanData[EmployeeNumber],1378)</f>
        <v>1941</v>
      </c>
      <c r="B1386" t="str">
        <f>IF(INDEX(tblCleanData[Age],1378)&lt;30,"Under 30",IF(INDEX(tblCleanData[Age],1378)&lt;40,"30-39",IF(INDEX(tblCleanData[Age],1378)&lt;50,"40-49","50+")))</f>
        <v>40-49</v>
      </c>
      <c r="C1386" t="str">
        <f>IF(INDEX(tblCleanData[MonthlyIncome],1378)&lt;=$B$3,"Low Income",IF(INDEX(tblCleanData[MonthlyIncome],1378)&lt;=$B$4,"Medium Income","High Income"))</f>
        <v>High Income</v>
      </c>
      <c r="D1386">
        <f>IF(INDEX(tblCleanData[Attrition],1378)="Yes",1,0)</f>
        <v>0</v>
      </c>
      <c r="E1386">
        <f>IF(INDEX(tblCleanData[OverTime],1378)="Yes",1,0)</f>
        <v>0</v>
      </c>
      <c r="F1386" t="str">
        <f>CHOOSE(INDEX(tblCleanData[Education],1378),"Below College","College","Bachelor","Master","Doctor")</f>
        <v>Below College</v>
      </c>
      <c r="G1386" t="str">
        <f>IF(INDEX(tblCleanData[YearsAtCompany],1378)&lt;=2,"0-2 Years",IF(INDEX(tblCleanData[YearsAtCompany],1378)&lt;=5,"3-5 Years",IF(INDEX(tblCleanData[YearsAtCompany],1378)&lt;=10,"6-10 Years","10+ Years")))</f>
        <v>3-5 Years</v>
      </c>
      <c r="H1386" t="str">
        <f>IF(INDEX(tblCleanData[WorkLifeBalance],1378)&lt;=2,"Elevated","Normal")</f>
        <v>Normal</v>
      </c>
      <c r="I1386">
        <f>IF(INDEX(tblCleanData[Age],1378)&lt;30,30,IF(INDEX(tblCleanData[Age],1378)&lt;40,20,IF(INDEX(tblCleanData[Age],1378)&lt;50,10,15)))</f>
        <v>10</v>
      </c>
      <c r="J1386">
        <f>IF(INDEX(tblCleanData[MonthlyIncome],1378)&lt;=$B$3,25,IF(INDEX(tblCleanData[MonthlyIncome],1378)&lt;=$B$4,12,5))</f>
        <v>5</v>
      </c>
      <c r="K1386">
        <f>IF(INDEX(tblCleanData[OverTime],1378)="Yes",25,0)</f>
        <v>0</v>
      </c>
      <c r="L1386">
        <f>(5-INDEX(tblCleanData[JobSatisfaction],1378))*6.25</f>
        <v>6.25</v>
      </c>
      <c r="M1386">
        <f>IF(INDEX(tblCleanData[YearsAtCompany],1378)&lt;=2,25,IF(INDEX(tblCleanData[YearsAtCompany],1378)&lt;=5,15,IF(INDEX(tblCleanData[YearsAtCompany],1378)&lt;=10,8,3)))</f>
        <v>15</v>
      </c>
      <c r="N1386">
        <f t="shared" si="42"/>
        <v>36</v>
      </c>
      <c r="O1386" t="str">
        <f t="shared" si="43"/>
        <v>Medium Risk</v>
      </c>
    </row>
    <row r="1387" spans="1:15" x14ac:dyDescent="0.25">
      <c r="A1387">
        <f>INDEX(tblCleanData[EmployeeNumber],1379)</f>
        <v>1943</v>
      </c>
      <c r="B1387" t="str">
        <f>IF(INDEX(tblCleanData[Age],1379)&lt;30,"Under 30",IF(INDEX(tblCleanData[Age],1379)&lt;40,"30-39",IF(INDEX(tblCleanData[Age],1379)&lt;50,"40-49","50+")))</f>
        <v>40-49</v>
      </c>
      <c r="C1387" t="str">
        <f>IF(INDEX(tblCleanData[MonthlyIncome],1379)&lt;=$B$3,"Low Income",IF(INDEX(tblCleanData[MonthlyIncome],1379)&lt;=$B$4,"Medium Income","High Income"))</f>
        <v>High Income</v>
      </c>
      <c r="D1387">
        <f>IF(INDEX(tblCleanData[Attrition],1379)="Yes",1,0)</f>
        <v>0</v>
      </c>
      <c r="E1387">
        <f>IF(INDEX(tblCleanData[OverTime],1379)="Yes",1,0)</f>
        <v>1</v>
      </c>
      <c r="F1387" t="str">
        <f>CHOOSE(INDEX(tblCleanData[Education],1379),"Below College","College","Bachelor","Master","Doctor")</f>
        <v>Master</v>
      </c>
      <c r="G1387" t="str">
        <f>IF(INDEX(tblCleanData[YearsAtCompany],1379)&lt;=2,"0-2 Years",IF(INDEX(tblCleanData[YearsAtCompany],1379)&lt;=5,"3-5 Years",IF(INDEX(tblCleanData[YearsAtCompany],1379)&lt;=10,"6-10 Years","10+ Years")))</f>
        <v>0-2 Years</v>
      </c>
      <c r="H1387" t="str">
        <f>IF(INDEX(tblCleanData[WorkLifeBalance],1379)&lt;=2,"Elevated","Normal")</f>
        <v>Normal</v>
      </c>
      <c r="I1387">
        <f>IF(INDEX(tblCleanData[Age],1379)&lt;30,30,IF(INDEX(tblCleanData[Age],1379)&lt;40,20,IF(INDEX(tblCleanData[Age],1379)&lt;50,10,15)))</f>
        <v>10</v>
      </c>
      <c r="J1387">
        <f>IF(INDEX(tblCleanData[MonthlyIncome],1379)&lt;=$B$3,25,IF(INDEX(tblCleanData[MonthlyIncome],1379)&lt;=$B$4,12,5))</f>
        <v>5</v>
      </c>
      <c r="K1387">
        <f>IF(INDEX(tblCleanData[OverTime],1379)="Yes",25,0)</f>
        <v>25</v>
      </c>
      <c r="L1387">
        <f>(5-INDEX(tblCleanData[JobSatisfaction],1379))*6.25</f>
        <v>6.25</v>
      </c>
      <c r="M1387">
        <f>IF(INDEX(tblCleanData[YearsAtCompany],1379)&lt;=2,25,IF(INDEX(tblCleanData[YearsAtCompany],1379)&lt;=5,15,IF(INDEX(tblCleanData[YearsAtCompany],1379)&lt;=10,8,3)))</f>
        <v>25</v>
      </c>
      <c r="N1387">
        <f t="shared" si="42"/>
        <v>71</v>
      </c>
      <c r="O1387" t="str">
        <f t="shared" si="43"/>
        <v>High Risk</v>
      </c>
    </row>
    <row r="1388" spans="1:15" x14ac:dyDescent="0.25">
      <c r="A1388">
        <f>INDEX(tblCleanData[EmployeeNumber],1380)</f>
        <v>1944</v>
      </c>
      <c r="B1388" t="str">
        <f>IF(INDEX(tblCleanData[Age],1380)&lt;30,"Under 30",IF(INDEX(tblCleanData[Age],1380)&lt;40,"30-39",IF(INDEX(tblCleanData[Age],1380)&lt;50,"40-49","50+")))</f>
        <v>Under 30</v>
      </c>
      <c r="C1388" t="str">
        <f>IF(INDEX(tblCleanData[MonthlyIncome],1380)&lt;=$B$3,"Low Income",IF(INDEX(tblCleanData[MonthlyIncome],1380)&lt;=$B$4,"Medium Income","High Income"))</f>
        <v>High Income</v>
      </c>
      <c r="D1388">
        <f>IF(INDEX(tblCleanData[Attrition],1380)="Yes",1,0)</f>
        <v>1</v>
      </c>
      <c r="E1388">
        <f>IF(INDEX(tblCleanData[OverTime],1380)="Yes",1,0)</f>
        <v>0</v>
      </c>
      <c r="F1388" t="str">
        <f>CHOOSE(INDEX(tblCleanData[Education],1380),"Below College","College","Bachelor","Master","Doctor")</f>
        <v>Bachelor</v>
      </c>
      <c r="G1388" t="str">
        <f>IF(INDEX(tblCleanData[YearsAtCompany],1380)&lt;=2,"0-2 Years",IF(INDEX(tblCleanData[YearsAtCompany],1380)&lt;=5,"3-5 Years",IF(INDEX(tblCleanData[YearsAtCompany],1380)&lt;=10,"6-10 Years","10+ Years")))</f>
        <v>0-2 Years</v>
      </c>
      <c r="H1388" t="str">
        <f>IF(INDEX(tblCleanData[WorkLifeBalance],1380)&lt;=2,"Elevated","Normal")</f>
        <v>Normal</v>
      </c>
      <c r="I1388">
        <f>IF(INDEX(tblCleanData[Age],1380)&lt;30,30,IF(INDEX(tblCleanData[Age],1380)&lt;40,20,IF(INDEX(tblCleanData[Age],1380)&lt;50,10,15)))</f>
        <v>30</v>
      </c>
      <c r="J1388">
        <f>IF(INDEX(tblCleanData[MonthlyIncome],1380)&lt;=$B$3,25,IF(INDEX(tblCleanData[MonthlyIncome],1380)&lt;=$B$4,12,5))</f>
        <v>5</v>
      </c>
      <c r="K1388">
        <f>IF(INDEX(tblCleanData[OverTime],1380)="Yes",25,0)</f>
        <v>0</v>
      </c>
      <c r="L1388">
        <f>(5-INDEX(tblCleanData[JobSatisfaction],1380))*6.25</f>
        <v>18.75</v>
      </c>
      <c r="M1388">
        <f>IF(INDEX(tblCleanData[YearsAtCompany],1380)&lt;=2,25,IF(INDEX(tblCleanData[YearsAtCompany],1380)&lt;=5,15,IF(INDEX(tblCleanData[YearsAtCompany],1380)&lt;=10,8,3)))</f>
        <v>25</v>
      </c>
      <c r="N1388">
        <f t="shared" si="42"/>
        <v>79</v>
      </c>
      <c r="O1388" t="str">
        <f t="shared" si="43"/>
        <v>High Risk</v>
      </c>
    </row>
    <row r="1389" spans="1:15" x14ac:dyDescent="0.25">
      <c r="A1389">
        <f>INDEX(tblCleanData[EmployeeNumber],1381)</f>
        <v>1945</v>
      </c>
      <c r="B1389" t="str">
        <f>IF(INDEX(tblCleanData[Age],1381)&lt;30,"Under 30",IF(INDEX(tblCleanData[Age],1381)&lt;40,"30-39",IF(INDEX(tblCleanData[Age],1381)&lt;50,"40-49","50+")))</f>
        <v>30-39</v>
      </c>
      <c r="C1389" t="str">
        <f>IF(INDEX(tblCleanData[MonthlyIncome],1381)&lt;=$B$3,"Low Income",IF(INDEX(tblCleanData[MonthlyIncome],1381)&lt;=$B$4,"Medium Income","High Income"))</f>
        <v>High Income</v>
      </c>
      <c r="D1389">
        <f>IF(INDEX(tblCleanData[Attrition],1381)="Yes",1,0)</f>
        <v>0</v>
      </c>
      <c r="E1389">
        <f>IF(INDEX(tblCleanData[OverTime],1381)="Yes",1,0)</f>
        <v>0</v>
      </c>
      <c r="F1389" t="str">
        <f>CHOOSE(INDEX(tblCleanData[Education],1381),"Below College","College","Bachelor","Master","Doctor")</f>
        <v>Master</v>
      </c>
      <c r="G1389" t="str">
        <f>IF(INDEX(tblCleanData[YearsAtCompany],1381)&lt;=2,"0-2 Years",IF(INDEX(tblCleanData[YearsAtCompany],1381)&lt;=5,"3-5 Years",IF(INDEX(tblCleanData[YearsAtCompany],1381)&lt;=10,"6-10 Years","10+ Years")))</f>
        <v>3-5 Years</v>
      </c>
      <c r="H1389" t="str">
        <f>IF(INDEX(tblCleanData[WorkLifeBalance],1381)&lt;=2,"Elevated","Normal")</f>
        <v>Elevated</v>
      </c>
      <c r="I1389">
        <f>IF(INDEX(tblCleanData[Age],1381)&lt;30,30,IF(INDEX(tblCleanData[Age],1381)&lt;40,20,IF(INDEX(tblCleanData[Age],1381)&lt;50,10,15)))</f>
        <v>20</v>
      </c>
      <c r="J1389">
        <f>IF(INDEX(tblCleanData[MonthlyIncome],1381)&lt;=$B$3,25,IF(INDEX(tblCleanData[MonthlyIncome],1381)&lt;=$B$4,12,5))</f>
        <v>5</v>
      </c>
      <c r="K1389">
        <f>IF(INDEX(tblCleanData[OverTime],1381)="Yes",25,0)</f>
        <v>0</v>
      </c>
      <c r="L1389">
        <f>(5-INDEX(tblCleanData[JobSatisfaction],1381))*6.25</f>
        <v>25</v>
      </c>
      <c r="M1389">
        <f>IF(INDEX(tblCleanData[YearsAtCompany],1381)&lt;=2,25,IF(INDEX(tblCleanData[YearsAtCompany],1381)&lt;=5,15,IF(INDEX(tblCleanData[YearsAtCompany],1381)&lt;=10,8,3)))</f>
        <v>15</v>
      </c>
      <c r="N1389">
        <f t="shared" si="42"/>
        <v>65</v>
      </c>
      <c r="O1389" t="str">
        <f t="shared" si="43"/>
        <v>High Risk</v>
      </c>
    </row>
    <row r="1390" spans="1:15" x14ac:dyDescent="0.25">
      <c r="A1390">
        <f>INDEX(tblCleanData[EmployeeNumber],1382)</f>
        <v>1947</v>
      </c>
      <c r="B1390" t="str">
        <f>IF(INDEX(tblCleanData[Age],1382)&lt;30,"Under 30",IF(INDEX(tblCleanData[Age],1382)&lt;40,"30-39",IF(INDEX(tblCleanData[Age],1382)&lt;50,"40-49","50+")))</f>
        <v>Under 30</v>
      </c>
      <c r="C1390" t="str">
        <f>IF(INDEX(tblCleanData[MonthlyIncome],1382)&lt;=$B$3,"Low Income",IF(INDEX(tblCleanData[MonthlyIncome],1382)&lt;=$B$4,"Medium Income","High Income"))</f>
        <v>High Income</v>
      </c>
      <c r="D1390">
        <f>IF(INDEX(tblCleanData[Attrition],1382)="Yes",1,0)</f>
        <v>0</v>
      </c>
      <c r="E1390">
        <f>IF(INDEX(tblCleanData[OverTime],1382)="Yes",1,0)</f>
        <v>0</v>
      </c>
      <c r="F1390" t="str">
        <f>CHOOSE(INDEX(tblCleanData[Education],1382),"Below College","College","Bachelor","Master","Doctor")</f>
        <v>Bachelor</v>
      </c>
      <c r="G1390" t="str">
        <f>IF(INDEX(tblCleanData[YearsAtCompany],1382)&lt;=2,"0-2 Years",IF(INDEX(tblCleanData[YearsAtCompany],1382)&lt;=5,"3-5 Years",IF(INDEX(tblCleanData[YearsAtCompany],1382)&lt;=10,"6-10 Years","10+ Years")))</f>
        <v>3-5 Years</v>
      </c>
      <c r="H1390" t="str">
        <f>IF(INDEX(tblCleanData[WorkLifeBalance],1382)&lt;=2,"Elevated","Normal")</f>
        <v>Elevated</v>
      </c>
      <c r="I1390">
        <f>IF(INDEX(tblCleanData[Age],1382)&lt;30,30,IF(INDEX(tblCleanData[Age],1382)&lt;40,20,IF(INDEX(tblCleanData[Age],1382)&lt;50,10,15)))</f>
        <v>30</v>
      </c>
      <c r="J1390">
        <f>IF(INDEX(tblCleanData[MonthlyIncome],1382)&lt;=$B$3,25,IF(INDEX(tblCleanData[MonthlyIncome],1382)&lt;=$B$4,12,5))</f>
        <v>5</v>
      </c>
      <c r="K1390">
        <f>IF(INDEX(tblCleanData[OverTime],1382)="Yes",25,0)</f>
        <v>0</v>
      </c>
      <c r="L1390">
        <f>(5-INDEX(tblCleanData[JobSatisfaction],1382))*6.25</f>
        <v>12.5</v>
      </c>
      <c r="M1390">
        <f>IF(INDEX(tblCleanData[YearsAtCompany],1382)&lt;=2,25,IF(INDEX(tblCleanData[YearsAtCompany],1382)&lt;=5,15,IF(INDEX(tblCleanData[YearsAtCompany],1382)&lt;=10,8,3)))</f>
        <v>15</v>
      </c>
      <c r="N1390">
        <f t="shared" si="42"/>
        <v>63</v>
      </c>
      <c r="O1390" t="str">
        <f t="shared" si="43"/>
        <v>High Risk</v>
      </c>
    </row>
    <row r="1391" spans="1:15" x14ac:dyDescent="0.25">
      <c r="A1391">
        <f>INDEX(tblCleanData[EmployeeNumber],1383)</f>
        <v>1948</v>
      </c>
      <c r="B1391" t="str">
        <f>IF(INDEX(tblCleanData[Age],1383)&lt;30,"Under 30",IF(INDEX(tblCleanData[Age],1383)&lt;40,"30-39",IF(INDEX(tblCleanData[Age],1383)&lt;50,"40-49","50+")))</f>
        <v>30-39</v>
      </c>
      <c r="C1391" t="str">
        <f>IF(INDEX(tblCleanData[MonthlyIncome],1383)&lt;=$B$3,"Low Income",IF(INDEX(tblCleanData[MonthlyIncome],1383)&lt;=$B$4,"Medium Income","High Income"))</f>
        <v>High Income</v>
      </c>
      <c r="D1391">
        <f>IF(INDEX(tblCleanData[Attrition],1383)="Yes",1,0)</f>
        <v>0</v>
      </c>
      <c r="E1391">
        <f>IF(INDEX(tblCleanData[OverTime],1383)="Yes",1,0)</f>
        <v>1</v>
      </c>
      <c r="F1391" t="str">
        <f>CHOOSE(INDEX(tblCleanData[Education],1383),"Below College","College","Bachelor","Master","Doctor")</f>
        <v>College</v>
      </c>
      <c r="G1391" t="str">
        <f>IF(INDEX(tblCleanData[YearsAtCompany],1383)&lt;=2,"0-2 Years",IF(INDEX(tblCleanData[YearsAtCompany],1383)&lt;=5,"3-5 Years",IF(INDEX(tblCleanData[YearsAtCompany],1383)&lt;=10,"6-10 Years","10+ Years")))</f>
        <v>3-5 Years</v>
      </c>
      <c r="H1391" t="str">
        <f>IF(INDEX(tblCleanData[WorkLifeBalance],1383)&lt;=2,"Elevated","Normal")</f>
        <v>Normal</v>
      </c>
      <c r="I1391">
        <f>IF(INDEX(tblCleanData[Age],1383)&lt;30,30,IF(INDEX(tblCleanData[Age],1383)&lt;40,20,IF(INDEX(tblCleanData[Age],1383)&lt;50,10,15)))</f>
        <v>20</v>
      </c>
      <c r="J1391">
        <f>IF(INDEX(tblCleanData[MonthlyIncome],1383)&lt;=$B$3,25,IF(INDEX(tblCleanData[MonthlyIncome],1383)&lt;=$B$4,12,5))</f>
        <v>5</v>
      </c>
      <c r="K1391">
        <f>IF(INDEX(tblCleanData[OverTime],1383)="Yes",25,0)</f>
        <v>25</v>
      </c>
      <c r="L1391">
        <f>(5-INDEX(tblCleanData[JobSatisfaction],1383))*6.25</f>
        <v>25</v>
      </c>
      <c r="M1391">
        <f>IF(INDEX(tblCleanData[YearsAtCompany],1383)&lt;=2,25,IF(INDEX(tblCleanData[YearsAtCompany],1383)&lt;=5,15,IF(INDEX(tblCleanData[YearsAtCompany],1383)&lt;=10,8,3)))</f>
        <v>15</v>
      </c>
      <c r="N1391">
        <f t="shared" si="42"/>
        <v>90</v>
      </c>
      <c r="O1391" t="str">
        <f t="shared" si="43"/>
        <v>High Risk</v>
      </c>
    </row>
    <row r="1392" spans="1:15" x14ac:dyDescent="0.25">
      <c r="A1392">
        <f>INDEX(tblCleanData[EmployeeNumber],1384)</f>
        <v>1949</v>
      </c>
      <c r="B1392" t="str">
        <f>IF(INDEX(tblCleanData[Age],1384)&lt;30,"Under 30",IF(INDEX(tblCleanData[Age],1384)&lt;40,"30-39",IF(INDEX(tblCleanData[Age],1384)&lt;50,"40-49","50+")))</f>
        <v>30-39</v>
      </c>
      <c r="C1392" t="str">
        <f>IF(INDEX(tblCleanData[MonthlyIncome],1384)&lt;=$B$3,"Low Income",IF(INDEX(tblCleanData[MonthlyIncome],1384)&lt;=$B$4,"Medium Income","High Income"))</f>
        <v>High Income</v>
      </c>
      <c r="D1392">
        <f>IF(INDEX(tblCleanData[Attrition],1384)="Yes",1,0)</f>
        <v>0</v>
      </c>
      <c r="E1392">
        <f>IF(INDEX(tblCleanData[OverTime],1384)="Yes",1,0)</f>
        <v>0</v>
      </c>
      <c r="F1392" t="str">
        <f>CHOOSE(INDEX(tblCleanData[Education],1384),"Below College","College","Bachelor","Master","Doctor")</f>
        <v>Master</v>
      </c>
      <c r="G1392" t="str">
        <f>IF(INDEX(tblCleanData[YearsAtCompany],1384)&lt;=2,"0-2 Years",IF(INDEX(tblCleanData[YearsAtCompany],1384)&lt;=5,"3-5 Years",IF(INDEX(tblCleanData[YearsAtCompany],1384)&lt;=10,"6-10 Years","10+ Years")))</f>
        <v>3-5 Years</v>
      </c>
      <c r="H1392" t="str">
        <f>IF(INDEX(tblCleanData[WorkLifeBalance],1384)&lt;=2,"Elevated","Normal")</f>
        <v>Normal</v>
      </c>
      <c r="I1392">
        <f>IF(INDEX(tblCleanData[Age],1384)&lt;30,30,IF(INDEX(tblCleanData[Age],1384)&lt;40,20,IF(INDEX(tblCleanData[Age],1384)&lt;50,10,15)))</f>
        <v>20</v>
      </c>
      <c r="J1392">
        <f>IF(INDEX(tblCleanData[MonthlyIncome],1384)&lt;=$B$3,25,IF(INDEX(tblCleanData[MonthlyIncome],1384)&lt;=$B$4,12,5))</f>
        <v>5</v>
      </c>
      <c r="K1392">
        <f>IF(INDEX(tblCleanData[OverTime],1384)="Yes",25,0)</f>
        <v>0</v>
      </c>
      <c r="L1392">
        <f>(5-INDEX(tblCleanData[JobSatisfaction],1384))*6.25</f>
        <v>18.75</v>
      </c>
      <c r="M1392">
        <f>IF(INDEX(tblCleanData[YearsAtCompany],1384)&lt;=2,25,IF(INDEX(tblCleanData[YearsAtCompany],1384)&lt;=5,15,IF(INDEX(tblCleanData[YearsAtCompany],1384)&lt;=10,8,3)))</f>
        <v>15</v>
      </c>
      <c r="N1392">
        <f t="shared" si="42"/>
        <v>59</v>
      </c>
      <c r="O1392" t="str">
        <f t="shared" si="43"/>
        <v>High Risk</v>
      </c>
    </row>
    <row r="1393" spans="1:15" x14ac:dyDescent="0.25">
      <c r="A1393">
        <f>INDEX(tblCleanData[EmployeeNumber],1385)</f>
        <v>1950</v>
      </c>
      <c r="B1393" t="str">
        <f>IF(INDEX(tblCleanData[Age],1385)&lt;30,"Under 30",IF(INDEX(tblCleanData[Age],1385)&lt;40,"30-39",IF(INDEX(tblCleanData[Age],1385)&lt;50,"40-49","50+")))</f>
        <v>30-39</v>
      </c>
      <c r="C1393" t="str">
        <f>IF(INDEX(tblCleanData[MonthlyIncome],1385)&lt;=$B$3,"Low Income",IF(INDEX(tblCleanData[MonthlyIncome],1385)&lt;=$B$4,"Medium Income","High Income"))</f>
        <v>High Income</v>
      </c>
      <c r="D1393">
        <f>IF(INDEX(tblCleanData[Attrition],1385)="Yes",1,0)</f>
        <v>0</v>
      </c>
      <c r="E1393">
        <f>IF(INDEX(tblCleanData[OverTime],1385)="Yes",1,0)</f>
        <v>0</v>
      </c>
      <c r="F1393" t="str">
        <f>CHOOSE(INDEX(tblCleanData[Education],1385),"Below College","College","Bachelor","Master","Doctor")</f>
        <v>Bachelor</v>
      </c>
      <c r="G1393" t="str">
        <f>IF(INDEX(tblCleanData[YearsAtCompany],1385)&lt;=2,"0-2 Years",IF(INDEX(tblCleanData[YearsAtCompany],1385)&lt;=5,"3-5 Years",IF(INDEX(tblCleanData[YearsAtCompany],1385)&lt;=10,"6-10 Years","10+ Years")))</f>
        <v>10+ Years</v>
      </c>
      <c r="H1393" t="str">
        <f>IF(INDEX(tblCleanData[WorkLifeBalance],1385)&lt;=2,"Elevated","Normal")</f>
        <v>Elevated</v>
      </c>
      <c r="I1393">
        <f>IF(INDEX(tblCleanData[Age],1385)&lt;30,30,IF(INDEX(tblCleanData[Age],1385)&lt;40,20,IF(INDEX(tblCleanData[Age],1385)&lt;50,10,15)))</f>
        <v>20</v>
      </c>
      <c r="J1393">
        <f>IF(INDEX(tblCleanData[MonthlyIncome],1385)&lt;=$B$3,25,IF(INDEX(tblCleanData[MonthlyIncome],1385)&lt;=$B$4,12,5))</f>
        <v>5</v>
      </c>
      <c r="K1393">
        <f>IF(INDEX(tblCleanData[OverTime],1385)="Yes",25,0)</f>
        <v>0</v>
      </c>
      <c r="L1393">
        <f>(5-INDEX(tblCleanData[JobSatisfaction],1385))*6.25</f>
        <v>6.25</v>
      </c>
      <c r="M1393">
        <f>IF(INDEX(tblCleanData[YearsAtCompany],1385)&lt;=2,25,IF(INDEX(tblCleanData[YearsAtCompany],1385)&lt;=5,15,IF(INDEX(tblCleanData[YearsAtCompany],1385)&lt;=10,8,3)))</f>
        <v>3</v>
      </c>
      <c r="N1393">
        <f t="shared" si="42"/>
        <v>34</v>
      </c>
      <c r="O1393" t="str">
        <f t="shared" si="43"/>
        <v>Low Risk</v>
      </c>
    </row>
    <row r="1394" spans="1:15" x14ac:dyDescent="0.25">
      <c r="A1394">
        <f>INDEX(tblCleanData[EmployeeNumber],1386)</f>
        <v>1951</v>
      </c>
      <c r="B1394" t="str">
        <f>IF(INDEX(tblCleanData[Age],1386)&lt;30,"Under 30",IF(INDEX(tblCleanData[Age],1386)&lt;40,"30-39",IF(INDEX(tblCleanData[Age],1386)&lt;50,"40-49","50+")))</f>
        <v>30-39</v>
      </c>
      <c r="C1394" t="str">
        <f>IF(INDEX(tblCleanData[MonthlyIncome],1386)&lt;=$B$3,"Low Income",IF(INDEX(tblCleanData[MonthlyIncome],1386)&lt;=$B$4,"Medium Income","High Income"))</f>
        <v>High Income</v>
      </c>
      <c r="D1394">
        <f>IF(INDEX(tblCleanData[Attrition],1386)="Yes",1,0)</f>
        <v>0</v>
      </c>
      <c r="E1394">
        <f>IF(INDEX(tblCleanData[OverTime],1386)="Yes",1,0)</f>
        <v>0</v>
      </c>
      <c r="F1394" t="str">
        <f>CHOOSE(INDEX(tblCleanData[Education],1386),"Below College","College","Bachelor","Master","Doctor")</f>
        <v>Master</v>
      </c>
      <c r="G1394" t="str">
        <f>IF(INDEX(tblCleanData[YearsAtCompany],1386)&lt;=2,"0-2 Years",IF(INDEX(tblCleanData[YearsAtCompany],1386)&lt;=5,"3-5 Years",IF(INDEX(tblCleanData[YearsAtCompany],1386)&lt;=10,"6-10 Years","10+ Years")))</f>
        <v>6-10 Years</v>
      </c>
      <c r="H1394" t="str">
        <f>IF(INDEX(tblCleanData[WorkLifeBalance],1386)&lt;=2,"Elevated","Normal")</f>
        <v>Elevated</v>
      </c>
      <c r="I1394">
        <f>IF(INDEX(tblCleanData[Age],1386)&lt;30,30,IF(INDEX(tblCleanData[Age],1386)&lt;40,20,IF(INDEX(tblCleanData[Age],1386)&lt;50,10,15)))</f>
        <v>20</v>
      </c>
      <c r="J1394">
        <f>IF(INDEX(tblCleanData[MonthlyIncome],1386)&lt;=$B$3,25,IF(INDEX(tblCleanData[MonthlyIncome],1386)&lt;=$B$4,12,5))</f>
        <v>5</v>
      </c>
      <c r="K1394">
        <f>IF(INDEX(tblCleanData[OverTime],1386)="Yes",25,0)</f>
        <v>0</v>
      </c>
      <c r="L1394">
        <f>(5-INDEX(tblCleanData[JobSatisfaction],1386))*6.25</f>
        <v>12.5</v>
      </c>
      <c r="M1394">
        <f>IF(INDEX(tblCleanData[YearsAtCompany],1386)&lt;=2,25,IF(INDEX(tblCleanData[YearsAtCompany],1386)&lt;=5,15,IF(INDEX(tblCleanData[YearsAtCompany],1386)&lt;=10,8,3)))</f>
        <v>8</v>
      </c>
      <c r="N1394">
        <f t="shared" si="42"/>
        <v>46</v>
      </c>
      <c r="O1394" t="str">
        <f t="shared" si="43"/>
        <v>Medium Risk</v>
      </c>
    </row>
    <row r="1395" spans="1:15" x14ac:dyDescent="0.25">
      <c r="A1395">
        <f>INDEX(tblCleanData[EmployeeNumber],1387)</f>
        <v>1952</v>
      </c>
      <c r="B1395" t="str">
        <f>IF(INDEX(tblCleanData[Age],1387)&lt;30,"Under 30",IF(INDEX(tblCleanData[Age],1387)&lt;40,"30-39",IF(INDEX(tblCleanData[Age],1387)&lt;50,"40-49","50+")))</f>
        <v>Under 30</v>
      </c>
      <c r="C1395" t="str">
        <f>IF(INDEX(tblCleanData[MonthlyIncome],1387)&lt;=$B$3,"Low Income",IF(INDEX(tblCleanData[MonthlyIncome],1387)&lt;=$B$4,"Medium Income","High Income"))</f>
        <v>High Income</v>
      </c>
      <c r="D1395">
        <f>IF(INDEX(tblCleanData[Attrition],1387)="Yes",1,0)</f>
        <v>0</v>
      </c>
      <c r="E1395">
        <f>IF(INDEX(tblCleanData[OverTime],1387)="Yes",1,0)</f>
        <v>0</v>
      </c>
      <c r="F1395" t="str">
        <f>CHOOSE(INDEX(tblCleanData[Education],1387),"Below College","College","Bachelor","Master","Doctor")</f>
        <v>Bachelor</v>
      </c>
      <c r="G1395" t="str">
        <f>IF(INDEX(tblCleanData[YearsAtCompany],1387)&lt;=2,"0-2 Years",IF(INDEX(tblCleanData[YearsAtCompany],1387)&lt;=5,"3-5 Years",IF(INDEX(tblCleanData[YearsAtCompany],1387)&lt;=10,"6-10 Years","10+ Years")))</f>
        <v>6-10 Years</v>
      </c>
      <c r="H1395" t="str">
        <f>IF(INDEX(tblCleanData[WorkLifeBalance],1387)&lt;=2,"Elevated","Normal")</f>
        <v>Elevated</v>
      </c>
      <c r="I1395">
        <f>IF(INDEX(tblCleanData[Age],1387)&lt;30,30,IF(INDEX(tblCleanData[Age],1387)&lt;40,20,IF(INDEX(tblCleanData[Age],1387)&lt;50,10,15)))</f>
        <v>30</v>
      </c>
      <c r="J1395">
        <f>IF(INDEX(tblCleanData[MonthlyIncome],1387)&lt;=$B$3,25,IF(INDEX(tblCleanData[MonthlyIncome],1387)&lt;=$B$4,12,5))</f>
        <v>5</v>
      </c>
      <c r="K1395">
        <f>IF(INDEX(tblCleanData[OverTime],1387)="Yes",25,0)</f>
        <v>0</v>
      </c>
      <c r="L1395">
        <f>(5-INDEX(tblCleanData[JobSatisfaction],1387))*6.25</f>
        <v>25</v>
      </c>
      <c r="M1395">
        <f>IF(INDEX(tblCleanData[YearsAtCompany],1387)&lt;=2,25,IF(INDEX(tblCleanData[YearsAtCompany],1387)&lt;=5,15,IF(INDEX(tblCleanData[YearsAtCompany],1387)&lt;=10,8,3)))</f>
        <v>8</v>
      </c>
      <c r="N1395">
        <f t="shared" si="42"/>
        <v>68</v>
      </c>
      <c r="O1395" t="str">
        <f t="shared" si="43"/>
        <v>High Risk</v>
      </c>
    </row>
    <row r="1396" spans="1:15" x14ac:dyDescent="0.25">
      <c r="A1396">
        <f>INDEX(tblCleanData[EmployeeNumber],1388)</f>
        <v>1954</v>
      </c>
      <c r="B1396" t="str">
        <f>IF(INDEX(tblCleanData[Age],1388)&lt;30,"Under 30",IF(INDEX(tblCleanData[Age],1388)&lt;40,"30-39",IF(INDEX(tblCleanData[Age],1388)&lt;50,"40-49","50+")))</f>
        <v>Under 30</v>
      </c>
      <c r="C1396" t="str">
        <f>IF(INDEX(tblCleanData[MonthlyIncome],1388)&lt;=$B$3,"Low Income",IF(INDEX(tblCleanData[MonthlyIncome],1388)&lt;=$B$4,"Medium Income","High Income"))</f>
        <v>High Income</v>
      </c>
      <c r="D1396">
        <f>IF(INDEX(tblCleanData[Attrition],1388)="Yes",1,0)</f>
        <v>0</v>
      </c>
      <c r="E1396">
        <f>IF(INDEX(tblCleanData[OverTime],1388)="Yes",1,0)</f>
        <v>0</v>
      </c>
      <c r="F1396" t="str">
        <f>CHOOSE(INDEX(tblCleanData[Education],1388),"Below College","College","Bachelor","Master","Doctor")</f>
        <v>Bachelor</v>
      </c>
      <c r="G1396" t="str">
        <f>IF(INDEX(tblCleanData[YearsAtCompany],1388)&lt;=2,"0-2 Years",IF(INDEX(tblCleanData[YearsAtCompany],1388)&lt;=5,"3-5 Years",IF(INDEX(tblCleanData[YearsAtCompany],1388)&lt;=10,"6-10 Years","10+ Years")))</f>
        <v>3-5 Years</v>
      </c>
      <c r="H1396" t="str">
        <f>IF(INDEX(tblCleanData[WorkLifeBalance],1388)&lt;=2,"Elevated","Normal")</f>
        <v>Elevated</v>
      </c>
      <c r="I1396">
        <f>IF(INDEX(tblCleanData[Age],1388)&lt;30,30,IF(INDEX(tblCleanData[Age],1388)&lt;40,20,IF(INDEX(tblCleanData[Age],1388)&lt;50,10,15)))</f>
        <v>30</v>
      </c>
      <c r="J1396">
        <f>IF(INDEX(tblCleanData[MonthlyIncome],1388)&lt;=$B$3,25,IF(INDEX(tblCleanData[MonthlyIncome],1388)&lt;=$B$4,12,5))</f>
        <v>5</v>
      </c>
      <c r="K1396">
        <f>IF(INDEX(tblCleanData[OverTime],1388)="Yes",25,0)</f>
        <v>0</v>
      </c>
      <c r="L1396">
        <f>(5-INDEX(tblCleanData[JobSatisfaction],1388))*6.25</f>
        <v>25</v>
      </c>
      <c r="M1396">
        <f>IF(INDEX(tblCleanData[YearsAtCompany],1388)&lt;=2,25,IF(INDEX(tblCleanData[YearsAtCompany],1388)&lt;=5,15,IF(INDEX(tblCleanData[YearsAtCompany],1388)&lt;=10,8,3)))</f>
        <v>15</v>
      </c>
      <c r="N1396">
        <f t="shared" si="42"/>
        <v>75</v>
      </c>
      <c r="O1396" t="str">
        <f t="shared" si="43"/>
        <v>High Risk</v>
      </c>
    </row>
    <row r="1397" spans="1:15" x14ac:dyDescent="0.25">
      <c r="A1397">
        <f>INDEX(tblCleanData[EmployeeNumber],1389)</f>
        <v>1955</v>
      </c>
      <c r="B1397" t="str">
        <f>IF(INDEX(tblCleanData[Age],1389)&lt;30,"Under 30",IF(INDEX(tblCleanData[Age],1389)&lt;40,"30-39",IF(INDEX(tblCleanData[Age],1389)&lt;50,"40-49","50+")))</f>
        <v>30-39</v>
      </c>
      <c r="C1397" t="str">
        <f>IF(INDEX(tblCleanData[MonthlyIncome],1389)&lt;=$B$3,"Low Income",IF(INDEX(tblCleanData[MonthlyIncome],1389)&lt;=$B$4,"Medium Income","High Income"))</f>
        <v>High Income</v>
      </c>
      <c r="D1397">
        <f>IF(INDEX(tblCleanData[Attrition],1389)="Yes",1,0)</f>
        <v>0</v>
      </c>
      <c r="E1397">
        <f>IF(INDEX(tblCleanData[OverTime],1389)="Yes",1,0)</f>
        <v>0</v>
      </c>
      <c r="F1397" t="str">
        <f>CHOOSE(INDEX(tblCleanData[Education],1389),"Below College","College","Bachelor","Master","Doctor")</f>
        <v>Master</v>
      </c>
      <c r="G1397" t="str">
        <f>IF(INDEX(tblCleanData[YearsAtCompany],1389)&lt;=2,"0-2 Years",IF(INDEX(tblCleanData[YearsAtCompany],1389)&lt;=5,"3-5 Years",IF(INDEX(tblCleanData[YearsAtCompany],1389)&lt;=10,"6-10 Years","10+ Years")))</f>
        <v>3-5 Years</v>
      </c>
      <c r="H1397" t="str">
        <f>IF(INDEX(tblCleanData[WorkLifeBalance],1389)&lt;=2,"Elevated","Normal")</f>
        <v>Normal</v>
      </c>
      <c r="I1397">
        <f>IF(INDEX(tblCleanData[Age],1389)&lt;30,30,IF(INDEX(tblCleanData[Age],1389)&lt;40,20,IF(INDEX(tblCleanData[Age],1389)&lt;50,10,15)))</f>
        <v>20</v>
      </c>
      <c r="J1397">
        <f>IF(INDEX(tblCleanData[MonthlyIncome],1389)&lt;=$B$3,25,IF(INDEX(tblCleanData[MonthlyIncome],1389)&lt;=$B$4,12,5))</f>
        <v>5</v>
      </c>
      <c r="K1397">
        <f>IF(INDEX(tblCleanData[OverTime],1389)="Yes",25,0)</f>
        <v>0</v>
      </c>
      <c r="L1397">
        <f>(5-INDEX(tblCleanData[JobSatisfaction],1389))*6.25</f>
        <v>6.25</v>
      </c>
      <c r="M1397">
        <f>IF(INDEX(tblCleanData[YearsAtCompany],1389)&lt;=2,25,IF(INDEX(tblCleanData[YearsAtCompany],1389)&lt;=5,15,IF(INDEX(tblCleanData[YearsAtCompany],1389)&lt;=10,8,3)))</f>
        <v>15</v>
      </c>
      <c r="N1397">
        <f t="shared" si="42"/>
        <v>46</v>
      </c>
      <c r="O1397" t="str">
        <f t="shared" si="43"/>
        <v>Medium Risk</v>
      </c>
    </row>
    <row r="1398" spans="1:15" x14ac:dyDescent="0.25">
      <c r="A1398">
        <f>INDEX(tblCleanData[EmployeeNumber],1390)</f>
        <v>1956</v>
      </c>
      <c r="B1398" t="str">
        <f>IF(INDEX(tblCleanData[Age],1390)&lt;30,"Under 30",IF(INDEX(tblCleanData[Age],1390)&lt;40,"30-39",IF(INDEX(tblCleanData[Age],1390)&lt;50,"40-49","50+")))</f>
        <v>30-39</v>
      </c>
      <c r="C1398" t="str">
        <f>IF(INDEX(tblCleanData[MonthlyIncome],1390)&lt;=$B$3,"Low Income",IF(INDEX(tblCleanData[MonthlyIncome],1390)&lt;=$B$4,"Medium Income","High Income"))</f>
        <v>High Income</v>
      </c>
      <c r="D1398">
        <f>IF(INDEX(tblCleanData[Attrition],1390)="Yes",1,0)</f>
        <v>0</v>
      </c>
      <c r="E1398">
        <f>IF(INDEX(tblCleanData[OverTime],1390)="Yes",1,0)</f>
        <v>0</v>
      </c>
      <c r="F1398" t="str">
        <f>CHOOSE(INDEX(tblCleanData[Education],1390),"Below College","College","Bachelor","Master","Doctor")</f>
        <v>Bachelor</v>
      </c>
      <c r="G1398" t="str">
        <f>IF(INDEX(tblCleanData[YearsAtCompany],1390)&lt;=2,"0-2 Years",IF(INDEX(tblCleanData[YearsAtCompany],1390)&lt;=5,"3-5 Years",IF(INDEX(tblCleanData[YearsAtCompany],1390)&lt;=10,"6-10 Years","10+ Years")))</f>
        <v>6-10 Years</v>
      </c>
      <c r="H1398" t="str">
        <f>IF(INDEX(tblCleanData[WorkLifeBalance],1390)&lt;=2,"Elevated","Normal")</f>
        <v>Normal</v>
      </c>
      <c r="I1398">
        <f>IF(INDEX(tblCleanData[Age],1390)&lt;30,30,IF(INDEX(tblCleanData[Age],1390)&lt;40,20,IF(INDEX(tblCleanData[Age],1390)&lt;50,10,15)))</f>
        <v>20</v>
      </c>
      <c r="J1398">
        <f>IF(INDEX(tblCleanData[MonthlyIncome],1390)&lt;=$B$3,25,IF(INDEX(tblCleanData[MonthlyIncome],1390)&lt;=$B$4,12,5))</f>
        <v>5</v>
      </c>
      <c r="K1398">
        <f>IF(INDEX(tblCleanData[OverTime],1390)="Yes",25,0)</f>
        <v>0</v>
      </c>
      <c r="L1398">
        <f>(5-INDEX(tblCleanData[JobSatisfaction],1390))*6.25</f>
        <v>25</v>
      </c>
      <c r="M1398">
        <f>IF(INDEX(tblCleanData[YearsAtCompany],1390)&lt;=2,25,IF(INDEX(tblCleanData[YearsAtCompany],1390)&lt;=5,15,IF(INDEX(tblCleanData[YearsAtCompany],1390)&lt;=10,8,3)))</f>
        <v>8</v>
      </c>
      <c r="N1398">
        <f t="shared" si="42"/>
        <v>58</v>
      </c>
      <c r="O1398" t="str">
        <f t="shared" si="43"/>
        <v>High Risk</v>
      </c>
    </row>
    <row r="1399" spans="1:15" x14ac:dyDescent="0.25">
      <c r="A1399">
        <f>INDEX(tblCleanData[EmployeeNumber],1391)</f>
        <v>1960</v>
      </c>
      <c r="B1399" t="str">
        <f>IF(INDEX(tblCleanData[Age],1391)&lt;30,"Under 30",IF(INDEX(tblCleanData[Age],1391)&lt;40,"30-39",IF(INDEX(tblCleanData[Age],1391)&lt;50,"40-49","50+")))</f>
        <v>Under 30</v>
      </c>
      <c r="C1399" t="str">
        <f>IF(INDEX(tblCleanData[MonthlyIncome],1391)&lt;=$B$3,"Low Income",IF(INDEX(tblCleanData[MonthlyIncome],1391)&lt;=$B$4,"Medium Income","High Income"))</f>
        <v>High Income</v>
      </c>
      <c r="D1399">
        <f>IF(INDEX(tblCleanData[Attrition],1391)="Yes",1,0)</f>
        <v>1</v>
      </c>
      <c r="E1399">
        <f>IF(INDEX(tblCleanData[OverTime],1391)="Yes",1,0)</f>
        <v>0</v>
      </c>
      <c r="F1399" t="str">
        <f>CHOOSE(INDEX(tblCleanData[Education],1391),"Below College","College","Bachelor","Master","Doctor")</f>
        <v>Bachelor</v>
      </c>
      <c r="G1399" t="str">
        <f>IF(INDEX(tblCleanData[YearsAtCompany],1391)&lt;=2,"0-2 Years",IF(INDEX(tblCleanData[YearsAtCompany],1391)&lt;=5,"3-5 Years",IF(INDEX(tblCleanData[YearsAtCompany],1391)&lt;=10,"6-10 Years","10+ Years")))</f>
        <v>3-5 Years</v>
      </c>
      <c r="H1399" t="str">
        <f>IF(INDEX(tblCleanData[WorkLifeBalance],1391)&lt;=2,"Elevated","Normal")</f>
        <v>Elevated</v>
      </c>
      <c r="I1399">
        <f>IF(INDEX(tblCleanData[Age],1391)&lt;30,30,IF(INDEX(tblCleanData[Age],1391)&lt;40,20,IF(INDEX(tblCleanData[Age],1391)&lt;50,10,15)))</f>
        <v>30</v>
      </c>
      <c r="J1399">
        <f>IF(INDEX(tblCleanData[MonthlyIncome],1391)&lt;=$B$3,25,IF(INDEX(tblCleanData[MonthlyIncome],1391)&lt;=$B$4,12,5))</f>
        <v>5</v>
      </c>
      <c r="K1399">
        <f>IF(INDEX(tblCleanData[OverTime],1391)="Yes",25,0)</f>
        <v>0</v>
      </c>
      <c r="L1399">
        <f>(5-INDEX(tblCleanData[JobSatisfaction],1391))*6.25</f>
        <v>6.25</v>
      </c>
      <c r="M1399">
        <f>IF(INDEX(tblCleanData[YearsAtCompany],1391)&lt;=2,25,IF(INDEX(tblCleanData[YearsAtCompany],1391)&lt;=5,15,IF(INDEX(tblCleanData[YearsAtCompany],1391)&lt;=10,8,3)))</f>
        <v>15</v>
      </c>
      <c r="N1399">
        <f t="shared" si="42"/>
        <v>56</v>
      </c>
      <c r="O1399" t="str">
        <f t="shared" si="43"/>
        <v>High Risk</v>
      </c>
    </row>
    <row r="1400" spans="1:15" x14ac:dyDescent="0.25">
      <c r="A1400">
        <f>INDEX(tblCleanData[EmployeeNumber],1392)</f>
        <v>1961</v>
      </c>
      <c r="B1400" t="str">
        <f>IF(INDEX(tblCleanData[Age],1392)&lt;30,"Under 30",IF(INDEX(tblCleanData[Age],1392)&lt;40,"30-39",IF(INDEX(tblCleanData[Age],1392)&lt;50,"40-49","50+")))</f>
        <v>30-39</v>
      </c>
      <c r="C1400" t="str">
        <f>IF(INDEX(tblCleanData[MonthlyIncome],1392)&lt;=$B$3,"Low Income",IF(INDEX(tblCleanData[MonthlyIncome],1392)&lt;=$B$4,"Medium Income","High Income"))</f>
        <v>High Income</v>
      </c>
      <c r="D1400">
        <f>IF(INDEX(tblCleanData[Attrition],1392)="Yes",1,0)</f>
        <v>0</v>
      </c>
      <c r="E1400">
        <f>IF(INDEX(tblCleanData[OverTime],1392)="Yes",1,0)</f>
        <v>0</v>
      </c>
      <c r="F1400" t="str">
        <f>CHOOSE(INDEX(tblCleanData[Education],1392),"Below College","College","Bachelor","Master","Doctor")</f>
        <v>Bachelor</v>
      </c>
      <c r="G1400" t="str">
        <f>IF(INDEX(tblCleanData[YearsAtCompany],1392)&lt;=2,"0-2 Years",IF(INDEX(tblCleanData[YearsAtCompany],1392)&lt;=5,"3-5 Years",IF(INDEX(tblCleanData[YearsAtCompany],1392)&lt;=10,"6-10 Years","10+ Years")))</f>
        <v>0-2 Years</v>
      </c>
      <c r="H1400" t="str">
        <f>IF(INDEX(tblCleanData[WorkLifeBalance],1392)&lt;=2,"Elevated","Normal")</f>
        <v>Elevated</v>
      </c>
      <c r="I1400">
        <f>IF(INDEX(tblCleanData[Age],1392)&lt;30,30,IF(INDEX(tblCleanData[Age],1392)&lt;40,20,IF(INDEX(tblCleanData[Age],1392)&lt;50,10,15)))</f>
        <v>20</v>
      </c>
      <c r="J1400">
        <f>IF(INDEX(tblCleanData[MonthlyIncome],1392)&lt;=$B$3,25,IF(INDEX(tblCleanData[MonthlyIncome],1392)&lt;=$B$4,12,5))</f>
        <v>5</v>
      </c>
      <c r="K1400">
        <f>IF(INDEX(tblCleanData[OverTime],1392)="Yes",25,0)</f>
        <v>0</v>
      </c>
      <c r="L1400">
        <f>(5-INDEX(tblCleanData[JobSatisfaction],1392))*6.25</f>
        <v>25</v>
      </c>
      <c r="M1400">
        <f>IF(INDEX(tblCleanData[YearsAtCompany],1392)&lt;=2,25,IF(INDEX(tblCleanData[YearsAtCompany],1392)&lt;=5,15,IF(INDEX(tblCleanData[YearsAtCompany],1392)&lt;=10,8,3)))</f>
        <v>25</v>
      </c>
      <c r="N1400">
        <f t="shared" si="42"/>
        <v>75</v>
      </c>
      <c r="O1400" t="str">
        <f t="shared" si="43"/>
        <v>High Risk</v>
      </c>
    </row>
    <row r="1401" spans="1:15" x14ac:dyDescent="0.25">
      <c r="A1401">
        <f>INDEX(tblCleanData[EmployeeNumber],1393)</f>
        <v>1962</v>
      </c>
      <c r="B1401" t="str">
        <f>IF(INDEX(tblCleanData[Age],1393)&lt;30,"Under 30",IF(INDEX(tblCleanData[Age],1393)&lt;40,"30-39",IF(INDEX(tblCleanData[Age],1393)&lt;50,"40-49","50+")))</f>
        <v>30-39</v>
      </c>
      <c r="C1401" t="str">
        <f>IF(INDEX(tblCleanData[MonthlyIncome],1393)&lt;=$B$3,"Low Income",IF(INDEX(tblCleanData[MonthlyIncome],1393)&lt;=$B$4,"Medium Income","High Income"))</f>
        <v>High Income</v>
      </c>
      <c r="D1401">
        <f>IF(INDEX(tblCleanData[Attrition],1393)="Yes",1,0)</f>
        <v>0</v>
      </c>
      <c r="E1401">
        <f>IF(INDEX(tblCleanData[OverTime],1393)="Yes",1,0)</f>
        <v>1</v>
      </c>
      <c r="F1401" t="str">
        <f>CHOOSE(INDEX(tblCleanData[Education],1393),"Below College","College","Bachelor","Master","Doctor")</f>
        <v>Master</v>
      </c>
      <c r="G1401" t="str">
        <f>IF(INDEX(tblCleanData[YearsAtCompany],1393)&lt;=2,"0-2 Years",IF(INDEX(tblCleanData[YearsAtCompany],1393)&lt;=5,"3-5 Years",IF(INDEX(tblCleanData[YearsAtCompany],1393)&lt;=10,"6-10 Years","10+ Years")))</f>
        <v>6-10 Years</v>
      </c>
      <c r="H1401" t="str">
        <f>IF(INDEX(tblCleanData[WorkLifeBalance],1393)&lt;=2,"Elevated","Normal")</f>
        <v>Normal</v>
      </c>
      <c r="I1401">
        <f>IF(INDEX(tblCleanData[Age],1393)&lt;30,30,IF(INDEX(tblCleanData[Age],1393)&lt;40,20,IF(INDEX(tblCleanData[Age],1393)&lt;50,10,15)))</f>
        <v>20</v>
      </c>
      <c r="J1401">
        <f>IF(INDEX(tblCleanData[MonthlyIncome],1393)&lt;=$B$3,25,IF(INDEX(tblCleanData[MonthlyIncome],1393)&lt;=$B$4,12,5))</f>
        <v>5</v>
      </c>
      <c r="K1401">
        <f>IF(INDEX(tblCleanData[OverTime],1393)="Yes",25,0)</f>
        <v>25</v>
      </c>
      <c r="L1401">
        <f>(5-INDEX(tblCleanData[JobSatisfaction],1393))*6.25</f>
        <v>6.25</v>
      </c>
      <c r="M1401">
        <f>IF(INDEX(tblCleanData[YearsAtCompany],1393)&lt;=2,25,IF(INDEX(tblCleanData[YearsAtCompany],1393)&lt;=5,15,IF(INDEX(tblCleanData[YearsAtCompany],1393)&lt;=10,8,3)))</f>
        <v>8</v>
      </c>
      <c r="N1401">
        <f t="shared" si="42"/>
        <v>64</v>
      </c>
      <c r="O1401" t="str">
        <f t="shared" si="43"/>
        <v>High Risk</v>
      </c>
    </row>
    <row r="1402" spans="1:15" x14ac:dyDescent="0.25">
      <c r="A1402">
        <f>INDEX(tblCleanData[EmployeeNumber],1394)</f>
        <v>1965</v>
      </c>
      <c r="B1402" t="str">
        <f>IF(INDEX(tblCleanData[Age],1394)&lt;30,"Under 30",IF(INDEX(tblCleanData[Age],1394)&lt;40,"30-39",IF(INDEX(tblCleanData[Age],1394)&lt;50,"40-49","50+")))</f>
        <v>Under 30</v>
      </c>
      <c r="C1402" t="str">
        <f>IF(INDEX(tblCleanData[MonthlyIncome],1394)&lt;=$B$3,"Low Income",IF(INDEX(tblCleanData[MonthlyIncome],1394)&lt;=$B$4,"Medium Income","High Income"))</f>
        <v>High Income</v>
      </c>
      <c r="D1402">
        <f>IF(INDEX(tblCleanData[Attrition],1394)="Yes",1,0)</f>
        <v>0</v>
      </c>
      <c r="E1402">
        <f>IF(INDEX(tblCleanData[OverTime],1394)="Yes",1,0)</f>
        <v>0</v>
      </c>
      <c r="F1402" t="str">
        <f>CHOOSE(INDEX(tblCleanData[Education],1394),"Below College","College","Bachelor","Master","Doctor")</f>
        <v>Bachelor</v>
      </c>
      <c r="G1402" t="str">
        <f>IF(INDEX(tblCleanData[YearsAtCompany],1394)&lt;=2,"0-2 Years",IF(INDEX(tblCleanData[YearsAtCompany],1394)&lt;=5,"3-5 Years",IF(INDEX(tblCleanData[YearsAtCompany],1394)&lt;=10,"6-10 Years","10+ Years")))</f>
        <v>6-10 Years</v>
      </c>
      <c r="H1402" t="str">
        <f>IF(INDEX(tblCleanData[WorkLifeBalance],1394)&lt;=2,"Elevated","Normal")</f>
        <v>Normal</v>
      </c>
      <c r="I1402">
        <f>IF(INDEX(tblCleanData[Age],1394)&lt;30,30,IF(INDEX(tblCleanData[Age],1394)&lt;40,20,IF(INDEX(tblCleanData[Age],1394)&lt;50,10,15)))</f>
        <v>30</v>
      </c>
      <c r="J1402">
        <f>IF(INDEX(tblCleanData[MonthlyIncome],1394)&lt;=$B$3,25,IF(INDEX(tblCleanData[MonthlyIncome],1394)&lt;=$B$4,12,5))</f>
        <v>5</v>
      </c>
      <c r="K1402">
        <f>IF(INDEX(tblCleanData[OverTime],1394)="Yes",25,0)</f>
        <v>0</v>
      </c>
      <c r="L1402">
        <f>(5-INDEX(tblCleanData[JobSatisfaction],1394))*6.25</f>
        <v>6.25</v>
      </c>
      <c r="M1402">
        <f>IF(INDEX(tblCleanData[YearsAtCompany],1394)&lt;=2,25,IF(INDEX(tblCleanData[YearsAtCompany],1394)&lt;=5,15,IF(INDEX(tblCleanData[YearsAtCompany],1394)&lt;=10,8,3)))</f>
        <v>8</v>
      </c>
      <c r="N1402">
        <f t="shared" si="42"/>
        <v>49</v>
      </c>
      <c r="O1402" t="str">
        <f t="shared" si="43"/>
        <v>Medium Risk</v>
      </c>
    </row>
    <row r="1403" spans="1:15" x14ac:dyDescent="0.25">
      <c r="A1403">
        <f>INDEX(tblCleanData[EmployeeNumber],1395)</f>
        <v>1966</v>
      </c>
      <c r="B1403" t="str">
        <f>IF(INDEX(tblCleanData[Age],1395)&lt;30,"Under 30",IF(INDEX(tblCleanData[Age],1395)&lt;40,"30-39",IF(INDEX(tblCleanData[Age],1395)&lt;50,"40-49","50+")))</f>
        <v>30-39</v>
      </c>
      <c r="C1403" t="str">
        <f>IF(INDEX(tblCleanData[MonthlyIncome],1395)&lt;=$B$3,"Low Income",IF(INDEX(tblCleanData[MonthlyIncome],1395)&lt;=$B$4,"Medium Income","High Income"))</f>
        <v>High Income</v>
      </c>
      <c r="D1403">
        <f>IF(INDEX(tblCleanData[Attrition],1395)="Yes",1,0)</f>
        <v>0</v>
      </c>
      <c r="E1403">
        <f>IF(INDEX(tblCleanData[OverTime],1395)="Yes",1,0)</f>
        <v>0</v>
      </c>
      <c r="F1403" t="str">
        <f>CHOOSE(INDEX(tblCleanData[Education],1395),"Below College","College","Bachelor","Master","Doctor")</f>
        <v>Master</v>
      </c>
      <c r="G1403" t="str">
        <f>IF(INDEX(tblCleanData[YearsAtCompany],1395)&lt;=2,"0-2 Years",IF(INDEX(tblCleanData[YearsAtCompany],1395)&lt;=5,"3-5 Years",IF(INDEX(tblCleanData[YearsAtCompany],1395)&lt;=10,"6-10 Years","10+ Years")))</f>
        <v>0-2 Years</v>
      </c>
      <c r="H1403" t="str">
        <f>IF(INDEX(tblCleanData[WorkLifeBalance],1395)&lt;=2,"Elevated","Normal")</f>
        <v>Normal</v>
      </c>
      <c r="I1403">
        <f>IF(INDEX(tblCleanData[Age],1395)&lt;30,30,IF(INDEX(tblCleanData[Age],1395)&lt;40,20,IF(INDEX(tblCleanData[Age],1395)&lt;50,10,15)))</f>
        <v>20</v>
      </c>
      <c r="J1403">
        <f>IF(INDEX(tblCleanData[MonthlyIncome],1395)&lt;=$B$3,25,IF(INDEX(tblCleanData[MonthlyIncome],1395)&lt;=$B$4,12,5))</f>
        <v>5</v>
      </c>
      <c r="K1403">
        <f>IF(INDEX(tblCleanData[OverTime],1395)="Yes",25,0)</f>
        <v>0</v>
      </c>
      <c r="L1403">
        <f>(5-INDEX(tblCleanData[JobSatisfaction],1395))*6.25</f>
        <v>6.25</v>
      </c>
      <c r="M1403">
        <f>IF(INDEX(tblCleanData[YearsAtCompany],1395)&lt;=2,25,IF(INDEX(tblCleanData[YearsAtCompany],1395)&lt;=5,15,IF(INDEX(tblCleanData[YearsAtCompany],1395)&lt;=10,8,3)))</f>
        <v>25</v>
      </c>
      <c r="N1403">
        <f t="shared" si="42"/>
        <v>56</v>
      </c>
      <c r="O1403" t="str">
        <f t="shared" si="43"/>
        <v>High Risk</v>
      </c>
    </row>
    <row r="1404" spans="1:15" x14ac:dyDescent="0.25">
      <c r="A1404">
        <f>INDEX(tblCleanData[EmployeeNumber],1396)</f>
        <v>1967</v>
      </c>
      <c r="B1404" t="str">
        <f>IF(INDEX(tblCleanData[Age],1396)&lt;30,"Under 30",IF(INDEX(tblCleanData[Age],1396)&lt;40,"30-39",IF(INDEX(tblCleanData[Age],1396)&lt;50,"40-49","50+")))</f>
        <v>30-39</v>
      </c>
      <c r="C1404" t="str">
        <f>IF(INDEX(tblCleanData[MonthlyIncome],1396)&lt;=$B$3,"Low Income",IF(INDEX(tblCleanData[MonthlyIncome],1396)&lt;=$B$4,"Medium Income","High Income"))</f>
        <v>High Income</v>
      </c>
      <c r="D1404">
        <f>IF(INDEX(tblCleanData[Attrition],1396)="Yes",1,0)</f>
        <v>1</v>
      </c>
      <c r="E1404">
        <f>IF(INDEX(tblCleanData[OverTime],1396)="Yes",1,0)</f>
        <v>1</v>
      </c>
      <c r="F1404" t="str">
        <f>CHOOSE(INDEX(tblCleanData[Education],1396),"Below College","College","Bachelor","Master","Doctor")</f>
        <v>Master</v>
      </c>
      <c r="G1404" t="str">
        <f>IF(INDEX(tblCleanData[YearsAtCompany],1396)&lt;=2,"0-2 Years",IF(INDEX(tblCleanData[YearsAtCompany],1396)&lt;=5,"3-5 Years",IF(INDEX(tblCleanData[YearsAtCompany],1396)&lt;=10,"6-10 Years","10+ Years")))</f>
        <v>6-10 Years</v>
      </c>
      <c r="H1404" t="str">
        <f>IF(INDEX(tblCleanData[WorkLifeBalance],1396)&lt;=2,"Elevated","Normal")</f>
        <v>Normal</v>
      </c>
      <c r="I1404">
        <f>IF(INDEX(tblCleanData[Age],1396)&lt;30,30,IF(INDEX(tblCleanData[Age],1396)&lt;40,20,IF(INDEX(tblCleanData[Age],1396)&lt;50,10,15)))</f>
        <v>20</v>
      </c>
      <c r="J1404">
        <f>IF(INDEX(tblCleanData[MonthlyIncome],1396)&lt;=$B$3,25,IF(INDEX(tblCleanData[MonthlyIncome],1396)&lt;=$B$4,12,5))</f>
        <v>5</v>
      </c>
      <c r="K1404">
        <f>IF(INDEX(tblCleanData[OverTime],1396)="Yes",25,0)</f>
        <v>25</v>
      </c>
      <c r="L1404">
        <f>(5-INDEX(tblCleanData[JobSatisfaction],1396))*6.25</f>
        <v>6.25</v>
      </c>
      <c r="M1404">
        <f>IF(INDEX(tblCleanData[YearsAtCompany],1396)&lt;=2,25,IF(INDEX(tblCleanData[YearsAtCompany],1396)&lt;=5,15,IF(INDEX(tblCleanData[YearsAtCompany],1396)&lt;=10,8,3)))</f>
        <v>8</v>
      </c>
      <c r="N1404">
        <f t="shared" si="42"/>
        <v>64</v>
      </c>
      <c r="O1404" t="str">
        <f t="shared" si="43"/>
        <v>High Risk</v>
      </c>
    </row>
    <row r="1405" spans="1:15" x14ac:dyDescent="0.25">
      <c r="A1405">
        <f>INDEX(tblCleanData[EmployeeNumber],1397)</f>
        <v>1968</v>
      </c>
      <c r="B1405" t="str">
        <f>IF(INDEX(tblCleanData[Age],1397)&lt;30,"Under 30",IF(INDEX(tblCleanData[Age],1397)&lt;40,"30-39",IF(INDEX(tblCleanData[Age],1397)&lt;50,"40-49","50+")))</f>
        <v>50+</v>
      </c>
      <c r="C1405" t="str">
        <f>IF(INDEX(tblCleanData[MonthlyIncome],1397)&lt;=$B$3,"Low Income",IF(INDEX(tblCleanData[MonthlyIncome],1397)&lt;=$B$4,"Medium Income","High Income"))</f>
        <v>High Income</v>
      </c>
      <c r="D1405">
        <f>IF(INDEX(tblCleanData[Attrition],1397)="Yes",1,0)</f>
        <v>1</v>
      </c>
      <c r="E1405">
        <f>IF(INDEX(tblCleanData[OverTime],1397)="Yes",1,0)</f>
        <v>1</v>
      </c>
      <c r="F1405" t="str">
        <f>CHOOSE(INDEX(tblCleanData[Education],1397),"Below College","College","Bachelor","Master","Doctor")</f>
        <v>Master</v>
      </c>
      <c r="G1405" t="str">
        <f>IF(INDEX(tblCleanData[YearsAtCompany],1397)&lt;=2,"0-2 Years",IF(INDEX(tblCleanData[YearsAtCompany],1397)&lt;=5,"3-5 Years",IF(INDEX(tblCleanData[YearsAtCompany],1397)&lt;=10,"6-10 Years","10+ Years")))</f>
        <v>0-2 Years</v>
      </c>
      <c r="H1405" t="str">
        <f>IF(INDEX(tblCleanData[WorkLifeBalance],1397)&lt;=2,"Elevated","Normal")</f>
        <v>Elevated</v>
      </c>
      <c r="I1405">
        <f>IF(INDEX(tblCleanData[Age],1397)&lt;30,30,IF(INDEX(tblCleanData[Age],1397)&lt;40,20,IF(INDEX(tblCleanData[Age],1397)&lt;50,10,15)))</f>
        <v>15</v>
      </c>
      <c r="J1405">
        <f>IF(INDEX(tblCleanData[MonthlyIncome],1397)&lt;=$B$3,25,IF(INDEX(tblCleanData[MonthlyIncome],1397)&lt;=$B$4,12,5))</f>
        <v>5</v>
      </c>
      <c r="K1405">
        <f>IF(INDEX(tblCleanData[OverTime],1397)="Yes",25,0)</f>
        <v>25</v>
      </c>
      <c r="L1405">
        <f>(5-INDEX(tblCleanData[JobSatisfaction],1397))*6.25</f>
        <v>25</v>
      </c>
      <c r="M1405">
        <f>IF(INDEX(tblCleanData[YearsAtCompany],1397)&lt;=2,25,IF(INDEX(tblCleanData[YearsAtCompany],1397)&lt;=5,15,IF(INDEX(tblCleanData[YearsAtCompany],1397)&lt;=10,8,3)))</f>
        <v>25</v>
      </c>
      <c r="N1405">
        <f t="shared" si="42"/>
        <v>95</v>
      </c>
      <c r="O1405" t="str">
        <f t="shared" si="43"/>
        <v>High Risk</v>
      </c>
    </row>
    <row r="1406" spans="1:15" x14ac:dyDescent="0.25">
      <c r="A1406">
        <f>INDEX(tblCleanData[EmployeeNumber],1398)</f>
        <v>1969</v>
      </c>
      <c r="B1406" t="str">
        <f>IF(INDEX(tblCleanData[Age],1398)&lt;30,"Under 30",IF(INDEX(tblCleanData[Age],1398)&lt;40,"30-39",IF(INDEX(tblCleanData[Age],1398)&lt;50,"40-49","50+")))</f>
        <v>50+</v>
      </c>
      <c r="C1406" t="str">
        <f>IF(INDEX(tblCleanData[MonthlyIncome],1398)&lt;=$B$3,"Low Income",IF(INDEX(tblCleanData[MonthlyIncome],1398)&lt;=$B$4,"Medium Income","High Income"))</f>
        <v>High Income</v>
      </c>
      <c r="D1406">
        <f>IF(INDEX(tblCleanData[Attrition],1398)="Yes",1,0)</f>
        <v>0</v>
      </c>
      <c r="E1406">
        <f>IF(INDEX(tblCleanData[OverTime],1398)="Yes",1,0)</f>
        <v>0</v>
      </c>
      <c r="F1406" t="str">
        <f>CHOOSE(INDEX(tblCleanData[Education],1398),"Below College","College","Bachelor","Master","Doctor")</f>
        <v>College</v>
      </c>
      <c r="G1406" t="str">
        <f>IF(INDEX(tblCleanData[YearsAtCompany],1398)&lt;=2,"0-2 Years",IF(INDEX(tblCleanData[YearsAtCompany],1398)&lt;=5,"3-5 Years",IF(INDEX(tblCleanData[YearsAtCompany],1398)&lt;=10,"6-10 Years","10+ Years")))</f>
        <v>3-5 Years</v>
      </c>
      <c r="H1406" t="str">
        <f>IF(INDEX(tblCleanData[WorkLifeBalance],1398)&lt;=2,"Elevated","Normal")</f>
        <v>Elevated</v>
      </c>
      <c r="I1406">
        <f>IF(INDEX(tblCleanData[Age],1398)&lt;30,30,IF(INDEX(tblCleanData[Age],1398)&lt;40,20,IF(INDEX(tblCleanData[Age],1398)&lt;50,10,15)))</f>
        <v>15</v>
      </c>
      <c r="J1406">
        <f>IF(INDEX(tblCleanData[MonthlyIncome],1398)&lt;=$B$3,25,IF(INDEX(tblCleanData[MonthlyIncome],1398)&lt;=$B$4,12,5))</f>
        <v>5</v>
      </c>
      <c r="K1406">
        <f>IF(INDEX(tblCleanData[OverTime],1398)="Yes",25,0)</f>
        <v>0</v>
      </c>
      <c r="L1406">
        <f>(5-INDEX(tblCleanData[JobSatisfaction],1398))*6.25</f>
        <v>12.5</v>
      </c>
      <c r="M1406">
        <f>IF(INDEX(tblCleanData[YearsAtCompany],1398)&lt;=2,25,IF(INDEX(tblCleanData[YearsAtCompany],1398)&lt;=5,15,IF(INDEX(tblCleanData[YearsAtCompany],1398)&lt;=10,8,3)))</f>
        <v>15</v>
      </c>
      <c r="N1406">
        <f t="shared" si="42"/>
        <v>48</v>
      </c>
      <c r="O1406" t="str">
        <f t="shared" si="43"/>
        <v>Medium Risk</v>
      </c>
    </row>
    <row r="1407" spans="1:15" x14ac:dyDescent="0.25">
      <c r="A1407">
        <f>INDEX(tblCleanData[EmployeeNumber],1399)</f>
        <v>1970</v>
      </c>
      <c r="B1407" t="str">
        <f>IF(INDEX(tblCleanData[Age],1399)&lt;30,"Under 30",IF(INDEX(tblCleanData[Age],1399)&lt;40,"30-39",IF(INDEX(tblCleanData[Age],1399)&lt;50,"40-49","50+")))</f>
        <v>30-39</v>
      </c>
      <c r="C1407" t="str">
        <f>IF(INDEX(tblCleanData[MonthlyIncome],1399)&lt;=$B$3,"Low Income",IF(INDEX(tblCleanData[MonthlyIncome],1399)&lt;=$B$4,"Medium Income","High Income"))</f>
        <v>High Income</v>
      </c>
      <c r="D1407">
        <f>IF(INDEX(tblCleanData[Attrition],1399)="Yes",1,0)</f>
        <v>0</v>
      </c>
      <c r="E1407">
        <f>IF(INDEX(tblCleanData[OverTime],1399)="Yes",1,0)</f>
        <v>0</v>
      </c>
      <c r="F1407" t="str">
        <f>CHOOSE(INDEX(tblCleanData[Education],1399),"Below College","College","Bachelor","Master","Doctor")</f>
        <v>College</v>
      </c>
      <c r="G1407" t="str">
        <f>IF(INDEX(tblCleanData[YearsAtCompany],1399)&lt;=2,"0-2 Years",IF(INDEX(tblCleanData[YearsAtCompany],1399)&lt;=5,"3-5 Years",IF(INDEX(tblCleanData[YearsAtCompany],1399)&lt;=10,"6-10 Years","10+ Years")))</f>
        <v>6-10 Years</v>
      </c>
      <c r="H1407" t="str">
        <f>IF(INDEX(tblCleanData[WorkLifeBalance],1399)&lt;=2,"Elevated","Normal")</f>
        <v>Normal</v>
      </c>
      <c r="I1407">
        <f>IF(INDEX(tblCleanData[Age],1399)&lt;30,30,IF(INDEX(tblCleanData[Age],1399)&lt;40,20,IF(INDEX(tblCleanData[Age],1399)&lt;50,10,15)))</f>
        <v>20</v>
      </c>
      <c r="J1407">
        <f>IF(INDEX(tblCleanData[MonthlyIncome],1399)&lt;=$B$3,25,IF(INDEX(tblCleanData[MonthlyIncome],1399)&lt;=$B$4,12,5))</f>
        <v>5</v>
      </c>
      <c r="K1407">
        <f>IF(INDEX(tblCleanData[OverTime],1399)="Yes",25,0)</f>
        <v>0</v>
      </c>
      <c r="L1407">
        <f>(5-INDEX(tblCleanData[JobSatisfaction],1399))*6.25</f>
        <v>12.5</v>
      </c>
      <c r="M1407">
        <f>IF(INDEX(tblCleanData[YearsAtCompany],1399)&lt;=2,25,IF(INDEX(tblCleanData[YearsAtCompany],1399)&lt;=5,15,IF(INDEX(tblCleanData[YearsAtCompany],1399)&lt;=10,8,3)))</f>
        <v>8</v>
      </c>
      <c r="N1407">
        <f t="shared" si="42"/>
        <v>46</v>
      </c>
      <c r="O1407" t="str">
        <f t="shared" si="43"/>
        <v>Medium Risk</v>
      </c>
    </row>
    <row r="1408" spans="1:15" x14ac:dyDescent="0.25">
      <c r="A1408">
        <f>INDEX(tblCleanData[EmployeeNumber],1400)</f>
        <v>1971</v>
      </c>
      <c r="B1408" t="str">
        <f>IF(INDEX(tblCleanData[Age],1400)&lt;30,"Under 30",IF(INDEX(tblCleanData[Age],1400)&lt;40,"30-39",IF(INDEX(tblCleanData[Age],1400)&lt;50,"40-49","50+")))</f>
        <v>40-49</v>
      </c>
      <c r="C1408" t="str">
        <f>IF(INDEX(tblCleanData[MonthlyIncome],1400)&lt;=$B$3,"Low Income",IF(INDEX(tblCleanData[MonthlyIncome],1400)&lt;=$B$4,"Medium Income","High Income"))</f>
        <v>High Income</v>
      </c>
      <c r="D1408">
        <f>IF(INDEX(tblCleanData[Attrition],1400)="Yes",1,0)</f>
        <v>0</v>
      </c>
      <c r="E1408">
        <f>IF(INDEX(tblCleanData[OverTime],1400)="Yes",1,0)</f>
        <v>0</v>
      </c>
      <c r="F1408" t="str">
        <f>CHOOSE(INDEX(tblCleanData[Education],1400),"Below College","College","Bachelor","Master","Doctor")</f>
        <v>Bachelor</v>
      </c>
      <c r="G1408" t="str">
        <f>IF(INDEX(tblCleanData[YearsAtCompany],1400)&lt;=2,"0-2 Years",IF(INDEX(tblCleanData[YearsAtCompany],1400)&lt;=5,"3-5 Years",IF(INDEX(tblCleanData[YearsAtCompany],1400)&lt;=10,"6-10 Years","10+ Years")))</f>
        <v>6-10 Years</v>
      </c>
      <c r="H1408" t="str">
        <f>IF(INDEX(tblCleanData[WorkLifeBalance],1400)&lt;=2,"Elevated","Normal")</f>
        <v>Normal</v>
      </c>
      <c r="I1408">
        <f>IF(INDEX(tblCleanData[Age],1400)&lt;30,30,IF(INDEX(tblCleanData[Age],1400)&lt;40,20,IF(INDEX(tblCleanData[Age],1400)&lt;50,10,15)))</f>
        <v>10</v>
      </c>
      <c r="J1408">
        <f>IF(INDEX(tblCleanData[MonthlyIncome],1400)&lt;=$B$3,25,IF(INDEX(tblCleanData[MonthlyIncome],1400)&lt;=$B$4,12,5))</f>
        <v>5</v>
      </c>
      <c r="K1408">
        <f>IF(INDEX(tblCleanData[OverTime],1400)="Yes",25,0)</f>
        <v>0</v>
      </c>
      <c r="L1408">
        <f>(5-INDEX(tblCleanData[JobSatisfaction],1400))*6.25</f>
        <v>12.5</v>
      </c>
      <c r="M1408">
        <f>IF(INDEX(tblCleanData[YearsAtCompany],1400)&lt;=2,25,IF(INDEX(tblCleanData[YearsAtCompany],1400)&lt;=5,15,IF(INDEX(tblCleanData[YearsAtCompany],1400)&lt;=10,8,3)))</f>
        <v>8</v>
      </c>
      <c r="N1408">
        <f t="shared" si="42"/>
        <v>36</v>
      </c>
      <c r="O1408" t="str">
        <f t="shared" si="43"/>
        <v>Medium Risk</v>
      </c>
    </row>
    <row r="1409" spans="1:15" x14ac:dyDescent="0.25">
      <c r="A1409">
        <f>INDEX(tblCleanData[EmployeeNumber],1401)</f>
        <v>1972</v>
      </c>
      <c r="B1409" t="str">
        <f>IF(INDEX(tblCleanData[Age],1401)&lt;30,"Under 30",IF(INDEX(tblCleanData[Age],1401)&lt;40,"30-39",IF(INDEX(tblCleanData[Age],1401)&lt;50,"40-49","50+")))</f>
        <v>30-39</v>
      </c>
      <c r="C1409" t="str">
        <f>IF(INDEX(tblCleanData[MonthlyIncome],1401)&lt;=$B$3,"Low Income",IF(INDEX(tblCleanData[MonthlyIncome],1401)&lt;=$B$4,"Medium Income","High Income"))</f>
        <v>High Income</v>
      </c>
      <c r="D1409">
        <f>IF(INDEX(tblCleanData[Attrition],1401)="Yes",1,0)</f>
        <v>0</v>
      </c>
      <c r="E1409">
        <f>IF(INDEX(tblCleanData[OverTime],1401)="Yes",1,0)</f>
        <v>1</v>
      </c>
      <c r="F1409" t="str">
        <f>CHOOSE(INDEX(tblCleanData[Education],1401),"Below College","College","Bachelor","Master","Doctor")</f>
        <v>Master</v>
      </c>
      <c r="G1409" t="str">
        <f>IF(INDEX(tblCleanData[YearsAtCompany],1401)&lt;=2,"0-2 Years",IF(INDEX(tblCleanData[YearsAtCompany],1401)&lt;=5,"3-5 Years",IF(INDEX(tblCleanData[YearsAtCompany],1401)&lt;=10,"6-10 Years","10+ Years")))</f>
        <v>6-10 Years</v>
      </c>
      <c r="H1409" t="str">
        <f>IF(INDEX(tblCleanData[WorkLifeBalance],1401)&lt;=2,"Elevated","Normal")</f>
        <v>Normal</v>
      </c>
      <c r="I1409">
        <f>IF(INDEX(tblCleanData[Age],1401)&lt;30,30,IF(INDEX(tblCleanData[Age],1401)&lt;40,20,IF(INDEX(tblCleanData[Age],1401)&lt;50,10,15)))</f>
        <v>20</v>
      </c>
      <c r="J1409">
        <f>IF(INDEX(tblCleanData[MonthlyIncome],1401)&lt;=$B$3,25,IF(INDEX(tblCleanData[MonthlyIncome],1401)&lt;=$B$4,12,5))</f>
        <v>5</v>
      </c>
      <c r="K1409">
        <f>IF(INDEX(tblCleanData[OverTime],1401)="Yes",25,0)</f>
        <v>25</v>
      </c>
      <c r="L1409">
        <f>(5-INDEX(tblCleanData[JobSatisfaction],1401))*6.25</f>
        <v>18.75</v>
      </c>
      <c r="M1409">
        <f>IF(INDEX(tblCleanData[YearsAtCompany],1401)&lt;=2,25,IF(INDEX(tblCleanData[YearsAtCompany],1401)&lt;=5,15,IF(INDEX(tblCleanData[YearsAtCompany],1401)&lt;=10,8,3)))</f>
        <v>8</v>
      </c>
      <c r="N1409">
        <f t="shared" si="42"/>
        <v>77</v>
      </c>
      <c r="O1409" t="str">
        <f t="shared" si="43"/>
        <v>High Risk</v>
      </c>
    </row>
    <row r="1410" spans="1:15" x14ac:dyDescent="0.25">
      <c r="A1410">
        <f>INDEX(tblCleanData[EmployeeNumber],1402)</f>
        <v>1973</v>
      </c>
      <c r="B1410" t="str">
        <f>IF(INDEX(tblCleanData[Age],1402)&lt;30,"Under 30",IF(INDEX(tblCleanData[Age],1402)&lt;40,"30-39",IF(INDEX(tblCleanData[Age],1402)&lt;50,"40-49","50+")))</f>
        <v>50+</v>
      </c>
      <c r="C1410" t="str">
        <f>IF(INDEX(tblCleanData[MonthlyIncome],1402)&lt;=$B$3,"Low Income",IF(INDEX(tblCleanData[MonthlyIncome],1402)&lt;=$B$4,"Medium Income","High Income"))</f>
        <v>High Income</v>
      </c>
      <c r="D1410">
        <f>IF(INDEX(tblCleanData[Attrition],1402)="Yes",1,0)</f>
        <v>0</v>
      </c>
      <c r="E1410">
        <f>IF(INDEX(tblCleanData[OverTime],1402)="Yes",1,0)</f>
        <v>1</v>
      </c>
      <c r="F1410" t="str">
        <f>CHOOSE(INDEX(tblCleanData[Education],1402),"Below College","College","Bachelor","Master","Doctor")</f>
        <v>Master</v>
      </c>
      <c r="G1410" t="str">
        <f>IF(INDEX(tblCleanData[YearsAtCompany],1402)&lt;=2,"0-2 Years",IF(INDEX(tblCleanData[YearsAtCompany],1402)&lt;=5,"3-5 Years",IF(INDEX(tblCleanData[YearsAtCompany],1402)&lt;=10,"6-10 Years","10+ Years")))</f>
        <v>6-10 Years</v>
      </c>
      <c r="H1410" t="str">
        <f>IF(INDEX(tblCleanData[WorkLifeBalance],1402)&lt;=2,"Elevated","Normal")</f>
        <v>Normal</v>
      </c>
      <c r="I1410">
        <f>IF(INDEX(tblCleanData[Age],1402)&lt;30,30,IF(INDEX(tblCleanData[Age],1402)&lt;40,20,IF(INDEX(tblCleanData[Age],1402)&lt;50,10,15)))</f>
        <v>15</v>
      </c>
      <c r="J1410">
        <f>IF(INDEX(tblCleanData[MonthlyIncome],1402)&lt;=$B$3,25,IF(INDEX(tblCleanData[MonthlyIncome],1402)&lt;=$B$4,12,5))</f>
        <v>5</v>
      </c>
      <c r="K1410">
        <f>IF(INDEX(tblCleanData[OverTime],1402)="Yes",25,0)</f>
        <v>25</v>
      </c>
      <c r="L1410">
        <f>(5-INDEX(tblCleanData[JobSatisfaction],1402))*6.25</f>
        <v>18.75</v>
      </c>
      <c r="M1410">
        <f>IF(INDEX(tblCleanData[YearsAtCompany],1402)&lt;=2,25,IF(INDEX(tblCleanData[YearsAtCompany],1402)&lt;=5,15,IF(INDEX(tblCleanData[YearsAtCompany],1402)&lt;=10,8,3)))</f>
        <v>8</v>
      </c>
      <c r="N1410">
        <f t="shared" si="42"/>
        <v>72</v>
      </c>
      <c r="O1410" t="str">
        <f t="shared" si="43"/>
        <v>High Risk</v>
      </c>
    </row>
    <row r="1411" spans="1:15" x14ac:dyDescent="0.25">
      <c r="A1411">
        <f>INDEX(tblCleanData[EmployeeNumber],1403)</f>
        <v>1974</v>
      </c>
      <c r="B1411" t="str">
        <f>IF(INDEX(tblCleanData[Age],1403)&lt;30,"Under 30",IF(INDEX(tblCleanData[Age],1403)&lt;40,"30-39",IF(INDEX(tblCleanData[Age],1403)&lt;50,"40-49","50+")))</f>
        <v>30-39</v>
      </c>
      <c r="C1411" t="str">
        <f>IF(INDEX(tblCleanData[MonthlyIncome],1403)&lt;=$B$3,"Low Income",IF(INDEX(tblCleanData[MonthlyIncome],1403)&lt;=$B$4,"Medium Income","High Income"))</f>
        <v>High Income</v>
      </c>
      <c r="D1411">
        <f>IF(INDEX(tblCleanData[Attrition],1403)="Yes",1,0)</f>
        <v>0</v>
      </c>
      <c r="E1411">
        <f>IF(INDEX(tblCleanData[OverTime],1403)="Yes",1,0)</f>
        <v>1</v>
      </c>
      <c r="F1411" t="str">
        <f>CHOOSE(INDEX(tblCleanData[Education],1403),"Below College","College","Bachelor","Master","Doctor")</f>
        <v>Below College</v>
      </c>
      <c r="G1411" t="str">
        <f>IF(INDEX(tblCleanData[YearsAtCompany],1403)&lt;=2,"0-2 Years",IF(INDEX(tblCleanData[YearsAtCompany],1403)&lt;=5,"3-5 Years",IF(INDEX(tblCleanData[YearsAtCompany],1403)&lt;=10,"6-10 Years","10+ Years")))</f>
        <v>0-2 Years</v>
      </c>
      <c r="H1411" t="str">
        <f>IF(INDEX(tblCleanData[WorkLifeBalance],1403)&lt;=2,"Elevated","Normal")</f>
        <v>Normal</v>
      </c>
      <c r="I1411">
        <f>IF(INDEX(tblCleanData[Age],1403)&lt;30,30,IF(INDEX(tblCleanData[Age],1403)&lt;40,20,IF(INDEX(tblCleanData[Age],1403)&lt;50,10,15)))</f>
        <v>20</v>
      </c>
      <c r="J1411">
        <f>IF(INDEX(tblCleanData[MonthlyIncome],1403)&lt;=$B$3,25,IF(INDEX(tblCleanData[MonthlyIncome],1403)&lt;=$B$4,12,5))</f>
        <v>5</v>
      </c>
      <c r="K1411">
        <f>IF(INDEX(tblCleanData[OverTime],1403)="Yes",25,0)</f>
        <v>25</v>
      </c>
      <c r="L1411">
        <f>(5-INDEX(tblCleanData[JobSatisfaction],1403))*6.25</f>
        <v>6.25</v>
      </c>
      <c r="M1411">
        <f>IF(INDEX(tblCleanData[YearsAtCompany],1403)&lt;=2,25,IF(INDEX(tblCleanData[YearsAtCompany],1403)&lt;=5,15,IF(INDEX(tblCleanData[YearsAtCompany],1403)&lt;=10,8,3)))</f>
        <v>25</v>
      </c>
      <c r="N1411">
        <f t="shared" si="42"/>
        <v>81</v>
      </c>
      <c r="O1411" t="str">
        <f t="shared" si="43"/>
        <v>High Risk</v>
      </c>
    </row>
    <row r="1412" spans="1:15" x14ac:dyDescent="0.25">
      <c r="A1412">
        <f>INDEX(tblCleanData[EmployeeNumber],1404)</f>
        <v>1975</v>
      </c>
      <c r="B1412" t="str">
        <f>IF(INDEX(tblCleanData[Age],1404)&lt;30,"Under 30",IF(INDEX(tblCleanData[Age],1404)&lt;40,"30-39",IF(INDEX(tblCleanData[Age],1404)&lt;50,"40-49","50+")))</f>
        <v>30-39</v>
      </c>
      <c r="C1412" t="str">
        <f>IF(INDEX(tblCleanData[MonthlyIncome],1404)&lt;=$B$3,"Low Income",IF(INDEX(tblCleanData[MonthlyIncome],1404)&lt;=$B$4,"Medium Income","High Income"))</f>
        <v>High Income</v>
      </c>
      <c r="D1412">
        <f>IF(INDEX(tblCleanData[Attrition],1404)="Yes",1,0)</f>
        <v>0</v>
      </c>
      <c r="E1412">
        <f>IF(INDEX(tblCleanData[OverTime],1404)="Yes",1,0)</f>
        <v>0</v>
      </c>
      <c r="F1412" t="str">
        <f>CHOOSE(INDEX(tblCleanData[Education],1404),"Below College","College","Bachelor","Master","Doctor")</f>
        <v>Master</v>
      </c>
      <c r="G1412" t="str">
        <f>IF(INDEX(tblCleanData[YearsAtCompany],1404)&lt;=2,"0-2 Years",IF(INDEX(tblCleanData[YearsAtCompany],1404)&lt;=5,"3-5 Years",IF(INDEX(tblCleanData[YearsAtCompany],1404)&lt;=10,"6-10 Years","10+ Years")))</f>
        <v>10+ Years</v>
      </c>
      <c r="H1412" t="str">
        <f>IF(INDEX(tblCleanData[WorkLifeBalance],1404)&lt;=2,"Elevated","Normal")</f>
        <v>Normal</v>
      </c>
      <c r="I1412">
        <f>IF(INDEX(tblCleanData[Age],1404)&lt;30,30,IF(INDEX(tblCleanData[Age],1404)&lt;40,20,IF(INDEX(tblCleanData[Age],1404)&lt;50,10,15)))</f>
        <v>20</v>
      </c>
      <c r="J1412">
        <f>IF(INDEX(tblCleanData[MonthlyIncome],1404)&lt;=$B$3,25,IF(INDEX(tblCleanData[MonthlyIncome],1404)&lt;=$B$4,12,5))</f>
        <v>5</v>
      </c>
      <c r="K1412">
        <f>IF(INDEX(tblCleanData[OverTime],1404)="Yes",25,0)</f>
        <v>0</v>
      </c>
      <c r="L1412">
        <f>(5-INDEX(tblCleanData[JobSatisfaction],1404))*6.25</f>
        <v>25</v>
      </c>
      <c r="M1412">
        <f>IF(INDEX(tblCleanData[YearsAtCompany],1404)&lt;=2,25,IF(INDEX(tblCleanData[YearsAtCompany],1404)&lt;=5,15,IF(INDEX(tblCleanData[YearsAtCompany],1404)&lt;=10,8,3)))</f>
        <v>3</v>
      </c>
      <c r="N1412">
        <f t="shared" si="42"/>
        <v>53</v>
      </c>
      <c r="O1412" t="str">
        <f t="shared" si="43"/>
        <v>Medium Risk</v>
      </c>
    </row>
    <row r="1413" spans="1:15" x14ac:dyDescent="0.25">
      <c r="A1413">
        <f>INDEX(tblCleanData[EmployeeNumber],1405)</f>
        <v>1976</v>
      </c>
      <c r="B1413" t="str">
        <f>IF(INDEX(tblCleanData[Age],1405)&lt;30,"Under 30",IF(INDEX(tblCleanData[Age],1405)&lt;40,"30-39",IF(INDEX(tblCleanData[Age],1405)&lt;50,"40-49","50+")))</f>
        <v>40-49</v>
      </c>
      <c r="C1413" t="str">
        <f>IF(INDEX(tblCleanData[MonthlyIncome],1405)&lt;=$B$3,"Low Income",IF(INDEX(tblCleanData[MonthlyIncome],1405)&lt;=$B$4,"Medium Income","High Income"))</f>
        <v>High Income</v>
      </c>
      <c r="D1413">
        <f>IF(INDEX(tblCleanData[Attrition],1405)="Yes",1,0)</f>
        <v>0</v>
      </c>
      <c r="E1413">
        <f>IF(INDEX(tblCleanData[OverTime],1405)="Yes",1,0)</f>
        <v>0</v>
      </c>
      <c r="F1413" t="str">
        <f>CHOOSE(INDEX(tblCleanData[Education],1405),"Below College","College","Bachelor","Master","Doctor")</f>
        <v>College</v>
      </c>
      <c r="G1413" t="str">
        <f>IF(INDEX(tblCleanData[YearsAtCompany],1405)&lt;=2,"0-2 Years",IF(INDEX(tblCleanData[YearsAtCompany],1405)&lt;=5,"3-5 Years",IF(INDEX(tblCleanData[YearsAtCompany],1405)&lt;=10,"6-10 Years","10+ Years")))</f>
        <v>10+ Years</v>
      </c>
      <c r="H1413" t="str">
        <f>IF(INDEX(tblCleanData[WorkLifeBalance],1405)&lt;=2,"Elevated","Normal")</f>
        <v>Normal</v>
      </c>
      <c r="I1413">
        <f>IF(INDEX(tblCleanData[Age],1405)&lt;30,30,IF(INDEX(tblCleanData[Age],1405)&lt;40,20,IF(INDEX(tblCleanData[Age],1405)&lt;50,10,15)))</f>
        <v>10</v>
      </c>
      <c r="J1413">
        <f>IF(INDEX(tblCleanData[MonthlyIncome],1405)&lt;=$B$3,25,IF(INDEX(tblCleanData[MonthlyIncome],1405)&lt;=$B$4,12,5))</f>
        <v>5</v>
      </c>
      <c r="K1413">
        <f>IF(INDEX(tblCleanData[OverTime],1405)="Yes",25,0)</f>
        <v>0</v>
      </c>
      <c r="L1413">
        <f>(5-INDEX(tblCleanData[JobSatisfaction],1405))*6.25</f>
        <v>12.5</v>
      </c>
      <c r="M1413">
        <f>IF(INDEX(tblCleanData[YearsAtCompany],1405)&lt;=2,25,IF(INDEX(tblCleanData[YearsAtCompany],1405)&lt;=5,15,IF(INDEX(tblCleanData[YearsAtCompany],1405)&lt;=10,8,3)))</f>
        <v>3</v>
      </c>
      <c r="N1413">
        <f t="shared" si="42"/>
        <v>31</v>
      </c>
      <c r="O1413" t="str">
        <f t="shared" si="43"/>
        <v>Low Risk</v>
      </c>
    </row>
    <row r="1414" spans="1:15" x14ac:dyDescent="0.25">
      <c r="A1414">
        <f>INDEX(tblCleanData[EmployeeNumber],1406)</f>
        <v>1979</v>
      </c>
      <c r="B1414" t="str">
        <f>IF(INDEX(tblCleanData[Age],1406)&lt;30,"Under 30",IF(INDEX(tblCleanData[Age],1406)&lt;40,"30-39",IF(INDEX(tblCleanData[Age],1406)&lt;50,"40-49","50+")))</f>
        <v>30-39</v>
      </c>
      <c r="C1414" t="str">
        <f>IF(INDEX(tblCleanData[MonthlyIncome],1406)&lt;=$B$3,"Low Income",IF(INDEX(tblCleanData[MonthlyIncome],1406)&lt;=$B$4,"Medium Income","High Income"))</f>
        <v>High Income</v>
      </c>
      <c r="D1414">
        <f>IF(INDEX(tblCleanData[Attrition],1406)="Yes",1,0)</f>
        <v>0</v>
      </c>
      <c r="E1414">
        <f>IF(INDEX(tblCleanData[OverTime],1406)="Yes",1,0)</f>
        <v>0</v>
      </c>
      <c r="F1414" t="str">
        <f>CHOOSE(INDEX(tblCleanData[Education],1406),"Below College","College","Bachelor","Master","Doctor")</f>
        <v>Bachelor</v>
      </c>
      <c r="G1414" t="str">
        <f>IF(INDEX(tblCleanData[YearsAtCompany],1406)&lt;=2,"0-2 Years",IF(INDEX(tblCleanData[YearsAtCompany],1406)&lt;=5,"3-5 Years",IF(INDEX(tblCleanData[YearsAtCompany],1406)&lt;=10,"6-10 Years","10+ Years")))</f>
        <v>10+ Years</v>
      </c>
      <c r="H1414" t="str">
        <f>IF(INDEX(tblCleanData[WorkLifeBalance],1406)&lt;=2,"Elevated","Normal")</f>
        <v>Normal</v>
      </c>
      <c r="I1414">
        <f>IF(INDEX(tblCleanData[Age],1406)&lt;30,30,IF(INDEX(tblCleanData[Age],1406)&lt;40,20,IF(INDEX(tblCleanData[Age],1406)&lt;50,10,15)))</f>
        <v>20</v>
      </c>
      <c r="J1414">
        <f>IF(INDEX(tblCleanData[MonthlyIncome],1406)&lt;=$B$3,25,IF(INDEX(tblCleanData[MonthlyIncome],1406)&lt;=$B$4,12,5))</f>
        <v>5</v>
      </c>
      <c r="K1414">
        <f>IF(INDEX(tblCleanData[OverTime],1406)="Yes",25,0)</f>
        <v>0</v>
      </c>
      <c r="L1414">
        <f>(5-INDEX(tblCleanData[JobSatisfaction],1406))*6.25</f>
        <v>12.5</v>
      </c>
      <c r="M1414">
        <f>IF(INDEX(tblCleanData[YearsAtCompany],1406)&lt;=2,25,IF(INDEX(tblCleanData[YearsAtCompany],1406)&lt;=5,15,IF(INDEX(tblCleanData[YearsAtCompany],1406)&lt;=10,8,3)))</f>
        <v>3</v>
      </c>
      <c r="N1414">
        <f t="shared" si="42"/>
        <v>41</v>
      </c>
      <c r="O1414" t="str">
        <f t="shared" si="43"/>
        <v>Medium Risk</v>
      </c>
    </row>
    <row r="1415" spans="1:15" x14ac:dyDescent="0.25">
      <c r="A1415">
        <f>INDEX(tblCleanData[EmployeeNumber],1407)</f>
        <v>1980</v>
      </c>
      <c r="B1415" t="str">
        <f>IF(INDEX(tblCleanData[Age],1407)&lt;30,"Under 30",IF(INDEX(tblCleanData[Age],1407)&lt;40,"30-39",IF(INDEX(tblCleanData[Age],1407)&lt;50,"40-49","50+")))</f>
        <v>50+</v>
      </c>
      <c r="C1415" t="str">
        <f>IF(INDEX(tblCleanData[MonthlyIncome],1407)&lt;=$B$3,"Low Income",IF(INDEX(tblCleanData[MonthlyIncome],1407)&lt;=$B$4,"Medium Income","High Income"))</f>
        <v>High Income</v>
      </c>
      <c r="D1415">
        <f>IF(INDEX(tblCleanData[Attrition],1407)="Yes",1,0)</f>
        <v>0</v>
      </c>
      <c r="E1415">
        <f>IF(INDEX(tblCleanData[OverTime],1407)="Yes",1,0)</f>
        <v>1</v>
      </c>
      <c r="F1415" t="str">
        <f>CHOOSE(INDEX(tblCleanData[Education],1407),"Below College","College","Bachelor","Master","Doctor")</f>
        <v>Bachelor</v>
      </c>
      <c r="G1415" t="str">
        <f>IF(INDEX(tblCleanData[YearsAtCompany],1407)&lt;=2,"0-2 Years",IF(INDEX(tblCleanData[YearsAtCompany],1407)&lt;=5,"3-5 Years",IF(INDEX(tblCleanData[YearsAtCompany],1407)&lt;=10,"6-10 Years","10+ Years")))</f>
        <v>3-5 Years</v>
      </c>
      <c r="H1415" t="str">
        <f>IF(INDEX(tblCleanData[WorkLifeBalance],1407)&lt;=2,"Elevated","Normal")</f>
        <v>Normal</v>
      </c>
      <c r="I1415">
        <f>IF(INDEX(tblCleanData[Age],1407)&lt;30,30,IF(INDEX(tblCleanData[Age],1407)&lt;40,20,IF(INDEX(tblCleanData[Age],1407)&lt;50,10,15)))</f>
        <v>15</v>
      </c>
      <c r="J1415">
        <f>IF(INDEX(tblCleanData[MonthlyIncome],1407)&lt;=$B$3,25,IF(INDEX(tblCleanData[MonthlyIncome],1407)&lt;=$B$4,12,5))</f>
        <v>5</v>
      </c>
      <c r="K1415">
        <f>IF(INDEX(tblCleanData[OverTime],1407)="Yes",25,0)</f>
        <v>25</v>
      </c>
      <c r="L1415">
        <f>(5-INDEX(tblCleanData[JobSatisfaction],1407))*6.25</f>
        <v>25</v>
      </c>
      <c r="M1415">
        <f>IF(INDEX(tblCleanData[YearsAtCompany],1407)&lt;=2,25,IF(INDEX(tblCleanData[YearsAtCompany],1407)&lt;=5,15,IF(INDEX(tblCleanData[YearsAtCompany],1407)&lt;=10,8,3)))</f>
        <v>15</v>
      </c>
      <c r="N1415">
        <f t="shared" si="42"/>
        <v>85</v>
      </c>
      <c r="O1415" t="str">
        <f t="shared" si="43"/>
        <v>High Risk</v>
      </c>
    </row>
    <row r="1416" spans="1:15" x14ac:dyDescent="0.25">
      <c r="A1416">
        <f>INDEX(tblCleanData[EmployeeNumber],1408)</f>
        <v>1981</v>
      </c>
      <c r="B1416" t="str">
        <f>IF(INDEX(tblCleanData[Age],1408)&lt;30,"Under 30",IF(INDEX(tblCleanData[Age],1408)&lt;40,"30-39",IF(INDEX(tblCleanData[Age],1408)&lt;50,"40-49","50+")))</f>
        <v>Under 30</v>
      </c>
      <c r="C1416" t="str">
        <f>IF(INDEX(tblCleanData[MonthlyIncome],1408)&lt;=$B$3,"Low Income",IF(INDEX(tblCleanData[MonthlyIncome],1408)&lt;=$B$4,"Medium Income","High Income"))</f>
        <v>High Income</v>
      </c>
      <c r="D1416">
        <f>IF(INDEX(tblCleanData[Attrition],1408)="Yes",1,0)</f>
        <v>0</v>
      </c>
      <c r="E1416">
        <f>IF(INDEX(tblCleanData[OverTime],1408)="Yes",1,0)</f>
        <v>0</v>
      </c>
      <c r="F1416" t="str">
        <f>CHOOSE(INDEX(tblCleanData[Education],1408),"Below College","College","Bachelor","Master","Doctor")</f>
        <v>College</v>
      </c>
      <c r="G1416" t="str">
        <f>IF(INDEX(tblCleanData[YearsAtCompany],1408)&lt;=2,"0-2 Years",IF(INDEX(tblCleanData[YearsAtCompany],1408)&lt;=5,"3-5 Years",IF(INDEX(tblCleanData[YearsAtCompany],1408)&lt;=10,"6-10 Years","10+ Years")))</f>
        <v>3-5 Years</v>
      </c>
      <c r="H1416" t="str">
        <f>IF(INDEX(tblCleanData[WorkLifeBalance],1408)&lt;=2,"Elevated","Normal")</f>
        <v>Elevated</v>
      </c>
      <c r="I1416">
        <f>IF(INDEX(tblCleanData[Age],1408)&lt;30,30,IF(INDEX(tblCleanData[Age],1408)&lt;40,20,IF(INDEX(tblCleanData[Age],1408)&lt;50,10,15)))</f>
        <v>30</v>
      </c>
      <c r="J1416">
        <f>IF(INDEX(tblCleanData[MonthlyIncome],1408)&lt;=$B$3,25,IF(INDEX(tblCleanData[MonthlyIncome],1408)&lt;=$B$4,12,5))</f>
        <v>5</v>
      </c>
      <c r="K1416">
        <f>IF(INDEX(tblCleanData[OverTime],1408)="Yes",25,0)</f>
        <v>0</v>
      </c>
      <c r="L1416">
        <f>(5-INDEX(tblCleanData[JobSatisfaction],1408))*6.25</f>
        <v>12.5</v>
      </c>
      <c r="M1416">
        <f>IF(INDEX(tblCleanData[YearsAtCompany],1408)&lt;=2,25,IF(INDEX(tblCleanData[YearsAtCompany],1408)&lt;=5,15,IF(INDEX(tblCleanData[YearsAtCompany],1408)&lt;=10,8,3)))</f>
        <v>15</v>
      </c>
      <c r="N1416">
        <f t="shared" si="42"/>
        <v>63</v>
      </c>
      <c r="O1416" t="str">
        <f t="shared" si="43"/>
        <v>High Risk</v>
      </c>
    </row>
    <row r="1417" spans="1:15" x14ac:dyDescent="0.25">
      <c r="A1417">
        <f>INDEX(tblCleanData[EmployeeNumber],1409)</f>
        <v>1982</v>
      </c>
      <c r="B1417" t="str">
        <f>IF(INDEX(tblCleanData[Age],1409)&lt;30,"Under 30",IF(INDEX(tblCleanData[Age],1409)&lt;40,"30-39",IF(INDEX(tblCleanData[Age],1409)&lt;50,"40-49","50+")))</f>
        <v>Under 30</v>
      </c>
      <c r="C1417" t="str">
        <f>IF(INDEX(tblCleanData[MonthlyIncome],1409)&lt;=$B$3,"Low Income",IF(INDEX(tblCleanData[MonthlyIncome],1409)&lt;=$B$4,"Medium Income","High Income"))</f>
        <v>High Income</v>
      </c>
      <c r="D1417">
        <f>IF(INDEX(tblCleanData[Attrition],1409)="Yes",1,0)</f>
        <v>0</v>
      </c>
      <c r="E1417">
        <f>IF(INDEX(tblCleanData[OverTime],1409)="Yes",1,0)</f>
        <v>0</v>
      </c>
      <c r="F1417" t="str">
        <f>CHOOSE(INDEX(tblCleanData[Education],1409),"Below College","College","Bachelor","Master","Doctor")</f>
        <v>College</v>
      </c>
      <c r="G1417" t="str">
        <f>IF(INDEX(tblCleanData[YearsAtCompany],1409)&lt;=2,"0-2 Years",IF(INDEX(tblCleanData[YearsAtCompany],1409)&lt;=5,"3-5 Years",IF(INDEX(tblCleanData[YearsAtCompany],1409)&lt;=10,"6-10 Years","10+ Years")))</f>
        <v>3-5 Years</v>
      </c>
      <c r="H1417" t="str">
        <f>IF(INDEX(tblCleanData[WorkLifeBalance],1409)&lt;=2,"Elevated","Normal")</f>
        <v>Normal</v>
      </c>
      <c r="I1417">
        <f>IF(INDEX(tblCleanData[Age],1409)&lt;30,30,IF(INDEX(tblCleanData[Age],1409)&lt;40,20,IF(INDEX(tblCleanData[Age],1409)&lt;50,10,15)))</f>
        <v>30</v>
      </c>
      <c r="J1417">
        <f>IF(INDEX(tblCleanData[MonthlyIncome],1409)&lt;=$B$3,25,IF(INDEX(tblCleanData[MonthlyIncome],1409)&lt;=$B$4,12,5))</f>
        <v>5</v>
      </c>
      <c r="K1417">
        <f>IF(INDEX(tblCleanData[OverTime],1409)="Yes",25,0)</f>
        <v>0</v>
      </c>
      <c r="L1417">
        <f>(5-INDEX(tblCleanData[JobSatisfaction],1409))*6.25</f>
        <v>6.25</v>
      </c>
      <c r="M1417">
        <f>IF(INDEX(tblCleanData[YearsAtCompany],1409)&lt;=2,25,IF(INDEX(tblCleanData[YearsAtCompany],1409)&lt;=5,15,IF(INDEX(tblCleanData[YearsAtCompany],1409)&lt;=10,8,3)))</f>
        <v>15</v>
      </c>
      <c r="N1417">
        <f t="shared" ref="N1417:N1478" si="44">ROUND(I1417+J1417+K1417+L1417+M1417,0)</f>
        <v>56</v>
      </c>
      <c r="O1417" t="str">
        <f t="shared" ref="O1417:O1478" si="45">IF(N1417&gt;=55,"High Risk",IF(N1417&gt;=35,"Medium Risk","Low Risk"))</f>
        <v>High Risk</v>
      </c>
    </row>
    <row r="1418" spans="1:15" x14ac:dyDescent="0.25">
      <c r="A1418">
        <f>INDEX(tblCleanData[EmployeeNumber],1410)</f>
        <v>1985</v>
      </c>
      <c r="B1418" t="str">
        <f>IF(INDEX(tblCleanData[Age],1410)&lt;30,"Under 30",IF(INDEX(tblCleanData[Age],1410)&lt;40,"30-39",IF(INDEX(tblCleanData[Age],1410)&lt;50,"40-49","50+")))</f>
        <v>40-49</v>
      </c>
      <c r="C1418" t="str">
        <f>IF(INDEX(tblCleanData[MonthlyIncome],1410)&lt;=$B$3,"Low Income",IF(INDEX(tblCleanData[MonthlyIncome],1410)&lt;=$B$4,"Medium Income","High Income"))</f>
        <v>High Income</v>
      </c>
      <c r="D1418">
        <f>IF(INDEX(tblCleanData[Attrition],1410)="Yes",1,0)</f>
        <v>0</v>
      </c>
      <c r="E1418">
        <f>IF(INDEX(tblCleanData[OverTime],1410)="Yes",1,0)</f>
        <v>0</v>
      </c>
      <c r="F1418" t="str">
        <f>CHOOSE(INDEX(tblCleanData[Education],1410),"Below College","College","Bachelor","Master","Doctor")</f>
        <v>Bachelor</v>
      </c>
      <c r="G1418" t="str">
        <f>IF(INDEX(tblCleanData[YearsAtCompany],1410)&lt;=2,"0-2 Years",IF(INDEX(tblCleanData[YearsAtCompany],1410)&lt;=5,"3-5 Years",IF(INDEX(tblCleanData[YearsAtCompany],1410)&lt;=10,"6-10 Years","10+ Years")))</f>
        <v>6-10 Years</v>
      </c>
      <c r="H1418" t="str">
        <f>IF(INDEX(tblCleanData[WorkLifeBalance],1410)&lt;=2,"Elevated","Normal")</f>
        <v>Normal</v>
      </c>
      <c r="I1418">
        <f>IF(INDEX(tblCleanData[Age],1410)&lt;30,30,IF(INDEX(tblCleanData[Age],1410)&lt;40,20,IF(INDEX(tblCleanData[Age],1410)&lt;50,10,15)))</f>
        <v>10</v>
      </c>
      <c r="J1418">
        <f>IF(INDEX(tblCleanData[MonthlyIncome],1410)&lt;=$B$3,25,IF(INDEX(tblCleanData[MonthlyIncome],1410)&lt;=$B$4,12,5))</f>
        <v>5</v>
      </c>
      <c r="K1418">
        <f>IF(INDEX(tblCleanData[OverTime],1410)="Yes",25,0)</f>
        <v>0</v>
      </c>
      <c r="L1418">
        <f>(5-INDEX(tblCleanData[JobSatisfaction],1410))*6.25</f>
        <v>12.5</v>
      </c>
      <c r="M1418">
        <f>IF(INDEX(tblCleanData[YearsAtCompany],1410)&lt;=2,25,IF(INDEX(tblCleanData[YearsAtCompany],1410)&lt;=5,15,IF(INDEX(tblCleanData[YearsAtCompany],1410)&lt;=10,8,3)))</f>
        <v>8</v>
      </c>
      <c r="N1418">
        <f t="shared" si="44"/>
        <v>36</v>
      </c>
      <c r="O1418" t="str">
        <f t="shared" si="45"/>
        <v>Medium Risk</v>
      </c>
    </row>
    <row r="1419" spans="1:15" x14ac:dyDescent="0.25">
      <c r="A1419">
        <f>INDEX(tblCleanData[EmployeeNumber],1411)</f>
        <v>1986</v>
      </c>
      <c r="B1419" t="str">
        <f>IF(INDEX(tblCleanData[Age],1411)&lt;30,"Under 30",IF(INDEX(tblCleanData[Age],1411)&lt;40,"30-39",IF(INDEX(tblCleanData[Age],1411)&lt;50,"40-49","50+")))</f>
        <v>40-49</v>
      </c>
      <c r="C1419" t="str">
        <f>IF(INDEX(tblCleanData[MonthlyIncome],1411)&lt;=$B$3,"Low Income",IF(INDEX(tblCleanData[MonthlyIncome],1411)&lt;=$B$4,"Medium Income","High Income"))</f>
        <v>High Income</v>
      </c>
      <c r="D1419">
        <f>IF(INDEX(tblCleanData[Attrition],1411)="Yes",1,0)</f>
        <v>0</v>
      </c>
      <c r="E1419">
        <f>IF(INDEX(tblCleanData[OverTime],1411)="Yes",1,0)</f>
        <v>0</v>
      </c>
      <c r="F1419" t="str">
        <f>CHOOSE(INDEX(tblCleanData[Education],1411),"Below College","College","Bachelor","Master","Doctor")</f>
        <v>College</v>
      </c>
      <c r="G1419" t="str">
        <f>IF(INDEX(tblCleanData[YearsAtCompany],1411)&lt;=2,"0-2 Years",IF(INDEX(tblCleanData[YearsAtCompany],1411)&lt;=5,"3-5 Years",IF(INDEX(tblCleanData[YearsAtCompany],1411)&lt;=10,"6-10 Years","10+ Years")))</f>
        <v>10+ Years</v>
      </c>
      <c r="H1419" t="str">
        <f>IF(INDEX(tblCleanData[WorkLifeBalance],1411)&lt;=2,"Elevated","Normal")</f>
        <v>Normal</v>
      </c>
      <c r="I1419">
        <f>IF(INDEX(tblCleanData[Age],1411)&lt;30,30,IF(INDEX(tblCleanData[Age],1411)&lt;40,20,IF(INDEX(tblCleanData[Age],1411)&lt;50,10,15)))</f>
        <v>10</v>
      </c>
      <c r="J1419">
        <f>IF(INDEX(tblCleanData[MonthlyIncome],1411)&lt;=$B$3,25,IF(INDEX(tblCleanData[MonthlyIncome],1411)&lt;=$B$4,12,5))</f>
        <v>5</v>
      </c>
      <c r="K1419">
        <f>IF(INDEX(tblCleanData[OverTime],1411)="Yes",25,0)</f>
        <v>0</v>
      </c>
      <c r="L1419">
        <f>(5-INDEX(tblCleanData[JobSatisfaction],1411))*6.25</f>
        <v>18.75</v>
      </c>
      <c r="M1419">
        <f>IF(INDEX(tblCleanData[YearsAtCompany],1411)&lt;=2,25,IF(INDEX(tblCleanData[YearsAtCompany],1411)&lt;=5,15,IF(INDEX(tblCleanData[YearsAtCompany],1411)&lt;=10,8,3)))</f>
        <v>3</v>
      </c>
      <c r="N1419">
        <f t="shared" si="44"/>
        <v>37</v>
      </c>
      <c r="O1419" t="str">
        <f t="shared" si="45"/>
        <v>Medium Risk</v>
      </c>
    </row>
    <row r="1420" spans="1:15" x14ac:dyDescent="0.25">
      <c r="A1420">
        <f>INDEX(tblCleanData[EmployeeNumber],1412)</f>
        <v>1987</v>
      </c>
      <c r="B1420" t="str">
        <f>IF(INDEX(tblCleanData[Age],1412)&lt;30,"Under 30",IF(INDEX(tblCleanData[Age],1412)&lt;40,"30-39",IF(INDEX(tblCleanData[Age],1412)&lt;50,"40-49","50+")))</f>
        <v>Under 30</v>
      </c>
      <c r="C1420" t="str">
        <f>IF(INDEX(tblCleanData[MonthlyIncome],1412)&lt;=$B$3,"Low Income",IF(INDEX(tblCleanData[MonthlyIncome],1412)&lt;=$B$4,"Medium Income","High Income"))</f>
        <v>High Income</v>
      </c>
      <c r="D1420">
        <f>IF(INDEX(tblCleanData[Attrition],1412)="Yes",1,0)</f>
        <v>0</v>
      </c>
      <c r="E1420">
        <f>IF(INDEX(tblCleanData[OverTime],1412)="Yes",1,0)</f>
        <v>0</v>
      </c>
      <c r="F1420" t="str">
        <f>CHOOSE(INDEX(tblCleanData[Education],1412),"Below College","College","Bachelor","Master","Doctor")</f>
        <v>Bachelor</v>
      </c>
      <c r="G1420" t="str">
        <f>IF(INDEX(tblCleanData[YearsAtCompany],1412)&lt;=2,"0-2 Years",IF(INDEX(tblCleanData[YearsAtCompany],1412)&lt;=5,"3-5 Years",IF(INDEX(tblCleanData[YearsAtCompany],1412)&lt;=10,"6-10 Years","10+ Years")))</f>
        <v>0-2 Years</v>
      </c>
      <c r="H1420" t="str">
        <f>IF(INDEX(tblCleanData[WorkLifeBalance],1412)&lt;=2,"Elevated","Normal")</f>
        <v>Normal</v>
      </c>
      <c r="I1420">
        <f>IF(INDEX(tblCleanData[Age],1412)&lt;30,30,IF(INDEX(tblCleanData[Age],1412)&lt;40,20,IF(INDEX(tblCleanData[Age],1412)&lt;50,10,15)))</f>
        <v>30</v>
      </c>
      <c r="J1420">
        <f>IF(INDEX(tblCleanData[MonthlyIncome],1412)&lt;=$B$3,25,IF(INDEX(tblCleanData[MonthlyIncome],1412)&lt;=$B$4,12,5))</f>
        <v>5</v>
      </c>
      <c r="K1420">
        <f>IF(INDEX(tblCleanData[OverTime],1412)="Yes",25,0)</f>
        <v>0</v>
      </c>
      <c r="L1420">
        <f>(5-INDEX(tblCleanData[JobSatisfaction],1412))*6.25</f>
        <v>18.75</v>
      </c>
      <c r="M1420">
        <f>IF(INDEX(tblCleanData[YearsAtCompany],1412)&lt;=2,25,IF(INDEX(tblCleanData[YearsAtCompany],1412)&lt;=5,15,IF(INDEX(tblCleanData[YearsAtCompany],1412)&lt;=10,8,3)))</f>
        <v>25</v>
      </c>
      <c r="N1420">
        <f t="shared" si="44"/>
        <v>79</v>
      </c>
      <c r="O1420" t="str">
        <f t="shared" si="45"/>
        <v>High Risk</v>
      </c>
    </row>
    <row r="1421" spans="1:15" x14ac:dyDescent="0.25">
      <c r="A1421">
        <f>INDEX(tblCleanData[EmployeeNumber],1413)</f>
        <v>1989</v>
      </c>
      <c r="B1421" t="str">
        <f>IF(INDEX(tblCleanData[Age],1413)&lt;30,"Under 30",IF(INDEX(tblCleanData[Age],1413)&lt;40,"30-39",IF(INDEX(tblCleanData[Age],1413)&lt;50,"40-49","50+")))</f>
        <v>30-39</v>
      </c>
      <c r="C1421" t="str">
        <f>IF(INDEX(tblCleanData[MonthlyIncome],1413)&lt;=$B$3,"Low Income",IF(INDEX(tblCleanData[MonthlyIncome],1413)&lt;=$B$4,"Medium Income","High Income"))</f>
        <v>High Income</v>
      </c>
      <c r="D1421">
        <f>IF(INDEX(tblCleanData[Attrition],1413)="Yes",1,0)</f>
        <v>0</v>
      </c>
      <c r="E1421">
        <f>IF(INDEX(tblCleanData[OverTime],1413)="Yes",1,0)</f>
        <v>0</v>
      </c>
      <c r="F1421" t="str">
        <f>CHOOSE(INDEX(tblCleanData[Education],1413),"Below College","College","Bachelor","Master","Doctor")</f>
        <v>College</v>
      </c>
      <c r="G1421" t="str">
        <f>IF(INDEX(tblCleanData[YearsAtCompany],1413)&lt;=2,"0-2 Years",IF(INDEX(tblCleanData[YearsAtCompany],1413)&lt;=5,"3-5 Years",IF(INDEX(tblCleanData[YearsAtCompany],1413)&lt;=10,"6-10 Years","10+ Years")))</f>
        <v>10+ Years</v>
      </c>
      <c r="H1421" t="str">
        <f>IF(INDEX(tblCleanData[WorkLifeBalance],1413)&lt;=2,"Elevated","Normal")</f>
        <v>Elevated</v>
      </c>
      <c r="I1421">
        <f>IF(INDEX(tblCleanData[Age],1413)&lt;30,30,IF(INDEX(tblCleanData[Age],1413)&lt;40,20,IF(INDEX(tblCleanData[Age],1413)&lt;50,10,15)))</f>
        <v>20</v>
      </c>
      <c r="J1421">
        <f>IF(INDEX(tblCleanData[MonthlyIncome],1413)&lt;=$B$3,25,IF(INDEX(tblCleanData[MonthlyIncome],1413)&lt;=$B$4,12,5))</f>
        <v>5</v>
      </c>
      <c r="K1421">
        <f>IF(INDEX(tblCleanData[OverTime],1413)="Yes",25,0)</f>
        <v>0</v>
      </c>
      <c r="L1421">
        <f>(5-INDEX(tblCleanData[JobSatisfaction],1413))*6.25</f>
        <v>18.75</v>
      </c>
      <c r="M1421">
        <f>IF(INDEX(tblCleanData[YearsAtCompany],1413)&lt;=2,25,IF(INDEX(tblCleanData[YearsAtCompany],1413)&lt;=5,15,IF(INDEX(tblCleanData[YearsAtCompany],1413)&lt;=10,8,3)))</f>
        <v>3</v>
      </c>
      <c r="N1421">
        <f t="shared" si="44"/>
        <v>47</v>
      </c>
      <c r="O1421" t="str">
        <f t="shared" si="45"/>
        <v>Medium Risk</v>
      </c>
    </row>
    <row r="1422" spans="1:15" x14ac:dyDescent="0.25">
      <c r="A1422">
        <f>INDEX(tblCleanData[EmployeeNumber],1414)</f>
        <v>1992</v>
      </c>
      <c r="B1422" t="str">
        <f>IF(INDEX(tblCleanData[Age],1414)&lt;30,"Under 30",IF(INDEX(tblCleanData[Age],1414)&lt;40,"30-39",IF(INDEX(tblCleanData[Age],1414)&lt;50,"40-49","50+")))</f>
        <v>Under 30</v>
      </c>
      <c r="C1422" t="str">
        <f>IF(INDEX(tblCleanData[MonthlyIncome],1414)&lt;=$B$3,"Low Income",IF(INDEX(tblCleanData[MonthlyIncome],1414)&lt;=$B$4,"Medium Income","High Income"))</f>
        <v>High Income</v>
      </c>
      <c r="D1422">
        <f>IF(INDEX(tblCleanData[Attrition],1414)="Yes",1,0)</f>
        <v>0</v>
      </c>
      <c r="E1422">
        <f>IF(INDEX(tblCleanData[OverTime],1414)="Yes",1,0)</f>
        <v>1</v>
      </c>
      <c r="F1422" t="str">
        <f>CHOOSE(INDEX(tblCleanData[Education],1414),"Below College","College","Bachelor","Master","Doctor")</f>
        <v>Below College</v>
      </c>
      <c r="G1422" t="str">
        <f>IF(INDEX(tblCleanData[YearsAtCompany],1414)&lt;=2,"0-2 Years",IF(INDEX(tblCleanData[YearsAtCompany],1414)&lt;=5,"3-5 Years",IF(INDEX(tblCleanData[YearsAtCompany],1414)&lt;=10,"6-10 Years","10+ Years")))</f>
        <v>0-2 Years</v>
      </c>
      <c r="H1422" t="str">
        <f>IF(INDEX(tblCleanData[WorkLifeBalance],1414)&lt;=2,"Elevated","Normal")</f>
        <v>Elevated</v>
      </c>
      <c r="I1422">
        <f>IF(INDEX(tblCleanData[Age],1414)&lt;30,30,IF(INDEX(tblCleanData[Age],1414)&lt;40,20,IF(INDEX(tblCleanData[Age],1414)&lt;50,10,15)))</f>
        <v>30</v>
      </c>
      <c r="J1422">
        <f>IF(INDEX(tblCleanData[MonthlyIncome],1414)&lt;=$B$3,25,IF(INDEX(tblCleanData[MonthlyIncome],1414)&lt;=$B$4,12,5))</f>
        <v>5</v>
      </c>
      <c r="K1422">
        <f>IF(INDEX(tblCleanData[OverTime],1414)="Yes",25,0)</f>
        <v>25</v>
      </c>
      <c r="L1422">
        <f>(5-INDEX(tblCleanData[JobSatisfaction],1414))*6.25</f>
        <v>12.5</v>
      </c>
      <c r="M1422">
        <f>IF(INDEX(tblCleanData[YearsAtCompany],1414)&lt;=2,25,IF(INDEX(tblCleanData[YearsAtCompany],1414)&lt;=5,15,IF(INDEX(tblCleanData[YearsAtCompany],1414)&lt;=10,8,3)))</f>
        <v>25</v>
      </c>
      <c r="N1422">
        <f t="shared" si="44"/>
        <v>98</v>
      </c>
      <c r="O1422" t="str">
        <f t="shared" si="45"/>
        <v>High Risk</v>
      </c>
    </row>
    <row r="1423" spans="1:15" x14ac:dyDescent="0.25">
      <c r="A1423">
        <f>INDEX(tblCleanData[EmployeeNumber],1415)</f>
        <v>1993</v>
      </c>
      <c r="B1423" t="str">
        <f>IF(INDEX(tblCleanData[Age],1415)&lt;30,"Under 30",IF(INDEX(tblCleanData[Age],1415)&lt;40,"30-39",IF(INDEX(tblCleanData[Age],1415)&lt;50,"40-49","50+")))</f>
        <v>40-49</v>
      </c>
      <c r="C1423" t="str">
        <f>IF(INDEX(tblCleanData[MonthlyIncome],1415)&lt;=$B$3,"Low Income",IF(INDEX(tblCleanData[MonthlyIncome],1415)&lt;=$B$4,"Medium Income","High Income"))</f>
        <v>High Income</v>
      </c>
      <c r="D1423">
        <f>IF(INDEX(tblCleanData[Attrition],1415)="Yes",1,0)</f>
        <v>0</v>
      </c>
      <c r="E1423">
        <f>IF(INDEX(tblCleanData[OverTime],1415)="Yes",1,0)</f>
        <v>0</v>
      </c>
      <c r="F1423" t="str">
        <f>CHOOSE(INDEX(tblCleanData[Education],1415),"Below College","College","Bachelor","Master","Doctor")</f>
        <v>Bachelor</v>
      </c>
      <c r="G1423" t="str">
        <f>IF(INDEX(tblCleanData[YearsAtCompany],1415)&lt;=2,"0-2 Years",IF(INDEX(tblCleanData[YearsAtCompany],1415)&lt;=5,"3-5 Years",IF(INDEX(tblCleanData[YearsAtCompany],1415)&lt;=10,"6-10 Years","10+ Years")))</f>
        <v>10+ Years</v>
      </c>
      <c r="H1423" t="str">
        <f>IF(INDEX(tblCleanData[WorkLifeBalance],1415)&lt;=2,"Elevated","Normal")</f>
        <v>Normal</v>
      </c>
      <c r="I1423">
        <f>IF(INDEX(tblCleanData[Age],1415)&lt;30,30,IF(INDEX(tblCleanData[Age],1415)&lt;40,20,IF(INDEX(tblCleanData[Age],1415)&lt;50,10,15)))</f>
        <v>10</v>
      </c>
      <c r="J1423">
        <f>IF(INDEX(tblCleanData[MonthlyIncome],1415)&lt;=$B$3,25,IF(INDEX(tblCleanData[MonthlyIncome],1415)&lt;=$B$4,12,5))</f>
        <v>5</v>
      </c>
      <c r="K1423">
        <f>IF(INDEX(tblCleanData[OverTime],1415)="Yes",25,0)</f>
        <v>0</v>
      </c>
      <c r="L1423">
        <f>(5-INDEX(tblCleanData[JobSatisfaction],1415))*6.25</f>
        <v>12.5</v>
      </c>
      <c r="M1423">
        <f>IF(INDEX(tblCleanData[YearsAtCompany],1415)&lt;=2,25,IF(INDEX(tblCleanData[YearsAtCompany],1415)&lt;=5,15,IF(INDEX(tblCleanData[YearsAtCompany],1415)&lt;=10,8,3)))</f>
        <v>3</v>
      </c>
      <c r="N1423">
        <f t="shared" si="44"/>
        <v>31</v>
      </c>
      <c r="O1423" t="str">
        <f t="shared" si="45"/>
        <v>Low Risk</v>
      </c>
    </row>
    <row r="1424" spans="1:15" x14ac:dyDescent="0.25">
      <c r="A1424">
        <f>INDEX(tblCleanData[EmployeeNumber],1416)</f>
        <v>1994</v>
      </c>
      <c r="B1424" t="str">
        <f>IF(INDEX(tblCleanData[Age],1416)&lt;30,"Under 30",IF(INDEX(tblCleanData[Age],1416)&lt;40,"30-39",IF(INDEX(tblCleanData[Age],1416)&lt;50,"40-49","50+")))</f>
        <v>30-39</v>
      </c>
      <c r="C1424" t="str">
        <f>IF(INDEX(tblCleanData[MonthlyIncome],1416)&lt;=$B$3,"Low Income",IF(INDEX(tblCleanData[MonthlyIncome],1416)&lt;=$B$4,"Medium Income","High Income"))</f>
        <v>High Income</v>
      </c>
      <c r="D1424">
        <f>IF(INDEX(tblCleanData[Attrition],1416)="Yes",1,0)</f>
        <v>0</v>
      </c>
      <c r="E1424">
        <f>IF(INDEX(tblCleanData[OverTime],1416)="Yes",1,0)</f>
        <v>0</v>
      </c>
      <c r="F1424" t="str">
        <f>CHOOSE(INDEX(tblCleanData[Education],1416),"Below College","College","Bachelor","Master","Doctor")</f>
        <v>College</v>
      </c>
      <c r="G1424" t="str">
        <f>IF(INDEX(tblCleanData[YearsAtCompany],1416)&lt;=2,"0-2 Years",IF(INDEX(tblCleanData[YearsAtCompany],1416)&lt;=5,"3-5 Years",IF(INDEX(tblCleanData[YearsAtCompany],1416)&lt;=10,"6-10 Years","10+ Years")))</f>
        <v>0-2 Years</v>
      </c>
      <c r="H1424" t="str">
        <f>IF(INDEX(tblCleanData[WorkLifeBalance],1416)&lt;=2,"Elevated","Normal")</f>
        <v>Elevated</v>
      </c>
      <c r="I1424">
        <f>IF(INDEX(tblCleanData[Age],1416)&lt;30,30,IF(INDEX(tblCleanData[Age],1416)&lt;40,20,IF(INDEX(tblCleanData[Age],1416)&lt;50,10,15)))</f>
        <v>20</v>
      </c>
      <c r="J1424">
        <f>IF(INDEX(tblCleanData[MonthlyIncome],1416)&lt;=$B$3,25,IF(INDEX(tblCleanData[MonthlyIncome],1416)&lt;=$B$4,12,5))</f>
        <v>5</v>
      </c>
      <c r="K1424">
        <f>IF(INDEX(tblCleanData[OverTime],1416)="Yes",25,0)</f>
        <v>0</v>
      </c>
      <c r="L1424">
        <f>(5-INDEX(tblCleanData[JobSatisfaction],1416))*6.25</f>
        <v>12.5</v>
      </c>
      <c r="M1424">
        <f>IF(INDEX(tblCleanData[YearsAtCompany],1416)&lt;=2,25,IF(INDEX(tblCleanData[YearsAtCompany],1416)&lt;=5,15,IF(INDEX(tblCleanData[YearsAtCompany],1416)&lt;=10,8,3)))</f>
        <v>25</v>
      </c>
      <c r="N1424">
        <f t="shared" si="44"/>
        <v>63</v>
      </c>
      <c r="O1424" t="str">
        <f t="shared" si="45"/>
        <v>High Risk</v>
      </c>
    </row>
    <row r="1425" spans="1:15" x14ac:dyDescent="0.25">
      <c r="A1425">
        <f>INDEX(tblCleanData[EmployeeNumber],1417)</f>
        <v>1995</v>
      </c>
      <c r="B1425" t="str">
        <f>IF(INDEX(tblCleanData[Age],1417)&lt;30,"Under 30",IF(INDEX(tblCleanData[Age],1417)&lt;40,"30-39",IF(INDEX(tblCleanData[Age],1417)&lt;50,"40-49","50+")))</f>
        <v>30-39</v>
      </c>
      <c r="C1425" t="str">
        <f>IF(INDEX(tblCleanData[MonthlyIncome],1417)&lt;=$B$3,"Low Income",IF(INDEX(tblCleanData[MonthlyIncome],1417)&lt;=$B$4,"Medium Income","High Income"))</f>
        <v>High Income</v>
      </c>
      <c r="D1425">
        <f>IF(INDEX(tblCleanData[Attrition],1417)="Yes",1,0)</f>
        <v>0</v>
      </c>
      <c r="E1425">
        <f>IF(INDEX(tblCleanData[OverTime],1417)="Yes",1,0)</f>
        <v>0</v>
      </c>
      <c r="F1425" t="str">
        <f>CHOOSE(INDEX(tblCleanData[Education],1417),"Below College","College","Bachelor","Master","Doctor")</f>
        <v>Master</v>
      </c>
      <c r="G1425" t="str">
        <f>IF(INDEX(tblCleanData[YearsAtCompany],1417)&lt;=2,"0-2 Years",IF(INDEX(tblCleanData[YearsAtCompany],1417)&lt;=5,"3-5 Years",IF(INDEX(tblCleanData[YearsAtCompany],1417)&lt;=10,"6-10 Years","10+ Years")))</f>
        <v>10+ Years</v>
      </c>
      <c r="H1425" t="str">
        <f>IF(INDEX(tblCleanData[WorkLifeBalance],1417)&lt;=2,"Elevated","Normal")</f>
        <v>Normal</v>
      </c>
      <c r="I1425">
        <f>IF(INDEX(tblCleanData[Age],1417)&lt;30,30,IF(INDEX(tblCleanData[Age],1417)&lt;40,20,IF(INDEX(tblCleanData[Age],1417)&lt;50,10,15)))</f>
        <v>20</v>
      </c>
      <c r="J1425">
        <f>IF(INDEX(tblCleanData[MonthlyIncome],1417)&lt;=$B$3,25,IF(INDEX(tblCleanData[MonthlyIncome],1417)&lt;=$B$4,12,5))</f>
        <v>5</v>
      </c>
      <c r="K1425">
        <f>IF(INDEX(tblCleanData[OverTime],1417)="Yes",25,0)</f>
        <v>0</v>
      </c>
      <c r="L1425">
        <f>(5-INDEX(tblCleanData[JobSatisfaction],1417))*6.25</f>
        <v>18.75</v>
      </c>
      <c r="M1425">
        <f>IF(INDEX(tblCleanData[YearsAtCompany],1417)&lt;=2,25,IF(INDEX(tblCleanData[YearsAtCompany],1417)&lt;=5,15,IF(INDEX(tblCleanData[YearsAtCompany],1417)&lt;=10,8,3)))</f>
        <v>3</v>
      </c>
      <c r="N1425">
        <f t="shared" si="44"/>
        <v>47</v>
      </c>
      <c r="O1425" t="str">
        <f t="shared" si="45"/>
        <v>Medium Risk</v>
      </c>
    </row>
    <row r="1426" spans="1:15" x14ac:dyDescent="0.25">
      <c r="A1426">
        <f>INDEX(tblCleanData[EmployeeNumber],1418)</f>
        <v>1996</v>
      </c>
      <c r="B1426" t="str">
        <f>IF(INDEX(tblCleanData[Age],1418)&lt;30,"Under 30",IF(INDEX(tblCleanData[Age],1418)&lt;40,"30-39",IF(INDEX(tblCleanData[Age],1418)&lt;50,"40-49","50+")))</f>
        <v>30-39</v>
      </c>
      <c r="C1426" t="str">
        <f>IF(INDEX(tblCleanData[MonthlyIncome],1418)&lt;=$B$3,"Low Income",IF(INDEX(tblCleanData[MonthlyIncome],1418)&lt;=$B$4,"Medium Income","High Income"))</f>
        <v>High Income</v>
      </c>
      <c r="D1426">
        <f>IF(INDEX(tblCleanData[Attrition],1418)="Yes",1,0)</f>
        <v>0</v>
      </c>
      <c r="E1426">
        <f>IF(INDEX(tblCleanData[OverTime],1418)="Yes",1,0)</f>
        <v>0</v>
      </c>
      <c r="F1426" t="str">
        <f>CHOOSE(INDEX(tblCleanData[Education],1418),"Below College","College","Bachelor","Master","Doctor")</f>
        <v>College</v>
      </c>
      <c r="G1426" t="str">
        <f>IF(INDEX(tblCleanData[YearsAtCompany],1418)&lt;=2,"0-2 Years",IF(INDEX(tblCleanData[YearsAtCompany],1418)&lt;=5,"3-5 Years",IF(INDEX(tblCleanData[YearsAtCompany],1418)&lt;=10,"6-10 Years","10+ Years")))</f>
        <v>0-2 Years</v>
      </c>
      <c r="H1426" t="str">
        <f>IF(INDEX(tblCleanData[WorkLifeBalance],1418)&lt;=2,"Elevated","Normal")</f>
        <v>Normal</v>
      </c>
      <c r="I1426">
        <f>IF(INDEX(tblCleanData[Age],1418)&lt;30,30,IF(INDEX(tblCleanData[Age],1418)&lt;40,20,IF(INDEX(tblCleanData[Age],1418)&lt;50,10,15)))</f>
        <v>20</v>
      </c>
      <c r="J1426">
        <f>IF(INDEX(tblCleanData[MonthlyIncome],1418)&lt;=$B$3,25,IF(INDEX(tblCleanData[MonthlyIncome],1418)&lt;=$B$4,12,5))</f>
        <v>5</v>
      </c>
      <c r="K1426">
        <f>IF(INDEX(tblCleanData[OverTime],1418)="Yes",25,0)</f>
        <v>0</v>
      </c>
      <c r="L1426">
        <f>(5-INDEX(tblCleanData[JobSatisfaction],1418))*6.25</f>
        <v>12.5</v>
      </c>
      <c r="M1426">
        <f>IF(INDEX(tblCleanData[YearsAtCompany],1418)&lt;=2,25,IF(INDEX(tblCleanData[YearsAtCompany],1418)&lt;=5,15,IF(INDEX(tblCleanData[YearsAtCompany],1418)&lt;=10,8,3)))</f>
        <v>25</v>
      </c>
      <c r="N1426">
        <f t="shared" si="44"/>
        <v>63</v>
      </c>
      <c r="O1426" t="str">
        <f t="shared" si="45"/>
        <v>High Risk</v>
      </c>
    </row>
    <row r="1427" spans="1:15" x14ac:dyDescent="0.25">
      <c r="A1427">
        <f>INDEX(tblCleanData[EmployeeNumber],1419)</f>
        <v>1997</v>
      </c>
      <c r="B1427" t="str">
        <f>IF(INDEX(tblCleanData[Age],1419)&lt;30,"Under 30",IF(INDEX(tblCleanData[Age],1419)&lt;40,"30-39",IF(INDEX(tblCleanData[Age],1419)&lt;50,"40-49","50+")))</f>
        <v>30-39</v>
      </c>
      <c r="C1427" t="str">
        <f>IF(INDEX(tblCleanData[MonthlyIncome],1419)&lt;=$B$3,"Low Income",IF(INDEX(tblCleanData[MonthlyIncome],1419)&lt;=$B$4,"Medium Income","High Income"))</f>
        <v>High Income</v>
      </c>
      <c r="D1427">
        <f>IF(INDEX(tblCleanData[Attrition],1419)="Yes",1,0)</f>
        <v>0</v>
      </c>
      <c r="E1427">
        <f>IF(INDEX(tblCleanData[OverTime],1419)="Yes",1,0)</f>
        <v>0</v>
      </c>
      <c r="F1427" t="str">
        <f>CHOOSE(INDEX(tblCleanData[Education],1419),"Below College","College","Bachelor","Master","Doctor")</f>
        <v>Master</v>
      </c>
      <c r="G1427" t="str">
        <f>IF(INDEX(tblCleanData[YearsAtCompany],1419)&lt;=2,"0-2 Years",IF(INDEX(tblCleanData[YearsAtCompany],1419)&lt;=5,"3-5 Years",IF(INDEX(tblCleanData[YearsAtCompany],1419)&lt;=10,"6-10 Years","10+ Years")))</f>
        <v>6-10 Years</v>
      </c>
      <c r="H1427" t="str">
        <f>IF(INDEX(tblCleanData[WorkLifeBalance],1419)&lt;=2,"Elevated","Normal")</f>
        <v>Normal</v>
      </c>
      <c r="I1427">
        <f>IF(INDEX(tblCleanData[Age],1419)&lt;30,30,IF(INDEX(tblCleanData[Age],1419)&lt;40,20,IF(INDEX(tblCleanData[Age],1419)&lt;50,10,15)))</f>
        <v>20</v>
      </c>
      <c r="J1427">
        <f>IF(INDEX(tblCleanData[MonthlyIncome],1419)&lt;=$B$3,25,IF(INDEX(tblCleanData[MonthlyIncome],1419)&lt;=$B$4,12,5))</f>
        <v>5</v>
      </c>
      <c r="K1427">
        <f>IF(INDEX(tblCleanData[OverTime],1419)="Yes",25,0)</f>
        <v>0</v>
      </c>
      <c r="L1427">
        <f>(5-INDEX(tblCleanData[JobSatisfaction],1419))*6.25</f>
        <v>12.5</v>
      </c>
      <c r="M1427">
        <f>IF(INDEX(tblCleanData[YearsAtCompany],1419)&lt;=2,25,IF(INDEX(tblCleanData[YearsAtCompany],1419)&lt;=5,15,IF(INDEX(tblCleanData[YearsAtCompany],1419)&lt;=10,8,3)))</f>
        <v>8</v>
      </c>
      <c r="N1427">
        <f t="shared" si="44"/>
        <v>46</v>
      </c>
      <c r="O1427" t="str">
        <f t="shared" si="45"/>
        <v>Medium Risk</v>
      </c>
    </row>
    <row r="1428" spans="1:15" x14ac:dyDescent="0.25">
      <c r="A1428">
        <f>INDEX(tblCleanData[EmployeeNumber],1420)</f>
        <v>1998</v>
      </c>
      <c r="B1428" t="str">
        <f>IF(INDEX(tblCleanData[Age],1420)&lt;30,"Under 30",IF(INDEX(tblCleanData[Age],1420)&lt;40,"30-39",IF(INDEX(tblCleanData[Age],1420)&lt;50,"40-49","50+")))</f>
        <v>40-49</v>
      </c>
      <c r="C1428" t="str">
        <f>IF(INDEX(tblCleanData[MonthlyIncome],1420)&lt;=$B$3,"Low Income",IF(INDEX(tblCleanData[MonthlyIncome],1420)&lt;=$B$4,"Medium Income","High Income"))</f>
        <v>High Income</v>
      </c>
      <c r="D1428">
        <f>IF(INDEX(tblCleanData[Attrition],1420)="Yes",1,0)</f>
        <v>0</v>
      </c>
      <c r="E1428">
        <f>IF(INDEX(tblCleanData[OverTime],1420)="Yes",1,0)</f>
        <v>1</v>
      </c>
      <c r="F1428" t="str">
        <f>CHOOSE(INDEX(tblCleanData[Education],1420),"Below College","College","Bachelor","Master","Doctor")</f>
        <v>Master</v>
      </c>
      <c r="G1428" t="str">
        <f>IF(INDEX(tblCleanData[YearsAtCompany],1420)&lt;=2,"0-2 Years",IF(INDEX(tblCleanData[YearsAtCompany],1420)&lt;=5,"3-5 Years",IF(INDEX(tblCleanData[YearsAtCompany],1420)&lt;=10,"6-10 Years","10+ Years")))</f>
        <v>3-5 Years</v>
      </c>
      <c r="H1428" t="str">
        <f>IF(INDEX(tblCleanData[WorkLifeBalance],1420)&lt;=2,"Elevated","Normal")</f>
        <v>Elevated</v>
      </c>
      <c r="I1428">
        <f>IF(INDEX(tblCleanData[Age],1420)&lt;30,30,IF(INDEX(tblCleanData[Age],1420)&lt;40,20,IF(INDEX(tblCleanData[Age],1420)&lt;50,10,15)))</f>
        <v>10</v>
      </c>
      <c r="J1428">
        <f>IF(INDEX(tblCleanData[MonthlyIncome],1420)&lt;=$B$3,25,IF(INDEX(tblCleanData[MonthlyIncome],1420)&lt;=$B$4,12,5))</f>
        <v>5</v>
      </c>
      <c r="K1428">
        <f>IF(INDEX(tblCleanData[OverTime],1420)="Yes",25,0)</f>
        <v>25</v>
      </c>
      <c r="L1428">
        <f>(5-INDEX(tblCleanData[JobSatisfaction],1420))*6.25</f>
        <v>25</v>
      </c>
      <c r="M1428">
        <f>IF(INDEX(tblCleanData[YearsAtCompany],1420)&lt;=2,25,IF(INDEX(tblCleanData[YearsAtCompany],1420)&lt;=5,15,IF(INDEX(tblCleanData[YearsAtCompany],1420)&lt;=10,8,3)))</f>
        <v>15</v>
      </c>
      <c r="N1428">
        <f t="shared" si="44"/>
        <v>80</v>
      </c>
      <c r="O1428" t="str">
        <f t="shared" si="45"/>
        <v>High Risk</v>
      </c>
    </row>
    <row r="1429" spans="1:15" x14ac:dyDescent="0.25">
      <c r="A1429">
        <f>INDEX(tblCleanData[EmployeeNumber],1421)</f>
        <v>1999</v>
      </c>
      <c r="B1429" t="str">
        <f>IF(INDEX(tblCleanData[Age],1421)&lt;30,"Under 30",IF(INDEX(tblCleanData[Age],1421)&lt;40,"30-39",IF(INDEX(tblCleanData[Age],1421)&lt;50,"40-49","50+")))</f>
        <v>40-49</v>
      </c>
      <c r="C1429" t="str">
        <f>IF(INDEX(tblCleanData[MonthlyIncome],1421)&lt;=$B$3,"Low Income",IF(INDEX(tblCleanData[MonthlyIncome],1421)&lt;=$B$4,"Medium Income","High Income"))</f>
        <v>High Income</v>
      </c>
      <c r="D1429">
        <f>IF(INDEX(tblCleanData[Attrition],1421)="Yes",1,0)</f>
        <v>0</v>
      </c>
      <c r="E1429">
        <f>IF(INDEX(tblCleanData[OverTime],1421)="Yes",1,0)</f>
        <v>0</v>
      </c>
      <c r="F1429" t="str">
        <f>CHOOSE(INDEX(tblCleanData[Education],1421),"Below College","College","Bachelor","Master","Doctor")</f>
        <v>Bachelor</v>
      </c>
      <c r="G1429" t="str">
        <f>IF(INDEX(tblCleanData[YearsAtCompany],1421)&lt;=2,"0-2 Years",IF(INDEX(tblCleanData[YearsAtCompany],1421)&lt;=5,"3-5 Years",IF(INDEX(tblCleanData[YearsAtCompany],1421)&lt;=10,"6-10 Years","10+ Years")))</f>
        <v>3-5 Years</v>
      </c>
      <c r="H1429" t="str">
        <f>IF(INDEX(tblCleanData[WorkLifeBalance],1421)&lt;=2,"Elevated","Normal")</f>
        <v>Normal</v>
      </c>
      <c r="I1429">
        <f>IF(INDEX(tblCleanData[Age],1421)&lt;30,30,IF(INDEX(tblCleanData[Age],1421)&lt;40,20,IF(INDEX(tblCleanData[Age],1421)&lt;50,10,15)))</f>
        <v>10</v>
      </c>
      <c r="J1429">
        <f>IF(INDEX(tblCleanData[MonthlyIncome],1421)&lt;=$B$3,25,IF(INDEX(tblCleanData[MonthlyIncome],1421)&lt;=$B$4,12,5))</f>
        <v>5</v>
      </c>
      <c r="K1429">
        <f>IF(INDEX(tblCleanData[OverTime],1421)="Yes",25,0)</f>
        <v>0</v>
      </c>
      <c r="L1429">
        <f>(5-INDEX(tblCleanData[JobSatisfaction],1421))*6.25</f>
        <v>6.25</v>
      </c>
      <c r="M1429">
        <f>IF(INDEX(tblCleanData[YearsAtCompany],1421)&lt;=2,25,IF(INDEX(tblCleanData[YearsAtCompany],1421)&lt;=5,15,IF(INDEX(tblCleanData[YearsAtCompany],1421)&lt;=10,8,3)))</f>
        <v>15</v>
      </c>
      <c r="N1429">
        <f t="shared" si="44"/>
        <v>36</v>
      </c>
      <c r="O1429" t="str">
        <f t="shared" si="45"/>
        <v>Medium Risk</v>
      </c>
    </row>
    <row r="1430" spans="1:15" x14ac:dyDescent="0.25">
      <c r="A1430">
        <f>INDEX(tblCleanData[EmployeeNumber],1422)</f>
        <v>2000</v>
      </c>
      <c r="B1430" t="str">
        <f>IF(INDEX(tblCleanData[Age],1422)&lt;30,"Under 30",IF(INDEX(tblCleanData[Age],1422)&lt;40,"30-39",IF(INDEX(tblCleanData[Age],1422)&lt;50,"40-49","50+")))</f>
        <v>40-49</v>
      </c>
      <c r="C1430" t="str">
        <f>IF(INDEX(tblCleanData[MonthlyIncome],1422)&lt;=$B$3,"Low Income",IF(INDEX(tblCleanData[MonthlyIncome],1422)&lt;=$B$4,"Medium Income","High Income"))</f>
        <v>High Income</v>
      </c>
      <c r="D1430">
        <f>IF(INDEX(tblCleanData[Attrition],1422)="Yes",1,0)</f>
        <v>0</v>
      </c>
      <c r="E1430">
        <f>IF(INDEX(tblCleanData[OverTime],1422)="Yes",1,0)</f>
        <v>0</v>
      </c>
      <c r="F1430" t="str">
        <f>CHOOSE(INDEX(tblCleanData[Education],1422),"Below College","College","Bachelor","Master","Doctor")</f>
        <v>Below College</v>
      </c>
      <c r="G1430" t="str">
        <f>IF(INDEX(tblCleanData[YearsAtCompany],1422)&lt;=2,"0-2 Years",IF(INDEX(tblCleanData[YearsAtCompany],1422)&lt;=5,"3-5 Years",IF(INDEX(tblCleanData[YearsAtCompany],1422)&lt;=10,"6-10 Years","10+ Years")))</f>
        <v>10+ Years</v>
      </c>
      <c r="H1430" t="str">
        <f>IF(INDEX(tblCleanData[WorkLifeBalance],1422)&lt;=2,"Elevated","Normal")</f>
        <v>Elevated</v>
      </c>
      <c r="I1430">
        <f>IF(INDEX(tblCleanData[Age],1422)&lt;30,30,IF(INDEX(tblCleanData[Age],1422)&lt;40,20,IF(INDEX(tblCleanData[Age],1422)&lt;50,10,15)))</f>
        <v>10</v>
      </c>
      <c r="J1430">
        <f>IF(INDEX(tblCleanData[MonthlyIncome],1422)&lt;=$B$3,25,IF(INDEX(tblCleanData[MonthlyIncome],1422)&lt;=$B$4,12,5))</f>
        <v>5</v>
      </c>
      <c r="K1430">
        <f>IF(INDEX(tblCleanData[OverTime],1422)="Yes",25,0)</f>
        <v>0</v>
      </c>
      <c r="L1430">
        <f>(5-INDEX(tblCleanData[JobSatisfaction],1422))*6.25</f>
        <v>18.75</v>
      </c>
      <c r="M1430">
        <f>IF(INDEX(tblCleanData[YearsAtCompany],1422)&lt;=2,25,IF(INDEX(tblCleanData[YearsAtCompany],1422)&lt;=5,15,IF(INDEX(tblCleanData[YearsAtCompany],1422)&lt;=10,8,3)))</f>
        <v>3</v>
      </c>
      <c r="N1430">
        <f t="shared" si="44"/>
        <v>37</v>
      </c>
      <c r="O1430" t="str">
        <f t="shared" si="45"/>
        <v>Medium Risk</v>
      </c>
    </row>
    <row r="1431" spans="1:15" x14ac:dyDescent="0.25">
      <c r="A1431">
        <f>INDEX(tblCleanData[EmployeeNumber],1423)</f>
        <v>2003</v>
      </c>
      <c r="B1431" t="str">
        <f>IF(INDEX(tblCleanData[Age],1423)&lt;30,"Under 30",IF(INDEX(tblCleanData[Age],1423)&lt;40,"30-39",IF(INDEX(tblCleanData[Age],1423)&lt;50,"40-49","50+")))</f>
        <v>30-39</v>
      </c>
      <c r="C1431" t="str">
        <f>IF(INDEX(tblCleanData[MonthlyIncome],1423)&lt;=$B$3,"Low Income",IF(INDEX(tblCleanData[MonthlyIncome],1423)&lt;=$B$4,"Medium Income","High Income"))</f>
        <v>High Income</v>
      </c>
      <c r="D1431">
        <f>IF(INDEX(tblCleanData[Attrition],1423)="Yes",1,0)</f>
        <v>0</v>
      </c>
      <c r="E1431">
        <f>IF(INDEX(tblCleanData[OverTime],1423)="Yes",1,0)</f>
        <v>1</v>
      </c>
      <c r="F1431" t="str">
        <f>CHOOSE(INDEX(tblCleanData[Education],1423),"Below College","College","Bachelor","Master","Doctor")</f>
        <v>Master</v>
      </c>
      <c r="G1431" t="str">
        <f>IF(INDEX(tblCleanData[YearsAtCompany],1423)&lt;=2,"0-2 Years",IF(INDEX(tblCleanData[YearsAtCompany],1423)&lt;=5,"3-5 Years",IF(INDEX(tblCleanData[YearsAtCompany],1423)&lt;=10,"6-10 Years","10+ Years")))</f>
        <v>0-2 Years</v>
      </c>
      <c r="H1431" t="str">
        <f>IF(INDEX(tblCleanData[WorkLifeBalance],1423)&lt;=2,"Elevated","Normal")</f>
        <v>Normal</v>
      </c>
      <c r="I1431">
        <f>IF(INDEX(tblCleanData[Age],1423)&lt;30,30,IF(INDEX(tblCleanData[Age],1423)&lt;40,20,IF(INDEX(tblCleanData[Age],1423)&lt;50,10,15)))</f>
        <v>20</v>
      </c>
      <c r="J1431">
        <f>IF(INDEX(tblCleanData[MonthlyIncome],1423)&lt;=$B$3,25,IF(INDEX(tblCleanData[MonthlyIncome],1423)&lt;=$B$4,12,5))</f>
        <v>5</v>
      </c>
      <c r="K1431">
        <f>IF(INDEX(tblCleanData[OverTime],1423)="Yes",25,0)</f>
        <v>25</v>
      </c>
      <c r="L1431">
        <f>(5-INDEX(tblCleanData[JobSatisfaction],1423))*6.25</f>
        <v>12.5</v>
      </c>
      <c r="M1431">
        <f>IF(INDEX(tblCleanData[YearsAtCompany],1423)&lt;=2,25,IF(INDEX(tblCleanData[YearsAtCompany],1423)&lt;=5,15,IF(INDEX(tblCleanData[YearsAtCompany],1423)&lt;=10,8,3)))</f>
        <v>25</v>
      </c>
      <c r="N1431">
        <f t="shared" si="44"/>
        <v>88</v>
      </c>
      <c r="O1431" t="str">
        <f t="shared" si="45"/>
        <v>High Risk</v>
      </c>
    </row>
    <row r="1432" spans="1:15" x14ac:dyDescent="0.25">
      <c r="A1432">
        <f>INDEX(tblCleanData[EmployeeNumber],1424)</f>
        <v>2007</v>
      </c>
      <c r="B1432" t="str">
        <f>IF(INDEX(tblCleanData[Age],1424)&lt;30,"Under 30",IF(INDEX(tblCleanData[Age],1424)&lt;40,"30-39",IF(INDEX(tblCleanData[Age],1424)&lt;50,"40-49","50+")))</f>
        <v>Under 30</v>
      </c>
      <c r="C1432" t="str">
        <f>IF(INDEX(tblCleanData[MonthlyIncome],1424)&lt;=$B$3,"Low Income",IF(INDEX(tblCleanData[MonthlyIncome],1424)&lt;=$B$4,"Medium Income","High Income"))</f>
        <v>High Income</v>
      </c>
      <c r="D1432">
        <f>IF(INDEX(tblCleanData[Attrition],1424)="Yes",1,0)</f>
        <v>0</v>
      </c>
      <c r="E1432">
        <f>IF(INDEX(tblCleanData[OverTime],1424)="Yes",1,0)</f>
        <v>0</v>
      </c>
      <c r="F1432" t="str">
        <f>CHOOSE(INDEX(tblCleanData[Education],1424),"Below College","College","Bachelor","Master","Doctor")</f>
        <v>College</v>
      </c>
      <c r="G1432" t="str">
        <f>IF(INDEX(tblCleanData[YearsAtCompany],1424)&lt;=2,"0-2 Years",IF(INDEX(tblCleanData[YearsAtCompany],1424)&lt;=5,"3-5 Years",IF(INDEX(tblCleanData[YearsAtCompany],1424)&lt;=10,"6-10 Years","10+ Years")))</f>
        <v>3-5 Years</v>
      </c>
      <c r="H1432" t="str">
        <f>IF(INDEX(tblCleanData[WorkLifeBalance],1424)&lt;=2,"Elevated","Normal")</f>
        <v>Normal</v>
      </c>
      <c r="I1432">
        <f>IF(INDEX(tblCleanData[Age],1424)&lt;30,30,IF(INDEX(tblCleanData[Age],1424)&lt;40,20,IF(INDEX(tblCleanData[Age],1424)&lt;50,10,15)))</f>
        <v>30</v>
      </c>
      <c r="J1432">
        <f>IF(INDEX(tblCleanData[MonthlyIncome],1424)&lt;=$B$3,25,IF(INDEX(tblCleanData[MonthlyIncome],1424)&lt;=$B$4,12,5))</f>
        <v>5</v>
      </c>
      <c r="K1432">
        <f>IF(INDEX(tblCleanData[OverTime],1424)="Yes",25,0)</f>
        <v>0</v>
      </c>
      <c r="L1432">
        <f>(5-INDEX(tblCleanData[JobSatisfaction],1424))*6.25</f>
        <v>12.5</v>
      </c>
      <c r="M1432">
        <f>IF(INDEX(tblCleanData[YearsAtCompany],1424)&lt;=2,25,IF(INDEX(tblCleanData[YearsAtCompany],1424)&lt;=5,15,IF(INDEX(tblCleanData[YearsAtCompany],1424)&lt;=10,8,3)))</f>
        <v>15</v>
      </c>
      <c r="N1432">
        <f t="shared" si="44"/>
        <v>63</v>
      </c>
      <c r="O1432" t="str">
        <f t="shared" si="45"/>
        <v>High Risk</v>
      </c>
    </row>
    <row r="1433" spans="1:15" x14ac:dyDescent="0.25">
      <c r="A1433">
        <f>INDEX(tblCleanData[EmployeeNumber],1425)</f>
        <v>2008</v>
      </c>
      <c r="B1433" t="str">
        <f>IF(INDEX(tblCleanData[Age],1425)&lt;30,"Under 30",IF(INDEX(tblCleanData[Age],1425)&lt;40,"30-39",IF(INDEX(tblCleanData[Age],1425)&lt;50,"40-49","50+")))</f>
        <v>30-39</v>
      </c>
      <c r="C1433" t="str">
        <f>IF(INDEX(tblCleanData[MonthlyIncome],1425)&lt;=$B$3,"Low Income",IF(INDEX(tblCleanData[MonthlyIncome],1425)&lt;=$B$4,"Medium Income","High Income"))</f>
        <v>High Income</v>
      </c>
      <c r="D1433">
        <f>IF(INDEX(tblCleanData[Attrition],1425)="Yes",1,0)</f>
        <v>0</v>
      </c>
      <c r="E1433">
        <f>IF(INDEX(tblCleanData[OverTime],1425)="Yes",1,0)</f>
        <v>0</v>
      </c>
      <c r="F1433" t="str">
        <f>CHOOSE(INDEX(tblCleanData[Education],1425),"Below College","College","Bachelor","Master","Doctor")</f>
        <v>Master</v>
      </c>
      <c r="G1433" t="str">
        <f>IF(INDEX(tblCleanData[YearsAtCompany],1425)&lt;=2,"0-2 Years",IF(INDEX(tblCleanData[YearsAtCompany],1425)&lt;=5,"3-5 Years",IF(INDEX(tblCleanData[YearsAtCompany],1425)&lt;=10,"6-10 Years","10+ Years")))</f>
        <v>6-10 Years</v>
      </c>
      <c r="H1433" t="str">
        <f>IF(INDEX(tblCleanData[WorkLifeBalance],1425)&lt;=2,"Elevated","Normal")</f>
        <v>Normal</v>
      </c>
      <c r="I1433">
        <f>IF(INDEX(tblCleanData[Age],1425)&lt;30,30,IF(INDEX(tblCleanData[Age],1425)&lt;40,20,IF(INDEX(tblCleanData[Age],1425)&lt;50,10,15)))</f>
        <v>20</v>
      </c>
      <c r="J1433">
        <f>IF(INDEX(tblCleanData[MonthlyIncome],1425)&lt;=$B$3,25,IF(INDEX(tblCleanData[MonthlyIncome],1425)&lt;=$B$4,12,5))</f>
        <v>5</v>
      </c>
      <c r="K1433">
        <f>IF(INDEX(tblCleanData[OverTime],1425)="Yes",25,0)</f>
        <v>0</v>
      </c>
      <c r="L1433">
        <f>(5-INDEX(tblCleanData[JobSatisfaction],1425))*6.25</f>
        <v>12.5</v>
      </c>
      <c r="M1433">
        <f>IF(INDEX(tblCleanData[YearsAtCompany],1425)&lt;=2,25,IF(INDEX(tblCleanData[YearsAtCompany],1425)&lt;=5,15,IF(INDEX(tblCleanData[YearsAtCompany],1425)&lt;=10,8,3)))</f>
        <v>8</v>
      </c>
      <c r="N1433">
        <f t="shared" si="44"/>
        <v>46</v>
      </c>
      <c r="O1433" t="str">
        <f t="shared" si="45"/>
        <v>Medium Risk</v>
      </c>
    </row>
    <row r="1434" spans="1:15" x14ac:dyDescent="0.25">
      <c r="A1434">
        <f>INDEX(tblCleanData[EmployeeNumber],1426)</f>
        <v>2009</v>
      </c>
      <c r="B1434" t="str">
        <f>IF(INDEX(tblCleanData[Age],1426)&lt;30,"Under 30",IF(INDEX(tblCleanData[Age],1426)&lt;40,"30-39",IF(INDEX(tblCleanData[Age],1426)&lt;50,"40-49","50+")))</f>
        <v>30-39</v>
      </c>
      <c r="C1434" t="str">
        <f>IF(INDEX(tblCleanData[MonthlyIncome],1426)&lt;=$B$3,"Low Income",IF(INDEX(tblCleanData[MonthlyIncome],1426)&lt;=$B$4,"Medium Income","High Income"))</f>
        <v>High Income</v>
      </c>
      <c r="D1434">
        <f>IF(INDEX(tblCleanData[Attrition],1426)="Yes",1,0)</f>
        <v>0</v>
      </c>
      <c r="E1434">
        <f>IF(INDEX(tblCleanData[OverTime],1426)="Yes",1,0)</f>
        <v>1</v>
      </c>
      <c r="F1434" t="str">
        <f>CHOOSE(INDEX(tblCleanData[Education],1426),"Below College","College","Bachelor","Master","Doctor")</f>
        <v>College</v>
      </c>
      <c r="G1434" t="str">
        <f>IF(INDEX(tblCleanData[YearsAtCompany],1426)&lt;=2,"0-2 Years",IF(INDEX(tblCleanData[YearsAtCompany],1426)&lt;=5,"3-5 Years",IF(INDEX(tblCleanData[YearsAtCompany],1426)&lt;=10,"6-10 Years","10+ Years")))</f>
        <v>6-10 Years</v>
      </c>
      <c r="H1434" t="str">
        <f>IF(INDEX(tblCleanData[WorkLifeBalance],1426)&lt;=2,"Elevated","Normal")</f>
        <v>Normal</v>
      </c>
      <c r="I1434">
        <f>IF(INDEX(tblCleanData[Age],1426)&lt;30,30,IF(INDEX(tblCleanData[Age],1426)&lt;40,20,IF(INDEX(tblCleanData[Age],1426)&lt;50,10,15)))</f>
        <v>20</v>
      </c>
      <c r="J1434">
        <f>IF(INDEX(tblCleanData[MonthlyIncome],1426)&lt;=$B$3,25,IF(INDEX(tblCleanData[MonthlyIncome],1426)&lt;=$B$4,12,5))</f>
        <v>5</v>
      </c>
      <c r="K1434">
        <f>IF(INDEX(tblCleanData[OverTime],1426)="Yes",25,0)</f>
        <v>25</v>
      </c>
      <c r="L1434">
        <f>(5-INDEX(tblCleanData[JobSatisfaction],1426))*6.25</f>
        <v>6.25</v>
      </c>
      <c r="M1434">
        <f>IF(INDEX(tblCleanData[YearsAtCompany],1426)&lt;=2,25,IF(INDEX(tblCleanData[YearsAtCompany],1426)&lt;=5,15,IF(INDEX(tblCleanData[YearsAtCompany],1426)&lt;=10,8,3)))</f>
        <v>8</v>
      </c>
      <c r="N1434">
        <f t="shared" si="44"/>
        <v>64</v>
      </c>
      <c r="O1434" t="str">
        <f t="shared" si="45"/>
        <v>High Risk</v>
      </c>
    </row>
    <row r="1435" spans="1:15" x14ac:dyDescent="0.25">
      <c r="A1435">
        <f>INDEX(tblCleanData[EmployeeNumber],1427)</f>
        <v>2010</v>
      </c>
      <c r="B1435" t="str">
        <f>IF(INDEX(tblCleanData[Age],1427)&lt;30,"Under 30",IF(INDEX(tblCleanData[Age],1427)&lt;40,"30-39",IF(INDEX(tblCleanData[Age],1427)&lt;50,"40-49","50+")))</f>
        <v>30-39</v>
      </c>
      <c r="C1435" t="str">
        <f>IF(INDEX(tblCleanData[MonthlyIncome],1427)&lt;=$B$3,"Low Income",IF(INDEX(tblCleanData[MonthlyIncome],1427)&lt;=$B$4,"Medium Income","High Income"))</f>
        <v>High Income</v>
      </c>
      <c r="D1435">
        <f>IF(INDEX(tblCleanData[Attrition],1427)="Yes",1,0)</f>
        <v>0</v>
      </c>
      <c r="E1435">
        <f>IF(INDEX(tblCleanData[OverTime],1427)="Yes",1,0)</f>
        <v>0</v>
      </c>
      <c r="F1435" t="str">
        <f>CHOOSE(INDEX(tblCleanData[Education],1427),"Below College","College","Bachelor","Master","Doctor")</f>
        <v>Master</v>
      </c>
      <c r="G1435" t="str">
        <f>IF(INDEX(tblCleanData[YearsAtCompany],1427)&lt;=2,"0-2 Years",IF(INDEX(tblCleanData[YearsAtCompany],1427)&lt;=5,"3-5 Years",IF(INDEX(tblCleanData[YearsAtCompany],1427)&lt;=10,"6-10 Years","10+ Years")))</f>
        <v>6-10 Years</v>
      </c>
      <c r="H1435" t="str">
        <f>IF(INDEX(tblCleanData[WorkLifeBalance],1427)&lt;=2,"Elevated","Normal")</f>
        <v>Normal</v>
      </c>
      <c r="I1435">
        <f>IF(INDEX(tblCleanData[Age],1427)&lt;30,30,IF(INDEX(tblCleanData[Age],1427)&lt;40,20,IF(INDEX(tblCleanData[Age],1427)&lt;50,10,15)))</f>
        <v>20</v>
      </c>
      <c r="J1435">
        <f>IF(INDEX(tblCleanData[MonthlyIncome],1427)&lt;=$B$3,25,IF(INDEX(tblCleanData[MonthlyIncome],1427)&lt;=$B$4,12,5))</f>
        <v>5</v>
      </c>
      <c r="K1435">
        <f>IF(INDEX(tblCleanData[OverTime],1427)="Yes",25,0)</f>
        <v>0</v>
      </c>
      <c r="L1435">
        <f>(5-INDEX(tblCleanData[JobSatisfaction],1427))*6.25</f>
        <v>18.75</v>
      </c>
      <c r="M1435">
        <f>IF(INDEX(tblCleanData[YearsAtCompany],1427)&lt;=2,25,IF(INDEX(tblCleanData[YearsAtCompany],1427)&lt;=5,15,IF(INDEX(tblCleanData[YearsAtCompany],1427)&lt;=10,8,3)))</f>
        <v>8</v>
      </c>
      <c r="N1435">
        <f t="shared" si="44"/>
        <v>52</v>
      </c>
      <c r="O1435" t="str">
        <f t="shared" si="45"/>
        <v>Medium Risk</v>
      </c>
    </row>
    <row r="1436" spans="1:15" x14ac:dyDescent="0.25">
      <c r="A1436">
        <f>INDEX(tblCleanData[EmployeeNumber],1428)</f>
        <v>2012</v>
      </c>
      <c r="B1436" t="str">
        <f>IF(INDEX(tblCleanData[Age],1428)&lt;30,"Under 30",IF(INDEX(tblCleanData[Age],1428)&lt;40,"30-39",IF(INDEX(tblCleanData[Age],1428)&lt;50,"40-49","50+")))</f>
        <v>40-49</v>
      </c>
      <c r="C1436" t="str">
        <f>IF(INDEX(tblCleanData[MonthlyIncome],1428)&lt;=$B$3,"Low Income",IF(INDEX(tblCleanData[MonthlyIncome],1428)&lt;=$B$4,"Medium Income","High Income"))</f>
        <v>High Income</v>
      </c>
      <c r="D1436">
        <f>IF(INDEX(tblCleanData[Attrition],1428)="Yes",1,0)</f>
        <v>0</v>
      </c>
      <c r="E1436">
        <f>IF(INDEX(tblCleanData[OverTime],1428)="Yes",1,0)</f>
        <v>0</v>
      </c>
      <c r="F1436" t="str">
        <f>CHOOSE(INDEX(tblCleanData[Education],1428),"Below College","College","Bachelor","Master","Doctor")</f>
        <v>Master</v>
      </c>
      <c r="G1436" t="str">
        <f>IF(INDEX(tblCleanData[YearsAtCompany],1428)&lt;=2,"0-2 Years",IF(INDEX(tblCleanData[YearsAtCompany],1428)&lt;=5,"3-5 Years",IF(INDEX(tblCleanData[YearsAtCompany],1428)&lt;=10,"6-10 Years","10+ Years")))</f>
        <v>0-2 Years</v>
      </c>
      <c r="H1436" t="str">
        <f>IF(INDEX(tblCleanData[WorkLifeBalance],1428)&lt;=2,"Elevated","Normal")</f>
        <v>Elevated</v>
      </c>
      <c r="I1436">
        <f>IF(INDEX(tblCleanData[Age],1428)&lt;30,30,IF(INDEX(tblCleanData[Age],1428)&lt;40,20,IF(INDEX(tblCleanData[Age],1428)&lt;50,10,15)))</f>
        <v>10</v>
      </c>
      <c r="J1436">
        <f>IF(INDEX(tblCleanData[MonthlyIncome],1428)&lt;=$B$3,25,IF(INDEX(tblCleanData[MonthlyIncome],1428)&lt;=$B$4,12,5))</f>
        <v>5</v>
      </c>
      <c r="K1436">
        <f>IF(INDEX(tblCleanData[OverTime],1428)="Yes",25,0)</f>
        <v>0</v>
      </c>
      <c r="L1436">
        <f>(5-INDEX(tblCleanData[JobSatisfaction],1428))*6.25</f>
        <v>6.25</v>
      </c>
      <c r="M1436">
        <f>IF(INDEX(tblCleanData[YearsAtCompany],1428)&lt;=2,25,IF(INDEX(tblCleanData[YearsAtCompany],1428)&lt;=5,15,IF(INDEX(tblCleanData[YearsAtCompany],1428)&lt;=10,8,3)))</f>
        <v>25</v>
      </c>
      <c r="N1436">
        <f t="shared" si="44"/>
        <v>46</v>
      </c>
      <c r="O1436" t="str">
        <f t="shared" si="45"/>
        <v>Medium Risk</v>
      </c>
    </row>
    <row r="1437" spans="1:15" x14ac:dyDescent="0.25">
      <c r="A1437">
        <f>INDEX(tblCleanData[EmployeeNumber],1429)</f>
        <v>2013</v>
      </c>
      <c r="B1437" t="str">
        <f>IF(INDEX(tblCleanData[Age],1429)&lt;30,"Under 30",IF(INDEX(tblCleanData[Age],1429)&lt;40,"30-39",IF(INDEX(tblCleanData[Age],1429)&lt;50,"40-49","50+")))</f>
        <v>30-39</v>
      </c>
      <c r="C1437" t="str">
        <f>IF(INDEX(tblCleanData[MonthlyIncome],1429)&lt;=$B$3,"Low Income",IF(INDEX(tblCleanData[MonthlyIncome],1429)&lt;=$B$4,"Medium Income","High Income"))</f>
        <v>High Income</v>
      </c>
      <c r="D1437">
        <f>IF(INDEX(tblCleanData[Attrition],1429)="Yes",1,0)</f>
        <v>0</v>
      </c>
      <c r="E1437">
        <f>IF(INDEX(tblCleanData[OverTime],1429)="Yes",1,0)</f>
        <v>0</v>
      </c>
      <c r="F1437" t="str">
        <f>CHOOSE(INDEX(tblCleanData[Education],1429),"Below College","College","Bachelor","Master","Doctor")</f>
        <v>Master</v>
      </c>
      <c r="G1437" t="str">
        <f>IF(INDEX(tblCleanData[YearsAtCompany],1429)&lt;=2,"0-2 Years",IF(INDEX(tblCleanData[YearsAtCompany],1429)&lt;=5,"3-5 Years",IF(INDEX(tblCleanData[YearsAtCompany],1429)&lt;=10,"6-10 Years","10+ Years")))</f>
        <v>0-2 Years</v>
      </c>
      <c r="H1437" t="str">
        <f>IF(INDEX(tblCleanData[WorkLifeBalance],1429)&lt;=2,"Elevated","Normal")</f>
        <v>Normal</v>
      </c>
      <c r="I1437">
        <f>IF(INDEX(tblCleanData[Age],1429)&lt;30,30,IF(INDEX(tblCleanData[Age],1429)&lt;40,20,IF(INDEX(tblCleanData[Age],1429)&lt;50,10,15)))</f>
        <v>20</v>
      </c>
      <c r="J1437">
        <f>IF(INDEX(tblCleanData[MonthlyIncome],1429)&lt;=$B$3,25,IF(INDEX(tblCleanData[MonthlyIncome],1429)&lt;=$B$4,12,5))</f>
        <v>5</v>
      </c>
      <c r="K1437">
        <f>IF(INDEX(tblCleanData[OverTime],1429)="Yes",25,0)</f>
        <v>0</v>
      </c>
      <c r="L1437">
        <f>(5-INDEX(tblCleanData[JobSatisfaction],1429))*6.25</f>
        <v>18.75</v>
      </c>
      <c r="M1437">
        <f>IF(INDEX(tblCleanData[YearsAtCompany],1429)&lt;=2,25,IF(INDEX(tblCleanData[YearsAtCompany],1429)&lt;=5,15,IF(INDEX(tblCleanData[YearsAtCompany],1429)&lt;=10,8,3)))</f>
        <v>25</v>
      </c>
      <c r="N1437">
        <f t="shared" si="44"/>
        <v>69</v>
      </c>
      <c r="O1437" t="str">
        <f t="shared" si="45"/>
        <v>High Risk</v>
      </c>
    </row>
    <row r="1438" spans="1:15" x14ac:dyDescent="0.25">
      <c r="A1438">
        <f>INDEX(tblCleanData[EmployeeNumber],1430)</f>
        <v>2014</v>
      </c>
      <c r="B1438" t="str">
        <f>IF(INDEX(tblCleanData[Age],1430)&lt;30,"Under 30",IF(INDEX(tblCleanData[Age],1430)&lt;40,"30-39",IF(INDEX(tblCleanData[Age],1430)&lt;50,"40-49","50+")))</f>
        <v>30-39</v>
      </c>
      <c r="C1438" t="str">
        <f>IF(INDEX(tblCleanData[MonthlyIncome],1430)&lt;=$B$3,"Low Income",IF(INDEX(tblCleanData[MonthlyIncome],1430)&lt;=$B$4,"Medium Income","High Income"))</f>
        <v>High Income</v>
      </c>
      <c r="D1438">
        <f>IF(INDEX(tblCleanData[Attrition],1430)="Yes",1,0)</f>
        <v>0</v>
      </c>
      <c r="E1438">
        <f>IF(INDEX(tblCleanData[OverTime],1430)="Yes",1,0)</f>
        <v>0</v>
      </c>
      <c r="F1438" t="str">
        <f>CHOOSE(INDEX(tblCleanData[Education],1430),"Below College","College","Bachelor","Master","Doctor")</f>
        <v>Below College</v>
      </c>
      <c r="G1438" t="str">
        <f>IF(INDEX(tblCleanData[YearsAtCompany],1430)&lt;=2,"0-2 Years",IF(INDEX(tblCleanData[YearsAtCompany],1430)&lt;=5,"3-5 Years",IF(INDEX(tblCleanData[YearsAtCompany],1430)&lt;=10,"6-10 Years","10+ Years")))</f>
        <v>6-10 Years</v>
      </c>
      <c r="H1438" t="str">
        <f>IF(INDEX(tblCleanData[WorkLifeBalance],1430)&lt;=2,"Elevated","Normal")</f>
        <v>Normal</v>
      </c>
      <c r="I1438">
        <f>IF(INDEX(tblCleanData[Age],1430)&lt;30,30,IF(INDEX(tblCleanData[Age],1430)&lt;40,20,IF(INDEX(tblCleanData[Age],1430)&lt;50,10,15)))</f>
        <v>20</v>
      </c>
      <c r="J1438">
        <f>IF(INDEX(tblCleanData[MonthlyIncome],1430)&lt;=$B$3,25,IF(INDEX(tblCleanData[MonthlyIncome],1430)&lt;=$B$4,12,5))</f>
        <v>5</v>
      </c>
      <c r="K1438">
        <f>IF(INDEX(tblCleanData[OverTime],1430)="Yes",25,0)</f>
        <v>0</v>
      </c>
      <c r="L1438">
        <f>(5-INDEX(tblCleanData[JobSatisfaction],1430))*6.25</f>
        <v>6.25</v>
      </c>
      <c r="M1438">
        <f>IF(INDEX(tblCleanData[YearsAtCompany],1430)&lt;=2,25,IF(INDEX(tblCleanData[YearsAtCompany],1430)&lt;=5,15,IF(INDEX(tblCleanData[YearsAtCompany],1430)&lt;=10,8,3)))</f>
        <v>8</v>
      </c>
      <c r="N1438">
        <f t="shared" si="44"/>
        <v>39</v>
      </c>
      <c r="O1438" t="str">
        <f t="shared" si="45"/>
        <v>Medium Risk</v>
      </c>
    </row>
    <row r="1439" spans="1:15" x14ac:dyDescent="0.25">
      <c r="A1439">
        <f>INDEX(tblCleanData[EmployeeNumber],1431)</f>
        <v>2015</v>
      </c>
      <c r="B1439" t="str">
        <f>IF(INDEX(tblCleanData[Age],1431)&lt;30,"Under 30",IF(INDEX(tblCleanData[Age],1431)&lt;40,"30-39",IF(INDEX(tblCleanData[Age],1431)&lt;50,"40-49","50+")))</f>
        <v>30-39</v>
      </c>
      <c r="C1439" t="str">
        <f>IF(INDEX(tblCleanData[MonthlyIncome],1431)&lt;=$B$3,"Low Income",IF(INDEX(tblCleanData[MonthlyIncome],1431)&lt;=$B$4,"Medium Income","High Income"))</f>
        <v>High Income</v>
      </c>
      <c r="D1439">
        <f>IF(INDEX(tblCleanData[Attrition],1431)="Yes",1,0)</f>
        <v>0</v>
      </c>
      <c r="E1439">
        <f>IF(INDEX(tblCleanData[OverTime],1431)="Yes",1,0)</f>
        <v>0</v>
      </c>
      <c r="F1439" t="str">
        <f>CHOOSE(INDEX(tblCleanData[Education],1431),"Below College","College","Bachelor","Master","Doctor")</f>
        <v>Bachelor</v>
      </c>
      <c r="G1439" t="str">
        <f>IF(INDEX(tblCleanData[YearsAtCompany],1431)&lt;=2,"0-2 Years",IF(INDEX(tblCleanData[YearsAtCompany],1431)&lt;=5,"3-5 Years",IF(INDEX(tblCleanData[YearsAtCompany],1431)&lt;=10,"6-10 Years","10+ Years")))</f>
        <v>10+ Years</v>
      </c>
      <c r="H1439" t="str">
        <f>IF(INDEX(tblCleanData[WorkLifeBalance],1431)&lt;=2,"Elevated","Normal")</f>
        <v>Normal</v>
      </c>
      <c r="I1439">
        <f>IF(INDEX(tblCleanData[Age],1431)&lt;30,30,IF(INDEX(tblCleanData[Age],1431)&lt;40,20,IF(INDEX(tblCleanData[Age],1431)&lt;50,10,15)))</f>
        <v>20</v>
      </c>
      <c r="J1439">
        <f>IF(INDEX(tblCleanData[MonthlyIncome],1431)&lt;=$B$3,25,IF(INDEX(tblCleanData[MonthlyIncome],1431)&lt;=$B$4,12,5))</f>
        <v>5</v>
      </c>
      <c r="K1439">
        <f>IF(INDEX(tblCleanData[OverTime],1431)="Yes",25,0)</f>
        <v>0</v>
      </c>
      <c r="L1439">
        <f>(5-INDEX(tblCleanData[JobSatisfaction],1431))*6.25</f>
        <v>12.5</v>
      </c>
      <c r="M1439">
        <f>IF(INDEX(tblCleanData[YearsAtCompany],1431)&lt;=2,25,IF(INDEX(tblCleanData[YearsAtCompany],1431)&lt;=5,15,IF(INDEX(tblCleanData[YearsAtCompany],1431)&lt;=10,8,3)))</f>
        <v>3</v>
      </c>
      <c r="N1439">
        <f t="shared" si="44"/>
        <v>41</v>
      </c>
      <c r="O1439" t="str">
        <f t="shared" si="45"/>
        <v>Medium Risk</v>
      </c>
    </row>
    <row r="1440" spans="1:15" x14ac:dyDescent="0.25">
      <c r="A1440">
        <f>INDEX(tblCleanData[EmployeeNumber],1432)</f>
        <v>2016</v>
      </c>
      <c r="B1440" t="str">
        <f>IF(INDEX(tblCleanData[Age],1432)&lt;30,"Under 30",IF(INDEX(tblCleanData[Age],1432)&lt;40,"30-39",IF(INDEX(tblCleanData[Age],1432)&lt;50,"40-49","50+")))</f>
        <v>30-39</v>
      </c>
      <c r="C1440" t="str">
        <f>IF(INDEX(tblCleanData[MonthlyIncome],1432)&lt;=$B$3,"Low Income",IF(INDEX(tblCleanData[MonthlyIncome],1432)&lt;=$B$4,"Medium Income","High Income"))</f>
        <v>High Income</v>
      </c>
      <c r="D1440">
        <f>IF(INDEX(tblCleanData[Attrition],1432)="Yes",1,0)</f>
        <v>0</v>
      </c>
      <c r="E1440">
        <f>IF(INDEX(tblCleanData[OverTime],1432)="Yes",1,0)</f>
        <v>0</v>
      </c>
      <c r="F1440" t="str">
        <f>CHOOSE(INDEX(tblCleanData[Education],1432),"Below College","College","Bachelor","Master","Doctor")</f>
        <v>Master</v>
      </c>
      <c r="G1440" t="str">
        <f>IF(INDEX(tblCleanData[YearsAtCompany],1432)&lt;=2,"0-2 Years",IF(INDEX(tblCleanData[YearsAtCompany],1432)&lt;=5,"3-5 Years",IF(INDEX(tblCleanData[YearsAtCompany],1432)&lt;=10,"6-10 Years","10+ Years")))</f>
        <v>10+ Years</v>
      </c>
      <c r="H1440" t="str">
        <f>IF(INDEX(tblCleanData[WorkLifeBalance],1432)&lt;=2,"Elevated","Normal")</f>
        <v>Normal</v>
      </c>
      <c r="I1440">
        <f>IF(INDEX(tblCleanData[Age],1432)&lt;30,30,IF(INDEX(tblCleanData[Age],1432)&lt;40,20,IF(INDEX(tblCleanData[Age],1432)&lt;50,10,15)))</f>
        <v>20</v>
      </c>
      <c r="J1440">
        <f>IF(INDEX(tblCleanData[MonthlyIncome],1432)&lt;=$B$3,25,IF(INDEX(tblCleanData[MonthlyIncome],1432)&lt;=$B$4,12,5))</f>
        <v>5</v>
      </c>
      <c r="K1440">
        <f>IF(INDEX(tblCleanData[OverTime],1432)="Yes",25,0)</f>
        <v>0</v>
      </c>
      <c r="L1440">
        <f>(5-INDEX(tblCleanData[JobSatisfaction],1432))*6.25</f>
        <v>6.25</v>
      </c>
      <c r="M1440">
        <f>IF(INDEX(tblCleanData[YearsAtCompany],1432)&lt;=2,25,IF(INDEX(tblCleanData[YearsAtCompany],1432)&lt;=5,15,IF(INDEX(tblCleanData[YearsAtCompany],1432)&lt;=10,8,3)))</f>
        <v>3</v>
      </c>
      <c r="N1440">
        <f t="shared" si="44"/>
        <v>34</v>
      </c>
      <c r="O1440" t="str">
        <f t="shared" si="45"/>
        <v>Low Risk</v>
      </c>
    </row>
    <row r="1441" spans="1:15" x14ac:dyDescent="0.25">
      <c r="A1441">
        <f>INDEX(tblCleanData[EmployeeNumber],1433)</f>
        <v>2017</v>
      </c>
      <c r="B1441" t="str">
        <f>IF(INDEX(tblCleanData[Age],1433)&lt;30,"Under 30",IF(INDEX(tblCleanData[Age],1433)&lt;40,"30-39",IF(INDEX(tblCleanData[Age],1433)&lt;50,"40-49","50+")))</f>
        <v>30-39</v>
      </c>
      <c r="C1441" t="str">
        <f>IF(INDEX(tblCleanData[MonthlyIncome],1433)&lt;=$B$3,"Low Income",IF(INDEX(tblCleanData[MonthlyIncome],1433)&lt;=$B$4,"Medium Income","High Income"))</f>
        <v>High Income</v>
      </c>
      <c r="D1441">
        <f>IF(INDEX(tblCleanData[Attrition],1433)="Yes",1,0)</f>
        <v>0</v>
      </c>
      <c r="E1441">
        <f>IF(INDEX(tblCleanData[OverTime],1433)="Yes",1,0)</f>
        <v>1</v>
      </c>
      <c r="F1441" t="str">
        <f>CHOOSE(INDEX(tblCleanData[Education],1433),"Below College","College","Bachelor","Master","Doctor")</f>
        <v>Bachelor</v>
      </c>
      <c r="G1441" t="str">
        <f>IF(INDEX(tblCleanData[YearsAtCompany],1433)&lt;=2,"0-2 Years",IF(INDEX(tblCleanData[YearsAtCompany],1433)&lt;=5,"3-5 Years",IF(INDEX(tblCleanData[YearsAtCompany],1433)&lt;=10,"6-10 Years","10+ Years")))</f>
        <v>10+ Years</v>
      </c>
      <c r="H1441" t="str">
        <f>IF(INDEX(tblCleanData[WorkLifeBalance],1433)&lt;=2,"Elevated","Normal")</f>
        <v>Normal</v>
      </c>
      <c r="I1441">
        <f>IF(INDEX(tblCleanData[Age],1433)&lt;30,30,IF(INDEX(tblCleanData[Age],1433)&lt;40,20,IF(INDEX(tblCleanData[Age],1433)&lt;50,10,15)))</f>
        <v>20</v>
      </c>
      <c r="J1441">
        <f>IF(INDEX(tblCleanData[MonthlyIncome],1433)&lt;=$B$3,25,IF(INDEX(tblCleanData[MonthlyIncome],1433)&lt;=$B$4,12,5))</f>
        <v>5</v>
      </c>
      <c r="K1441">
        <f>IF(INDEX(tblCleanData[OverTime],1433)="Yes",25,0)</f>
        <v>25</v>
      </c>
      <c r="L1441">
        <f>(5-INDEX(tblCleanData[JobSatisfaction],1433))*6.25</f>
        <v>6.25</v>
      </c>
      <c r="M1441">
        <f>IF(INDEX(tblCleanData[YearsAtCompany],1433)&lt;=2,25,IF(INDEX(tblCleanData[YearsAtCompany],1433)&lt;=5,15,IF(INDEX(tblCleanData[YearsAtCompany],1433)&lt;=10,8,3)))</f>
        <v>3</v>
      </c>
      <c r="N1441">
        <f t="shared" si="44"/>
        <v>59</v>
      </c>
      <c r="O1441" t="str">
        <f t="shared" si="45"/>
        <v>High Risk</v>
      </c>
    </row>
    <row r="1442" spans="1:15" x14ac:dyDescent="0.25">
      <c r="A1442">
        <f>INDEX(tblCleanData[EmployeeNumber],1434)</f>
        <v>2018</v>
      </c>
      <c r="B1442" t="str">
        <f>IF(INDEX(tblCleanData[Age],1434)&lt;30,"Under 30",IF(INDEX(tblCleanData[Age],1434)&lt;40,"30-39",IF(INDEX(tblCleanData[Age],1434)&lt;50,"40-49","50+")))</f>
        <v>Under 30</v>
      </c>
      <c r="C1442" t="str">
        <f>IF(INDEX(tblCleanData[MonthlyIncome],1434)&lt;=$B$3,"Low Income",IF(INDEX(tblCleanData[MonthlyIncome],1434)&lt;=$B$4,"Medium Income","High Income"))</f>
        <v>High Income</v>
      </c>
      <c r="D1442">
        <f>IF(INDEX(tblCleanData[Attrition],1434)="Yes",1,0)</f>
        <v>0</v>
      </c>
      <c r="E1442">
        <f>IF(INDEX(tblCleanData[OverTime],1434)="Yes",1,0)</f>
        <v>1</v>
      </c>
      <c r="F1442" t="str">
        <f>CHOOSE(INDEX(tblCleanData[Education],1434),"Below College","College","Bachelor","Master","Doctor")</f>
        <v>College</v>
      </c>
      <c r="G1442" t="str">
        <f>IF(INDEX(tblCleanData[YearsAtCompany],1434)&lt;=2,"0-2 Years",IF(INDEX(tblCleanData[YearsAtCompany],1434)&lt;=5,"3-5 Years",IF(INDEX(tblCleanData[YearsAtCompany],1434)&lt;=10,"6-10 Years","10+ Years")))</f>
        <v>3-5 Years</v>
      </c>
      <c r="H1442" t="str">
        <f>IF(INDEX(tblCleanData[WorkLifeBalance],1434)&lt;=2,"Elevated","Normal")</f>
        <v>Elevated</v>
      </c>
      <c r="I1442">
        <f>IF(INDEX(tblCleanData[Age],1434)&lt;30,30,IF(INDEX(tblCleanData[Age],1434)&lt;40,20,IF(INDEX(tblCleanData[Age],1434)&lt;50,10,15)))</f>
        <v>30</v>
      </c>
      <c r="J1442">
        <f>IF(INDEX(tblCleanData[MonthlyIncome],1434)&lt;=$B$3,25,IF(INDEX(tblCleanData[MonthlyIncome],1434)&lt;=$B$4,12,5))</f>
        <v>5</v>
      </c>
      <c r="K1442">
        <f>IF(INDEX(tblCleanData[OverTime],1434)="Yes",25,0)</f>
        <v>25</v>
      </c>
      <c r="L1442">
        <f>(5-INDEX(tblCleanData[JobSatisfaction],1434))*6.25</f>
        <v>12.5</v>
      </c>
      <c r="M1442">
        <f>IF(INDEX(tblCleanData[YearsAtCompany],1434)&lt;=2,25,IF(INDEX(tblCleanData[YearsAtCompany],1434)&lt;=5,15,IF(INDEX(tblCleanData[YearsAtCompany],1434)&lt;=10,8,3)))</f>
        <v>15</v>
      </c>
      <c r="N1442">
        <f t="shared" si="44"/>
        <v>88</v>
      </c>
      <c r="O1442" t="str">
        <f t="shared" si="45"/>
        <v>High Risk</v>
      </c>
    </row>
    <row r="1443" spans="1:15" x14ac:dyDescent="0.25">
      <c r="A1443">
        <f>INDEX(tblCleanData[EmployeeNumber],1435)</f>
        <v>2019</v>
      </c>
      <c r="B1443" t="str">
        <f>IF(INDEX(tblCleanData[Age],1435)&lt;30,"Under 30",IF(INDEX(tblCleanData[Age],1435)&lt;40,"30-39",IF(INDEX(tblCleanData[Age],1435)&lt;50,"40-49","50+")))</f>
        <v>50+</v>
      </c>
      <c r="C1443" t="str">
        <f>IF(INDEX(tblCleanData[MonthlyIncome],1435)&lt;=$B$3,"Low Income",IF(INDEX(tblCleanData[MonthlyIncome],1435)&lt;=$B$4,"Medium Income","High Income"))</f>
        <v>High Income</v>
      </c>
      <c r="D1443">
        <f>IF(INDEX(tblCleanData[Attrition],1435)="Yes",1,0)</f>
        <v>0</v>
      </c>
      <c r="E1443">
        <f>IF(INDEX(tblCleanData[OverTime],1435)="Yes",1,0)</f>
        <v>0</v>
      </c>
      <c r="F1443" t="str">
        <f>CHOOSE(INDEX(tblCleanData[Education],1435),"Below College","College","Bachelor","Master","Doctor")</f>
        <v>Master</v>
      </c>
      <c r="G1443" t="str">
        <f>IF(INDEX(tblCleanData[YearsAtCompany],1435)&lt;=2,"0-2 Years",IF(INDEX(tblCleanData[YearsAtCompany],1435)&lt;=5,"3-5 Years",IF(INDEX(tblCleanData[YearsAtCompany],1435)&lt;=10,"6-10 Years","10+ Years")))</f>
        <v>6-10 Years</v>
      </c>
      <c r="H1443" t="str">
        <f>IF(INDEX(tblCleanData[WorkLifeBalance],1435)&lt;=2,"Elevated","Normal")</f>
        <v>Elevated</v>
      </c>
      <c r="I1443">
        <f>IF(INDEX(tblCleanData[Age],1435)&lt;30,30,IF(INDEX(tblCleanData[Age],1435)&lt;40,20,IF(INDEX(tblCleanData[Age],1435)&lt;50,10,15)))</f>
        <v>15</v>
      </c>
      <c r="J1443">
        <f>IF(INDEX(tblCleanData[MonthlyIncome],1435)&lt;=$B$3,25,IF(INDEX(tblCleanData[MonthlyIncome],1435)&lt;=$B$4,12,5))</f>
        <v>5</v>
      </c>
      <c r="K1443">
        <f>IF(INDEX(tblCleanData[OverTime],1435)="Yes",25,0)</f>
        <v>0</v>
      </c>
      <c r="L1443">
        <f>(5-INDEX(tblCleanData[JobSatisfaction],1435))*6.25</f>
        <v>6.25</v>
      </c>
      <c r="M1443">
        <f>IF(INDEX(tblCleanData[YearsAtCompany],1435)&lt;=2,25,IF(INDEX(tblCleanData[YearsAtCompany],1435)&lt;=5,15,IF(INDEX(tblCleanData[YearsAtCompany],1435)&lt;=10,8,3)))</f>
        <v>8</v>
      </c>
      <c r="N1443">
        <f t="shared" si="44"/>
        <v>34</v>
      </c>
      <c r="O1443" t="str">
        <f t="shared" si="45"/>
        <v>Low Risk</v>
      </c>
    </row>
    <row r="1444" spans="1:15" x14ac:dyDescent="0.25">
      <c r="A1444">
        <f>INDEX(tblCleanData[EmployeeNumber],1436)</f>
        <v>2020</v>
      </c>
      <c r="B1444" t="str">
        <f>IF(INDEX(tblCleanData[Age],1436)&lt;30,"Under 30",IF(INDEX(tblCleanData[Age],1436)&lt;40,"30-39",IF(INDEX(tblCleanData[Age],1436)&lt;50,"40-49","50+")))</f>
        <v>40-49</v>
      </c>
      <c r="C1444" t="str">
        <f>IF(INDEX(tblCleanData[MonthlyIncome],1436)&lt;=$B$3,"Low Income",IF(INDEX(tblCleanData[MonthlyIncome],1436)&lt;=$B$4,"Medium Income","High Income"))</f>
        <v>High Income</v>
      </c>
      <c r="D1444">
        <f>IF(INDEX(tblCleanData[Attrition],1436)="Yes",1,0)</f>
        <v>0</v>
      </c>
      <c r="E1444">
        <f>IF(INDEX(tblCleanData[OverTime],1436)="Yes",1,0)</f>
        <v>1</v>
      </c>
      <c r="F1444" t="str">
        <f>CHOOSE(INDEX(tblCleanData[Education],1436),"Below College","College","Bachelor","Master","Doctor")</f>
        <v>Bachelor</v>
      </c>
      <c r="G1444" t="str">
        <f>IF(INDEX(tblCleanData[YearsAtCompany],1436)&lt;=2,"0-2 Years",IF(INDEX(tblCleanData[YearsAtCompany],1436)&lt;=5,"3-5 Years",IF(INDEX(tblCleanData[YearsAtCompany],1436)&lt;=10,"6-10 Years","10+ Years")))</f>
        <v>3-5 Years</v>
      </c>
      <c r="H1444" t="str">
        <f>IF(INDEX(tblCleanData[WorkLifeBalance],1436)&lt;=2,"Elevated","Normal")</f>
        <v>Normal</v>
      </c>
      <c r="I1444">
        <f>IF(INDEX(tblCleanData[Age],1436)&lt;30,30,IF(INDEX(tblCleanData[Age],1436)&lt;40,20,IF(INDEX(tblCleanData[Age],1436)&lt;50,10,15)))</f>
        <v>10</v>
      </c>
      <c r="J1444">
        <f>IF(INDEX(tblCleanData[MonthlyIncome],1436)&lt;=$B$3,25,IF(INDEX(tblCleanData[MonthlyIncome],1436)&lt;=$B$4,12,5))</f>
        <v>5</v>
      </c>
      <c r="K1444">
        <f>IF(INDEX(tblCleanData[OverTime],1436)="Yes",25,0)</f>
        <v>25</v>
      </c>
      <c r="L1444">
        <f>(5-INDEX(tblCleanData[JobSatisfaction],1436))*6.25</f>
        <v>6.25</v>
      </c>
      <c r="M1444">
        <f>IF(INDEX(tblCleanData[YearsAtCompany],1436)&lt;=2,25,IF(INDEX(tblCleanData[YearsAtCompany],1436)&lt;=5,15,IF(INDEX(tblCleanData[YearsAtCompany],1436)&lt;=10,8,3)))</f>
        <v>15</v>
      </c>
      <c r="N1444">
        <f t="shared" si="44"/>
        <v>61</v>
      </c>
      <c r="O1444" t="str">
        <f t="shared" si="45"/>
        <v>High Risk</v>
      </c>
    </row>
    <row r="1445" spans="1:15" x14ac:dyDescent="0.25">
      <c r="A1445">
        <f>INDEX(tblCleanData[EmployeeNumber],1437)</f>
        <v>2021</v>
      </c>
      <c r="B1445" t="str">
        <f>IF(INDEX(tblCleanData[Age],1437)&lt;30,"Under 30",IF(INDEX(tblCleanData[Age],1437)&lt;40,"30-39",IF(INDEX(tblCleanData[Age],1437)&lt;50,"40-49","50+")))</f>
        <v>Under 30</v>
      </c>
      <c r="C1445" t="str">
        <f>IF(INDEX(tblCleanData[MonthlyIncome],1437)&lt;=$B$3,"Low Income",IF(INDEX(tblCleanData[MonthlyIncome],1437)&lt;=$B$4,"Medium Income","High Income"))</f>
        <v>High Income</v>
      </c>
      <c r="D1445">
        <f>IF(INDEX(tblCleanData[Attrition],1437)="Yes",1,0)</f>
        <v>0</v>
      </c>
      <c r="E1445">
        <f>IF(INDEX(tblCleanData[OverTime],1437)="Yes",1,0)</f>
        <v>1</v>
      </c>
      <c r="F1445" t="str">
        <f>CHOOSE(INDEX(tblCleanData[Education],1437),"Below College","College","Bachelor","Master","Doctor")</f>
        <v>Below College</v>
      </c>
      <c r="G1445" t="str">
        <f>IF(INDEX(tblCleanData[YearsAtCompany],1437)&lt;=2,"0-2 Years",IF(INDEX(tblCleanData[YearsAtCompany],1437)&lt;=5,"3-5 Years",IF(INDEX(tblCleanData[YearsAtCompany],1437)&lt;=10,"6-10 Years","10+ Years")))</f>
        <v>0-2 Years</v>
      </c>
      <c r="H1445" t="str">
        <f>IF(INDEX(tblCleanData[WorkLifeBalance],1437)&lt;=2,"Elevated","Normal")</f>
        <v>Normal</v>
      </c>
      <c r="I1445">
        <f>IF(INDEX(tblCleanData[Age],1437)&lt;30,30,IF(INDEX(tblCleanData[Age],1437)&lt;40,20,IF(INDEX(tblCleanData[Age],1437)&lt;50,10,15)))</f>
        <v>30</v>
      </c>
      <c r="J1445">
        <f>IF(INDEX(tblCleanData[MonthlyIncome],1437)&lt;=$B$3,25,IF(INDEX(tblCleanData[MonthlyIncome],1437)&lt;=$B$4,12,5))</f>
        <v>5</v>
      </c>
      <c r="K1445">
        <f>IF(INDEX(tblCleanData[OverTime],1437)="Yes",25,0)</f>
        <v>25</v>
      </c>
      <c r="L1445">
        <f>(5-INDEX(tblCleanData[JobSatisfaction],1437))*6.25</f>
        <v>25</v>
      </c>
      <c r="M1445">
        <f>IF(INDEX(tblCleanData[YearsAtCompany],1437)&lt;=2,25,IF(INDEX(tblCleanData[YearsAtCompany],1437)&lt;=5,15,IF(INDEX(tblCleanData[YearsAtCompany],1437)&lt;=10,8,3)))</f>
        <v>25</v>
      </c>
      <c r="N1445">
        <f t="shared" si="44"/>
        <v>110</v>
      </c>
      <c r="O1445" t="str">
        <f t="shared" si="45"/>
        <v>High Risk</v>
      </c>
    </row>
    <row r="1446" spans="1:15" x14ac:dyDescent="0.25">
      <c r="A1446">
        <f>INDEX(tblCleanData[EmployeeNumber],1438)</f>
        <v>2022</v>
      </c>
      <c r="B1446" t="str">
        <f>IF(INDEX(tblCleanData[Age],1438)&lt;30,"Under 30",IF(INDEX(tblCleanData[Age],1438)&lt;40,"30-39",IF(INDEX(tblCleanData[Age],1438)&lt;50,"40-49","50+")))</f>
        <v>30-39</v>
      </c>
      <c r="C1446" t="str">
        <f>IF(INDEX(tblCleanData[MonthlyIncome],1438)&lt;=$B$3,"Low Income",IF(INDEX(tblCleanData[MonthlyIncome],1438)&lt;=$B$4,"Medium Income","High Income"))</f>
        <v>High Income</v>
      </c>
      <c r="D1446">
        <f>IF(INDEX(tblCleanData[Attrition],1438)="Yes",1,0)</f>
        <v>0</v>
      </c>
      <c r="E1446">
        <f>IF(INDEX(tblCleanData[OverTime],1438)="Yes",1,0)</f>
        <v>0</v>
      </c>
      <c r="F1446" t="str">
        <f>CHOOSE(INDEX(tblCleanData[Education],1438),"Below College","College","Bachelor","Master","Doctor")</f>
        <v>Bachelor</v>
      </c>
      <c r="G1446" t="str">
        <f>IF(INDEX(tblCleanData[YearsAtCompany],1438)&lt;=2,"0-2 Years",IF(INDEX(tblCleanData[YearsAtCompany],1438)&lt;=5,"3-5 Years",IF(INDEX(tblCleanData[YearsAtCompany],1438)&lt;=10,"6-10 Years","10+ Years")))</f>
        <v>6-10 Years</v>
      </c>
      <c r="H1446" t="str">
        <f>IF(INDEX(tblCleanData[WorkLifeBalance],1438)&lt;=2,"Elevated","Normal")</f>
        <v>Elevated</v>
      </c>
      <c r="I1446">
        <f>IF(INDEX(tblCleanData[Age],1438)&lt;30,30,IF(INDEX(tblCleanData[Age],1438)&lt;40,20,IF(INDEX(tblCleanData[Age],1438)&lt;50,10,15)))</f>
        <v>20</v>
      </c>
      <c r="J1446">
        <f>IF(INDEX(tblCleanData[MonthlyIncome],1438)&lt;=$B$3,25,IF(INDEX(tblCleanData[MonthlyIncome],1438)&lt;=$B$4,12,5))</f>
        <v>5</v>
      </c>
      <c r="K1446">
        <f>IF(INDEX(tblCleanData[OverTime],1438)="Yes",25,0)</f>
        <v>0</v>
      </c>
      <c r="L1446">
        <f>(5-INDEX(tblCleanData[JobSatisfaction],1438))*6.25</f>
        <v>6.25</v>
      </c>
      <c r="M1446">
        <f>IF(INDEX(tblCleanData[YearsAtCompany],1438)&lt;=2,25,IF(INDEX(tblCleanData[YearsAtCompany],1438)&lt;=5,15,IF(INDEX(tblCleanData[YearsAtCompany],1438)&lt;=10,8,3)))</f>
        <v>8</v>
      </c>
      <c r="N1446">
        <f t="shared" si="44"/>
        <v>39</v>
      </c>
      <c r="O1446" t="str">
        <f t="shared" si="45"/>
        <v>Medium Risk</v>
      </c>
    </row>
    <row r="1447" spans="1:15" x14ac:dyDescent="0.25">
      <c r="A1447">
        <f>INDEX(tblCleanData[EmployeeNumber],1439)</f>
        <v>2023</v>
      </c>
      <c r="B1447" t="str">
        <f>IF(INDEX(tblCleanData[Age],1439)&lt;30,"Under 30",IF(INDEX(tblCleanData[Age],1439)&lt;40,"30-39",IF(INDEX(tblCleanData[Age],1439)&lt;50,"40-49","50+")))</f>
        <v>Under 30</v>
      </c>
      <c r="C1447" t="str">
        <f>IF(INDEX(tblCleanData[MonthlyIncome],1439)&lt;=$B$3,"Low Income",IF(INDEX(tblCleanData[MonthlyIncome],1439)&lt;=$B$4,"Medium Income","High Income"))</f>
        <v>High Income</v>
      </c>
      <c r="D1447">
        <f>IF(INDEX(tblCleanData[Attrition],1439)="Yes",1,0)</f>
        <v>1</v>
      </c>
      <c r="E1447">
        <f>IF(INDEX(tblCleanData[OverTime],1439)="Yes",1,0)</f>
        <v>0</v>
      </c>
      <c r="F1447" t="str">
        <f>CHOOSE(INDEX(tblCleanData[Education],1439),"Below College","College","Bachelor","Master","Doctor")</f>
        <v>Bachelor</v>
      </c>
      <c r="G1447" t="str">
        <f>IF(INDEX(tblCleanData[YearsAtCompany],1439)&lt;=2,"0-2 Years",IF(INDEX(tblCleanData[YearsAtCompany],1439)&lt;=5,"3-5 Years",IF(INDEX(tblCleanData[YearsAtCompany],1439)&lt;=10,"6-10 Years","10+ Years")))</f>
        <v>0-2 Years</v>
      </c>
      <c r="H1447" t="str">
        <f>IF(INDEX(tblCleanData[WorkLifeBalance],1439)&lt;=2,"Elevated","Normal")</f>
        <v>Elevated</v>
      </c>
      <c r="I1447">
        <f>IF(INDEX(tblCleanData[Age],1439)&lt;30,30,IF(INDEX(tblCleanData[Age],1439)&lt;40,20,IF(INDEX(tblCleanData[Age],1439)&lt;50,10,15)))</f>
        <v>30</v>
      </c>
      <c r="J1447">
        <f>IF(INDEX(tblCleanData[MonthlyIncome],1439)&lt;=$B$3,25,IF(INDEX(tblCleanData[MonthlyIncome],1439)&lt;=$B$4,12,5))</f>
        <v>5</v>
      </c>
      <c r="K1447">
        <f>IF(INDEX(tblCleanData[OverTime],1439)="Yes",25,0)</f>
        <v>0</v>
      </c>
      <c r="L1447">
        <f>(5-INDEX(tblCleanData[JobSatisfaction],1439))*6.25</f>
        <v>25</v>
      </c>
      <c r="M1447">
        <f>IF(INDEX(tblCleanData[YearsAtCompany],1439)&lt;=2,25,IF(INDEX(tblCleanData[YearsAtCompany],1439)&lt;=5,15,IF(INDEX(tblCleanData[YearsAtCompany],1439)&lt;=10,8,3)))</f>
        <v>25</v>
      </c>
      <c r="N1447">
        <f t="shared" si="44"/>
        <v>85</v>
      </c>
      <c r="O1447" t="str">
        <f t="shared" si="45"/>
        <v>High Risk</v>
      </c>
    </row>
    <row r="1448" spans="1:15" x14ac:dyDescent="0.25">
      <c r="A1448">
        <f>INDEX(tblCleanData[EmployeeNumber],1440)</f>
        <v>2024</v>
      </c>
      <c r="B1448" t="str">
        <f>IF(INDEX(tblCleanData[Age],1440)&lt;30,"Under 30",IF(INDEX(tblCleanData[Age],1440)&lt;40,"30-39",IF(INDEX(tblCleanData[Age],1440)&lt;50,"40-49","50+")))</f>
        <v>30-39</v>
      </c>
      <c r="C1448" t="str">
        <f>IF(INDEX(tblCleanData[MonthlyIncome],1440)&lt;=$B$3,"Low Income",IF(INDEX(tblCleanData[MonthlyIncome],1440)&lt;=$B$4,"Medium Income","High Income"))</f>
        <v>High Income</v>
      </c>
      <c r="D1448">
        <f>IF(INDEX(tblCleanData[Attrition],1440)="Yes",1,0)</f>
        <v>0</v>
      </c>
      <c r="E1448">
        <f>IF(INDEX(tblCleanData[OverTime],1440)="Yes",1,0)</f>
        <v>0</v>
      </c>
      <c r="F1448" t="str">
        <f>CHOOSE(INDEX(tblCleanData[Education],1440),"Below College","College","Bachelor","Master","Doctor")</f>
        <v>Bachelor</v>
      </c>
      <c r="G1448" t="str">
        <f>IF(INDEX(tblCleanData[YearsAtCompany],1440)&lt;=2,"0-2 Years",IF(INDEX(tblCleanData[YearsAtCompany],1440)&lt;=5,"3-5 Years",IF(INDEX(tblCleanData[YearsAtCompany],1440)&lt;=10,"6-10 Years","10+ Years")))</f>
        <v>6-10 Years</v>
      </c>
      <c r="H1448" t="str">
        <f>IF(INDEX(tblCleanData[WorkLifeBalance],1440)&lt;=2,"Elevated","Normal")</f>
        <v>Normal</v>
      </c>
      <c r="I1448">
        <f>IF(INDEX(tblCleanData[Age],1440)&lt;30,30,IF(INDEX(tblCleanData[Age],1440)&lt;40,20,IF(INDEX(tblCleanData[Age],1440)&lt;50,10,15)))</f>
        <v>20</v>
      </c>
      <c r="J1448">
        <f>IF(INDEX(tblCleanData[MonthlyIncome],1440)&lt;=$B$3,25,IF(INDEX(tblCleanData[MonthlyIncome],1440)&lt;=$B$4,12,5))</f>
        <v>5</v>
      </c>
      <c r="K1448">
        <f>IF(INDEX(tblCleanData[OverTime],1440)="Yes",25,0)</f>
        <v>0</v>
      </c>
      <c r="L1448">
        <f>(5-INDEX(tblCleanData[JobSatisfaction],1440))*6.25</f>
        <v>6.25</v>
      </c>
      <c r="M1448">
        <f>IF(INDEX(tblCleanData[YearsAtCompany],1440)&lt;=2,25,IF(INDEX(tblCleanData[YearsAtCompany],1440)&lt;=5,15,IF(INDEX(tblCleanData[YearsAtCompany],1440)&lt;=10,8,3)))</f>
        <v>8</v>
      </c>
      <c r="N1448">
        <f t="shared" si="44"/>
        <v>39</v>
      </c>
      <c r="O1448" t="str">
        <f t="shared" si="45"/>
        <v>Medium Risk</v>
      </c>
    </row>
    <row r="1449" spans="1:15" x14ac:dyDescent="0.25">
      <c r="A1449">
        <f>INDEX(tblCleanData[EmployeeNumber],1441)</f>
        <v>2025</v>
      </c>
      <c r="B1449" t="str">
        <f>IF(INDEX(tblCleanData[Age],1441)&lt;30,"Under 30",IF(INDEX(tblCleanData[Age],1441)&lt;40,"30-39",IF(INDEX(tblCleanData[Age],1441)&lt;50,"40-49","50+")))</f>
        <v>30-39</v>
      </c>
      <c r="C1449" t="str">
        <f>IF(INDEX(tblCleanData[MonthlyIncome],1441)&lt;=$B$3,"Low Income",IF(INDEX(tblCleanData[MonthlyIncome],1441)&lt;=$B$4,"Medium Income","High Income"))</f>
        <v>High Income</v>
      </c>
      <c r="D1449">
        <f>IF(INDEX(tblCleanData[Attrition],1441)="Yes",1,0)</f>
        <v>0</v>
      </c>
      <c r="E1449">
        <f>IF(INDEX(tblCleanData[OverTime],1441)="Yes",1,0)</f>
        <v>0</v>
      </c>
      <c r="F1449" t="str">
        <f>CHOOSE(INDEX(tblCleanData[Education],1441),"Below College","College","Bachelor","Master","Doctor")</f>
        <v>College</v>
      </c>
      <c r="G1449" t="str">
        <f>IF(INDEX(tblCleanData[YearsAtCompany],1441)&lt;=2,"0-2 Years",IF(INDEX(tblCleanData[YearsAtCompany],1441)&lt;=5,"3-5 Years",IF(INDEX(tblCleanData[YearsAtCompany],1441)&lt;=10,"6-10 Years","10+ Years")))</f>
        <v>3-5 Years</v>
      </c>
      <c r="H1449" t="str">
        <f>IF(INDEX(tblCleanData[WorkLifeBalance],1441)&lt;=2,"Elevated","Normal")</f>
        <v>Normal</v>
      </c>
      <c r="I1449">
        <f>IF(INDEX(tblCleanData[Age],1441)&lt;30,30,IF(INDEX(tblCleanData[Age],1441)&lt;40,20,IF(INDEX(tblCleanData[Age],1441)&lt;50,10,15)))</f>
        <v>20</v>
      </c>
      <c r="J1449">
        <f>IF(INDEX(tblCleanData[MonthlyIncome],1441)&lt;=$B$3,25,IF(INDEX(tblCleanData[MonthlyIncome],1441)&lt;=$B$4,12,5))</f>
        <v>5</v>
      </c>
      <c r="K1449">
        <f>IF(INDEX(tblCleanData[OverTime],1441)="Yes",25,0)</f>
        <v>0</v>
      </c>
      <c r="L1449">
        <f>(5-INDEX(tblCleanData[JobSatisfaction],1441))*6.25</f>
        <v>18.75</v>
      </c>
      <c r="M1449">
        <f>IF(INDEX(tblCleanData[YearsAtCompany],1441)&lt;=2,25,IF(INDEX(tblCleanData[YearsAtCompany],1441)&lt;=5,15,IF(INDEX(tblCleanData[YearsAtCompany],1441)&lt;=10,8,3)))</f>
        <v>15</v>
      </c>
      <c r="N1449">
        <f t="shared" si="44"/>
        <v>59</v>
      </c>
      <c r="O1449" t="str">
        <f t="shared" si="45"/>
        <v>High Risk</v>
      </c>
    </row>
    <row r="1450" spans="1:15" x14ac:dyDescent="0.25">
      <c r="A1450">
        <f>INDEX(tblCleanData[EmployeeNumber],1442)</f>
        <v>2026</v>
      </c>
      <c r="B1450" t="str">
        <f>IF(INDEX(tblCleanData[Age],1442)&lt;30,"Under 30",IF(INDEX(tblCleanData[Age],1442)&lt;40,"30-39",IF(INDEX(tblCleanData[Age],1442)&lt;50,"40-49","50+")))</f>
        <v>50+</v>
      </c>
      <c r="C1450" t="str">
        <f>IF(INDEX(tblCleanData[MonthlyIncome],1442)&lt;=$B$3,"Low Income",IF(INDEX(tblCleanData[MonthlyIncome],1442)&lt;=$B$4,"Medium Income","High Income"))</f>
        <v>High Income</v>
      </c>
      <c r="D1450">
        <f>IF(INDEX(tblCleanData[Attrition],1442)="Yes",1,0)</f>
        <v>0</v>
      </c>
      <c r="E1450">
        <f>IF(INDEX(tblCleanData[OverTime],1442)="Yes",1,0)</f>
        <v>0</v>
      </c>
      <c r="F1450" t="str">
        <f>CHOOSE(INDEX(tblCleanData[Education],1442),"Below College","College","Bachelor","Master","Doctor")</f>
        <v>Master</v>
      </c>
      <c r="G1450" t="str">
        <f>IF(INDEX(tblCleanData[YearsAtCompany],1442)&lt;=2,"0-2 Years",IF(INDEX(tblCleanData[YearsAtCompany],1442)&lt;=5,"3-5 Years",IF(INDEX(tblCleanData[YearsAtCompany],1442)&lt;=10,"6-10 Years","10+ Years")))</f>
        <v>10+ Years</v>
      </c>
      <c r="H1450" t="str">
        <f>IF(INDEX(tblCleanData[WorkLifeBalance],1442)&lt;=2,"Elevated","Normal")</f>
        <v>Elevated</v>
      </c>
      <c r="I1450">
        <f>IF(INDEX(tblCleanData[Age],1442)&lt;30,30,IF(INDEX(tblCleanData[Age],1442)&lt;40,20,IF(INDEX(tblCleanData[Age],1442)&lt;50,10,15)))</f>
        <v>15</v>
      </c>
      <c r="J1450">
        <f>IF(INDEX(tblCleanData[MonthlyIncome],1442)&lt;=$B$3,25,IF(INDEX(tblCleanData[MonthlyIncome],1442)&lt;=$B$4,12,5))</f>
        <v>5</v>
      </c>
      <c r="K1450">
        <f>IF(INDEX(tblCleanData[OverTime],1442)="Yes",25,0)</f>
        <v>0</v>
      </c>
      <c r="L1450">
        <f>(5-INDEX(tblCleanData[JobSatisfaction],1442))*6.25</f>
        <v>12.5</v>
      </c>
      <c r="M1450">
        <f>IF(INDEX(tblCleanData[YearsAtCompany],1442)&lt;=2,25,IF(INDEX(tblCleanData[YearsAtCompany],1442)&lt;=5,15,IF(INDEX(tblCleanData[YearsAtCompany],1442)&lt;=10,8,3)))</f>
        <v>3</v>
      </c>
      <c r="N1450">
        <f t="shared" si="44"/>
        <v>36</v>
      </c>
      <c r="O1450" t="str">
        <f t="shared" si="45"/>
        <v>Medium Risk</v>
      </c>
    </row>
    <row r="1451" spans="1:15" x14ac:dyDescent="0.25">
      <c r="A1451">
        <f>INDEX(tblCleanData[EmployeeNumber],1443)</f>
        <v>2027</v>
      </c>
      <c r="B1451" t="str">
        <f>IF(INDEX(tblCleanData[Age],1443)&lt;30,"Under 30",IF(INDEX(tblCleanData[Age],1443)&lt;40,"30-39",IF(INDEX(tblCleanData[Age],1443)&lt;50,"40-49","50+")))</f>
        <v>Under 30</v>
      </c>
      <c r="C1451" t="str">
        <f>IF(INDEX(tblCleanData[MonthlyIncome],1443)&lt;=$B$3,"Low Income",IF(INDEX(tblCleanData[MonthlyIncome],1443)&lt;=$B$4,"Medium Income","High Income"))</f>
        <v>High Income</v>
      </c>
      <c r="D1451">
        <f>IF(INDEX(tblCleanData[Attrition],1443)="Yes",1,0)</f>
        <v>1</v>
      </c>
      <c r="E1451">
        <f>IF(INDEX(tblCleanData[OverTime],1443)="Yes",1,0)</f>
        <v>1</v>
      </c>
      <c r="F1451" t="str">
        <f>CHOOSE(INDEX(tblCleanData[Education],1443),"Below College","College","Bachelor","Master","Doctor")</f>
        <v>Master</v>
      </c>
      <c r="G1451" t="str">
        <f>IF(INDEX(tblCleanData[YearsAtCompany],1443)&lt;=2,"0-2 Years",IF(INDEX(tblCleanData[YearsAtCompany],1443)&lt;=5,"3-5 Years",IF(INDEX(tblCleanData[YearsAtCompany],1443)&lt;=10,"6-10 Years","10+ Years")))</f>
        <v>0-2 Years</v>
      </c>
      <c r="H1451" t="str">
        <f>IF(INDEX(tblCleanData[WorkLifeBalance],1443)&lt;=2,"Elevated","Normal")</f>
        <v>Normal</v>
      </c>
      <c r="I1451">
        <f>IF(INDEX(tblCleanData[Age],1443)&lt;30,30,IF(INDEX(tblCleanData[Age],1443)&lt;40,20,IF(INDEX(tblCleanData[Age],1443)&lt;50,10,15)))</f>
        <v>30</v>
      </c>
      <c r="J1451">
        <f>IF(INDEX(tblCleanData[MonthlyIncome],1443)&lt;=$B$3,25,IF(INDEX(tblCleanData[MonthlyIncome],1443)&lt;=$B$4,12,5))</f>
        <v>5</v>
      </c>
      <c r="K1451">
        <f>IF(INDEX(tblCleanData[OverTime],1443)="Yes",25,0)</f>
        <v>25</v>
      </c>
      <c r="L1451">
        <f>(5-INDEX(tblCleanData[JobSatisfaction],1443))*6.25</f>
        <v>6.25</v>
      </c>
      <c r="M1451">
        <f>IF(INDEX(tblCleanData[YearsAtCompany],1443)&lt;=2,25,IF(INDEX(tblCleanData[YearsAtCompany],1443)&lt;=5,15,IF(INDEX(tblCleanData[YearsAtCompany],1443)&lt;=10,8,3)))</f>
        <v>25</v>
      </c>
      <c r="N1451">
        <f t="shared" si="44"/>
        <v>91</v>
      </c>
      <c r="O1451" t="str">
        <f t="shared" si="45"/>
        <v>High Risk</v>
      </c>
    </row>
    <row r="1452" spans="1:15" x14ac:dyDescent="0.25">
      <c r="A1452">
        <f>INDEX(tblCleanData[EmployeeNumber],1444)</f>
        <v>2031</v>
      </c>
      <c r="B1452" t="str">
        <f>IF(INDEX(tblCleanData[Age],1444)&lt;30,"Under 30",IF(INDEX(tblCleanData[Age],1444)&lt;40,"30-39",IF(INDEX(tblCleanData[Age],1444)&lt;50,"40-49","50+")))</f>
        <v>40-49</v>
      </c>
      <c r="C1452" t="str">
        <f>IF(INDEX(tblCleanData[MonthlyIncome],1444)&lt;=$B$3,"Low Income",IF(INDEX(tblCleanData[MonthlyIncome],1444)&lt;=$B$4,"Medium Income","High Income"))</f>
        <v>High Income</v>
      </c>
      <c r="D1452">
        <f>IF(INDEX(tblCleanData[Attrition],1444)="Yes",1,0)</f>
        <v>0</v>
      </c>
      <c r="E1452">
        <f>IF(INDEX(tblCleanData[OverTime],1444)="Yes",1,0)</f>
        <v>0</v>
      </c>
      <c r="F1452" t="str">
        <f>CHOOSE(INDEX(tblCleanData[Education],1444),"Below College","College","Bachelor","Master","Doctor")</f>
        <v>Bachelor</v>
      </c>
      <c r="G1452" t="str">
        <f>IF(INDEX(tblCleanData[YearsAtCompany],1444)&lt;=2,"0-2 Years",IF(INDEX(tblCleanData[YearsAtCompany],1444)&lt;=5,"3-5 Years",IF(INDEX(tblCleanData[YearsAtCompany],1444)&lt;=10,"6-10 Years","10+ Years")))</f>
        <v>10+ Years</v>
      </c>
      <c r="H1452" t="str">
        <f>IF(INDEX(tblCleanData[WorkLifeBalance],1444)&lt;=2,"Elevated","Normal")</f>
        <v>Elevated</v>
      </c>
      <c r="I1452">
        <f>IF(INDEX(tblCleanData[Age],1444)&lt;30,30,IF(INDEX(tblCleanData[Age],1444)&lt;40,20,IF(INDEX(tblCleanData[Age],1444)&lt;50,10,15)))</f>
        <v>10</v>
      </c>
      <c r="J1452">
        <f>IF(INDEX(tblCleanData[MonthlyIncome],1444)&lt;=$B$3,25,IF(INDEX(tblCleanData[MonthlyIncome],1444)&lt;=$B$4,12,5))</f>
        <v>5</v>
      </c>
      <c r="K1452">
        <f>IF(INDEX(tblCleanData[OverTime],1444)="Yes",25,0)</f>
        <v>0</v>
      </c>
      <c r="L1452">
        <f>(5-INDEX(tblCleanData[JobSatisfaction],1444))*6.25</f>
        <v>12.5</v>
      </c>
      <c r="M1452">
        <f>IF(INDEX(tblCleanData[YearsAtCompany],1444)&lt;=2,25,IF(INDEX(tblCleanData[YearsAtCompany],1444)&lt;=5,15,IF(INDEX(tblCleanData[YearsAtCompany],1444)&lt;=10,8,3)))</f>
        <v>3</v>
      </c>
      <c r="N1452">
        <f t="shared" si="44"/>
        <v>31</v>
      </c>
      <c r="O1452" t="str">
        <f t="shared" si="45"/>
        <v>Low Risk</v>
      </c>
    </row>
    <row r="1453" spans="1:15" x14ac:dyDescent="0.25">
      <c r="A1453">
        <f>INDEX(tblCleanData[EmployeeNumber],1445)</f>
        <v>2032</v>
      </c>
      <c r="B1453" t="str">
        <f>IF(INDEX(tblCleanData[Age],1445)&lt;30,"Under 30",IF(INDEX(tblCleanData[Age],1445)&lt;40,"30-39",IF(INDEX(tblCleanData[Age],1445)&lt;50,"40-49","50+")))</f>
        <v>50+</v>
      </c>
      <c r="C1453" t="str">
        <f>IF(INDEX(tblCleanData[MonthlyIncome],1445)&lt;=$B$3,"Low Income",IF(INDEX(tblCleanData[MonthlyIncome],1445)&lt;=$B$4,"Medium Income","High Income"))</f>
        <v>High Income</v>
      </c>
      <c r="D1453">
        <f>IF(INDEX(tblCleanData[Attrition],1445)="Yes",1,0)</f>
        <v>1</v>
      </c>
      <c r="E1453">
        <f>IF(INDEX(tblCleanData[OverTime],1445)="Yes",1,0)</f>
        <v>0</v>
      </c>
      <c r="F1453" t="str">
        <f>CHOOSE(INDEX(tblCleanData[Education],1445),"Below College","College","Bachelor","Master","Doctor")</f>
        <v>College</v>
      </c>
      <c r="G1453" t="str">
        <f>IF(INDEX(tblCleanData[YearsAtCompany],1445)&lt;=2,"0-2 Years",IF(INDEX(tblCleanData[YearsAtCompany],1445)&lt;=5,"3-5 Years",IF(INDEX(tblCleanData[YearsAtCompany],1445)&lt;=10,"6-10 Years","10+ Years")))</f>
        <v>6-10 Years</v>
      </c>
      <c r="H1453" t="str">
        <f>IF(INDEX(tblCleanData[WorkLifeBalance],1445)&lt;=2,"Elevated","Normal")</f>
        <v>Elevated</v>
      </c>
      <c r="I1453">
        <f>IF(INDEX(tblCleanData[Age],1445)&lt;30,30,IF(INDEX(tblCleanData[Age],1445)&lt;40,20,IF(INDEX(tblCleanData[Age],1445)&lt;50,10,15)))</f>
        <v>15</v>
      </c>
      <c r="J1453">
        <f>IF(INDEX(tblCleanData[MonthlyIncome],1445)&lt;=$B$3,25,IF(INDEX(tblCleanData[MonthlyIncome],1445)&lt;=$B$4,12,5))</f>
        <v>5</v>
      </c>
      <c r="K1453">
        <f>IF(INDEX(tblCleanData[OverTime],1445)="Yes",25,0)</f>
        <v>0</v>
      </c>
      <c r="L1453">
        <f>(5-INDEX(tblCleanData[JobSatisfaction],1445))*6.25</f>
        <v>12.5</v>
      </c>
      <c r="M1453">
        <f>IF(INDEX(tblCleanData[YearsAtCompany],1445)&lt;=2,25,IF(INDEX(tblCleanData[YearsAtCompany],1445)&lt;=5,15,IF(INDEX(tblCleanData[YearsAtCompany],1445)&lt;=10,8,3)))</f>
        <v>8</v>
      </c>
      <c r="N1453">
        <f t="shared" si="44"/>
        <v>41</v>
      </c>
      <c r="O1453" t="str">
        <f t="shared" si="45"/>
        <v>Medium Risk</v>
      </c>
    </row>
    <row r="1454" spans="1:15" x14ac:dyDescent="0.25">
      <c r="A1454">
        <f>INDEX(tblCleanData[EmployeeNumber],1446)</f>
        <v>2034</v>
      </c>
      <c r="B1454" t="str">
        <f>IF(INDEX(tblCleanData[Age],1446)&lt;30,"Under 30",IF(INDEX(tblCleanData[Age],1446)&lt;40,"30-39",IF(INDEX(tblCleanData[Age],1446)&lt;50,"40-49","50+")))</f>
        <v>40-49</v>
      </c>
      <c r="C1454" t="str">
        <f>IF(INDEX(tblCleanData[MonthlyIncome],1446)&lt;=$B$3,"Low Income",IF(INDEX(tblCleanData[MonthlyIncome],1446)&lt;=$B$4,"Medium Income","High Income"))</f>
        <v>High Income</v>
      </c>
      <c r="D1454">
        <f>IF(INDEX(tblCleanData[Attrition],1446)="Yes",1,0)</f>
        <v>0</v>
      </c>
      <c r="E1454">
        <f>IF(INDEX(tblCleanData[OverTime],1446)="Yes",1,0)</f>
        <v>0</v>
      </c>
      <c r="F1454" t="str">
        <f>CHOOSE(INDEX(tblCleanData[Education],1446),"Below College","College","Bachelor","Master","Doctor")</f>
        <v>Master</v>
      </c>
      <c r="G1454" t="str">
        <f>IF(INDEX(tblCleanData[YearsAtCompany],1446)&lt;=2,"0-2 Years",IF(INDEX(tblCleanData[YearsAtCompany],1446)&lt;=5,"3-5 Years",IF(INDEX(tblCleanData[YearsAtCompany],1446)&lt;=10,"6-10 Years","10+ Years")))</f>
        <v>10+ Years</v>
      </c>
      <c r="H1454" t="str">
        <f>IF(INDEX(tblCleanData[WorkLifeBalance],1446)&lt;=2,"Elevated","Normal")</f>
        <v>Normal</v>
      </c>
      <c r="I1454">
        <f>IF(INDEX(tblCleanData[Age],1446)&lt;30,30,IF(INDEX(tblCleanData[Age],1446)&lt;40,20,IF(INDEX(tblCleanData[Age],1446)&lt;50,10,15)))</f>
        <v>10</v>
      </c>
      <c r="J1454">
        <f>IF(INDEX(tblCleanData[MonthlyIncome],1446)&lt;=$B$3,25,IF(INDEX(tblCleanData[MonthlyIncome],1446)&lt;=$B$4,12,5))</f>
        <v>5</v>
      </c>
      <c r="K1454">
        <f>IF(INDEX(tblCleanData[OverTime],1446)="Yes",25,0)</f>
        <v>0</v>
      </c>
      <c r="L1454">
        <f>(5-INDEX(tblCleanData[JobSatisfaction],1446))*6.25</f>
        <v>18.75</v>
      </c>
      <c r="M1454">
        <f>IF(INDEX(tblCleanData[YearsAtCompany],1446)&lt;=2,25,IF(INDEX(tblCleanData[YearsAtCompany],1446)&lt;=5,15,IF(INDEX(tblCleanData[YearsAtCompany],1446)&lt;=10,8,3)))</f>
        <v>3</v>
      </c>
      <c r="N1454">
        <f t="shared" si="44"/>
        <v>37</v>
      </c>
      <c r="O1454" t="str">
        <f t="shared" si="45"/>
        <v>Medium Risk</v>
      </c>
    </row>
    <row r="1455" spans="1:15" x14ac:dyDescent="0.25">
      <c r="A1455">
        <f>INDEX(tblCleanData[EmployeeNumber],1447)</f>
        <v>2035</v>
      </c>
      <c r="B1455" t="str">
        <f>IF(INDEX(tblCleanData[Age],1447)&lt;30,"Under 30",IF(INDEX(tblCleanData[Age],1447)&lt;40,"30-39",IF(INDEX(tblCleanData[Age],1447)&lt;50,"40-49","50+")))</f>
        <v>30-39</v>
      </c>
      <c r="C1455" t="str">
        <f>IF(INDEX(tblCleanData[MonthlyIncome],1447)&lt;=$B$3,"Low Income",IF(INDEX(tblCleanData[MonthlyIncome],1447)&lt;=$B$4,"Medium Income","High Income"))</f>
        <v>High Income</v>
      </c>
      <c r="D1455">
        <f>IF(INDEX(tblCleanData[Attrition],1447)="Yes",1,0)</f>
        <v>0</v>
      </c>
      <c r="E1455">
        <f>IF(INDEX(tblCleanData[OverTime],1447)="Yes",1,0)</f>
        <v>0</v>
      </c>
      <c r="F1455" t="str">
        <f>CHOOSE(INDEX(tblCleanData[Education],1447),"Below College","College","Bachelor","Master","Doctor")</f>
        <v>Bachelor</v>
      </c>
      <c r="G1455" t="str">
        <f>IF(INDEX(tblCleanData[YearsAtCompany],1447)&lt;=2,"0-2 Years",IF(INDEX(tblCleanData[YearsAtCompany],1447)&lt;=5,"3-5 Years",IF(INDEX(tblCleanData[YearsAtCompany],1447)&lt;=10,"6-10 Years","10+ Years")))</f>
        <v>6-10 Years</v>
      </c>
      <c r="H1455" t="str">
        <f>IF(INDEX(tblCleanData[WorkLifeBalance],1447)&lt;=2,"Elevated","Normal")</f>
        <v>Normal</v>
      </c>
      <c r="I1455">
        <f>IF(INDEX(tblCleanData[Age],1447)&lt;30,30,IF(INDEX(tblCleanData[Age],1447)&lt;40,20,IF(INDEX(tblCleanData[Age],1447)&lt;50,10,15)))</f>
        <v>20</v>
      </c>
      <c r="J1455">
        <f>IF(INDEX(tblCleanData[MonthlyIncome],1447)&lt;=$B$3,25,IF(INDEX(tblCleanData[MonthlyIncome],1447)&lt;=$B$4,12,5))</f>
        <v>5</v>
      </c>
      <c r="K1455">
        <f>IF(INDEX(tblCleanData[OverTime],1447)="Yes",25,0)</f>
        <v>0</v>
      </c>
      <c r="L1455">
        <f>(5-INDEX(tblCleanData[JobSatisfaction],1447))*6.25</f>
        <v>12.5</v>
      </c>
      <c r="M1455">
        <f>IF(INDEX(tblCleanData[YearsAtCompany],1447)&lt;=2,25,IF(INDEX(tblCleanData[YearsAtCompany],1447)&lt;=5,15,IF(INDEX(tblCleanData[YearsAtCompany],1447)&lt;=10,8,3)))</f>
        <v>8</v>
      </c>
      <c r="N1455">
        <f t="shared" si="44"/>
        <v>46</v>
      </c>
      <c r="O1455" t="str">
        <f t="shared" si="45"/>
        <v>Medium Risk</v>
      </c>
    </row>
    <row r="1456" spans="1:15" x14ac:dyDescent="0.25">
      <c r="A1456">
        <f>INDEX(tblCleanData[EmployeeNumber],1448)</f>
        <v>2036</v>
      </c>
      <c r="B1456" t="str">
        <f>IF(INDEX(tblCleanData[Age],1448)&lt;30,"Under 30",IF(INDEX(tblCleanData[Age],1448)&lt;40,"30-39",IF(INDEX(tblCleanData[Age],1448)&lt;50,"40-49","50+")))</f>
        <v>30-39</v>
      </c>
      <c r="C1456" t="str">
        <f>IF(INDEX(tblCleanData[MonthlyIncome],1448)&lt;=$B$3,"Low Income",IF(INDEX(tblCleanData[MonthlyIncome],1448)&lt;=$B$4,"Medium Income","High Income"))</f>
        <v>High Income</v>
      </c>
      <c r="D1456">
        <f>IF(INDEX(tblCleanData[Attrition],1448)="Yes",1,0)</f>
        <v>0</v>
      </c>
      <c r="E1456">
        <f>IF(INDEX(tblCleanData[OverTime],1448)="Yes",1,0)</f>
        <v>0</v>
      </c>
      <c r="F1456" t="str">
        <f>CHOOSE(INDEX(tblCleanData[Education],1448),"Below College","College","Bachelor","Master","Doctor")</f>
        <v>Master</v>
      </c>
      <c r="G1456" t="str">
        <f>IF(INDEX(tblCleanData[YearsAtCompany],1448)&lt;=2,"0-2 Years",IF(INDEX(tblCleanData[YearsAtCompany],1448)&lt;=5,"3-5 Years",IF(INDEX(tblCleanData[YearsAtCompany],1448)&lt;=10,"6-10 Years","10+ Years")))</f>
        <v>10+ Years</v>
      </c>
      <c r="H1456" t="str">
        <f>IF(INDEX(tblCleanData[WorkLifeBalance],1448)&lt;=2,"Elevated","Normal")</f>
        <v>Elevated</v>
      </c>
      <c r="I1456">
        <f>IF(INDEX(tblCleanData[Age],1448)&lt;30,30,IF(INDEX(tblCleanData[Age],1448)&lt;40,20,IF(INDEX(tblCleanData[Age],1448)&lt;50,10,15)))</f>
        <v>20</v>
      </c>
      <c r="J1456">
        <f>IF(INDEX(tblCleanData[MonthlyIncome],1448)&lt;=$B$3,25,IF(INDEX(tblCleanData[MonthlyIncome],1448)&lt;=$B$4,12,5))</f>
        <v>5</v>
      </c>
      <c r="K1456">
        <f>IF(INDEX(tblCleanData[OverTime],1448)="Yes",25,0)</f>
        <v>0</v>
      </c>
      <c r="L1456">
        <f>(5-INDEX(tblCleanData[JobSatisfaction],1448))*6.25</f>
        <v>6.25</v>
      </c>
      <c r="M1456">
        <f>IF(INDEX(tblCleanData[YearsAtCompany],1448)&lt;=2,25,IF(INDEX(tblCleanData[YearsAtCompany],1448)&lt;=5,15,IF(INDEX(tblCleanData[YearsAtCompany],1448)&lt;=10,8,3)))</f>
        <v>3</v>
      </c>
      <c r="N1456">
        <f t="shared" si="44"/>
        <v>34</v>
      </c>
      <c r="O1456" t="str">
        <f t="shared" si="45"/>
        <v>Low Risk</v>
      </c>
    </row>
    <row r="1457" spans="1:15" x14ac:dyDescent="0.25">
      <c r="A1457">
        <f>INDEX(tblCleanData[EmployeeNumber],1449)</f>
        <v>2037</v>
      </c>
      <c r="B1457" t="str">
        <f>IF(INDEX(tblCleanData[Age],1449)&lt;30,"Under 30",IF(INDEX(tblCleanData[Age],1449)&lt;40,"30-39",IF(INDEX(tblCleanData[Age],1449)&lt;50,"40-49","50+")))</f>
        <v>40-49</v>
      </c>
      <c r="C1457" t="str">
        <f>IF(INDEX(tblCleanData[MonthlyIncome],1449)&lt;=$B$3,"Low Income",IF(INDEX(tblCleanData[MonthlyIncome],1449)&lt;=$B$4,"Medium Income","High Income"))</f>
        <v>High Income</v>
      </c>
      <c r="D1457">
        <f>IF(INDEX(tblCleanData[Attrition],1449)="Yes",1,0)</f>
        <v>0</v>
      </c>
      <c r="E1457">
        <f>IF(INDEX(tblCleanData[OverTime],1449)="Yes",1,0)</f>
        <v>0</v>
      </c>
      <c r="F1457" t="str">
        <f>CHOOSE(INDEX(tblCleanData[Education],1449),"Below College","College","Bachelor","Master","Doctor")</f>
        <v>Bachelor</v>
      </c>
      <c r="G1457" t="str">
        <f>IF(INDEX(tblCleanData[YearsAtCompany],1449)&lt;=2,"0-2 Years",IF(INDEX(tblCleanData[YearsAtCompany],1449)&lt;=5,"3-5 Years",IF(INDEX(tblCleanData[YearsAtCompany],1449)&lt;=10,"6-10 Years","10+ Years")))</f>
        <v>3-5 Years</v>
      </c>
      <c r="H1457" t="str">
        <f>IF(INDEX(tblCleanData[WorkLifeBalance],1449)&lt;=2,"Elevated","Normal")</f>
        <v>Normal</v>
      </c>
      <c r="I1457">
        <f>IF(INDEX(tblCleanData[Age],1449)&lt;30,30,IF(INDEX(tblCleanData[Age],1449)&lt;40,20,IF(INDEX(tblCleanData[Age],1449)&lt;50,10,15)))</f>
        <v>10</v>
      </c>
      <c r="J1457">
        <f>IF(INDEX(tblCleanData[MonthlyIncome],1449)&lt;=$B$3,25,IF(INDEX(tblCleanData[MonthlyIncome],1449)&lt;=$B$4,12,5))</f>
        <v>5</v>
      </c>
      <c r="K1457">
        <f>IF(INDEX(tblCleanData[OverTime],1449)="Yes",25,0)</f>
        <v>0</v>
      </c>
      <c r="L1457">
        <f>(5-INDEX(tblCleanData[JobSatisfaction],1449))*6.25</f>
        <v>18.75</v>
      </c>
      <c r="M1457">
        <f>IF(INDEX(tblCleanData[YearsAtCompany],1449)&lt;=2,25,IF(INDEX(tblCleanData[YearsAtCompany],1449)&lt;=5,15,IF(INDEX(tblCleanData[YearsAtCompany],1449)&lt;=10,8,3)))</f>
        <v>15</v>
      </c>
      <c r="N1457">
        <f t="shared" si="44"/>
        <v>49</v>
      </c>
      <c r="O1457" t="str">
        <f t="shared" si="45"/>
        <v>Medium Risk</v>
      </c>
    </row>
    <row r="1458" spans="1:15" x14ac:dyDescent="0.25">
      <c r="A1458">
        <f>INDEX(tblCleanData[EmployeeNumber],1450)</f>
        <v>2038</v>
      </c>
      <c r="B1458" t="str">
        <f>IF(INDEX(tblCleanData[Age],1450)&lt;30,"Under 30",IF(INDEX(tblCleanData[Age],1450)&lt;40,"30-39",IF(INDEX(tblCleanData[Age],1450)&lt;50,"40-49","50+")))</f>
        <v>30-39</v>
      </c>
      <c r="C1458" t="str">
        <f>IF(INDEX(tblCleanData[MonthlyIncome],1450)&lt;=$B$3,"Low Income",IF(INDEX(tblCleanData[MonthlyIncome],1450)&lt;=$B$4,"Medium Income","High Income"))</f>
        <v>High Income</v>
      </c>
      <c r="D1458">
        <f>IF(INDEX(tblCleanData[Attrition],1450)="Yes",1,0)</f>
        <v>0</v>
      </c>
      <c r="E1458">
        <f>IF(INDEX(tblCleanData[OverTime],1450)="Yes",1,0)</f>
        <v>0</v>
      </c>
      <c r="F1458" t="str">
        <f>CHOOSE(INDEX(tblCleanData[Education],1450),"Below College","College","Bachelor","Master","Doctor")</f>
        <v>Bachelor</v>
      </c>
      <c r="G1458" t="str">
        <f>IF(INDEX(tblCleanData[YearsAtCompany],1450)&lt;=2,"0-2 Years",IF(INDEX(tblCleanData[YearsAtCompany],1450)&lt;=5,"3-5 Years",IF(INDEX(tblCleanData[YearsAtCompany],1450)&lt;=10,"6-10 Years","10+ Years")))</f>
        <v>3-5 Years</v>
      </c>
      <c r="H1458" t="str">
        <f>IF(INDEX(tblCleanData[WorkLifeBalance],1450)&lt;=2,"Elevated","Normal")</f>
        <v>Normal</v>
      </c>
      <c r="I1458">
        <f>IF(INDEX(tblCleanData[Age],1450)&lt;30,30,IF(INDEX(tblCleanData[Age],1450)&lt;40,20,IF(INDEX(tblCleanData[Age],1450)&lt;50,10,15)))</f>
        <v>20</v>
      </c>
      <c r="J1458">
        <f>IF(INDEX(tblCleanData[MonthlyIncome],1450)&lt;=$B$3,25,IF(INDEX(tblCleanData[MonthlyIncome],1450)&lt;=$B$4,12,5))</f>
        <v>5</v>
      </c>
      <c r="K1458">
        <f>IF(INDEX(tblCleanData[OverTime],1450)="Yes",25,0)</f>
        <v>0</v>
      </c>
      <c r="L1458">
        <f>(5-INDEX(tblCleanData[JobSatisfaction],1450))*6.25</f>
        <v>25</v>
      </c>
      <c r="M1458">
        <f>IF(INDEX(tblCleanData[YearsAtCompany],1450)&lt;=2,25,IF(INDEX(tblCleanData[YearsAtCompany],1450)&lt;=5,15,IF(INDEX(tblCleanData[YearsAtCompany],1450)&lt;=10,8,3)))</f>
        <v>15</v>
      </c>
      <c r="N1458">
        <f t="shared" si="44"/>
        <v>65</v>
      </c>
      <c r="O1458" t="str">
        <f t="shared" si="45"/>
        <v>High Risk</v>
      </c>
    </row>
    <row r="1459" spans="1:15" x14ac:dyDescent="0.25">
      <c r="A1459">
        <f>INDEX(tblCleanData[EmployeeNumber],1451)</f>
        <v>2040</v>
      </c>
      <c r="B1459" t="str">
        <f>IF(INDEX(tblCleanData[Age],1451)&lt;30,"Under 30",IF(INDEX(tblCleanData[Age],1451)&lt;40,"30-39",IF(INDEX(tblCleanData[Age],1451)&lt;50,"40-49","50+")))</f>
        <v>30-39</v>
      </c>
      <c r="C1459" t="str">
        <f>IF(INDEX(tblCleanData[MonthlyIncome],1451)&lt;=$B$3,"Low Income",IF(INDEX(tblCleanData[MonthlyIncome],1451)&lt;=$B$4,"Medium Income","High Income"))</f>
        <v>High Income</v>
      </c>
      <c r="D1459">
        <f>IF(INDEX(tblCleanData[Attrition],1451)="Yes",1,0)</f>
        <v>0</v>
      </c>
      <c r="E1459">
        <f>IF(INDEX(tblCleanData[OverTime],1451)="Yes",1,0)</f>
        <v>1</v>
      </c>
      <c r="F1459" t="str">
        <f>CHOOSE(INDEX(tblCleanData[Education],1451),"Below College","College","Bachelor","Master","Doctor")</f>
        <v>Master</v>
      </c>
      <c r="G1459" t="str">
        <f>IF(INDEX(tblCleanData[YearsAtCompany],1451)&lt;=2,"0-2 Years",IF(INDEX(tblCleanData[YearsAtCompany],1451)&lt;=5,"3-5 Years",IF(INDEX(tblCleanData[YearsAtCompany],1451)&lt;=10,"6-10 Years","10+ Years")))</f>
        <v>6-10 Years</v>
      </c>
      <c r="H1459" t="str">
        <f>IF(INDEX(tblCleanData[WorkLifeBalance],1451)&lt;=2,"Elevated","Normal")</f>
        <v>Normal</v>
      </c>
      <c r="I1459">
        <f>IF(INDEX(tblCleanData[Age],1451)&lt;30,30,IF(INDEX(tblCleanData[Age],1451)&lt;40,20,IF(INDEX(tblCleanData[Age],1451)&lt;50,10,15)))</f>
        <v>20</v>
      </c>
      <c r="J1459">
        <f>IF(INDEX(tblCleanData[MonthlyIncome],1451)&lt;=$B$3,25,IF(INDEX(tblCleanData[MonthlyIncome],1451)&lt;=$B$4,12,5))</f>
        <v>5</v>
      </c>
      <c r="K1459">
        <f>IF(INDEX(tblCleanData[OverTime],1451)="Yes",25,0)</f>
        <v>25</v>
      </c>
      <c r="L1459">
        <f>(5-INDEX(tblCleanData[JobSatisfaction],1451))*6.25</f>
        <v>6.25</v>
      </c>
      <c r="M1459">
        <f>IF(INDEX(tblCleanData[YearsAtCompany],1451)&lt;=2,25,IF(INDEX(tblCleanData[YearsAtCompany],1451)&lt;=5,15,IF(INDEX(tblCleanData[YearsAtCompany],1451)&lt;=10,8,3)))</f>
        <v>8</v>
      </c>
      <c r="N1459">
        <f t="shared" si="44"/>
        <v>64</v>
      </c>
      <c r="O1459" t="str">
        <f t="shared" si="45"/>
        <v>High Risk</v>
      </c>
    </row>
    <row r="1460" spans="1:15" x14ac:dyDescent="0.25">
      <c r="A1460">
        <f>INDEX(tblCleanData[EmployeeNumber],1452)</f>
        <v>2041</v>
      </c>
      <c r="B1460" t="str">
        <f>IF(INDEX(tblCleanData[Age],1452)&lt;30,"Under 30",IF(INDEX(tblCleanData[Age],1452)&lt;40,"30-39",IF(INDEX(tblCleanData[Age],1452)&lt;50,"40-49","50+")))</f>
        <v>30-39</v>
      </c>
      <c r="C1460" t="str">
        <f>IF(INDEX(tblCleanData[MonthlyIncome],1452)&lt;=$B$3,"Low Income",IF(INDEX(tblCleanData[MonthlyIncome],1452)&lt;=$B$4,"Medium Income","High Income"))</f>
        <v>High Income</v>
      </c>
      <c r="D1460">
        <f>IF(INDEX(tblCleanData[Attrition],1452)="Yes",1,0)</f>
        <v>0</v>
      </c>
      <c r="E1460">
        <f>IF(INDEX(tblCleanData[OverTime],1452)="Yes",1,0)</f>
        <v>0</v>
      </c>
      <c r="F1460" t="str">
        <f>CHOOSE(INDEX(tblCleanData[Education],1452),"Below College","College","Bachelor","Master","Doctor")</f>
        <v>College</v>
      </c>
      <c r="G1460" t="str">
        <f>IF(INDEX(tblCleanData[YearsAtCompany],1452)&lt;=2,"0-2 Years",IF(INDEX(tblCleanData[YearsAtCompany],1452)&lt;=5,"3-5 Years",IF(INDEX(tblCleanData[YearsAtCompany],1452)&lt;=10,"6-10 Years","10+ Years")))</f>
        <v>6-10 Years</v>
      </c>
      <c r="H1460" t="str">
        <f>IF(INDEX(tblCleanData[WorkLifeBalance],1452)&lt;=2,"Elevated","Normal")</f>
        <v>Normal</v>
      </c>
      <c r="I1460">
        <f>IF(INDEX(tblCleanData[Age],1452)&lt;30,30,IF(INDEX(tblCleanData[Age],1452)&lt;40,20,IF(INDEX(tblCleanData[Age],1452)&lt;50,10,15)))</f>
        <v>20</v>
      </c>
      <c r="J1460">
        <f>IF(INDEX(tblCleanData[MonthlyIncome],1452)&lt;=$B$3,25,IF(INDEX(tblCleanData[MonthlyIncome],1452)&lt;=$B$4,12,5))</f>
        <v>5</v>
      </c>
      <c r="K1460">
        <f>IF(INDEX(tblCleanData[OverTime],1452)="Yes",25,0)</f>
        <v>0</v>
      </c>
      <c r="L1460">
        <f>(5-INDEX(tblCleanData[JobSatisfaction],1452))*6.25</f>
        <v>6.25</v>
      </c>
      <c r="M1460">
        <f>IF(INDEX(tblCleanData[YearsAtCompany],1452)&lt;=2,25,IF(INDEX(tblCleanData[YearsAtCompany],1452)&lt;=5,15,IF(INDEX(tblCleanData[YearsAtCompany],1452)&lt;=10,8,3)))</f>
        <v>8</v>
      </c>
      <c r="N1460">
        <f t="shared" si="44"/>
        <v>39</v>
      </c>
      <c r="O1460" t="str">
        <f t="shared" si="45"/>
        <v>Medium Risk</v>
      </c>
    </row>
    <row r="1461" spans="1:15" x14ac:dyDescent="0.25">
      <c r="A1461">
        <f>INDEX(tblCleanData[EmployeeNumber],1453)</f>
        <v>2044</v>
      </c>
      <c r="B1461" t="str">
        <f>IF(INDEX(tblCleanData[Age],1453)&lt;30,"Under 30",IF(INDEX(tblCleanData[Age],1453)&lt;40,"30-39",IF(INDEX(tblCleanData[Age],1453)&lt;50,"40-49","50+")))</f>
        <v>50+</v>
      </c>
      <c r="C1461" t="str">
        <f>IF(INDEX(tblCleanData[MonthlyIncome],1453)&lt;=$B$3,"Low Income",IF(INDEX(tblCleanData[MonthlyIncome],1453)&lt;=$B$4,"Medium Income","High Income"))</f>
        <v>High Income</v>
      </c>
      <c r="D1461">
        <f>IF(INDEX(tblCleanData[Attrition],1453)="Yes",1,0)</f>
        <v>1</v>
      </c>
      <c r="E1461">
        <f>IF(INDEX(tblCleanData[OverTime],1453)="Yes",1,0)</f>
        <v>0</v>
      </c>
      <c r="F1461" t="str">
        <f>CHOOSE(INDEX(tblCleanData[Education],1453),"Below College","College","Bachelor","Master","Doctor")</f>
        <v>Master</v>
      </c>
      <c r="G1461" t="str">
        <f>IF(INDEX(tblCleanData[YearsAtCompany],1453)&lt;=2,"0-2 Years",IF(INDEX(tblCleanData[YearsAtCompany],1453)&lt;=5,"3-5 Years",IF(INDEX(tblCleanData[YearsAtCompany],1453)&lt;=10,"6-10 Years","10+ Years")))</f>
        <v>6-10 Years</v>
      </c>
      <c r="H1461" t="str">
        <f>IF(INDEX(tblCleanData[WorkLifeBalance],1453)&lt;=2,"Elevated","Normal")</f>
        <v>Normal</v>
      </c>
      <c r="I1461">
        <f>IF(INDEX(tblCleanData[Age],1453)&lt;30,30,IF(INDEX(tblCleanData[Age],1453)&lt;40,20,IF(INDEX(tblCleanData[Age],1453)&lt;50,10,15)))</f>
        <v>15</v>
      </c>
      <c r="J1461">
        <f>IF(INDEX(tblCleanData[MonthlyIncome],1453)&lt;=$B$3,25,IF(INDEX(tblCleanData[MonthlyIncome],1453)&lt;=$B$4,12,5))</f>
        <v>5</v>
      </c>
      <c r="K1461">
        <f>IF(INDEX(tblCleanData[OverTime],1453)="Yes",25,0)</f>
        <v>0</v>
      </c>
      <c r="L1461">
        <f>(5-INDEX(tblCleanData[JobSatisfaction],1453))*6.25</f>
        <v>12.5</v>
      </c>
      <c r="M1461">
        <f>IF(INDEX(tblCleanData[YearsAtCompany],1453)&lt;=2,25,IF(INDEX(tblCleanData[YearsAtCompany],1453)&lt;=5,15,IF(INDEX(tblCleanData[YearsAtCompany],1453)&lt;=10,8,3)))</f>
        <v>8</v>
      </c>
      <c r="N1461">
        <f t="shared" si="44"/>
        <v>41</v>
      </c>
      <c r="O1461" t="str">
        <f t="shared" si="45"/>
        <v>Medium Risk</v>
      </c>
    </row>
    <row r="1462" spans="1:15" x14ac:dyDescent="0.25">
      <c r="A1462">
        <f>INDEX(tblCleanData[EmployeeNumber],1454)</f>
        <v>2045</v>
      </c>
      <c r="B1462" t="str">
        <f>IF(INDEX(tblCleanData[Age],1454)&lt;30,"Under 30",IF(INDEX(tblCleanData[Age],1454)&lt;40,"30-39",IF(INDEX(tblCleanData[Age],1454)&lt;50,"40-49","50+")))</f>
        <v>30-39</v>
      </c>
      <c r="C1462" t="str">
        <f>IF(INDEX(tblCleanData[MonthlyIncome],1454)&lt;=$B$3,"Low Income",IF(INDEX(tblCleanData[MonthlyIncome],1454)&lt;=$B$4,"Medium Income","High Income"))</f>
        <v>High Income</v>
      </c>
      <c r="D1462">
        <f>IF(INDEX(tblCleanData[Attrition],1454)="Yes",1,0)</f>
        <v>0</v>
      </c>
      <c r="E1462">
        <f>IF(INDEX(tblCleanData[OverTime],1454)="Yes",1,0)</f>
        <v>0</v>
      </c>
      <c r="F1462" t="str">
        <f>CHOOSE(INDEX(tblCleanData[Education],1454),"Below College","College","Bachelor","Master","Doctor")</f>
        <v>Master</v>
      </c>
      <c r="G1462" t="str">
        <f>IF(INDEX(tblCleanData[YearsAtCompany],1454)&lt;=2,"0-2 Years",IF(INDEX(tblCleanData[YearsAtCompany],1454)&lt;=5,"3-5 Years",IF(INDEX(tblCleanData[YearsAtCompany],1454)&lt;=10,"6-10 Years","10+ Years")))</f>
        <v>6-10 Years</v>
      </c>
      <c r="H1462" t="str">
        <f>IF(INDEX(tblCleanData[WorkLifeBalance],1454)&lt;=2,"Elevated","Normal")</f>
        <v>Elevated</v>
      </c>
      <c r="I1462">
        <f>IF(INDEX(tblCleanData[Age],1454)&lt;30,30,IF(INDEX(tblCleanData[Age],1454)&lt;40,20,IF(INDEX(tblCleanData[Age],1454)&lt;50,10,15)))</f>
        <v>20</v>
      </c>
      <c r="J1462">
        <f>IF(INDEX(tblCleanData[MonthlyIncome],1454)&lt;=$B$3,25,IF(INDEX(tblCleanData[MonthlyIncome],1454)&lt;=$B$4,12,5))</f>
        <v>5</v>
      </c>
      <c r="K1462">
        <f>IF(INDEX(tblCleanData[OverTime],1454)="Yes",25,0)</f>
        <v>0</v>
      </c>
      <c r="L1462">
        <f>(5-INDEX(tblCleanData[JobSatisfaction],1454))*6.25</f>
        <v>6.25</v>
      </c>
      <c r="M1462">
        <f>IF(INDEX(tblCleanData[YearsAtCompany],1454)&lt;=2,25,IF(INDEX(tblCleanData[YearsAtCompany],1454)&lt;=5,15,IF(INDEX(tblCleanData[YearsAtCompany],1454)&lt;=10,8,3)))</f>
        <v>8</v>
      </c>
      <c r="N1462">
        <f t="shared" si="44"/>
        <v>39</v>
      </c>
      <c r="O1462" t="str">
        <f t="shared" si="45"/>
        <v>Medium Risk</v>
      </c>
    </row>
    <row r="1463" spans="1:15" x14ac:dyDescent="0.25">
      <c r="A1463">
        <f>INDEX(tblCleanData[EmployeeNumber],1455)</f>
        <v>2046</v>
      </c>
      <c r="B1463" t="str">
        <f>IF(INDEX(tblCleanData[Age],1455)&lt;30,"Under 30",IF(INDEX(tblCleanData[Age],1455)&lt;40,"30-39",IF(INDEX(tblCleanData[Age],1455)&lt;50,"40-49","50+")))</f>
        <v>40-49</v>
      </c>
      <c r="C1463" t="str">
        <f>IF(INDEX(tblCleanData[MonthlyIncome],1455)&lt;=$B$3,"Low Income",IF(INDEX(tblCleanData[MonthlyIncome],1455)&lt;=$B$4,"Medium Income","High Income"))</f>
        <v>High Income</v>
      </c>
      <c r="D1463">
        <f>IF(INDEX(tblCleanData[Attrition],1455)="Yes",1,0)</f>
        <v>0</v>
      </c>
      <c r="E1463">
        <f>IF(INDEX(tblCleanData[OverTime],1455)="Yes",1,0)</f>
        <v>0</v>
      </c>
      <c r="F1463" t="str">
        <f>CHOOSE(INDEX(tblCleanData[Education],1455),"Below College","College","Bachelor","Master","Doctor")</f>
        <v>Bachelor</v>
      </c>
      <c r="G1463" t="str">
        <f>IF(INDEX(tblCleanData[YearsAtCompany],1455)&lt;=2,"0-2 Years",IF(INDEX(tblCleanData[YearsAtCompany],1455)&lt;=5,"3-5 Years",IF(INDEX(tblCleanData[YearsAtCompany],1455)&lt;=10,"6-10 Years","10+ Years")))</f>
        <v>3-5 Years</v>
      </c>
      <c r="H1463" t="str">
        <f>IF(INDEX(tblCleanData[WorkLifeBalance],1455)&lt;=2,"Elevated","Normal")</f>
        <v>Normal</v>
      </c>
      <c r="I1463">
        <f>IF(INDEX(tblCleanData[Age],1455)&lt;30,30,IF(INDEX(tblCleanData[Age],1455)&lt;40,20,IF(INDEX(tblCleanData[Age],1455)&lt;50,10,15)))</f>
        <v>10</v>
      </c>
      <c r="J1463">
        <f>IF(INDEX(tblCleanData[MonthlyIncome],1455)&lt;=$B$3,25,IF(INDEX(tblCleanData[MonthlyIncome],1455)&lt;=$B$4,12,5))</f>
        <v>5</v>
      </c>
      <c r="K1463">
        <f>IF(INDEX(tblCleanData[OverTime],1455)="Yes",25,0)</f>
        <v>0</v>
      </c>
      <c r="L1463">
        <f>(5-INDEX(tblCleanData[JobSatisfaction],1455))*6.25</f>
        <v>12.5</v>
      </c>
      <c r="M1463">
        <f>IF(INDEX(tblCleanData[YearsAtCompany],1455)&lt;=2,25,IF(INDEX(tblCleanData[YearsAtCompany],1455)&lt;=5,15,IF(INDEX(tblCleanData[YearsAtCompany],1455)&lt;=10,8,3)))</f>
        <v>15</v>
      </c>
      <c r="N1463">
        <f t="shared" si="44"/>
        <v>43</v>
      </c>
      <c r="O1463" t="str">
        <f t="shared" si="45"/>
        <v>Medium Risk</v>
      </c>
    </row>
    <row r="1464" spans="1:15" x14ac:dyDescent="0.25">
      <c r="A1464">
        <f>INDEX(tblCleanData[EmployeeNumber],1456)</f>
        <v>2048</v>
      </c>
      <c r="B1464" t="str">
        <f>IF(INDEX(tblCleanData[Age],1456)&lt;30,"Under 30",IF(INDEX(tblCleanData[Age],1456)&lt;40,"30-39",IF(INDEX(tblCleanData[Age],1456)&lt;50,"40-49","50+")))</f>
        <v>40-49</v>
      </c>
      <c r="C1464" t="str">
        <f>IF(INDEX(tblCleanData[MonthlyIncome],1456)&lt;=$B$3,"Low Income",IF(INDEX(tblCleanData[MonthlyIncome],1456)&lt;=$B$4,"Medium Income","High Income"))</f>
        <v>High Income</v>
      </c>
      <c r="D1464">
        <f>IF(INDEX(tblCleanData[Attrition],1456)="Yes",1,0)</f>
        <v>0</v>
      </c>
      <c r="E1464">
        <f>IF(INDEX(tblCleanData[OverTime],1456)="Yes",1,0)</f>
        <v>0</v>
      </c>
      <c r="F1464" t="str">
        <f>CHOOSE(INDEX(tblCleanData[Education],1456),"Below College","College","Bachelor","Master","Doctor")</f>
        <v>Master</v>
      </c>
      <c r="G1464" t="str">
        <f>IF(INDEX(tblCleanData[YearsAtCompany],1456)&lt;=2,"0-2 Years",IF(INDEX(tblCleanData[YearsAtCompany],1456)&lt;=5,"3-5 Years",IF(INDEX(tblCleanData[YearsAtCompany],1456)&lt;=10,"6-10 Years","10+ Years")))</f>
        <v>0-2 Years</v>
      </c>
      <c r="H1464" t="str">
        <f>IF(INDEX(tblCleanData[WorkLifeBalance],1456)&lt;=2,"Elevated","Normal")</f>
        <v>Normal</v>
      </c>
      <c r="I1464">
        <f>IF(INDEX(tblCleanData[Age],1456)&lt;30,30,IF(INDEX(tblCleanData[Age],1456)&lt;40,20,IF(INDEX(tblCleanData[Age],1456)&lt;50,10,15)))</f>
        <v>10</v>
      </c>
      <c r="J1464">
        <f>IF(INDEX(tblCleanData[MonthlyIncome],1456)&lt;=$B$3,25,IF(INDEX(tblCleanData[MonthlyIncome],1456)&lt;=$B$4,12,5))</f>
        <v>5</v>
      </c>
      <c r="K1464">
        <f>IF(INDEX(tblCleanData[OverTime],1456)="Yes",25,0)</f>
        <v>0</v>
      </c>
      <c r="L1464">
        <f>(5-INDEX(tblCleanData[JobSatisfaction],1456))*6.25</f>
        <v>12.5</v>
      </c>
      <c r="M1464">
        <f>IF(INDEX(tblCleanData[YearsAtCompany],1456)&lt;=2,25,IF(INDEX(tblCleanData[YearsAtCompany],1456)&lt;=5,15,IF(INDEX(tblCleanData[YearsAtCompany],1456)&lt;=10,8,3)))</f>
        <v>25</v>
      </c>
      <c r="N1464">
        <f t="shared" si="44"/>
        <v>53</v>
      </c>
      <c r="O1464" t="str">
        <f t="shared" si="45"/>
        <v>Medium Risk</v>
      </c>
    </row>
    <row r="1465" spans="1:15" x14ac:dyDescent="0.25">
      <c r="A1465">
        <f>INDEX(tblCleanData[EmployeeNumber],1457)</f>
        <v>2049</v>
      </c>
      <c r="B1465" t="str">
        <f>IF(INDEX(tblCleanData[Age],1457)&lt;30,"Under 30",IF(INDEX(tblCleanData[Age],1457)&lt;40,"30-39",IF(INDEX(tblCleanData[Age],1457)&lt;50,"40-49","50+")))</f>
        <v>30-39</v>
      </c>
      <c r="C1465" t="str">
        <f>IF(INDEX(tblCleanData[MonthlyIncome],1457)&lt;=$B$3,"Low Income",IF(INDEX(tblCleanData[MonthlyIncome],1457)&lt;=$B$4,"Medium Income","High Income"))</f>
        <v>High Income</v>
      </c>
      <c r="D1465">
        <f>IF(INDEX(tblCleanData[Attrition],1457)="Yes",1,0)</f>
        <v>0</v>
      </c>
      <c r="E1465">
        <f>IF(INDEX(tblCleanData[OverTime],1457)="Yes",1,0)</f>
        <v>1</v>
      </c>
      <c r="F1465" t="str">
        <f>CHOOSE(INDEX(tblCleanData[Education],1457),"Below College","College","Bachelor","Master","Doctor")</f>
        <v>Master</v>
      </c>
      <c r="G1465" t="str">
        <f>IF(INDEX(tblCleanData[YearsAtCompany],1457)&lt;=2,"0-2 Years",IF(INDEX(tblCleanData[YearsAtCompany],1457)&lt;=5,"3-5 Years",IF(INDEX(tblCleanData[YearsAtCompany],1457)&lt;=10,"6-10 Years","10+ Years")))</f>
        <v>6-10 Years</v>
      </c>
      <c r="H1465" t="str">
        <f>IF(INDEX(tblCleanData[WorkLifeBalance],1457)&lt;=2,"Elevated","Normal")</f>
        <v>Normal</v>
      </c>
      <c r="I1465">
        <f>IF(INDEX(tblCleanData[Age],1457)&lt;30,30,IF(INDEX(tblCleanData[Age],1457)&lt;40,20,IF(INDEX(tblCleanData[Age],1457)&lt;50,10,15)))</f>
        <v>20</v>
      </c>
      <c r="J1465">
        <f>IF(INDEX(tblCleanData[MonthlyIncome],1457)&lt;=$B$3,25,IF(INDEX(tblCleanData[MonthlyIncome],1457)&lt;=$B$4,12,5))</f>
        <v>5</v>
      </c>
      <c r="K1465">
        <f>IF(INDEX(tblCleanData[OverTime],1457)="Yes",25,0)</f>
        <v>25</v>
      </c>
      <c r="L1465">
        <f>(5-INDEX(tblCleanData[JobSatisfaction],1457))*6.25</f>
        <v>12.5</v>
      </c>
      <c r="M1465">
        <f>IF(INDEX(tblCleanData[YearsAtCompany],1457)&lt;=2,25,IF(INDEX(tblCleanData[YearsAtCompany],1457)&lt;=5,15,IF(INDEX(tblCleanData[YearsAtCompany],1457)&lt;=10,8,3)))</f>
        <v>8</v>
      </c>
      <c r="N1465">
        <f t="shared" si="44"/>
        <v>71</v>
      </c>
      <c r="O1465" t="str">
        <f t="shared" si="45"/>
        <v>High Risk</v>
      </c>
    </row>
    <row r="1466" spans="1:15" x14ac:dyDescent="0.25">
      <c r="A1466">
        <f>INDEX(tblCleanData[EmployeeNumber],1458)</f>
        <v>2051</v>
      </c>
      <c r="B1466" t="str">
        <f>IF(INDEX(tblCleanData[Age],1458)&lt;30,"Under 30",IF(INDEX(tblCleanData[Age],1458)&lt;40,"30-39",IF(INDEX(tblCleanData[Age],1458)&lt;50,"40-49","50+")))</f>
        <v>40-49</v>
      </c>
      <c r="C1466" t="str">
        <f>IF(INDEX(tblCleanData[MonthlyIncome],1458)&lt;=$B$3,"Low Income",IF(INDEX(tblCleanData[MonthlyIncome],1458)&lt;=$B$4,"Medium Income","High Income"))</f>
        <v>High Income</v>
      </c>
      <c r="D1466">
        <f>IF(INDEX(tblCleanData[Attrition],1458)="Yes",1,0)</f>
        <v>0</v>
      </c>
      <c r="E1466">
        <f>IF(INDEX(tblCleanData[OverTime],1458)="Yes",1,0)</f>
        <v>0</v>
      </c>
      <c r="F1466" t="str">
        <f>CHOOSE(INDEX(tblCleanData[Education],1458),"Below College","College","Bachelor","Master","Doctor")</f>
        <v>Master</v>
      </c>
      <c r="G1466" t="str">
        <f>IF(INDEX(tblCleanData[YearsAtCompany],1458)&lt;=2,"0-2 Years",IF(INDEX(tblCleanData[YearsAtCompany],1458)&lt;=5,"3-5 Years",IF(INDEX(tblCleanData[YearsAtCompany],1458)&lt;=10,"6-10 Years","10+ Years")))</f>
        <v>3-5 Years</v>
      </c>
      <c r="H1466" t="str">
        <f>IF(INDEX(tblCleanData[WorkLifeBalance],1458)&lt;=2,"Elevated","Normal")</f>
        <v>Normal</v>
      </c>
      <c r="I1466">
        <f>IF(INDEX(tblCleanData[Age],1458)&lt;30,30,IF(INDEX(tblCleanData[Age],1458)&lt;40,20,IF(INDEX(tblCleanData[Age],1458)&lt;50,10,15)))</f>
        <v>10</v>
      </c>
      <c r="J1466">
        <f>IF(INDEX(tblCleanData[MonthlyIncome],1458)&lt;=$B$3,25,IF(INDEX(tblCleanData[MonthlyIncome],1458)&lt;=$B$4,12,5))</f>
        <v>5</v>
      </c>
      <c r="K1466">
        <f>IF(INDEX(tblCleanData[OverTime],1458)="Yes",25,0)</f>
        <v>0</v>
      </c>
      <c r="L1466">
        <f>(5-INDEX(tblCleanData[JobSatisfaction],1458))*6.25</f>
        <v>12.5</v>
      </c>
      <c r="M1466">
        <f>IF(INDEX(tblCleanData[YearsAtCompany],1458)&lt;=2,25,IF(INDEX(tblCleanData[YearsAtCompany],1458)&lt;=5,15,IF(INDEX(tblCleanData[YearsAtCompany],1458)&lt;=10,8,3)))</f>
        <v>15</v>
      </c>
      <c r="N1466">
        <f t="shared" si="44"/>
        <v>43</v>
      </c>
      <c r="O1466" t="str">
        <f t="shared" si="45"/>
        <v>Medium Risk</v>
      </c>
    </row>
    <row r="1467" spans="1:15" x14ac:dyDescent="0.25">
      <c r="A1467">
        <f>INDEX(tblCleanData[EmployeeNumber],1459)</f>
        <v>2052</v>
      </c>
      <c r="B1467" t="str">
        <f>IF(INDEX(tblCleanData[Age],1459)&lt;30,"Under 30",IF(INDEX(tblCleanData[Age],1459)&lt;40,"30-39",IF(INDEX(tblCleanData[Age],1459)&lt;50,"40-49","50+")))</f>
        <v>30-39</v>
      </c>
      <c r="C1467" t="str">
        <f>IF(INDEX(tblCleanData[MonthlyIncome],1459)&lt;=$B$3,"Low Income",IF(INDEX(tblCleanData[MonthlyIncome],1459)&lt;=$B$4,"Medium Income","High Income"))</f>
        <v>High Income</v>
      </c>
      <c r="D1467">
        <f>IF(INDEX(tblCleanData[Attrition],1459)="Yes",1,0)</f>
        <v>0</v>
      </c>
      <c r="E1467">
        <f>IF(INDEX(tblCleanData[OverTime],1459)="Yes",1,0)</f>
        <v>0</v>
      </c>
      <c r="F1467" t="str">
        <f>CHOOSE(INDEX(tblCleanData[Education],1459),"Below College","College","Bachelor","Master","Doctor")</f>
        <v>Master</v>
      </c>
      <c r="G1467" t="str">
        <f>IF(INDEX(tblCleanData[YearsAtCompany],1459)&lt;=2,"0-2 Years",IF(INDEX(tblCleanData[YearsAtCompany],1459)&lt;=5,"3-5 Years",IF(INDEX(tblCleanData[YearsAtCompany],1459)&lt;=10,"6-10 Years","10+ Years")))</f>
        <v>3-5 Years</v>
      </c>
      <c r="H1467" t="str">
        <f>IF(INDEX(tblCleanData[WorkLifeBalance],1459)&lt;=2,"Elevated","Normal")</f>
        <v>Normal</v>
      </c>
      <c r="I1467">
        <f>IF(INDEX(tblCleanData[Age],1459)&lt;30,30,IF(INDEX(tblCleanData[Age],1459)&lt;40,20,IF(INDEX(tblCleanData[Age],1459)&lt;50,10,15)))</f>
        <v>20</v>
      </c>
      <c r="J1467">
        <f>IF(INDEX(tblCleanData[MonthlyIncome],1459)&lt;=$B$3,25,IF(INDEX(tblCleanData[MonthlyIncome],1459)&lt;=$B$4,12,5))</f>
        <v>5</v>
      </c>
      <c r="K1467">
        <f>IF(INDEX(tblCleanData[OverTime],1459)="Yes",25,0)</f>
        <v>0</v>
      </c>
      <c r="L1467">
        <f>(5-INDEX(tblCleanData[JobSatisfaction],1459))*6.25</f>
        <v>6.25</v>
      </c>
      <c r="M1467">
        <f>IF(INDEX(tblCleanData[YearsAtCompany],1459)&lt;=2,25,IF(INDEX(tblCleanData[YearsAtCompany],1459)&lt;=5,15,IF(INDEX(tblCleanData[YearsAtCompany],1459)&lt;=10,8,3)))</f>
        <v>15</v>
      </c>
      <c r="N1467">
        <f t="shared" si="44"/>
        <v>46</v>
      </c>
      <c r="O1467" t="str">
        <f t="shared" si="45"/>
        <v>Medium Risk</v>
      </c>
    </row>
    <row r="1468" spans="1:15" x14ac:dyDescent="0.25">
      <c r="A1468">
        <f>INDEX(tblCleanData[EmployeeNumber],1460)</f>
        <v>2053</v>
      </c>
      <c r="B1468" t="str">
        <f>IF(INDEX(tblCleanData[Age],1460)&lt;30,"Under 30",IF(INDEX(tblCleanData[Age],1460)&lt;40,"30-39",IF(INDEX(tblCleanData[Age],1460)&lt;50,"40-49","50+")))</f>
        <v>Under 30</v>
      </c>
      <c r="C1468" t="str">
        <f>IF(INDEX(tblCleanData[MonthlyIncome],1460)&lt;=$B$3,"Low Income",IF(INDEX(tblCleanData[MonthlyIncome],1460)&lt;=$B$4,"Medium Income","High Income"))</f>
        <v>High Income</v>
      </c>
      <c r="D1468">
        <f>IF(INDEX(tblCleanData[Attrition],1460)="Yes",1,0)</f>
        <v>0</v>
      </c>
      <c r="E1468">
        <f>IF(INDEX(tblCleanData[OverTime],1460)="Yes",1,0)</f>
        <v>1</v>
      </c>
      <c r="F1468" t="str">
        <f>CHOOSE(INDEX(tblCleanData[Education],1460),"Below College","College","Bachelor","Master","Doctor")</f>
        <v>College</v>
      </c>
      <c r="G1468" t="str">
        <f>IF(INDEX(tblCleanData[YearsAtCompany],1460)&lt;=2,"0-2 Years",IF(INDEX(tblCleanData[YearsAtCompany],1460)&lt;=5,"3-5 Years",IF(INDEX(tblCleanData[YearsAtCompany],1460)&lt;=10,"6-10 Years","10+ Years")))</f>
        <v>3-5 Years</v>
      </c>
      <c r="H1468" t="str">
        <f>IF(INDEX(tblCleanData[WorkLifeBalance],1460)&lt;=2,"Elevated","Normal")</f>
        <v>Normal</v>
      </c>
      <c r="I1468">
        <f>IF(INDEX(tblCleanData[Age],1460)&lt;30,30,IF(INDEX(tblCleanData[Age],1460)&lt;40,20,IF(INDEX(tblCleanData[Age],1460)&lt;50,10,15)))</f>
        <v>30</v>
      </c>
      <c r="J1468">
        <f>IF(INDEX(tblCleanData[MonthlyIncome],1460)&lt;=$B$3,25,IF(INDEX(tblCleanData[MonthlyIncome],1460)&lt;=$B$4,12,5))</f>
        <v>5</v>
      </c>
      <c r="K1468">
        <f>IF(INDEX(tblCleanData[OverTime],1460)="Yes",25,0)</f>
        <v>25</v>
      </c>
      <c r="L1468">
        <f>(5-INDEX(tblCleanData[JobSatisfaction],1460))*6.25</f>
        <v>18.75</v>
      </c>
      <c r="M1468">
        <f>IF(INDEX(tblCleanData[YearsAtCompany],1460)&lt;=2,25,IF(INDEX(tblCleanData[YearsAtCompany],1460)&lt;=5,15,IF(INDEX(tblCleanData[YearsAtCompany],1460)&lt;=10,8,3)))</f>
        <v>15</v>
      </c>
      <c r="N1468">
        <f t="shared" si="44"/>
        <v>94</v>
      </c>
      <c r="O1468" t="str">
        <f t="shared" si="45"/>
        <v>High Risk</v>
      </c>
    </row>
    <row r="1469" spans="1:15" x14ac:dyDescent="0.25">
      <c r="A1469">
        <f>INDEX(tblCleanData[EmployeeNumber],1461)</f>
        <v>2054</v>
      </c>
      <c r="B1469" t="str">
        <f>IF(INDEX(tblCleanData[Age],1461)&lt;30,"Under 30",IF(INDEX(tblCleanData[Age],1461)&lt;40,"30-39",IF(INDEX(tblCleanData[Age],1461)&lt;50,"40-49","50+")))</f>
        <v>Under 30</v>
      </c>
      <c r="C1469" t="str">
        <f>IF(INDEX(tblCleanData[MonthlyIncome],1461)&lt;=$B$3,"Low Income",IF(INDEX(tblCleanData[MonthlyIncome],1461)&lt;=$B$4,"Medium Income","High Income"))</f>
        <v>High Income</v>
      </c>
      <c r="D1469">
        <f>IF(INDEX(tblCleanData[Attrition],1461)="Yes",1,0)</f>
        <v>0</v>
      </c>
      <c r="E1469">
        <f>IF(INDEX(tblCleanData[OverTime],1461)="Yes",1,0)</f>
        <v>0</v>
      </c>
      <c r="F1469" t="str">
        <f>CHOOSE(INDEX(tblCleanData[Education],1461),"Below College","College","Bachelor","Master","Doctor")</f>
        <v>Master</v>
      </c>
      <c r="G1469" t="str">
        <f>IF(INDEX(tblCleanData[YearsAtCompany],1461)&lt;=2,"0-2 Years",IF(INDEX(tblCleanData[YearsAtCompany],1461)&lt;=5,"3-5 Years",IF(INDEX(tblCleanData[YearsAtCompany],1461)&lt;=10,"6-10 Years","10+ Years")))</f>
        <v>3-5 Years</v>
      </c>
      <c r="H1469" t="str">
        <f>IF(INDEX(tblCleanData[WorkLifeBalance],1461)&lt;=2,"Elevated","Normal")</f>
        <v>Elevated</v>
      </c>
      <c r="I1469">
        <f>IF(INDEX(tblCleanData[Age],1461)&lt;30,30,IF(INDEX(tblCleanData[Age],1461)&lt;40,20,IF(INDEX(tblCleanData[Age],1461)&lt;50,10,15)))</f>
        <v>30</v>
      </c>
      <c r="J1469">
        <f>IF(INDEX(tblCleanData[MonthlyIncome],1461)&lt;=$B$3,25,IF(INDEX(tblCleanData[MonthlyIncome],1461)&lt;=$B$4,12,5))</f>
        <v>5</v>
      </c>
      <c r="K1469">
        <f>IF(INDEX(tblCleanData[OverTime],1461)="Yes",25,0)</f>
        <v>0</v>
      </c>
      <c r="L1469">
        <f>(5-INDEX(tblCleanData[JobSatisfaction],1461))*6.25</f>
        <v>25</v>
      </c>
      <c r="M1469">
        <f>IF(INDEX(tblCleanData[YearsAtCompany],1461)&lt;=2,25,IF(INDEX(tblCleanData[YearsAtCompany],1461)&lt;=5,15,IF(INDEX(tblCleanData[YearsAtCompany],1461)&lt;=10,8,3)))</f>
        <v>15</v>
      </c>
      <c r="N1469">
        <f t="shared" si="44"/>
        <v>75</v>
      </c>
      <c r="O1469" t="str">
        <f t="shared" si="45"/>
        <v>High Risk</v>
      </c>
    </row>
    <row r="1470" spans="1:15" x14ac:dyDescent="0.25">
      <c r="A1470">
        <f>INDEX(tblCleanData[EmployeeNumber],1462)</f>
        <v>2055</v>
      </c>
      <c r="B1470" t="str">
        <f>IF(INDEX(tblCleanData[Age],1462)&lt;30,"Under 30",IF(INDEX(tblCleanData[Age],1462)&lt;40,"30-39",IF(INDEX(tblCleanData[Age],1462)&lt;50,"40-49","50+")))</f>
        <v>50+</v>
      </c>
      <c r="C1470" t="str">
        <f>IF(INDEX(tblCleanData[MonthlyIncome],1462)&lt;=$B$3,"Low Income",IF(INDEX(tblCleanData[MonthlyIncome],1462)&lt;=$B$4,"Medium Income","High Income"))</f>
        <v>High Income</v>
      </c>
      <c r="D1470">
        <f>IF(INDEX(tblCleanData[Attrition],1462)="Yes",1,0)</f>
        <v>1</v>
      </c>
      <c r="E1470">
        <f>IF(INDEX(tblCleanData[OverTime],1462)="Yes",1,0)</f>
        <v>1</v>
      </c>
      <c r="F1470" t="str">
        <f>CHOOSE(INDEX(tblCleanData[Education],1462),"Below College","College","Bachelor","Master","Doctor")</f>
        <v>Bachelor</v>
      </c>
      <c r="G1470" t="str">
        <f>IF(INDEX(tblCleanData[YearsAtCompany],1462)&lt;=2,"0-2 Years",IF(INDEX(tblCleanData[YearsAtCompany],1462)&lt;=5,"3-5 Years",IF(INDEX(tblCleanData[YearsAtCompany],1462)&lt;=10,"6-10 Years","10+ Years")))</f>
        <v>3-5 Years</v>
      </c>
      <c r="H1470" t="str">
        <f>IF(INDEX(tblCleanData[WorkLifeBalance],1462)&lt;=2,"Elevated","Normal")</f>
        <v>Normal</v>
      </c>
      <c r="I1470">
        <f>IF(INDEX(tblCleanData[Age],1462)&lt;30,30,IF(INDEX(tblCleanData[Age],1462)&lt;40,20,IF(INDEX(tblCleanData[Age],1462)&lt;50,10,15)))</f>
        <v>15</v>
      </c>
      <c r="J1470">
        <f>IF(INDEX(tblCleanData[MonthlyIncome],1462)&lt;=$B$3,25,IF(INDEX(tblCleanData[MonthlyIncome],1462)&lt;=$B$4,12,5))</f>
        <v>5</v>
      </c>
      <c r="K1470">
        <f>IF(INDEX(tblCleanData[OverTime],1462)="Yes",25,0)</f>
        <v>25</v>
      </c>
      <c r="L1470">
        <f>(5-INDEX(tblCleanData[JobSatisfaction],1462))*6.25</f>
        <v>25</v>
      </c>
      <c r="M1470">
        <f>IF(INDEX(tblCleanData[YearsAtCompany],1462)&lt;=2,25,IF(INDEX(tblCleanData[YearsAtCompany],1462)&lt;=5,15,IF(INDEX(tblCleanData[YearsAtCompany],1462)&lt;=10,8,3)))</f>
        <v>15</v>
      </c>
      <c r="N1470">
        <f t="shared" si="44"/>
        <v>85</v>
      </c>
      <c r="O1470" t="str">
        <f t="shared" si="45"/>
        <v>High Risk</v>
      </c>
    </row>
    <row r="1471" spans="1:15" x14ac:dyDescent="0.25">
      <c r="A1471">
        <f>INDEX(tblCleanData[EmployeeNumber],1463)</f>
        <v>2056</v>
      </c>
      <c r="B1471" t="str">
        <f>IF(INDEX(tblCleanData[Age],1463)&lt;30,"Under 30",IF(INDEX(tblCleanData[Age],1463)&lt;40,"30-39",IF(INDEX(tblCleanData[Age],1463)&lt;50,"40-49","50+")))</f>
        <v>30-39</v>
      </c>
      <c r="C1471" t="str">
        <f>IF(INDEX(tblCleanData[MonthlyIncome],1463)&lt;=$B$3,"Low Income",IF(INDEX(tblCleanData[MonthlyIncome],1463)&lt;=$B$4,"Medium Income","High Income"))</f>
        <v>High Income</v>
      </c>
      <c r="D1471">
        <f>IF(INDEX(tblCleanData[Attrition],1463)="Yes",1,0)</f>
        <v>0</v>
      </c>
      <c r="E1471">
        <f>IF(INDEX(tblCleanData[OverTime],1463)="Yes",1,0)</f>
        <v>0</v>
      </c>
      <c r="F1471" t="str">
        <f>CHOOSE(INDEX(tblCleanData[Education],1463),"Below College","College","Bachelor","Master","Doctor")</f>
        <v>Below College</v>
      </c>
      <c r="G1471" t="str">
        <f>IF(INDEX(tblCleanData[YearsAtCompany],1463)&lt;=2,"0-2 Years",IF(INDEX(tblCleanData[YearsAtCompany],1463)&lt;=5,"3-5 Years",IF(INDEX(tblCleanData[YearsAtCompany],1463)&lt;=10,"6-10 Years","10+ Years")))</f>
        <v>10+ Years</v>
      </c>
      <c r="H1471" t="str">
        <f>IF(INDEX(tblCleanData[WorkLifeBalance],1463)&lt;=2,"Elevated","Normal")</f>
        <v>Elevated</v>
      </c>
      <c r="I1471">
        <f>IF(INDEX(tblCleanData[Age],1463)&lt;30,30,IF(INDEX(tblCleanData[Age],1463)&lt;40,20,IF(INDEX(tblCleanData[Age],1463)&lt;50,10,15)))</f>
        <v>20</v>
      </c>
      <c r="J1471">
        <f>IF(INDEX(tblCleanData[MonthlyIncome],1463)&lt;=$B$3,25,IF(INDEX(tblCleanData[MonthlyIncome],1463)&lt;=$B$4,12,5))</f>
        <v>5</v>
      </c>
      <c r="K1471">
        <f>IF(INDEX(tblCleanData[OverTime],1463)="Yes",25,0)</f>
        <v>0</v>
      </c>
      <c r="L1471">
        <f>(5-INDEX(tblCleanData[JobSatisfaction],1463))*6.25</f>
        <v>6.25</v>
      </c>
      <c r="M1471">
        <f>IF(INDEX(tblCleanData[YearsAtCompany],1463)&lt;=2,25,IF(INDEX(tblCleanData[YearsAtCompany],1463)&lt;=5,15,IF(INDEX(tblCleanData[YearsAtCompany],1463)&lt;=10,8,3)))</f>
        <v>3</v>
      </c>
      <c r="N1471">
        <f t="shared" si="44"/>
        <v>34</v>
      </c>
      <c r="O1471" t="str">
        <f t="shared" si="45"/>
        <v>Low Risk</v>
      </c>
    </row>
    <row r="1472" spans="1:15" x14ac:dyDescent="0.25">
      <c r="A1472">
        <f>INDEX(tblCleanData[EmployeeNumber],1464)</f>
        <v>2057</v>
      </c>
      <c r="B1472" t="str">
        <f>IF(INDEX(tblCleanData[Age],1464)&lt;30,"Under 30",IF(INDEX(tblCleanData[Age],1464)&lt;40,"30-39",IF(INDEX(tblCleanData[Age],1464)&lt;50,"40-49","50+")))</f>
        <v>30-39</v>
      </c>
      <c r="C1472" t="str">
        <f>IF(INDEX(tblCleanData[MonthlyIncome],1464)&lt;=$B$3,"Low Income",IF(INDEX(tblCleanData[MonthlyIncome],1464)&lt;=$B$4,"Medium Income","High Income"))</f>
        <v>High Income</v>
      </c>
      <c r="D1472">
        <f>IF(INDEX(tblCleanData[Attrition],1464)="Yes",1,0)</f>
        <v>0</v>
      </c>
      <c r="E1472">
        <f>IF(INDEX(tblCleanData[OverTime],1464)="Yes",1,0)</f>
        <v>0</v>
      </c>
      <c r="F1472" t="str">
        <f>CHOOSE(INDEX(tblCleanData[Education],1464),"Below College","College","Bachelor","Master","Doctor")</f>
        <v>Bachelor</v>
      </c>
      <c r="G1472" t="str">
        <f>IF(INDEX(tblCleanData[YearsAtCompany],1464)&lt;=2,"0-2 Years",IF(INDEX(tblCleanData[YearsAtCompany],1464)&lt;=5,"3-5 Years",IF(INDEX(tblCleanData[YearsAtCompany],1464)&lt;=10,"6-10 Years","10+ Years")))</f>
        <v>6-10 Years</v>
      </c>
      <c r="H1472" t="str">
        <f>IF(INDEX(tblCleanData[WorkLifeBalance],1464)&lt;=2,"Elevated","Normal")</f>
        <v>Normal</v>
      </c>
      <c r="I1472">
        <f>IF(INDEX(tblCleanData[Age],1464)&lt;30,30,IF(INDEX(tblCleanData[Age],1464)&lt;40,20,IF(INDEX(tblCleanData[Age],1464)&lt;50,10,15)))</f>
        <v>20</v>
      </c>
      <c r="J1472">
        <f>IF(INDEX(tblCleanData[MonthlyIncome],1464)&lt;=$B$3,25,IF(INDEX(tblCleanData[MonthlyIncome],1464)&lt;=$B$4,12,5))</f>
        <v>5</v>
      </c>
      <c r="K1472">
        <f>IF(INDEX(tblCleanData[OverTime],1464)="Yes",25,0)</f>
        <v>0</v>
      </c>
      <c r="L1472">
        <f>(5-INDEX(tblCleanData[JobSatisfaction],1464))*6.25</f>
        <v>25</v>
      </c>
      <c r="M1472">
        <f>IF(INDEX(tblCleanData[YearsAtCompany],1464)&lt;=2,25,IF(INDEX(tblCleanData[YearsAtCompany],1464)&lt;=5,15,IF(INDEX(tblCleanData[YearsAtCompany],1464)&lt;=10,8,3)))</f>
        <v>8</v>
      </c>
      <c r="N1472">
        <f t="shared" si="44"/>
        <v>58</v>
      </c>
      <c r="O1472" t="str">
        <f t="shared" si="45"/>
        <v>High Risk</v>
      </c>
    </row>
    <row r="1473" spans="1:15" x14ac:dyDescent="0.25">
      <c r="A1473">
        <f>INDEX(tblCleanData[EmployeeNumber],1465)</f>
        <v>2060</v>
      </c>
      <c r="B1473" t="str">
        <f>IF(INDEX(tblCleanData[Age],1465)&lt;30,"Under 30",IF(INDEX(tblCleanData[Age],1465)&lt;40,"30-39",IF(INDEX(tblCleanData[Age],1465)&lt;50,"40-49","50+")))</f>
        <v>Under 30</v>
      </c>
      <c r="C1473" t="str">
        <f>IF(INDEX(tblCleanData[MonthlyIncome],1465)&lt;=$B$3,"Low Income",IF(INDEX(tblCleanData[MonthlyIncome],1465)&lt;=$B$4,"Medium Income","High Income"))</f>
        <v>High Income</v>
      </c>
      <c r="D1473">
        <f>IF(INDEX(tblCleanData[Attrition],1465)="Yes",1,0)</f>
        <v>0</v>
      </c>
      <c r="E1473">
        <f>IF(INDEX(tblCleanData[OverTime],1465)="Yes",1,0)</f>
        <v>0</v>
      </c>
      <c r="F1473" t="str">
        <f>CHOOSE(INDEX(tblCleanData[Education],1465),"Below College","College","Bachelor","Master","Doctor")</f>
        <v>Bachelor</v>
      </c>
      <c r="G1473" t="str">
        <f>IF(INDEX(tblCleanData[YearsAtCompany],1465)&lt;=2,"0-2 Years",IF(INDEX(tblCleanData[YearsAtCompany],1465)&lt;=5,"3-5 Years",IF(INDEX(tblCleanData[YearsAtCompany],1465)&lt;=10,"6-10 Years","10+ Years")))</f>
        <v>3-5 Years</v>
      </c>
      <c r="H1473" t="str">
        <f>IF(INDEX(tblCleanData[WorkLifeBalance],1465)&lt;=2,"Elevated","Normal")</f>
        <v>Normal</v>
      </c>
      <c r="I1473">
        <f>IF(INDEX(tblCleanData[Age],1465)&lt;30,30,IF(INDEX(tblCleanData[Age],1465)&lt;40,20,IF(INDEX(tblCleanData[Age],1465)&lt;50,10,15)))</f>
        <v>30</v>
      </c>
      <c r="J1473">
        <f>IF(INDEX(tblCleanData[MonthlyIncome],1465)&lt;=$B$3,25,IF(INDEX(tblCleanData[MonthlyIncome],1465)&lt;=$B$4,12,5))</f>
        <v>5</v>
      </c>
      <c r="K1473">
        <f>IF(INDEX(tblCleanData[OverTime],1465)="Yes",25,0)</f>
        <v>0</v>
      </c>
      <c r="L1473">
        <f>(5-INDEX(tblCleanData[JobSatisfaction],1465))*6.25</f>
        <v>12.5</v>
      </c>
      <c r="M1473">
        <f>IF(INDEX(tblCleanData[YearsAtCompany],1465)&lt;=2,25,IF(INDEX(tblCleanData[YearsAtCompany],1465)&lt;=5,15,IF(INDEX(tblCleanData[YearsAtCompany],1465)&lt;=10,8,3)))</f>
        <v>15</v>
      </c>
      <c r="N1473">
        <f t="shared" si="44"/>
        <v>63</v>
      </c>
      <c r="O1473" t="str">
        <f t="shared" si="45"/>
        <v>High Risk</v>
      </c>
    </row>
    <row r="1474" spans="1:15" x14ac:dyDescent="0.25">
      <c r="A1474">
        <f>INDEX(tblCleanData[EmployeeNumber],1466)</f>
        <v>2061</v>
      </c>
      <c r="B1474" t="str">
        <f>IF(INDEX(tblCleanData[Age],1466)&lt;30,"Under 30",IF(INDEX(tblCleanData[Age],1466)&lt;40,"30-39",IF(INDEX(tblCleanData[Age],1466)&lt;50,"40-49","50+")))</f>
        <v>30-39</v>
      </c>
      <c r="C1474" t="str">
        <f>IF(INDEX(tblCleanData[MonthlyIncome],1466)&lt;=$B$3,"Low Income",IF(INDEX(tblCleanData[MonthlyIncome],1466)&lt;=$B$4,"Medium Income","High Income"))</f>
        <v>High Income</v>
      </c>
      <c r="D1474">
        <f>IF(INDEX(tblCleanData[Attrition],1466)="Yes",1,0)</f>
        <v>0</v>
      </c>
      <c r="E1474">
        <f>IF(INDEX(tblCleanData[OverTime],1466)="Yes",1,0)</f>
        <v>0</v>
      </c>
      <c r="F1474" t="str">
        <f>CHOOSE(INDEX(tblCleanData[Education],1466),"Below College","College","Bachelor","Master","Doctor")</f>
        <v>College</v>
      </c>
      <c r="G1474" t="str">
        <f>IF(INDEX(tblCleanData[YearsAtCompany],1466)&lt;=2,"0-2 Years",IF(INDEX(tblCleanData[YearsAtCompany],1466)&lt;=5,"3-5 Years",IF(INDEX(tblCleanData[YearsAtCompany],1466)&lt;=10,"6-10 Years","10+ Years")))</f>
        <v>3-5 Years</v>
      </c>
      <c r="H1474" t="str">
        <f>IF(INDEX(tblCleanData[WorkLifeBalance],1466)&lt;=2,"Elevated","Normal")</f>
        <v>Normal</v>
      </c>
      <c r="I1474">
        <f>IF(INDEX(tblCleanData[Age],1466)&lt;30,30,IF(INDEX(tblCleanData[Age],1466)&lt;40,20,IF(INDEX(tblCleanData[Age],1466)&lt;50,10,15)))</f>
        <v>20</v>
      </c>
      <c r="J1474">
        <f>IF(INDEX(tblCleanData[MonthlyIncome],1466)&lt;=$B$3,25,IF(INDEX(tblCleanData[MonthlyIncome],1466)&lt;=$B$4,12,5))</f>
        <v>5</v>
      </c>
      <c r="K1474">
        <f>IF(INDEX(tblCleanData[OverTime],1466)="Yes",25,0)</f>
        <v>0</v>
      </c>
      <c r="L1474">
        <f>(5-INDEX(tblCleanData[JobSatisfaction],1466))*6.25</f>
        <v>6.25</v>
      </c>
      <c r="M1474">
        <f>IF(INDEX(tblCleanData[YearsAtCompany],1466)&lt;=2,25,IF(INDEX(tblCleanData[YearsAtCompany],1466)&lt;=5,15,IF(INDEX(tblCleanData[YearsAtCompany],1466)&lt;=10,8,3)))</f>
        <v>15</v>
      </c>
      <c r="N1474">
        <f t="shared" si="44"/>
        <v>46</v>
      </c>
      <c r="O1474" t="str">
        <f t="shared" si="45"/>
        <v>Medium Risk</v>
      </c>
    </row>
    <row r="1475" spans="1:15" x14ac:dyDescent="0.25">
      <c r="A1475">
        <f>INDEX(tblCleanData[EmployeeNumber],1467)</f>
        <v>2062</v>
      </c>
      <c r="B1475" t="str">
        <f>IF(INDEX(tblCleanData[Age],1467)&lt;30,"Under 30",IF(INDEX(tblCleanData[Age],1467)&lt;40,"30-39",IF(INDEX(tblCleanData[Age],1467)&lt;50,"40-49","50+")))</f>
        <v>30-39</v>
      </c>
      <c r="C1475" t="str">
        <f>IF(INDEX(tblCleanData[MonthlyIncome],1467)&lt;=$B$3,"Low Income",IF(INDEX(tblCleanData[MonthlyIncome],1467)&lt;=$B$4,"Medium Income","High Income"))</f>
        <v>High Income</v>
      </c>
      <c r="D1475">
        <f>IF(INDEX(tblCleanData[Attrition],1467)="Yes",1,0)</f>
        <v>0</v>
      </c>
      <c r="E1475">
        <f>IF(INDEX(tblCleanData[OverTime],1467)="Yes",1,0)</f>
        <v>0</v>
      </c>
      <c r="F1475" t="str">
        <f>CHOOSE(INDEX(tblCleanData[Education],1467),"Below College","College","Bachelor","Master","Doctor")</f>
        <v>Below College</v>
      </c>
      <c r="G1475" t="str">
        <f>IF(INDEX(tblCleanData[YearsAtCompany],1467)&lt;=2,"0-2 Years",IF(INDEX(tblCleanData[YearsAtCompany],1467)&lt;=5,"3-5 Years",IF(INDEX(tblCleanData[YearsAtCompany],1467)&lt;=10,"6-10 Years","10+ Years")))</f>
        <v>6-10 Years</v>
      </c>
      <c r="H1475" t="str">
        <f>IF(INDEX(tblCleanData[WorkLifeBalance],1467)&lt;=2,"Elevated","Normal")</f>
        <v>Normal</v>
      </c>
      <c r="I1475">
        <f>IF(INDEX(tblCleanData[Age],1467)&lt;30,30,IF(INDEX(tblCleanData[Age],1467)&lt;40,20,IF(INDEX(tblCleanData[Age],1467)&lt;50,10,15)))</f>
        <v>20</v>
      </c>
      <c r="J1475">
        <f>IF(INDEX(tblCleanData[MonthlyIncome],1467)&lt;=$B$3,25,IF(INDEX(tblCleanData[MonthlyIncome],1467)&lt;=$B$4,12,5))</f>
        <v>5</v>
      </c>
      <c r="K1475">
        <f>IF(INDEX(tblCleanData[OverTime],1467)="Yes",25,0)</f>
        <v>0</v>
      </c>
      <c r="L1475">
        <f>(5-INDEX(tblCleanData[JobSatisfaction],1467))*6.25</f>
        <v>25</v>
      </c>
      <c r="M1475">
        <f>IF(INDEX(tblCleanData[YearsAtCompany],1467)&lt;=2,25,IF(INDEX(tblCleanData[YearsAtCompany],1467)&lt;=5,15,IF(INDEX(tblCleanData[YearsAtCompany],1467)&lt;=10,8,3)))</f>
        <v>8</v>
      </c>
      <c r="N1475">
        <f t="shared" si="44"/>
        <v>58</v>
      </c>
      <c r="O1475" t="str">
        <f t="shared" si="45"/>
        <v>High Risk</v>
      </c>
    </row>
    <row r="1476" spans="1:15" x14ac:dyDescent="0.25">
      <c r="A1476">
        <f>INDEX(tblCleanData[EmployeeNumber],1468)</f>
        <v>2064</v>
      </c>
      <c r="B1476" t="str">
        <f>IF(INDEX(tblCleanData[Age],1468)&lt;30,"Under 30",IF(INDEX(tblCleanData[Age],1468)&lt;40,"30-39",IF(INDEX(tblCleanData[Age],1468)&lt;50,"40-49","50+")))</f>
        <v>Under 30</v>
      </c>
      <c r="C1476" t="str">
        <f>IF(INDEX(tblCleanData[MonthlyIncome],1468)&lt;=$B$3,"Low Income",IF(INDEX(tblCleanData[MonthlyIncome],1468)&lt;=$B$4,"Medium Income","High Income"))</f>
        <v>High Income</v>
      </c>
      <c r="D1476">
        <f>IF(INDEX(tblCleanData[Attrition],1468)="Yes",1,0)</f>
        <v>0</v>
      </c>
      <c r="E1476">
        <f>IF(INDEX(tblCleanData[OverTime],1468)="Yes",1,0)</f>
        <v>1</v>
      </c>
      <c r="F1476" t="str">
        <f>CHOOSE(INDEX(tblCleanData[Education],1468),"Below College","College","Bachelor","Master","Doctor")</f>
        <v>Bachelor</v>
      </c>
      <c r="G1476" t="str">
        <f>IF(INDEX(tblCleanData[YearsAtCompany],1468)&lt;=2,"0-2 Years",IF(INDEX(tblCleanData[YearsAtCompany],1468)&lt;=5,"3-5 Years",IF(INDEX(tblCleanData[YearsAtCompany],1468)&lt;=10,"6-10 Years","10+ Years")))</f>
        <v>6-10 Years</v>
      </c>
      <c r="H1476" t="str">
        <f>IF(INDEX(tblCleanData[WorkLifeBalance],1468)&lt;=2,"Elevated","Normal")</f>
        <v>Normal</v>
      </c>
      <c r="I1476">
        <f>IF(INDEX(tblCleanData[Age],1468)&lt;30,30,IF(INDEX(tblCleanData[Age],1468)&lt;40,20,IF(INDEX(tblCleanData[Age],1468)&lt;50,10,15)))</f>
        <v>30</v>
      </c>
      <c r="J1476">
        <f>IF(INDEX(tblCleanData[MonthlyIncome],1468)&lt;=$B$3,25,IF(INDEX(tblCleanData[MonthlyIncome],1468)&lt;=$B$4,12,5))</f>
        <v>5</v>
      </c>
      <c r="K1476">
        <f>IF(INDEX(tblCleanData[OverTime],1468)="Yes",25,0)</f>
        <v>25</v>
      </c>
      <c r="L1476">
        <f>(5-INDEX(tblCleanData[JobSatisfaction],1468))*6.25</f>
        <v>18.75</v>
      </c>
      <c r="M1476">
        <f>IF(INDEX(tblCleanData[YearsAtCompany],1468)&lt;=2,25,IF(INDEX(tblCleanData[YearsAtCompany],1468)&lt;=5,15,IF(INDEX(tblCleanData[YearsAtCompany],1468)&lt;=10,8,3)))</f>
        <v>8</v>
      </c>
      <c r="N1476">
        <f t="shared" si="44"/>
        <v>87</v>
      </c>
      <c r="O1476" t="str">
        <f t="shared" si="45"/>
        <v>High Risk</v>
      </c>
    </row>
    <row r="1477" spans="1:15" x14ac:dyDescent="0.25">
      <c r="A1477">
        <f>INDEX(tblCleanData[EmployeeNumber],1469)</f>
        <v>2065</v>
      </c>
      <c r="B1477" t="str">
        <f>IF(INDEX(tblCleanData[Age],1469)&lt;30,"Under 30",IF(INDEX(tblCleanData[Age],1469)&lt;40,"30-39",IF(INDEX(tblCleanData[Age],1469)&lt;50,"40-49","50+")))</f>
        <v>40-49</v>
      </c>
      <c r="C1477" t="str">
        <f>IF(INDEX(tblCleanData[MonthlyIncome],1469)&lt;=$B$3,"Low Income",IF(INDEX(tblCleanData[MonthlyIncome],1469)&lt;=$B$4,"Medium Income","High Income"))</f>
        <v>High Income</v>
      </c>
      <c r="D1477">
        <f>IF(INDEX(tblCleanData[Attrition],1469)="Yes",1,0)</f>
        <v>0</v>
      </c>
      <c r="E1477">
        <f>IF(INDEX(tblCleanData[OverTime],1469)="Yes",1,0)</f>
        <v>0</v>
      </c>
      <c r="F1477" t="str">
        <f>CHOOSE(INDEX(tblCleanData[Education],1469),"Below College","College","Bachelor","Master","Doctor")</f>
        <v>Bachelor</v>
      </c>
      <c r="G1477" t="str">
        <f>IF(INDEX(tblCleanData[YearsAtCompany],1469)&lt;=2,"0-2 Years",IF(INDEX(tblCleanData[YearsAtCompany],1469)&lt;=5,"3-5 Years",IF(INDEX(tblCleanData[YearsAtCompany],1469)&lt;=10,"6-10 Years","10+ Years")))</f>
        <v>6-10 Years</v>
      </c>
      <c r="H1477" t="str">
        <f>IF(INDEX(tblCleanData[WorkLifeBalance],1469)&lt;=2,"Elevated","Normal")</f>
        <v>Elevated</v>
      </c>
      <c r="I1477">
        <f>IF(INDEX(tblCleanData[Age],1469)&lt;30,30,IF(INDEX(tblCleanData[Age],1469)&lt;40,20,IF(INDEX(tblCleanData[Age],1469)&lt;50,10,15)))</f>
        <v>10</v>
      </c>
      <c r="J1477">
        <f>IF(INDEX(tblCleanData[MonthlyIncome],1469)&lt;=$B$3,25,IF(INDEX(tblCleanData[MonthlyIncome],1469)&lt;=$B$4,12,5))</f>
        <v>5</v>
      </c>
      <c r="K1477">
        <f>IF(INDEX(tblCleanData[OverTime],1469)="Yes",25,0)</f>
        <v>0</v>
      </c>
      <c r="L1477">
        <f>(5-INDEX(tblCleanData[JobSatisfaction],1469))*6.25</f>
        <v>18.75</v>
      </c>
      <c r="M1477">
        <f>IF(INDEX(tblCleanData[YearsAtCompany],1469)&lt;=2,25,IF(INDEX(tblCleanData[YearsAtCompany],1469)&lt;=5,15,IF(INDEX(tblCleanData[YearsAtCompany],1469)&lt;=10,8,3)))</f>
        <v>8</v>
      </c>
      <c r="N1477">
        <f t="shared" si="44"/>
        <v>42</v>
      </c>
      <c r="O1477" t="str">
        <f t="shared" si="45"/>
        <v>Medium Risk</v>
      </c>
    </row>
    <row r="1478" spans="1:15" x14ac:dyDescent="0.25">
      <c r="A1478">
        <f>INDEX(tblCleanData[EmployeeNumber],1470)</f>
        <v>2068</v>
      </c>
      <c r="B1478" t="str">
        <f>IF(INDEX(tblCleanData[Age],1470)&lt;30,"Under 30",IF(INDEX(tblCleanData[Age],1470)&lt;40,"30-39",IF(INDEX(tblCleanData[Age],1470)&lt;50,"40-49","50+")))</f>
        <v>30-39</v>
      </c>
      <c r="C1478" t="str">
        <f>IF(INDEX(tblCleanData[MonthlyIncome],1470)&lt;=$B$3,"Low Income",IF(INDEX(tblCleanData[MonthlyIncome],1470)&lt;=$B$4,"Medium Income","High Income"))</f>
        <v>High Income</v>
      </c>
      <c r="D1478">
        <f>IF(INDEX(tblCleanData[Attrition],1470)="Yes",1,0)</f>
        <v>0</v>
      </c>
      <c r="E1478">
        <f>IF(INDEX(tblCleanData[OverTime],1470)="Yes",1,0)</f>
        <v>0</v>
      </c>
      <c r="F1478" t="str">
        <f>CHOOSE(INDEX(tblCleanData[Education],1470),"Below College","College","Bachelor","Master","Doctor")</f>
        <v>Bachelor</v>
      </c>
      <c r="G1478" t="str">
        <f>IF(INDEX(tblCleanData[YearsAtCompany],1470)&lt;=2,"0-2 Years",IF(INDEX(tblCleanData[YearsAtCompany],1470)&lt;=5,"3-5 Years",IF(INDEX(tblCleanData[YearsAtCompany],1470)&lt;=10,"6-10 Years","10+ Years")))</f>
        <v>3-5 Years</v>
      </c>
      <c r="H1478" t="str">
        <f>IF(INDEX(tblCleanData[WorkLifeBalance],1470)&lt;=2,"Elevated","Normal")</f>
        <v>Normal</v>
      </c>
      <c r="I1478">
        <f>IF(INDEX(tblCleanData[Age],1470)&lt;30,30,IF(INDEX(tblCleanData[Age],1470)&lt;40,20,IF(INDEX(tblCleanData[Age],1470)&lt;50,10,15)))</f>
        <v>20</v>
      </c>
      <c r="J1478">
        <f>IF(INDEX(tblCleanData[MonthlyIncome],1470)&lt;=$B$3,25,IF(INDEX(tblCleanData[MonthlyIncome],1470)&lt;=$B$4,12,5))</f>
        <v>5</v>
      </c>
      <c r="K1478">
        <f>IF(INDEX(tblCleanData[OverTime],1470)="Yes",25,0)</f>
        <v>0</v>
      </c>
      <c r="L1478">
        <f>(5-INDEX(tblCleanData[JobSatisfaction],1470))*6.25</f>
        <v>12.5</v>
      </c>
      <c r="M1478">
        <f>IF(INDEX(tblCleanData[YearsAtCompany],1470)&lt;=2,25,IF(INDEX(tblCleanData[YearsAtCompany],1470)&lt;=5,15,IF(INDEX(tblCleanData[YearsAtCompany],1470)&lt;=10,8,3)))</f>
        <v>15</v>
      </c>
      <c r="N1478">
        <f t="shared" si="44"/>
        <v>53</v>
      </c>
      <c r="O1478" t="str">
        <f t="shared" si="45"/>
        <v>Medium Risk</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4"/>
  <sheetViews>
    <sheetView workbookViewId="0">
      <selection activeCell="B4" sqref="B4"/>
    </sheetView>
  </sheetViews>
  <sheetFormatPr defaultRowHeight="15" x14ac:dyDescent="0.25"/>
  <cols>
    <col min="1" max="1" width="28" customWidth="1"/>
    <col min="2" max="2" width="18" customWidth="1"/>
  </cols>
  <sheetData>
    <row r="1" spans="1:2" ht="20.25" customHeight="1" x14ac:dyDescent="0.25">
      <c r="A1" s="40" t="s">
        <v>4494</v>
      </c>
      <c r="B1" s="40"/>
    </row>
    <row r="2" spans="1:2" x14ac:dyDescent="0.25">
      <c r="A2" s="40"/>
      <c r="B2" s="40"/>
    </row>
    <row r="3" spans="1:2" x14ac:dyDescent="0.25">
      <c r="A3" s="1" t="s">
        <v>4495</v>
      </c>
      <c r="B3" s="1" t="s">
        <v>4496</v>
      </c>
    </row>
    <row r="4" spans="1:2" x14ac:dyDescent="0.25">
      <c r="A4" s="4" t="s">
        <v>4497</v>
      </c>
      <c r="B4" s="5">
        <f>ROWS(tblCleanData[EmployeeNumber])</f>
        <v>1470</v>
      </c>
    </row>
    <row r="5" spans="1:2" x14ac:dyDescent="0.25">
      <c r="A5" s="4" t="s">
        <v>4498</v>
      </c>
      <c r="B5" s="5">
        <f>COUNTIF('02_Clean_Data'!B:B, "Yes")</f>
        <v>237</v>
      </c>
    </row>
    <row r="6" spans="1:2" x14ac:dyDescent="0.25">
      <c r="A6" s="4" t="s">
        <v>4499</v>
      </c>
      <c r="B6" s="6">
        <f>B5/B4</f>
        <v>0.16122448979591836</v>
      </c>
    </row>
    <row r="7" spans="1:2" x14ac:dyDescent="0.25">
      <c r="A7" s="4" t="s">
        <v>4500</v>
      </c>
      <c r="B7" s="22">
        <f>AVERAGE('02_Clean_Data'!S:S)</f>
        <v>6502.931292517007</v>
      </c>
    </row>
    <row r="8" spans="1:2" x14ac:dyDescent="0.25">
      <c r="A8" s="4" t="s">
        <v>4501</v>
      </c>
      <c r="B8" s="7">
        <f>AVERAGE('02_Clean_Data'!AF:AF)</f>
        <v>7.0081632653061225</v>
      </c>
    </row>
    <row r="9" spans="1:2" x14ac:dyDescent="0.25">
      <c r="A9" s="4" t="s">
        <v>4502</v>
      </c>
      <c r="B9" s="5">
        <f>COUNTIF(tblHelpers[Risk Category],"High Risk")</f>
        <v>825</v>
      </c>
    </row>
    <row r="10" spans="1:2" x14ac:dyDescent="0.25">
      <c r="A10" s="4" t="s">
        <v>4503</v>
      </c>
      <c r="B10" s="5">
        <f>COUNTIF(tblHelpers[Risk Category],"Medium Risk")</f>
        <v>534</v>
      </c>
    </row>
    <row r="11" spans="1:2" x14ac:dyDescent="0.25">
      <c r="A11" s="4" t="s">
        <v>4504</v>
      </c>
      <c r="B11" s="5">
        <f>COUNTIF(tblHelpers[Risk Category],"Low Risk")</f>
        <v>111</v>
      </c>
    </row>
    <row r="12" spans="1:2" x14ac:dyDescent="0.25">
      <c r="A12" s="4" t="s">
        <v>4505</v>
      </c>
      <c r="B12" s="6">
        <f>AVERAGE(tblHelpers[Overtime Flag])</f>
        <v>0.28299319727891159</v>
      </c>
    </row>
    <row r="13" spans="1:2" x14ac:dyDescent="0.25">
      <c r="A13" s="4" t="s">
        <v>4506</v>
      </c>
      <c r="B13" s="5">
        <f>AVERAGE(tblHelpers[Risk Score])</f>
        <v>58.831292517006801</v>
      </c>
    </row>
    <row r="14" spans="1:2" x14ac:dyDescent="0.25">
      <c r="A14" s="4" t="s">
        <v>4507</v>
      </c>
      <c r="B14" s="5">
        <f>SUM(tblHelpers[Overtime Flag])</f>
        <v>416</v>
      </c>
    </row>
  </sheetData>
  <mergeCells count="1">
    <mergeCell ref="A1:B2"/>
  </mergeCells>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1"/>
  <sheetViews>
    <sheetView topLeftCell="J1" workbookViewId="0">
      <selection activeCell="U47" sqref="U47"/>
    </sheetView>
  </sheetViews>
  <sheetFormatPr defaultRowHeight="15" x14ac:dyDescent="0.25"/>
  <cols>
    <col min="1" max="1" width="8" customWidth="1"/>
    <col min="2" max="2" width="25" bestFit="1" customWidth="1"/>
    <col min="3" max="3" width="19.42578125" bestFit="1" customWidth="1"/>
    <col min="4" max="4" width="6.42578125" customWidth="1"/>
    <col min="5" max="5" width="13.85546875" bestFit="1" customWidth="1"/>
    <col min="6" max="6" width="19.42578125" bestFit="1" customWidth="1"/>
    <col min="7" max="7" width="4.140625" bestFit="1" customWidth="1"/>
    <col min="8" max="8" width="11.28515625" bestFit="1" customWidth="1"/>
    <col min="9" max="10" width="19.42578125" bestFit="1" customWidth="1"/>
    <col min="11" max="11" width="11.28515625" bestFit="1" customWidth="1"/>
    <col min="12" max="12" width="23" bestFit="1" customWidth="1"/>
    <col min="13" max="13" width="25.140625" bestFit="1" customWidth="1"/>
  </cols>
  <sheetData>
    <row r="1" spans="1:12" ht="20.25" x14ac:dyDescent="0.35">
      <c r="A1" s="42" t="s">
        <v>4508</v>
      </c>
      <c r="B1" s="42"/>
      <c r="C1" s="42"/>
      <c r="D1" s="42"/>
      <c r="E1" s="42"/>
      <c r="F1" s="42"/>
      <c r="G1" s="42"/>
      <c r="H1" s="42"/>
      <c r="I1" s="42"/>
      <c r="J1" s="42"/>
      <c r="K1" s="42"/>
    </row>
    <row r="2" spans="1:12" ht="15" customHeight="1" x14ac:dyDescent="0.25"/>
    <row r="3" spans="1:12" ht="15" customHeight="1" x14ac:dyDescent="0.25">
      <c r="B3" s="41" t="s">
        <v>4527</v>
      </c>
      <c r="C3" s="41"/>
      <c r="E3" s="41" t="s">
        <v>4528</v>
      </c>
      <c r="F3" s="41"/>
      <c r="H3" s="41" t="s">
        <v>4544</v>
      </c>
      <c r="I3" s="41"/>
      <c r="K3" s="41" t="s">
        <v>4582</v>
      </c>
      <c r="L3" s="43"/>
    </row>
    <row r="4" spans="1:12" ht="18.75" customHeight="1" x14ac:dyDescent="0.25">
      <c r="B4" s="41"/>
      <c r="C4" s="41"/>
      <c r="E4" s="41"/>
      <c r="F4" s="41"/>
      <c r="H4" s="41"/>
      <c r="I4" s="41"/>
      <c r="K4" s="43"/>
      <c r="L4" s="43"/>
    </row>
    <row r="5" spans="1:12" x14ac:dyDescent="0.25">
      <c r="B5" s="15" t="s">
        <v>4560</v>
      </c>
      <c r="C5" t="s">
        <v>4526</v>
      </c>
      <c r="E5" s="15" t="s">
        <v>11</v>
      </c>
      <c r="F5" t="s">
        <v>4526</v>
      </c>
      <c r="H5" s="15" t="s">
        <v>4567</v>
      </c>
      <c r="I5" t="s">
        <v>4526</v>
      </c>
      <c r="K5" s="15" t="s">
        <v>4583</v>
      </c>
      <c r="L5" t="s">
        <v>4577</v>
      </c>
    </row>
    <row r="6" spans="1:12" ht="18.75" customHeight="1" x14ac:dyDescent="0.25">
      <c r="B6" s="13" t="s">
        <v>397</v>
      </c>
      <c r="C6">
        <v>12</v>
      </c>
      <c r="E6" s="13" t="s">
        <v>43</v>
      </c>
      <c r="F6">
        <v>87</v>
      </c>
      <c r="H6" s="13" t="s">
        <v>4541</v>
      </c>
      <c r="I6">
        <v>5</v>
      </c>
      <c r="K6" s="13" t="s">
        <v>4578</v>
      </c>
      <c r="L6" s="32">
        <v>0.2982456140350877</v>
      </c>
    </row>
    <row r="7" spans="1:12" ht="18.75" customHeight="1" x14ac:dyDescent="0.25">
      <c r="B7" s="13" t="s">
        <v>62</v>
      </c>
      <c r="C7">
        <v>133</v>
      </c>
      <c r="E7" s="13" t="s">
        <v>63</v>
      </c>
      <c r="F7">
        <v>150</v>
      </c>
      <c r="H7" s="13" t="s">
        <v>4542</v>
      </c>
      <c r="I7">
        <v>163</v>
      </c>
      <c r="K7" s="13" t="s">
        <v>4580</v>
      </c>
      <c r="L7" s="32">
        <v>0.13824884792626729</v>
      </c>
    </row>
    <row r="8" spans="1:12" ht="15" customHeight="1" x14ac:dyDescent="0.25">
      <c r="B8" s="13" t="s">
        <v>39</v>
      </c>
      <c r="C8">
        <v>92</v>
      </c>
      <c r="H8" s="13" t="s">
        <v>4543</v>
      </c>
      <c r="I8">
        <v>69</v>
      </c>
      <c r="K8" s="13" t="s">
        <v>4581</v>
      </c>
      <c r="L8" s="32">
        <v>0.12276785714285714</v>
      </c>
    </row>
    <row r="9" spans="1:12" ht="18.75" customHeight="1" x14ac:dyDescent="0.25">
      <c r="H9" s="41" t="s">
        <v>4545</v>
      </c>
      <c r="I9" s="41"/>
      <c r="K9" s="13" t="s">
        <v>4579</v>
      </c>
      <c r="L9" s="32">
        <v>8.1300813008130079E-2</v>
      </c>
    </row>
    <row r="10" spans="1:12" ht="15" customHeight="1" x14ac:dyDescent="0.25">
      <c r="B10" s="41" t="s">
        <v>4534</v>
      </c>
      <c r="C10" s="41"/>
      <c r="E10" s="41" t="s">
        <v>4540</v>
      </c>
      <c r="F10" s="41"/>
      <c r="H10" s="41"/>
      <c r="I10" s="41"/>
      <c r="K10" s="13" t="s">
        <v>4547</v>
      </c>
      <c r="L10" s="32">
        <v>0.16122448979591836</v>
      </c>
    </row>
    <row r="11" spans="1:12" ht="15" customHeight="1" x14ac:dyDescent="0.25">
      <c r="B11" s="41"/>
      <c r="C11" s="41"/>
      <c r="E11" s="41"/>
      <c r="F11" s="41"/>
      <c r="H11" s="15" t="s">
        <v>4568</v>
      </c>
      <c r="I11" t="s">
        <v>4526</v>
      </c>
    </row>
    <row r="12" spans="1:12" ht="15" customHeight="1" x14ac:dyDescent="0.25">
      <c r="B12" s="15" t="s">
        <v>4561</v>
      </c>
      <c r="C12" t="s">
        <v>4526</v>
      </c>
      <c r="E12" s="15" t="s">
        <v>6</v>
      </c>
      <c r="F12" t="s">
        <v>4526</v>
      </c>
      <c r="H12" s="13" t="s">
        <v>59</v>
      </c>
      <c r="I12">
        <v>110</v>
      </c>
    </row>
    <row r="13" spans="1:12" ht="15" customHeight="1" x14ac:dyDescent="0.25">
      <c r="B13" s="13" t="s">
        <v>122</v>
      </c>
      <c r="C13">
        <v>9</v>
      </c>
      <c r="E13" s="13" t="s">
        <v>4535</v>
      </c>
      <c r="F13">
        <v>99</v>
      </c>
      <c r="H13" s="13" t="s">
        <v>36</v>
      </c>
      <c r="I13">
        <v>127</v>
      </c>
    </row>
    <row r="14" spans="1:12" x14ac:dyDescent="0.25">
      <c r="B14" s="13" t="s">
        <v>397</v>
      </c>
      <c r="C14">
        <v>12</v>
      </c>
      <c r="E14" s="13" t="s">
        <v>4536</v>
      </c>
      <c r="F14">
        <v>31</v>
      </c>
    </row>
    <row r="15" spans="1:12" ht="18.75" customHeight="1" x14ac:dyDescent="0.25">
      <c r="B15" s="13" t="s">
        <v>76</v>
      </c>
      <c r="C15">
        <v>62</v>
      </c>
      <c r="E15" s="13" t="s">
        <v>4537</v>
      </c>
      <c r="F15">
        <v>44</v>
      </c>
      <c r="H15" s="41" t="s">
        <v>4533</v>
      </c>
      <c r="I15" s="41"/>
    </row>
    <row r="16" spans="1:12" ht="18.75" customHeight="1" x14ac:dyDescent="0.25">
      <c r="B16" s="13" t="s">
        <v>169</v>
      </c>
      <c r="C16">
        <v>5</v>
      </c>
      <c r="E16" s="13" t="s">
        <v>4538</v>
      </c>
      <c r="F16">
        <v>5</v>
      </c>
      <c r="H16" s="41"/>
      <c r="I16" s="41"/>
    </row>
    <row r="17" spans="2:9" ht="18.75" customHeight="1" x14ac:dyDescent="0.25">
      <c r="B17" s="13" t="s">
        <v>116</v>
      </c>
      <c r="C17">
        <v>10</v>
      </c>
      <c r="E17" s="13" t="s">
        <v>4539</v>
      </c>
      <c r="F17">
        <v>58</v>
      </c>
      <c r="H17" s="15" t="s">
        <v>4569</v>
      </c>
      <c r="I17" t="s">
        <v>4526</v>
      </c>
    </row>
    <row r="18" spans="2:9" ht="18.75" customHeight="1" x14ac:dyDescent="0.25">
      <c r="B18" s="13" t="s">
        <v>186</v>
      </c>
      <c r="C18">
        <v>2</v>
      </c>
      <c r="H18" s="13" t="s">
        <v>4529</v>
      </c>
      <c r="I18">
        <v>89</v>
      </c>
    </row>
    <row r="19" spans="2:9" x14ac:dyDescent="0.25">
      <c r="B19" s="13" t="s">
        <v>65</v>
      </c>
      <c r="C19">
        <v>47</v>
      </c>
      <c r="H19" s="13" t="s">
        <v>4530</v>
      </c>
      <c r="I19">
        <v>34</v>
      </c>
    </row>
    <row r="20" spans="2:9" x14ac:dyDescent="0.25">
      <c r="B20" s="13" t="s">
        <v>46</v>
      </c>
      <c r="C20">
        <v>57</v>
      </c>
      <c r="H20" s="13" t="s">
        <v>4531</v>
      </c>
      <c r="I20">
        <v>23</v>
      </c>
    </row>
    <row r="21" spans="2:9" x14ac:dyDescent="0.25">
      <c r="B21" s="13" t="s">
        <v>182</v>
      </c>
      <c r="C21">
        <v>33</v>
      </c>
      <c r="H21" s="13" t="s">
        <v>4532</v>
      </c>
      <c r="I21">
        <v>91</v>
      </c>
    </row>
  </sheetData>
  <mergeCells count="9">
    <mergeCell ref="H15:I16"/>
    <mergeCell ref="H9:I10"/>
    <mergeCell ref="E10:F11"/>
    <mergeCell ref="A1:K1"/>
    <mergeCell ref="B3:C4"/>
    <mergeCell ref="B10:C11"/>
    <mergeCell ref="E3:F4"/>
    <mergeCell ref="H3:I4"/>
    <mergeCell ref="K3:L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21"/>
  <sheetViews>
    <sheetView workbookViewId="0">
      <selection activeCell="E5" sqref="E5"/>
    </sheetView>
  </sheetViews>
  <sheetFormatPr defaultRowHeight="15" x14ac:dyDescent="0.25"/>
  <cols>
    <col min="1" max="1" width="6" customWidth="1"/>
    <col min="2" max="2" width="25" bestFit="1" customWidth="1"/>
    <col min="3" max="3" width="11.28515625" bestFit="1" customWidth="1"/>
    <col min="4" max="4" width="10.7109375" customWidth="1"/>
    <col min="5" max="5" width="15.5703125" bestFit="1" customWidth="1"/>
    <col min="6" max="6" width="16.28515625" bestFit="1" customWidth="1"/>
    <col min="7" max="7" width="11.28515625" bestFit="1" customWidth="1"/>
    <col min="8" max="8" width="12.42578125" bestFit="1" customWidth="1"/>
    <col min="9" max="9" width="11.28515625" bestFit="1" customWidth="1"/>
    <col min="10" max="10" width="15.5703125" bestFit="1" customWidth="1"/>
    <col min="11" max="11" width="10.7109375" bestFit="1" customWidth="1"/>
    <col min="12" max="12" width="13.7109375" customWidth="1"/>
    <col min="13" max="13" width="14.5703125" customWidth="1"/>
    <col min="14" max="14" width="16.7109375" customWidth="1"/>
    <col min="15" max="15" width="25.7109375" bestFit="1" customWidth="1"/>
  </cols>
  <sheetData>
    <row r="1" spans="1:15" ht="20.25" x14ac:dyDescent="0.35">
      <c r="A1" s="44" t="s">
        <v>4509</v>
      </c>
      <c r="B1" s="44"/>
      <c r="C1" s="44"/>
      <c r="D1" s="44"/>
      <c r="E1" s="44"/>
      <c r="F1" s="44"/>
      <c r="G1" s="44"/>
      <c r="H1" s="44"/>
      <c r="I1" s="44"/>
      <c r="J1" s="44"/>
      <c r="K1" s="44"/>
      <c r="L1" s="44"/>
      <c r="M1" s="44"/>
      <c r="N1" s="44"/>
      <c r="O1" s="44"/>
    </row>
    <row r="2" spans="1:15" ht="15" customHeight="1" x14ac:dyDescent="0.25"/>
    <row r="3" spans="1:15" ht="16.5" customHeight="1" x14ac:dyDescent="0.3">
      <c r="A3" s="8"/>
      <c r="B3" s="16" t="s">
        <v>4548</v>
      </c>
      <c r="C3" s="18"/>
      <c r="E3" s="16" t="s">
        <v>4552</v>
      </c>
      <c r="F3" s="16"/>
      <c r="H3" s="41" t="s">
        <v>4556</v>
      </c>
      <c r="I3" s="41"/>
      <c r="K3" s="17" t="s">
        <v>4557</v>
      </c>
      <c r="L3" s="17" t="s">
        <v>4558</v>
      </c>
    </row>
    <row r="4" spans="1:15" ht="15" customHeight="1" x14ac:dyDescent="0.25">
      <c r="B4" s="18"/>
      <c r="C4" s="18"/>
      <c r="E4" s="16"/>
      <c r="F4" s="16"/>
      <c r="H4" s="41"/>
      <c r="I4" s="41"/>
      <c r="K4" s="13" t="s">
        <v>4541</v>
      </c>
      <c r="L4">
        <v>133</v>
      </c>
    </row>
    <row r="5" spans="1:15" x14ac:dyDescent="0.25">
      <c r="A5" s="4"/>
      <c r="B5" s="15" t="s">
        <v>4560</v>
      </c>
      <c r="C5" t="s">
        <v>4559</v>
      </c>
      <c r="E5" s="15" t="s">
        <v>4563</v>
      </c>
      <c r="F5" t="s">
        <v>4559</v>
      </c>
      <c r="H5" s="15" t="s">
        <v>4562</v>
      </c>
      <c r="I5" t="s">
        <v>4559</v>
      </c>
      <c r="K5" s="13" t="s">
        <v>4542</v>
      </c>
      <c r="L5">
        <v>749</v>
      </c>
    </row>
    <row r="6" spans="1:15" x14ac:dyDescent="0.25">
      <c r="A6" s="4"/>
      <c r="B6" s="13" t="s">
        <v>397</v>
      </c>
      <c r="C6" s="24">
        <v>3715.75</v>
      </c>
      <c r="E6" s="13" t="s">
        <v>36</v>
      </c>
      <c r="F6" s="24">
        <v>4787.0928270042195</v>
      </c>
      <c r="H6" s="13" t="s">
        <v>4546</v>
      </c>
      <c r="I6" s="23">
        <v>4251.0198019801983</v>
      </c>
      <c r="K6" s="13" t="s">
        <v>4543</v>
      </c>
      <c r="L6">
        <v>588</v>
      </c>
    </row>
    <row r="7" spans="1:15" x14ac:dyDescent="0.25">
      <c r="A7" s="4"/>
      <c r="B7" s="13" t="s">
        <v>62</v>
      </c>
      <c r="C7" s="24">
        <v>4108.0751879699246</v>
      </c>
      <c r="H7" s="13" t="s">
        <v>4554</v>
      </c>
      <c r="I7" s="23">
        <v>11323.583333333334</v>
      </c>
    </row>
    <row r="8" spans="1:15" x14ac:dyDescent="0.25">
      <c r="A8" s="4"/>
      <c r="B8" s="13" t="s">
        <v>39</v>
      </c>
      <c r="C8" s="24">
        <v>5908.45652173913</v>
      </c>
      <c r="H8" s="13" t="s">
        <v>4555</v>
      </c>
      <c r="I8" s="23">
        <v>6084.869565217391</v>
      </c>
    </row>
    <row r="9" spans="1:15" x14ac:dyDescent="0.25">
      <c r="A9" s="4"/>
    </row>
    <row r="10" spans="1:15" ht="18.75" x14ac:dyDescent="0.25">
      <c r="A10" s="4"/>
      <c r="B10" s="16" t="s">
        <v>4549</v>
      </c>
      <c r="C10" s="18"/>
      <c r="E10" s="16" t="s">
        <v>4551</v>
      </c>
      <c r="F10" s="16"/>
      <c r="G10" s="16"/>
      <c r="H10" s="16"/>
      <c r="J10" s="16" t="s">
        <v>4553</v>
      </c>
      <c r="K10" s="16"/>
    </row>
    <row r="11" spans="1:15" ht="18.75" customHeight="1" x14ac:dyDescent="0.25">
      <c r="B11" s="18"/>
      <c r="C11" s="18"/>
      <c r="E11" s="16"/>
      <c r="F11" s="16"/>
      <c r="G11" s="16"/>
      <c r="H11" s="16"/>
      <c r="J11" s="16"/>
      <c r="K11" s="16"/>
      <c r="N11" s="24"/>
    </row>
    <row r="12" spans="1:15" ht="18.75" customHeight="1" x14ac:dyDescent="0.25">
      <c r="B12" s="15" t="s">
        <v>4561</v>
      </c>
      <c r="C12" t="s">
        <v>4559</v>
      </c>
      <c r="E12" s="15" t="s">
        <v>4564</v>
      </c>
      <c r="F12" s="15" t="s">
        <v>4550</v>
      </c>
      <c r="J12" s="15" t="s">
        <v>4566</v>
      </c>
      <c r="K12" t="s">
        <v>4558</v>
      </c>
      <c r="N12" s="24"/>
    </row>
    <row r="13" spans="1:15" x14ac:dyDescent="0.25">
      <c r="B13" s="13" t="s">
        <v>186</v>
      </c>
      <c r="C13" s="24">
        <v>19395.5</v>
      </c>
      <c r="E13" s="15" t="s">
        <v>4565</v>
      </c>
      <c r="F13" t="s">
        <v>36</v>
      </c>
      <c r="G13" t="s">
        <v>4547</v>
      </c>
      <c r="J13" s="13" t="s">
        <v>4541</v>
      </c>
      <c r="K13">
        <v>5</v>
      </c>
      <c r="N13" s="24"/>
    </row>
    <row r="14" spans="1:15" ht="15" customHeight="1" x14ac:dyDescent="0.25">
      <c r="B14" s="13" t="s">
        <v>169</v>
      </c>
      <c r="C14" s="24">
        <v>16797.400000000001</v>
      </c>
      <c r="E14" s="13" t="s">
        <v>4541</v>
      </c>
      <c r="F14">
        <v>5</v>
      </c>
      <c r="G14">
        <v>5</v>
      </c>
      <c r="J14" s="13" t="s">
        <v>4542</v>
      </c>
      <c r="K14">
        <v>163</v>
      </c>
      <c r="N14" s="24"/>
    </row>
    <row r="15" spans="1:15" ht="15" customHeight="1" x14ac:dyDescent="0.25">
      <c r="B15" s="13" t="s">
        <v>122</v>
      </c>
      <c r="C15" s="24">
        <v>8548.2222222222226</v>
      </c>
      <c r="E15" s="13" t="s">
        <v>4542</v>
      </c>
      <c r="F15">
        <v>163</v>
      </c>
      <c r="G15">
        <v>163</v>
      </c>
      <c r="J15" s="13" t="s">
        <v>4543</v>
      </c>
      <c r="K15">
        <v>69</v>
      </c>
      <c r="N15" s="24"/>
    </row>
    <row r="16" spans="1:15" x14ac:dyDescent="0.25">
      <c r="B16" s="13" t="s">
        <v>46</v>
      </c>
      <c r="C16" s="24">
        <v>7489</v>
      </c>
      <c r="E16" s="13" t="s">
        <v>4543</v>
      </c>
      <c r="F16">
        <v>69</v>
      </c>
      <c r="G16">
        <v>69</v>
      </c>
      <c r="J16" s="13" t="s">
        <v>4547</v>
      </c>
      <c r="K16">
        <v>237</v>
      </c>
      <c r="N16" s="24"/>
    </row>
    <row r="17" spans="2:14" x14ac:dyDescent="0.25">
      <c r="B17" s="13" t="s">
        <v>116</v>
      </c>
      <c r="C17" s="24">
        <v>7365.5</v>
      </c>
      <c r="N17" s="24"/>
    </row>
    <row r="18" spans="2:14" x14ac:dyDescent="0.25">
      <c r="B18" s="13" t="s">
        <v>397</v>
      </c>
      <c r="C18" s="24">
        <v>3715.75</v>
      </c>
      <c r="N18" s="24"/>
    </row>
    <row r="19" spans="2:14" x14ac:dyDescent="0.25">
      <c r="B19" s="13" t="s">
        <v>76</v>
      </c>
      <c r="C19" s="24">
        <v>2919.2580645161293</v>
      </c>
      <c r="N19" s="24"/>
    </row>
    <row r="20" spans="2:14" x14ac:dyDescent="0.25">
      <c r="B20" s="13" t="s">
        <v>65</v>
      </c>
      <c r="C20" s="24">
        <v>2780.4680851063831</v>
      </c>
    </row>
    <row r="21" spans="2:14" x14ac:dyDescent="0.25">
      <c r="B21" s="13" t="s">
        <v>182</v>
      </c>
      <c r="C21" s="24">
        <v>2364.7272727272725</v>
      </c>
    </row>
  </sheetData>
  <mergeCells count="2">
    <mergeCell ref="A1:O1"/>
    <mergeCell ref="H3:I4"/>
  </mergeCells>
  <pageMargins left="0.75" right="0.75" top="1" bottom="1" header="0.5" footer="0.5"/>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46"/>
  <sheetViews>
    <sheetView workbookViewId="0">
      <selection activeCell="F6" sqref="F6"/>
    </sheetView>
  </sheetViews>
  <sheetFormatPr defaultRowHeight="15" x14ac:dyDescent="0.25"/>
  <cols>
    <col min="1" max="1" width="5.7109375" customWidth="1"/>
    <col min="2" max="2" width="6.28515625" customWidth="1"/>
    <col min="4" max="4" width="25" bestFit="1" customWidth="1"/>
    <col min="5" max="5" width="20.140625" bestFit="1" customWidth="1"/>
    <col min="6" max="6" width="25" bestFit="1" customWidth="1"/>
    <col min="7" max="7" width="14.5703125" bestFit="1" customWidth="1"/>
    <col min="8" max="8" width="8.5703125" bestFit="1" customWidth="1"/>
    <col min="9" max="9" width="12.5703125" bestFit="1" customWidth="1"/>
    <col min="10" max="11" width="11.28515625" bestFit="1" customWidth="1"/>
  </cols>
  <sheetData>
    <row r="1" spans="1:21" ht="20.25" x14ac:dyDescent="0.35">
      <c r="A1" s="45" t="s">
        <v>4510</v>
      </c>
      <c r="B1" s="45"/>
      <c r="C1" s="45"/>
      <c r="D1" s="45"/>
      <c r="E1" s="45"/>
      <c r="F1" s="45"/>
      <c r="G1" s="45"/>
      <c r="H1" s="45"/>
      <c r="I1" s="45"/>
      <c r="J1" s="45"/>
      <c r="K1" s="45"/>
      <c r="L1" s="45"/>
      <c r="M1" s="45"/>
      <c r="N1" s="45"/>
      <c r="O1" s="45"/>
      <c r="P1" s="29"/>
      <c r="Q1" s="25"/>
      <c r="R1" s="25"/>
      <c r="S1" s="25"/>
      <c r="T1" s="25"/>
      <c r="U1" s="25"/>
    </row>
    <row r="2" spans="1:21" x14ac:dyDescent="0.25">
      <c r="A2" s="26"/>
      <c r="B2" s="26"/>
      <c r="C2" s="26"/>
      <c r="D2" s="26"/>
      <c r="E2" s="26"/>
      <c r="F2" s="26"/>
      <c r="G2" s="26"/>
      <c r="H2" s="26"/>
      <c r="I2" s="26"/>
      <c r="J2" s="26"/>
      <c r="K2" s="26"/>
      <c r="L2" s="26"/>
      <c r="M2" s="26"/>
      <c r="N2" s="26"/>
      <c r="O2" s="26"/>
      <c r="P2" s="26"/>
    </row>
    <row r="3" spans="1:21" ht="16.5" x14ac:dyDescent="0.3">
      <c r="A3" s="27"/>
      <c r="B3" s="26"/>
      <c r="C3" s="26"/>
      <c r="D3" s="26"/>
      <c r="E3" s="26"/>
      <c r="F3" s="46" t="s">
        <v>4572</v>
      </c>
      <c r="G3" s="46"/>
      <c r="H3" s="46"/>
      <c r="I3" s="46"/>
      <c r="J3" s="46"/>
      <c r="K3" s="26"/>
      <c r="L3" s="26"/>
      <c r="M3" s="26"/>
      <c r="N3" s="26"/>
      <c r="O3" s="26"/>
      <c r="P3" s="26"/>
    </row>
    <row r="4" spans="1:21" x14ac:dyDescent="0.25">
      <c r="A4" s="26"/>
      <c r="B4" s="26"/>
      <c r="C4" s="26"/>
      <c r="D4" s="26"/>
      <c r="E4" s="26"/>
      <c r="F4" s="46"/>
      <c r="G4" s="46"/>
      <c r="H4" s="46"/>
      <c r="I4" s="46"/>
      <c r="J4" s="46"/>
      <c r="K4" s="26"/>
      <c r="L4" s="26"/>
      <c r="M4" s="26"/>
      <c r="N4" s="26"/>
      <c r="O4" s="26"/>
      <c r="P4" s="26"/>
    </row>
    <row r="5" spans="1:21" x14ac:dyDescent="0.25">
      <c r="A5" s="28"/>
      <c r="B5" s="26"/>
      <c r="C5" s="26"/>
      <c r="D5" s="26"/>
      <c r="E5" s="26"/>
      <c r="F5" s="15" t="s">
        <v>4558</v>
      </c>
      <c r="G5" s="15" t="s">
        <v>4560</v>
      </c>
      <c r="K5" s="26"/>
      <c r="L5" s="26"/>
      <c r="M5" s="26"/>
      <c r="N5" s="26"/>
      <c r="O5" s="26"/>
      <c r="P5" s="26"/>
    </row>
    <row r="6" spans="1:21" x14ac:dyDescent="0.25">
      <c r="A6" s="28"/>
      <c r="B6" s="26"/>
      <c r="C6" s="26"/>
      <c r="D6" s="26"/>
      <c r="E6" s="26"/>
      <c r="F6" s="15" t="s">
        <v>4570</v>
      </c>
      <c r="G6" t="s">
        <v>4546</v>
      </c>
      <c r="H6" t="s">
        <v>4554</v>
      </c>
      <c r="I6" t="s">
        <v>4555</v>
      </c>
      <c r="J6" t="s">
        <v>4547</v>
      </c>
      <c r="K6" s="26"/>
      <c r="L6" s="26"/>
      <c r="M6" s="26"/>
      <c r="N6" s="26"/>
      <c r="O6" s="26"/>
      <c r="P6" s="26"/>
    </row>
    <row r="7" spans="1:21" x14ac:dyDescent="0.25">
      <c r="A7" s="28"/>
      <c r="B7" s="26"/>
      <c r="C7" s="26"/>
      <c r="D7" s="26"/>
      <c r="E7" s="26"/>
      <c r="F7" s="13" t="s">
        <v>397</v>
      </c>
      <c r="G7">
        <v>10</v>
      </c>
      <c r="I7">
        <v>2</v>
      </c>
      <c r="J7">
        <v>12</v>
      </c>
      <c r="K7" s="26"/>
      <c r="L7" s="26"/>
      <c r="M7" s="26"/>
      <c r="N7" s="26"/>
      <c r="O7" s="26"/>
      <c r="P7" s="26"/>
    </row>
    <row r="8" spans="1:21" x14ac:dyDescent="0.25">
      <c r="A8" s="28"/>
      <c r="B8" s="26"/>
      <c r="C8" s="26"/>
      <c r="D8" s="26"/>
      <c r="E8" s="26"/>
      <c r="F8" s="13" t="s">
        <v>62</v>
      </c>
      <c r="G8">
        <v>116</v>
      </c>
      <c r="H8">
        <v>5</v>
      </c>
      <c r="I8">
        <v>12</v>
      </c>
      <c r="J8">
        <v>133</v>
      </c>
      <c r="K8" s="26"/>
      <c r="L8" s="26"/>
      <c r="M8" s="26"/>
      <c r="N8" s="26"/>
      <c r="O8" s="26"/>
      <c r="P8" s="26"/>
    </row>
    <row r="9" spans="1:21" x14ac:dyDescent="0.25">
      <c r="A9" s="26"/>
      <c r="B9" s="26"/>
      <c r="C9" s="26"/>
      <c r="D9" s="26"/>
      <c r="E9" s="26"/>
      <c r="F9" s="13" t="s">
        <v>39</v>
      </c>
      <c r="G9">
        <v>76</v>
      </c>
      <c r="H9">
        <v>7</v>
      </c>
      <c r="I9">
        <v>9</v>
      </c>
      <c r="J9">
        <v>92</v>
      </c>
      <c r="K9" s="26"/>
      <c r="L9" s="26"/>
      <c r="M9" s="26"/>
      <c r="N9" s="26"/>
      <c r="O9" s="26"/>
      <c r="P9" s="26"/>
    </row>
    <row r="10" spans="1:21" ht="15" customHeight="1" x14ac:dyDescent="0.25">
      <c r="A10" s="26"/>
      <c r="B10" s="26"/>
      <c r="C10" s="26"/>
      <c r="D10" s="26"/>
      <c r="E10" s="26"/>
      <c r="F10" s="26"/>
      <c r="G10" s="26"/>
      <c r="H10" s="26"/>
      <c r="I10" s="26"/>
      <c r="J10" s="26"/>
      <c r="K10" s="26"/>
      <c r="L10" s="26"/>
      <c r="M10" s="26"/>
      <c r="N10" s="26"/>
      <c r="O10" s="26"/>
      <c r="P10" s="26"/>
    </row>
    <row r="11" spans="1:21" ht="15" customHeight="1" x14ac:dyDescent="0.25">
      <c r="A11" s="26"/>
      <c r="B11" s="26"/>
      <c r="C11" s="26"/>
      <c r="D11" s="26"/>
      <c r="E11" s="26"/>
      <c r="F11" s="26"/>
      <c r="G11" s="26"/>
      <c r="H11" s="26"/>
      <c r="I11" s="26"/>
      <c r="J11" s="26"/>
      <c r="K11" s="26"/>
      <c r="L11" s="26"/>
      <c r="M11" s="26"/>
      <c r="N11" s="26"/>
      <c r="O11" s="26"/>
      <c r="P11" s="26"/>
    </row>
    <row r="12" spans="1:21" ht="18.75" customHeight="1" x14ac:dyDescent="0.25">
      <c r="A12" s="26"/>
      <c r="B12" s="26"/>
      <c r="C12" s="26"/>
      <c r="D12" s="26"/>
      <c r="E12" s="26"/>
      <c r="F12" s="41" t="s">
        <v>4573</v>
      </c>
      <c r="G12" s="41"/>
      <c r="H12" s="26"/>
      <c r="I12" s="26"/>
      <c r="J12" s="26"/>
      <c r="K12" s="26"/>
      <c r="L12" s="26"/>
      <c r="M12" s="26"/>
      <c r="N12" s="26"/>
      <c r="O12" s="26"/>
      <c r="P12" s="26"/>
    </row>
    <row r="13" spans="1:21" ht="18.75" customHeight="1" x14ac:dyDescent="0.25">
      <c r="A13" s="26"/>
      <c r="B13" s="26"/>
      <c r="C13" s="26"/>
      <c r="D13" s="26"/>
      <c r="E13" s="26"/>
      <c r="F13" s="41"/>
      <c r="G13" s="41"/>
      <c r="H13" s="26"/>
      <c r="I13" s="47" t="s">
        <v>4574</v>
      </c>
      <c r="J13" s="47"/>
      <c r="K13" s="26"/>
      <c r="L13" s="26"/>
      <c r="M13" s="26"/>
      <c r="N13" s="26"/>
      <c r="O13" s="26"/>
      <c r="P13" s="26"/>
    </row>
    <row r="14" spans="1:21" x14ac:dyDescent="0.25">
      <c r="A14" s="26"/>
      <c r="B14" s="26"/>
      <c r="C14" s="26"/>
      <c r="D14" s="26"/>
      <c r="E14" s="26"/>
      <c r="F14" s="15" t="s">
        <v>4561</v>
      </c>
      <c r="G14" t="s">
        <v>4571</v>
      </c>
      <c r="H14" s="26"/>
      <c r="I14" s="47"/>
      <c r="J14" s="47"/>
      <c r="K14" s="26"/>
      <c r="L14" s="26"/>
      <c r="M14" s="26"/>
      <c r="N14" s="26"/>
      <c r="O14" s="26"/>
      <c r="P14" s="26"/>
    </row>
    <row r="15" spans="1:21" x14ac:dyDescent="0.25">
      <c r="A15" s="26"/>
      <c r="B15" s="26"/>
      <c r="C15" s="26"/>
      <c r="D15" s="26"/>
      <c r="E15" s="26"/>
      <c r="F15" s="13" t="s">
        <v>122</v>
      </c>
      <c r="G15">
        <v>56.444444444444443</v>
      </c>
      <c r="H15" s="26"/>
      <c r="I15" s="15" t="s">
        <v>4570</v>
      </c>
      <c r="J15" t="s">
        <v>4558</v>
      </c>
      <c r="K15" s="26"/>
      <c r="L15" s="26"/>
      <c r="M15" s="26"/>
      <c r="N15" s="26"/>
      <c r="O15" s="26"/>
      <c r="P15" s="26"/>
    </row>
    <row r="16" spans="1:21" x14ac:dyDescent="0.25">
      <c r="A16" s="26"/>
      <c r="B16" s="26"/>
      <c r="C16" s="26"/>
      <c r="D16" s="26"/>
      <c r="E16" s="26"/>
      <c r="F16" s="13" t="s">
        <v>397</v>
      </c>
      <c r="G16">
        <v>75.833333333333329</v>
      </c>
      <c r="H16" s="26"/>
      <c r="I16" s="13" t="s">
        <v>4546</v>
      </c>
      <c r="J16">
        <v>202</v>
      </c>
      <c r="K16" s="26"/>
      <c r="L16" s="26"/>
      <c r="M16" s="26"/>
      <c r="N16" s="26"/>
      <c r="O16" s="26"/>
      <c r="P16" s="26"/>
    </row>
    <row r="17" spans="1:16" x14ac:dyDescent="0.25">
      <c r="A17" s="26"/>
      <c r="B17" s="26"/>
      <c r="C17" s="26"/>
      <c r="D17" s="26"/>
      <c r="E17" s="26"/>
      <c r="F17" s="13" t="s">
        <v>76</v>
      </c>
      <c r="G17">
        <v>76.629032258064512</v>
      </c>
      <c r="H17" s="26"/>
      <c r="I17" s="13" t="s">
        <v>4554</v>
      </c>
      <c r="J17">
        <v>12</v>
      </c>
      <c r="K17" s="26"/>
      <c r="L17" s="26"/>
      <c r="M17" s="26"/>
      <c r="N17" s="26"/>
      <c r="O17" s="26"/>
      <c r="P17" s="26"/>
    </row>
    <row r="18" spans="1:16" x14ac:dyDescent="0.25">
      <c r="A18" s="26"/>
      <c r="B18" s="26"/>
      <c r="C18" s="26"/>
      <c r="D18" s="26"/>
      <c r="E18" s="26"/>
      <c r="F18" s="13" t="s">
        <v>169</v>
      </c>
      <c r="G18">
        <v>62.8</v>
      </c>
      <c r="H18" s="26"/>
      <c r="I18" s="13" t="s">
        <v>4555</v>
      </c>
      <c r="J18">
        <v>23</v>
      </c>
      <c r="K18" s="26"/>
      <c r="L18" s="26"/>
      <c r="M18" s="26"/>
      <c r="N18" s="26"/>
      <c r="O18" s="26"/>
      <c r="P18" s="26"/>
    </row>
    <row r="19" spans="1:16" x14ac:dyDescent="0.25">
      <c r="A19" s="26"/>
      <c r="B19" s="26"/>
      <c r="C19" s="26"/>
      <c r="D19" s="26"/>
      <c r="E19" s="26"/>
      <c r="F19" s="13" t="s">
        <v>116</v>
      </c>
      <c r="G19">
        <v>62.7</v>
      </c>
      <c r="H19" s="26"/>
      <c r="I19" s="26"/>
      <c r="J19" s="26"/>
      <c r="K19" s="26"/>
      <c r="L19" s="26"/>
      <c r="M19" s="26"/>
      <c r="N19" s="26"/>
      <c r="O19" s="26"/>
      <c r="P19" s="26"/>
    </row>
    <row r="20" spans="1:16" x14ac:dyDescent="0.25">
      <c r="A20" s="26"/>
      <c r="B20" s="26"/>
      <c r="C20" s="26"/>
      <c r="D20" s="26"/>
      <c r="E20" s="26"/>
      <c r="F20" s="13" t="s">
        <v>186</v>
      </c>
      <c r="G20">
        <v>49</v>
      </c>
      <c r="H20" s="26"/>
      <c r="I20" s="26"/>
      <c r="J20" s="26"/>
      <c r="K20" s="26"/>
      <c r="L20" s="26"/>
      <c r="M20" s="26"/>
      <c r="N20" s="26"/>
      <c r="O20" s="26"/>
      <c r="P20" s="26"/>
    </row>
    <row r="21" spans="1:16" x14ac:dyDescent="0.25">
      <c r="A21" s="26"/>
      <c r="B21" s="26"/>
      <c r="C21" s="26"/>
      <c r="D21" s="26"/>
      <c r="E21" s="26"/>
      <c r="F21" s="13" t="s">
        <v>65</v>
      </c>
      <c r="G21">
        <v>78.702127659574472</v>
      </c>
      <c r="H21" s="26"/>
      <c r="I21" s="26"/>
      <c r="J21" s="26"/>
      <c r="K21" s="26"/>
      <c r="L21" s="26"/>
      <c r="M21" s="26"/>
      <c r="N21" s="26"/>
      <c r="O21" s="26"/>
      <c r="P21" s="26"/>
    </row>
    <row r="22" spans="1:16" x14ac:dyDescent="0.25">
      <c r="A22" s="26"/>
      <c r="B22" s="26"/>
      <c r="C22" s="26"/>
      <c r="D22" s="26"/>
      <c r="E22" s="26"/>
      <c r="F22" s="13" t="s">
        <v>46</v>
      </c>
      <c r="G22">
        <v>65.807017543859644</v>
      </c>
      <c r="H22" s="26"/>
      <c r="I22" s="26"/>
      <c r="J22" s="26"/>
      <c r="K22" s="26"/>
      <c r="L22" s="26"/>
      <c r="M22" s="26"/>
      <c r="N22" s="26"/>
      <c r="O22" s="26"/>
      <c r="P22" s="26"/>
    </row>
    <row r="23" spans="1:16" x14ac:dyDescent="0.25">
      <c r="F23" s="13" t="s">
        <v>182</v>
      </c>
      <c r="G23">
        <v>79.757575757575751</v>
      </c>
      <c r="H23" s="26"/>
      <c r="I23" s="26"/>
      <c r="J23" s="26"/>
      <c r="K23" s="26"/>
      <c r="L23" s="26"/>
      <c r="M23" s="26"/>
      <c r="N23" s="26"/>
      <c r="O23" s="26"/>
      <c r="P23" s="26"/>
    </row>
    <row r="24" spans="1:16" x14ac:dyDescent="0.25">
      <c r="A24" s="26"/>
      <c r="B24" s="26"/>
      <c r="C24" s="26"/>
      <c r="D24" s="26"/>
      <c r="E24" s="26"/>
      <c r="F24" s="30" t="s">
        <v>4547</v>
      </c>
      <c r="G24" s="26">
        <v>72.953586497890299</v>
      </c>
      <c r="H24" s="26"/>
      <c r="I24" s="26"/>
      <c r="J24" s="26"/>
      <c r="K24" s="26"/>
      <c r="L24" s="26"/>
      <c r="M24" s="26"/>
      <c r="N24" s="26"/>
      <c r="O24" s="26"/>
      <c r="P24" s="26"/>
    </row>
    <row r="25" spans="1:16" x14ac:dyDescent="0.25">
      <c r="A25" s="26"/>
      <c r="B25" s="26"/>
      <c r="C25" s="26"/>
      <c r="D25" s="26"/>
      <c r="E25" s="26"/>
      <c r="F25" s="26"/>
      <c r="G25" s="26"/>
      <c r="H25" s="26"/>
      <c r="I25" s="26"/>
      <c r="J25" s="26"/>
      <c r="K25" s="26"/>
      <c r="L25" s="26"/>
      <c r="M25" s="26"/>
      <c r="N25" s="26"/>
      <c r="O25" s="26"/>
    </row>
    <row r="26" spans="1:16" x14ac:dyDescent="0.25">
      <c r="A26" s="26"/>
      <c r="B26" s="26"/>
      <c r="C26" s="26"/>
      <c r="D26" s="26"/>
      <c r="E26" s="26"/>
      <c r="F26" s="26"/>
      <c r="G26" s="26"/>
      <c r="H26" s="26"/>
      <c r="I26" s="26"/>
      <c r="J26" s="26"/>
      <c r="K26" s="26"/>
      <c r="L26" s="26"/>
      <c r="M26" s="26"/>
      <c r="N26" s="26"/>
      <c r="O26" s="26"/>
    </row>
    <row r="27" spans="1:16" x14ac:dyDescent="0.25">
      <c r="A27" s="26"/>
      <c r="B27" s="26"/>
      <c r="C27" s="26"/>
      <c r="D27" s="26"/>
      <c r="E27" s="26"/>
      <c r="F27" s="26"/>
      <c r="G27" s="26"/>
      <c r="H27" s="26"/>
      <c r="I27" s="26"/>
      <c r="J27" s="26"/>
      <c r="K27" s="26"/>
      <c r="L27" s="26"/>
      <c r="M27" s="26"/>
      <c r="N27" s="26"/>
      <c r="O27" s="26"/>
    </row>
    <row r="28" spans="1:16" x14ac:dyDescent="0.25">
      <c r="A28" s="26"/>
      <c r="B28" s="26"/>
      <c r="C28" s="26"/>
      <c r="D28" s="26"/>
      <c r="E28" s="26"/>
      <c r="F28" s="26"/>
      <c r="G28" s="26"/>
      <c r="H28" s="26"/>
      <c r="I28" s="26"/>
      <c r="J28" s="26"/>
      <c r="K28" s="26"/>
      <c r="L28" s="26"/>
      <c r="M28" s="26"/>
      <c r="N28" s="26"/>
      <c r="O28" s="26"/>
    </row>
    <row r="29" spans="1:16" x14ac:dyDescent="0.25">
      <c r="A29" s="26"/>
      <c r="B29" s="26"/>
      <c r="C29" s="26"/>
      <c r="D29" s="26"/>
      <c r="E29" s="26"/>
      <c r="F29" s="26"/>
      <c r="H29" s="26"/>
      <c r="I29" s="26"/>
      <c r="J29" s="26"/>
      <c r="K29" s="26"/>
      <c r="L29" s="26"/>
      <c r="M29" s="26"/>
      <c r="N29" s="26"/>
      <c r="O29" s="26"/>
    </row>
    <row r="30" spans="1:16" x14ac:dyDescent="0.25">
      <c r="A30" s="26"/>
      <c r="B30" s="26"/>
      <c r="C30" s="26"/>
      <c r="D30" s="26"/>
      <c r="E30" s="26"/>
      <c r="F30" s="26"/>
      <c r="G30" s="26"/>
      <c r="H30" s="26"/>
      <c r="I30" s="26"/>
      <c r="J30" s="26"/>
      <c r="K30" s="26"/>
      <c r="L30" s="26"/>
      <c r="M30" s="26"/>
      <c r="N30" s="26"/>
      <c r="O30" s="26"/>
      <c r="P30" s="26"/>
    </row>
    <row r="31" spans="1:16" x14ac:dyDescent="0.25">
      <c r="A31" s="26"/>
      <c r="B31" s="26"/>
      <c r="C31" s="26"/>
      <c r="D31" s="26"/>
      <c r="E31" s="26"/>
      <c r="F31" s="26"/>
      <c r="G31" s="26"/>
      <c r="H31" s="26"/>
      <c r="I31" s="26"/>
      <c r="J31" s="26"/>
      <c r="K31" s="26"/>
      <c r="L31" s="26"/>
      <c r="M31" s="26"/>
      <c r="N31" s="26"/>
      <c r="O31" s="26"/>
      <c r="P31" s="26"/>
    </row>
    <row r="32" spans="1:16" x14ac:dyDescent="0.25">
      <c r="A32" s="26"/>
      <c r="B32" s="26"/>
      <c r="C32" s="26"/>
      <c r="D32" s="26"/>
      <c r="E32" s="26"/>
      <c r="F32" s="26"/>
      <c r="G32" s="26"/>
      <c r="H32" s="26"/>
      <c r="I32" s="26"/>
      <c r="J32" s="26"/>
      <c r="K32" s="26"/>
      <c r="L32" s="26"/>
      <c r="M32" s="26"/>
      <c r="N32" s="26"/>
      <c r="O32" s="26"/>
      <c r="P32" s="26"/>
    </row>
    <row r="33" spans="1:16" x14ac:dyDescent="0.25">
      <c r="A33" s="26"/>
      <c r="B33" s="26"/>
      <c r="C33" s="26"/>
      <c r="D33" s="26"/>
      <c r="E33" s="26"/>
      <c r="F33" s="26"/>
      <c r="G33" s="26"/>
      <c r="H33" s="26"/>
      <c r="I33" s="26"/>
      <c r="J33" s="26"/>
      <c r="K33" s="26"/>
      <c r="L33" s="26"/>
      <c r="M33" s="26"/>
      <c r="N33" s="26"/>
      <c r="O33" s="26"/>
      <c r="P33" s="26"/>
    </row>
    <row r="34" spans="1:16" x14ac:dyDescent="0.25">
      <c r="A34" s="26"/>
      <c r="B34" s="26"/>
      <c r="C34" s="26"/>
      <c r="D34" s="26"/>
      <c r="E34" s="26"/>
      <c r="F34" s="26"/>
      <c r="G34" s="26"/>
      <c r="H34" s="26"/>
      <c r="I34" s="26"/>
      <c r="J34" s="26"/>
      <c r="K34" s="26"/>
      <c r="L34" s="26"/>
      <c r="M34" s="26"/>
      <c r="N34" s="26"/>
      <c r="O34" s="26"/>
      <c r="P34" s="26"/>
    </row>
    <row r="35" spans="1:16" x14ac:dyDescent="0.25">
      <c r="A35" s="26"/>
      <c r="B35" s="26"/>
      <c r="C35" s="26"/>
      <c r="D35" s="26"/>
      <c r="E35" s="26"/>
      <c r="F35" s="26"/>
      <c r="G35" s="26"/>
      <c r="H35" s="26"/>
      <c r="I35" s="26"/>
      <c r="J35" s="26"/>
      <c r="K35" s="26"/>
      <c r="L35" s="26"/>
      <c r="M35" s="26"/>
      <c r="N35" s="26"/>
      <c r="O35" s="26"/>
      <c r="P35" s="26"/>
    </row>
    <row r="36" spans="1:16" x14ac:dyDescent="0.25">
      <c r="A36" s="26"/>
      <c r="B36" s="26"/>
      <c r="C36" s="26"/>
      <c r="D36" s="26"/>
      <c r="E36" s="26"/>
      <c r="F36" s="26"/>
      <c r="G36" s="26"/>
      <c r="H36" s="26"/>
      <c r="I36" s="26"/>
      <c r="J36" s="26"/>
      <c r="K36" s="26"/>
      <c r="L36" s="26"/>
      <c r="M36" s="26"/>
      <c r="N36" s="26"/>
      <c r="O36" s="26"/>
      <c r="P36" s="26"/>
    </row>
    <row r="37" spans="1:16" x14ac:dyDescent="0.25">
      <c r="A37" s="26"/>
      <c r="B37" s="26"/>
      <c r="C37" s="26"/>
      <c r="D37" s="26"/>
      <c r="E37" s="26"/>
      <c r="F37" s="26"/>
      <c r="G37" s="26"/>
      <c r="H37" s="26"/>
      <c r="I37" s="26"/>
      <c r="J37" s="26"/>
      <c r="K37" s="26"/>
      <c r="L37" s="26"/>
      <c r="M37" s="26"/>
      <c r="N37" s="26"/>
      <c r="O37" s="26"/>
      <c r="P37" s="26"/>
    </row>
    <row r="38" spans="1:16" x14ac:dyDescent="0.25">
      <c r="A38" s="26"/>
      <c r="B38" s="26"/>
      <c r="C38" s="26"/>
      <c r="D38" s="26"/>
      <c r="E38" s="26"/>
      <c r="F38" s="26"/>
      <c r="G38" s="26"/>
      <c r="H38" s="26"/>
      <c r="I38" s="26"/>
      <c r="J38" s="26"/>
      <c r="K38" s="26"/>
      <c r="L38" s="26"/>
      <c r="M38" s="26"/>
      <c r="N38" s="26"/>
      <c r="O38" s="26"/>
      <c r="P38" s="26"/>
    </row>
    <row r="39" spans="1:16" x14ac:dyDescent="0.25">
      <c r="A39" s="26"/>
      <c r="B39" s="26"/>
      <c r="C39" s="26"/>
      <c r="D39" s="26"/>
      <c r="E39" s="26"/>
      <c r="F39" s="26"/>
      <c r="G39" s="26"/>
      <c r="H39" s="26"/>
      <c r="I39" s="26"/>
      <c r="J39" s="26"/>
      <c r="K39" s="26"/>
      <c r="L39" s="26"/>
      <c r="M39" s="26"/>
      <c r="N39" s="26"/>
      <c r="O39" s="26"/>
      <c r="P39" s="26"/>
    </row>
    <row r="40" spans="1:16" x14ac:dyDescent="0.25">
      <c r="A40" s="26"/>
      <c r="B40" s="26"/>
      <c r="C40" s="26"/>
      <c r="D40" s="26"/>
      <c r="E40" s="26"/>
      <c r="F40" s="26"/>
      <c r="G40" s="26"/>
      <c r="H40" s="26"/>
      <c r="I40" s="26"/>
      <c r="J40" s="26"/>
      <c r="K40" s="26"/>
      <c r="L40" s="26"/>
      <c r="M40" s="26"/>
      <c r="N40" s="26"/>
      <c r="O40" s="26"/>
      <c r="P40" s="26"/>
    </row>
    <row r="41" spans="1:16" x14ac:dyDescent="0.25">
      <c r="A41" s="26"/>
      <c r="B41" s="26"/>
      <c r="C41" s="26"/>
      <c r="D41" s="26"/>
      <c r="E41" s="26"/>
      <c r="F41" s="26"/>
    </row>
    <row r="42" spans="1:16" x14ac:dyDescent="0.25">
      <c r="A42" s="26"/>
      <c r="B42" s="26"/>
      <c r="C42" s="26"/>
      <c r="D42" s="26"/>
      <c r="E42" s="26"/>
      <c r="F42" s="26"/>
    </row>
    <row r="43" spans="1:16" x14ac:dyDescent="0.25">
      <c r="A43" s="26"/>
      <c r="B43" s="26"/>
      <c r="C43" s="26"/>
      <c r="D43" s="26"/>
      <c r="E43" s="26"/>
      <c r="F43" s="26"/>
    </row>
    <row r="44" spans="1:16" x14ac:dyDescent="0.25">
      <c r="A44" s="26"/>
      <c r="B44" s="26"/>
      <c r="C44" s="26"/>
      <c r="D44" s="26"/>
      <c r="E44" s="26"/>
      <c r="F44" s="26"/>
    </row>
    <row r="45" spans="1:16" x14ac:dyDescent="0.25">
      <c r="A45" s="26"/>
      <c r="B45" s="26"/>
      <c r="C45" s="26"/>
      <c r="D45" s="26"/>
      <c r="E45" s="26"/>
      <c r="F45" s="26"/>
    </row>
    <row r="46" spans="1:16" x14ac:dyDescent="0.25">
      <c r="A46" s="26"/>
      <c r="B46" s="26"/>
      <c r="C46" s="26"/>
      <c r="D46" s="26"/>
      <c r="E46" s="26"/>
      <c r="F46" s="26"/>
    </row>
  </sheetData>
  <mergeCells count="4">
    <mergeCell ref="A1:O1"/>
    <mergeCell ref="F3:J4"/>
    <mergeCell ref="I13:J14"/>
    <mergeCell ref="F12:G1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Q40"/>
  <sheetViews>
    <sheetView showGridLines="0" tabSelected="1" zoomScale="80" zoomScaleNormal="80" workbookViewId="0">
      <selection activeCell="X35" sqref="X35"/>
    </sheetView>
  </sheetViews>
  <sheetFormatPr defaultRowHeight="15" x14ac:dyDescent="0.25"/>
  <cols>
    <col min="1" max="1" width="9.140625" style="31"/>
    <col min="2" max="4" width="11" style="31" customWidth="1"/>
    <col min="5" max="5" width="14.28515625" style="31" customWidth="1"/>
    <col min="6" max="7" width="11" style="31" customWidth="1"/>
    <col min="8" max="8" width="16.85546875" style="31" customWidth="1"/>
    <col min="9" max="17" width="11" style="31" customWidth="1"/>
    <col min="18" max="16384" width="9.140625" style="31"/>
  </cols>
  <sheetData>
    <row r="2" spans="2:17" ht="26.25" x14ac:dyDescent="0.45">
      <c r="B2" s="50" t="s">
        <v>4511</v>
      </c>
      <c r="C2" s="48"/>
      <c r="D2" s="48"/>
      <c r="E2" s="48"/>
      <c r="F2" s="48"/>
      <c r="G2" s="48"/>
      <c r="H2" s="48"/>
      <c r="I2" s="48"/>
      <c r="J2" s="48"/>
      <c r="K2" s="48"/>
      <c r="L2" s="48"/>
      <c r="M2" s="48"/>
      <c r="N2" s="48"/>
      <c r="O2" s="48"/>
      <c r="P2" s="48"/>
      <c r="Q2" s="48"/>
    </row>
    <row r="3" spans="2:17" x14ac:dyDescent="0.25">
      <c r="B3" s="51" t="s">
        <v>4512</v>
      </c>
      <c r="C3" s="52"/>
      <c r="D3" s="52"/>
      <c r="E3" s="52"/>
      <c r="F3" s="52"/>
      <c r="G3" s="52"/>
      <c r="H3" s="52"/>
      <c r="I3" s="52"/>
      <c r="J3" s="52"/>
      <c r="K3" s="52"/>
      <c r="L3" s="52"/>
      <c r="M3" s="52"/>
      <c r="N3" s="52"/>
      <c r="O3" s="52"/>
      <c r="P3" s="52"/>
      <c r="Q3" s="52"/>
    </row>
    <row r="5" spans="2:17" ht="30" customHeight="1" x14ac:dyDescent="0.5">
      <c r="B5" s="53" t="s">
        <v>4497</v>
      </c>
      <c r="C5" s="54"/>
      <c r="D5" s="55"/>
      <c r="E5" s="53" t="s">
        <v>4575</v>
      </c>
      <c r="F5" s="54"/>
      <c r="G5" s="55"/>
      <c r="H5" s="53" t="s">
        <v>4500</v>
      </c>
      <c r="I5" s="54"/>
      <c r="J5" s="55"/>
      <c r="K5" s="53" t="s">
        <v>4576</v>
      </c>
      <c r="L5" s="54"/>
      <c r="M5" s="55"/>
      <c r="N5" s="53" t="s">
        <v>4502</v>
      </c>
      <c r="O5" s="54"/>
      <c r="P5" s="55"/>
    </row>
    <row r="6" spans="2:17" ht="4.5" customHeight="1" x14ac:dyDescent="0.25">
      <c r="B6" s="34"/>
      <c r="C6" s="33"/>
      <c r="D6" s="35"/>
      <c r="E6" s="34"/>
      <c r="F6" s="33"/>
      <c r="G6" s="35"/>
      <c r="H6" s="34"/>
      <c r="I6" s="33"/>
      <c r="J6" s="35"/>
      <c r="K6" s="34"/>
      <c r="L6" s="33"/>
      <c r="M6" s="35"/>
      <c r="N6" s="34"/>
      <c r="O6" s="33"/>
      <c r="P6" s="35"/>
    </row>
    <row r="7" spans="2:17" ht="24.75" customHeight="1" x14ac:dyDescent="0.25">
      <c r="B7" s="56">
        <f>'04_KPI_Engine'!B4</f>
        <v>1470</v>
      </c>
      <c r="C7" s="57"/>
      <c r="D7" s="58"/>
      <c r="E7" s="59">
        <f>'04_KPI_Engine'!B6</f>
        <v>0.16122448979591836</v>
      </c>
      <c r="F7" s="60"/>
      <c r="G7" s="61"/>
      <c r="H7" s="62">
        <f>'04_KPI_Engine'!B7</f>
        <v>6502.931292517007</v>
      </c>
      <c r="I7" s="63"/>
      <c r="J7" s="64"/>
      <c r="K7" s="65">
        <f>'04_KPI_Engine'!B8</f>
        <v>7.0081632653061225</v>
      </c>
      <c r="L7" s="66"/>
      <c r="M7" s="67"/>
      <c r="N7" s="56">
        <f>'04_KPI_Engine'!B9</f>
        <v>825</v>
      </c>
      <c r="O7" s="57"/>
      <c r="P7" s="58"/>
    </row>
    <row r="10" spans="2:17" x14ac:dyDescent="0.25">
      <c r="B10" s="48"/>
      <c r="C10" s="48"/>
      <c r="D10" s="48"/>
      <c r="E10" s="48"/>
      <c r="F10" s="48"/>
      <c r="G10" s="48"/>
      <c r="H10" s="48"/>
      <c r="I10" s="48"/>
      <c r="J10" s="48"/>
      <c r="K10" s="48"/>
      <c r="L10" s="48"/>
      <c r="M10" s="48"/>
      <c r="N10" s="48"/>
      <c r="O10" s="48"/>
      <c r="P10" s="48"/>
      <c r="Q10" s="48"/>
    </row>
    <row r="11" spans="2:17" x14ac:dyDescent="0.25">
      <c r="B11" s="48"/>
      <c r="C11" s="48"/>
      <c r="D11" s="48"/>
      <c r="E11" s="48"/>
      <c r="F11" s="48"/>
      <c r="G11" s="48"/>
      <c r="H11" s="48"/>
      <c r="I11" s="48"/>
      <c r="J11" s="48"/>
      <c r="K11" s="48"/>
      <c r="L11" s="48"/>
      <c r="M11" s="48"/>
      <c r="N11" s="48"/>
      <c r="O11" s="48"/>
      <c r="P11" s="48"/>
      <c r="Q11" s="48"/>
    </row>
    <row r="12" spans="2:17" x14ac:dyDescent="0.25">
      <c r="B12" s="48"/>
      <c r="C12" s="48"/>
      <c r="D12" s="48"/>
      <c r="E12" s="48"/>
      <c r="F12" s="48"/>
      <c r="G12" s="48"/>
      <c r="H12" s="48"/>
      <c r="I12" s="48"/>
      <c r="J12" s="48"/>
      <c r="K12" s="48"/>
      <c r="L12" s="48"/>
      <c r="M12" s="48"/>
      <c r="N12" s="48"/>
      <c r="O12" s="48"/>
      <c r="P12" s="48"/>
      <c r="Q12" s="48"/>
    </row>
    <row r="13" spans="2:17" x14ac:dyDescent="0.25">
      <c r="B13" s="48"/>
      <c r="C13" s="48"/>
      <c r="D13" s="48"/>
      <c r="E13" s="48"/>
      <c r="F13" s="48"/>
      <c r="G13" s="48"/>
      <c r="H13" s="48"/>
      <c r="I13" s="48"/>
      <c r="J13" s="48"/>
      <c r="K13" s="48"/>
      <c r="L13" s="48"/>
      <c r="M13" s="48"/>
      <c r="N13" s="48"/>
      <c r="O13" s="48"/>
      <c r="P13" s="48"/>
      <c r="Q13" s="48"/>
    </row>
    <row r="14" spans="2:17" x14ac:dyDescent="0.25">
      <c r="B14" s="48"/>
      <c r="C14" s="48"/>
      <c r="D14" s="48"/>
      <c r="E14" s="48"/>
      <c r="F14" s="48"/>
      <c r="G14" s="48"/>
      <c r="H14" s="48"/>
      <c r="I14" s="48"/>
      <c r="J14" s="48"/>
      <c r="K14" s="48"/>
      <c r="L14" s="48"/>
      <c r="M14" s="48"/>
      <c r="N14" s="48"/>
      <c r="O14" s="48"/>
      <c r="P14" s="48"/>
      <c r="Q14" s="48"/>
    </row>
    <row r="15" spans="2:17" x14ac:dyDescent="0.25">
      <c r="B15" s="48"/>
      <c r="C15" s="48"/>
      <c r="D15" s="48"/>
      <c r="E15" s="48"/>
      <c r="F15" s="48"/>
      <c r="G15" s="48"/>
      <c r="H15" s="48"/>
      <c r="I15" s="48"/>
      <c r="J15" s="48"/>
      <c r="K15" s="48"/>
      <c r="L15" s="48"/>
      <c r="M15" s="48"/>
      <c r="N15" s="48"/>
      <c r="O15" s="48"/>
      <c r="P15" s="48"/>
      <c r="Q15" s="48"/>
    </row>
    <row r="16" spans="2:17" x14ac:dyDescent="0.25">
      <c r="B16" s="48"/>
      <c r="C16" s="48"/>
      <c r="D16" s="48"/>
      <c r="E16" s="48"/>
      <c r="F16" s="48"/>
      <c r="G16" s="48"/>
      <c r="H16" s="48"/>
      <c r="I16" s="48"/>
      <c r="J16" s="48"/>
      <c r="K16" s="48"/>
      <c r="L16" s="48"/>
      <c r="M16" s="48"/>
      <c r="N16" s="48"/>
      <c r="O16" s="48"/>
      <c r="P16" s="48"/>
      <c r="Q16" s="48"/>
    </row>
    <row r="17" spans="2:17" x14ac:dyDescent="0.25">
      <c r="B17" s="48"/>
      <c r="C17" s="48"/>
      <c r="D17" s="48"/>
      <c r="E17" s="48"/>
      <c r="F17" s="48"/>
      <c r="G17" s="48"/>
      <c r="H17" s="48"/>
      <c r="I17" s="48"/>
      <c r="J17" s="48"/>
      <c r="K17" s="48"/>
      <c r="L17" s="48"/>
      <c r="M17" s="48"/>
      <c r="N17" s="48"/>
      <c r="O17" s="48"/>
      <c r="P17" s="48"/>
      <c r="Q17" s="48"/>
    </row>
    <row r="18" spans="2:17" x14ac:dyDescent="0.25">
      <c r="B18" s="48"/>
      <c r="C18" s="48"/>
      <c r="D18" s="48"/>
      <c r="E18" s="48"/>
      <c r="F18" s="48"/>
      <c r="G18" s="48"/>
      <c r="H18" s="48"/>
      <c r="I18" s="48"/>
      <c r="J18" s="48"/>
      <c r="K18" s="48"/>
      <c r="L18" s="48"/>
      <c r="M18" s="48"/>
      <c r="N18" s="48"/>
      <c r="O18" s="48"/>
      <c r="P18" s="48"/>
      <c r="Q18" s="48"/>
    </row>
    <row r="19" spans="2:17" x14ac:dyDescent="0.25">
      <c r="B19" s="48"/>
      <c r="C19" s="48"/>
      <c r="D19" s="48"/>
      <c r="E19" s="48"/>
      <c r="F19" s="48"/>
      <c r="G19" s="48"/>
      <c r="H19" s="48"/>
      <c r="I19" s="48"/>
      <c r="J19" s="48"/>
      <c r="K19" s="48"/>
      <c r="L19" s="48"/>
      <c r="M19" s="48"/>
      <c r="N19" s="48"/>
      <c r="O19" s="48"/>
      <c r="P19" s="48"/>
      <c r="Q19" s="48"/>
    </row>
    <row r="20" spans="2:17" x14ac:dyDescent="0.25">
      <c r="B20" s="48"/>
      <c r="C20" s="48"/>
      <c r="D20" s="48"/>
      <c r="E20" s="48"/>
      <c r="F20" s="48"/>
      <c r="G20" s="48"/>
      <c r="H20" s="48"/>
      <c r="I20" s="48"/>
      <c r="J20" s="48"/>
      <c r="K20" s="48"/>
      <c r="L20" s="48"/>
      <c r="M20" s="48"/>
      <c r="N20" s="48"/>
      <c r="O20" s="48"/>
      <c r="P20" s="48"/>
      <c r="Q20" s="48"/>
    </row>
    <row r="21" spans="2:17" x14ac:dyDescent="0.25">
      <c r="B21" s="48"/>
      <c r="C21" s="48"/>
      <c r="D21" s="48"/>
      <c r="E21" s="48"/>
      <c r="F21" s="48"/>
      <c r="G21" s="48"/>
      <c r="H21" s="48"/>
      <c r="I21" s="48"/>
      <c r="J21" s="48"/>
      <c r="K21" s="48"/>
      <c r="L21" s="48"/>
      <c r="M21" s="48"/>
      <c r="N21" s="48"/>
      <c r="O21" s="48"/>
      <c r="P21" s="48"/>
      <c r="Q21" s="48"/>
    </row>
    <row r="22" spans="2:17" x14ac:dyDescent="0.25">
      <c r="B22" s="48"/>
      <c r="C22" s="48"/>
      <c r="D22" s="48"/>
      <c r="E22" s="48"/>
      <c r="F22" s="48"/>
      <c r="G22" s="48"/>
      <c r="H22" s="48"/>
      <c r="I22" s="48"/>
      <c r="J22" s="48"/>
      <c r="K22" s="48"/>
      <c r="L22" s="48"/>
      <c r="M22" s="48"/>
      <c r="N22" s="48"/>
      <c r="O22" s="48"/>
      <c r="P22" s="48"/>
      <c r="Q22" s="48"/>
    </row>
    <row r="23" spans="2:17" x14ac:dyDescent="0.25">
      <c r="B23" s="48"/>
      <c r="C23" s="48"/>
      <c r="D23" s="48"/>
      <c r="E23" s="48"/>
      <c r="F23" s="48"/>
      <c r="G23" s="48"/>
      <c r="H23" s="48"/>
      <c r="I23" s="48"/>
      <c r="J23" s="48"/>
      <c r="K23" s="48"/>
      <c r="L23" s="48"/>
      <c r="M23" s="48"/>
      <c r="N23" s="48"/>
      <c r="O23" s="48"/>
      <c r="P23" s="48"/>
      <c r="Q23" s="48"/>
    </row>
    <row r="24" spans="2:17" x14ac:dyDescent="0.25">
      <c r="B24" s="48"/>
      <c r="C24" s="48"/>
      <c r="D24" s="48"/>
      <c r="E24" s="48"/>
      <c r="F24" s="48"/>
      <c r="G24" s="48"/>
      <c r="H24" s="48"/>
      <c r="I24" s="48"/>
      <c r="J24" s="48"/>
      <c r="K24" s="48"/>
      <c r="L24" s="48"/>
      <c r="M24" s="48"/>
      <c r="N24" s="48"/>
      <c r="O24" s="48"/>
      <c r="P24" s="48"/>
      <c r="Q24" s="48"/>
    </row>
    <row r="26" spans="2:17" x14ac:dyDescent="0.25">
      <c r="B26" s="48" t="s">
        <v>4513</v>
      </c>
      <c r="C26" s="48"/>
      <c r="D26" s="48"/>
      <c r="E26" s="48"/>
      <c r="F26" s="48"/>
      <c r="G26" s="48"/>
      <c r="H26" s="48"/>
      <c r="I26" s="48"/>
      <c r="J26" s="48"/>
      <c r="K26" s="48"/>
      <c r="L26" s="48"/>
      <c r="M26" s="48"/>
      <c r="N26" s="48"/>
      <c r="O26" s="48"/>
      <c r="P26" s="48"/>
      <c r="Q26" s="48"/>
    </row>
    <row r="27" spans="2:17" x14ac:dyDescent="0.25">
      <c r="B27" s="48"/>
      <c r="C27" s="48"/>
      <c r="D27" s="48"/>
      <c r="E27" s="48"/>
      <c r="F27" s="48"/>
      <c r="G27" s="48"/>
      <c r="H27" s="48"/>
      <c r="I27" s="48"/>
      <c r="J27" s="48"/>
      <c r="K27" s="48"/>
      <c r="L27" s="48"/>
      <c r="M27" s="48"/>
      <c r="N27" s="48"/>
      <c r="O27" s="48"/>
      <c r="P27" s="48"/>
      <c r="Q27" s="48"/>
    </row>
    <row r="28" spans="2:17" x14ac:dyDescent="0.25">
      <c r="B28" s="48"/>
      <c r="C28" s="48"/>
      <c r="D28" s="48"/>
      <c r="E28" s="48"/>
      <c r="F28" s="48"/>
      <c r="G28" s="48"/>
      <c r="H28" s="48"/>
      <c r="I28" s="48"/>
      <c r="J28" s="48"/>
      <c r="K28" s="48"/>
      <c r="L28" s="48"/>
      <c r="M28" s="48"/>
      <c r="N28" s="48"/>
      <c r="O28" s="48"/>
      <c r="P28" s="48"/>
      <c r="Q28" s="48"/>
    </row>
    <row r="29" spans="2:17" x14ac:dyDescent="0.25">
      <c r="B29" s="48"/>
      <c r="C29" s="48"/>
      <c r="D29" s="48"/>
      <c r="E29" s="48"/>
      <c r="F29" s="48"/>
      <c r="G29" s="48"/>
      <c r="H29" s="48"/>
      <c r="I29" s="48"/>
      <c r="J29" s="48"/>
      <c r="K29" s="48"/>
      <c r="L29" s="48"/>
      <c r="M29" s="48"/>
      <c r="N29" s="48"/>
      <c r="O29" s="48"/>
      <c r="P29" s="48"/>
      <c r="Q29" s="48"/>
    </row>
    <row r="30" spans="2:17" x14ac:dyDescent="0.25">
      <c r="B30" s="48"/>
      <c r="C30" s="48"/>
      <c r="D30" s="48"/>
      <c r="E30" s="48"/>
      <c r="F30" s="48"/>
      <c r="G30" s="48"/>
      <c r="H30" s="48"/>
      <c r="I30" s="48"/>
      <c r="J30" s="48"/>
      <c r="K30" s="48"/>
      <c r="L30" s="48"/>
      <c r="M30" s="48"/>
      <c r="N30" s="48"/>
      <c r="O30" s="48"/>
      <c r="P30" s="48"/>
      <c r="Q30" s="48"/>
    </row>
    <row r="31" spans="2:17" x14ac:dyDescent="0.25">
      <c r="B31" s="48"/>
      <c r="C31" s="48"/>
      <c r="D31" s="48"/>
      <c r="E31" s="48"/>
      <c r="F31" s="48"/>
      <c r="G31" s="48"/>
      <c r="H31" s="48"/>
      <c r="I31" s="48"/>
      <c r="J31" s="48"/>
      <c r="K31" s="48"/>
      <c r="L31" s="48"/>
      <c r="M31" s="48"/>
      <c r="N31" s="48"/>
      <c r="O31" s="48"/>
      <c r="P31" s="48"/>
      <c r="Q31" s="48"/>
    </row>
    <row r="32" spans="2:17" x14ac:dyDescent="0.25">
      <c r="B32" s="48"/>
      <c r="C32" s="48"/>
      <c r="D32" s="48"/>
      <c r="E32" s="48"/>
      <c r="F32" s="48"/>
      <c r="G32" s="48"/>
      <c r="H32" s="48"/>
      <c r="I32" s="48"/>
      <c r="J32" s="48"/>
      <c r="K32" s="48"/>
      <c r="L32" s="48"/>
      <c r="M32" s="48"/>
      <c r="N32" s="48"/>
      <c r="O32" s="48"/>
      <c r="P32" s="48"/>
      <c r="Q32" s="48"/>
    </row>
    <row r="33" spans="2:17" x14ac:dyDescent="0.25">
      <c r="B33" s="48"/>
      <c r="C33" s="48"/>
      <c r="D33" s="48"/>
      <c r="E33" s="48"/>
      <c r="F33" s="48"/>
      <c r="G33" s="48"/>
      <c r="H33" s="48"/>
      <c r="I33" s="48"/>
      <c r="J33" s="48"/>
      <c r="K33" s="48"/>
      <c r="L33" s="48"/>
      <c r="M33" s="48"/>
      <c r="N33" s="48"/>
      <c r="O33" s="48"/>
      <c r="P33" s="48"/>
      <c r="Q33" s="48"/>
    </row>
    <row r="34" spans="2:17" x14ac:dyDescent="0.25">
      <c r="B34" s="48"/>
      <c r="C34" s="48"/>
      <c r="D34" s="48"/>
      <c r="E34" s="48"/>
      <c r="F34" s="48"/>
      <c r="G34" s="48"/>
      <c r="H34" s="48"/>
      <c r="I34" s="48"/>
      <c r="J34" s="48"/>
      <c r="K34" s="48"/>
      <c r="L34" s="48"/>
      <c r="M34" s="48"/>
      <c r="N34" s="48"/>
      <c r="O34" s="48"/>
      <c r="P34" s="48"/>
      <c r="Q34" s="48"/>
    </row>
    <row r="35" spans="2:17" x14ac:dyDescent="0.25">
      <c r="B35" s="48"/>
      <c r="C35" s="48"/>
      <c r="D35" s="48"/>
      <c r="E35" s="48"/>
      <c r="F35" s="48"/>
      <c r="G35" s="48"/>
      <c r="H35" s="48"/>
      <c r="I35" s="48"/>
      <c r="J35" s="48"/>
      <c r="K35" s="48"/>
      <c r="L35" s="48"/>
      <c r="M35" s="48"/>
      <c r="N35" s="48"/>
      <c r="O35" s="48"/>
      <c r="P35" s="48"/>
      <c r="Q35" s="48"/>
    </row>
    <row r="36" spans="2:17" x14ac:dyDescent="0.25">
      <c r="B36" s="48"/>
      <c r="C36" s="48"/>
      <c r="D36" s="48"/>
      <c r="E36" s="48"/>
      <c r="F36" s="48"/>
      <c r="G36" s="48"/>
      <c r="H36" s="48"/>
      <c r="I36" s="48"/>
      <c r="J36" s="48"/>
      <c r="K36" s="48"/>
      <c r="L36" s="48"/>
      <c r="M36" s="48"/>
      <c r="N36" s="48"/>
      <c r="O36" s="48"/>
      <c r="P36" s="48"/>
      <c r="Q36" s="48"/>
    </row>
    <row r="37" spans="2:17" x14ac:dyDescent="0.25">
      <c r="B37" s="48"/>
      <c r="C37" s="48"/>
      <c r="D37" s="48"/>
      <c r="E37" s="48"/>
      <c r="F37" s="48"/>
      <c r="G37" s="48"/>
      <c r="H37" s="48"/>
      <c r="I37" s="48"/>
      <c r="J37" s="48"/>
      <c r="K37" s="48"/>
      <c r="L37" s="48"/>
      <c r="M37" s="48"/>
      <c r="N37" s="48"/>
      <c r="O37" s="48"/>
      <c r="P37" s="48"/>
      <c r="Q37" s="48"/>
    </row>
    <row r="38" spans="2:17" x14ac:dyDescent="0.25">
      <c r="B38" s="48"/>
      <c r="C38" s="48"/>
      <c r="D38" s="48"/>
      <c r="E38" s="48"/>
      <c r="F38" s="48"/>
      <c r="G38" s="48"/>
      <c r="H38" s="48"/>
      <c r="I38" s="48"/>
      <c r="J38" s="48"/>
      <c r="K38" s="48"/>
      <c r="L38" s="48"/>
      <c r="M38" s="48"/>
      <c r="N38" s="48"/>
      <c r="O38" s="48"/>
      <c r="P38" s="48"/>
      <c r="Q38" s="48"/>
    </row>
    <row r="40" spans="2:17" x14ac:dyDescent="0.25">
      <c r="B40" s="49"/>
      <c r="C40" s="48"/>
      <c r="D40" s="48"/>
    </row>
  </sheetData>
  <mergeCells count="17">
    <mergeCell ref="N7:P7"/>
    <mergeCell ref="B26:H38"/>
    <mergeCell ref="B40:D40"/>
    <mergeCell ref="I26:Q38"/>
    <mergeCell ref="B10:H24"/>
    <mergeCell ref="B2:Q2"/>
    <mergeCell ref="B3:Q3"/>
    <mergeCell ref="I10:Q24"/>
    <mergeCell ref="B5:D5"/>
    <mergeCell ref="B7:D7"/>
    <mergeCell ref="E5:G5"/>
    <mergeCell ref="E7:G7"/>
    <mergeCell ref="H5:J5"/>
    <mergeCell ref="H7:J7"/>
    <mergeCell ref="K5:M5"/>
    <mergeCell ref="K7:M7"/>
    <mergeCell ref="N5:P5"/>
  </mergeCells>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23"/>
  <sheetViews>
    <sheetView topLeftCell="A4" workbookViewId="0">
      <selection activeCell="D5" sqref="D5"/>
    </sheetView>
  </sheetViews>
  <sheetFormatPr defaultRowHeight="15" x14ac:dyDescent="0.25"/>
  <cols>
    <col min="1" max="1" width="100" customWidth="1"/>
  </cols>
  <sheetData>
    <row r="1" spans="1:1" ht="17.25" x14ac:dyDescent="0.25">
      <c r="A1" s="39" t="s">
        <v>4514</v>
      </c>
    </row>
    <row r="2" spans="1:1" ht="50.25" customHeight="1" x14ac:dyDescent="0.25">
      <c r="A2" s="9" t="s">
        <v>4515</v>
      </c>
    </row>
    <row r="4" spans="1:1" ht="17.25" x14ac:dyDescent="0.25">
      <c r="A4" s="39" t="s">
        <v>4516</v>
      </c>
    </row>
    <row r="5" spans="1:1" ht="80.099999999999994" customHeight="1" x14ac:dyDescent="0.25">
      <c r="A5" s="37" t="s">
        <v>4517</v>
      </c>
    </row>
    <row r="7" spans="1:1" ht="17.25" x14ac:dyDescent="0.3">
      <c r="A7" s="38" t="s">
        <v>4518</v>
      </c>
    </row>
    <row r="8" spans="1:1" ht="45" customHeight="1" x14ac:dyDescent="0.25">
      <c r="A8" s="36" t="s">
        <v>4519</v>
      </c>
    </row>
    <row r="10" spans="1:1" ht="17.25" x14ac:dyDescent="0.3">
      <c r="A10" s="38" t="s">
        <v>4520</v>
      </c>
    </row>
    <row r="11" spans="1:1" ht="45" customHeight="1" x14ac:dyDescent="0.25">
      <c r="A11" s="36" t="s">
        <v>4521</v>
      </c>
    </row>
    <row r="13" spans="1:1" ht="17.25" x14ac:dyDescent="0.3">
      <c r="A13" s="38" t="s">
        <v>4522</v>
      </c>
    </row>
    <row r="14" spans="1:1" ht="81" customHeight="1" x14ac:dyDescent="0.25">
      <c r="A14" s="9" t="s">
        <v>4523</v>
      </c>
    </row>
    <row r="16" spans="1:1" ht="17.25" x14ac:dyDescent="0.3">
      <c r="A16" s="38" t="s">
        <v>4524</v>
      </c>
    </row>
    <row r="17" spans="1:1" ht="52.5" customHeight="1" x14ac:dyDescent="0.25">
      <c r="A17" s="9" t="s">
        <v>4525</v>
      </c>
    </row>
    <row r="20" spans="1:1" ht="80.099999999999994" customHeight="1" x14ac:dyDescent="0.25"/>
    <row r="23" spans="1:1" ht="80.099999999999994" customHeight="1" x14ac:dyDescent="0.25"/>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01_Raw_Data</vt:lpstr>
      <vt:lpstr>02_Clean_Data</vt:lpstr>
      <vt:lpstr>03_Helper_Calculations</vt:lpstr>
      <vt:lpstr>04_KPI_Engine</vt:lpstr>
      <vt:lpstr>05_Attrition_Analysis</vt:lpstr>
      <vt:lpstr>06_Salary_Analysis</vt:lpstr>
      <vt:lpstr>07_Risk_Model</vt:lpstr>
      <vt:lpstr>08_Dashboard</vt:lpstr>
      <vt:lpstr>09_Executive_Report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sohel</cp:lastModifiedBy>
  <cp:lastPrinted>2026-06-07T10:20:30Z</cp:lastPrinted>
  <dcterms:created xsi:type="dcterms:W3CDTF">2026-06-06T15:32:43Z</dcterms:created>
  <dcterms:modified xsi:type="dcterms:W3CDTF">2026-06-10T06:27:12Z</dcterms:modified>
</cp:coreProperties>
</file>